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5.xml" ContentType="application/vnd.openxmlformats-officedocument.spreadsheetml.comments+xml"/>
  <Override PartName="/xl/drawings/drawing11.xml" ContentType="application/vnd.openxmlformats-officedocument.drawing+xml"/>
  <Override PartName="/xl/ctrlProps/ctrlProp12.xml" ContentType="application/vnd.ms-excel.controlproperties+xml"/>
  <Override PartName="/xl/drawings/drawing12.xml" ContentType="application/vnd.openxmlformats-officedocument.drawing+xml"/>
  <Override PartName="/xl/ctrlProps/ctrlProp13.xml" ContentType="application/vnd.ms-excel.controlproperties+xml"/>
  <Override PartName="/xl/ctrlProps/ctrlProp14.xml" ContentType="application/vnd.ms-excel.controlproperties+xml"/>
  <Override PartName="/xl/comments6.xml" ContentType="application/vnd.openxmlformats-officedocument.spreadsheetml.comments+xml"/>
  <Override PartName="/xl/drawings/drawing13.xml" ContentType="application/vnd.openxmlformats-officedocument.drawing+xml"/>
  <Override PartName="/xl/comments7.xml" ContentType="application/vnd.openxmlformats-officedocument.spreadsheetml.comments+xml"/>
  <Override PartName="/xl/drawings/drawing14.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EstaPasta_de_trabalho"/>
  <mc:AlternateContent xmlns:mc="http://schemas.openxmlformats.org/markup-compatibility/2006">
    <mc:Choice Requires="x15">
      <x15ac:absPath xmlns:x15ac="http://schemas.microsoft.com/office/spreadsheetml/2010/11/ac" url="E:\Desktop\CCR 003-2026 - CMEI Sorgatto\"/>
    </mc:Choice>
  </mc:AlternateContent>
  <xr:revisionPtr revIDLastSave="0" documentId="8_{D69B0BCE-AE9D-475F-AE8F-498E9F234149}" xr6:coauthVersionLast="47" xr6:coauthVersionMax="47" xr10:uidLastSave="{00000000-0000-0000-0000-000000000000}"/>
  <workbookProtection workbookAlgorithmName="SHA-512" workbookHashValue="pGnH8LqLwGpPKjsBUH3XKoK3GZOTd4ClTExJeCpAKsDbZJyYsCGYvzUVSWvGezv1r1kM2KjCNSr3BbkUCQurTA==" workbookSaltValue="5YZERUY6x5edkdSZYDdEnQ==" workbookSpinCount="100000" lockStructure="1"/>
  <bookViews>
    <workbookView xWindow="-120" yWindow="-120" windowWidth="24240" windowHeight="13140" tabRatio="801" activeTab="1" xr2:uid="{00000000-000D-0000-FFFF-FFFF00000000}"/>
  </bookViews>
  <sheets>
    <sheet name="NOVO" sheetId="3" r:id="rId1"/>
    <sheet name="MENU" sheetId="15" r:id="rId2"/>
    <sheet name="DADOS" sheetId="2" r:id="rId3"/>
    <sheet name="BDI" sheetId="4" r:id="rId4"/>
    <sheet name="ORÇAMENTO" sheetId="5" r:id="rId5"/>
    <sheet name="EVENTOS" sheetId="7" state="hidden" r:id="rId6"/>
    <sheet name="CÁLCULO" sheetId="6" r:id="rId7"/>
    <sheet name="CRONOPLE" sheetId="9" state="hidden" r:id="rId8"/>
    <sheet name="CRONO" sheetId="8" r:id="rId9"/>
    <sheet name="QCI" sheetId="11" r:id="rId10"/>
    <sheet name="PLE" sheetId="10" state="hidden" r:id="rId11"/>
    <sheet name="BM" sheetId="12" state="hidden" r:id="rId12"/>
    <sheet name="RRE" sheetId="13" state="hidden" r:id="rId13"/>
    <sheet name="OFÍCIO" sheetId="14" state="hidden" r:id="rId14"/>
    <sheet name="PO-PLE" sheetId="16" state="hidden" r:id="rId15"/>
    <sheet name="CFF-PLE" sheetId="17" state="hidden" r:id="rId16"/>
    <sheet name="PO-BM" sheetId="20" state="hidden" r:id="rId17"/>
    <sheet name="CFF-BM" sheetId="19" state="hidden" r:id="rId18"/>
  </sheets>
  <definedNames>
    <definedName name="_xlnm._FilterDatabase" localSheetId="3" hidden="1">BDI!$I$11:$I$132</definedName>
    <definedName name="_xlnm._FilterDatabase" localSheetId="11" hidden="1">BM!$C$15:$C$405</definedName>
    <definedName name="_xlnm._FilterDatabase" localSheetId="6" hidden="1">CÁLCULO!$C$15:$C$405</definedName>
    <definedName name="_xlnm._FilterDatabase" localSheetId="8" hidden="1">CRONO!$G$13:$G$106</definedName>
    <definedName name="_xlnm._FilterDatabase" localSheetId="7" hidden="1">CRONOPLE!$A$13:$A$79</definedName>
    <definedName name="_xlnm._FilterDatabase" localSheetId="5" hidden="1">EVENTOS!$A$13:$A$72</definedName>
    <definedName name="_xlnm._FilterDatabase" localSheetId="4" hidden="1">ORÇAMENTO!$L$15:$L$405</definedName>
    <definedName name="_xlnm._FilterDatabase" localSheetId="10" hidden="1">PLE!$A$13:$A$81</definedName>
    <definedName name="_xlnm._FilterDatabase" localSheetId="9" hidden="1">QCI!$C$13:$C$25</definedName>
    <definedName name="_xlnm._FilterDatabase" localSheetId="12" hidden="1">RRE!$D$13:$D$30</definedName>
    <definedName name="ACOMPANHAMENTO" hidden="1">MENU!$J$4</definedName>
    <definedName name="AdmLocal" hidden="1">CÁLCULO!$A$11</definedName>
    <definedName name="_xlnm.Print_Area" localSheetId="3">BDI!$J$1:$S$132</definedName>
    <definedName name="_xlnm.Print_Area" localSheetId="11">BM!$D$1:$O$420</definedName>
    <definedName name="_xlnm.Print_Area" localSheetId="6">CÁLCULO!$E$6:$AA$413</definedName>
    <definedName name="_xlnm.Print_Area" localSheetId="8">CRONO!$I$1:$AG$106</definedName>
    <definedName name="_xlnm.Print_Area" localSheetId="5">EVENTOS!$C$2:$Z$72</definedName>
    <definedName name="_xlnm.Print_Area" localSheetId="1">MENU!$A$1:$I$25</definedName>
    <definedName name="_xlnm.Print_Area" localSheetId="13">OFÍCIO!$A$1:$G$56</definedName>
    <definedName name="_xlnm.Print_Area" localSheetId="4">ORÇAMENTO!$O$1:$Y$422</definedName>
    <definedName name="_xlnm.Print_Area" localSheetId="10">PLE!$B$3:$AG$82</definedName>
    <definedName name="_xlnm.Print_Area" localSheetId="9">QCI!$D$1:$O$37</definedName>
    <definedName name="_xlnm.Print_Area" localSheetId="12">RRE!$E$1:$P$49</definedName>
    <definedName name="AUTOEVENTO" hidden="1">CÁLCULO!$A$12</definedName>
    <definedName name="BDI.ColAux" hidden="1">BDI!$A:$G</definedName>
    <definedName name="BDI.Erro" hidden="1">BDI!$U$7</definedName>
    <definedName name="BDI.Filtro" hidden="1">BDI!$I$11:$I$132</definedName>
    <definedName name="BDI.Opcao" hidden="1">DADOS!$C$18</definedName>
    <definedName name="BDI.TipoObra" hidden="1">BDI!$A$138:$A$146</definedName>
    <definedName name="BDI_1.Título" hidden="1">BDI!$J$14</definedName>
    <definedName name="BDI_2.Título" hidden="1">BDI!$J$54</definedName>
    <definedName name="BDI_3.Título" hidden="1">BDI!$J$94</definedName>
    <definedName name="BM.AFAcumulado" hidden="1">BM!$R1</definedName>
    <definedName name="BM.AFAnterior" hidden="1">BM!$Q1</definedName>
    <definedName name="BM.CaixaColunas" hidden="1">BM!$Q:$AA</definedName>
    <definedName name="BM.Erro" hidden="1">BM!$F$10</definedName>
    <definedName name="BM.Filtro" hidden="1">BM!$C$15:$C$405</definedName>
    <definedName name="BM.firstrow" hidden="1">BM!$15:$15</definedName>
    <definedName name="BM.FormulaMed" hidden="1">BM!$AO$7</definedName>
    <definedName name="BM.lastrow" hidden="1">BM!$405:$405</definedName>
    <definedName name="BM.LinhaPadrão" hidden="1">BM!$14:$14</definedName>
    <definedName name="BM.MaxMed" hidden="1">IF(RegimeExecucao="Global",1,BM!$G1)</definedName>
    <definedName name="BM.MCAIXA.Filter" hidden="1">BM!$C$15:$Z$405</definedName>
    <definedName name="BM.MEDAcumulado" hidden="1">IF(COUNTIF(BM!$AB$13:$AM$13,BM.medicao)&gt;0,SUM(OFFSET(BM!$AB1,0,0,1,MATCH(BM.medicao,BM!$AB$13:$AM$13,0))),0)</definedName>
    <definedName name="BM.MEDAnterior" hidden="1">IF(COUNTIF(BM!$AB$13:$AM$13,BM.medicao-1)&gt;0,SUM(OFFSET(BM!$AB1,0,0,1,MATCH(BM.medicao-1,BM!$AB$13:$AM$13,0))),0)</definedName>
    <definedName name="BM.medicao" hidden="1">OFFSET(BM!$O$7,1,0)</definedName>
    <definedName name="BM.MinMed" hidden="1">IF(RegimeExecucao="Global",-1,-BM!$G1)</definedName>
    <definedName name="BM.Título" hidden="1">BM!$E$1</definedName>
    <definedName name="BM.TomadorColunas" hidden="1">BM!$AB:$AN</definedName>
    <definedName name="Brasao" hidden="1">OFÍCIO!$B$1</definedName>
    <definedName name="CAIXA.Modo" hidden="1">BM!$A$3</definedName>
    <definedName name="CÁLCULO.AgrupEventos" hidden="1">CÁLCULO!$K1</definedName>
    <definedName name="CÁLCULO.ColunaPadrão" hidden="1">CÁLCULO!$O:$O</definedName>
    <definedName name="CÁLCULO.Erro" hidden="1">CÁLCULO!$F$11</definedName>
    <definedName name="CÁLCULO.Filtro" hidden="1">CÁLCULO!$C$15:$C$405</definedName>
    <definedName name="CÁLCULO.firstcol" hidden="1">CÁLCULO!$P:$P</definedName>
    <definedName name="CÁLCULO.firstrow" hidden="1">CÁLCULO!$15:$15</definedName>
    <definedName name="CÁLCULO.Frenterow" hidden="1">CÁLCULO!$12:$12</definedName>
    <definedName name="CÁLCULO.FrentesPreenchidas" hidden="1">CÁLCULO!$M$1</definedName>
    <definedName name="CÁLCULO.lastcol" hidden="1">CÁLCULO!$AA:$AA</definedName>
    <definedName name="CÁLCULO.lastrow" hidden="1">CÁLCULO!$405:$405</definedName>
    <definedName name="CÁLCULO.LinhaPadrão" hidden="1">CÁLCULO!$14:$14</definedName>
    <definedName name="CÁLCULO.margemrow" hidden="1">CÁLCULO!$413:$413</definedName>
    <definedName name="CÁLCULO.MATRIZ1.ColunaPadrão" hidden="1">CÁLCULO!$AC:$AC</definedName>
    <definedName name="CÁLCULO.MATRIZ1.firstcol" hidden="1">CÁLCULO!$AA:$AA</definedName>
    <definedName name="CÁLCULO.MATRIZ1.lastcol" hidden="1">CÁLCULO!$AL:$AL</definedName>
    <definedName name="CÁLCULO.MATRIZ1.lastrow" hidden="1">CÁLCULO!$405:$405</definedName>
    <definedName name="CÁLCULO.MATRIZ2.ColunaPadrão" hidden="1">CÁLCULO!$AN:$AN</definedName>
    <definedName name="CÁLCULO.MATRIZ2.firstcol" hidden="1">CÁLCULO!$AL:$AL</definedName>
    <definedName name="CÁLCULO.MATRIZ2.lastcol" hidden="1">CÁLCULO!$AW:$AW</definedName>
    <definedName name="CÁLCULO.MATRIZ2.lastrow" hidden="1">CÁLCULO!$405:$405</definedName>
    <definedName name="CÁLCULO.MATRIZ3.ColunaPadrão" hidden="1">CÁLCULO!$AY:$AY</definedName>
    <definedName name="CÁLCULO.MATRIZ3.firstcol" hidden="1">CÁLCULO!$AW:$AW</definedName>
    <definedName name="CÁLCULO.MATRIZ3.lastcol" hidden="1">CÁLCULO!$BH:$BH</definedName>
    <definedName name="CÁLCULO.MATRIZ3.lastrow" hidden="1">CÁLCULO!$405:$405</definedName>
    <definedName name="CÁLCULO.nEvento" hidden="1">CÁLCULO!$M$12</definedName>
    <definedName name="CÁLCULO.NúmeroDeEventos" hidden="1">IF(AUTOEVENTO&lt;&gt;"manual",MAX(CÁLCULO!$M$15:$M$405),MAX(OFFSET(EVENTOS!$C$1:$C$65,1,0)))</definedName>
    <definedName name="CÁLCULO.NúmeroDeFrentes" hidden="1">COLUMN(CÁLCULO!$AA$15)-COLUMN(CÁLCULO!$Q$15)</definedName>
    <definedName name="CÁLCULO.Título" hidden="1">CÁLCULO!$F$6</definedName>
    <definedName name="CÁLCULO.TotalAdmLocal" hidden="1">IF(AUTOEVENTO="manual",SUMIF(CÁLCULO!$M$15:$M$405,1,ORÇAMENTO!$X$15:$X$405),0)</definedName>
    <definedName name="CRONO.ColAux" hidden="1">CRONO!$M:$R</definedName>
    <definedName name="CRONO.ColunaPadrão" hidden="1">CRONO!$E:$E</definedName>
    <definedName name="CRONO.Erro" hidden="1">CRONO!$K$10</definedName>
    <definedName name="CRONO.Filtro" hidden="1">CRONO!$G$13:$G$106</definedName>
    <definedName name="CRONO.FirstCol" hidden="1">CRONO!$T:$T</definedName>
    <definedName name="CRONO.firstrow" hidden="1">CRONO!$13:$13</definedName>
    <definedName name="CRONO.Frenterow" hidden="1">CRONO!$12:$12</definedName>
    <definedName name="CRONO.LastCol" hidden="1">CRONO!$AG:$AG</definedName>
    <definedName name="CRONO.lastrow" hidden="1">CRONO!$89:$89</definedName>
    <definedName name="CRONO.lastrow2" hidden="1">CRONO!$101:$101</definedName>
    <definedName name="CRONO.LinhaPadrão" hidden="1">CRONO!$1:$3</definedName>
    <definedName name="CRONO.LinhasNecessarias" hidden="1">COUNTIF(QCI!$B$13:$B$24,"Manual")+COUNTIF(QCI!$B$13:$B$24,"SemiAuto")+COUNT(ORÇAMENTO.ListaCrono)</definedName>
    <definedName name="CRONO.margemrow" hidden="1">CRONO!$106:$106</definedName>
    <definedName name="CRONO.MaxParc" hidden="1">CRONO!$H1048576+CRONO!A1</definedName>
    <definedName name="CRONO.NivelExibicao" hidden="1">CRONO!$H$10</definedName>
    <definedName name="CRONO.Parcela1" hidden="1">CRONO!$U$12:$U$13</definedName>
    <definedName name="CRONO.ParcelaFinal" hidden="1">MATCH(100%,CRONO!$U$95:$AG$95,0)</definedName>
    <definedName name="CRONO.Título" hidden="1">CRONO!$S$4</definedName>
    <definedName name="CRONOPLE.ColunaPadrão" hidden="1">CRONOPLE!$E:$E</definedName>
    <definedName name="CRONOPLE.Erro" hidden="1">CRONOPLE!$B$6</definedName>
    <definedName name="CRONOPLE.Filtro" hidden="1">CRONOPLE!$A$13:$A$79</definedName>
    <definedName name="CRONOPLE.FirstCol" hidden="1">CRONOPLE!$F:$F</definedName>
    <definedName name="CRONOPLE.firstrow" hidden="1">CRONOPLE!$15:$15</definedName>
    <definedName name="CRONOPLE.Frenterow" hidden="1">CRONOPLE!$11:$11</definedName>
    <definedName name="CRONOPLE.LastCol" hidden="1">CRONOPLE!$AF:$AF</definedName>
    <definedName name="CRONOPLE.lastrow" hidden="1">CRONOPLE!$65:$65</definedName>
    <definedName name="CRONOPLE.lastrow2" hidden="1">CRONOPLE!$74:$74</definedName>
    <definedName name="CRONOPLE.LinhaPadrão" hidden="1">CRONOPLE!$1:$1</definedName>
    <definedName name="CRONOPLE.margemrow" hidden="1">CRONOPLE!$81:$81</definedName>
    <definedName name="CRONOPLE.Título" hidden="1">CRONOPLE!$G$2</definedName>
    <definedName name="CRONOPLE.ValorDoEvento" hidden="1">SUMIF(CÁLCULO!$M$15:$M$405,CRONOPLE!$B1,OFFSET(CÁLCULO!$AA$15:$AA$405,0,CRONOPLE!A$12))</definedName>
    <definedName name="DADOS.ColAux" hidden="1">DADOS!$G:$AR</definedName>
    <definedName name="DADOS.Erro" hidden="1">DADOS!$D$1</definedName>
    <definedName name="DESONERACAO" hidden="1">IF(OR(Import.Desoneracao="DESONERADO",Import.Desoneracao="SIM"),"SIM","NÃO")</definedName>
    <definedName name="EVENTOS.ColunaPadrão" hidden="1">EVENTOS!$E:$E</definedName>
    <definedName name="EVENTOS.Erro" hidden="1">EVENTOS!$F$6</definedName>
    <definedName name="EVENTOS.Filtro" hidden="1">EVENTOS!$A$13:$A$72</definedName>
    <definedName name="EVENTOS.firstcol" hidden="1">EVENTOS!$G:$G</definedName>
    <definedName name="EVENTOS.firstrow" hidden="1">EVENTOS!$15:$15</definedName>
    <definedName name="EVENTOS.FrenteRow" hidden="1">EVENTOS!$10:$10</definedName>
    <definedName name="EVENTOS.LastCol" hidden="1">EVENTOS!$Z:$Z</definedName>
    <definedName name="EVENTOS.lastrow" hidden="1">EVENTOS!$65:$65</definedName>
    <definedName name="EVENTOS.LinhaPadrão" hidden="1">EVENTOS!$1:$1</definedName>
    <definedName name="EVENTOS.Lista" hidden="1">EVENTOS!$C$15:OFFSET(EVENTOS!$C$65,-1,0)</definedName>
    <definedName name="EVENTOS.ListaValidacao" hidden="1">EVENTOS!$B$15:OFFSET(EVENTOS!$B$65,-1,0)</definedName>
    <definedName name="EVENTOS.Manual.Preenchidos" hidden="1">EVENTOS!$C$10</definedName>
    <definedName name="EVENTOS.MargemRow" hidden="1">EVENTOS!$72:$72</definedName>
    <definedName name="EVENTOS.Título" hidden="1">EVENTOS!$F$2</definedName>
    <definedName name="Excel_BuiltIn_Database" hidden="1">TEXT(Import.DataBase,"mm-aaaa")</definedName>
    <definedName name="Import.Apelido" hidden="1">DADOS!$C$16</definedName>
    <definedName name="Import.BDI.Det1" hidden="1">BDI!$S$21:$S$26</definedName>
    <definedName name="Import.BDI.Det2" hidden="1">BDI!$S$61:$S$66</definedName>
    <definedName name="Import.BDI.Det3" hidden="1">BDI!$S$101:$S$106</definedName>
    <definedName name="Import.BDI.ISS" hidden="1">BDI!$R$10:$S$11</definedName>
    <definedName name="Import.BDI.Obs1" hidden="1">BDI!$J$43</definedName>
    <definedName name="Import.BDI.Obs2" hidden="1">BDI!$J$83</definedName>
    <definedName name="Import.BDI.Obs3" hidden="1">BDI!$J$123</definedName>
    <definedName name="Import.BDI.Tipo1" hidden="1">BDI!$J$17</definedName>
    <definedName name="Import.BDI.Tipo2" hidden="1">BDI!$J$57</definedName>
    <definedName name="Import.BDI.Tipo3" hidden="1">BDI!$J$97</definedName>
    <definedName name="Import.BM.Datas" hidden="1">BM!$AB$12:$AM$12</definedName>
    <definedName name="Import.BM.Obs" hidden="1">BM!$D$408</definedName>
    <definedName name="Import.BMAFAcumulado" hidden="1">OFFSET(BM!$R$15,1,0):OFFSET(BM!$R$405,-1,0)</definedName>
    <definedName name="Import.BMArred" hidden="1">BM!$A$9</definedName>
    <definedName name="Import.CNPJ" hidden="1">DADOS!$C$39</definedName>
    <definedName name="Import.Código" hidden="1">OFFSET(ORÇAMENTO!$Q$15,1,0):OFFSET(ORÇAMENTO!$Q$405,-1,0)</definedName>
    <definedName name="Import.Contrapartida" hidden="1">DADOS!$C$10</definedName>
    <definedName name="Import.CPMaxPerc" hidden="1">DADOS!$C$13</definedName>
    <definedName name="Import.CPMinAbsoluta" hidden="1">DADOS!$C$12</definedName>
    <definedName name="Import.CPMinPerc" hidden="1">DADOS!$C$11</definedName>
    <definedName name="Import.CR" hidden="1">DADOS!$C$7</definedName>
    <definedName name="Import.CRONOPLE" hidden="1">OFFSET(CRONOPLE!$F$15,1,1):OFFSET(CRONOPLE!$AF$65,-1,-1)</definedName>
    <definedName name="Import.CTEF" hidden="1">DADOS!$C$37</definedName>
    <definedName name="Import.CustoUnitário" hidden="1">OFFSET(ORÇAMENTO!$U$15,1,0):OFFSET(ORÇAMENTO!$U$405,-1,0)</definedName>
    <definedName name="Import.DataBase" hidden="1">OFFSET(DADOS!$D$19,0,-1)</definedName>
    <definedName name="Import.DataBaseLicit" hidden="1">OFFSET(DADOS!$D$41,0,-1)</definedName>
    <definedName name="Import.DataEmissaoLicit" hidden="1">DADOS!$C$36</definedName>
    <definedName name="Import.DataFechaRRE" hidden="1">DADOS!$C$48</definedName>
    <definedName name="Import.DataInicioObra" hidden="1">DADOS!$C$47</definedName>
    <definedName name="Import.DataPreenchimento" hidden="1">OFFSET(DADOS!$D$25,0,-1)</definedName>
    <definedName name="Import.DescLote" hidden="1">DADOS!$C$17</definedName>
    <definedName name="Import.Descrição" hidden="1">OFFSET(ORÇAMENTO!$R$15,1,0):OFFSET(ORÇAMENTO!$R$405,-1,0)</definedName>
    <definedName name="Import.Desoneracao" hidden="1">OFFSET(DADOS!$D$18,0,-1)</definedName>
    <definedName name="Import.empresa" hidden="1">DADOS!$C$38</definedName>
    <definedName name="Import.EventoAdmLocal" hidden="1">CRONOPLE!$B$8</definedName>
    <definedName name="Import.Eventos.Nível" hidden="1">EVENTOS!$C$8</definedName>
    <definedName name="Import.Eventos.Nomes" hidden="1">OFFSET(EVENTOS!$D$15,1,0):OFFSET(EVENTOS!$D$65,-1,0)</definedName>
    <definedName name="Import.Fonte" hidden="1">OFFSET(ORÇAMENTO!$P$15,1,0):OFFSET(ORÇAMENTO!$P$405,-1,0)</definedName>
    <definedName name="Import.FrenteDeObra" hidden="1">CÁLCULO!$Q$12:OFFSET(CÁLCULO!$AA$12,0,-1)</definedName>
    <definedName name="Import.MacrosserviçoAdmLocal" hidden="1">CRONO!$H$100</definedName>
    <definedName name="Import.Município" hidden="1">DADOS!$C$6</definedName>
    <definedName name="Import.Nível" hidden="1">OFFSET(ORÇAMENTO!$M$15,1,0):OFFSET(ORÇAMENTO!$M$405,-1,0)</definedName>
    <definedName name="Import.Ofício.Dest" hidden="1">OFÍCIO!$B$11</definedName>
    <definedName name="Import.Ofício.GIGOV" hidden="1">OFÍCIO!$C$11</definedName>
    <definedName name="Import.Ofício.Num" hidden="1">OFÍCIO!$C$6</definedName>
    <definedName name="Import.OpcaoBDI" hidden="1">OFFSET(ORÇAMENTO!$V$15,1,0):OFFSET(ORÇAMENTO!$V$405,-1,0)</definedName>
    <definedName name="Import.ORÇAMENTO.DivRecurso" hidden="1">OFFSET(ORÇAMENTO!$Y$15,1,0):OFFSET(ORÇAMENTO!$Y$405,-1,0)</definedName>
    <definedName name="Import.ORÇAMENTO.Obs" hidden="1">ORÇAMENTO!$O$411</definedName>
    <definedName name="Import.PLE" hidden="1">OFFSET(PLE!$G$15,1,1):OFFSET(PLE!$AG$65,-1,-1)</definedName>
    <definedName name="Import.PLE.Datas" hidden="1">PLE!$I$68:$AF$68</definedName>
    <definedName name="Import.PLQ" hidden="1">OFFSET(CÁLCULO!$P$15,1,1):OFFSET(CÁLCULO!$AA$405,-1,-1)</definedName>
    <definedName name="Import.PLQ.MemCalc" hidden="1">OFFSET(CÁLCULO!$I$15,1,0):OFFSET(CÁLCULO!$I$405,-1,0)</definedName>
    <definedName name="Import.PLQ.nAgrupEvent" hidden="1">OFFSET(CÁLCULO!$K$15,1,0):OFFSET(CÁLCULO!$K$405,-1,0)</definedName>
    <definedName name="Import.POArred" hidden="1">ORÇAMENTO!$AF$7:$AF$11</definedName>
    <definedName name="IMport.Prefeito" hidden="1">DADOS!$C$28:$C$29</definedName>
    <definedName name="Import.Proponente" hidden="1">DADOS!$C$5</definedName>
    <definedName name="Import.QCI.Divisao" hidden="1">OFFSET(QCI!$V$13,1,0):OFFSET(QCI!$V$24,-1,0)</definedName>
    <definedName name="Import.QCI.ItemInv" hidden="1">OFFSET(QCI!$E$13,1,0):OFFSET(QCI!$E$24,-1,0)</definedName>
    <definedName name="Import.QCI.Obs" hidden="1">QCI!$D$28</definedName>
    <definedName name="Import.QCI.Qtde" hidden="1">OFFSET(QCI!$I$13,1,0):OFFSET(QCI!$I$24,-1,0)</definedName>
    <definedName name="Import.QCI.Situacao" hidden="1">OFFSET(QCI!$H$13,1,0):OFFSET(QCI!$H$24,-1,0)</definedName>
    <definedName name="Import.QCI.SubItemInv" hidden="1">OFFSET(QCI!$F$13,1,0):OFFSET(QCI!$F$24,-1,0)</definedName>
    <definedName name="Import.QCICP" hidden="1">OFFSET(QCI!$W$13,1,0):OFFSET(QCI!$W$24,-1,0)</definedName>
    <definedName name="Import.QCIDesc" hidden="1">OFFSET(QCI!$R$13,1,0):OFFSET(QCI!$R$24,-1,0)</definedName>
    <definedName name="Import.QCIInv" hidden="1">OFFSET(QCI!$U$13,1,0):OFFSET(QCI!$U$24,-1,0)</definedName>
    <definedName name="Import.QCILote" hidden="1">OFFSET(QCI!$T$13,1,0):OFFSET(QCI!$T$24,-1,0)</definedName>
    <definedName name="Import.QCIOutros" hidden="1">OFFSET(QCI!$X$13,1,0):OFFSET(QCI!$X$24,-1,0)</definedName>
    <definedName name="Import.Quantidade" hidden="1">OFFSET(ORÇAMENTO!$AJ$15,1,0):OFFSET(ORÇAMENTO!$AJ$405,-1,0)</definedName>
    <definedName name="import.recurso" hidden="1">DADOS!$C$4</definedName>
    <definedName name="Import.RegimeExecução" hidden="1">OFFSET(DADOS!$D$40,0,-1)</definedName>
    <definedName name="Import.Repasse" hidden="1">DADOS!$C$9</definedName>
    <definedName name="Import.RespFiscalização" hidden="1">DADOS!$C$51:$C$54</definedName>
    <definedName name="Import.RespOrçamento" hidden="1">DADOS!$C$22:$C$24</definedName>
    <definedName name="Import.RRE.Financeiro" hidden="1">RRE!$M$47:$O$49</definedName>
    <definedName name="Import.RRE.Obs" hidden="1">RRE!$E$31</definedName>
    <definedName name="Import.RRE.Social" hidden="1">RRE!$F$47:$G$49</definedName>
    <definedName name="Import.SICONV" hidden="1">DADOS!$C$8</definedName>
    <definedName name="Import.TipoArredondamento" hidden="1">DADOS!$C$31</definedName>
    <definedName name="Import.TransfereGOV" hidden="1">DADOS!$C$8</definedName>
    <definedName name="Import.Unidade" hidden="1">OFFSET(ORÇAMENTO!$S$15,1,0):OFFSET(ORÇAMENTO!$S$405,-1,0)</definedName>
    <definedName name="Import.UnitarioLicitado" hidden="1">OFFSET(ORÇAMENTO!$AL$15,1,0):OFFSET(ORÇAMENTO!$AL$405,-1,0)</definedName>
    <definedName name="ListaTgov.Unidades" hidden="1">DADOS!$AQ$3:$AQ$220</definedName>
    <definedName name="MENU.Acompanhamento" hidden="1">MENU!$O$4</definedName>
    <definedName name="Menu.b.bdi" hidden="1">MENU!$C$10</definedName>
    <definedName name="Menu.b.bm" hidden="1">MENU!$G$22</definedName>
    <definedName name="Menu.b.branco" hidden="1">MENU!$G$12</definedName>
    <definedName name="Menu.b.cronolicit" hidden="1">MENU!$G$18</definedName>
    <definedName name="Menu.b.cronoprop" hidden="1">MENU!$E$12</definedName>
    <definedName name="Menu.b.dados" hidden="1">MENU!$E$6</definedName>
    <definedName name="Menu.b.novo" hidden="1">MENU!$G$6</definedName>
    <definedName name="Menu.b.oficio" hidden="1">MENU!$E$24</definedName>
    <definedName name="Menu.b.orçlicit" hidden="1">MENU!$C$18</definedName>
    <definedName name="Menu.b.orçprop" hidden="1">MENU!$E$10</definedName>
    <definedName name="Menu.b.PLE" hidden="1">MENU!$C$22</definedName>
    <definedName name="Menu.b.PLQ" hidden="1">MENU!$G$10</definedName>
    <definedName name="Menu.b.QCIlicit" hidden="1">MENU!$E$18</definedName>
    <definedName name="Menu.b.qciprop" hidden="1">MENU!$C$12</definedName>
    <definedName name="Menu.b.RRE" hidden="1">MENU!$E$22</definedName>
    <definedName name="MENU.CRONO" hidden="1">OFFSET(CRONO!$U$11,1,0)</definedName>
    <definedName name="MENU.Import.Form.PLQ" hidden="1">MENU!$K$2</definedName>
    <definedName name="MENU.Import.Form.PreçoUnit" hidden="1">MENU!$K$1</definedName>
    <definedName name="MENU.TipoOrçamento" hidden="1">MENU!$O$3</definedName>
    <definedName name="Menu.tit.acompanhamento" hidden="1">MENU!$B$20</definedName>
    <definedName name="Menu.tit.licitacao" hidden="1">MENU!$B$16</definedName>
    <definedName name="Menu.tit.proposta" hidden="1">MENU!$B$8</definedName>
    <definedName name="NumEventos" localSheetId="16" hidden="1">COUNT(OFFSET(Eventos,0,0,,1))</definedName>
    <definedName name="NumEventos" hidden="1">COUNT(OFFSET(Eventos,0,0,,1))</definedName>
    <definedName name="Objeto" hidden="1">MENU!$J$1</definedName>
    <definedName name="OFÍCIO.Erro" hidden="1">OFÍCIO!$C$5</definedName>
    <definedName name="ORÇAMENTO.BancoRef" hidden="1">ORÇAMENTO!$F$8</definedName>
    <definedName name="ORÇAMENTO.CodBarra" hidden="1">IF(ORÇAMENTO.Fonte="Sinapi",SUBSTITUTE(SUBSTITUTE(ORÇAMENTO.Codigo,"/00","/"),"/0","/"),ORÇAMENTO.Codigo)</definedName>
    <definedName name="ORÇAMENTO.Codigo" hidden="1">ORÇAMENTO!$Q1</definedName>
    <definedName name="ORÇAMENTO.ColAux1" hidden="1">ORÇAMENTO!$Z:$AB</definedName>
    <definedName name="ORÇAMENTO.ColAux2" hidden="1">ORÇAMENTO!$AD:$AF</definedName>
    <definedName name="ORÇAMENTO.ColunaLicit" hidden="1">ORÇAMENTO!$AL$15</definedName>
    <definedName name="ORÇAMENTO.CopyFormat1" hidden="1">ORÇAMENTO!$P$14:$S$14</definedName>
    <definedName name="ORÇAMENTO.CopyFormat2" hidden="1">ORÇAMENTO!$U$14:$V$14</definedName>
    <definedName name="ORÇAMENTO.CustoUnitario" hidden="1">ROUND(ORÇAMENTO!$U1,15-13*ORÇAMENTO!$AF$8)</definedName>
    <definedName name="ORÇAMENTO.Descricao" hidden="1">ORÇAMENTO!$R1</definedName>
    <definedName name="ORÇAMENTO.Erro" hidden="1">ORÇAMENTO!$O$12</definedName>
    <definedName name="ORÇAMENTO.Filtro" hidden="1">ORÇAMENTO!$L$15:$L$405</definedName>
    <definedName name="ORÇAMENTO.firstrow" hidden="1">ORÇAMENTO!$15:$15</definedName>
    <definedName name="ORÇAMENTO.Fonte" hidden="1">ORÇAMENTO!$P1</definedName>
    <definedName name="ORÇAMENTO.lastrow" hidden="1">ORÇAMENTO!$405:$405</definedName>
    <definedName name="ORÇAMENTO.LinhaPadrão" hidden="1">ORÇAMENTO!$14:$14</definedName>
    <definedName name="ORÇAMENTO.ListaCrono" hidden="1">OFFSET(ORÇAMENTO!$AD$15,1,0):OFFSET(ORÇAMENTO!$AD$405,-1,0)</definedName>
    <definedName name="ORÇAMENTO.MáximoListaCrono" hidden="1">MAX(ORÇAMENTO.ListaCrono)</definedName>
    <definedName name="ORÇAMENTO.Nivel" hidden="1">ORÇAMENTO!$M1</definedName>
    <definedName name="ORÇAMENTO.OpcaoBDI" hidden="1">ORÇAMENTO!$V1</definedName>
    <definedName name="ORÇAMENTO.PasteFormat1" hidden="1">OFFSET(ORÇAMENTO!$P$15,1,0):OFFSET(ORÇAMENTO!$S$405,-1,0)</definedName>
    <definedName name="ORÇAMENTO.PasteFormat2" hidden="1">OFFSET(ORÇAMENTO!$U$15,1,0):OFFSET(ORÇAMENTO!$V$405,-1,0)</definedName>
    <definedName name="ORÇAMENTO.PrecoUnitarioLicitado" hidden="1">ORÇAMENTO!$AL1</definedName>
    <definedName name="ORÇAMENTO.QuantBM" hidden="1">ORÇAMENTO!$AJ1</definedName>
    <definedName name="ORÇAMENTO.RangeQuant" hidden="1">OFFSET(ORÇAMENTO!$T$15,1,0):OFFSET(ORÇAMENTO!$T$405,-1,0)</definedName>
    <definedName name="ORÇAMENTO.SumCPMANUAL" hidden="1">SUMIF(ORÇAMENTO!$Z$15:$Z$405,"CP",ORÇAMENTO!$AA$15:$AA$405)</definedName>
    <definedName name="ORÇAMENTO.SumINVMANUAL" hidden="1">SUMIF(ORÇAMENTO!$Z$15:$Z$405,"RP",ORÇAMENTO!$X$15:$X$405)+SUMIF(ORÇAMENTO!$Z$15:$Z$405,"CP",ORÇAMENTO!$X$15:$X$405)+SUMIF(ORÇAMENTO!$Z$15:$Z$405,"OU",ORÇAMENTO!$X$15:$X$405)</definedName>
    <definedName name="ORÇAMENTO.SumOUTROSMANUAL" hidden="1">SUMIF(ORÇAMENTO!$Z$15:$Z$405,"OU",ORÇAMENTO!$AB$15:$AB$405)</definedName>
    <definedName name="ORÇAMENTO.SumREPASSEMANUAL" hidden="1">ORÇAMENTO.SumINVMANUAL-ORÇAMENTO.SumCPMANUAL-ORÇAMENTO.SumOUTROSMANUAL</definedName>
    <definedName name="ORÇAMENTO.Título" hidden="1">ORÇAMENTO!$R$1</definedName>
    <definedName name="ORÇAMENTO.Unidade" hidden="1">ORÇAMENTO!$S1</definedName>
    <definedName name="PLE.ColunaPadrão" hidden="1">PLE!$F:$F</definedName>
    <definedName name="PLE.Erro" hidden="1">PLE!$C$11</definedName>
    <definedName name="PLE.Filtro" hidden="1">PLE!$A$13:$A$81</definedName>
    <definedName name="PLE.FirstCol" hidden="1">PLE!$G:$G</definedName>
    <definedName name="PLE.firstrow" hidden="1">PLE!$15:$15</definedName>
    <definedName name="PLE.FrenteRow" hidden="1">PLE!$11:$11</definedName>
    <definedName name="PLE.LastCol" hidden="1">PLE!$AG:$AG</definedName>
    <definedName name="PLE.lastrow" hidden="1">PLE!$65:$65</definedName>
    <definedName name="PLE.LinhaPadrão" hidden="1">PLE!$1:$1</definedName>
    <definedName name="PLE.margemrow" hidden="1">PLE!$82:$82</definedName>
    <definedName name="PLE.Medicao" hidden="1">PLE!$J$9</definedName>
    <definedName name="PLE.MEDIÇÕES.firstrow" hidden="1">PLE!$66:$66</definedName>
    <definedName name="PLE.MEDIÇÕES.lastrow" hidden="1">PLE!$76:$76</definedName>
    <definedName name="PLE.MEDIÇÕES.LinhaPadrão" hidden="1">PLE!$66:$73</definedName>
    <definedName name="PLE.Título" hidden="1">PLE!$H$3</definedName>
    <definedName name="PLE.ValorDoEvento" hidden="1">SUMIF(CÁLCULO!$M$15:$M$405,PLE!$B1,OFFSET(CÁLCULO!$AA$15:$AA$405,0,PLE!A$12))</definedName>
    <definedName name="PO.ValoresBDI" hidden="1">OFFSET(ORÇAMENTO!$AH$15,1,0):OFFSET(ORÇAMENTO!$AH$405,-1,0)</definedName>
    <definedName name="QCI.ColAux" hidden="1">QCI!$Z:$AE</definedName>
    <definedName name="QCI.CPManual" hidden="1">ROUND(QCI!$W1,2)</definedName>
    <definedName name="QCI.DescManual" hidden="1">QCI!$R1</definedName>
    <definedName name="QCI.Divisao" hidden="1">QCI!$V1</definedName>
    <definedName name="QCI.Erro" hidden="1">QCI!$G$9</definedName>
    <definedName name="QCI.ExisteManual" hidden="1">(COUNTIF(QCI!$B$13:$B$24,"Manual")+COUNTIF(QCI!$B$13:$B$24,"SemiAuto"))&gt;0</definedName>
    <definedName name="QCI.Filtro" hidden="1">QCI!$C$13:$C$25</definedName>
    <definedName name="QCI.firstrow" hidden="1">QCI!$13:$13</definedName>
    <definedName name="QCI.InvManual" hidden="1">ROUND(QCI!$U1,2)</definedName>
    <definedName name="QCI.ItemInvestimento" hidden="1">OFFSET(DADOS!$G$2,1,0,COUNTA(DADOS!$G:$G)-1,1)</definedName>
    <definedName name="QCI.lastrow" hidden="1">QCI!$24:$24</definedName>
    <definedName name="QCI.LinhaPadrão" hidden="1">QCI!$12:$12</definedName>
    <definedName name="QCI.LoteManual" hidden="1">QCI!$T1</definedName>
    <definedName name="QCI.MaxCPManual" hidden="1">QCI!$O1-QCI!$X1</definedName>
    <definedName name="QCI.MaxOUManual" hidden="1">QCI!$O1-QCI!$W1</definedName>
    <definedName name="QCI.OutrosManual" hidden="1">ROUND(QCI!$X1,2)</definedName>
    <definedName name="QCI.RepasseManual" hidden="1">QCI!$U1</definedName>
    <definedName name="QCI.SubItemInvestimento" hidden="1">OFFSET(DADOS!$A$2,1,MATCH(QCI!$E1,DADOS!$2:$2,0)-1,INDEX(DADOS!$2:$2,MATCH(QCI!$E1,DADOS!$2:$2,0)+1))</definedName>
    <definedName name="QCI.SumCPMANUAL" hidden="1">SUMIF(QCI!$B$13:$B$24,"Manual",QCI!$AA$13:$AA$24)</definedName>
    <definedName name="QCI.SumINVMANUAL" hidden="1">SUMIF(QCI!$B$13:$B$24,"Manual",QCI!$O$13:$O$24)</definedName>
    <definedName name="QCI.SumOUTROSMANUAL" hidden="1">SUMIF(QCI!$B$13:$B$24,"Manual",QCI!$AB$13:$AB$24)</definedName>
    <definedName name="QCI.SumREPASSEMANUAL" hidden="1">QCI.SumINVMANUAL-QCI.CPManual-QCI.OutrosManual</definedName>
    <definedName name="QCI.Título" hidden="1">QCI!$F$1</definedName>
    <definedName name="QCI.TotalCP" hidden="1">QCI!$M$24</definedName>
    <definedName name="REFERENCIA.Descricao" hidden="1">IF(ISNUMBER(ORÇAMENTO!$AF1),OFFSET(INDIRECT(ORÇAMENTO.BancoRef),ORÇAMENTO!$AF1-1,3,1),ORÇAMENTO!$AF1)</definedName>
    <definedName name="REFERENCIA.Desonerado" hidden="1">IF(ISNUMBER(ORÇAMENTO!$AF1),VALUE(OFFSET(INDIRECT(ORÇAMENTO.BancoRef),ORÇAMENTO!$AF1-1,5,1)),0)</definedName>
    <definedName name="REFERENCIA.NaoDesonerado" hidden="1">IF(ISNUMBER(ORÇAMENTO!$AF1),VALUE(OFFSET(INDIRECT(ORÇAMENTO.BancoRef),ORÇAMENTO!$AF1-1,6,1)),0)</definedName>
    <definedName name="REFERENCIA.Unidade" hidden="1">IF(ISNUMBER(ORÇAMENTO!$AF1),OFFSET(INDIRECT(ORÇAMENTO.BancoRef),ORÇAMENTO!$AF1-1,4,1),"-")</definedName>
    <definedName name="RegimeExecucao" hidden="1">IF(OR(Import.RegimeExecução="",Import.RegimeExecução="Empreitada por Preço Global",Import.RegimeExecução="Empreitada Integral"),"Global","Unitário")</definedName>
    <definedName name="RRE.ColAux1" hidden="1">RRE!$Q:$V</definedName>
    <definedName name="RRE.ColAux2" hidden="1">RRE!$AC:$AO</definedName>
    <definedName name="RRE.CPDiferente" hidden="1">RRE!$Y$26:$Z$27</definedName>
    <definedName name="RRE.Filtro" hidden="1">RRE!$D$13:$D$28</definedName>
    <definedName name="RRE.firstrow" hidden="1">RRE!$13:$13</definedName>
    <definedName name="RRE.lastrow" hidden="1">RRE!$24:$24</definedName>
    <definedName name="RRE.LinhaPadrão" hidden="1">RRE!$12:$12</definedName>
    <definedName name="RRE.MaxCPAcum" hidden="1">RRE!$AD$26</definedName>
    <definedName name="RRE.MaxCPAnt" hidden="1">RRE!$AC$26</definedName>
    <definedName name="RRE.MaxOUAcum" hidden="1">RRE!$AD$27</definedName>
    <definedName name="RRE.MaxOUAnt" hidden="1">RRE!$AC$27</definedName>
    <definedName name="RRE.Numero" hidden="1">OFFSET(RRE!$O$7,0,1)</definedName>
    <definedName name="RRE.Título" hidden="1">RRE!$F$1</definedName>
    <definedName name="RRE.VIMeta" hidden="1">RRE!$L1</definedName>
    <definedName name="SENHAGT" hidden="1">"PM3CAIXA"</definedName>
    <definedName name="SomaAgrup" hidden="1">SUMIF(OFFSET(ORÇAMENTO!$C1,1,0,ORÇAMENTO!$D1),"S",OFFSET(ORÇAMENTO!A1,1,0,ORÇAMENTO!$D1))</definedName>
    <definedName name="SomaAgrupBM" hidden="1">SUMIF(OFFSET(BM!$A1,1,0,BM!$B1),"S",OFFSET(BM!A1,1,0,BM!$B1))</definedName>
    <definedName name="TIPOORCAMENTO" hidden="1">IF(VALUE(MENU!$O$3)=2,"Licitado","Proposto")</definedName>
    <definedName name="_xlnm.Print_Titles" localSheetId="3">BDI!$1:$13</definedName>
    <definedName name="_xlnm.Print_Titles" localSheetId="11">BM!$1:$15</definedName>
    <definedName name="_xlnm.Print_Titles" localSheetId="6">CÁLCULO!$E:$H,CÁLCULO!$6:$15</definedName>
    <definedName name="_xlnm.Print_Titles" localSheetId="8">CRONO!$I:$T,CRONO!$1:$13</definedName>
    <definedName name="_xlnm.Print_Titles" localSheetId="4">ORÇAMENTO!$1:$15</definedName>
    <definedName name="_xlnm.Print_Titles" localSheetId="10">PLE!$B:$E,PLE!$1:$13</definedName>
    <definedName name="_xlnm.Print_Titles" localSheetId="9">QCI!$1:$13</definedName>
    <definedName name="_xlnm.Print_Titles" localSheetId="12">RRE!$1:$13</definedName>
    <definedName name="Versao" hidden="1">MENU!$J$2</definedName>
    <definedName name="VTOTAL1" hidden="1">ROUND(ORÇAMENTO!$T1*ORÇAMENTO!$W1,15-13*ORÇAMENTO!$AF$11)</definedName>
    <definedName name="VTOTALBM" hidden="1">IF(BM!$I1=0,0,CHOOSE(MATCH(RegimeExecucao,{"Global","Unitário"},0),ROUND(ROUND(BM!XFB1,15-13*BM!$A$9)/100*BM!$I1,15-13*ORÇAMENTO!$AF$11),ROUND(ROUND(BM!XFB1,15-13*BM!$A$9)*ROUND(BM!$H1,15-13*ORÇAMENTO!$AF$10),15-13*ORÇAMENTO!$AF$11)))</definedName>
    <definedName name="VTOTALMED" hidden="1">BM!$P$14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53" i="5" l="1"/>
  <c r="H23" i="13"/>
  <c r="G23" i="13"/>
  <c r="H22" i="13"/>
  <c r="G22" i="13"/>
  <c r="E22" i="13"/>
  <c r="H21" i="13"/>
  <c r="G21" i="13"/>
  <c r="H20" i="13"/>
  <c r="G20" i="13"/>
  <c r="H19" i="13"/>
  <c r="G19" i="13"/>
  <c r="H18" i="13"/>
  <c r="G18" i="13"/>
  <c r="H17" i="13"/>
  <c r="G17" i="13"/>
  <c r="H16" i="13"/>
  <c r="G16" i="13"/>
  <c r="H15" i="13"/>
  <c r="G15" i="13"/>
  <c r="H14" i="13"/>
  <c r="G14" i="13"/>
  <c r="S23" i="11"/>
  <c r="J23" i="11"/>
  <c r="I23" i="13" s="1"/>
  <c r="D23" i="11"/>
  <c r="S22" i="11"/>
  <c r="J22" i="11"/>
  <c r="I22" i="13" s="1"/>
  <c r="D22" i="11"/>
  <c r="A22" i="11" s="1"/>
  <c r="S21" i="11"/>
  <c r="J21" i="11"/>
  <c r="I21" i="13" s="1"/>
  <c r="D21" i="11"/>
  <c r="S20" i="11"/>
  <c r="J20" i="11"/>
  <c r="I20" i="13" s="1"/>
  <c r="D20" i="11"/>
  <c r="S19" i="11"/>
  <c r="J19" i="11"/>
  <c r="I19" i="13" s="1"/>
  <c r="D19" i="11"/>
  <c r="S18" i="11"/>
  <c r="J18" i="11"/>
  <c r="I18" i="13" s="1"/>
  <c r="D18" i="11"/>
  <c r="S17" i="11"/>
  <c r="J17" i="11"/>
  <c r="I17" i="13" s="1"/>
  <c r="D17" i="11"/>
  <c r="E17" i="13" s="1"/>
  <c r="S16" i="11"/>
  <c r="J16" i="11"/>
  <c r="I16" i="13" s="1"/>
  <c r="D16" i="11"/>
  <c r="S15" i="11"/>
  <c r="J15" i="11"/>
  <c r="I15" i="13" s="1"/>
  <c r="D15" i="11"/>
  <c r="E15" i="13" s="1"/>
  <c r="A15" i="11"/>
  <c r="S14" i="11"/>
  <c r="J14" i="11"/>
  <c r="I14" i="13" s="1"/>
  <c r="D14" i="11"/>
  <c r="E14" i="13" s="1"/>
  <c r="A14" i="11"/>
  <c r="B14" i="8"/>
  <c r="A64" i="7"/>
  <c r="A63" i="7"/>
  <c r="A62" i="7"/>
  <c r="A61" i="7"/>
  <c r="A60" i="7"/>
  <c r="A59" i="7"/>
  <c r="A58" i="7"/>
  <c r="A57" i="7"/>
  <c r="A56" i="7"/>
  <c r="A55" i="7"/>
  <c r="A54" i="7"/>
  <c r="A53" i="7"/>
  <c r="A52" i="7"/>
  <c r="A51" i="7"/>
  <c r="A50" i="7"/>
  <c r="A49" i="7"/>
  <c r="A48" i="7"/>
  <c r="A47" i="7"/>
  <c r="A46" i="7"/>
  <c r="A45" i="7"/>
  <c r="A44" i="7"/>
  <c r="A43" i="7"/>
  <c r="A42" i="7"/>
  <c r="A41" i="7"/>
  <c r="A40" i="7"/>
  <c r="A39" i="7"/>
  <c r="A38" i="7"/>
  <c r="A37" i="7"/>
  <c r="A36" i="7"/>
  <c r="A35" i="7"/>
  <c r="A34" i="7"/>
  <c r="A33" i="7"/>
  <c r="A32" i="7"/>
  <c r="A31" i="7"/>
  <c r="A30" i="7"/>
  <c r="A29" i="7"/>
  <c r="A28" i="7"/>
  <c r="A27" i="7"/>
  <c r="A26" i="7"/>
  <c r="A25" i="7"/>
  <c r="A24" i="7"/>
  <c r="A23" i="7"/>
  <c r="A22" i="7"/>
  <c r="A21" i="7"/>
  <c r="A20" i="7"/>
  <c r="A19" i="7"/>
  <c r="A18" i="7"/>
  <c r="A17" i="7"/>
  <c r="A16" i="7"/>
  <c r="F404" i="12"/>
  <c r="E404" i="12"/>
  <c r="F403" i="12"/>
  <c r="E403" i="12"/>
  <c r="F402" i="12"/>
  <c r="E402" i="12"/>
  <c r="F401" i="12"/>
  <c r="E401" i="12"/>
  <c r="F400" i="12"/>
  <c r="E400" i="12"/>
  <c r="F399" i="12"/>
  <c r="E399" i="12"/>
  <c r="F398" i="12"/>
  <c r="E398" i="12"/>
  <c r="F397" i="12"/>
  <c r="E397" i="12"/>
  <c r="F396" i="12"/>
  <c r="E396" i="12"/>
  <c r="F395" i="12"/>
  <c r="E395" i="12"/>
  <c r="F394" i="12"/>
  <c r="E394" i="12"/>
  <c r="F393" i="12"/>
  <c r="E393" i="12"/>
  <c r="F392" i="12"/>
  <c r="E392" i="12"/>
  <c r="F391" i="12"/>
  <c r="E391" i="12"/>
  <c r="F390" i="12"/>
  <c r="E390" i="12"/>
  <c r="F389" i="12"/>
  <c r="E389" i="12"/>
  <c r="F388" i="12"/>
  <c r="E388" i="12"/>
  <c r="F387" i="12"/>
  <c r="E387" i="12"/>
  <c r="F386" i="12"/>
  <c r="E386" i="12"/>
  <c r="F385" i="12"/>
  <c r="E385" i="12"/>
  <c r="F384" i="12"/>
  <c r="E384" i="12"/>
  <c r="F383" i="12"/>
  <c r="E383" i="12"/>
  <c r="F382" i="12"/>
  <c r="E382" i="12"/>
  <c r="F381" i="12"/>
  <c r="E381" i="12"/>
  <c r="F380" i="12"/>
  <c r="E380" i="12"/>
  <c r="F379" i="12"/>
  <c r="E379" i="12"/>
  <c r="F378" i="12"/>
  <c r="E378" i="12"/>
  <c r="F377" i="12"/>
  <c r="E377" i="12"/>
  <c r="F376" i="12"/>
  <c r="E376" i="12"/>
  <c r="F375" i="12"/>
  <c r="E375" i="12"/>
  <c r="F374" i="12"/>
  <c r="E374" i="12"/>
  <c r="F373" i="12"/>
  <c r="E373" i="12"/>
  <c r="F372" i="12"/>
  <c r="E372" i="12"/>
  <c r="F371" i="12"/>
  <c r="E371" i="12"/>
  <c r="F370" i="12"/>
  <c r="E370" i="12"/>
  <c r="F369" i="12"/>
  <c r="E369" i="12"/>
  <c r="F368" i="12"/>
  <c r="E368" i="12"/>
  <c r="F367" i="12"/>
  <c r="E367" i="12"/>
  <c r="F366" i="12"/>
  <c r="E366" i="12"/>
  <c r="F365" i="12"/>
  <c r="E365" i="12"/>
  <c r="F364" i="12"/>
  <c r="E364" i="12"/>
  <c r="F363" i="12"/>
  <c r="E363" i="12"/>
  <c r="F362" i="12"/>
  <c r="E362" i="12"/>
  <c r="F361" i="12"/>
  <c r="E361" i="12"/>
  <c r="F360" i="12"/>
  <c r="E360" i="12"/>
  <c r="F359" i="12"/>
  <c r="E359" i="12"/>
  <c r="F358" i="12"/>
  <c r="E358" i="12"/>
  <c r="F357" i="12"/>
  <c r="E357" i="12"/>
  <c r="F356" i="12"/>
  <c r="E356" i="12"/>
  <c r="F355" i="12"/>
  <c r="E355" i="12"/>
  <c r="F354" i="12"/>
  <c r="E354" i="12"/>
  <c r="F353" i="12"/>
  <c r="E353" i="12"/>
  <c r="F352" i="12"/>
  <c r="E352" i="12"/>
  <c r="F351" i="12"/>
  <c r="E351" i="12"/>
  <c r="F350" i="12"/>
  <c r="E350" i="12"/>
  <c r="F349" i="12"/>
  <c r="E349" i="12"/>
  <c r="F348" i="12"/>
  <c r="E348" i="12"/>
  <c r="F347" i="12"/>
  <c r="E347" i="12"/>
  <c r="F346" i="12"/>
  <c r="E346" i="12"/>
  <c r="F345" i="12"/>
  <c r="E345" i="12"/>
  <c r="F344" i="12"/>
  <c r="E344" i="12"/>
  <c r="F343" i="12"/>
  <c r="E343" i="12"/>
  <c r="F342" i="12"/>
  <c r="E342" i="12"/>
  <c r="F341" i="12"/>
  <c r="E341" i="12"/>
  <c r="F340" i="12"/>
  <c r="E340" i="12"/>
  <c r="F339" i="12"/>
  <c r="E339" i="12"/>
  <c r="F338" i="12"/>
  <c r="E338" i="12"/>
  <c r="F337" i="12"/>
  <c r="E337" i="12"/>
  <c r="F336" i="12"/>
  <c r="E336" i="12"/>
  <c r="F335" i="12"/>
  <c r="E335" i="12"/>
  <c r="F334" i="12"/>
  <c r="E334" i="12"/>
  <c r="F333" i="12"/>
  <c r="E333" i="12"/>
  <c r="F332" i="12"/>
  <c r="E332" i="12"/>
  <c r="F331" i="12"/>
  <c r="E331" i="12"/>
  <c r="F330" i="12"/>
  <c r="E330" i="12"/>
  <c r="F329" i="12"/>
  <c r="E329" i="12"/>
  <c r="F328" i="12"/>
  <c r="E328" i="12"/>
  <c r="F327" i="12"/>
  <c r="E327" i="12"/>
  <c r="F326" i="12"/>
  <c r="E326" i="12"/>
  <c r="F325" i="12"/>
  <c r="E325" i="12"/>
  <c r="F324" i="12"/>
  <c r="E324" i="12"/>
  <c r="F323" i="12"/>
  <c r="E323" i="12"/>
  <c r="F322" i="12"/>
  <c r="E322" i="12"/>
  <c r="F321" i="12"/>
  <c r="E321" i="12"/>
  <c r="F320" i="12"/>
  <c r="E320" i="12"/>
  <c r="F319" i="12"/>
  <c r="E319" i="12"/>
  <c r="F318" i="12"/>
  <c r="E318" i="12"/>
  <c r="F317" i="12"/>
  <c r="E317" i="12"/>
  <c r="F316" i="12"/>
  <c r="E316" i="12"/>
  <c r="F315" i="12"/>
  <c r="E315" i="12"/>
  <c r="F314" i="12"/>
  <c r="E314" i="12"/>
  <c r="F313" i="12"/>
  <c r="E313" i="12"/>
  <c r="F312" i="12"/>
  <c r="E312" i="12"/>
  <c r="F311" i="12"/>
  <c r="E311" i="12"/>
  <c r="F310" i="12"/>
  <c r="E310" i="12"/>
  <c r="F309" i="12"/>
  <c r="E309" i="12"/>
  <c r="F308" i="12"/>
  <c r="E308" i="12"/>
  <c r="F307" i="12"/>
  <c r="E307" i="12"/>
  <c r="F306" i="12"/>
  <c r="E306" i="12"/>
  <c r="F305" i="12"/>
  <c r="E305" i="12"/>
  <c r="F304" i="12"/>
  <c r="E304" i="12"/>
  <c r="F303" i="12"/>
  <c r="E303" i="12"/>
  <c r="F302" i="12"/>
  <c r="E302" i="12"/>
  <c r="F301" i="12"/>
  <c r="E301" i="12"/>
  <c r="F300" i="12"/>
  <c r="E300" i="12"/>
  <c r="F299" i="12"/>
  <c r="E299" i="12"/>
  <c r="F298" i="12"/>
  <c r="E298" i="12"/>
  <c r="F297" i="12"/>
  <c r="E297" i="12"/>
  <c r="F296" i="12"/>
  <c r="E296" i="12"/>
  <c r="F295" i="12"/>
  <c r="E295" i="12"/>
  <c r="F294" i="12"/>
  <c r="E294" i="12"/>
  <c r="F293" i="12"/>
  <c r="E293" i="12"/>
  <c r="F292" i="12"/>
  <c r="E292" i="12"/>
  <c r="F291" i="12"/>
  <c r="E291" i="12"/>
  <c r="F290" i="12"/>
  <c r="E290" i="12"/>
  <c r="F289" i="12"/>
  <c r="E289" i="12"/>
  <c r="F288" i="12"/>
  <c r="E288" i="12"/>
  <c r="F287" i="12"/>
  <c r="E287" i="12"/>
  <c r="F286" i="12"/>
  <c r="E286" i="12"/>
  <c r="F285" i="12"/>
  <c r="E285" i="12"/>
  <c r="F284" i="12"/>
  <c r="E284" i="12"/>
  <c r="F283" i="12"/>
  <c r="E283" i="12"/>
  <c r="F282" i="12"/>
  <c r="E282" i="12"/>
  <c r="F281" i="12"/>
  <c r="E281" i="12"/>
  <c r="F280" i="12"/>
  <c r="E280" i="12"/>
  <c r="F279" i="12"/>
  <c r="E279" i="12"/>
  <c r="F278" i="12"/>
  <c r="E278" i="12"/>
  <c r="F277" i="12"/>
  <c r="E277" i="12"/>
  <c r="F276" i="12"/>
  <c r="E276" i="12"/>
  <c r="F275" i="12"/>
  <c r="E275" i="12"/>
  <c r="F274" i="12"/>
  <c r="E274" i="12"/>
  <c r="F273" i="12"/>
  <c r="E273" i="12"/>
  <c r="F272" i="12"/>
  <c r="E272" i="12"/>
  <c r="F271" i="12"/>
  <c r="E271" i="12"/>
  <c r="F270" i="12"/>
  <c r="E270" i="12"/>
  <c r="F269" i="12"/>
  <c r="E269" i="12"/>
  <c r="F268" i="12"/>
  <c r="E268" i="12"/>
  <c r="F267" i="12"/>
  <c r="E267" i="12"/>
  <c r="F266" i="12"/>
  <c r="E266" i="12"/>
  <c r="F265" i="12"/>
  <c r="E265" i="12"/>
  <c r="F264" i="12"/>
  <c r="E264" i="12"/>
  <c r="F263" i="12"/>
  <c r="E263" i="12"/>
  <c r="F262" i="12"/>
  <c r="E262" i="12"/>
  <c r="F261" i="12"/>
  <c r="E261" i="12"/>
  <c r="F260" i="12"/>
  <c r="E260" i="12"/>
  <c r="F259" i="12"/>
  <c r="E259" i="12"/>
  <c r="F258" i="12"/>
  <c r="E258" i="12"/>
  <c r="F257" i="12"/>
  <c r="E257" i="12"/>
  <c r="F256" i="12"/>
  <c r="E256" i="12"/>
  <c r="F255" i="12"/>
  <c r="E255" i="12"/>
  <c r="F254" i="12"/>
  <c r="E254" i="12"/>
  <c r="F252" i="12"/>
  <c r="E252" i="12"/>
  <c r="F251" i="12"/>
  <c r="E251" i="12"/>
  <c r="F250" i="12"/>
  <c r="E250" i="12"/>
  <c r="F249" i="12"/>
  <c r="E249" i="12"/>
  <c r="F248" i="12"/>
  <c r="E248" i="12"/>
  <c r="F247" i="12"/>
  <c r="E247" i="12"/>
  <c r="F246" i="12"/>
  <c r="E246" i="12"/>
  <c r="F245" i="12"/>
  <c r="E245" i="12"/>
  <c r="F244" i="12"/>
  <c r="E244" i="12"/>
  <c r="F243" i="12"/>
  <c r="E243" i="12"/>
  <c r="F242" i="12"/>
  <c r="E242" i="12"/>
  <c r="F241" i="12"/>
  <c r="E241" i="12"/>
  <c r="F240" i="12"/>
  <c r="E240" i="12"/>
  <c r="F239" i="12"/>
  <c r="E239" i="12"/>
  <c r="F238" i="12"/>
  <c r="E238" i="12"/>
  <c r="F237" i="12"/>
  <c r="E237" i="12"/>
  <c r="F236" i="12"/>
  <c r="E236" i="12"/>
  <c r="F235" i="12"/>
  <c r="E235" i="12"/>
  <c r="F234" i="12"/>
  <c r="E234" i="12"/>
  <c r="F233" i="12"/>
  <c r="E233" i="12"/>
  <c r="F232" i="12"/>
  <c r="E232" i="12"/>
  <c r="F231" i="12"/>
  <c r="E231" i="12"/>
  <c r="F230" i="12"/>
  <c r="E230" i="12"/>
  <c r="F229" i="12"/>
  <c r="E229" i="12"/>
  <c r="F228" i="12"/>
  <c r="E228" i="12"/>
  <c r="F227" i="12"/>
  <c r="E227" i="12"/>
  <c r="F226" i="12"/>
  <c r="E226" i="12"/>
  <c r="F225" i="12"/>
  <c r="E225" i="12"/>
  <c r="F224" i="12"/>
  <c r="E224" i="12"/>
  <c r="F223" i="12"/>
  <c r="E223" i="12"/>
  <c r="F222" i="12"/>
  <c r="E222" i="12"/>
  <c r="F221" i="12"/>
  <c r="E221" i="12"/>
  <c r="F220" i="12"/>
  <c r="E220" i="12"/>
  <c r="F219" i="12"/>
  <c r="E219" i="12"/>
  <c r="F218" i="12"/>
  <c r="E218" i="12"/>
  <c r="F217" i="12"/>
  <c r="E217" i="12"/>
  <c r="F216" i="12"/>
  <c r="E216" i="12"/>
  <c r="F215" i="12"/>
  <c r="E215" i="12"/>
  <c r="F214" i="12"/>
  <c r="E214" i="12"/>
  <c r="F213" i="12"/>
  <c r="E213" i="12"/>
  <c r="F212" i="12"/>
  <c r="E212" i="12"/>
  <c r="F211" i="12"/>
  <c r="E211" i="12"/>
  <c r="F210" i="12"/>
  <c r="E210" i="12"/>
  <c r="F209" i="12"/>
  <c r="E209" i="12"/>
  <c r="F208" i="12"/>
  <c r="E208" i="12"/>
  <c r="F207" i="12"/>
  <c r="E207" i="12"/>
  <c r="F206" i="12"/>
  <c r="E206" i="12"/>
  <c r="F205" i="12"/>
  <c r="E205" i="12"/>
  <c r="F204" i="12"/>
  <c r="E204" i="12"/>
  <c r="F203" i="12"/>
  <c r="E203" i="12"/>
  <c r="F202" i="12"/>
  <c r="E202" i="12"/>
  <c r="F201" i="12"/>
  <c r="E201" i="12"/>
  <c r="F200" i="12"/>
  <c r="E200" i="12"/>
  <c r="F199" i="12"/>
  <c r="E199" i="12"/>
  <c r="F198" i="12"/>
  <c r="E198" i="12"/>
  <c r="F197" i="12"/>
  <c r="E197" i="12"/>
  <c r="F196" i="12"/>
  <c r="E196" i="12"/>
  <c r="F195" i="12"/>
  <c r="E195" i="12"/>
  <c r="F194" i="12"/>
  <c r="E194" i="12"/>
  <c r="F193" i="12"/>
  <c r="E193" i="12"/>
  <c r="F192" i="12"/>
  <c r="E192" i="12"/>
  <c r="F191" i="12"/>
  <c r="E191" i="12"/>
  <c r="F190" i="12"/>
  <c r="E190" i="12"/>
  <c r="F189" i="12"/>
  <c r="E189" i="12"/>
  <c r="F188" i="12"/>
  <c r="E188" i="12"/>
  <c r="F187" i="12"/>
  <c r="E187" i="12"/>
  <c r="F186" i="12"/>
  <c r="E186" i="12"/>
  <c r="F185" i="12"/>
  <c r="E185" i="12"/>
  <c r="F184" i="12"/>
  <c r="E184" i="12"/>
  <c r="F183" i="12"/>
  <c r="E183" i="12"/>
  <c r="F182" i="12"/>
  <c r="E182" i="12"/>
  <c r="F181" i="12"/>
  <c r="E181" i="12"/>
  <c r="F180" i="12"/>
  <c r="E180" i="12"/>
  <c r="F179" i="12"/>
  <c r="E179" i="12"/>
  <c r="F178" i="12"/>
  <c r="E178" i="12"/>
  <c r="F177" i="12"/>
  <c r="E177" i="12"/>
  <c r="F176" i="12"/>
  <c r="E176" i="12"/>
  <c r="F175" i="12"/>
  <c r="E175" i="12"/>
  <c r="F174" i="12"/>
  <c r="E174" i="12"/>
  <c r="F173" i="12"/>
  <c r="E173" i="12"/>
  <c r="F172" i="12"/>
  <c r="E172" i="12"/>
  <c r="F171" i="12"/>
  <c r="E171" i="12"/>
  <c r="F170" i="12"/>
  <c r="E170" i="12"/>
  <c r="F169" i="12"/>
  <c r="E169" i="12"/>
  <c r="F168" i="12"/>
  <c r="E168" i="12"/>
  <c r="F167" i="12"/>
  <c r="E167" i="12"/>
  <c r="F166" i="12"/>
  <c r="E166" i="12"/>
  <c r="F165" i="12"/>
  <c r="E165" i="12"/>
  <c r="F164" i="12"/>
  <c r="E164" i="12"/>
  <c r="F163" i="12"/>
  <c r="E163" i="12"/>
  <c r="F162" i="12"/>
  <c r="E162" i="12"/>
  <c r="F161" i="12"/>
  <c r="E161" i="12"/>
  <c r="F160" i="12"/>
  <c r="E160" i="12"/>
  <c r="F159" i="12"/>
  <c r="E159" i="12"/>
  <c r="F158" i="12"/>
  <c r="E158" i="12"/>
  <c r="F157" i="12"/>
  <c r="E157" i="12"/>
  <c r="F156" i="12"/>
  <c r="E156" i="12"/>
  <c r="F155" i="12"/>
  <c r="E155" i="12"/>
  <c r="F154" i="12"/>
  <c r="E154" i="12"/>
  <c r="F153" i="12"/>
  <c r="E153" i="12"/>
  <c r="F152" i="12"/>
  <c r="E152" i="12"/>
  <c r="F151" i="12"/>
  <c r="E151" i="12"/>
  <c r="F150" i="12"/>
  <c r="E150" i="12"/>
  <c r="F149" i="12"/>
  <c r="E149" i="12"/>
  <c r="F148" i="12"/>
  <c r="E148" i="12"/>
  <c r="F147" i="12"/>
  <c r="E147" i="12"/>
  <c r="F146" i="12"/>
  <c r="E146" i="12"/>
  <c r="F145" i="12"/>
  <c r="E145" i="12"/>
  <c r="F144" i="12"/>
  <c r="E144" i="12"/>
  <c r="F143" i="12"/>
  <c r="E143" i="12"/>
  <c r="F142" i="12"/>
  <c r="E142" i="12"/>
  <c r="F141" i="12"/>
  <c r="E141" i="12"/>
  <c r="F140" i="12"/>
  <c r="E140" i="12"/>
  <c r="F139" i="12"/>
  <c r="E139" i="12"/>
  <c r="F138" i="12"/>
  <c r="E138" i="12"/>
  <c r="F137" i="12"/>
  <c r="E137" i="12"/>
  <c r="F136" i="12"/>
  <c r="E136" i="12"/>
  <c r="F135" i="12"/>
  <c r="E135" i="12"/>
  <c r="F134" i="12"/>
  <c r="E134" i="12"/>
  <c r="F133" i="12"/>
  <c r="E133" i="12"/>
  <c r="F132" i="12"/>
  <c r="E132" i="12"/>
  <c r="F131" i="12"/>
  <c r="E131" i="12"/>
  <c r="F130" i="12"/>
  <c r="E130" i="12"/>
  <c r="F129" i="12"/>
  <c r="E129" i="12"/>
  <c r="F128" i="12"/>
  <c r="E128" i="12"/>
  <c r="F127" i="12"/>
  <c r="E127" i="12"/>
  <c r="F126" i="12"/>
  <c r="E126" i="12"/>
  <c r="F125" i="12"/>
  <c r="E125" i="12"/>
  <c r="F124" i="12"/>
  <c r="E124" i="12"/>
  <c r="F123" i="12"/>
  <c r="E123" i="12"/>
  <c r="F122" i="12"/>
  <c r="E122" i="12"/>
  <c r="F121" i="12"/>
  <c r="E121" i="12"/>
  <c r="F120" i="12"/>
  <c r="E120" i="12"/>
  <c r="F119" i="12"/>
  <c r="E119" i="12"/>
  <c r="F118" i="12"/>
  <c r="E118" i="12"/>
  <c r="F117" i="12"/>
  <c r="E117" i="12"/>
  <c r="F116" i="12"/>
  <c r="E116" i="12"/>
  <c r="F115" i="12"/>
  <c r="E115" i="12"/>
  <c r="F114" i="12"/>
  <c r="E114" i="12"/>
  <c r="F113" i="12"/>
  <c r="E113" i="12"/>
  <c r="F112" i="12"/>
  <c r="E112" i="12"/>
  <c r="F111" i="12"/>
  <c r="E111" i="12"/>
  <c r="F110" i="12"/>
  <c r="E110" i="12"/>
  <c r="F109" i="12"/>
  <c r="E109" i="12"/>
  <c r="F108" i="12"/>
  <c r="E108" i="12"/>
  <c r="F107" i="12"/>
  <c r="E107" i="12"/>
  <c r="F106" i="12"/>
  <c r="E106" i="12"/>
  <c r="F105" i="12"/>
  <c r="E105" i="12"/>
  <c r="F104" i="12"/>
  <c r="E104" i="12"/>
  <c r="F103" i="12"/>
  <c r="E103" i="12"/>
  <c r="F102" i="12"/>
  <c r="E102" i="12"/>
  <c r="F101" i="12"/>
  <c r="E101" i="12"/>
  <c r="F100" i="12"/>
  <c r="E100" i="12"/>
  <c r="F99" i="12"/>
  <c r="E99" i="12"/>
  <c r="F98" i="12"/>
  <c r="E98" i="12"/>
  <c r="F97" i="12"/>
  <c r="E97" i="12"/>
  <c r="F96" i="12"/>
  <c r="E96" i="12"/>
  <c r="F95" i="12"/>
  <c r="E95" i="12"/>
  <c r="F94" i="12"/>
  <c r="E94" i="12"/>
  <c r="F93" i="12"/>
  <c r="E93" i="12"/>
  <c r="F92" i="12"/>
  <c r="E92" i="12"/>
  <c r="F91" i="12"/>
  <c r="E91" i="12"/>
  <c r="F90" i="12"/>
  <c r="E90" i="12"/>
  <c r="F89" i="12"/>
  <c r="E89" i="12"/>
  <c r="F88" i="12"/>
  <c r="E88" i="12"/>
  <c r="F87" i="12"/>
  <c r="E87" i="12"/>
  <c r="F86" i="12"/>
  <c r="E86" i="12"/>
  <c r="F85" i="12"/>
  <c r="E85" i="12"/>
  <c r="F84" i="12"/>
  <c r="E84" i="12"/>
  <c r="F83" i="12"/>
  <c r="E83" i="12"/>
  <c r="F82" i="12"/>
  <c r="E82" i="12"/>
  <c r="F81" i="12"/>
  <c r="E81" i="12"/>
  <c r="F80" i="12"/>
  <c r="E80" i="12"/>
  <c r="F79" i="12"/>
  <c r="E79" i="12"/>
  <c r="F78" i="12"/>
  <c r="E78" i="12"/>
  <c r="F77" i="12"/>
  <c r="E77" i="12"/>
  <c r="F76" i="12"/>
  <c r="E76" i="12"/>
  <c r="F75" i="12"/>
  <c r="E75" i="12"/>
  <c r="F74" i="12"/>
  <c r="E74" i="12"/>
  <c r="F73" i="12"/>
  <c r="E73" i="12"/>
  <c r="F72" i="12"/>
  <c r="E72" i="12"/>
  <c r="F71" i="12"/>
  <c r="E71" i="12"/>
  <c r="F70" i="12"/>
  <c r="E70" i="12"/>
  <c r="F69" i="12"/>
  <c r="E69" i="12"/>
  <c r="F68" i="12"/>
  <c r="E68" i="12"/>
  <c r="F67" i="12"/>
  <c r="E67" i="12"/>
  <c r="F66" i="12"/>
  <c r="E66" i="12"/>
  <c r="F65" i="12"/>
  <c r="E65" i="12"/>
  <c r="F64" i="12"/>
  <c r="E64" i="12"/>
  <c r="F63" i="12"/>
  <c r="E63" i="12"/>
  <c r="F62" i="12"/>
  <c r="E62" i="12"/>
  <c r="F61" i="12"/>
  <c r="E61" i="12"/>
  <c r="F60" i="12"/>
  <c r="E60" i="12"/>
  <c r="F59" i="12"/>
  <c r="E59" i="12"/>
  <c r="F58" i="12"/>
  <c r="E58" i="12"/>
  <c r="F57" i="12"/>
  <c r="E57" i="12"/>
  <c r="F56" i="12"/>
  <c r="E56" i="12"/>
  <c r="F55" i="12"/>
  <c r="E55" i="12"/>
  <c r="F54" i="12"/>
  <c r="E54" i="12"/>
  <c r="F53" i="12"/>
  <c r="E53" i="12"/>
  <c r="F52" i="12"/>
  <c r="E52" i="12"/>
  <c r="F51" i="12"/>
  <c r="E51" i="12"/>
  <c r="F50" i="12"/>
  <c r="E50" i="12"/>
  <c r="F49" i="12"/>
  <c r="E49" i="12"/>
  <c r="F48" i="12"/>
  <c r="E48" i="12"/>
  <c r="F47" i="12"/>
  <c r="E47" i="12"/>
  <c r="F46" i="12"/>
  <c r="E46" i="12"/>
  <c r="F45" i="12"/>
  <c r="E45" i="12"/>
  <c r="F44" i="12"/>
  <c r="E44" i="12"/>
  <c r="F43" i="12"/>
  <c r="E43" i="12"/>
  <c r="F42" i="12"/>
  <c r="E42" i="12"/>
  <c r="F41" i="12"/>
  <c r="E41" i="12"/>
  <c r="F40" i="12"/>
  <c r="E40" i="12"/>
  <c r="F39" i="12"/>
  <c r="E39" i="12"/>
  <c r="F38" i="12"/>
  <c r="E38" i="12"/>
  <c r="F37" i="12"/>
  <c r="E37" i="12"/>
  <c r="F36" i="12"/>
  <c r="E36" i="12"/>
  <c r="F35" i="12"/>
  <c r="E35" i="12"/>
  <c r="F34" i="12"/>
  <c r="E34" i="12"/>
  <c r="F33" i="12"/>
  <c r="E33" i="12"/>
  <c r="F32" i="12"/>
  <c r="E32" i="12"/>
  <c r="F31" i="12"/>
  <c r="E31" i="12"/>
  <c r="F30" i="12"/>
  <c r="E30" i="12"/>
  <c r="F29" i="12"/>
  <c r="E29" i="12"/>
  <c r="F28" i="12"/>
  <c r="E28" i="12"/>
  <c r="F27" i="12"/>
  <c r="E27" i="12"/>
  <c r="F26" i="12"/>
  <c r="E26" i="12"/>
  <c r="F25" i="12"/>
  <c r="E25" i="12"/>
  <c r="F24" i="12"/>
  <c r="E24" i="12"/>
  <c r="F23" i="12"/>
  <c r="E23" i="12"/>
  <c r="F22" i="12"/>
  <c r="E22" i="12"/>
  <c r="F21" i="12"/>
  <c r="E21" i="12"/>
  <c r="F20" i="12"/>
  <c r="E20" i="12"/>
  <c r="F19" i="12"/>
  <c r="E19" i="12"/>
  <c r="F18" i="12"/>
  <c r="E18" i="12"/>
  <c r="F17" i="12"/>
  <c r="E17" i="12"/>
  <c r="F16" i="12"/>
  <c r="E16" i="12"/>
  <c r="F404" i="6"/>
  <c r="F403" i="6"/>
  <c r="F402" i="6"/>
  <c r="F401" i="6"/>
  <c r="F400" i="6"/>
  <c r="F399" i="6"/>
  <c r="F398" i="6"/>
  <c r="F397" i="6"/>
  <c r="F396" i="6"/>
  <c r="F395" i="6"/>
  <c r="F394" i="6"/>
  <c r="F393" i="6"/>
  <c r="F392" i="6"/>
  <c r="F391" i="6"/>
  <c r="F390" i="6"/>
  <c r="F389" i="6"/>
  <c r="F388" i="6"/>
  <c r="F387" i="6"/>
  <c r="F386" i="6"/>
  <c r="F385" i="6"/>
  <c r="F384" i="6"/>
  <c r="F383" i="6"/>
  <c r="F382" i="6"/>
  <c r="F381" i="6"/>
  <c r="F380" i="6"/>
  <c r="F379" i="6"/>
  <c r="F378" i="6"/>
  <c r="F377" i="6"/>
  <c r="F376" i="6"/>
  <c r="F375" i="6"/>
  <c r="F374" i="6"/>
  <c r="F373" i="6"/>
  <c r="F372" i="6"/>
  <c r="F371" i="6"/>
  <c r="F370" i="6"/>
  <c r="F369" i="6"/>
  <c r="F368" i="6"/>
  <c r="F367" i="6"/>
  <c r="F366" i="6"/>
  <c r="F365" i="6"/>
  <c r="F364" i="6"/>
  <c r="F363" i="6"/>
  <c r="F362" i="6"/>
  <c r="F361" i="6"/>
  <c r="F360" i="6"/>
  <c r="F359" i="6"/>
  <c r="F358" i="6"/>
  <c r="F357" i="6"/>
  <c r="F356" i="6"/>
  <c r="F355" i="6"/>
  <c r="F354" i="6"/>
  <c r="F353" i="6"/>
  <c r="F352" i="6"/>
  <c r="F351" i="6"/>
  <c r="F350" i="6"/>
  <c r="F349" i="6"/>
  <c r="F348" i="6"/>
  <c r="F347" i="6"/>
  <c r="F346" i="6"/>
  <c r="F345" i="6"/>
  <c r="F344" i="6"/>
  <c r="F343" i="6"/>
  <c r="F342" i="6"/>
  <c r="F341" i="6"/>
  <c r="F340" i="6"/>
  <c r="F339" i="6"/>
  <c r="F338" i="6"/>
  <c r="F337" i="6"/>
  <c r="F336" i="6"/>
  <c r="F335" i="6"/>
  <c r="F334" i="6"/>
  <c r="F333" i="6"/>
  <c r="F332" i="6"/>
  <c r="F331" i="6"/>
  <c r="F330" i="6"/>
  <c r="F329" i="6"/>
  <c r="F328" i="6"/>
  <c r="F327" i="6"/>
  <c r="F326" i="6"/>
  <c r="F325" i="6"/>
  <c r="F324" i="6"/>
  <c r="F323" i="6"/>
  <c r="F322" i="6"/>
  <c r="F321" i="6"/>
  <c r="F320" i="6"/>
  <c r="F319" i="6"/>
  <c r="F318" i="6"/>
  <c r="F317" i="6"/>
  <c r="F316" i="6"/>
  <c r="F315" i="6"/>
  <c r="F314" i="6"/>
  <c r="F313" i="6"/>
  <c r="F312" i="6"/>
  <c r="F311" i="6"/>
  <c r="F310" i="6"/>
  <c r="F309" i="6"/>
  <c r="F308" i="6"/>
  <c r="F307" i="6"/>
  <c r="F306" i="6"/>
  <c r="F305" i="6"/>
  <c r="F304" i="6"/>
  <c r="F303" i="6"/>
  <c r="F302" i="6"/>
  <c r="F301" i="6"/>
  <c r="F300" i="6"/>
  <c r="F299" i="6"/>
  <c r="F298" i="6"/>
  <c r="F297" i="6"/>
  <c r="F296" i="6"/>
  <c r="F295" i="6"/>
  <c r="F294" i="6"/>
  <c r="F293" i="6"/>
  <c r="F292" i="6"/>
  <c r="F291" i="6"/>
  <c r="F290" i="6"/>
  <c r="F289" i="6"/>
  <c r="F288" i="6"/>
  <c r="F287" i="6"/>
  <c r="F286" i="6"/>
  <c r="F285" i="6"/>
  <c r="F284" i="6"/>
  <c r="F283" i="6"/>
  <c r="F282" i="6"/>
  <c r="F281" i="6"/>
  <c r="F280" i="6"/>
  <c r="F279" i="6"/>
  <c r="F278" i="6"/>
  <c r="F277" i="6"/>
  <c r="F276" i="6"/>
  <c r="F275" i="6"/>
  <c r="F274" i="6"/>
  <c r="F273" i="6"/>
  <c r="F272" i="6"/>
  <c r="F271" i="6"/>
  <c r="F270" i="6"/>
  <c r="F269" i="6"/>
  <c r="F268" i="6"/>
  <c r="F267" i="6"/>
  <c r="F266" i="6"/>
  <c r="F265" i="6"/>
  <c r="F264" i="6"/>
  <c r="F263" i="6"/>
  <c r="F262" i="6"/>
  <c r="F261" i="6"/>
  <c r="F260" i="6"/>
  <c r="F259" i="6"/>
  <c r="F258" i="6"/>
  <c r="F257" i="6"/>
  <c r="F256" i="6"/>
  <c r="F255" i="6"/>
  <c r="F254" i="6"/>
  <c r="F252" i="6"/>
  <c r="F251" i="6"/>
  <c r="F250" i="6"/>
  <c r="F249" i="6"/>
  <c r="F248" i="6"/>
  <c r="F247" i="6"/>
  <c r="F246" i="6"/>
  <c r="F245" i="6"/>
  <c r="F244" i="6"/>
  <c r="F243" i="6"/>
  <c r="F242" i="6"/>
  <c r="F241" i="6"/>
  <c r="F240" i="6"/>
  <c r="F239" i="6"/>
  <c r="F238" i="6"/>
  <c r="F237" i="6"/>
  <c r="F236" i="6"/>
  <c r="F235" i="6"/>
  <c r="F234" i="6"/>
  <c r="F233" i="6"/>
  <c r="F232" i="6"/>
  <c r="F231" i="6"/>
  <c r="F230" i="6"/>
  <c r="F229" i="6"/>
  <c r="F228" i="6"/>
  <c r="F227" i="6"/>
  <c r="F226" i="6"/>
  <c r="F225" i="6"/>
  <c r="F224" i="6"/>
  <c r="F223" i="6"/>
  <c r="F222" i="6"/>
  <c r="F221" i="6"/>
  <c r="F220" i="6"/>
  <c r="F219" i="6"/>
  <c r="F218" i="6"/>
  <c r="F217" i="6"/>
  <c r="F216" i="6"/>
  <c r="F215" i="6"/>
  <c r="F214" i="6"/>
  <c r="F213" i="6"/>
  <c r="F212" i="6"/>
  <c r="F211" i="6"/>
  <c r="F210" i="6"/>
  <c r="F209" i="6"/>
  <c r="F208" i="6"/>
  <c r="F207" i="6"/>
  <c r="F206" i="6"/>
  <c r="F205" i="6"/>
  <c r="F204" i="6"/>
  <c r="F203" i="6"/>
  <c r="F202" i="6"/>
  <c r="F201" i="6"/>
  <c r="F200" i="6"/>
  <c r="F199" i="6"/>
  <c r="F198" i="6"/>
  <c r="F197" i="6"/>
  <c r="F196" i="6"/>
  <c r="F195" i="6"/>
  <c r="F194" i="6"/>
  <c r="F193" i="6"/>
  <c r="F192" i="6"/>
  <c r="F191" i="6"/>
  <c r="F190" i="6"/>
  <c r="F189" i="6"/>
  <c r="F188" i="6"/>
  <c r="F187" i="6"/>
  <c r="F186" i="6"/>
  <c r="F185" i="6"/>
  <c r="F184" i="6"/>
  <c r="F183" i="6"/>
  <c r="F182" i="6"/>
  <c r="F181" i="6"/>
  <c r="F180" i="6"/>
  <c r="F179" i="6"/>
  <c r="F178" i="6"/>
  <c r="F177" i="6"/>
  <c r="F176" i="6"/>
  <c r="F175" i="6"/>
  <c r="F174" i="6"/>
  <c r="F173" i="6"/>
  <c r="F172" i="6"/>
  <c r="F171" i="6"/>
  <c r="F170" i="6"/>
  <c r="F169" i="6"/>
  <c r="F168" i="6"/>
  <c r="F167" i="6"/>
  <c r="F166" i="6"/>
  <c r="F165" i="6"/>
  <c r="F164" i="6"/>
  <c r="F163" i="6"/>
  <c r="F162" i="6"/>
  <c r="F161" i="6"/>
  <c r="F160" i="6"/>
  <c r="F159" i="6"/>
  <c r="F158" i="6"/>
  <c r="F157" i="6"/>
  <c r="F156" i="6"/>
  <c r="F155" i="6"/>
  <c r="F154" i="6"/>
  <c r="F153" i="6"/>
  <c r="F152" i="6"/>
  <c r="F151" i="6"/>
  <c r="F150" i="6"/>
  <c r="F149" i="6"/>
  <c r="F148" i="6"/>
  <c r="F147" i="6"/>
  <c r="F146" i="6"/>
  <c r="F145" i="6"/>
  <c r="F144" i="6"/>
  <c r="F143" i="6"/>
  <c r="F142" i="6"/>
  <c r="F141" i="6"/>
  <c r="F140" i="6"/>
  <c r="F139" i="6"/>
  <c r="F138" i="6"/>
  <c r="F137" i="6"/>
  <c r="F136" i="6"/>
  <c r="F135" i="6"/>
  <c r="F134" i="6"/>
  <c r="F133" i="6"/>
  <c r="F132" i="6"/>
  <c r="F131" i="6"/>
  <c r="F130" i="6"/>
  <c r="F129" i="6"/>
  <c r="F128" i="6"/>
  <c r="F127" i="6"/>
  <c r="F126" i="6"/>
  <c r="F125" i="6"/>
  <c r="F124" i="6"/>
  <c r="F123" i="6"/>
  <c r="F122" i="6"/>
  <c r="F121" i="6"/>
  <c r="F120" i="6"/>
  <c r="F119" i="6"/>
  <c r="F118" i="6"/>
  <c r="F117" i="6"/>
  <c r="F116" i="6"/>
  <c r="F115" i="6"/>
  <c r="F114" i="6"/>
  <c r="F113" i="6"/>
  <c r="F112" i="6"/>
  <c r="F111" i="6"/>
  <c r="F110" i="6"/>
  <c r="F109" i="6"/>
  <c r="F108" i="6"/>
  <c r="F107" i="6"/>
  <c r="F106" i="6"/>
  <c r="F105" i="6"/>
  <c r="F104" i="6"/>
  <c r="F103" i="6"/>
  <c r="F102" i="6"/>
  <c r="F101" i="6"/>
  <c r="F100" i="6"/>
  <c r="F99" i="6"/>
  <c r="F98" i="6"/>
  <c r="F97" i="6"/>
  <c r="F96" i="6"/>
  <c r="F95" i="6"/>
  <c r="F94" i="6"/>
  <c r="F93" i="6"/>
  <c r="F92" i="6"/>
  <c r="F91" i="6"/>
  <c r="F90" i="6"/>
  <c r="F89" i="6"/>
  <c r="F88" i="6"/>
  <c r="F87" i="6"/>
  <c r="F86" i="6"/>
  <c r="F85" i="6"/>
  <c r="F84" i="6"/>
  <c r="F83" i="6"/>
  <c r="F82" i="6"/>
  <c r="F81" i="6"/>
  <c r="F80" i="6"/>
  <c r="F79" i="6"/>
  <c r="F78" i="6"/>
  <c r="F77" i="6"/>
  <c r="F76" i="6"/>
  <c r="F75" i="6"/>
  <c r="F74" i="6"/>
  <c r="F73" i="6"/>
  <c r="F72" i="6"/>
  <c r="F71" i="6"/>
  <c r="F70" i="6"/>
  <c r="F69" i="6"/>
  <c r="F68" i="6"/>
  <c r="F67" i="6"/>
  <c r="F66" i="6"/>
  <c r="F65" i="6"/>
  <c r="F64" i="6"/>
  <c r="F63" i="6"/>
  <c r="F62" i="6"/>
  <c r="F61" i="6"/>
  <c r="F60" i="6"/>
  <c r="F59" i="6"/>
  <c r="F58" i="6"/>
  <c r="F57" i="6"/>
  <c r="F56" i="6"/>
  <c r="F55" i="6"/>
  <c r="F54" i="6"/>
  <c r="F53" i="6"/>
  <c r="F52" i="6"/>
  <c r="F51" i="6"/>
  <c r="F50" i="6"/>
  <c r="F49" i="6"/>
  <c r="F48" i="6"/>
  <c r="F47" i="6"/>
  <c r="F46" i="6"/>
  <c r="F45" i="6"/>
  <c r="F44" i="6"/>
  <c r="F43" i="6"/>
  <c r="F42" i="6"/>
  <c r="F41" i="6"/>
  <c r="F40" i="6"/>
  <c r="F39" i="6"/>
  <c r="F38" i="6"/>
  <c r="F37" i="6"/>
  <c r="F36" i="6"/>
  <c r="F35" i="6"/>
  <c r="F34" i="6"/>
  <c r="F33" i="6"/>
  <c r="F32" i="6"/>
  <c r="F31" i="6"/>
  <c r="F30" i="6"/>
  <c r="F29" i="6"/>
  <c r="F28" i="6"/>
  <c r="F27" i="6"/>
  <c r="F26" i="6"/>
  <c r="F25" i="6"/>
  <c r="F24" i="6"/>
  <c r="F23" i="6"/>
  <c r="F22" i="6"/>
  <c r="F21" i="6"/>
  <c r="F20" i="6"/>
  <c r="F19" i="6"/>
  <c r="F18" i="6"/>
  <c r="F17" i="6"/>
  <c r="F16" i="6"/>
  <c r="A404" i="5"/>
  <c r="A403" i="5"/>
  <c r="A402" i="5"/>
  <c r="A401" i="5"/>
  <c r="A400" i="5"/>
  <c r="A399" i="5"/>
  <c r="A398" i="5"/>
  <c r="A397" i="5"/>
  <c r="A396" i="5"/>
  <c r="A395" i="5"/>
  <c r="A394" i="5"/>
  <c r="A393" i="5"/>
  <c r="A392" i="5"/>
  <c r="A391" i="5"/>
  <c r="A390" i="5"/>
  <c r="A389" i="5"/>
  <c r="A388" i="5"/>
  <c r="A387" i="5"/>
  <c r="A386" i="5"/>
  <c r="A385" i="5"/>
  <c r="A384" i="5"/>
  <c r="A383" i="5"/>
  <c r="A382" i="5"/>
  <c r="A381" i="5"/>
  <c r="A380" i="5"/>
  <c r="A379" i="5"/>
  <c r="A378" i="5"/>
  <c r="A377" i="5"/>
  <c r="A376" i="5"/>
  <c r="A375" i="5"/>
  <c r="A374" i="5"/>
  <c r="A373" i="5"/>
  <c r="A372" i="5"/>
  <c r="A371" i="5"/>
  <c r="A370" i="5"/>
  <c r="A369" i="5"/>
  <c r="A368" i="5"/>
  <c r="A367" i="5"/>
  <c r="A366" i="5"/>
  <c r="A365" i="5"/>
  <c r="A364" i="5"/>
  <c r="A363" i="5"/>
  <c r="A362" i="5"/>
  <c r="A361" i="5"/>
  <c r="A360" i="5"/>
  <c r="A359" i="5"/>
  <c r="A358" i="5"/>
  <c r="A357" i="5"/>
  <c r="A356" i="5"/>
  <c r="A355" i="5"/>
  <c r="A354" i="5"/>
  <c r="A353" i="5"/>
  <c r="A352" i="5"/>
  <c r="A351" i="5"/>
  <c r="A350" i="5"/>
  <c r="A349" i="5"/>
  <c r="A348" i="5"/>
  <c r="A347" i="5"/>
  <c r="A346" i="5"/>
  <c r="A345" i="5"/>
  <c r="A344" i="5"/>
  <c r="A343" i="5"/>
  <c r="A342" i="5"/>
  <c r="A341" i="5"/>
  <c r="A340" i="5"/>
  <c r="A339" i="5"/>
  <c r="A338" i="5"/>
  <c r="A337" i="5"/>
  <c r="A336" i="5"/>
  <c r="A335" i="5"/>
  <c r="A334" i="5"/>
  <c r="A333" i="5"/>
  <c r="A332" i="5"/>
  <c r="A331" i="5"/>
  <c r="A330" i="5"/>
  <c r="A329" i="5"/>
  <c r="A328" i="5"/>
  <c r="A327" i="5"/>
  <c r="A326" i="5"/>
  <c r="A325" i="5"/>
  <c r="A324" i="5"/>
  <c r="A323" i="5"/>
  <c r="A322" i="5"/>
  <c r="A321" i="5"/>
  <c r="A320" i="5"/>
  <c r="A319" i="5"/>
  <c r="A318" i="5"/>
  <c r="A317" i="5"/>
  <c r="A316" i="5"/>
  <c r="A315" i="5"/>
  <c r="A314" i="5"/>
  <c r="A313" i="5"/>
  <c r="A312" i="5"/>
  <c r="A311" i="5"/>
  <c r="A310" i="5"/>
  <c r="A309" i="5"/>
  <c r="A308" i="5"/>
  <c r="A307" i="5"/>
  <c r="A306" i="5"/>
  <c r="A305" i="5"/>
  <c r="A304" i="5"/>
  <c r="A303" i="5"/>
  <c r="A302" i="5"/>
  <c r="A301" i="5"/>
  <c r="A300" i="5"/>
  <c r="A299" i="5"/>
  <c r="A298" i="5"/>
  <c r="A297" i="5"/>
  <c r="A296" i="5"/>
  <c r="A295" i="5"/>
  <c r="A294" i="5"/>
  <c r="A293" i="5"/>
  <c r="A292" i="5"/>
  <c r="A291" i="5"/>
  <c r="A290" i="5"/>
  <c r="A289" i="5"/>
  <c r="A288" i="5"/>
  <c r="A287" i="5"/>
  <c r="A286" i="5"/>
  <c r="A285" i="5"/>
  <c r="A284" i="5"/>
  <c r="A283" i="5"/>
  <c r="A282" i="5"/>
  <c r="A281" i="5"/>
  <c r="A280" i="5"/>
  <c r="A279" i="5"/>
  <c r="A278" i="5"/>
  <c r="A277" i="5"/>
  <c r="A276" i="5"/>
  <c r="A275" i="5"/>
  <c r="A274" i="5"/>
  <c r="A273" i="5"/>
  <c r="A272" i="5"/>
  <c r="A271" i="5"/>
  <c r="A270" i="5"/>
  <c r="A269" i="5"/>
  <c r="A268" i="5"/>
  <c r="A267" i="5"/>
  <c r="A266" i="5"/>
  <c r="A265" i="5"/>
  <c r="A264" i="5"/>
  <c r="A263" i="5"/>
  <c r="A262" i="5"/>
  <c r="A261" i="5"/>
  <c r="A260" i="5"/>
  <c r="A259" i="5"/>
  <c r="A258" i="5"/>
  <c r="A257" i="5"/>
  <c r="A256" i="5"/>
  <c r="A255" i="5"/>
  <c r="A254" i="5"/>
  <c r="A252" i="5"/>
  <c r="A251" i="5"/>
  <c r="A250" i="5"/>
  <c r="A249" i="5"/>
  <c r="A248" i="5"/>
  <c r="A247" i="5"/>
  <c r="A246" i="5"/>
  <c r="A245" i="5"/>
  <c r="A244" i="5"/>
  <c r="A243" i="5"/>
  <c r="A242" i="5"/>
  <c r="A241" i="5"/>
  <c r="A240" i="5"/>
  <c r="A239" i="5"/>
  <c r="A238" i="5"/>
  <c r="A237" i="5"/>
  <c r="A236" i="5"/>
  <c r="A235" i="5"/>
  <c r="A234" i="5"/>
  <c r="A233" i="5"/>
  <c r="A232" i="5"/>
  <c r="A231" i="5"/>
  <c r="A230" i="5"/>
  <c r="A229" i="5"/>
  <c r="A228" i="5"/>
  <c r="A227" i="5"/>
  <c r="A226" i="5"/>
  <c r="A225" i="5"/>
  <c r="A224" i="5"/>
  <c r="A223" i="5"/>
  <c r="A222" i="5"/>
  <c r="A221" i="5"/>
  <c r="A220" i="5"/>
  <c r="A219" i="5"/>
  <c r="A218" i="5"/>
  <c r="A217" i="5"/>
  <c r="A216" i="5"/>
  <c r="A215" i="5"/>
  <c r="A214" i="5"/>
  <c r="A213" i="5"/>
  <c r="A212" i="5"/>
  <c r="A211" i="5"/>
  <c r="A210" i="5"/>
  <c r="A209" i="5"/>
  <c r="A208" i="5"/>
  <c r="A207" i="5"/>
  <c r="A206" i="5"/>
  <c r="A205" i="5"/>
  <c r="A204" i="5"/>
  <c r="A203" i="5"/>
  <c r="A202" i="5"/>
  <c r="A201" i="5"/>
  <c r="A200" i="5"/>
  <c r="A199" i="5"/>
  <c r="A198" i="5"/>
  <c r="A197" i="5"/>
  <c r="A196" i="5"/>
  <c r="A195" i="5"/>
  <c r="A194" i="5"/>
  <c r="A193" i="5"/>
  <c r="A192" i="5"/>
  <c r="A191" i="5"/>
  <c r="A190" i="5"/>
  <c r="A189" i="5"/>
  <c r="A188" i="5"/>
  <c r="A187" i="5"/>
  <c r="A186" i="5"/>
  <c r="A185" i="5"/>
  <c r="A184" i="5"/>
  <c r="A183" i="5"/>
  <c r="A182" i="5"/>
  <c r="A181" i="5"/>
  <c r="A180" i="5"/>
  <c r="A179" i="5"/>
  <c r="A178" i="5"/>
  <c r="A177" i="5"/>
  <c r="A176" i="5"/>
  <c r="A175" i="5"/>
  <c r="A174" i="5"/>
  <c r="A173" i="5"/>
  <c r="A172" i="5"/>
  <c r="A171" i="5"/>
  <c r="A170" i="5"/>
  <c r="A169" i="5"/>
  <c r="A168" i="5"/>
  <c r="A167" i="5"/>
  <c r="A166" i="5"/>
  <c r="A165" i="5"/>
  <c r="A164" i="5"/>
  <c r="A163" i="5"/>
  <c r="A162" i="5"/>
  <c r="A161" i="5"/>
  <c r="A160" i="5"/>
  <c r="A159" i="5"/>
  <c r="A158" i="5"/>
  <c r="A157" i="5"/>
  <c r="A156" i="5"/>
  <c r="A155" i="5"/>
  <c r="A154" i="5"/>
  <c r="A153" i="5"/>
  <c r="A152" i="5"/>
  <c r="A151" i="5"/>
  <c r="A150" i="5"/>
  <c r="A149" i="5"/>
  <c r="A148" i="5"/>
  <c r="A147" i="5"/>
  <c r="A146" i="5"/>
  <c r="A145" i="5"/>
  <c r="A144" i="5"/>
  <c r="A143" i="5"/>
  <c r="A142" i="5"/>
  <c r="A141" i="5"/>
  <c r="A140" i="5"/>
  <c r="A139" i="5"/>
  <c r="A138" i="5"/>
  <c r="A137" i="5"/>
  <c r="A136" i="5"/>
  <c r="A135" i="5"/>
  <c r="A134" i="5"/>
  <c r="A133" i="5"/>
  <c r="A132" i="5"/>
  <c r="A131" i="5"/>
  <c r="A130" i="5"/>
  <c r="A129" i="5"/>
  <c r="A128" i="5"/>
  <c r="A127" i="5"/>
  <c r="A126" i="5"/>
  <c r="A125" i="5"/>
  <c r="A124" i="5"/>
  <c r="A123" i="5"/>
  <c r="A122" i="5"/>
  <c r="A121" i="5"/>
  <c r="A120" i="5"/>
  <c r="A119" i="5"/>
  <c r="A118" i="5"/>
  <c r="A117" i="5"/>
  <c r="A116" i="5"/>
  <c r="A115" i="5"/>
  <c r="A114" i="5"/>
  <c r="A113" i="5"/>
  <c r="A112" i="5"/>
  <c r="A111" i="5"/>
  <c r="A110" i="5"/>
  <c r="A109" i="5"/>
  <c r="A108" i="5"/>
  <c r="A107" i="5"/>
  <c r="A106" i="5"/>
  <c r="A105" i="5"/>
  <c r="A104" i="5"/>
  <c r="A103" i="5"/>
  <c r="A102" i="5"/>
  <c r="A101" i="5"/>
  <c r="A100" i="5"/>
  <c r="A99" i="5"/>
  <c r="A98" i="5"/>
  <c r="A97" i="5"/>
  <c r="A96" i="5"/>
  <c r="A95" i="5"/>
  <c r="A94" i="5"/>
  <c r="A93" i="5"/>
  <c r="A92" i="5"/>
  <c r="A91" i="5"/>
  <c r="A90" i="5"/>
  <c r="A89" i="5"/>
  <c r="A88" i="5"/>
  <c r="A87" i="5"/>
  <c r="A86" i="5"/>
  <c r="A85" i="5"/>
  <c r="A84" i="5"/>
  <c r="A83" i="5"/>
  <c r="A82" i="5"/>
  <c r="A81" i="5"/>
  <c r="A80" i="5"/>
  <c r="A79" i="5"/>
  <c r="A78" i="5"/>
  <c r="A77" i="5"/>
  <c r="A76" i="5"/>
  <c r="A75" i="5"/>
  <c r="A74" i="5"/>
  <c r="A73" i="5"/>
  <c r="A72" i="5"/>
  <c r="A71" i="5"/>
  <c r="A70" i="5"/>
  <c r="A69" i="5"/>
  <c r="A68" i="5"/>
  <c r="A67" i="5"/>
  <c r="A66" i="5"/>
  <c r="A65" i="5"/>
  <c r="A64" i="5"/>
  <c r="A63" i="5"/>
  <c r="A62" i="5"/>
  <c r="A61" i="5"/>
  <c r="A60" i="5"/>
  <c r="A59" i="5"/>
  <c r="A58" i="5"/>
  <c r="A57" i="5"/>
  <c r="A56" i="5"/>
  <c r="A55" i="5"/>
  <c r="A54" i="5"/>
  <c r="A53" i="5"/>
  <c r="A52" i="5"/>
  <c r="A51" i="5"/>
  <c r="A50" i="5"/>
  <c r="A49" i="5"/>
  <c r="A48" i="5"/>
  <c r="A47" i="5"/>
  <c r="A46" i="5"/>
  <c r="A45" i="5"/>
  <c r="A44" i="5"/>
  <c r="A43" i="5"/>
  <c r="A42" i="5"/>
  <c r="A41" i="5"/>
  <c r="A40" i="5"/>
  <c r="A39" i="5"/>
  <c r="A38" i="5"/>
  <c r="A37" i="5"/>
  <c r="A36" i="5"/>
  <c r="A35" i="5"/>
  <c r="A34" i="5"/>
  <c r="A33" i="5"/>
  <c r="A32" i="5"/>
  <c r="A31" i="5"/>
  <c r="A30" i="5"/>
  <c r="A29" i="5"/>
  <c r="A28" i="5"/>
  <c r="A27" i="5"/>
  <c r="A26" i="5"/>
  <c r="A25" i="5"/>
  <c r="A24" i="5"/>
  <c r="A23" i="5"/>
  <c r="A22" i="5"/>
  <c r="A21" i="5"/>
  <c r="A20" i="5"/>
  <c r="A19" i="5"/>
  <c r="A18" i="5"/>
  <c r="A17" i="5"/>
  <c r="C16" i="5"/>
  <c r="N16" i="5" s="1"/>
  <c r="A16" i="5"/>
  <c r="G16" i="5" l="1"/>
  <c r="W16" i="5"/>
  <c r="H16" i="12" s="1"/>
  <c r="I16" i="5"/>
  <c r="B16" i="5"/>
  <c r="C17" i="5"/>
  <c r="I17" i="5" s="1"/>
  <c r="AE16" i="5"/>
  <c r="F16" i="5"/>
  <c r="H16" i="5"/>
  <c r="D16" i="6"/>
  <c r="A16" i="12"/>
  <c r="B16" i="6"/>
  <c r="J16" i="6" s="1" a="1"/>
  <c r="J16" i="6" s="1"/>
  <c r="B17" i="8"/>
  <c r="A16" i="11"/>
  <c r="E16" i="13"/>
  <c r="A18" i="11"/>
  <c r="E18" i="13"/>
  <c r="A17" i="11"/>
  <c r="E19" i="13"/>
  <c r="A19" i="11"/>
  <c r="E21" i="13"/>
  <c r="A21" i="11"/>
  <c r="E23" i="13"/>
  <c r="A23" i="11"/>
  <c r="A20" i="11"/>
  <c r="E20" i="13"/>
  <c r="C133" i="3"/>
  <c r="B17" i="6" l="1"/>
  <c r="J17" i="6" s="1" a="1"/>
  <c r="J17" i="6" s="1"/>
  <c r="A17" i="12"/>
  <c r="F17" i="5"/>
  <c r="W17" i="5"/>
  <c r="H17" i="12" s="1"/>
  <c r="H17" i="5"/>
  <c r="AE17" i="5"/>
  <c r="N17" i="5"/>
  <c r="D17" i="6" s="1"/>
  <c r="G17" i="5"/>
  <c r="C18" i="5"/>
  <c r="B17" i="5"/>
  <c r="AD16" i="5"/>
  <c r="E16" i="5"/>
  <c r="H16" i="6"/>
  <c r="T16" i="5" s="1"/>
  <c r="G16" i="6"/>
  <c r="M16" i="6"/>
  <c r="N16" i="6"/>
  <c r="B20" i="8"/>
  <c r="C137" i="3"/>
  <c r="C135" i="3"/>
  <c r="C132" i="3"/>
  <c r="G18" i="5" l="1"/>
  <c r="F18" i="5"/>
  <c r="C19" i="5"/>
  <c r="J18" i="5"/>
  <c r="A18" i="12"/>
  <c r="K18" i="5"/>
  <c r="B18" i="5"/>
  <c r="B18" i="6"/>
  <c r="AE18" i="5"/>
  <c r="N18" i="5"/>
  <c r="D18" i="6" s="1"/>
  <c r="G18" i="6" s="1"/>
  <c r="D18" i="5"/>
  <c r="B18" i="12" s="1"/>
  <c r="AD18" i="5"/>
  <c r="H18" i="5"/>
  <c r="G16" i="12"/>
  <c r="E17" i="5"/>
  <c r="B14" i="11"/>
  <c r="A14" i="13"/>
  <c r="AD17" i="5"/>
  <c r="B23" i="8"/>
  <c r="N17" i="6"/>
  <c r="M17" i="6"/>
  <c r="H17" i="6"/>
  <c r="T17" i="5" s="1"/>
  <c r="G17" i="6"/>
  <c r="C128" i="3"/>
  <c r="R2" i="5" a="1"/>
  <c r="R2" i="5" s="1"/>
  <c r="AH13" i="5" a="1"/>
  <c r="AH13" i="5" s="1"/>
  <c r="V13" i="5" a="1"/>
  <c r="V13" i="5" s="1"/>
  <c r="U13" i="5" a="1"/>
  <c r="U13" i="5" s="1"/>
  <c r="X7" i="5" a="1"/>
  <c r="X7" i="5" s="1"/>
  <c r="W7" i="5" a="1"/>
  <c r="W7" i="5" s="1"/>
  <c r="V7" i="5" a="1"/>
  <c r="V7" i="5" s="1"/>
  <c r="S7" i="5" a="1"/>
  <c r="S7" i="5" s="1"/>
  <c r="R7" i="5" a="1"/>
  <c r="R7" i="5" s="1"/>
  <c r="S8" i="5" a="1"/>
  <c r="S8" i="5" s="1"/>
  <c r="R8" i="5" a="1"/>
  <c r="R8" i="5" s="1"/>
  <c r="Q8" i="5" a="1"/>
  <c r="Q8" i="5" s="1"/>
  <c r="H13" i="7"/>
  <c r="E13" i="7"/>
  <c r="G19" i="5" l="1"/>
  <c r="J19" i="5"/>
  <c r="N19" i="5"/>
  <c r="D19" i="6" s="1"/>
  <c r="G19" i="6" s="1"/>
  <c r="A19" i="12"/>
  <c r="K19" i="5"/>
  <c r="D19" i="5"/>
  <c r="B19" i="12" s="1"/>
  <c r="B19" i="5"/>
  <c r="F19" i="5"/>
  <c r="C20" i="5"/>
  <c r="H19" i="5"/>
  <c r="B19" i="6"/>
  <c r="AE19" i="5"/>
  <c r="AD19" i="5"/>
  <c r="E18" i="5"/>
  <c r="B26" i="8"/>
  <c r="G17" i="12"/>
  <c r="C14" i="13"/>
  <c r="K14" i="11"/>
  <c r="J14" i="13" s="1"/>
  <c r="G14" i="11"/>
  <c r="F14" i="13" s="1"/>
  <c r="J4" i="15"/>
  <c r="AB13" i="12" a="1"/>
  <c r="AB13" i="12" s="1"/>
  <c r="I69" i="10"/>
  <c r="H20" i="5" l="1"/>
  <c r="A20" i="12"/>
  <c r="B20" i="6"/>
  <c r="F20" i="5"/>
  <c r="G20" i="5"/>
  <c r="J20" i="5"/>
  <c r="AD20" i="5"/>
  <c r="D20" i="5"/>
  <c r="B20" i="12" s="1"/>
  <c r="N20" i="5"/>
  <c r="D20" i="6" s="1"/>
  <c r="H20" i="6" s="1"/>
  <c r="T20" i="5" s="1"/>
  <c r="B20" i="5"/>
  <c r="C21" i="5" s="1"/>
  <c r="K20" i="5"/>
  <c r="AE20" i="5"/>
  <c r="AH22" i="13"/>
  <c r="AE21" i="13"/>
  <c r="AH18" i="13"/>
  <c r="AE17" i="13"/>
  <c r="AH14" i="13"/>
  <c r="AG22" i="13"/>
  <c r="AD21" i="13"/>
  <c r="AG18" i="13"/>
  <c r="AD17" i="13"/>
  <c r="AG14" i="13"/>
  <c r="AF22" i="13"/>
  <c r="AC21" i="13"/>
  <c r="AF18" i="13"/>
  <c r="AC17" i="13"/>
  <c r="AF14" i="13"/>
  <c r="AH23" i="13"/>
  <c r="AE22" i="13"/>
  <c r="AH19" i="13"/>
  <c r="AE18" i="13"/>
  <c r="AH15" i="13"/>
  <c r="AE14" i="13"/>
  <c r="AG23" i="13"/>
  <c r="AD22" i="13"/>
  <c r="AG19" i="13"/>
  <c r="AD18" i="13"/>
  <c r="AG15" i="13"/>
  <c r="AD14" i="13"/>
  <c r="AC23" i="13"/>
  <c r="AH21" i="13"/>
  <c r="AC20" i="13"/>
  <c r="AG21" i="13"/>
  <c r="AF15" i="13"/>
  <c r="AF21" i="13"/>
  <c r="AC18" i="13"/>
  <c r="AE15" i="13"/>
  <c r="AH16" i="13"/>
  <c r="AD15" i="13"/>
  <c r="AF23" i="13"/>
  <c r="AF20" i="13"/>
  <c r="AG17" i="13"/>
  <c r="AE23" i="13"/>
  <c r="AE20" i="13"/>
  <c r="AF17" i="13"/>
  <c r="AC14" i="13"/>
  <c r="AD23" i="13"/>
  <c r="AD20" i="13"/>
  <c r="AF19" i="13"/>
  <c r="AC15" i="13"/>
  <c r="AE19" i="13"/>
  <c r="AD19" i="13"/>
  <c r="AG16" i="13"/>
  <c r="AH20" i="13"/>
  <c r="AC19" i="13"/>
  <c r="AF16" i="13"/>
  <c r="AG20" i="13"/>
  <c r="AE16" i="13"/>
  <c r="AH17" i="13"/>
  <c r="AD16" i="13"/>
  <c r="AC16" i="13"/>
  <c r="AC22" i="13"/>
  <c r="H18" i="6"/>
  <c r="T18" i="5" s="1"/>
  <c r="H19" i="6"/>
  <c r="T19" i="5" s="1"/>
  <c r="K14" i="13"/>
  <c r="E19" i="5"/>
  <c r="B29" i="8"/>
  <c r="P7" i="13"/>
  <c r="F10" i="12" a="1"/>
  <c r="F10" i="12" s="1"/>
  <c r="M8" i="12" a="1"/>
  <c r="M8" i="12" s="1"/>
  <c r="H101" i="8" a="1"/>
  <c r="H101" i="8" s="1"/>
  <c r="H99" i="8" a="1"/>
  <c r="H99" i="8" s="1"/>
  <c r="F7" i="6" a="1"/>
  <c r="F7" i="6" s="1"/>
  <c r="F6" i="6" a="1"/>
  <c r="F6" i="6" s="1"/>
  <c r="Q1" i="6" a="1"/>
  <c r="Q1" i="6" s="1"/>
  <c r="O1" i="6" a="1"/>
  <c r="O1" i="6" s="1"/>
  <c r="C11" i="7" a="1"/>
  <c r="C11" i="7" s="1"/>
  <c r="F8" i="7" a="1"/>
  <c r="F8" i="7" s="1"/>
  <c r="G22" i="15" a="1"/>
  <c r="G22" i="15" s="1"/>
  <c r="C22" i="15" a="1"/>
  <c r="C22" i="15" s="1"/>
  <c r="C122" i="3"/>
  <c r="C120" i="3"/>
  <c r="AC405" i="5"/>
  <c r="G20" i="6" l="1"/>
  <c r="G21" i="5"/>
  <c r="B21" i="6"/>
  <c r="J21" i="6" s="1" a="1"/>
  <c r="J21" i="6" s="1"/>
  <c r="A21" i="12"/>
  <c r="AD21" i="5"/>
  <c r="W21" i="5"/>
  <c r="H21" i="12" s="1"/>
  <c r="F21" i="5"/>
  <c r="I21" i="5"/>
  <c r="H21" i="5"/>
  <c r="AE21" i="5"/>
  <c r="B21" i="5"/>
  <c r="C22" i="5"/>
  <c r="N21" i="5"/>
  <c r="D21" i="6" s="1"/>
  <c r="M21" i="6" s="1"/>
  <c r="E20" i="5"/>
  <c r="G18" i="12"/>
  <c r="G19" i="12"/>
  <c r="B32" i="8"/>
  <c r="G20" i="12"/>
  <c r="R1" i="6" a="1"/>
  <c r="R1" i="6" s="1"/>
  <c r="S67" i="4"/>
  <c r="S107" i="4"/>
  <c r="S27" i="4"/>
  <c r="C124" i="3"/>
  <c r="H21" i="6" l="1"/>
  <c r="T21" i="5" s="1"/>
  <c r="G21" i="12" s="1"/>
  <c r="G21" i="6"/>
  <c r="N21" i="6"/>
  <c r="N22" i="5"/>
  <c r="D22" i="6" s="1"/>
  <c r="G22" i="6" s="1"/>
  <c r="K22" i="5"/>
  <c r="B22" i="6"/>
  <c r="B22" i="5"/>
  <c r="G22" i="5"/>
  <c r="D22" i="5"/>
  <c r="B22" i="12" s="1"/>
  <c r="J22" i="5"/>
  <c r="H22" i="5"/>
  <c r="F22" i="5"/>
  <c r="AD22" i="5"/>
  <c r="AE22" i="5"/>
  <c r="A22" i="12"/>
  <c r="C23" i="5"/>
  <c r="B35" i="8"/>
  <c r="E21" i="5"/>
  <c r="S1" i="6" a="1"/>
  <c r="S1" i="6" s="1"/>
  <c r="H67" i="9"/>
  <c r="H22" i="6" l="1"/>
  <c r="T22" i="5" s="1"/>
  <c r="G22" i="12" s="1"/>
  <c r="J23" i="5"/>
  <c r="G23" i="5"/>
  <c r="B23" i="6"/>
  <c r="H23" i="5"/>
  <c r="F23" i="5"/>
  <c r="C24" i="5"/>
  <c r="K23" i="5"/>
  <c r="AE23" i="5"/>
  <c r="AD23" i="5"/>
  <c r="A23" i="12"/>
  <c r="N23" i="5"/>
  <c r="D23" i="6" s="1"/>
  <c r="H23" i="6" s="1"/>
  <c r="T23" i="5" s="1"/>
  <c r="B23" i="5"/>
  <c r="D23" i="5"/>
  <c r="B23" i="12" s="1"/>
  <c r="B38" i="8"/>
  <c r="E22" i="5"/>
  <c r="E23" i="5" s="1"/>
  <c r="T1" i="6" a="1"/>
  <c r="T1" i="6" s="1"/>
  <c r="C94" i="3"/>
  <c r="C92" i="3"/>
  <c r="E24" i="5" l="1"/>
  <c r="G24" i="5"/>
  <c r="AE24" i="5"/>
  <c r="AD24" i="5"/>
  <c r="A24" i="12"/>
  <c r="D24" i="5"/>
  <c r="B24" i="12" s="1"/>
  <c r="B24" i="6"/>
  <c r="N24" i="5"/>
  <c r="D24" i="6" s="1"/>
  <c r="H24" i="6" s="1"/>
  <c r="T24" i="5" s="1"/>
  <c r="B24" i="5"/>
  <c r="K24" i="5"/>
  <c r="H24" i="5"/>
  <c r="J24" i="5"/>
  <c r="C25" i="5"/>
  <c r="F24" i="5"/>
  <c r="G23" i="6"/>
  <c r="B41" i="8"/>
  <c r="G23" i="12"/>
  <c r="U1" i="6" a="1"/>
  <c r="U1" i="6" s="1"/>
  <c r="C98" i="3"/>
  <c r="G24" i="6" l="1"/>
  <c r="F25" i="5"/>
  <c r="AD25" i="5"/>
  <c r="A25" i="12"/>
  <c r="D25" i="5"/>
  <c r="B25" i="12" s="1"/>
  <c r="N25" i="5"/>
  <c r="D25" i="6" s="1"/>
  <c r="H25" i="6" s="1"/>
  <c r="T25" i="5" s="1"/>
  <c r="J25" i="5"/>
  <c r="B25" i="6"/>
  <c r="B25" i="5"/>
  <c r="K25" i="5"/>
  <c r="C26" i="5"/>
  <c r="H25" i="5"/>
  <c r="G25" i="5"/>
  <c r="AE25" i="5"/>
  <c r="E25" i="5"/>
  <c r="B44" i="8"/>
  <c r="G24" i="12"/>
  <c r="V1" i="6" a="1"/>
  <c r="V1" i="6" s="1"/>
  <c r="C5" i="14"/>
  <c r="E2" i="12"/>
  <c r="G25" i="6" l="1"/>
  <c r="B26" i="5"/>
  <c r="J26" i="5"/>
  <c r="N26" i="5"/>
  <c r="D26" i="6" s="1"/>
  <c r="H26" i="6" s="1"/>
  <c r="T26" i="5" s="1"/>
  <c r="AE26" i="5"/>
  <c r="D26" i="5"/>
  <c r="B26" i="12" s="1"/>
  <c r="E26" i="5"/>
  <c r="C27" i="5"/>
  <c r="H26" i="5"/>
  <c r="G26" i="5"/>
  <c r="A26" i="12"/>
  <c r="B26" i="6"/>
  <c r="AD26" i="5"/>
  <c r="F26" i="5"/>
  <c r="K26" i="5"/>
  <c r="B47" i="8"/>
  <c r="G25" i="12"/>
  <c r="W1" i="6" a="1"/>
  <c r="W1" i="6" s="1"/>
  <c r="S12" i="11"/>
  <c r="AE27" i="5" l="1"/>
  <c r="N27" i="5"/>
  <c r="D27" i="6" s="1"/>
  <c r="H27" i="6" s="1"/>
  <c r="T27" i="5" s="1"/>
  <c r="D27" i="5"/>
  <c r="B27" i="12" s="1"/>
  <c r="E27" i="5"/>
  <c r="AD27" i="5"/>
  <c r="H27" i="5"/>
  <c r="J27" i="5"/>
  <c r="A27" i="12"/>
  <c r="B27" i="5"/>
  <c r="C28" i="5" s="1"/>
  <c r="K27" i="5"/>
  <c r="G27" i="5"/>
  <c r="B27" i="6"/>
  <c r="F27" i="5"/>
  <c r="G26" i="6"/>
  <c r="G26" i="12"/>
  <c r="B50" i="8"/>
  <c r="X1" i="6" a="1"/>
  <c r="X1" i="6" s="1"/>
  <c r="C1" i="7" a="1"/>
  <c r="C1" i="7" s="1"/>
  <c r="B1" i="7" s="1"/>
  <c r="D40" i="2"/>
  <c r="D39" i="2"/>
  <c r="D41" i="2"/>
  <c r="D37" i="2"/>
  <c r="D38" i="2"/>
  <c r="D36" i="2"/>
  <c r="G27" i="6" l="1"/>
  <c r="C29" i="5"/>
  <c r="W28" i="5"/>
  <c r="H28" i="12" s="1"/>
  <c r="H28" i="5"/>
  <c r="G28" i="5"/>
  <c r="F28" i="5"/>
  <c r="B28" i="5"/>
  <c r="B28" i="6"/>
  <c r="J28" i="6" s="1" a="1"/>
  <c r="J28" i="6" s="1"/>
  <c r="AD28" i="5"/>
  <c r="A28" i="12"/>
  <c r="E28" i="5"/>
  <c r="N28" i="5"/>
  <c r="D28" i="6" s="1"/>
  <c r="M28" i="6" s="1"/>
  <c r="AE28" i="5"/>
  <c r="I28" i="5"/>
  <c r="G27" i="12"/>
  <c r="B53" i="8"/>
  <c r="Y1" i="6" a="1"/>
  <c r="Y1" i="6" s="1"/>
  <c r="U11" i="4"/>
  <c r="U10" i="4"/>
  <c r="D31" i="2"/>
  <c r="D29" i="2"/>
  <c r="D28" i="2"/>
  <c r="D24" i="2"/>
  <c r="D23" i="2"/>
  <c r="D22" i="2"/>
  <c r="D19" i="2"/>
  <c r="D18" i="2"/>
  <c r="D17" i="2"/>
  <c r="D16" i="2"/>
  <c r="D11" i="2"/>
  <c r="D10" i="2"/>
  <c r="D9" i="2"/>
  <c r="D8" i="2"/>
  <c r="D7" i="2"/>
  <c r="D6" i="2"/>
  <c r="D5" i="2"/>
  <c r="D4" i="2"/>
  <c r="C116" i="3"/>
  <c r="C114" i="3"/>
  <c r="C110" i="3"/>
  <c r="C109" i="3"/>
  <c r="C106" i="3"/>
  <c r="C105" i="3"/>
  <c r="C101" i="3"/>
  <c r="C90" i="3"/>
  <c r="U106" i="4"/>
  <c r="U26" i="4"/>
  <c r="U66" i="4"/>
  <c r="G28" i="6" l="1"/>
  <c r="H28" i="6"/>
  <c r="T28" i="5" s="1"/>
  <c r="G28" i="12" s="1"/>
  <c r="N28" i="6"/>
  <c r="D29" i="5"/>
  <c r="B29" i="12" s="1"/>
  <c r="AE29" i="5"/>
  <c r="G29" i="5"/>
  <c r="F29" i="5"/>
  <c r="H29" i="5"/>
  <c r="AD29" i="5"/>
  <c r="K29" i="5"/>
  <c r="A29" i="12"/>
  <c r="E29" i="5"/>
  <c r="B29" i="6"/>
  <c r="B29" i="5"/>
  <c r="C30" i="5"/>
  <c r="N29" i="5"/>
  <c r="D29" i="6" s="1"/>
  <c r="G29" i="6" s="1"/>
  <c r="J29" i="5"/>
  <c r="B56" i="8"/>
  <c r="Z1" i="6" a="1"/>
  <c r="Z1" i="6" s="1"/>
  <c r="D27" i="2"/>
  <c r="D15" i="2"/>
  <c r="D35" i="2"/>
  <c r="D3" i="2"/>
  <c r="H29" i="6" l="1"/>
  <c r="T29" i="5" s="1"/>
  <c r="G29" i="12" s="1"/>
  <c r="F30" i="5"/>
  <c r="B30" i="5"/>
  <c r="J30" i="5"/>
  <c r="AE30" i="5"/>
  <c r="AD30" i="5"/>
  <c r="C31" i="5"/>
  <c r="A30" i="12"/>
  <c r="E30" i="5"/>
  <c r="B30" i="6"/>
  <c r="D30" i="5"/>
  <c r="B30" i="12" s="1"/>
  <c r="N30" i="5"/>
  <c r="D30" i="6" s="1"/>
  <c r="H30" i="6" s="1"/>
  <c r="T30" i="5" s="1"/>
  <c r="H30" i="5"/>
  <c r="G30" i="5"/>
  <c r="K30" i="5"/>
  <c r="B59" i="8"/>
  <c r="H10" i="7"/>
  <c r="G30" i="6" l="1"/>
  <c r="H31" i="5"/>
  <c r="A31" i="12"/>
  <c r="K31" i="5"/>
  <c r="B31" i="6"/>
  <c r="J31" i="5"/>
  <c r="C32" i="5"/>
  <c r="F31" i="5"/>
  <c r="E31" i="5"/>
  <c r="D31" i="5"/>
  <c r="B31" i="12" s="1"/>
  <c r="G31" i="5"/>
  <c r="B31" i="5"/>
  <c r="AE31" i="5"/>
  <c r="AD31" i="5"/>
  <c r="N31" i="5"/>
  <c r="D31" i="6" s="1"/>
  <c r="G31" i="6" s="1"/>
  <c r="G30" i="12"/>
  <c r="B62" i="8"/>
  <c r="AG101" i="8"/>
  <c r="H31" i="6" l="1"/>
  <c r="T31" i="5" s="1"/>
  <c r="G31" i="12" s="1"/>
  <c r="J32" i="5"/>
  <c r="G32" i="5"/>
  <c r="AD32" i="5"/>
  <c r="F32" i="5"/>
  <c r="D32" i="5"/>
  <c r="B32" i="12" s="1"/>
  <c r="H32" i="5"/>
  <c r="B32" i="5"/>
  <c r="K32" i="5"/>
  <c r="C33" i="5"/>
  <c r="A32" i="12"/>
  <c r="E32" i="5"/>
  <c r="B32" i="6"/>
  <c r="AE32" i="5"/>
  <c r="N32" i="5"/>
  <c r="D32" i="6" s="1"/>
  <c r="H32" i="6" s="1"/>
  <c r="T32" i="5" s="1"/>
  <c r="B65" i="8"/>
  <c r="C103" i="3"/>
  <c r="C100" i="3"/>
  <c r="C96" i="3"/>
  <c r="G32" i="6" l="1"/>
  <c r="H33" i="5"/>
  <c r="AD33" i="5"/>
  <c r="J33" i="5"/>
  <c r="G33" i="5"/>
  <c r="E33" i="5"/>
  <c r="F33" i="5"/>
  <c r="A33" i="12"/>
  <c r="B33" i="6"/>
  <c r="B33" i="5"/>
  <c r="C34" i="5" s="1"/>
  <c r="N33" i="5"/>
  <c r="D33" i="6" s="1"/>
  <c r="G33" i="6" s="1"/>
  <c r="K33" i="5"/>
  <c r="D33" i="5"/>
  <c r="B33" i="12" s="1"/>
  <c r="AE33" i="5"/>
  <c r="B68" i="8"/>
  <c r="G32" i="12"/>
  <c r="C93" i="3"/>
  <c r="W34" i="5" l="1"/>
  <c r="H34" i="12" s="1"/>
  <c r="F34" i="5"/>
  <c r="A34" i="12"/>
  <c r="I34" i="5"/>
  <c r="H34" i="5"/>
  <c r="E34" i="5"/>
  <c r="B34" i="5"/>
  <c r="B34" i="6"/>
  <c r="J34" i="6" s="1" a="1"/>
  <c r="J34" i="6" s="1"/>
  <c r="AD34" i="5"/>
  <c r="G34" i="5"/>
  <c r="N34" i="5"/>
  <c r="D34" i="6" s="1"/>
  <c r="H34" i="6" s="1"/>
  <c r="T34" i="5" s="1"/>
  <c r="AE34" i="5"/>
  <c r="C35" i="5"/>
  <c r="H33" i="6"/>
  <c r="T33" i="5" s="1"/>
  <c r="G33" i="12" s="1"/>
  <c r="B71" i="8"/>
  <c r="C112" i="3"/>
  <c r="C108" i="3"/>
  <c r="C70" i="3"/>
  <c r="L35" i="13"/>
  <c r="L34" i="13" s="1"/>
  <c r="C84" i="3"/>
  <c r="M34" i="6" l="1"/>
  <c r="G34" i="6"/>
  <c r="N34" i="6"/>
  <c r="K35" i="5"/>
  <c r="A35" i="12"/>
  <c r="B35" i="6"/>
  <c r="AD35" i="5"/>
  <c r="AE35" i="5"/>
  <c r="C36" i="5"/>
  <c r="E35" i="5"/>
  <c r="F35" i="5"/>
  <c r="H35" i="5"/>
  <c r="B35" i="5"/>
  <c r="J35" i="5"/>
  <c r="D35" i="5"/>
  <c r="B35" i="12" s="1"/>
  <c r="N35" i="5"/>
  <c r="D35" i="6" s="1"/>
  <c r="H35" i="6" s="1"/>
  <c r="T35" i="5" s="1"/>
  <c r="G35" i="5"/>
  <c r="B74" i="8"/>
  <c r="G34" i="12"/>
  <c r="C56" i="3"/>
  <c r="G35" i="6" l="1"/>
  <c r="E36" i="5"/>
  <c r="AD36" i="5"/>
  <c r="D36" i="5"/>
  <c r="B36" i="12" s="1"/>
  <c r="A36" i="12"/>
  <c r="B36" i="5"/>
  <c r="C37" i="5" s="1"/>
  <c r="J36" i="5"/>
  <c r="K36" i="5"/>
  <c r="G36" i="5"/>
  <c r="B36" i="6"/>
  <c r="H36" i="5"/>
  <c r="N36" i="5"/>
  <c r="D36" i="6" s="1"/>
  <c r="G36" i="6" s="1"/>
  <c r="AE36" i="5"/>
  <c r="F36" i="5"/>
  <c r="B77" i="8"/>
  <c r="G35" i="12"/>
  <c r="Q13" i="6"/>
  <c r="A1" i="7"/>
  <c r="V70" i="7" a="1"/>
  <c r="V70" i="7" s="1"/>
  <c r="Y5" i="7"/>
  <c r="X5" i="7"/>
  <c r="P5" i="7"/>
  <c r="C60" i="3"/>
  <c r="S4" i="8"/>
  <c r="F5" i="7"/>
  <c r="H36" i="6" l="1"/>
  <c r="T36" i="5" s="1"/>
  <c r="G36" i="12" s="1"/>
  <c r="AE37" i="5"/>
  <c r="G37" i="5"/>
  <c r="N37" i="5"/>
  <c r="D37" i="6" s="1"/>
  <c r="N37" i="6" s="1"/>
  <c r="F37" i="5"/>
  <c r="C38" i="5"/>
  <c r="H37" i="5"/>
  <c r="I37" i="5"/>
  <c r="B37" i="5"/>
  <c r="B37" i="6"/>
  <c r="J37" i="6" s="1" a="1"/>
  <c r="J37" i="6" s="1"/>
  <c r="W37" i="5"/>
  <c r="H37" i="12" s="1"/>
  <c r="E37" i="5"/>
  <c r="AD37" i="5"/>
  <c r="A37" i="12"/>
  <c r="B80" i="8"/>
  <c r="R13" i="6"/>
  <c r="S13" i="6" s="1"/>
  <c r="V71" i="7"/>
  <c r="V72" i="7"/>
  <c r="N5" i="7"/>
  <c r="O5" i="7"/>
  <c r="M37" i="6" l="1"/>
  <c r="G37" i="6"/>
  <c r="H37" i="6"/>
  <c r="T37" i="5" s="1"/>
  <c r="G37" i="12" s="1"/>
  <c r="H38" i="5"/>
  <c r="C39" i="5"/>
  <c r="D38" i="5"/>
  <c r="B38" i="12" s="1"/>
  <c r="AD38" i="5"/>
  <c r="K38" i="5"/>
  <c r="J38" i="5"/>
  <c r="G38" i="5"/>
  <c r="N38" i="5"/>
  <c r="D38" i="6" s="1"/>
  <c r="H38" i="6" s="1"/>
  <c r="T38" i="5" s="1"/>
  <c r="E38" i="5"/>
  <c r="A38" i="12"/>
  <c r="AE38" i="5"/>
  <c r="F38" i="5"/>
  <c r="B38" i="6"/>
  <c r="B38" i="5"/>
  <c r="B83" i="8"/>
  <c r="T13" i="6"/>
  <c r="E10" i="7"/>
  <c r="C57" i="3"/>
  <c r="C82" i="3"/>
  <c r="C77" i="3"/>
  <c r="B78" i="9"/>
  <c r="D71" i="7"/>
  <c r="V77" i="9" a="1"/>
  <c r="V79" i="9" s="1"/>
  <c r="B75" i="9"/>
  <c r="J67" i="9"/>
  <c r="L67" i="9" s="1"/>
  <c r="N67" i="9" s="1"/>
  <c r="P67" i="9" s="1"/>
  <c r="R67" i="9" s="1"/>
  <c r="T67" i="9" s="1"/>
  <c r="V67" i="9" s="1"/>
  <c r="X67" i="9" s="1"/>
  <c r="Z67" i="9" s="1"/>
  <c r="AB67" i="9" s="1"/>
  <c r="AD67" i="9" s="1"/>
  <c r="M5" i="9"/>
  <c r="J5" i="9"/>
  <c r="G5" i="9"/>
  <c r="B5" i="9"/>
  <c r="G38" i="6" l="1"/>
  <c r="N39" i="5"/>
  <c r="D39" i="6" s="1"/>
  <c r="H39" i="6" s="1"/>
  <c r="T39" i="5" s="1"/>
  <c r="H39" i="5"/>
  <c r="AD39" i="5"/>
  <c r="B39" i="6"/>
  <c r="AE39" i="5"/>
  <c r="D39" i="5"/>
  <c r="B39" i="12" s="1"/>
  <c r="F39" i="5"/>
  <c r="G39" i="5"/>
  <c r="A39" i="12"/>
  <c r="C40" i="5"/>
  <c r="B39" i="5"/>
  <c r="J39" i="5"/>
  <c r="K39" i="5"/>
  <c r="E39" i="5"/>
  <c r="B86" i="8"/>
  <c r="G38" i="12"/>
  <c r="U13" i="6"/>
  <c r="V77" i="9"/>
  <c r="V78" i="9"/>
  <c r="L70" i="7" a="1"/>
  <c r="L72" i="7" s="1"/>
  <c r="D68" i="7"/>
  <c r="C5" i="7"/>
  <c r="G39" i="6" l="1"/>
  <c r="D40" i="5"/>
  <c r="B40" i="12" s="1"/>
  <c r="K40" i="5"/>
  <c r="G40" i="5"/>
  <c r="J40" i="5"/>
  <c r="AD40" i="5"/>
  <c r="H40" i="5"/>
  <c r="F40" i="5"/>
  <c r="A40" i="12"/>
  <c r="B40" i="5"/>
  <c r="C41" i="5" s="1"/>
  <c r="B40" i="6"/>
  <c r="AE40" i="5"/>
  <c r="E40" i="5"/>
  <c r="N40" i="5"/>
  <c r="D40" i="6" s="1"/>
  <c r="H40" i="6" s="1"/>
  <c r="T40" i="5" s="1"/>
  <c r="G39" i="12"/>
  <c r="V13" i="6"/>
  <c r="L70" i="7"/>
  <c r="L71" i="7"/>
  <c r="C69" i="3"/>
  <c r="C86" i="3"/>
  <c r="C81" i="3"/>
  <c r="C80" i="3"/>
  <c r="C79" i="3"/>
  <c r="C76" i="3"/>
  <c r="C75" i="3"/>
  <c r="C74" i="3"/>
  <c r="C67" i="3"/>
  <c r="C65" i="3"/>
  <c r="C64" i="3"/>
  <c r="C61" i="3"/>
  <c r="C62" i="3"/>
  <c r="C59" i="3"/>
  <c r="C58" i="3"/>
  <c r="C72" i="3"/>
  <c r="S108" i="4" a="1"/>
  <c r="S108" i="4" s="1"/>
  <c r="X108" i="4" s="1"/>
  <c r="S68" i="4" a="1"/>
  <c r="S68" i="4" s="1"/>
  <c r="X68" i="4" s="1"/>
  <c r="S28" i="4" a="1"/>
  <c r="S28" i="4" s="1"/>
  <c r="Y28" i="4" s="1"/>
  <c r="G40" i="6" l="1"/>
  <c r="N41" i="5"/>
  <c r="D41" i="6" s="1"/>
  <c r="M41" i="6" s="1"/>
  <c r="W41" i="5"/>
  <c r="H41" i="12" s="1"/>
  <c r="B41" i="5"/>
  <c r="B41" i="6"/>
  <c r="J41" i="6" s="1" a="1"/>
  <c r="J41" i="6" s="1"/>
  <c r="AD41" i="5"/>
  <c r="I41" i="5"/>
  <c r="A41" i="12"/>
  <c r="F41" i="5"/>
  <c r="K37" i="5" s="1"/>
  <c r="AE41" i="5"/>
  <c r="H41" i="5"/>
  <c r="G41" i="5"/>
  <c r="C42" i="5"/>
  <c r="E41" i="5"/>
  <c r="G40" i="12"/>
  <c r="W13" i="6"/>
  <c r="X28" i="4"/>
  <c r="Z108" i="4"/>
  <c r="Y108" i="4"/>
  <c r="Z68" i="4"/>
  <c r="Y68" i="4"/>
  <c r="Z28" i="4"/>
  <c r="E28" i="14"/>
  <c r="C15" i="14"/>
  <c r="L4" i="13"/>
  <c r="I5" i="12"/>
  <c r="F4" i="11"/>
  <c r="D7" i="10"/>
  <c r="K8" i="8"/>
  <c r="L5" i="4"/>
  <c r="C14" i="15"/>
  <c r="C52" i="3"/>
  <c r="G10" i="6" a="1"/>
  <c r="G10" i="6" s="1"/>
  <c r="Q5" i="5" a="1"/>
  <c r="Q5" i="5" s="1"/>
  <c r="F9" i="5"/>
  <c r="F8" i="5"/>
  <c r="P85" i="4"/>
  <c r="C51" i="3"/>
  <c r="C47" i="3"/>
  <c r="C43" i="3"/>
  <c r="C41" i="3"/>
  <c r="C39" i="3"/>
  <c r="E2" i="15"/>
  <c r="C34" i="3"/>
  <c r="C32" i="3"/>
  <c r="A12" i="6"/>
  <c r="AX13" i="6"/>
  <c r="AX12" i="6" s="1"/>
  <c r="AB13" i="6"/>
  <c r="AB12" i="6" s="1"/>
  <c r="AM13" i="6"/>
  <c r="AM12" i="6" s="1"/>
  <c r="H12" i="10"/>
  <c r="H11" i="10" s="1"/>
  <c r="U27" i="4"/>
  <c r="BG15" i="6"/>
  <c r="BF15" i="6"/>
  <c r="BE15" i="6"/>
  <c r="BD15" i="6"/>
  <c r="BC15" i="6"/>
  <c r="BB15" i="6"/>
  <c r="BA15" i="6"/>
  <c r="AZ15" i="6"/>
  <c r="AY15" i="6"/>
  <c r="AX15" i="6"/>
  <c r="G12" i="9"/>
  <c r="C20" i="3"/>
  <c r="C22" i="3"/>
  <c r="C24" i="3"/>
  <c r="C26" i="3"/>
  <c r="C28" i="3"/>
  <c r="C19" i="3"/>
  <c r="C15" i="3"/>
  <c r="C14" i="3"/>
  <c r="C12" i="3"/>
  <c r="I36" i="11"/>
  <c r="I35" i="11"/>
  <c r="AA104" i="8" a="1"/>
  <c r="T411" i="6" a="1"/>
  <c r="T413" i="6" s="1"/>
  <c r="I411" i="6" a="1"/>
  <c r="I412" i="6" s="1"/>
  <c r="C2" i="4"/>
  <c r="Z7" i="11"/>
  <c r="V12" i="8"/>
  <c r="E12" i="8"/>
  <c r="A14" i="5"/>
  <c r="C14" i="5" s="1"/>
  <c r="AV15" i="6"/>
  <c r="AU15" i="6"/>
  <c r="AT15" i="6"/>
  <c r="AS15" i="6"/>
  <c r="AR15" i="6"/>
  <c r="AQ15" i="6"/>
  <c r="AP15" i="6"/>
  <c r="AO15" i="6"/>
  <c r="AN15" i="6"/>
  <c r="AM15" i="6"/>
  <c r="D12" i="11"/>
  <c r="A12" i="11" s="1"/>
  <c r="L39" i="13"/>
  <c r="U107" i="4"/>
  <c r="U67" i="4"/>
  <c r="C8" i="4"/>
  <c r="C9" i="4"/>
  <c r="C10" i="4"/>
  <c r="C11" i="4"/>
  <c r="C12" i="4"/>
  <c r="C13" i="4"/>
  <c r="L46" i="13"/>
  <c r="B1" i="8"/>
  <c r="C10" i="15"/>
  <c r="E24" i="15"/>
  <c r="E22" i="15"/>
  <c r="G18" i="15"/>
  <c r="E18" i="15"/>
  <c r="C18" i="15"/>
  <c r="C12" i="15"/>
  <c r="E12" i="15"/>
  <c r="G10" i="15"/>
  <c r="E10" i="15"/>
  <c r="B20" i="15"/>
  <c r="B16" i="15"/>
  <c r="B8" i="15"/>
  <c r="O1" i="4"/>
  <c r="A3" i="4"/>
  <c r="C3" i="4" s="1"/>
  <c r="J5" i="4"/>
  <c r="N5" i="4"/>
  <c r="J8" i="4"/>
  <c r="C14" i="4"/>
  <c r="A15" i="4"/>
  <c r="C15" i="4" s="1"/>
  <c r="C20" i="4"/>
  <c r="A21" i="4"/>
  <c r="A22" i="4" s="1"/>
  <c r="A23" i="4" s="1"/>
  <c r="A24" i="4" s="1"/>
  <c r="A25" i="4" s="1"/>
  <c r="C25" i="4" s="1"/>
  <c r="J21" i="4"/>
  <c r="R21" i="4"/>
  <c r="J22" i="4"/>
  <c r="R22" i="4"/>
  <c r="J23" i="4"/>
  <c r="R23" i="4"/>
  <c r="J24" i="4"/>
  <c r="R24" i="4"/>
  <c r="J25" i="4"/>
  <c r="R25" i="4"/>
  <c r="C26" i="4"/>
  <c r="A27" i="4"/>
  <c r="A28" i="4" s="1"/>
  <c r="A29" i="4" s="1"/>
  <c r="C29" i="4" s="1"/>
  <c r="C32" i="4"/>
  <c r="A33" i="4"/>
  <c r="A34" i="4" s="1"/>
  <c r="A35" i="4" s="1"/>
  <c r="N35" i="4"/>
  <c r="C38" i="4"/>
  <c r="C39" i="4"/>
  <c r="C40" i="4"/>
  <c r="C41" i="4"/>
  <c r="C42" i="4"/>
  <c r="C43" i="4"/>
  <c r="C44" i="4"/>
  <c r="J38" i="4"/>
  <c r="A45" i="4"/>
  <c r="A46" i="4" s="1"/>
  <c r="A47" i="4" s="1"/>
  <c r="A48" i="4" s="1"/>
  <c r="A49" i="4" s="1"/>
  <c r="C49" i="4" s="1"/>
  <c r="J40" i="4"/>
  <c r="J45" i="4"/>
  <c r="K50" i="4" a="1"/>
  <c r="K52" i="4" s="1"/>
  <c r="J61" i="4"/>
  <c r="R61" i="4"/>
  <c r="J62" i="4"/>
  <c r="R62" i="4"/>
  <c r="J63" i="4"/>
  <c r="R63" i="4"/>
  <c r="J64" i="4"/>
  <c r="R64" i="4"/>
  <c r="J65" i="4"/>
  <c r="R65" i="4"/>
  <c r="N75" i="4"/>
  <c r="J78" i="4"/>
  <c r="J80" i="4"/>
  <c r="J85" i="4"/>
  <c r="K90" i="4" a="1"/>
  <c r="K92" i="4" s="1"/>
  <c r="J101" i="4"/>
  <c r="R101" i="4"/>
  <c r="J102" i="4"/>
  <c r="R102" i="4"/>
  <c r="J103" i="4"/>
  <c r="R103" i="4"/>
  <c r="J104" i="4"/>
  <c r="R104" i="4"/>
  <c r="J105" i="4"/>
  <c r="R105" i="4"/>
  <c r="N115" i="4"/>
  <c r="J118" i="4"/>
  <c r="J120" i="4"/>
  <c r="J125" i="4"/>
  <c r="K130" i="4" a="1"/>
  <c r="K131" i="4" s="1"/>
  <c r="E1" i="12"/>
  <c r="D5" i="12"/>
  <c r="F5" i="12"/>
  <c r="J5" i="12"/>
  <c r="O5" i="12"/>
  <c r="A7" i="12"/>
  <c r="I7" i="12"/>
  <c r="D8" i="12"/>
  <c r="E8" i="12"/>
  <c r="F8" i="12"/>
  <c r="I8" i="12"/>
  <c r="J12" i="12"/>
  <c r="Q12" i="12"/>
  <c r="V13" i="12"/>
  <c r="W13" i="12"/>
  <c r="X13" i="12"/>
  <c r="D15" i="12"/>
  <c r="AB15" i="12"/>
  <c r="D414" i="12"/>
  <c r="E415" i="12"/>
  <c r="K417" i="12" a="1"/>
  <c r="K419" i="12" s="1"/>
  <c r="E10" i="6"/>
  <c r="I10" i="6"/>
  <c r="K10" i="6"/>
  <c r="S10" i="6"/>
  <c r="U10" i="6"/>
  <c r="O13" i="6"/>
  <c r="O15" i="6" s="1"/>
  <c r="O11" i="6" s="1"/>
  <c r="B15" i="6"/>
  <c r="C15" i="6"/>
  <c r="D15" i="6"/>
  <c r="E15" i="6"/>
  <c r="B405" i="6"/>
  <c r="C405" i="6"/>
  <c r="F409" i="6"/>
  <c r="S5" i="8"/>
  <c r="Z7" i="8"/>
  <c r="AF7" i="8"/>
  <c r="I8" i="8"/>
  <c r="L8" i="8"/>
  <c r="U8" i="8"/>
  <c r="Z8" i="8"/>
  <c r="AF8" i="8"/>
  <c r="E13" i="8"/>
  <c r="V13" i="8"/>
  <c r="W13" i="8" s="1"/>
  <c r="X13" i="8" s="1"/>
  <c r="Y13" i="8" s="1"/>
  <c r="Z13" i="8" s="1"/>
  <c r="AA13" i="8" s="1"/>
  <c r="AB13" i="8" s="1"/>
  <c r="AC13" i="8" s="1"/>
  <c r="AD13" i="8" s="1"/>
  <c r="AE13" i="8" s="1"/>
  <c r="AF13" i="8" s="1"/>
  <c r="T91" i="8"/>
  <c r="T96" i="8"/>
  <c r="I102" i="8"/>
  <c r="B1" i="9"/>
  <c r="E12" i="9"/>
  <c r="I2" i="2"/>
  <c r="K2" i="2"/>
  <c r="M2" i="2"/>
  <c r="O2" i="2"/>
  <c r="Q2" i="2"/>
  <c r="S2" i="2"/>
  <c r="U2" i="2"/>
  <c r="W2" i="2"/>
  <c r="Y2" i="2"/>
  <c r="AA2" i="2"/>
  <c r="AC2" i="2"/>
  <c r="AE2" i="2"/>
  <c r="AG2" i="2"/>
  <c r="AI2" i="2"/>
  <c r="AK2" i="2"/>
  <c r="AM2" i="2"/>
  <c r="AO2" i="2"/>
  <c r="B9" i="2"/>
  <c r="C8" i="3"/>
  <c r="C9" i="3"/>
  <c r="C18" i="14"/>
  <c r="C19" i="14"/>
  <c r="B22" i="14"/>
  <c r="B24" i="14"/>
  <c r="B30" i="14"/>
  <c r="B54" i="14"/>
  <c r="B55" i="14"/>
  <c r="O5" i="5"/>
  <c r="R5" i="5"/>
  <c r="S5" i="5"/>
  <c r="O415" i="5"/>
  <c r="M15" i="5"/>
  <c r="N15" i="5"/>
  <c r="O15" i="5"/>
  <c r="O418" i="5"/>
  <c r="T420" i="5" a="1"/>
  <c r="T420" i="5" s="1"/>
  <c r="B1" i="10"/>
  <c r="H4" i="10"/>
  <c r="V6" i="10"/>
  <c r="AE6" i="10"/>
  <c r="B7" i="10"/>
  <c r="H7" i="10"/>
  <c r="O7" i="10"/>
  <c r="V7" i="10"/>
  <c r="AE7" i="10"/>
  <c r="F12" i="10"/>
  <c r="F11" i="10" s="1"/>
  <c r="B77" i="10"/>
  <c r="W79" i="10" a="1"/>
  <c r="W80" i="10" s="1"/>
  <c r="D4" i="11"/>
  <c r="G4" i="11"/>
  <c r="J4" i="11"/>
  <c r="M6" i="11"/>
  <c r="D7" i="11"/>
  <c r="L7" i="11"/>
  <c r="M7" i="11"/>
  <c r="N7" i="11"/>
  <c r="J12" i="11"/>
  <c r="I12" i="13" s="1"/>
  <c r="L13" i="11"/>
  <c r="L9" i="11" s="1"/>
  <c r="D33" i="11"/>
  <c r="F1" i="13"/>
  <c r="E4" i="13"/>
  <c r="I4" i="13"/>
  <c r="P4" i="13"/>
  <c r="M6" i="13"/>
  <c r="E7" i="13"/>
  <c r="I7" i="13"/>
  <c r="M7" i="13"/>
  <c r="N7" i="13"/>
  <c r="M11" i="13"/>
  <c r="Y11" i="13"/>
  <c r="G12" i="13"/>
  <c r="H12" i="13"/>
  <c r="J25" i="13"/>
  <c r="AC2" i="13" s="1"/>
  <c r="E35" i="13"/>
  <c r="E39" i="13"/>
  <c r="F40" i="13"/>
  <c r="M40" i="13"/>
  <c r="E41" i="13"/>
  <c r="F41" i="13"/>
  <c r="L41" i="13"/>
  <c r="M41" i="13"/>
  <c r="M42" i="13"/>
  <c r="L43" i="13"/>
  <c r="M43" i="13"/>
  <c r="E46" i="13"/>
  <c r="E48" i="13"/>
  <c r="L48" i="13"/>
  <c r="E49" i="13"/>
  <c r="L49" i="13"/>
  <c r="D412" i="12"/>
  <c r="K130" i="4"/>
  <c r="O8" i="5"/>
  <c r="H41" i="6" l="1"/>
  <c r="T41" i="5" s="1"/>
  <c r="G41" i="6"/>
  <c r="N41" i="6"/>
  <c r="F42" i="5"/>
  <c r="J42" i="5"/>
  <c r="E42" i="5"/>
  <c r="N42" i="5"/>
  <c r="D42" i="6" s="1"/>
  <c r="G42" i="6" s="1"/>
  <c r="A42" i="12"/>
  <c r="C43" i="5"/>
  <c r="AD42" i="5"/>
  <c r="B42" i="6"/>
  <c r="B42" i="5"/>
  <c r="G42" i="5"/>
  <c r="AE42" i="5"/>
  <c r="H42" i="5"/>
  <c r="D42" i="5"/>
  <c r="B42" i="12" s="1"/>
  <c r="K42" i="5"/>
  <c r="X64" i="7" a="1"/>
  <c r="X64" i="7" s="1"/>
  <c r="R64" i="7" a="1"/>
  <c r="R64" i="7" s="1"/>
  <c r="L64" i="7" a="1"/>
  <c r="L64" i="7" s="1"/>
  <c r="E64" i="7" a="1"/>
  <c r="E64" i="7" s="1"/>
  <c r="V63" i="7" a="1"/>
  <c r="V63" i="7" s="1"/>
  <c r="P63" i="7" a="1"/>
  <c r="P63" i="7" s="1"/>
  <c r="J63" i="7" a="1"/>
  <c r="J63" i="7" s="1"/>
  <c r="T62" i="7" a="1"/>
  <c r="T62" i="7" s="1"/>
  <c r="N62" i="7" a="1"/>
  <c r="N62" i="7" s="1"/>
  <c r="H62" i="7" a="1"/>
  <c r="H62" i="7" s="1"/>
  <c r="X61" i="7" a="1"/>
  <c r="X61" i="7" s="1"/>
  <c r="R61" i="7" a="1"/>
  <c r="R61" i="7" s="1"/>
  <c r="L61" i="7" a="1"/>
  <c r="L61" i="7" s="1"/>
  <c r="E61" i="7" a="1"/>
  <c r="E61" i="7" s="1"/>
  <c r="V60" i="7" a="1"/>
  <c r="V60" i="7" s="1"/>
  <c r="P60" i="7" a="1"/>
  <c r="P60" i="7" s="1"/>
  <c r="J60" i="7" a="1"/>
  <c r="J60" i="7" s="1"/>
  <c r="T59" i="7" a="1"/>
  <c r="T59" i="7" s="1"/>
  <c r="N59" i="7" a="1"/>
  <c r="N59" i="7" s="1"/>
  <c r="H59" i="7" a="1"/>
  <c r="H59" i="7" s="1"/>
  <c r="X58" i="7" a="1"/>
  <c r="X58" i="7" s="1"/>
  <c r="R58" i="7" a="1"/>
  <c r="R58" i="7" s="1"/>
  <c r="L58" i="7" a="1"/>
  <c r="L58" i="7" s="1"/>
  <c r="E58" i="7" a="1"/>
  <c r="E58" i="7" s="1"/>
  <c r="V57" i="7" a="1"/>
  <c r="V57" i="7" s="1"/>
  <c r="P57" i="7" a="1"/>
  <c r="P57" i="7" s="1"/>
  <c r="J57" i="7" a="1"/>
  <c r="J57" i="7" s="1"/>
  <c r="T56" i="7" a="1"/>
  <c r="T56" i="7" s="1"/>
  <c r="N56" i="7" a="1"/>
  <c r="N56" i="7" s="1"/>
  <c r="H56" i="7" a="1"/>
  <c r="H56" i="7" s="1"/>
  <c r="X55" i="7" a="1"/>
  <c r="X55" i="7" s="1"/>
  <c r="R55" i="7" a="1"/>
  <c r="R55" i="7" s="1"/>
  <c r="L55" i="7" a="1"/>
  <c r="L55" i="7" s="1"/>
  <c r="E55" i="7" a="1"/>
  <c r="E55" i="7" s="1"/>
  <c r="V54" i="7" a="1"/>
  <c r="V54" i="7" s="1"/>
  <c r="P54" i="7" a="1"/>
  <c r="P54" i="7" s="1"/>
  <c r="J54" i="7" a="1"/>
  <c r="J54" i="7" s="1"/>
  <c r="T53" i="7" a="1"/>
  <c r="T53" i="7" s="1"/>
  <c r="N53" i="7" a="1"/>
  <c r="N53" i="7" s="1"/>
  <c r="H53" i="7" a="1"/>
  <c r="H53" i="7" s="1"/>
  <c r="X52" i="7" a="1"/>
  <c r="X52" i="7" s="1"/>
  <c r="R52" i="7" a="1"/>
  <c r="R52" i="7" s="1"/>
  <c r="L52" i="7" a="1"/>
  <c r="L52" i="7" s="1"/>
  <c r="E52" i="7" a="1"/>
  <c r="E52" i="7" s="1"/>
  <c r="V51" i="7" a="1"/>
  <c r="V51" i="7" s="1"/>
  <c r="P51" i="7" a="1"/>
  <c r="P51" i="7" s="1"/>
  <c r="J51" i="7" a="1"/>
  <c r="J51" i="7" s="1"/>
  <c r="T50" i="7" a="1"/>
  <c r="T50" i="7" s="1"/>
  <c r="N50" i="7" a="1"/>
  <c r="N50" i="7" s="1"/>
  <c r="H50" i="7" a="1"/>
  <c r="H50" i="7" s="1"/>
  <c r="W64" i="7" a="1"/>
  <c r="W64" i="7" s="1"/>
  <c r="Q64" i="7" a="1"/>
  <c r="Q64" i="7" s="1"/>
  <c r="K64" i="7" a="1"/>
  <c r="K64" i="7" s="1"/>
  <c r="U63" i="7" a="1"/>
  <c r="U63" i="7" s="1"/>
  <c r="O63" i="7" a="1"/>
  <c r="O63" i="7" s="1"/>
  <c r="Y64" i="7" a="1"/>
  <c r="Y64" i="7" s="1"/>
  <c r="S64" i="7" a="1"/>
  <c r="S64" i="7" s="1"/>
  <c r="M64" i="7" a="1"/>
  <c r="M64" i="7" s="1"/>
  <c r="T64" i="7" a="1"/>
  <c r="T64" i="7" s="1"/>
  <c r="N63" i="7" a="1"/>
  <c r="N63" i="7" s="1"/>
  <c r="Q62" i="7" a="1"/>
  <c r="Q62" i="7" s="1"/>
  <c r="E62" i="7" a="1"/>
  <c r="E62" i="7" s="1"/>
  <c r="S61" i="7" a="1"/>
  <c r="S61" i="7" s="1"/>
  <c r="I60" i="7" a="1"/>
  <c r="I60" i="7" s="1"/>
  <c r="W58" i="7" a="1"/>
  <c r="W58" i="7" s="1"/>
  <c r="N58" i="7" a="1"/>
  <c r="N58" i="7" s="1"/>
  <c r="Y57" i="7" a="1"/>
  <c r="Y57" i="7" s="1"/>
  <c r="N57" i="7" a="1"/>
  <c r="N57" i="7" s="1"/>
  <c r="M56" i="7" a="1"/>
  <c r="M56" i="7" s="1"/>
  <c r="E56" i="7" a="1"/>
  <c r="E56" i="7" s="1"/>
  <c r="U55" i="7" a="1"/>
  <c r="U55" i="7" s="1"/>
  <c r="N55" i="7" a="1"/>
  <c r="N55" i="7" s="1"/>
  <c r="F55" i="7"/>
  <c r="U54" i="7" a="1"/>
  <c r="U54" i="7" s="1"/>
  <c r="N54" i="7" a="1"/>
  <c r="N54" i="7" s="1"/>
  <c r="F54" i="7"/>
  <c r="S50" i="7" a="1"/>
  <c r="S50" i="7" s="1"/>
  <c r="E50" i="7" a="1"/>
  <c r="E50" i="7" s="1"/>
  <c r="V49" i="7" a="1"/>
  <c r="V49" i="7" s="1"/>
  <c r="P49" i="7" a="1"/>
  <c r="P49" i="7" s="1"/>
  <c r="J49" i="7" a="1"/>
  <c r="J49" i="7" s="1"/>
  <c r="T48" i="7" a="1"/>
  <c r="T48" i="7" s="1"/>
  <c r="N48" i="7" a="1"/>
  <c r="N48" i="7" s="1"/>
  <c r="H48" i="7" a="1"/>
  <c r="H48" i="7" s="1"/>
  <c r="X47" i="7" a="1"/>
  <c r="X47" i="7" s="1"/>
  <c r="R47" i="7" a="1"/>
  <c r="R47" i="7" s="1"/>
  <c r="L47" i="7" a="1"/>
  <c r="L47" i="7" s="1"/>
  <c r="E47" i="7" a="1"/>
  <c r="E47" i="7" s="1"/>
  <c r="V46" i="7" a="1"/>
  <c r="V46" i="7" s="1"/>
  <c r="P46" i="7" a="1"/>
  <c r="P46" i="7" s="1"/>
  <c r="J46" i="7" a="1"/>
  <c r="J46" i="7" s="1"/>
  <c r="T45" i="7" a="1"/>
  <c r="T45" i="7" s="1"/>
  <c r="P64" i="7" a="1"/>
  <c r="P64" i="7" s="1"/>
  <c r="Q61" i="7" a="1"/>
  <c r="Q61" i="7" s="1"/>
  <c r="H61" i="7" a="1"/>
  <c r="H61" i="7" s="1"/>
  <c r="S60" i="7" a="1"/>
  <c r="S60" i="7" s="1"/>
  <c r="H60" i="7" a="1"/>
  <c r="H60" i="7" s="1"/>
  <c r="V59" i="7" a="1"/>
  <c r="V59" i="7" s="1"/>
  <c r="K59" i="7" a="1"/>
  <c r="K59" i="7" s="1"/>
  <c r="V58" i="7" a="1"/>
  <c r="V58" i="7" s="1"/>
  <c r="M58" i="7" a="1"/>
  <c r="M58" i="7" s="1"/>
  <c r="E57" i="7" a="1"/>
  <c r="E57" i="7" s="1"/>
  <c r="U56" i="7" a="1"/>
  <c r="U56" i="7" s="1"/>
  <c r="V53" i="7" a="1"/>
  <c r="V53" i="7" s="1"/>
  <c r="O53" i="7" a="1"/>
  <c r="O53" i="7" s="1"/>
  <c r="F53" i="7"/>
  <c r="V52" i="7" a="1"/>
  <c r="V52" i="7" s="1"/>
  <c r="O52" i="7" a="1"/>
  <c r="O52" i="7" s="1"/>
  <c r="H52" i="7" a="1"/>
  <c r="H52" i="7" s="1"/>
  <c r="W51" i="7" a="1"/>
  <c r="W51" i="7" s="1"/>
  <c r="I51" i="7" a="1"/>
  <c r="I51" i="7" s="1"/>
  <c r="Y50" i="7" a="1"/>
  <c r="Y50" i="7" s="1"/>
  <c r="L50" i="7" a="1"/>
  <c r="L50" i="7" s="1"/>
  <c r="Y63" i="7" a="1"/>
  <c r="Y63" i="7" s="1"/>
  <c r="M63" i="7" a="1"/>
  <c r="M63" i="7" s="1"/>
  <c r="Y62" i="7" a="1"/>
  <c r="Y62" i="7" s="1"/>
  <c r="P62" i="7" a="1"/>
  <c r="P62" i="7" s="1"/>
  <c r="P61" i="7" a="1"/>
  <c r="P61" i="7" s="1"/>
  <c r="F61" i="7"/>
  <c r="U59" i="7" a="1"/>
  <c r="U59" i="7" s="1"/>
  <c r="K58" i="7" a="1"/>
  <c r="K58" i="7" s="1"/>
  <c r="X57" i="7" a="1"/>
  <c r="X57" i="7" s="1"/>
  <c r="M57" i="7" a="1"/>
  <c r="M57" i="7" s="1"/>
  <c r="S56" i="7" a="1"/>
  <c r="S56" i="7" s="1"/>
  <c r="L56" i="7" a="1"/>
  <c r="L56" i="7" s="1"/>
  <c r="T55" i="7" a="1"/>
  <c r="T55" i="7" s="1"/>
  <c r="M55" i="7" a="1"/>
  <c r="M55" i="7" s="1"/>
  <c r="T54" i="7" a="1"/>
  <c r="T54" i="7" s="1"/>
  <c r="M54" i="7" a="1"/>
  <c r="M54" i="7" s="1"/>
  <c r="E54" i="7" a="1"/>
  <c r="E54" i="7" s="1"/>
  <c r="O51" i="7" a="1"/>
  <c r="O51" i="7" s="1"/>
  <c r="R50" i="7" a="1"/>
  <c r="R50" i="7" s="1"/>
  <c r="U49" i="7" a="1"/>
  <c r="U49" i="7" s="1"/>
  <c r="O49" i="7" a="1"/>
  <c r="O49" i="7" s="1"/>
  <c r="I49" i="7" a="1"/>
  <c r="I49" i="7" s="1"/>
  <c r="Y48" i="7" a="1"/>
  <c r="Y48" i="7" s="1"/>
  <c r="S48" i="7" a="1"/>
  <c r="S48" i="7" s="1"/>
  <c r="M48" i="7" a="1"/>
  <c r="M48" i="7" s="1"/>
  <c r="F48" i="7"/>
  <c r="W47" i="7" a="1"/>
  <c r="W47" i="7" s="1"/>
  <c r="Q47" i="7" a="1"/>
  <c r="Q47" i="7" s="1"/>
  <c r="K47" i="7" a="1"/>
  <c r="K47" i="7" s="1"/>
  <c r="O64" i="7" a="1"/>
  <c r="O64" i="7" s="1"/>
  <c r="X62" i="7" a="1"/>
  <c r="X62" i="7" s="1"/>
  <c r="O62" i="7" a="1"/>
  <c r="O62" i="7" s="1"/>
  <c r="R60" i="7" a="1"/>
  <c r="R60" i="7" s="1"/>
  <c r="F60" i="7"/>
  <c r="S59" i="7" a="1"/>
  <c r="S59" i="7" s="1"/>
  <c r="J59" i="7" a="1"/>
  <c r="J59" i="7" s="1"/>
  <c r="U58" i="7" a="1"/>
  <c r="U58" i="7" s="1"/>
  <c r="J58" i="7" a="1"/>
  <c r="J58" i="7" s="1"/>
  <c r="W57" i="7" a="1"/>
  <c r="W57" i="7" s="1"/>
  <c r="U53" i="7" a="1"/>
  <c r="U53" i="7" s="1"/>
  <c r="M53" i="7" a="1"/>
  <c r="M53" i="7" s="1"/>
  <c r="E53" i="7" a="1"/>
  <c r="E53" i="7" s="1"/>
  <c r="U52" i="7" a="1"/>
  <c r="U52" i="7" s="1"/>
  <c r="N52" i="7" a="1"/>
  <c r="N52" i="7" s="1"/>
  <c r="F52" i="7"/>
  <c r="U51" i="7" a="1"/>
  <c r="U51" i="7" s="1"/>
  <c r="H51" i="7" a="1"/>
  <c r="H51" i="7" s="1"/>
  <c r="X50" i="7" a="1"/>
  <c r="X50" i="7" s="1"/>
  <c r="K50" i="7" a="1"/>
  <c r="K50" i="7" s="1"/>
  <c r="X63" i="7" a="1"/>
  <c r="X63" i="7" s="1"/>
  <c r="L63" i="7" a="1"/>
  <c r="L63" i="7" s="1"/>
  <c r="M62" i="7" a="1"/>
  <c r="M62" i="7" s="1"/>
  <c r="O61" i="7" a="1"/>
  <c r="O61" i="7" s="1"/>
  <c r="Q60" i="7" a="1"/>
  <c r="Q60" i="7" s="1"/>
  <c r="R59" i="7" a="1"/>
  <c r="R59" i="7" s="1"/>
  <c r="I59" i="7" a="1"/>
  <c r="I59" i="7" s="1"/>
  <c r="U57" i="7" a="1"/>
  <c r="U57" i="7" s="1"/>
  <c r="L57" i="7" a="1"/>
  <c r="L57" i="7" s="1"/>
  <c r="R56" i="7" a="1"/>
  <c r="R56" i="7" s="1"/>
  <c r="K56" i="7" a="1"/>
  <c r="K56" i="7" s="1"/>
  <c r="S55" i="7" a="1"/>
  <c r="S55" i="7" s="1"/>
  <c r="K55" i="7" a="1"/>
  <c r="K55" i="7" s="1"/>
  <c r="S54" i="7" a="1"/>
  <c r="S54" i="7" s="1"/>
  <c r="L54" i="7" a="1"/>
  <c r="L54" i="7" s="1"/>
  <c r="N51" i="7" a="1"/>
  <c r="N51" i="7" s="1"/>
  <c r="Q50" i="7" a="1"/>
  <c r="Q50" i="7" s="1"/>
  <c r="T49" i="7" a="1"/>
  <c r="T49" i="7" s="1"/>
  <c r="N49" i="7" a="1"/>
  <c r="N49" i="7" s="1"/>
  <c r="H49" i="7" a="1"/>
  <c r="H49" i="7" s="1"/>
  <c r="X48" i="7" a="1"/>
  <c r="X48" i="7" s="1"/>
  <c r="R48" i="7" a="1"/>
  <c r="R48" i="7" s="1"/>
  <c r="L48" i="7" a="1"/>
  <c r="L48" i="7" s="1"/>
  <c r="E48" i="7" a="1"/>
  <c r="E48" i="7" s="1"/>
  <c r="V47" i="7" a="1"/>
  <c r="V47" i="7" s="1"/>
  <c r="P47" i="7" a="1"/>
  <c r="P47" i="7" s="1"/>
  <c r="J47" i="7" a="1"/>
  <c r="J47" i="7" s="1"/>
  <c r="T46" i="7" a="1"/>
  <c r="T46" i="7" s="1"/>
  <c r="N46" i="7" a="1"/>
  <c r="N46" i="7" s="1"/>
  <c r="H46" i="7" a="1"/>
  <c r="H46" i="7" s="1"/>
  <c r="X45" i="7" a="1"/>
  <c r="X45" i="7" s="1"/>
  <c r="R45" i="7" a="1"/>
  <c r="R45" i="7" s="1"/>
  <c r="L45" i="7" a="1"/>
  <c r="L45" i="7" s="1"/>
  <c r="E45" i="7" a="1"/>
  <c r="E45" i="7" s="1"/>
  <c r="V44" i="7" a="1"/>
  <c r="V44" i="7" s="1"/>
  <c r="P44" i="7" a="1"/>
  <c r="P44" i="7" s="1"/>
  <c r="J44" i="7" a="1"/>
  <c r="J44" i="7" s="1"/>
  <c r="T43" i="7" a="1"/>
  <c r="T43" i="7" s="1"/>
  <c r="N43" i="7" a="1"/>
  <c r="N43" i="7" s="1"/>
  <c r="H43" i="7" a="1"/>
  <c r="H43" i="7" s="1"/>
  <c r="X42" i="7" a="1"/>
  <c r="X42" i="7" s="1"/>
  <c r="R42" i="7" a="1"/>
  <c r="R42" i="7" s="1"/>
  <c r="L42" i="7" a="1"/>
  <c r="L42" i="7" s="1"/>
  <c r="E42" i="7" a="1"/>
  <c r="E42" i="7" s="1"/>
  <c r="V41" i="7" a="1"/>
  <c r="V41" i="7" s="1"/>
  <c r="P41" i="7" a="1"/>
  <c r="P41" i="7" s="1"/>
  <c r="J41" i="7" a="1"/>
  <c r="J41" i="7" s="1"/>
  <c r="T40" i="7" a="1"/>
  <c r="T40" i="7" s="1"/>
  <c r="N40" i="7" a="1"/>
  <c r="N40" i="7" s="1"/>
  <c r="H40" i="7" a="1"/>
  <c r="H40" i="7" s="1"/>
  <c r="X39" i="7" a="1"/>
  <c r="X39" i="7" s="1"/>
  <c r="R39" i="7" a="1"/>
  <c r="R39" i="7" s="1"/>
  <c r="L39" i="7" a="1"/>
  <c r="L39" i="7" s="1"/>
  <c r="E39" i="7" a="1"/>
  <c r="E39" i="7" s="1"/>
  <c r="V38" i="7" a="1"/>
  <c r="V38" i="7" s="1"/>
  <c r="P38" i="7" a="1"/>
  <c r="P38" i="7" s="1"/>
  <c r="J38" i="7" a="1"/>
  <c r="J38" i="7" s="1"/>
  <c r="F63" i="7"/>
  <c r="S62" i="7" a="1"/>
  <c r="S62" i="7" s="1"/>
  <c r="J62" i="7" a="1"/>
  <c r="J62" i="7" s="1"/>
  <c r="U61" i="7" a="1"/>
  <c r="U61" i="7" s="1"/>
  <c r="J61" i="7" a="1"/>
  <c r="J61" i="7" s="1"/>
  <c r="W60" i="7" a="1"/>
  <c r="W60" i="7" s="1"/>
  <c r="X59" i="7" a="1"/>
  <c r="X59" i="7" s="1"/>
  <c r="O59" i="7" a="1"/>
  <c r="O59" i="7" s="1"/>
  <c r="R57" i="7" a="1"/>
  <c r="R57" i="7" s="1"/>
  <c r="H57" i="7" a="1"/>
  <c r="H57" i="7" s="1"/>
  <c r="W56" i="7" a="1"/>
  <c r="W56" i="7" s="1"/>
  <c r="X53" i="7" a="1"/>
  <c r="X53" i="7" s="1"/>
  <c r="Q53" i="7" a="1"/>
  <c r="Q53" i="7" s="1"/>
  <c r="J53" i="7" a="1"/>
  <c r="J53" i="7" s="1"/>
  <c r="Y52" i="7" a="1"/>
  <c r="Y52" i="7" s="1"/>
  <c r="Q52" i="7" a="1"/>
  <c r="Q52" i="7" s="1"/>
  <c r="J52" i="7" a="1"/>
  <c r="J52" i="7" s="1"/>
  <c r="Y51" i="7" a="1"/>
  <c r="Y51" i="7" s="1"/>
  <c r="R51" i="7" a="1"/>
  <c r="R51" i="7" s="1"/>
  <c r="U50" i="7" a="1"/>
  <c r="U50" i="7" s="1"/>
  <c r="U64" i="7" a="1"/>
  <c r="U64" i="7" s="1"/>
  <c r="H64" i="7" a="1"/>
  <c r="H64" i="7" s="1"/>
  <c r="R63" i="7" a="1"/>
  <c r="R63" i="7" s="1"/>
  <c r="R62" i="7" a="1"/>
  <c r="R62" i="7" s="1"/>
  <c r="I62" i="7" a="1"/>
  <c r="I62" i="7" s="1"/>
  <c r="U60" i="7" a="1"/>
  <c r="U60" i="7" s="1"/>
  <c r="L60" i="7" a="1"/>
  <c r="L60" i="7" s="1"/>
  <c r="M59" i="7" a="1"/>
  <c r="M59" i="7" s="1"/>
  <c r="O58" i="7" a="1"/>
  <c r="O58" i="7" s="1"/>
  <c r="Q57" i="7" a="1"/>
  <c r="Q57" i="7" s="1"/>
  <c r="O56" i="7" a="1"/>
  <c r="O56" i="7" s="1"/>
  <c r="F56" i="7"/>
  <c r="V55" i="7" a="1"/>
  <c r="V55" i="7" s="1"/>
  <c r="O55" i="7" a="1"/>
  <c r="O55" i="7" s="1"/>
  <c r="H55" i="7" a="1"/>
  <c r="H55" i="7" s="1"/>
  <c r="W54" i="7" a="1"/>
  <c r="W54" i="7" s="1"/>
  <c r="O54" i="7" a="1"/>
  <c r="O54" i="7" s="1"/>
  <c r="H54" i="7" a="1"/>
  <c r="H54" i="7" s="1"/>
  <c r="K51" i="7" a="1"/>
  <c r="K51" i="7" s="1"/>
  <c r="F50" i="7"/>
  <c r="W49" i="7" a="1"/>
  <c r="W49" i="7" s="1"/>
  <c r="Q49" i="7" a="1"/>
  <c r="Q49" i="7" s="1"/>
  <c r="K49" i="7" a="1"/>
  <c r="K49" i="7" s="1"/>
  <c r="U48" i="7" a="1"/>
  <c r="U48" i="7" s="1"/>
  <c r="F64" i="7"/>
  <c r="Q63" i="7" a="1"/>
  <c r="Q63" i="7" s="1"/>
  <c r="E63" i="7" a="1"/>
  <c r="E63" i="7" s="1"/>
  <c r="F62" i="7"/>
  <c r="T61" i="7" a="1"/>
  <c r="T61" i="7" s="1"/>
  <c r="I61" i="7" a="1"/>
  <c r="I61" i="7" s="1"/>
  <c r="T60" i="7" a="1"/>
  <c r="T60" i="7" s="1"/>
  <c r="K60" i="7" a="1"/>
  <c r="K60" i="7" s="1"/>
  <c r="W59" i="7" a="1"/>
  <c r="W59" i="7" s="1"/>
  <c r="L59" i="7" a="1"/>
  <c r="L59" i="7" s="1"/>
  <c r="Y58" i="7" a="1"/>
  <c r="Y58" i="7" s="1"/>
  <c r="O57" i="7" a="1"/>
  <c r="O57" i="7" s="1"/>
  <c r="F57" i="7"/>
  <c r="V56" i="7" a="1"/>
  <c r="V56" i="7" s="1"/>
  <c r="W53" i="7" a="1"/>
  <c r="W53" i="7" s="1"/>
  <c r="P53" i="7" a="1"/>
  <c r="P53" i="7" s="1"/>
  <c r="I53" i="7" a="1"/>
  <c r="I53" i="7" s="1"/>
  <c r="W52" i="7" a="1"/>
  <c r="W52" i="7" s="1"/>
  <c r="P52" i="7" a="1"/>
  <c r="P52" i="7" s="1"/>
  <c r="I52" i="7" a="1"/>
  <c r="I52" i="7" s="1"/>
  <c r="X51" i="7" a="1"/>
  <c r="X51" i="7" s="1"/>
  <c r="Q51" i="7" a="1"/>
  <c r="Q51" i="7" s="1"/>
  <c r="M50" i="7" a="1"/>
  <c r="M50" i="7" s="1"/>
  <c r="Y59" i="7" a="1"/>
  <c r="Y59" i="7" s="1"/>
  <c r="Q58" i="7" a="1"/>
  <c r="Q58" i="7" s="1"/>
  <c r="K57" i="7" a="1"/>
  <c r="K57" i="7" s="1"/>
  <c r="P55" i="7" a="1"/>
  <c r="P55" i="7" s="1"/>
  <c r="R53" i="7" a="1"/>
  <c r="R53" i="7" s="1"/>
  <c r="S52" i="7" a="1"/>
  <c r="S52" i="7" s="1"/>
  <c r="S51" i="7" a="1"/>
  <c r="S51" i="7" s="1"/>
  <c r="P48" i="7" a="1"/>
  <c r="P48" i="7" s="1"/>
  <c r="Q45" i="7" a="1"/>
  <c r="Q45" i="7" s="1"/>
  <c r="F45" i="7"/>
  <c r="S44" i="7" a="1"/>
  <c r="S44" i="7" s="1"/>
  <c r="U43" i="7" a="1"/>
  <c r="U43" i="7" s="1"/>
  <c r="M43" i="7" a="1"/>
  <c r="M43" i="7" s="1"/>
  <c r="M42" i="7" a="1"/>
  <c r="M42" i="7" s="1"/>
  <c r="U41" i="7" a="1"/>
  <c r="U41" i="7" s="1"/>
  <c r="H41" i="7" a="1"/>
  <c r="H41" i="7" s="1"/>
  <c r="X40" i="7" a="1"/>
  <c r="X40" i="7" s="1"/>
  <c r="K40" i="7" a="1"/>
  <c r="K40" i="7" s="1"/>
  <c r="T39" i="7" a="1"/>
  <c r="T39" i="7" s="1"/>
  <c r="F39" i="7"/>
  <c r="I38" i="7" a="1"/>
  <c r="I38" i="7" s="1"/>
  <c r="Y37" i="7" a="1"/>
  <c r="Y37" i="7" s="1"/>
  <c r="S37" i="7" a="1"/>
  <c r="S37" i="7" s="1"/>
  <c r="M37" i="7" a="1"/>
  <c r="M37" i="7" s="1"/>
  <c r="F37" i="7"/>
  <c r="W36" i="7" a="1"/>
  <c r="W36" i="7" s="1"/>
  <c r="Q36" i="7" a="1"/>
  <c r="Q36" i="7" s="1"/>
  <c r="K36" i="7" a="1"/>
  <c r="K36" i="7" s="1"/>
  <c r="U35" i="7" a="1"/>
  <c r="U35" i="7" s="1"/>
  <c r="O35" i="7" a="1"/>
  <c r="O35" i="7" s="1"/>
  <c r="I35" i="7" a="1"/>
  <c r="I35" i="7" s="1"/>
  <c r="Y34" i="7" a="1"/>
  <c r="Y34" i="7" s="1"/>
  <c r="S34" i="7" a="1"/>
  <c r="S34" i="7" s="1"/>
  <c r="M34" i="7" a="1"/>
  <c r="M34" i="7" s="1"/>
  <c r="F34" i="7"/>
  <c r="W33" i="7" a="1"/>
  <c r="W33" i="7" s="1"/>
  <c r="Q33" i="7" a="1"/>
  <c r="Q33" i="7" s="1"/>
  <c r="K33" i="7" a="1"/>
  <c r="K33" i="7" s="1"/>
  <c r="U32" i="7" a="1"/>
  <c r="U32" i="7" s="1"/>
  <c r="O32" i="7" a="1"/>
  <c r="O32" i="7" s="1"/>
  <c r="I32" i="7" a="1"/>
  <c r="I32" i="7" s="1"/>
  <c r="Y31" i="7" a="1"/>
  <c r="Y31" i="7" s="1"/>
  <c r="S31" i="7" a="1"/>
  <c r="S31" i="7" s="1"/>
  <c r="M31" i="7" a="1"/>
  <c r="M31" i="7" s="1"/>
  <c r="F31" i="7"/>
  <c r="W30" i="7" a="1"/>
  <c r="W30" i="7" s="1"/>
  <c r="Q30" i="7" a="1"/>
  <c r="Q30" i="7" s="1"/>
  <c r="K30" i="7" a="1"/>
  <c r="K30" i="7" s="1"/>
  <c r="U29" i="7" a="1"/>
  <c r="U29" i="7" s="1"/>
  <c r="O29" i="7" a="1"/>
  <c r="O29" i="7" s="1"/>
  <c r="I29" i="7" a="1"/>
  <c r="I29" i="7" s="1"/>
  <c r="Y28" i="7" a="1"/>
  <c r="Y28" i="7" s="1"/>
  <c r="S28" i="7" a="1"/>
  <c r="S28" i="7" s="1"/>
  <c r="M28" i="7" a="1"/>
  <c r="M28" i="7" s="1"/>
  <c r="F28" i="7"/>
  <c r="W27" i="7" a="1"/>
  <c r="W27" i="7" s="1"/>
  <c r="Q27" i="7" a="1"/>
  <c r="Q27" i="7" s="1"/>
  <c r="K27" i="7" a="1"/>
  <c r="K27" i="7" s="1"/>
  <c r="U26" i="7" a="1"/>
  <c r="U26" i="7" s="1"/>
  <c r="O26" i="7" a="1"/>
  <c r="O26" i="7" s="1"/>
  <c r="I26" i="7" a="1"/>
  <c r="I26" i="7" s="1"/>
  <c r="Y25" i="7" a="1"/>
  <c r="Y25" i="7" s="1"/>
  <c r="S25" i="7" a="1"/>
  <c r="S25" i="7" s="1"/>
  <c r="M25" i="7" a="1"/>
  <c r="M25" i="7" s="1"/>
  <c r="F25" i="7"/>
  <c r="W24" i="7" a="1"/>
  <c r="W24" i="7" s="1"/>
  <c r="S63" i="7" a="1"/>
  <c r="S63" i="7" s="1"/>
  <c r="K62" i="7" a="1"/>
  <c r="K62" i="7" s="1"/>
  <c r="P58" i="7" a="1"/>
  <c r="P58" i="7" s="1"/>
  <c r="I57" i="7" a="1"/>
  <c r="I57" i="7" s="1"/>
  <c r="J56" i="7" a="1"/>
  <c r="J56" i="7" s="1"/>
  <c r="Q54" i="7" a="1"/>
  <c r="Q54" i="7" s="1"/>
  <c r="V50" i="7" a="1"/>
  <c r="V50" i="7" s="1"/>
  <c r="Y49" i="7" a="1"/>
  <c r="Y49" i="7" s="1"/>
  <c r="F49" i="7"/>
  <c r="O48" i="7" a="1"/>
  <c r="O48" i="7" s="1"/>
  <c r="U47" i="7" a="1"/>
  <c r="U47" i="7" s="1"/>
  <c r="H47" i="7" a="1"/>
  <c r="H47" i="7" s="1"/>
  <c r="R46" i="7" a="1"/>
  <c r="R46" i="7" s="1"/>
  <c r="E46" i="7" a="1"/>
  <c r="E46" i="7" s="1"/>
  <c r="R44" i="7" a="1"/>
  <c r="R44" i="7" s="1"/>
  <c r="H44" i="7" a="1"/>
  <c r="H44" i="7" s="1"/>
  <c r="T42" i="7" a="1"/>
  <c r="T42" i="7" s="1"/>
  <c r="N41" i="7" a="1"/>
  <c r="N41" i="7" s="1"/>
  <c r="Q40" i="7" a="1"/>
  <c r="Q40" i="7" s="1"/>
  <c r="M39" i="7" a="1"/>
  <c r="M39" i="7" s="1"/>
  <c r="O38" i="7" a="1"/>
  <c r="O38" i="7" s="1"/>
  <c r="K63" i="7" a="1"/>
  <c r="K63" i="7" s="1"/>
  <c r="Y60" i="7" a="1"/>
  <c r="Y60" i="7" s="1"/>
  <c r="Q59" i="7" a="1"/>
  <c r="Q59" i="7" s="1"/>
  <c r="I58" i="7" a="1"/>
  <c r="I58" i="7" s="1"/>
  <c r="J55" i="7" a="1"/>
  <c r="J55" i="7" s="1"/>
  <c r="L53" i="7" a="1"/>
  <c r="L53" i="7" s="1"/>
  <c r="M52" i="7" a="1"/>
  <c r="M52" i="7" s="1"/>
  <c r="F47" i="7"/>
  <c r="Q46" i="7" a="1"/>
  <c r="Q46" i="7" s="1"/>
  <c r="P45" i="7" a="1"/>
  <c r="P45" i="7" s="1"/>
  <c r="Q44" i="7" a="1"/>
  <c r="Q44" i="7" s="1"/>
  <c r="F44" i="7"/>
  <c r="L43" i="7" a="1"/>
  <c r="L43" i="7" s="1"/>
  <c r="S42" i="7" a="1"/>
  <c r="S42" i="7" s="1"/>
  <c r="T41" i="7" a="1"/>
  <c r="T41" i="7" s="1"/>
  <c r="F41" i="7"/>
  <c r="W40" i="7" a="1"/>
  <c r="W40" i="7" s="1"/>
  <c r="J40" i="7" a="1"/>
  <c r="J40" i="7" s="1"/>
  <c r="S39" i="7" a="1"/>
  <c r="S39" i="7" s="1"/>
  <c r="U38" i="7" a="1"/>
  <c r="U38" i="7" s="1"/>
  <c r="H38" i="7" a="1"/>
  <c r="H38" i="7" s="1"/>
  <c r="X37" i="7" a="1"/>
  <c r="X37" i="7" s="1"/>
  <c r="R37" i="7" a="1"/>
  <c r="R37" i="7" s="1"/>
  <c r="L37" i="7" a="1"/>
  <c r="L37" i="7" s="1"/>
  <c r="E37" i="7" a="1"/>
  <c r="E37" i="7" s="1"/>
  <c r="V36" i="7" a="1"/>
  <c r="V36" i="7" s="1"/>
  <c r="P36" i="7" a="1"/>
  <c r="P36" i="7" s="1"/>
  <c r="J36" i="7" a="1"/>
  <c r="J36" i="7" s="1"/>
  <c r="T35" i="7" a="1"/>
  <c r="T35" i="7" s="1"/>
  <c r="N35" i="7" a="1"/>
  <c r="N35" i="7" s="1"/>
  <c r="H35" i="7" a="1"/>
  <c r="H35" i="7" s="1"/>
  <c r="X34" i="7" a="1"/>
  <c r="X34" i="7" s="1"/>
  <c r="R34" i="7" a="1"/>
  <c r="R34" i="7" s="1"/>
  <c r="L34" i="7" a="1"/>
  <c r="L34" i="7" s="1"/>
  <c r="E34" i="7" a="1"/>
  <c r="E34" i="7" s="1"/>
  <c r="V33" i="7" a="1"/>
  <c r="V33" i="7" s="1"/>
  <c r="P33" i="7" a="1"/>
  <c r="P33" i="7" s="1"/>
  <c r="J33" i="7" a="1"/>
  <c r="J33" i="7" s="1"/>
  <c r="T32" i="7" a="1"/>
  <c r="T32" i="7" s="1"/>
  <c r="N32" i="7" a="1"/>
  <c r="N32" i="7" s="1"/>
  <c r="H32" i="7" a="1"/>
  <c r="H32" i="7" s="1"/>
  <c r="X31" i="7" a="1"/>
  <c r="X31" i="7" s="1"/>
  <c r="R31" i="7" a="1"/>
  <c r="R31" i="7" s="1"/>
  <c r="L31" i="7" a="1"/>
  <c r="L31" i="7" s="1"/>
  <c r="E31" i="7" a="1"/>
  <c r="E31" i="7" s="1"/>
  <c r="V30" i="7" a="1"/>
  <c r="V30" i="7" s="1"/>
  <c r="P30" i="7" a="1"/>
  <c r="P30" i="7" s="1"/>
  <c r="J30" i="7" a="1"/>
  <c r="J30" i="7" s="1"/>
  <c r="T29" i="7" a="1"/>
  <c r="T29" i="7" s="1"/>
  <c r="N29" i="7" a="1"/>
  <c r="N29" i="7" s="1"/>
  <c r="H29" i="7" a="1"/>
  <c r="H29" i="7" s="1"/>
  <c r="X28" i="7" a="1"/>
  <c r="X28" i="7" s="1"/>
  <c r="R28" i="7" a="1"/>
  <c r="R28" i="7" s="1"/>
  <c r="L28" i="7" a="1"/>
  <c r="L28" i="7" s="1"/>
  <c r="E28" i="7" a="1"/>
  <c r="E28" i="7" s="1"/>
  <c r="V27" i="7" a="1"/>
  <c r="V27" i="7" s="1"/>
  <c r="P27" i="7" a="1"/>
  <c r="P27" i="7" s="1"/>
  <c r="J27" i="7" a="1"/>
  <c r="J27" i="7" s="1"/>
  <c r="T26" i="7" a="1"/>
  <c r="T26" i="7" s="1"/>
  <c r="N26" i="7" a="1"/>
  <c r="N26" i="7" s="1"/>
  <c r="H26" i="7" a="1"/>
  <c r="H26" i="7" s="1"/>
  <c r="X25" i="7" a="1"/>
  <c r="X25" i="7" s="1"/>
  <c r="R25" i="7" a="1"/>
  <c r="R25" i="7" s="1"/>
  <c r="L25" i="7" a="1"/>
  <c r="L25" i="7" s="1"/>
  <c r="E25" i="7" a="1"/>
  <c r="E25" i="7" s="1"/>
  <c r="V24" i="7" a="1"/>
  <c r="V24" i="7" s="1"/>
  <c r="I63" i="7" a="1"/>
  <c r="I63" i="7" s="1"/>
  <c r="I56" i="7" a="1"/>
  <c r="I56" i="7" s="1"/>
  <c r="K54" i="7" a="1"/>
  <c r="K54" i="7" s="1"/>
  <c r="M51" i="7" a="1"/>
  <c r="M51" i="7" s="1"/>
  <c r="X49" i="7" a="1"/>
  <c r="X49" i="7" s="1"/>
  <c r="E49" i="7" a="1"/>
  <c r="E49" i="7" s="1"/>
  <c r="K48" i="7" a="1"/>
  <c r="K48" i="7" s="1"/>
  <c r="T47" i="7" a="1"/>
  <c r="T47" i="7" s="1"/>
  <c r="O46" i="7" a="1"/>
  <c r="O46" i="7" s="1"/>
  <c r="O45" i="7" a="1"/>
  <c r="O45" i="7" s="1"/>
  <c r="E44" i="7" a="1"/>
  <c r="E44" i="7" s="1"/>
  <c r="S43" i="7" a="1"/>
  <c r="S43" i="7" s="1"/>
  <c r="K42" i="7" a="1"/>
  <c r="K42" i="7" s="1"/>
  <c r="M41" i="7" a="1"/>
  <c r="M41" i="7" s="1"/>
  <c r="P40" i="7" a="1"/>
  <c r="P40" i="7" s="1"/>
  <c r="Y39" i="7" a="1"/>
  <c r="Y39" i="7" s="1"/>
  <c r="N38" i="7" a="1"/>
  <c r="N38" i="7" s="1"/>
  <c r="V64" i="7" a="1"/>
  <c r="V64" i="7" s="1"/>
  <c r="H63" i="7" a="1"/>
  <c r="H63" i="7" s="1"/>
  <c r="Y61" i="7" a="1"/>
  <c r="Y61" i="7" s="1"/>
  <c r="X60" i="7" a="1"/>
  <c r="X60" i="7" s="1"/>
  <c r="P59" i="7" a="1"/>
  <c r="P59" i="7" s="1"/>
  <c r="H58" i="7" a="1"/>
  <c r="H58" i="7" s="1"/>
  <c r="Y56" i="7" a="1"/>
  <c r="Y56" i="7" s="1"/>
  <c r="I55" i="7" a="1"/>
  <c r="I55" i="7" s="1"/>
  <c r="K53" i="7" a="1"/>
  <c r="K53" i="7" s="1"/>
  <c r="K52" i="7" a="1"/>
  <c r="K52" i="7" s="1"/>
  <c r="P50" i="7" a="1"/>
  <c r="P50" i="7" s="1"/>
  <c r="S47" i="7" a="1"/>
  <c r="S47" i="7" s="1"/>
  <c r="Y45" i="7" a="1"/>
  <c r="Y45" i="7" s="1"/>
  <c r="N45" i="7" a="1"/>
  <c r="N45" i="7" s="1"/>
  <c r="O44" i="7" a="1"/>
  <c r="O44" i="7" s="1"/>
  <c r="K43" i="7" a="1"/>
  <c r="K43" i="7" s="1"/>
  <c r="Y42" i="7" a="1"/>
  <c r="Y42" i="7" s="1"/>
  <c r="S41" i="7" a="1"/>
  <c r="S41" i="7" s="1"/>
  <c r="E41" i="7" a="1"/>
  <c r="E41" i="7" s="1"/>
  <c r="V40" i="7" a="1"/>
  <c r="V40" i="7" s="1"/>
  <c r="I40" i="7" a="1"/>
  <c r="I40" i="7" s="1"/>
  <c r="K39" i="7" a="1"/>
  <c r="K39" i="7" s="1"/>
  <c r="T38" i="7" a="1"/>
  <c r="T38" i="7" s="1"/>
  <c r="F38" i="7"/>
  <c r="W37" i="7" a="1"/>
  <c r="W37" i="7" s="1"/>
  <c r="Q37" i="7" a="1"/>
  <c r="Q37" i="7" s="1"/>
  <c r="K37" i="7" a="1"/>
  <c r="K37" i="7" s="1"/>
  <c r="U36" i="7" a="1"/>
  <c r="U36" i="7" s="1"/>
  <c r="O36" i="7" a="1"/>
  <c r="O36" i="7" s="1"/>
  <c r="I36" i="7" a="1"/>
  <c r="I36" i="7" s="1"/>
  <c r="Y35" i="7" a="1"/>
  <c r="Y35" i="7" s="1"/>
  <c r="S35" i="7" a="1"/>
  <c r="S35" i="7" s="1"/>
  <c r="M35" i="7" a="1"/>
  <c r="M35" i="7" s="1"/>
  <c r="F35" i="7"/>
  <c r="W34" i="7" a="1"/>
  <c r="W34" i="7" s="1"/>
  <c r="Q34" i="7" a="1"/>
  <c r="Q34" i="7" s="1"/>
  <c r="K34" i="7" a="1"/>
  <c r="K34" i="7" s="1"/>
  <c r="U33" i="7" a="1"/>
  <c r="U33" i="7" s="1"/>
  <c r="O33" i="7" a="1"/>
  <c r="O33" i="7" s="1"/>
  <c r="I33" i="7" a="1"/>
  <c r="I33" i="7" s="1"/>
  <c r="Y32" i="7" a="1"/>
  <c r="Y32" i="7" s="1"/>
  <c r="S32" i="7" a="1"/>
  <c r="S32" i="7" s="1"/>
  <c r="M32" i="7" a="1"/>
  <c r="M32" i="7" s="1"/>
  <c r="F32" i="7"/>
  <c r="W31" i="7" a="1"/>
  <c r="W31" i="7" s="1"/>
  <c r="Q31" i="7" a="1"/>
  <c r="Q31" i="7" s="1"/>
  <c r="K31" i="7" a="1"/>
  <c r="K31" i="7" s="1"/>
  <c r="U30" i="7" a="1"/>
  <c r="U30" i="7" s="1"/>
  <c r="O30" i="7" a="1"/>
  <c r="O30" i="7" s="1"/>
  <c r="I30" i="7" a="1"/>
  <c r="I30" i="7" s="1"/>
  <c r="Y29" i="7" a="1"/>
  <c r="Y29" i="7" s="1"/>
  <c r="S29" i="7" a="1"/>
  <c r="S29" i="7" s="1"/>
  <c r="M29" i="7" a="1"/>
  <c r="M29" i="7" s="1"/>
  <c r="F29" i="7"/>
  <c r="W28" i="7" a="1"/>
  <c r="W28" i="7" s="1"/>
  <c r="Q28" i="7" a="1"/>
  <c r="Q28" i="7" s="1"/>
  <c r="K28" i="7" a="1"/>
  <c r="K28" i="7" s="1"/>
  <c r="U27" i="7" a="1"/>
  <c r="U27" i="7" s="1"/>
  <c r="O27" i="7" a="1"/>
  <c r="O27" i="7" s="1"/>
  <c r="I27" i="7" a="1"/>
  <c r="I27" i="7" s="1"/>
  <c r="Y26" i="7" a="1"/>
  <c r="Y26" i="7" s="1"/>
  <c r="S26" i="7" a="1"/>
  <c r="S26" i="7" s="1"/>
  <c r="M26" i="7" a="1"/>
  <c r="M26" i="7" s="1"/>
  <c r="F26" i="7"/>
  <c r="W25" i="7" a="1"/>
  <c r="W25" i="7" s="1"/>
  <c r="Q25" i="7" a="1"/>
  <c r="Q25" i="7" s="1"/>
  <c r="K25" i="7" a="1"/>
  <c r="K25" i="7" s="1"/>
  <c r="U24" i="7" a="1"/>
  <c r="U24" i="7" s="1"/>
  <c r="O24" i="7" a="1"/>
  <c r="O24" i="7" s="1"/>
  <c r="I24" i="7" a="1"/>
  <c r="I24" i="7" s="1"/>
  <c r="Y23" i="7" a="1"/>
  <c r="Y23" i="7" s="1"/>
  <c r="S23" i="7" a="1"/>
  <c r="S23" i="7" s="1"/>
  <c r="M23" i="7" a="1"/>
  <c r="M23" i="7" s="1"/>
  <c r="F23" i="7"/>
  <c r="W22" i="7" a="1"/>
  <c r="W22" i="7" s="1"/>
  <c r="Q22" i="7" a="1"/>
  <c r="Q22" i="7" s="1"/>
  <c r="K22" i="7" a="1"/>
  <c r="K22" i="7" s="1"/>
  <c r="V62" i="7" a="1"/>
  <c r="V62" i="7" s="1"/>
  <c r="N61" i="7" a="1"/>
  <c r="N61" i="7" s="1"/>
  <c r="E60" i="7" a="1"/>
  <c r="E60" i="7" s="1"/>
  <c r="S57" i="7" a="1"/>
  <c r="S57" i="7" s="1"/>
  <c r="Q56" i="7" a="1"/>
  <c r="Q56" i="7" s="1"/>
  <c r="X54" i="7" a="1"/>
  <c r="X54" i="7" s="1"/>
  <c r="I50" i="7" a="1"/>
  <c r="I50" i="7" s="1"/>
  <c r="M49" i="7" a="1"/>
  <c r="M49" i="7" s="1"/>
  <c r="M47" i="7" a="1"/>
  <c r="M47" i="7" s="1"/>
  <c r="U46" i="7" a="1"/>
  <c r="U46" i="7" s="1"/>
  <c r="I46" i="7" a="1"/>
  <c r="I46" i="7" s="1"/>
  <c r="U45" i="7" a="1"/>
  <c r="U45" i="7" s="1"/>
  <c r="J45" i="7" a="1"/>
  <c r="J45" i="7" s="1"/>
  <c r="U44" i="7" a="1"/>
  <c r="U44" i="7" s="1"/>
  <c r="K44" i="7" a="1"/>
  <c r="K44" i="7" s="1"/>
  <c r="X43" i="7" a="1"/>
  <c r="X43" i="7" s="1"/>
  <c r="O43" i="7" a="1"/>
  <c r="O43" i="7" s="1"/>
  <c r="F43" i="7"/>
  <c r="V42" i="7" a="1"/>
  <c r="V42" i="7" s="1"/>
  <c r="O42" i="7" a="1"/>
  <c r="O42" i="7" s="1"/>
  <c r="H42" i="7" a="1"/>
  <c r="H42" i="7" s="1"/>
  <c r="W41" i="7" a="1"/>
  <c r="W41" i="7" s="1"/>
  <c r="S40" i="7" a="1"/>
  <c r="S40" i="7" s="1"/>
  <c r="E40" i="7" a="1"/>
  <c r="E40" i="7" s="1"/>
  <c r="O39" i="7" a="1"/>
  <c r="O39" i="7" s="1"/>
  <c r="X38" i="7" a="1"/>
  <c r="X38" i="7" s="1"/>
  <c r="K38" i="7" a="1"/>
  <c r="K38" i="7" s="1"/>
  <c r="W63" i="7" a="1"/>
  <c r="W63" i="7" s="1"/>
  <c r="U62" i="7" a="1"/>
  <c r="U62" i="7" s="1"/>
  <c r="M61" i="7" a="1"/>
  <c r="M61" i="7" s="1"/>
  <c r="T58" i="7" a="1"/>
  <c r="T58" i="7" s="1"/>
  <c r="Q55" i="7" a="1"/>
  <c r="Q55" i="7" s="1"/>
  <c r="S53" i="7" a="1"/>
  <c r="S53" i="7" s="1"/>
  <c r="T52" i="7" a="1"/>
  <c r="T52" i="7" s="1"/>
  <c r="T51" i="7" a="1"/>
  <c r="T51" i="7" s="1"/>
  <c r="Q48" i="7" a="1"/>
  <c r="Q48" i="7" s="1"/>
  <c r="S45" i="7" a="1"/>
  <c r="S45" i="7" s="1"/>
  <c r="I45" i="7" a="1"/>
  <c r="I45" i="7" s="1"/>
  <c r="W43" i="7" a="1"/>
  <c r="W43" i="7" s="1"/>
  <c r="F42" i="7"/>
  <c r="I41" i="7" a="1"/>
  <c r="I41" i="7" s="1"/>
  <c r="Y40" i="7" a="1"/>
  <c r="Y40" i="7" s="1"/>
  <c r="L40" i="7" a="1"/>
  <c r="L40" i="7" s="1"/>
  <c r="U39" i="7" a="1"/>
  <c r="U39" i="7" s="1"/>
  <c r="H39" i="7" a="1"/>
  <c r="H39" i="7" s="1"/>
  <c r="Q38" i="7" a="1"/>
  <c r="Q38" i="7" s="1"/>
  <c r="T37" i="7" a="1"/>
  <c r="T37" i="7" s="1"/>
  <c r="N37" i="7" a="1"/>
  <c r="N37" i="7" s="1"/>
  <c r="H37" i="7" a="1"/>
  <c r="H37" i="7" s="1"/>
  <c r="X36" i="7" a="1"/>
  <c r="X36" i="7" s="1"/>
  <c r="R36" i="7" a="1"/>
  <c r="R36" i="7" s="1"/>
  <c r="L36" i="7" a="1"/>
  <c r="L36" i="7" s="1"/>
  <c r="E36" i="7" a="1"/>
  <c r="E36" i="7" s="1"/>
  <c r="V35" i="7" a="1"/>
  <c r="V35" i="7" s="1"/>
  <c r="P35" i="7" a="1"/>
  <c r="P35" i="7" s="1"/>
  <c r="J35" i="7" a="1"/>
  <c r="J35" i="7" s="1"/>
  <c r="T34" i="7" a="1"/>
  <c r="T34" i="7" s="1"/>
  <c r="N34" i="7" a="1"/>
  <c r="N34" i="7" s="1"/>
  <c r="H34" i="7" a="1"/>
  <c r="H34" i="7" s="1"/>
  <c r="X33" i="7" a="1"/>
  <c r="X33" i="7" s="1"/>
  <c r="R33" i="7" a="1"/>
  <c r="R33" i="7" s="1"/>
  <c r="L33" i="7" a="1"/>
  <c r="L33" i="7" s="1"/>
  <c r="E33" i="7" a="1"/>
  <c r="E33" i="7" s="1"/>
  <c r="V32" i="7" a="1"/>
  <c r="V32" i="7" s="1"/>
  <c r="P32" i="7" a="1"/>
  <c r="P32" i="7" s="1"/>
  <c r="J32" i="7" a="1"/>
  <c r="J32" i="7" s="1"/>
  <c r="T31" i="7" a="1"/>
  <c r="T31" i="7" s="1"/>
  <c r="N31" i="7" a="1"/>
  <c r="N31" i="7" s="1"/>
  <c r="H31" i="7" a="1"/>
  <c r="H31" i="7" s="1"/>
  <c r="X30" i="7" a="1"/>
  <c r="X30" i="7" s="1"/>
  <c r="R30" i="7" a="1"/>
  <c r="R30" i="7" s="1"/>
  <c r="L30" i="7" a="1"/>
  <c r="L30" i="7" s="1"/>
  <c r="E30" i="7" a="1"/>
  <c r="E30" i="7" s="1"/>
  <c r="V29" i="7" a="1"/>
  <c r="V29" i="7" s="1"/>
  <c r="P29" i="7" a="1"/>
  <c r="P29" i="7" s="1"/>
  <c r="J29" i="7" a="1"/>
  <c r="J29" i="7" s="1"/>
  <c r="T28" i="7" a="1"/>
  <c r="T28" i="7" s="1"/>
  <c r="N28" i="7" a="1"/>
  <c r="N28" i="7" s="1"/>
  <c r="H28" i="7" a="1"/>
  <c r="H28" i="7" s="1"/>
  <c r="X27" i="7" a="1"/>
  <c r="X27" i="7" s="1"/>
  <c r="R27" i="7" a="1"/>
  <c r="R27" i="7" s="1"/>
  <c r="L27" i="7" a="1"/>
  <c r="L27" i="7" s="1"/>
  <c r="T63" i="7" a="1"/>
  <c r="T63" i="7" s="1"/>
  <c r="L62" i="7" a="1"/>
  <c r="L62" i="7" s="1"/>
  <c r="K61" i="7" a="1"/>
  <c r="K61" i="7" s="1"/>
  <c r="S58" i="7" a="1"/>
  <c r="S58" i="7" s="1"/>
  <c r="P56" i="7" a="1"/>
  <c r="P56" i="7" s="1"/>
  <c r="R54" i="7" a="1"/>
  <c r="R54" i="7" s="1"/>
  <c r="W50" i="7" a="1"/>
  <c r="W50" i="7" s="1"/>
  <c r="L49" i="7" a="1"/>
  <c r="L49" i="7" s="1"/>
  <c r="Y47" i="7" a="1"/>
  <c r="Y47" i="7" s="1"/>
  <c r="I47" i="7" a="1"/>
  <c r="I47" i="7" s="1"/>
  <c r="S46" i="7" a="1"/>
  <c r="S46" i="7" s="1"/>
  <c r="F46" i="7"/>
  <c r="H45" i="7" a="1"/>
  <c r="H45" i="7" s="1"/>
  <c r="T44" i="7" a="1"/>
  <c r="T44" i="7" s="1"/>
  <c r="I44" i="7" a="1"/>
  <c r="I44" i="7" s="1"/>
  <c r="V43" i="7" a="1"/>
  <c r="V43" i="7" s="1"/>
  <c r="E43" i="7" a="1"/>
  <c r="E43" i="7" s="1"/>
  <c r="U42" i="7" a="1"/>
  <c r="U42" i="7" s="1"/>
  <c r="N42" i="7" a="1"/>
  <c r="N42" i="7" s="1"/>
  <c r="O41" i="7" a="1"/>
  <c r="O41" i="7" s="1"/>
  <c r="R40" i="7" a="1"/>
  <c r="R40" i="7" s="1"/>
  <c r="N39" i="7" a="1"/>
  <c r="N39" i="7" s="1"/>
  <c r="W38" i="7" a="1"/>
  <c r="W38" i="7" s="1"/>
  <c r="V61" i="7" a="1"/>
  <c r="V61" i="7" s="1"/>
  <c r="W48" i="7" a="1"/>
  <c r="W48" i="7" s="1"/>
  <c r="N44" i="7" a="1"/>
  <c r="N44" i="7" s="1"/>
  <c r="I43" i="7" a="1"/>
  <c r="I43" i="7" s="1"/>
  <c r="J42" i="7" a="1"/>
  <c r="J42" i="7" s="1"/>
  <c r="Q41" i="7" a="1"/>
  <c r="Q41" i="7" s="1"/>
  <c r="Y38" i="7" a="1"/>
  <c r="Y38" i="7" s="1"/>
  <c r="J37" i="7" a="1"/>
  <c r="J37" i="7" s="1"/>
  <c r="N36" i="7" a="1"/>
  <c r="N36" i="7" s="1"/>
  <c r="I34" i="7" a="1"/>
  <c r="I34" i="7" s="1"/>
  <c r="M33" i="7" a="1"/>
  <c r="M33" i="7" s="1"/>
  <c r="V31" i="7" a="1"/>
  <c r="V31" i="7" s="1"/>
  <c r="H30" i="7" a="1"/>
  <c r="H30" i="7" s="1"/>
  <c r="U28" i="7" a="1"/>
  <c r="U28" i="7" s="1"/>
  <c r="Y27" i="7" a="1"/>
  <c r="Y27" i="7" s="1"/>
  <c r="F27" i="7"/>
  <c r="E24" i="7" a="1"/>
  <c r="E24" i="7" s="1"/>
  <c r="J23" i="7" a="1"/>
  <c r="J23" i="7" s="1"/>
  <c r="N22" i="7" a="1"/>
  <c r="N22" i="7" s="1"/>
  <c r="S21" i="7" a="1"/>
  <c r="S21" i="7" s="1"/>
  <c r="L21" i="7" a="1"/>
  <c r="L21" i="7" s="1"/>
  <c r="N64" i="7" a="1"/>
  <c r="N64" i="7" s="1"/>
  <c r="Y55" i="7" a="1"/>
  <c r="Y55" i="7" s="1"/>
  <c r="Y46" i="7" a="1"/>
  <c r="Y46" i="7" s="1"/>
  <c r="V45" i="7" a="1"/>
  <c r="V45" i="7" s="1"/>
  <c r="M44" i="7" a="1"/>
  <c r="M44" i="7" s="1"/>
  <c r="L41" i="7" a="1"/>
  <c r="L41" i="7" s="1"/>
  <c r="O40" i="7" a="1"/>
  <c r="O40" i="7" s="1"/>
  <c r="V39" i="7" a="1"/>
  <c r="V39" i="7" s="1"/>
  <c r="R35" i="7" a="1"/>
  <c r="R35" i="7" s="1"/>
  <c r="Q32" i="7" a="1"/>
  <c r="Q32" i="7" s="1"/>
  <c r="L29" i="7" a="1"/>
  <c r="L29" i="7" s="1"/>
  <c r="E27" i="7" a="1"/>
  <c r="E27" i="7" s="1"/>
  <c r="Q26" i="7" a="1"/>
  <c r="Q26" i="7" s="1"/>
  <c r="O25" i="7" a="1"/>
  <c r="O25" i="7" s="1"/>
  <c r="Y24" i="7" a="1"/>
  <c r="Y24" i="7" s="1"/>
  <c r="N24" i="7" a="1"/>
  <c r="N24" i="7" s="1"/>
  <c r="R23" i="7" a="1"/>
  <c r="R23" i="7" s="1"/>
  <c r="V22" i="7" a="1"/>
  <c r="V22" i="7" s="1"/>
  <c r="T20" i="7" a="1"/>
  <c r="T20" i="7" s="1"/>
  <c r="N20" i="7" a="1"/>
  <c r="N20" i="7" s="1"/>
  <c r="H20" i="7" a="1"/>
  <c r="H20" i="7" s="1"/>
  <c r="X19" i="7" a="1"/>
  <c r="X19" i="7" s="1"/>
  <c r="R19" i="7" a="1"/>
  <c r="R19" i="7" s="1"/>
  <c r="L19" i="7" a="1"/>
  <c r="L19" i="7" s="1"/>
  <c r="E19" i="7" a="1"/>
  <c r="E19" i="7" s="1"/>
  <c r="V18" i="7" a="1"/>
  <c r="V18" i="7" s="1"/>
  <c r="P18" i="7" a="1"/>
  <c r="P18" i="7" s="1"/>
  <c r="J18" i="7" a="1"/>
  <c r="J18" i="7" s="1"/>
  <c r="T17" i="7" a="1"/>
  <c r="T17" i="7" s="1"/>
  <c r="N17" i="7" a="1"/>
  <c r="N17" i="7" s="1"/>
  <c r="H17" i="7" a="1"/>
  <c r="H17" i="7" s="1"/>
  <c r="X16" i="7" a="1"/>
  <c r="X16" i="7" s="1"/>
  <c r="J64" i="7" a="1"/>
  <c r="J64" i="7" s="1"/>
  <c r="F58" i="7"/>
  <c r="O50" i="7" a="1"/>
  <c r="O50" i="7" s="1"/>
  <c r="V48" i="7" a="1"/>
  <c r="V48" i="7" s="1"/>
  <c r="M45" i="7" a="1"/>
  <c r="M45" i="7" s="1"/>
  <c r="L44" i="7" a="1"/>
  <c r="L44" i="7" s="1"/>
  <c r="I42" i="7" a="1"/>
  <c r="I42" i="7" s="1"/>
  <c r="Q39" i="7" a="1"/>
  <c r="Q39" i="7" s="1"/>
  <c r="I37" i="7" a="1"/>
  <c r="I37" i="7" s="1"/>
  <c r="M36" i="7" a="1"/>
  <c r="M36" i="7" s="1"/>
  <c r="V34" i="7" a="1"/>
  <c r="V34" i="7" s="1"/>
  <c r="H33" i="7" a="1"/>
  <c r="H33" i="7" s="1"/>
  <c r="U31" i="7" a="1"/>
  <c r="U31" i="7" s="1"/>
  <c r="Y30" i="7" a="1"/>
  <c r="Y30" i="7" s="1"/>
  <c r="F30" i="7"/>
  <c r="P28" i="7" a="1"/>
  <c r="P28" i="7" s="1"/>
  <c r="T27" i="7" a="1"/>
  <c r="T27" i="7" s="1"/>
  <c r="P26" i="7" a="1"/>
  <c r="P26" i="7" s="1"/>
  <c r="N25" i="7" a="1"/>
  <c r="N25" i="7" s="1"/>
  <c r="X24" i="7" a="1"/>
  <c r="X24" i="7" s="1"/>
  <c r="I23" i="7" a="1"/>
  <c r="I23" i="7" s="1"/>
  <c r="M22" i="7" a="1"/>
  <c r="M22" i="7" s="1"/>
  <c r="R21" i="7" a="1"/>
  <c r="R21" i="7" s="1"/>
  <c r="K21" i="7" a="1"/>
  <c r="K21" i="7" s="1"/>
  <c r="W55" i="7" a="1"/>
  <c r="W55" i="7" s="1"/>
  <c r="J50" i="7" a="1"/>
  <c r="J50" i="7" s="1"/>
  <c r="J48" i="7" a="1"/>
  <c r="J48" i="7" s="1"/>
  <c r="X46" i="7" a="1"/>
  <c r="X46" i="7" s="1"/>
  <c r="K41" i="7" a="1"/>
  <c r="K41" i="7" s="1"/>
  <c r="S38" i="7" a="1"/>
  <c r="S38" i="7" s="1"/>
  <c r="Q35" i="7" a="1"/>
  <c r="Q35" i="7" s="1"/>
  <c r="L32" i="7" a="1"/>
  <c r="L32" i="7" s="1"/>
  <c r="K29" i="7" a="1"/>
  <c r="K29" i="7" s="1"/>
  <c r="M24" i="7" a="1"/>
  <c r="M24" i="7" s="1"/>
  <c r="Q23" i="7" a="1"/>
  <c r="Q23" i="7" s="1"/>
  <c r="H23" i="7" a="1"/>
  <c r="H23" i="7" s="1"/>
  <c r="U22" i="7" a="1"/>
  <c r="U22" i="7" s="1"/>
  <c r="L22" i="7" a="1"/>
  <c r="L22" i="7" s="1"/>
  <c r="Y21" i="7" a="1"/>
  <c r="Y21" i="7" s="1"/>
  <c r="J21" i="7" a="1"/>
  <c r="J21" i="7" s="1"/>
  <c r="Y20" i="7" a="1"/>
  <c r="Y20" i="7" s="1"/>
  <c r="S20" i="7" a="1"/>
  <c r="S20" i="7" s="1"/>
  <c r="M20" i="7" a="1"/>
  <c r="M20" i="7" s="1"/>
  <c r="F20" i="7"/>
  <c r="W19" i="7" a="1"/>
  <c r="W19" i="7" s="1"/>
  <c r="Q19" i="7" a="1"/>
  <c r="Q19" i="7" s="1"/>
  <c r="K19" i="7" a="1"/>
  <c r="K19" i="7" s="1"/>
  <c r="U18" i="7" a="1"/>
  <c r="U18" i="7" s="1"/>
  <c r="O18" i="7" a="1"/>
  <c r="O18" i="7" s="1"/>
  <c r="I18" i="7" a="1"/>
  <c r="I18" i="7" s="1"/>
  <c r="Y17" i="7" a="1"/>
  <c r="Y17" i="7" s="1"/>
  <c r="S17" i="7" a="1"/>
  <c r="S17" i="7" s="1"/>
  <c r="M17" i="7" a="1"/>
  <c r="M17" i="7" s="1"/>
  <c r="F17" i="7"/>
  <c r="I64" i="7" a="1"/>
  <c r="I64" i="7" s="1"/>
  <c r="O60" i="7" a="1"/>
  <c r="O60" i="7" s="1"/>
  <c r="T57" i="7" a="1"/>
  <c r="T57" i="7" s="1"/>
  <c r="I48" i="7" a="1"/>
  <c r="I48" i="7" s="1"/>
  <c r="W46" i="7" a="1"/>
  <c r="W46" i="7" s="1"/>
  <c r="K45" i="7" a="1"/>
  <c r="K45" i="7" s="1"/>
  <c r="M40" i="7" a="1"/>
  <c r="M40" i="7" s="1"/>
  <c r="P39" i="7" a="1"/>
  <c r="P39" i="7" s="1"/>
  <c r="V37" i="7" a="1"/>
  <c r="V37" i="7" s="1"/>
  <c r="H36" i="7" a="1"/>
  <c r="H36" i="7" s="1"/>
  <c r="U34" i="7" a="1"/>
  <c r="U34" i="7" s="1"/>
  <c r="Y33" i="7" a="1"/>
  <c r="Y33" i="7" s="1"/>
  <c r="F33" i="7"/>
  <c r="P31" i="7" a="1"/>
  <c r="P31" i="7" s="1"/>
  <c r="T30" i="7" a="1"/>
  <c r="T30" i="7" s="1"/>
  <c r="O28" i="7" a="1"/>
  <c r="O28" i="7" s="1"/>
  <c r="S27" i="7" a="1"/>
  <c r="S27" i="7" s="1"/>
  <c r="L24" i="7" a="1"/>
  <c r="L24" i="7" s="1"/>
  <c r="P23" i="7" a="1"/>
  <c r="P23" i="7" s="1"/>
  <c r="T22" i="7" a="1"/>
  <c r="T22" i="7" s="1"/>
  <c r="X21" i="7" a="1"/>
  <c r="X21" i="7" s="1"/>
  <c r="Q21" i="7" a="1"/>
  <c r="Q21" i="7" s="1"/>
  <c r="I21" i="7" a="1"/>
  <c r="I21" i="7" s="1"/>
  <c r="F59" i="7"/>
  <c r="F51" i="7"/>
  <c r="O47" i="7" a="1"/>
  <c r="O47" i="7" s="1"/>
  <c r="W44" i="7" a="1"/>
  <c r="W44" i="7" s="1"/>
  <c r="Q43" i="7" a="1"/>
  <c r="Q43" i="7" s="1"/>
  <c r="I39" i="7" a="1"/>
  <c r="I39" i="7" s="1"/>
  <c r="X35" i="7" a="1"/>
  <c r="X35" i="7" s="1"/>
  <c r="E35" i="7" a="1"/>
  <c r="E35" i="7" s="1"/>
  <c r="W32" i="7" a="1"/>
  <c r="W32" i="7" s="1"/>
  <c r="R29" i="7" a="1"/>
  <c r="R29" i="7" s="1"/>
  <c r="H24" i="7" a="1"/>
  <c r="H24" i="7" s="1"/>
  <c r="L23" i="7" a="1"/>
  <c r="L23" i="7" s="1"/>
  <c r="P22" i="7" a="1"/>
  <c r="P22" i="7" s="1"/>
  <c r="V20" i="7" a="1"/>
  <c r="V20" i="7" s="1"/>
  <c r="P20" i="7" a="1"/>
  <c r="P20" i="7" s="1"/>
  <c r="J20" i="7" a="1"/>
  <c r="J20" i="7" s="1"/>
  <c r="T19" i="7" a="1"/>
  <c r="T19" i="7" s="1"/>
  <c r="N19" i="7" a="1"/>
  <c r="N19" i="7" s="1"/>
  <c r="H19" i="7" a="1"/>
  <c r="H19" i="7" s="1"/>
  <c r="X18" i="7" a="1"/>
  <c r="X18" i="7" s="1"/>
  <c r="R18" i="7" a="1"/>
  <c r="R18" i="7" s="1"/>
  <c r="L18" i="7" a="1"/>
  <c r="L18" i="7" s="1"/>
  <c r="E18" i="7" a="1"/>
  <c r="E18" i="7" s="1"/>
  <c r="V17" i="7" a="1"/>
  <c r="V17" i="7" s="1"/>
  <c r="P17" i="7" a="1"/>
  <c r="P17" i="7" s="1"/>
  <c r="J17" i="7" a="1"/>
  <c r="J17" i="7" s="1"/>
  <c r="T16" i="7" a="1"/>
  <c r="T16" i="7" s="1"/>
  <c r="N16" i="7" a="1"/>
  <c r="N16" i="7" s="1"/>
  <c r="H16" i="7" a="1"/>
  <c r="H16" i="7" s="1"/>
  <c r="E59" i="7" a="1"/>
  <c r="E59" i="7" s="1"/>
  <c r="P43" i="7" a="1"/>
  <c r="P43" i="7" s="1"/>
  <c r="P42" i="7" a="1"/>
  <c r="P42" i="7" s="1"/>
  <c r="R41" i="7" a="1"/>
  <c r="R41" i="7" s="1"/>
  <c r="U40" i="7" a="1"/>
  <c r="U40" i="7" s="1"/>
  <c r="O37" i="7" a="1"/>
  <c r="O37" i="7" s="1"/>
  <c r="S36" i="7" a="1"/>
  <c r="S36" i="7" s="1"/>
  <c r="J34" i="7" a="1"/>
  <c r="J34" i="7" s="1"/>
  <c r="N33" i="7" a="1"/>
  <c r="N33" i="7" s="1"/>
  <c r="I31" i="7" a="1"/>
  <c r="I31" i="7" s="1"/>
  <c r="M30" i="7" a="1"/>
  <c r="M30" i="7" s="1"/>
  <c r="V28" i="7" a="1"/>
  <c r="V28" i="7" s="1"/>
  <c r="H27" i="7" a="1"/>
  <c r="H27" i="7" s="1"/>
  <c r="Q24" i="7" a="1"/>
  <c r="Q24" i="7" s="1"/>
  <c r="U23" i="7" a="1"/>
  <c r="U23" i="7" s="1"/>
  <c r="Y22" i="7" a="1"/>
  <c r="Y22" i="7" s="1"/>
  <c r="F22" i="7"/>
  <c r="T21" i="7" a="1"/>
  <c r="T21" i="7" s="1"/>
  <c r="M21" i="7" a="1"/>
  <c r="M21" i="7" s="1"/>
  <c r="E21" i="7" a="1"/>
  <c r="E21" i="7" s="1"/>
  <c r="W61" i="7" a="1"/>
  <c r="W61" i="7" s="1"/>
  <c r="Y53" i="7" a="1"/>
  <c r="Y53" i="7" s="1"/>
  <c r="E51" i="7" a="1"/>
  <c r="E51" i="7" s="1"/>
  <c r="N47" i="7" a="1"/>
  <c r="N47" i="7" s="1"/>
  <c r="W45" i="7" a="1"/>
  <c r="W45" i="7" s="1"/>
  <c r="J43" i="7" a="1"/>
  <c r="J43" i="7" s="1"/>
  <c r="W39" i="7" a="1"/>
  <c r="W39" i="7" s="1"/>
  <c r="E38" i="7" a="1"/>
  <c r="E38" i="7" s="1"/>
  <c r="W35" i="7" a="1"/>
  <c r="W35" i="7" s="1"/>
  <c r="R32" i="7" a="1"/>
  <c r="R32" i="7" s="1"/>
  <c r="Q29" i="7" a="1"/>
  <c r="Q29" i="7" s="1"/>
  <c r="R26" i="7" a="1"/>
  <c r="R26" i="7" s="1"/>
  <c r="E26" i="7" a="1"/>
  <c r="E26" i="7" s="1"/>
  <c r="P25" i="7" a="1"/>
  <c r="P25" i="7" s="1"/>
  <c r="P24" i="7" a="1"/>
  <c r="P24" i="7" s="1"/>
  <c r="F24" i="7"/>
  <c r="T23" i="7" a="1"/>
  <c r="T23" i="7" s="1"/>
  <c r="K23" i="7" a="1"/>
  <c r="K23" i="7" s="1"/>
  <c r="X22" i="7" a="1"/>
  <c r="X22" i="7" s="1"/>
  <c r="O22" i="7" a="1"/>
  <c r="O22" i="7" s="1"/>
  <c r="E22" i="7" a="1"/>
  <c r="E22" i="7" s="1"/>
  <c r="U20" i="7" a="1"/>
  <c r="U20" i="7" s="1"/>
  <c r="O20" i="7" a="1"/>
  <c r="O20" i="7" s="1"/>
  <c r="I20" i="7" a="1"/>
  <c r="I20" i="7" s="1"/>
  <c r="Y19" i="7" a="1"/>
  <c r="Y19" i="7" s="1"/>
  <c r="S19" i="7" a="1"/>
  <c r="S19" i="7" s="1"/>
  <c r="M19" i="7" a="1"/>
  <c r="M19" i="7" s="1"/>
  <c r="F19" i="7"/>
  <c r="W18" i="7" a="1"/>
  <c r="W18" i="7" s="1"/>
  <c r="Q18" i="7" a="1"/>
  <c r="Q18" i="7" s="1"/>
  <c r="K18" i="7" a="1"/>
  <c r="K18" i="7" s="1"/>
  <c r="U17" i="7" a="1"/>
  <c r="U17" i="7" s="1"/>
  <c r="N60" i="7" a="1"/>
  <c r="N60" i="7" s="1"/>
  <c r="S49" i="7" a="1"/>
  <c r="S49" i="7" s="1"/>
  <c r="K46" i="7" a="1"/>
  <c r="K46" i="7" s="1"/>
  <c r="M38" i="7" a="1"/>
  <c r="M38" i="7" s="1"/>
  <c r="T36" i="7" a="1"/>
  <c r="T36" i="7" s="1"/>
  <c r="N30" i="7" a="1"/>
  <c r="N30" i="7" s="1"/>
  <c r="L26" i="7" a="1"/>
  <c r="L26" i="7" s="1"/>
  <c r="H25" i="7" a="1"/>
  <c r="H25" i="7" s="1"/>
  <c r="S22" i="7" a="1"/>
  <c r="S22" i="7" s="1"/>
  <c r="P21" i="7" a="1"/>
  <c r="P21" i="7" s="1"/>
  <c r="I19" i="7" a="1"/>
  <c r="I19" i="7" s="1"/>
  <c r="M18" i="7" a="1"/>
  <c r="M18" i="7" s="1"/>
  <c r="Y54" i="7" a="1"/>
  <c r="Y54" i="7" s="1"/>
  <c r="W42" i="7" a="1"/>
  <c r="W42" i="7" s="1"/>
  <c r="O34" i="7" a="1"/>
  <c r="O34" i="7" s="1"/>
  <c r="E32" i="7" a="1"/>
  <c r="E32" i="7" s="1"/>
  <c r="I28" i="7" a="1"/>
  <c r="I28" i="7" s="1"/>
  <c r="W23" i="7" a="1"/>
  <c r="W23" i="7" s="1"/>
  <c r="R22" i="7" a="1"/>
  <c r="R22" i="7" s="1"/>
  <c r="O21" i="7" a="1"/>
  <c r="O21" i="7" s="1"/>
  <c r="R20" i="7" a="1"/>
  <c r="R20" i="7" s="1"/>
  <c r="Q17" i="7" a="1"/>
  <c r="Q17" i="7" s="1"/>
  <c r="O16" i="7" a="1"/>
  <c r="O16" i="7" s="1"/>
  <c r="M60" i="7" a="1"/>
  <c r="M60" i="7" s="1"/>
  <c r="R49" i="7" a="1"/>
  <c r="R49" i="7" s="1"/>
  <c r="L38" i="7" a="1"/>
  <c r="L38" i="7" s="1"/>
  <c r="F36" i="7"/>
  <c r="X29" i="7" a="1"/>
  <c r="X29" i="7" s="1"/>
  <c r="K26" i="7" a="1"/>
  <c r="K26" i="7" s="1"/>
  <c r="T24" i="7" a="1"/>
  <c r="T24" i="7" s="1"/>
  <c r="V23" i="7" a="1"/>
  <c r="V23" i="7" s="1"/>
  <c r="V19" i="7" a="1"/>
  <c r="V19" i="7" s="1"/>
  <c r="H18" i="7" a="1"/>
  <c r="H18" i="7" s="1"/>
  <c r="Y16" i="7" a="1"/>
  <c r="Y16" i="7" s="1"/>
  <c r="I54" i="7" a="1"/>
  <c r="I54" i="7" s="1"/>
  <c r="Q42" i="7" a="1"/>
  <c r="Q42" i="7" s="1"/>
  <c r="F40" i="7"/>
  <c r="J26" i="7" a="1"/>
  <c r="J26" i="7" s="1"/>
  <c r="J22" i="7" a="1"/>
  <c r="J22" i="7" s="1"/>
  <c r="N21" i="7" a="1"/>
  <c r="N21" i="7" s="1"/>
  <c r="Q20" i="7" a="1"/>
  <c r="Q20" i="7" s="1"/>
  <c r="O17" i="7" a="1"/>
  <c r="O17" i="7" s="1"/>
  <c r="W16" i="7" a="1"/>
  <c r="W16" i="7" s="1"/>
  <c r="M16" i="7" a="1"/>
  <c r="M16" i="7" s="1"/>
  <c r="Y44" i="7" a="1"/>
  <c r="Y44" i="7" s="1"/>
  <c r="T33" i="7" a="1"/>
  <c r="T33" i="7" s="1"/>
  <c r="W29" i="7" a="1"/>
  <c r="W29" i="7" s="1"/>
  <c r="N27" i="7" a="1"/>
  <c r="N27" i="7" s="1"/>
  <c r="S24" i="7" a="1"/>
  <c r="S24" i="7" s="1"/>
  <c r="O23" i="7" a="1"/>
  <c r="O23" i="7" s="1"/>
  <c r="U19" i="7" a="1"/>
  <c r="U19" i="7" s="1"/>
  <c r="Y18" i="7" a="1"/>
  <c r="Y18" i="7" s="1"/>
  <c r="F18" i="7"/>
  <c r="L17" i="7" a="1"/>
  <c r="L17" i="7" s="1"/>
  <c r="V16" i="7" a="1"/>
  <c r="V16" i="7" s="1"/>
  <c r="L16" i="7" a="1"/>
  <c r="L16" i="7" s="1"/>
  <c r="W62" i="7" a="1"/>
  <c r="W62" i="7" s="1"/>
  <c r="X56" i="7" a="1"/>
  <c r="X56" i="7" s="1"/>
  <c r="L51" i="7" a="1"/>
  <c r="L51" i="7" s="1"/>
  <c r="M46" i="7" a="1"/>
  <c r="M46" i="7" s="1"/>
  <c r="R43" i="7" a="1"/>
  <c r="R43" i="7" s="1"/>
  <c r="X32" i="7" a="1"/>
  <c r="X32" i="7" s="1"/>
  <c r="J25" i="7" a="1"/>
  <c r="J25" i="7" s="1"/>
  <c r="W21" i="7" a="1"/>
  <c r="W21" i="7" s="1"/>
  <c r="X20" i="7" a="1"/>
  <c r="X20" i="7" s="1"/>
  <c r="E20" i="7" a="1"/>
  <c r="E20" i="7" s="1"/>
  <c r="W17" i="7" a="1"/>
  <c r="W17" i="7" s="1"/>
  <c r="E17" i="7" a="1"/>
  <c r="E17" i="7" s="1"/>
  <c r="R16" i="7" a="1"/>
  <c r="R16" i="7" s="1"/>
  <c r="Y36" i="7" a="1"/>
  <c r="Y36" i="7" s="1"/>
  <c r="S30" i="7" a="1"/>
  <c r="S30" i="7" s="1"/>
  <c r="W26" i="7" a="1"/>
  <c r="W26" i="7" s="1"/>
  <c r="V21" i="7" a="1"/>
  <c r="V21" i="7" s="1"/>
  <c r="J19" i="7" a="1"/>
  <c r="J19" i="7" s="1"/>
  <c r="N18" i="7" a="1"/>
  <c r="N18" i="7" s="1"/>
  <c r="Q16" i="7" a="1"/>
  <c r="Q16" i="7" s="1"/>
  <c r="F16" i="7"/>
  <c r="X41" i="7" a="1"/>
  <c r="X41" i="7" s="1"/>
  <c r="X23" i="7" a="1"/>
  <c r="X23" i="7" s="1"/>
  <c r="H21" i="7" a="1"/>
  <c r="H21" i="7" s="1"/>
  <c r="P19" i="7" a="1"/>
  <c r="P19" i="7" s="1"/>
  <c r="X17" i="7" a="1"/>
  <c r="X17" i="7" s="1"/>
  <c r="S16" i="7" a="1"/>
  <c r="S16" i="7" s="1"/>
  <c r="L46" i="7" a="1"/>
  <c r="L46" i="7" s="1"/>
  <c r="P37" i="7" a="1"/>
  <c r="P37" i="7" s="1"/>
  <c r="S33" i="7" a="1"/>
  <c r="S33" i="7" s="1"/>
  <c r="E29" i="7" a="1"/>
  <c r="E29" i="7" s="1"/>
  <c r="V25" i="7" a="1"/>
  <c r="V25" i="7" s="1"/>
  <c r="N23" i="7" a="1"/>
  <c r="N23" i="7" s="1"/>
  <c r="P16" i="7" a="1"/>
  <c r="P16" i="7" s="1"/>
  <c r="F21" i="7"/>
  <c r="O19" i="7" a="1"/>
  <c r="O19" i="7" s="1"/>
  <c r="R17" i="7" a="1"/>
  <c r="R17" i="7" s="1"/>
  <c r="K16" i="7" a="1"/>
  <c r="K16" i="7" s="1"/>
  <c r="U25" i="7" a="1"/>
  <c r="U25" i="7" s="1"/>
  <c r="E23" i="7" a="1"/>
  <c r="E23" i="7" s="1"/>
  <c r="J16" i="7" a="1"/>
  <c r="J16" i="7" s="1"/>
  <c r="X44" i="7" a="1"/>
  <c r="X44" i="7" s="1"/>
  <c r="K32" i="7" a="1"/>
  <c r="K32" i="7" s="1"/>
  <c r="T25" i="7" a="1"/>
  <c r="T25" i="7" s="1"/>
  <c r="W20" i="7" a="1"/>
  <c r="W20" i="7" s="1"/>
  <c r="K17" i="7" a="1"/>
  <c r="K17" i="7" s="1"/>
  <c r="Y41" i="7" a="1"/>
  <c r="Y41" i="7" s="1"/>
  <c r="P34" i="7" a="1"/>
  <c r="P34" i="7" s="1"/>
  <c r="X26" i="7" a="1"/>
  <c r="X26" i="7" s="1"/>
  <c r="J24" i="7" a="1"/>
  <c r="J24" i="7" s="1"/>
  <c r="U16" i="7" a="1"/>
  <c r="U16" i="7" s="1"/>
  <c r="Y43" i="7" a="1"/>
  <c r="Y43" i="7" s="1"/>
  <c r="O31" i="7" a="1"/>
  <c r="O31" i="7" s="1"/>
  <c r="U21" i="7" a="1"/>
  <c r="U21" i="7" s="1"/>
  <c r="U37" i="7" a="1"/>
  <c r="U37" i="7" s="1"/>
  <c r="I25" i="7" a="1"/>
  <c r="I25" i="7" s="1"/>
  <c r="S18" i="7" a="1"/>
  <c r="S18" i="7" s="1"/>
  <c r="J31" i="7" a="1"/>
  <c r="J31" i="7" s="1"/>
  <c r="L20" i="7" a="1"/>
  <c r="L20" i="7" s="1"/>
  <c r="R24" i="7" a="1"/>
  <c r="R24" i="7" s="1"/>
  <c r="L35" i="7" a="1"/>
  <c r="L35" i="7" s="1"/>
  <c r="K20" i="7" a="1"/>
  <c r="K20" i="7" s="1"/>
  <c r="K24" i="7" a="1"/>
  <c r="K24" i="7" s="1"/>
  <c r="I17" i="7" a="1"/>
  <c r="I17" i="7" s="1"/>
  <c r="H22" i="7" a="1"/>
  <c r="H22" i="7" s="1"/>
  <c r="I16" i="7" a="1"/>
  <c r="I16" i="7" s="1"/>
  <c r="V26" i="7" a="1"/>
  <c r="V26" i="7" s="1"/>
  <c r="T18" i="7" a="1"/>
  <c r="T18" i="7" s="1"/>
  <c r="J39" i="7" a="1"/>
  <c r="J39" i="7" s="1"/>
  <c r="I22" i="7" a="1"/>
  <c r="I22" i="7" s="1"/>
  <c r="R38" i="7" a="1"/>
  <c r="R38" i="7" s="1"/>
  <c r="J28" i="7" a="1"/>
  <c r="J28" i="7" s="1"/>
  <c r="E16" i="7" a="1"/>
  <c r="E16" i="7" s="1"/>
  <c r="M27" i="7" a="1"/>
  <c r="M27" i="7" s="1"/>
  <c r="A41" i="6"/>
  <c r="A37" i="6"/>
  <c r="A38" i="6" s="1"/>
  <c r="A21" i="6"/>
  <c r="A22" i="6" s="1"/>
  <c r="N22" i="6" s="1"/>
  <c r="A17" i="6"/>
  <c r="A18" i="6" s="1"/>
  <c r="A34" i="6"/>
  <c r="A35" i="6" s="1"/>
  <c r="K35" i="7" a="1"/>
  <c r="K35" i="7" s="1"/>
  <c r="A28" i="6"/>
  <c r="A29" i="6" s="1"/>
  <c r="A16" i="6"/>
  <c r="G41" i="12"/>
  <c r="A11" i="6"/>
  <c r="B14" i="6"/>
  <c r="S109" i="4"/>
  <c r="U97" i="4" s="1"/>
  <c r="U94" i="4" s="1"/>
  <c r="S69" i="4"/>
  <c r="U57" i="4" s="1"/>
  <c r="U54" i="4" s="1"/>
  <c r="S29" i="4"/>
  <c r="C34" i="4"/>
  <c r="C45" i="4"/>
  <c r="AY13" i="6"/>
  <c r="AY12" i="6" s="1"/>
  <c r="K50" i="4"/>
  <c r="N9" i="10"/>
  <c r="C33" i="4"/>
  <c r="C48" i="4"/>
  <c r="C27" i="4"/>
  <c r="A16" i="4"/>
  <c r="W12" i="8"/>
  <c r="X13" i="6"/>
  <c r="O7" i="11"/>
  <c r="AC13" i="12"/>
  <c r="K69" i="10"/>
  <c r="W82" i="10"/>
  <c r="E12" i="13"/>
  <c r="C47" i="4"/>
  <c r="C23" i="4"/>
  <c r="A30" i="4"/>
  <c r="A31" i="4" s="1"/>
  <c r="C31" i="4" s="1"/>
  <c r="C46" i="4"/>
  <c r="C28" i="4"/>
  <c r="K420" i="12"/>
  <c r="C21" i="4"/>
  <c r="C22" i="4"/>
  <c r="K132" i="4"/>
  <c r="B39" i="14"/>
  <c r="W81" i="10"/>
  <c r="K417" i="12"/>
  <c r="T422" i="5"/>
  <c r="B37" i="14"/>
  <c r="C14" i="14"/>
  <c r="O7" i="13"/>
  <c r="T412" i="6"/>
  <c r="P125" i="4"/>
  <c r="I105" i="8"/>
  <c r="I413" i="6"/>
  <c r="I411" i="6"/>
  <c r="AC13" i="6"/>
  <c r="AC12" i="6" s="1"/>
  <c r="AN13" i="6"/>
  <c r="AN12" i="6" s="1"/>
  <c r="B14" i="5"/>
  <c r="F14" i="5"/>
  <c r="G15" i="9"/>
  <c r="H15" i="10"/>
  <c r="S110" i="4"/>
  <c r="I12" i="10"/>
  <c r="H12" i="9"/>
  <c r="S30" i="4"/>
  <c r="A36" i="4"/>
  <c r="C35" i="4"/>
  <c r="C24" i="4"/>
  <c r="AA105" i="8"/>
  <c r="AA106" i="8"/>
  <c r="AA104" i="8"/>
  <c r="P45" i="4"/>
  <c r="K14" i="5"/>
  <c r="J14" i="5"/>
  <c r="H14" i="5"/>
  <c r="A14" i="12"/>
  <c r="D14" i="5"/>
  <c r="B14" i="12" s="1"/>
  <c r="AD14" i="5"/>
  <c r="E14" i="5"/>
  <c r="G14" i="5"/>
  <c r="AE14" i="5"/>
  <c r="N14" i="5"/>
  <c r="E418" i="12"/>
  <c r="B80" i="10"/>
  <c r="F412" i="6"/>
  <c r="O421" i="5"/>
  <c r="D36" i="11"/>
  <c r="W79" i="10"/>
  <c r="A4" i="4"/>
  <c r="K51" i="4"/>
  <c r="K418" i="12"/>
  <c r="S70" i="4"/>
  <c r="K91" i="4"/>
  <c r="T411" i="6"/>
  <c r="K90" i="4"/>
  <c r="T421" i="5"/>
  <c r="H42" i="6" l="1"/>
  <c r="T42" i="5" s="1"/>
  <c r="G42" i="12" s="1"/>
  <c r="A42" i="6"/>
  <c r="N42" i="6" s="1"/>
  <c r="AD43" i="5"/>
  <c r="H43" i="5"/>
  <c r="G43" i="5"/>
  <c r="A43" i="12"/>
  <c r="E43" i="5"/>
  <c r="C44" i="5"/>
  <c r="N43" i="5"/>
  <c r="D43" i="6" s="1"/>
  <c r="H43" i="6" s="1"/>
  <c r="D43" i="5"/>
  <c r="B43" i="12" s="1"/>
  <c r="B43" i="6"/>
  <c r="B43" i="5"/>
  <c r="K43" i="5"/>
  <c r="F43" i="5"/>
  <c r="J43" i="5"/>
  <c r="AE43" i="5"/>
  <c r="N35" i="6"/>
  <c r="A36" i="6"/>
  <c r="N18" i="6"/>
  <c r="A19" i="6"/>
  <c r="A39" i="6"/>
  <c r="N38" i="6"/>
  <c r="N29" i="6"/>
  <c r="A30" i="6"/>
  <c r="A23" i="6"/>
  <c r="C15" i="7" a="1"/>
  <c r="C15" i="7" s="1"/>
  <c r="B10" i="9"/>
  <c r="M69" i="10"/>
  <c r="M74" i="10" s="1" a="1"/>
  <c r="M74" i="10" s="1"/>
  <c r="I12" i="9"/>
  <c r="U17" i="4"/>
  <c r="T17" i="4" s="1"/>
  <c r="H5" i="5"/>
  <c r="X8" i="5" s="1" a="1"/>
  <c r="X8" i="5" s="1"/>
  <c r="F5" i="5"/>
  <c r="AH253" i="5" s="1"/>
  <c r="G5" i="5"/>
  <c r="W8" i="5" s="1" a="1"/>
  <c r="W8" i="5" s="1"/>
  <c r="T97" i="4"/>
  <c r="T57" i="4"/>
  <c r="I104" i="4"/>
  <c r="I102" i="4"/>
  <c r="I114" i="4"/>
  <c r="I108" i="4"/>
  <c r="I121" i="4"/>
  <c r="I58" i="4"/>
  <c r="I88" i="4"/>
  <c r="I54" i="4"/>
  <c r="I75" i="4"/>
  <c r="I93" i="4"/>
  <c r="I62" i="4"/>
  <c r="I79" i="4"/>
  <c r="I63" i="4"/>
  <c r="I81" i="4"/>
  <c r="I73" i="4"/>
  <c r="I66" i="4"/>
  <c r="I70" i="4"/>
  <c r="I84" i="4"/>
  <c r="I68" i="4"/>
  <c r="I85" i="4"/>
  <c r="I82" i="4"/>
  <c r="I71" i="4"/>
  <c r="I80" i="4"/>
  <c r="I91" i="4"/>
  <c r="I74" i="4"/>
  <c r="I86" i="4"/>
  <c r="I90" i="4"/>
  <c r="I57" i="4"/>
  <c r="I59" i="4"/>
  <c r="I89" i="4"/>
  <c r="I78" i="4"/>
  <c r="I64" i="4"/>
  <c r="I60" i="4"/>
  <c r="I55" i="4"/>
  <c r="I77" i="4"/>
  <c r="I61" i="4"/>
  <c r="I72" i="4"/>
  <c r="I132" i="4"/>
  <c r="I122" i="4"/>
  <c r="I123" i="4"/>
  <c r="I105" i="4"/>
  <c r="I97" i="4"/>
  <c r="I109" i="4"/>
  <c r="I116" i="4"/>
  <c r="I124" i="4"/>
  <c r="I127" i="4"/>
  <c r="I120" i="4"/>
  <c r="I100" i="4"/>
  <c r="I96" i="4"/>
  <c r="I128" i="4"/>
  <c r="I101" i="4"/>
  <c r="I99" i="4"/>
  <c r="I94" i="4"/>
  <c r="I113" i="4"/>
  <c r="I107" i="4"/>
  <c r="I125" i="4"/>
  <c r="I119" i="4"/>
  <c r="I65" i="4"/>
  <c r="I87" i="4"/>
  <c r="I76" i="4"/>
  <c r="I67" i="4"/>
  <c r="I69" i="4"/>
  <c r="I56" i="4"/>
  <c r="I126" i="4"/>
  <c r="I106" i="4"/>
  <c r="I111" i="4"/>
  <c r="I117" i="4"/>
  <c r="I130" i="4"/>
  <c r="I95" i="4"/>
  <c r="I110" i="4"/>
  <c r="I131" i="4"/>
  <c r="I129" i="4"/>
  <c r="I98" i="4"/>
  <c r="I112" i="4"/>
  <c r="I118" i="4"/>
  <c r="I103" i="4"/>
  <c r="I115" i="4"/>
  <c r="I83" i="4"/>
  <c r="I92" i="4"/>
  <c r="AZ13" i="6"/>
  <c r="AZ12" i="6" s="1"/>
  <c r="C30" i="4"/>
  <c r="C16" i="4"/>
  <c r="A17" i="4"/>
  <c r="X12" i="8"/>
  <c r="AD13" i="12"/>
  <c r="Y13" i="6"/>
  <c r="B42" i="14"/>
  <c r="AD13" i="6"/>
  <c r="AD12" i="6" s="1"/>
  <c r="AO13" i="6"/>
  <c r="AO12" i="6" s="1"/>
  <c r="B8" i="14"/>
  <c r="I10" i="13"/>
  <c r="I11" i="10"/>
  <c r="J12" i="10"/>
  <c r="D14" i="6"/>
  <c r="C4" i="4"/>
  <c r="A5" i="4"/>
  <c r="C36" i="4"/>
  <c r="A37" i="4"/>
  <c r="C37" i="4" s="1"/>
  <c r="A43" i="6" l="1"/>
  <c r="N43" i="6" s="1"/>
  <c r="G44" i="5"/>
  <c r="D44" i="5"/>
  <c r="B44" i="12" s="1"/>
  <c r="J44" i="5"/>
  <c r="A44" i="12"/>
  <c r="C45" i="5"/>
  <c r="B44" i="5"/>
  <c r="K44" i="5"/>
  <c r="E44" i="5"/>
  <c r="N44" i="5"/>
  <c r="D44" i="6" s="1"/>
  <c r="H44" i="6" s="1"/>
  <c r="B44" i="6"/>
  <c r="H44" i="5"/>
  <c r="F44" i="5"/>
  <c r="AE44" i="5"/>
  <c r="AD44" i="5"/>
  <c r="G43" i="6"/>
  <c r="AH394" i="5"/>
  <c r="AH401" i="5"/>
  <c r="AH403" i="5"/>
  <c r="AH391" i="5"/>
  <c r="AH379" i="5"/>
  <c r="AH398" i="5"/>
  <c r="AH397" i="5"/>
  <c r="AH396" i="5"/>
  <c r="AH381" i="5"/>
  <c r="AH392" i="5"/>
  <c r="AH390" i="5"/>
  <c r="AH385" i="5"/>
  <c r="AH400" i="5"/>
  <c r="AN400" i="5" s="1"/>
  <c r="AH389" i="5"/>
  <c r="AH393" i="5"/>
  <c r="AH367" i="5"/>
  <c r="AH382" i="5"/>
  <c r="AH386" i="5"/>
  <c r="AH364" i="5"/>
  <c r="AH352" i="5"/>
  <c r="AH340" i="5"/>
  <c r="AH328" i="5"/>
  <c r="AH316" i="5"/>
  <c r="AH304" i="5"/>
  <c r="AH292" i="5"/>
  <c r="AH280" i="5"/>
  <c r="AH268" i="5"/>
  <c r="AH256" i="5"/>
  <c r="AH243" i="5"/>
  <c r="AH231" i="5"/>
  <c r="AH219" i="5"/>
  <c r="AH207" i="5"/>
  <c r="AH195" i="5"/>
  <c r="AH183" i="5"/>
  <c r="AH368" i="5"/>
  <c r="AH359" i="5"/>
  <c r="AH347" i="5"/>
  <c r="AH335" i="5"/>
  <c r="AH323" i="5"/>
  <c r="AH311" i="5"/>
  <c r="AH299" i="5"/>
  <c r="AH287" i="5"/>
  <c r="AH275" i="5"/>
  <c r="AH263" i="5"/>
  <c r="AH373" i="5"/>
  <c r="AH354" i="5"/>
  <c r="AH342" i="5"/>
  <c r="AH330" i="5"/>
  <c r="AH318" i="5"/>
  <c r="AH306" i="5"/>
  <c r="AH294" i="5"/>
  <c r="AH282" i="5"/>
  <c r="AH270" i="5"/>
  <c r="AH395" i="5"/>
  <c r="AH388" i="5"/>
  <c r="AH374" i="5"/>
  <c r="AH372" i="5"/>
  <c r="AH361" i="5"/>
  <c r="AH349" i="5"/>
  <c r="AH337" i="5"/>
  <c r="AH325" i="5"/>
  <c r="AH313" i="5"/>
  <c r="AH301" i="5"/>
  <c r="AH289" i="5"/>
  <c r="AH277" i="5"/>
  <c r="AH387" i="5"/>
  <c r="AH384" i="5"/>
  <c r="AH356" i="5"/>
  <c r="AH344" i="5"/>
  <c r="AH332" i="5"/>
  <c r="AH320" i="5"/>
  <c r="AH308" i="5"/>
  <c r="AH296" i="5"/>
  <c r="AH284" i="5"/>
  <c r="AH272" i="5"/>
  <c r="AH260" i="5"/>
  <c r="AH247" i="5"/>
  <c r="AH235" i="5"/>
  <c r="AH223" i="5"/>
  <c r="AH211" i="5"/>
  <c r="AH199" i="5"/>
  <c r="AH187" i="5"/>
  <c r="AH399" i="5"/>
  <c r="AH377" i="5"/>
  <c r="AH365" i="5"/>
  <c r="AH355" i="5"/>
  <c r="AH343" i="5"/>
  <c r="AH331" i="5"/>
  <c r="AH319" i="5"/>
  <c r="AH307" i="5"/>
  <c r="AH295" i="5"/>
  <c r="AH283" i="5"/>
  <c r="AH271" i="5"/>
  <c r="AH383" i="5"/>
  <c r="AH369" i="5"/>
  <c r="AH362" i="5"/>
  <c r="AH350" i="5"/>
  <c r="AH338" i="5"/>
  <c r="AH326" i="5"/>
  <c r="AH314" i="5"/>
  <c r="AH302" i="5"/>
  <c r="AH290" i="5"/>
  <c r="AH278" i="5"/>
  <c r="AH266" i="5"/>
  <c r="AH402" i="5"/>
  <c r="AH232" i="5"/>
  <c r="AH230" i="5"/>
  <c r="AH196" i="5"/>
  <c r="AH194" i="5"/>
  <c r="AH169" i="5"/>
  <c r="AH157" i="5"/>
  <c r="AH145" i="5"/>
  <c r="AH133" i="5"/>
  <c r="AH121" i="5"/>
  <c r="AH109" i="5"/>
  <c r="AH97" i="5"/>
  <c r="AH85" i="5"/>
  <c r="AH73" i="5"/>
  <c r="AH61" i="5"/>
  <c r="AH50" i="5"/>
  <c r="AH38" i="5"/>
  <c r="AH26" i="5"/>
  <c r="AH348" i="5"/>
  <c r="AH329" i="5"/>
  <c r="AH312" i="5"/>
  <c r="AH293" i="5"/>
  <c r="AH276" i="5"/>
  <c r="AH229" i="5"/>
  <c r="AH193" i="5"/>
  <c r="AH176" i="5"/>
  <c r="AH164" i="5"/>
  <c r="AH152" i="5"/>
  <c r="AH140" i="5"/>
  <c r="AH128" i="5"/>
  <c r="AH116" i="5"/>
  <c r="AH104" i="5"/>
  <c r="AH366" i="5"/>
  <c r="AH363" i="5"/>
  <c r="AH346" i="5"/>
  <c r="AH327" i="5"/>
  <c r="AH310" i="5"/>
  <c r="AH291" i="5"/>
  <c r="AH274" i="5"/>
  <c r="AH228" i="5"/>
  <c r="AH227" i="5"/>
  <c r="AH226" i="5"/>
  <c r="AH225" i="5"/>
  <c r="AH192" i="5"/>
  <c r="AH191" i="5"/>
  <c r="AH190" i="5"/>
  <c r="AH189" i="5"/>
  <c r="AH171" i="5"/>
  <c r="AH159" i="5"/>
  <c r="AH147" i="5"/>
  <c r="AH135" i="5"/>
  <c r="AH123" i="5"/>
  <c r="AH404" i="5"/>
  <c r="AH371" i="5"/>
  <c r="AH345" i="5"/>
  <c r="AH309" i="5"/>
  <c r="AH273" i="5"/>
  <c r="AH259" i="5"/>
  <c r="AH258" i="5"/>
  <c r="AH224" i="5"/>
  <c r="AH222" i="5"/>
  <c r="AH221" i="5"/>
  <c r="AH188" i="5"/>
  <c r="AH186" i="5"/>
  <c r="AH185" i="5"/>
  <c r="AH166" i="5"/>
  <c r="AH154" i="5"/>
  <c r="AH142" i="5"/>
  <c r="AH130" i="5"/>
  <c r="AH370" i="5"/>
  <c r="AH257" i="5"/>
  <c r="AH255" i="5"/>
  <c r="AH220" i="5"/>
  <c r="AH218" i="5"/>
  <c r="AH184" i="5"/>
  <c r="AH182" i="5"/>
  <c r="AH173" i="5"/>
  <c r="AH161" i="5"/>
  <c r="AH149" i="5"/>
  <c r="AH137" i="5"/>
  <c r="AH125" i="5"/>
  <c r="AH113" i="5"/>
  <c r="AH101" i="5"/>
  <c r="AH89" i="5"/>
  <c r="AH77" i="5"/>
  <c r="AH65" i="5"/>
  <c r="AH53" i="5"/>
  <c r="AH42" i="5"/>
  <c r="AH30" i="5"/>
  <c r="AH351" i="5"/>
  <c r="AH334" i="5"/>
  <c r="AH315" i="5"/>
  <c r="AH298" i="5"/>
  <c r="AH279" i="5"/>
  <c r="AH240" i="5"/>
  <c r="AH239" i="5"/>
  <c r="AH238" i="5"/>
  <c r="AH237" i="5"/>
  <c r="AH204" i="5"/>
  <c r="AH203" i="5"/>
  <c r="AH202" i="5"/>
  <c r="AH201" i="5"/>
  <c r="AH167" i="5"/>
  <c r="AH155" i="5"/>
  <c r="AH143" i="5"/>
  <c r="AH131" i="5"/>
  <c r="AH360" i="5"/>
  <c r="AH353" i="5"/>
  <c r="AH339" i="5"/>
  <c r="AH297" i="5"/>
  <c r="AH285" i="5"/>
  <c r="AH378" i="5"/>
  <c r="AH376" i="5"/>
  <c r="AH358" i="5"/>
  <c r="AH288" i="5"/>
  <c r="AH281" i="5"/>
  <c r="AH333" i="5"/>
  <c r="AH300" i="5"/>
  <c r="AH269" i="5"/>
  <c r="AH264" i="5"/>
  <c r="AH244" i="5"/>
  <c r="AH242" i="5"/>
  <c r="AH321" i="5"/>
  <c r="AH357" i="5"/>
  <c r="AH336" i="5"/>
  <c r="AH254" i="5"/>
  <c r="AH252" i="5"/>
  <c r="AH205" i="5"/>
  <c r="AH119" i="5"/>
  <c r="AH107" i="5"/>
  <c r="AH71" i="5"/>
  <c r="AH36" i="5"/>
  <c r="AH16" i="5"/>
  <c r="AN16" i="5" s="1"/>
  <c r="AH108" i="5"/>
  <c r="AH70" i="5"/>
  <c r="AH69" i="5"/>
  <c r="AH67" i="5"/>
  <c r="AH34" i="5"/>
  <c r="AH33" i="5"/>
  <c r="AH32" i="5"/>
  <c r="AH233" i="5"/>
  <c r="AH217" i="5"/>
  <c r="AH200" i="5"/>
  <c r="AH198" i="5"/>
  <c r="AH197" i="5"/>
  <c r="AH172" i="5"/>
  <c r="AH160" i="5"/>
  <c r="AH148" i="5"/>
  <c r="AH136" i="5"/>
  <c r="AH126" i="5"/>
  <c r="AH120" i="5"/>
  <c r="AH68" i="5"/>
  <c r="AH35" i="5"/>
  <c r="AH31" i="5"/>
  <c r="AH29" i="5"/>
  <c r="AH322" i="5"/>
  <c r="AH286" i="5"/>
  <c r="AH236" i="5"/>
  <c r="AH234" i="5"/>
  <c r="AH114" i="5"/>
  <c r="AH102" i="5"/>
  <c r="AH66" i="5"/>
  <c r="AH64" i="5"/>
  <c r="AH63" i="5"/>
  <c r="AH28" i="5"/>
  <c r="AH267" i="5"/>
  <c r="AH241" i="5"/>
  <c r="AH216" i="5"/>
  <c r="AH181" i="5"/>
  <c r="AH175" i="5"/>
  <c r="AH163" i="5"/>
  <c r="AH151" i="5"/>
  <c r="AH139" i="5"/>
  <c r="AH115" i="5"/>
  <c r="AH103" i="5"/>
  <c r="AH96" i="5"/>
  <c r="AH62" i="5"/>
  <c r="AH60" i="5"/>
  <c r="AH215" i="5"/>
  <c r="AH95" i="5"/>
  <c r="AH59" i="5"/>
  <c r="AH324" i="5"/>
  <c r="AH214" i="5"/>
  <c r="AH180" i="5"/>
  <c r="AH94" i="5"/>
  <c r="AH93" i="5"/>
  <c r="AH92" i="5"/>
  <c r="AH91" i="5"/>
  <c r="AH58" i="5"/>
  <c r="AH57" i="5"/>
  <c r="AH56" i="5"/>
  <c r="AH55" i="5"/>
  <c r="AH23" i="5"/>
  <c r="AH22" i="5"/>
  <c r="AH21" i="5"/>
  <c r="AH20" i="5"/>
  <c r="AH380" i="5"/>
  <c r="AH375" i="5"/>
  <c r="AH317" i="5"/>
  <c r="AH303" i="5"/>
  <c r="AH250" i="5"/>
  <c r="AH210" i="5"/>
  <c r="AH209" i="5"/>
  <c r="AH118" i="5"/>
  <c r="AH112" i="5"/>
  <c r="AH106" i="5"/>
  <c r="AH100" i="5"/>
  <c r="AH78" i="5"/>
  <c r="AH76" i="5"/>
  <c r="AH75" i="5"/>
  <c r="AH43" i="5"/>
  <c r="AH41" i="5"/>
  <c r="AH40" i="5"/>
  <c r="AH305" i="5"/>
  <c r="AH262" i="5"/>
  <c r="AH251" i="5"/>
  <c r="AH208" i="5"/>
  <c r="AH206" i="5"/>
  <c r="AH168" i="5"/>
  <c r="AH156" i="5"/>
  <c r="AH144" i="5"/>
  <c r="AH132" i="5"/>
  <c r="AH124" i="5"/>
  <c r="AH122" i="5"/>
  <c r="AH74" i="5"/>
  <c r="AH72" i="5"/>
  <c r="AH39" i="5"/>
  <c r="AH249" i="5"/>
  <c r="AH246" i="5"/>
  <c r="AH174" i="5"/>
  <c r="AH110" i="5"/>
  <c r="AH86" i="5"/>
  <c r="AH25" i="5"/>
  <c r="AH46" i="5"/>
  <c r="AH27" i="5"/>
  <c r="AH17" i="5"/>
  <c r="AN17" i="5" s="1"/>
  <c r="AH105" i="5"/>
  <c r="AH44" i="5"/>
  <c r="AH177" i="5"/>
  <c r="AH162" i="5"/>
  <c r="AH81" i="5"/>
  <c r="AH45" i="5"/>
  <c r="AH178" i="5"/>
  <c r="AH153" i="5"/>
  <c r="AH134" i="5"/>
  <c r="AH82" i="5"/>
  <c r="AH79" i="5"/>
  <c r="AH80" i="5"/>
  <c r="AH87" i="5"/>
  <c r="AH18" i="5"/>
  <c r="AH212" i="5"/>
  <c r="AH138" i="5"/>
  <c r="AH99" i="5"/>
  <c r="AH54" i="5"/>
  <c r="AH248" i="5"/>
  <c r="AH245" i="5"/>
  <c r="AH165" i="5"/>
  <c r="AH146" i="5"/>
  <c r="AH111" i="5"/>
  <c r="AH83" i="5"/>
  <c r="AH51" i="5"/>
  <c r="AH88" i="5"/>
  <c r="AH150" i="5"/>
  <c r="AH127" i="5"/>
  <c r="AH84" i="5"/>
  <c r="AH37" i="5"/>
  <c r="AH261" i="5"/>
  <c r="AH179" i="5"/>
  <c r="AH158" i="5"/>
  <c r="AH129" i="5"/>
  <c r="AH48" i="5"/>
  <c r="AH24" i="5"/>
  <c r="AH265" i="5"/>
  <c r="AH52" i="5"/>
  <c r="AH341" i="5"/>
  <c r="AH47" i="5"/>
  <c r="AH19" i="5"/>
  <c r="AH213" i="5"/>
  <c r="AH170" i="5"/>
  <c r="AH141" i="5"/>
  <c r="AH49" i="5"/>
  <c r="AH98" i="5"/>
  <c r="AH90" i="5"/>
  <c r="AH117" i="5"/>
  <c r="N23" i="6"/>
  <c r="A24" i="6"/>
  <c r="N30" i="6"/>
  <c r="A31" i="6"/>
  <c r="N19" i="6"/>
  <c r="A20" i="6"/>
  <c r="T43" i="5"/>
  <c r="N39" i="6"/>
  <c r="A40" i="6"/>
  <c r="N36" i="6"/>
  <c r="V8" i="5" a="1"/>
  <c r="V8" i="5" s="1"/>
  <c r="O69" i="10"/>
  <c r="J12" i="9"/>
  <c r="U14" i="4"/>
  <c r="U7" i="4" s="1"/>
  <c r="AH14" i="5"/>
  <c r="W14" i="5" s="1"/>
  <c r="H14" i="12" s="1"/>
  <c r="BA13" i="6"/>
  <c r="BA12" i="6" s="1"/>
  <c r="A18" i="4"/>
  <c r="C17" i="4"/>
  <c r="Y12" i="8"/>
  <c r="AE13" i="12"/>
  <c r="Z13" i="6"/>
  <c r="AE13" i="6"/>
  <c r="AP13" i="6"/>
  <c r="AP12" i="6" s="1"/>
  <c r="K12" i="10"/>
  <c r="J11" i="10"/>
  <c r="A14" i="6"/>
  <c r="N14" i="6" s="1"/>
  <c r="C5" i="4"/>
  <c r="A6" i="4"/>
  <c r="A44" i="6" l="1"/>
  <c r="N44" i="6" s="1"/>
  <c r="G44" i="6"/>
  <c r="C46" i="5"/>
  <c r="K45" i="5"/>
  <c r="G45" i="5"/>
  <c r="J45" i="5"/>
  <c r="A45" i="12"/>
  <c r="N45" i="5"/>
  <c r="D45" i="6" s="1"/>
  <c r="H45" i="6" s="1"/>
  <c r="D45" i="5"/>
  <c r="B45" i="12" s="1"/>
  <c r="B45" i="6"/>
  <c r="B45" i="5"/>
  <c r="AE45" i="5"/>
  <c r="AD45" i="5"/>
  <c r="H45" i="5"/>
  <c r="F45" i="5"/>
  <c r="E45" i="5"/>
  <c r="T44" i="5"/>
  <c r="N31" i="6"/>
  <c r="A32" i="6"/>
  <c r="N40" i="6"/>
  <c r="A25" i="6"/>
  <c r="N24" i="6"/>
  <c r="AN40" i="5"/>
  <c r="W40" i="5"/>
  <c r="N20" i="6"/>
  <c r="G43" i="12"/>
  <c r="AN26" i="5"/>
  <c r="W26" i="5"/>
  <c r="H68" i="10"/>
  <c r="O74" i="10" a="1"/>
  <c r="O74" i="10" s="1"/>
  <c r="Q69" i="10"/>
  <c r="Q74" i="10" s="1" a="1"/>
  <c r="Q74" i="10" s="1"/>
  <c r="K12" i="9"/>
  <c r="AN14" i="5"/>
  <c r="T106" i="4"/>
  <c r="T105" i="4"/>
  <c r="T104" i="4"/>
  <c r="T103" i="4"/>
  <c r="T102" i="4"/>
  <c r="T101" i="4"/>
  <c r="T66" i="4"/>
  <c r="T65" i="4"/>
  <c r="T64" i="4"/>
  <c r="T63" i="4"/>
  <c r="T62" i="4"/>
  <c r="T61" i="4"/>
  <c r="T26" i="4"/>
  <c r="T25" i="4"/>
  <c r="T24" i="4"/>
  <c r="T23" i="4"/>
  <c r="T22" i="4"/>
  <c r="T21" i="4"/>
  <c r="M14" i="6"/>
  <c r="BB13" i="6"/>
  <c r="AF13" i="6"/>
  <c r="AF12" i="6" s="1"/>
  <c r="AE12" i="6"/>
  <c r="A19" i="4"/>
  <c r="C19" i="4" s="1"/>
  <c r="C18" i="4"/>
  <c r="Z12" i="8"/>
  <c r="AF13" i="12"/>
  <c r="AQ13" i="6"/>
  <c r="L12" i="10"/>
  <c r="A7" i="4"/>
  <c r="C7" i="4" s="1"/>
  <c r="C6" i="4"/>
  <c r="A45" i="6" l="1"/>
  <c r="N45" i="6" s="1"/>
  <c r="G45" i="6"/>
  <c r="F46" i="5"/>
  <c r="B46" i="5"/>
  <c r="C47" i="5" s="1"/>
  <c r="N46" i="5"/>
  <c r="D46" i="6" s="1"/>
  <c r="AD46" i="5"/>
  <c r="E46" i="5"/>
  <c r="A46" i="12"/>
  <c r="D46" i="5"/>
  <c r="B46" i="12" s="1"/>
  <c r="G46" i="5"/>
  <c r="J46" i="5"/>
  <c r="K46" i="5"/>
  <c r="AE46" i="5"/>
  <c r="B46" i="6"/>
  <c r="H46" i="5"/>
  <c r="T45" i="5"/>
  <c r="H40" i="12"/>
  <c r="X40" i="5" a="1"/>
  <c r="X40" i="5" s="1"/>
  <c r="A26" i="6"/>
  <c r="N25" i="6"/>
  <c r="G44" i="12"/>
  <c r="H26" i="12"/>
  <c r="X26" i="5" a="1"/>
  <c r="X26" i="5" s="1"/>
  <c r="N32" i="6"/>
  <c r="A33" i="6"/>
  <c r="S69" i="10"/>
  <c r="S74" i="10" s="1" a="1"/>
  <c r="S74" i="10" s="1"/>
  <c r="L12" i="9"/>
  <c r="BB12" i="6"/>
  <c r="AQ12" i="6"/>
  <c r="AG13" i="6"/>
  <c r="AG12" i="6" s="1"/>
  <c r="BC13" i="6"/>
  <c r="AA12" i="8"/>
  <c r="AG13" i="12"/>
  <c r="AR13" i="6"/>
  <c r="L11" i="10"/>
  <c r="M12" i="10"/>
  <c r="Z69" i="4"/>
  <c r="Y29" i="4"/>
  <c r="Z21" i="4"/>
  <c r="Y64" i="4"/>
  <c r="X21" i="4"/>
  <c r="Y24" i="4"/>
  <c r="X103" i="4"/>
  <c r="Y102" i="4"/>
  <c r="Y101" i="4"/>
  <c r="Y21" i="4"/>
  <c r="X105" i="4"/>
  <c r="Y103" i="4"/>
  <c r="Z62" i="4"/>
  <c r="X29" i="4"/>
  <c r="X109" i="4"/>
  <c r="X101" i="4"/>
  <c r="Z23" i="4"/>
  <c r="Y62" i="4"/>
  <c r="X62" i="4"/>
  <c r="Z109" i="4"/>
  <c r="Z103" i="4"/>
  <c r="Z102" i="4"/>
  <c r="Z24" i="4"/>
  <c r="X61" i="4"/>
  <c r="Z63" i="4"/>
  <c r="X23" i="4"/>
  <c r="X65" i="4"/>
  <c r="Z105" i="4"/>
  <c r="Y104" i="4"/>
  <c r="Z61" i="4"/>
  <c r="Z29" i="4"/>
  <c r="Y65" i="4"/>
  <c r="Y109" i="4"/>
  <c r="Z104" i="4"/>
  <c r="Y69" i="4"/>
  <c r="X25" i="4"/>
  <c r="Z25" i="4"/>
  <c r="X22" i="4"/>
  <c r="X63" i="4"/>
  <c r="Y25" i="4"/>
  <c r="Y22" i="4"/>
  <c r="Z65" i="4"/>
  <c r="X69" i="4"/>
  <c r="Y61" i="4"/>
  <c r="X102" i="4"/>
  <c r="X104" i="4"/>
  <c r="X64" i="4"/>
  <c r="Y105" i="4"/>
  <c r="Y63" i="4"/>
  <c r="Z22" i="4"/>
  <c r="Z101" i="4"/>
  <c r="Z64" i="4"/>
  <c r="X24" i="4"/>
  <c r="Y23" i="4"/>
  <c r="A46" i="6" l="1"/>
  <c r="N46" i="6" s="1"/>
  <c r="G46" i="6"/>
  <c r="H46" i="6"/>
  <c r="T46" i="5" s="1"/>
  <c r="C48" i="5"/>
  <c r="A47" i="12"/>
  <c r="AD47" i="5"/>
  <c r="AE47" i="5"/>
  <c r="W47" i="5"/>
  <c r="H47" i="12" s="1"/>
  <c r="N47" i="5"/>
  <c r="D47" i="6" s="1"/>
  <c r="M47" i="6" s="1"/>
  <c r="I47" i="5"/>
  <c r="G47" i="5"/>
  <c r="B47" i="6"/>
  <c r="B47" i="5"/>
  <c r="F47" i="5"/>
  <c r="E47" i="5"/>
  <c r="H47" i="5"/>
  <c r="I40" i="12"/>
  <c r="L40" i="5"/>
  <c r="AM40" i="5"/>
  <c r="Z40" i="5"/>
  <c r="I26" i="12"/>
  <c r="L26" i="5"/>
  <c r="AM26" i="5"/>
  <c r="Z26" i="5"/>
  <c r="A27" i="6"/>
  <c r="N26" i="6"/>
  <c r="G45" i="12"/>
  <c r="N33" i="6"/>
  <c r="U69" i="10"/>
  <c r="U74" i="10" s="1" a="1"/>
  <c r="U74" i="10" s="1"/>
  <c r="M12" i="9"/>
  <c r="U29" i="4"/>
  <c r="U64" i="4"/>
  <c r="U104" i="4"/>
  <c r="U105" i="4"/>
  <c r="U61" i="4"/>
  <c r="U25" i="4"/>
  <c r="U102" i="4"/>
  <c r="U62" i="4"/>
  <c r="U69" i="4"/>
  <c r="U63" i="4"/>
  <c r="U21" i="4"/>
  <c r="U22" i="4"/>
  <c r="U23" i="4"/>
  <c r="U103" i="4"/>
  <c r="U24" i="4"/>
  <c r="U101" i="4"/>
  <c r="U65" i="4"/>
  <c r="U109" i="4"/>
  <c r="K112" i="4" s="1"/>
  <c r="BC12" i="6"/>
  <c r="AR12" i="6"/>
  <c r="AH13" i="6"/>
  <c r="AH12" i="6" s="1"/>
  <c r="BD13" i="6"/>
  <c r="AB12" i="8"/>
  <c r="AH13" i="12"/>
  <c r="AS13" i="6"/>
  <c r="M11" i="10"/>
  <c r="N12" i="10"/>
  <c r="A47" i="6" l="1"/>
  <c r="J47" i="6" a="1"/>
  <c r="J47" i="6" s="1"/>
  <c r="N47" i="6"/>
  <c r="G47" i="6"/>
  <c r="H47" i="6"/>
  <c r="T47" i="5" s="1"/>
  <c r="G47" i="12" s="1"/>
  <c r="C49" i="5"/>
  <c r="AD48" i="5"/>
  <c r="H48" i="5"/>
  <c r="B48" i="6"/>
  <c r="D48" i="5"/>
  <c r="B48" i="12" s="1"/>
  <c r="AE48" i="5"/>
  <c r="K48" i="5"/>
  <c r="B48" i="5"/>
  <c r="N48" i="5"/>
  <c r="D48" i="6" s="1"/>
  <c r="H48" i="6" s="1"/>
  <c r="G48" i="5"/>
  <c r="A48" i="12"/>
  <c r="F48" i="5"/>
  <c r="J48" i="5"/>
  <c r="E48" i="5"/>
  <c r="G46" i="12"/>
  <c r="AB26" i="5"/>
  <c r="C26" i="12"/>
  <c r="N27" i="6"/>
  <c r="AB40" i="5"/>
  <c r="C26" i="6"/>
  <c r="C40" i="6"/>
  <c r="C40" i="12"/>
  <c r="AB10" i="12"/>
  <c r="W69" i="10"/>
  <c r="W74" i="10" s="1" a="1"/>
  <c r="W74" i="10" s="1"/>
  <c r="N12" i="9"/>
  <c r="J72" i="4"/>
  <c r="U8" i="4"/>
  <c r="BD12" i="6"/>
  <c r="AS12" i="6"/>
  <c r="AI13" i="6"/>
  <c r="AI12" i="6" s="1"/>
  <c r="BE13" i="6"/>
  <c r="AC12" i="8"/>
  <c r="AI13" i="12"/>
  <c r="K72" i="4"/>
  <c r="J112" i="4"/>
  <c r="AT13" i="6"/>
  <c r="O12" i="10"/>
  <c r="N11" i="10"/>
  <c r="K32" i="4"/>
  <c r="J32" i="4"/>
  <c r="G48" i="6" l="1"/>
  <c r="F49" i="5"/>
  <c r="AE49" i="5"/>
  <c r="N49" i="5"/>
  <c r="D49" i="6" s="1"/>
  <c r="G49" i="6" s="1"/>
  <c r="C50" i="5"/>
  <c r="H49" i="5"/>
  <c r="E49" i="5"/>
  <c r="B49" i="5"/>
  <c r="J49" i="5"/>
  <c r="A49" i="12"/>
  <c r="AD49" i="5"/>
  <c r="B49" i="6"/>
  <c r="K49" i="5"/>
  <c r="D49" i="5"/>
  <c r="B49" i="12" s="1"/>
  <c r="G49" i="5"/>
  <c r="A48" i="6"/>
  <c r="N48" i="6" s="1"/>
  <c r="T48" i="5"/>
  <c r="O12" i="9"/>
  <c r="Y69" i="10"/>
  <c r="Y74" i="10" s="1" a="1"/>
  <c r="Y74" i="10" s="1"/>
  <c r="T11" i="11"/>
  <c r="BE12" i="6"/>
  <c r="AT12" i="6"/>
  <c r="AJ13" i="6"/>
  <c r="AJ12" i="6" s="1"/>
  <c r="BF13" i="6"/>
  <c r="AD12" i="8"/>
  <c r="AJ13" i="12"/>
  <c r="AU13" i="6"/>
  <c r="P12" i="10"/>
  <c r="O11" i="10"/>
  <c r="A49" i="6" l="1"/>
  <c r="N49" i="6" s="1"/>
  <c r="H49" i="6"/>
  <c r="T49" i="5" s="1"/>
  <c r="AD50" i="5"/>
  <c r="N50" i="5"/>
  <c r="D50" i="6" s="1"/>
  <c r="K50" i="5"/>
  <c r="G50" i="5"/>
  <c r="AE50" i="5"/>
  <c r="F50" i="5"/>
  <c r="C51" i="5"/>
  <c r="B50" i="5"/>
  <c r="E50" i="5"/>
  <c r="D50" i="5"/>
  <c r="B50" i="12" s="1"/>
  <c r="A50" i="12"/>
  <c r="H50" i="5"/>
  <c r="B50" i="6"/>
  <c r="J50" i="5"/>
  <c r="G48" i="12"/>
  <c r="P12" i="9"/>
  <c r="AA69" i="10"/>
  <c r="AA74" i="10" s="1" a="1"/>
  <c r="AA74" i="10" s="1"/>
  <c r="BF12" i="6"/>
  <c r="AU12" i="6"/>
  <c r="AK13" i="6"/>
  <c r="BG13" i="6"/>
  <c r="AE12" i="8"/>
  <c r="AK13" i="12"/>
  <c r="AV13" i="6"/>
  <c r="Q12" i="10"/>
  <c r="P11" i="10"/>
  <c r="A50" i="6" l="1"/>
  <c r="N50" i="6" s="1"/>
  <c r="H50" i="6"/>
  <c r="T50" i="5" s="1"/>
  <c r="AD51" i="5"/>
  <c r="F51" i="5"/>
  <c r="B51" i="5"/>
  <c r="AE51" i="5"/>
  <c r="N51" i="5"/>
  <c r="D51" i="6" s="1"/>
  <c r="G51" i="6" s="1"/>
  <c r="G51" i="5"/>
  <c r="E51" i="5"/>
  <c r="A51" i="12"/>
  <c r="H51" i="5"/>
  <c r="B51" i="6"/>
  <c r="K51" i="5"/>
  <c r="J51" i="5"/>
  <c r="D51" i="5"/>
  <c r="B51" i="12" s="1"/>
  <c r="G50" i="6"/>
  <c r="G49" i="12"/>
  <c r="AK12" i="6"/>
  <c r="Q12" i="9"/>
  <c r="AC69" i="10"/>
  <c r="AC74" i="10" s="1" a="1"/>
  <c r="AC74" i="10" s="1"/>
  <c r="BG12" i="6"/>
  <c r="AV12" i="6"/>
  <c r="AF12" i="8"/>
  <c r="AL13" i="12"/>
  <c r="Q11" i="10"/>
  <c r="R12" i="10"/>
  <c r="A51" i="6" l="1"/>
  <c r="N51" i="6" s="1"/>
  <c r="H51" i="6"/>
  <c r="T51" i="5" s="1"/>
  <c r="C52" i="5"/>
  <c r="G50" i="12"/>
  <c r="R12" i="9"/>
  <c r="AE69" i="10"/>
  <c r="AE74" i="10" s="1" a="1"/>
  <c r="AE74" i="10" s="1"/>
  <c r="AM13" i="12"/>
  <c r="AO40" i="12" s="1"/>
  <c r="R11" i="10"/>
  <c r="S12" i="10"/>
  <c r="W52" i="5" l="1"/>
  <c r="H52" i="12" s="1"/>
  <c r="B52" i="5"/>
  <c r="G52" i="5"/>
  <c r="F52" i="5"/>
  <c r="AD52" i="5"/>
  <c r="B52" i="6"/>
  <c r="N52" i="5"/>
  <c r="D52" i="6" s="1"/>
  <c r="M52" i="6" s="1"/>
  <c r="AE52" i="5"/>
  <c r="H52" i="5"/>
  <c r="E52" i="5"/>
  <c r="A52" i="12"/>
  <c r="I52" i="5"/>
  <c r="C53" i="5"/>
  <c r="G51" i="12"/>
  <c r="L50" i="12" a="1"/>
  <c r="L50" i="12" s="1"/>
  <c r="J51" i="12" a="1"/>
  <c r="J51" i="12" s="1"/>
  <c r="L43" i="12" a="1"/>
  <c r="L43" i="12" s="1"/>
  <c r="L36" i="12" a="1"/>
  <c r="L36" i="12" s="1"/>
  <c r="L18" i="12" a="1"/>
  <c r="L18" i="12" s="1"/>
  <c r="J18" i="12" a="1"/>
  <c r="J18" i="12" s="1"/>
  <c r="J30" i="12" a="1"/>
  <c r="J30" i="12" s="1"/>
  <c r="L23" i="12" a="1"/>
  <c r="L23" i="12" s="1"/>
  <c r="L42" i="12" a="1"/>
  <c r="L42" i="12" s="1"/>
  <c r="J22" i="12" a="1"/>
  <c r="J22" i="12" s="1"/>
  <c r="J39" i="12" a="1"/>
  <c r="J39" i="12" s="1"/>
  <c r="J23" i="12" a="1"/>
  <c r="J23" i="12" s="1"/>
  <c r="L30" i="12" a="1"/>
  <c r="L30" i="12" s="1"/>
  <c r="J29" i="12" a="1"/>
  <c r="J29" i="12" s="1"/>
  <c r="L39" i="12" a="1"/>
  <c r="L39" i="12" s="1"/>
  <c r="L24" i="12" a="1"/>
  <c r="L24" i="12" s="1"/>
  <c r="J25" i="12" a="1"/>
  <c r="J25" i="12" s="1"/>
  <c r="L32" i="12" a="1"/>
  <c r="L32" i="12" s="1"/>
  <c r="L31" i="12" a="1"/>
  <c r="L31" i="12" s="1"/>
  <c r="J24" i="12" a="1"/>
  <c r="J24" i="12" s="1"/>
  <c r="L26" i="12" a="1"/>
  <c r="L26" i="12" s="1"/>
  <c r="L38" i="12" a="1"/>
  <c r="L38" i="12" s="1"/>
  <c r="L25" i="12" a="1"/>
  <c r="L25" i="12" s="1"/>
  <c r="L19" i="12" a="1"/>
  <c r="L19" i="12" s="1"/>
  <c r="J20" i="12" a="1"/>
  <c r="J20" i="12" s="1"/>
  <c r="J38" i="12" a="1"/>
  <c r="J38" i="12" s="1"/>
  <c r="J31" i="12" a="1"/>
  <c r="J31" i="12" s="1"/>
  <c r="L22" i="12" a="1"/>
  <c r="L22" i="12" s="1"/>
  <c r="J19" i="12" a="1"/>
  <c r="J19" i="12" s="1"/>
  <c r="L40" i="12" a="1"/>
  <c r="L40" i="12" s="1"/>
  <c r="L45" i="12" a="1"/>
  <c r="L45" i="12" s="1"/>
  <c r="J43" i="12" a="1"/>
  <c r="J43" i="12" s="1"/>
  <c r="J40" i="12" a="1"/>
  <c r="J40" i="12" s="1"/>
  <c r="M40" i="12" s="1"/>
  <c r="L35" i="12" a="1"/>
  <c r="L35" i="12" s="1"/>
  <c r="L27" i="12" a="1"/>
  <c r="L27" i="12" s="1"/>
  <c r="J42" i="12" a="1"/>
  <c r="J42" i="12" s="1"/>
  <c r="J35" i="12" a="1"/>
  <c r="J35" i="12" s="1"/>
  <c r="J36" i="12" a="1"/>
  <c r="J36" i="12" s="1"/>
  <c r="L44" i="12" a="1"/>
  <c r="L44" i="12" s="1"/>
  <c r="J33" i="12" a="1"/>
  <c r="J33" i="12" s="1"/>
  <c r="L20" i="12" a="1"/>
  <c r="L20" i="12" s="1"/>
  <c r="J32" i="12" a="1"/>
  <c r="J32" i="12" s="1"/>
  <c r="J44" i="12" a="1"/>
  <c r="J44" i="12" s="1"/>
  <c r="J27" i="12" a="1"/>
  <c r="J27" i="12" s="1"/>
  <c r="J26" i="12" a="1"/>
  <c r="J26" i="12" s="1"/>
  <c r="M26" i="12" s="1"/>
  <c r="L29" i="12" a="1"/>
  <c r="L29" i="12" s="1"/>
  <c r="L33" i="12" a="1"/>
  <c r="L33" i="12" s="1"/>
  <c r="L46" i="12" a="1"/>
  <c r="L46" i="12" s="1"/>
  <c r="J45" i="12" a="1"/>
  <c r="J45" i="12" s="1"/>
  <c r="L48" i="12" a="1"/>
  <c r="L48" i="12" s="1"/>
  <c r="J46" i="12" a="1"/>
  <c r="J46" i="12" s="1"/>
  <c r="J49" i="12" a="1"/>
  <c r="J49" i="12" s="1"/>
  <c r="L49" i="12" a="1"/>
  <c r="L49" i="12" s="1"/>
  <c r="AO26" i="12"/>
  <c r="L51" i="12" a="1"/>
  <c r="L51" i="12" s="1"/>
  <c r="J50" i="12" a="1"/>
  <c r="J50" i="12" s="1"/>
  <c r="J48" i="12" a="1"/>
  <c r="J48" i="12" s="1"/>
  <c r="J14" i="12" a="1"/>
  <c r="J14" i="12" s="1"/>
  <c r="L14" i="12" a="1"/>
  <c r="L14" i="12" s="1"/>
  <c r="S12" i="9"/>
  <c r="AO7" i="12"/>
  <c r="T12" i="10"/>
  <c r="S11" i="10"/>
  <c r="K49" i="12" l="1"/>
  <c r="K51" i="12"/>
  <c r="K24" i="12"/>
  <c r="K48" i="12"/>
  <c r="K30" i="12"/>
  <c r="H52" i="6"/>
  <c r="T52" i="5" s="1"/>
  <c r="G52" i="12" s="1"/>
  <c r="N52" i="6"/>
  <c r="A52" i="6"/>
  <c r="J52" i="6" a="1"/>
  <c r="J52" i="6" s="1"/>
  <c r="G52" i="6"/>
  <c r="K18" i="12"/>
  <c r="F53" i="5"/>
  <c r="AE53" i="5"/>
  <c r="K53" i="5"/>
  <c r="AD53" i="5"/>
  <c r="B53" i="5"/>
  <c r="C54" i="5" s="1"/>
  <c r="A53" i="12"/>
  <c r="J53" i="5"/>
  <c r="G53" i="5"/>
  <c r="D53" i="5"/>
  <c r="B53" i="12" s="1"/>
  <c r="N53" i="5"/>
  <c r="D53" i="6" s="1"/>
  <c r="H53" i="6" s="1"/>
  <c r="B53" i="6"/>
  <c r="E53" i="5"/>
  <c r="H53" i="5"/>
  <c r="K22" i="12"/>
  <c r="K36" i="12"/>
  <c r="K46" i="12"/>
  <c r="K19" i="12"/>
  <c r="K31" i="12"/>
  <c r="K44" i="12"/>
  <c r="K39" i="12"/>
  <c r="K43" i="12"/>
  <c r="K33" i="12"/>
  <c r="K27" i="12"/>
  <c r="K25" i="12"/>
  <c r="K29" i="12"/>
  <c r="K35" i="12"/>
  <c r="K38" i="12"/>
  <c r="K50" i="12"/>
  <c r="K26" i="12"/>
  <c r="O26" i="12"/>
  <c r="N26" i="12" s="1"/>
  <c r="K42" i="12"/>
  <c r="K23" i="12"/>
  <c r="K45" i="12"/>
  <c r="K40" i="12"/>
  <c r="O40" i="12"/>
  <c r="K32" i="12"/>
  <c r="K20" i="12"/>
  <c r="T12" i="9"/>
  <c r="K14" i="12"/>
  <c r="U12" i="10"/>
  <c r="T11" i="10"/>
  <c r="G53" i="6" l="1"/>
  <c r="A53" i="6"/>
  <c r="N53" i="6" s="1"/>
  <c r="L53" i="12" a="1"/>
  <c r="L53" i="12" s="1"/>
  <c r="J53" i="12" a="1"/>
  <c r="J53" i="12" s="1"/>
  <c r="I54" i="5"/>
  <c r="C55" i="5"/>
  <c r="W54" i="5"/>
  <c r="H54" i="12" s="1"/>
  <c r="H54" i="5"/>
  <c r="A54" i="12"/>
  <c r="AE54" i="5"/>
  <c r="AD54" i="5"/>
  <c r="B54" i="6"/>
  <c r="N54" i="5"/>
  <c r="D54" i="6" s="1"/>
  <c r="N54" i="6" s="1"/>
  <c r="B54" i="5"/>
  <c r="E54" i="5"/>
  <c r="G54" i="5"/>
  <c r="F54" i="5"/>
  <c r="K52" i="5" s="1"/>
  <c r="N40" i="12"/>
  <c r="Y40" i="12"/>
  <c r="T53" i="5"/>
  <c r="Y26" i="12"/>
  <c r="U12" i="9"/>
  <c r="V12" i="10"/>
  <c r="U11" i="10"/>
  <c r="J54" i="6" l="1" a="1"/>
  <c r="J54" i="6" s="1"/>
  <c r="A54" i="6"/>
  <c r="M54" i="6"/>
  <c r="J55" i="5"/>
  <c r="AD55" i="5"/>
  <c r="N55" i="5"/>
  <c r="D55" i="6" s="1"/>
  <c r="H55" i="6" s="1"/>
  <c r="H55" i="5"/>
  <c r="K55" i="5"/>
  <c r="G55" i="5"/>
  <c r="A55" i="12"/>
  <c r="D55" i="5"/>
  <c r="B55" i="12" s="1"/>
  <c r="F55" i="5"/>
  <c r="B55" i="6"/>
  <c r="AE55" i="5"/>
  <c r="E55" i="5"/>
  <c r="C56" i="5"/>
  <c r="B55" i="5"/>
  <c r="G54" i="6"/>
  <c r="H54" i="6"/>
  <c r="T54" i="5" s="1"/>
  <c r="G54" i="12" s="1"/>
  <c r="K53" i="12"/>
  <c r="G53" i="12"/>
  <c r="X40" i="12"/>
  <c r="W40" i="12"/>
  <c r="X26" i="12"/>
  <c r="W26" i="12"/>
  <c r="V12" i="9"/>
  <c r="W12" i="10"/>
  <c r="V11" i="10"/>
  <c r="G55" i="6" l="1"/>
  <c r="J55" i="12" a="1"/>
  <c r="J55" i="12" s="1"/>
  <c r="L55" i="12" a="1"/>
  <c r="L55" i="12" s="1"/>
  <c r="B56" i="6"/>
  <c r="AD56" i="5"/>
  <c r="G56" i="5"/>
  <c r="D56" i="5"/>
  <c r="B56" i="12" s="1"/>
  <c r="C57" i="5"/>
  <c r="F56" i="5"/>
  <c r="AE56" i="5"/>
  <c r="B56" i="5"/>
  <c r="J56" i="5"/>
  <c r="A56" i="12"/>
  <c r="E56" i="5"/>
  <c r="N56" i="5"/>
  <c r="D56" i="6" s="1"/>
  <c r="G56" i="6" s="1"/>
  <c r="H56" i="5"/>
  <c r="K56" i="5"/>
  <c r="A55" i="6"/>
  <c r="N55" i="6" s="1"/>
  <c r="U40" i="12"/>
  <c r="V40" i="12"/>
  <c r="T40" i="12"/>
  <c r="T55" i="5"/>
  <c r="U26" i="12"/>
  <c r="T26" i="12"/>
  <c r="V26" i="12"/>
  <c r="W12" i="9"/>
  <c r="W11" i="10"/>
  <c r="X12" i="10"/>
  <c r="H56" i="6" l="1"/>
  <c r="T56" i="5" s="1"/>
  <c r="A56" i="6"/>
  <c r="N56" i="6" s="1"/>
  <c r="K55" i="12"/>
  <c r="J56" i="12" a="1"/>
  <c r="J56" i="12" s="1"/>
  <c r="L56" i="12" a="1"/>
  <c r="L56" i="12" s="1"/>
  <c r="AD57" i="5"/>
  <c r="K57" i="5"/>
  <c r="N57" i="5"/>
  <c r="D57" i="6" s="1"/>
  <c r="H57" i="6" s="1"/>
  <c r="A57" i="12"/>
  <c r="G57" i="5"/>
  <c r="H57" i="5"/>
  <c r="D57" i="5"/>
  <c r="B57" i="12" s="1"/>
  <c r="E57" i="5"/>
  <c r="J57" i="5"/>
  <c r="B57" i="6"/>
  <c r="C58" i="5"/>
  <c r="B57" i="5"/>
  <c r="F57" i="5"/>
  <c r="AE57" i="5"/>
  <c r="G55" i="12"/>
  <c r="X12" i="9"/>
  <c r="Y12" i="10"/>
  <c r="X11" i="10"/>
  <c r="K56" i="12" l="1"/>
  <c r="G57" i="6"/>
  <c r="A57" i="6"/>
  <c r="N57" i="6" s="1"/>
  <c r="J57" i="12" a="1"/>
  <c r="J57" i="12" s="1"/>
  <c r="L57" i="12" a="1"/>
  <c r="L57" i="12" s="1"/>
  <c r="F58" i="5"/>
  <c r="G58" i="5"/>
  <c r="B58" i="6"/>
  <c r="B58" i="5"/>
  <c r="C59" i="5"/>
  <c r="AD58" i="5"/>
  <c r="H58" i="5"/>
  <c r="D58" i="5"/>
  <c r="B58" i="12" s="1"/>
  <c r="N58" i="5"/>
  <c r="D58" i="6" s="1"/>
  <c r="J58" i="5"/>
  <c r="A58" i="12"/>
  <c r="E58" i="5"/>
  <c r="K58" i="5"/>
  <c r="AE58" i="5"/>
  <c r="G56" i="12"/>
  <c r="T57" i="5"/>
  <c r="Y12" i="9"/>
  <c r="Y11" i="10"/>
  <c r="Z12" i="10"/>
  <c r="K57" i="12" l="1"/>
  <c r="A58" i="6"/>
  <c r="N58" i="6" s="1"/>
  <c r="G58" i="6"/>
  <c r="H58" i="6"/>
  <c r="T58" i="5" s="1"/>
  <c r="D59" i="5"/>
  <c r="B59" i="12" s="1"/>
  <c r="G59" i="5"/>
  <c r="H59" i="5"/>
  <c r="N59" i="5"/>
  <c r="D59" i="6" s="1"/>
  <c r="B59" i="5"/>
  <c r="K59" i="5"/>
  <c r="C60" i="5"/>
  <c r="AE59" i="5"/>
  <c r="F59" i="5"/>
  <c r="J59" i="5"/>
  <c r="B59" i="6"/>
  <c r="E59" i="5"/>
  <c r="AD59" i="5"/>
  <c r="A59" i="12"/>
  <c r="L58" i="12" a="1"/>
  <c r="L58" i="12" s="1"/>
  <c r="J58" i="12" a="1"/>
  <c r="J58" i="12" s="1"/>
  <c r="G57" i="12"/>
  <c r="Z12" i="9"/>
  <c r="Z11" i="10"/>
  <c r="AA12" i="10"/>
  <c r="K58" i="12" l="1"/>
  <c r="G59" i="6"/>
  <c r="J59" i="12" a="1"/>
  <c r="J59" i="12" s="1"/>
  <c r="L59" i="12" a="1"/>
  <c r="L59" i="12" s="1"/>
  <c r="H59" i="6"/>
  <c r="T59" i="5" s="1"/>
  <c r="A59" i="6"/>
  <c r="N59" i="6" s="1"/>
  <c r="B60" i="6"/>
  <c r="AD60" i="5"/>
  <c r="E60" i="5"/>
  <c r="C61" i="5"/>
  <c r="D60" i="5"/>
  <c r="B60" i="12" s="1"/>
  <c r="H60" i="5"/>
  <c r="K60" i="5"/>
  <c r="F60" i="5"/>
  <c r="AE60" i="5"/>
  <c r="B60" i="5"/>
  <c r="N60" i="5"/>
  <c r="D60" i="6" s="1"/>
  <c r="H60" i="6" s="1"/>
  <c r="J60" i="5"/>
  <c r="A60" i="12"/>
  <c r="G60" i="5"/>
  <c r="G58" i="12"/>
  <c r="AA12" i="9"/>
  <c r="AB12" i="10"/>
  <c r="AA11" i="10"/>
  <c r="K59" i="12" l="1"/>
  <c r="G60" i="6"/>
  <c r="A60" i="6"/>
  <c r="N60" i="6" s="1"/>
  <c r="B61" i="5"/>
  <c r="N61" i="5"/>
  <c r="D61" i="6" s="1"/>
  <c r="H61" i="6" s="1"/>
  <c r="B61" i="6"/>
  <c r="J61" i="5"/>
  <c r="C62" i="5"/>
  <c r="D61" i="5"/>
  <c r="B61" i="12" s="1"/>
  <c r="H61" i="5"/>
  <c r="F61" i="5"/>
  <c r="E61" i="5"/>
  <c r="AE61" i="5"/>
  <c r="AD61" i="5"/>
  <c r="K61" i="5"/>
  <c r="G61" i="5"/>
  <c r="A61" i="12"/>
  <c r="J60" i="12" a="1"/>
  <c r="J60" i="12" s="1"/>
  <c r="L60" i="12" a="1"/>
  <c r="L60" i="12" s="1"/>
  <c r="T60" i="5"/>
  <c r="G59" i="12"/>
  <c r="AB12" i="9"/>
  <c r="AB11" i="10"/>
  <c r="AC12" i="10"/>
  <c r="K60" i="12" l="1"/>
  <c r="G61" i="6"/>
  <c r="A61" i="6"/>
  <c r="N61" i="6" s="1"/>
  <c r="A62" i="12"/>
  <c r="AD62" i="5"/>
  <c r="B62" i="6"/>
  <c r="J62" i="5"/>
  <c r="K62" i="5"/>
  <c r="E62" i="5"/>
  <c r="F62" i="5"/>
  <c r="B62" i="5"/>
  <c r="N62" i="5"/>
  <c r="D62" i="6" s="1"/>
  <c r="C63" i="5"/>
  <c r="D62" i="5"/>
  <c r="B62" i="12" s="1"/>
  <c r="G62" i="5"/>
  <c r="H62" i="5"/>
  <c r="AE62" i="5"/>
  <c r="J61" i="12" a="1"/>
  <c r="J61" i="12" s="1"/>
  <c r="L61" i="12" a="1"/>
  <c r="L61" i="12" s="1"/>
  <c r="T61" i="5"/>
  <c r="G60" i="12"/>
  <c r="AC12" i="9"/>
  <c r="AC11" i="10"/>
  <c r="AD12" i="10"/>
  <c r="A62" i="6" l="1"/>
  <c r="N62" i="6" s="1"/>
  <c r="K61" i="12"/>
  <c r="G62" i="6"/>
  <c r="H62" i="6"/>
  <c r="T62" i="5" s="1"/>
  <c r="AD63" i="5"/>
  <c r="B63" i="5"/>
  <c r="F63" i="5"/>
  <c r="C64" i="5"/>
  <c r="D63" i="5"/>
  <c r="B63" i="12" s="1"/>
  <c r="A63" i="12"/>
  <c r="E63" i="5"/>
  <c r="N63" i="5"/>
  <c r="D63" i="6" s="1"/>
  <c r="H63" i="6" s="1"/>
  <c r="H63" i="5"/>
  <c r="G63" i="5"/>
  <c r="B63" i="6"/>
  <c r="J63" i="5"/>
  <c r="K63" i="5"/>
  <c r="AE63" i="5"/>
  <c r="J62" i="12" a="1"/>
  <c r="J62" i="12" s="1"/>
  <c r="L62" i="12" a="1"/>
  <c r="L62" i="12" s="1"/>
  <c r="G61" i="12"/>
  <c r="AD12" i="9"/>
  <c r="AE12" i="10"/>
  <c r="AD11" i="10"/>
  <c r="K62" i="12" l="1"/>
  <c r="A63" i="6"/>
  <c r="N63" i="6" s="1"/>
  <c r="AE64" i="5"/>
  <c r="C65" i="5"/>
  <c r="AD64" i="5"/>
  <c r="J64" i="5"/>
  <c r="A64" i="12"/>
  <c r="E64" i="5"/>
  <c r="D64" i="5"/>
  <c r="B64" i="12" s="1"/>
  <c r="H64" i="5"/>
  <c r="N64" i="5"/>
  <c r="D64" i="6" s="1"/>
  <c r="H64" i="6" s="1"/>
  <c r="K64" i="5"/>
  <c r="B64" i="6"/>
  <c r="B64" i="5"/>
  <c r="G64" i="5"/>
  <c r="F64" i="5"/>
  <c r="L63" i="12" a="1"/>
  <c r="L63" i="12" s="1"/>
  <c r="J63" i="12" a="1"/>
  <c r="J63" i="12" s="1"/>
  <c r="G63" i="6"/>
  <c r="T63" i="5"/>
  <c r="G62" i="12"/>
  <c r="AE12" i="9"/>
  <c r="AE11" i="10"/>
  <c r="AF12" i="10"/>
  <c r="K63" i="12" l="1"/>
  <c r="G64" i="6"/>
  <c r="N65" i="5"/>
  <c r="D65" i="6" s="1"/>
  <c r="H65" i="6" s="1"/>
  <c r="K65" i="5"/>
  <c r="D65" i="5"/>
  <c r="B65" i="12" s="1"/>
  <c r="AE65" i="5"/>
  <c r="J65" i="5"/>
  <c r="B65" i="5"/>
  <c r="A65" i="12"/>
  <c r="E65" i="5"/>
  <c r="AD65" i="5"/>
  <c r="C66" i="5"/>
  <c r="F65" i="5"/>
  <c r="H65" i="5"/>
  <c r="B65" i="6"/>
  <c r="G65" i="5"/>
  <c r="L64" i="12" a="1"/>
  <c r="L64" i="12" s="1"/>
  <c r="J64" i="12" a="1"/>
  <c r="J64" i="12" s="1"/>
  <c r="A64" i="6"/>
  <c r="N64" i="6" s="1"/>
  <c r="T64" i="5"/>
  <c r="G63" i="12"/>
  <c r="AF11" i="10"/>
  <c r="G65" i="6" l="1"/>
  <c r="K64" i="12"/>
  <c r="E66" i="5"/>
  <c r="J66" i="5"/>
  <c r="AD66" i="5"/>
  <c r="A66" i="12"/>
  <c r="G66" i="5"/>
  <c r="B66" i="5"/>
  <c r="AE66" i="5"/>
  <c r="B66" i="6"/>
  <c r="D66" i="5"/>
  <c r="B66" i="12" s="1"/>
  <c r="N66" i="5"/>
  <c r="D66" i="6" s="1"/>
  <c r="G66" i="6" s="1"/>
  <c r="K66" i="5"/>
  <c r="C67" i="5"/>
  <c r="F66" i="5"/>
  <c r="H66" i="5"/>
  <c r="J65" i="12" a="1"/>
  <c r="J65" i="12" s="1"/>
  <c r="L65" i="12" a="1"/>
  <c r="L65" i="12" s="1"/>
  <c r="A65" i="6"/>
  <c r="N65" i="6" s="1"/>
  <c r="G64" i="12"/>
  <c r="T65" i="5"/>
  <c r="A15" i="10"/>
  <c r="K65" i="12" l="1"/>
  <c r="H66" i="6"/>
  <c r="T66" i="5" s="1"/>
  <c r="C68" i="5"/>
  <c r="A67" i="12"/>
  <c r="G67" i="5"/>
  <c r="F67" i="5"/>
  <c r="N67" i="5"/>
  <c r="D67" i="6" s="1"/>
  <c r="H67" i="6" s="1"/>
  <c r="J67" i="5"/>
  <c r="B67" i="6"/>
  <c r="H67" i="5"/>
  <c r="E67" i="5"/>
  <c r="K67" i="5"/>
  <c r="B67" i="5"/>
  <c r="AE67" i="5"/>
  <c r="AD67" i="5"/>
  <c r="D67" i="5"/>
  <c r="B67" i="12" s="1"/>
  <c r="A66" i="6"/>
  <c r="N66" i="6" s="1"/>
  <c r="L66" i="12" a="1"/>
  <c r="L66" i="12" s="1"/>
  <c r="J66" i="12" a="1"/>
  <c r="J66" i="12" s="1"/>
  <c r="G65" i="12"/>
  <c r="M1" i="6"/>
  <c r="H14" i="6"/>
  <c r="K66" i="12" l="1"/>
  <c r="A67" i="6"/>
  <c r="N67" i="6" s="1"/>
  <c r="G67" i="6"/>
  <c r="L67" i="12" a="1"/>
  <c r="L67" i="12" s="1"/>
  <c r="J67" i="12" a="1"/>
  <c r="J67" i="12" s="1"/>
  <c r="AE68" i="5"/>
  <c r="K68" i="5"/>
  <c r="J68" i="5"/>
  <c r="N68" i="5"/>
  <c r="D68" i="6" s="1"/>
  <c r="H68" i="6" s="1"/>
  <c r="B68" i="5"/>
  <c r="F68" i="5"/>
  <c r="A68" i="12"/>
  <c r="E68" i="5"/>
  <c r="AD68" i="5"/>
  <c r="H68" i="5"/>
  <c r="G68" i="5"/>
  <c r="C69" i="5"/>
  <c r="B68" i="6"/>
  <c r="D68" i="5"/>
  <c r="B68" i="12" s="1"/>
  <c r="T67" i="5"/>
  <c r="G66" i="12"/>
  <c r="I13" i="7"/>
  <c r="E11" i="9"/>
  <c r="G11" i="9"/>
  <c r="H11" i="9"/>
  <c r="I11" i="9"/>
  <c r="J11" i="9"/>
  <c r="K11" i="9"/>
  <c r="L11" i="9"/>
  <c r="M11" i="9"/>
  <c r="N11" i="9"/>
  <c r="O11" i="9"/>
  <c r="P11" i="9"/>
  <c r="Q11" i="9"/>
  <c r="R11" i="9"/>
  <c r="S11" i="9"/>
  <c r="T11" i="9"/>
  <c r="U11" i="9"/>
  <c r="V11" i="9"/>
  <c r="W11" i="9"/>
  <c r="X11" i="9"/>
  <c r="Y11" i="9"/>
  <c r="Z11" i="9"/>
  <c r="AA11" i="9"/>
  <c r="AB11" i="9"/>
  <c r="AC11" i="9"/>
  <c r="AD11" i="9"/>
  <c r="AE11" i="9"/>
  <c r="A68" i="6" l="1"/>
  <c r="N68" i="6" s="1"/>
  <c r="L68" i="12" a="1"/>
  <c r="L68" i="12" s="1"/>
  <c r="J68" i="12" a="1"/>
  <c r="J68" i="12" s="1"/>
  <c r="G68" i="6"/>
  <c r="D69" i="5"/>
  <c r="B69" i="12" s="1"/>
  <c r="F69" i="5"/>
  <c r="A69" i="12"/>
  <c r="E69" i="5"/>
  <c r="C70" i="5"/>
  <c r="AD69" i="5"/>
  <c r="B69" i="6"/>
  <c r="G69" i="5"/>
  <c r="N69" i="5"/>
  <c r="D69" i="6" s="1"/>
  <c r="G69" i="6" s="1"/>
  <c r="K69" i="5"/>
  <c r="J69" i="5"/>
  <c r="AE69" i="5"/>
  <c r="H69" i="5"/>
  <c r="B69" i="5"/>
  <c r="K67" i="12"/>
  <c r="T68" i="5"/>
  <c r="G67" i="12"/>
  <c r="J13" i="7"/>
  <c r="I10" i="7"/>
  <c r="A69" i="6" l="1"/>
  <c r="N69" i="6" s="1"/>
  <c r="L69" i="12" a="1"/>
  <c r="L69" i="12" s="1"/>
  <c r="J69" i="12" a="1"/>
  <c r="J69" i="12" s="1"/>
  <c r="H69" i="6"/>
  <c r="T69" i="5" s="1"/>
  <c r="N70" i="5"/>
  <c r="D70" i="6" s="1"/>
  <c r="H70" i="6" s="1"/>
  <c r="K70" i="5"/>
  <c r="AE70" i="5"/>
  <c r="J70" i="5"/>
  <c r="AD70" i="5"/>
  <c r="D70" i="5"/>
  <c r="B70" i="12" s="1"/>
  <c r="B70" i="5"/>
  <c r="H70" i="5"/>
  <c r="C71" i="5"/>
  <c r="G70" i="5"/>
  <c r="A70" i="12"/>
  <c r="B70" i="6"/>
  <c r="E70" i="5"/>
  <c r="F70" i="5"/>
  <c r="K68" i="12"/>
  <c r="G68" i="12"/>
  <c r="K13" i="7"/>
  <c r="L13" i="7" s="1"/>
  <c r="J10" i="7"/>
  <c r="G70" i="6" l="1"/>
  <c r="A70" i="6"/>
  <c r="N70" i="6" s="1"/>
  <c r="AE71" i="5"/>
  <c r="F71" i="5"/>
  <c r="J71" i="5"/>
  <c r="AD71" i="5"/>
  <c r="A71" i="12"/>
  <c r="D71" i="5"/>
  <c r="B71" i="12" s="1"/>
  <c r="C72" i="5"/>
  <c r="E71" i="5"/>
  <c r="B71" i="6"/>
  <c r="H71" i="5"/>
  <c r="G71" i="5"/>
  <c r="B71" i="5"/>
  <c r="K71" i="5"/>
  <c r="N71" i="5"/>
  <c r="D71" i="6" s="1"/>
  <c r="H71" i="6" s="1"/>
  <c r="J70" i="12" a="1"/>
  <c r="J70" i="12" s="1"/>
  <c r="L70" i="12" a="1"/>
  <c r="L70" i="12" s="1"/>
  <c r="K69" i="12"/>
  <c r="T70" i="5"/>
  <c r="G69" i="12"/>
  <c r="M13" i="7"/>
  <c r="L10" i="7"/>
  <c r="A71" i="6" l="1"/>
  <c r="N71" i="6" s="1"/>
  <c r="G71" i="6"/>
  <c r="K70" i="12"/>
  <c r="AE72" i="5"/>
  <c r="J72" i="5"/>
  <c r="C73" i="5"/>
  <c r="D72" i="5"/>
  <c r="B72" i="12" s="1"/>
  <c r="AD72" i="5"/>
  <c r="G72" i="5"/>
  <c r="F72" i="5"/>
  <c r="E72" i="5"/>
  <c r="B72" i="5"/>
  <c r="K72" i="5"/>
  <c r="N72" i="5"/>
  <c r="D72" i="6" s="1"/>
  <c r="H72" i="6" s="1"/>
  <c r="A72" i="12"/>
  <c r="B72" i="6"/>
  <c r="H72" i="5"/>
  <c r="L71" i="12" a="1"/>
  <c r="L71" i="12" s="1"/>
  <c r="J71" i="12" a="1"/>
  <c r="J71" i="12" s="1"/>
  <c r="T71" i="5"/>
  <c r="G70" i="12"/>
  <c r="N13" i="7"/>
  <c r="M10" i="7"/>
  <c r="A72" i="6" l="1"/>
  <c r="N72" i="6" s="1"/>
  <c r="L72" i="12" a="1"/>
  <c r="L72" i="12" s="1"/>
  <c r="J72" i="12" a="1"/>
  <c r="J72" i="12" s="1"/>
  <c r="G72" i="6"/>
  <c r="K71" i="12"/>
  <c r="A73" i="12"/>
  <c r="B73" i="5"/>
  <c r="B73" i="6"/>
  <c r="C74" i="5"/>
  <c r="K73" i="5"/>
  <c r="F73" i="5"/>
  <c r="AD73" i="5"/>
  <c r="J73" i="5"/>
  <c r="N73" i="5"/>
  <c r="D73" i="6" s="1"/>
  <c r="H73" i="6" s="1"/>
  <c r="D73" i="5"/>
  <c r="B73" i="12" s="1"/>
  <c r="AE73" i="5"/>
  <c r="H73" i="5"/>
  <c r="G73" i="5"/>
  <c r="E73" i="5"/>
  <c r="G71" i="12"/>
  <c r="T72" i="5"/>
  <c r="O13" i="7"/>
  <c r="N10" i="7"/>
  <c r="K72" i="12" l="1"/>
  <c r="F74" i="5"/>
  <c r="K74" i="5"/>
  <c r="AE74" i="5"/>
  <c r="H74" i="5"/>
  <c r="AD74" i="5"/>
  <c r="B74" i="5"/>
  <c r="A74" i="12"/>
  <c r="J74" i="5"/>
  <c r="G74" i="5"/>
  <c r="E74" i="5"/>
  <c r="N74" i="5"/>
  <c r="D74" i="6" s="1"/>
  <c r="C75" i="5"/>
  <c r="D74" i="5"/>
  <c r="B74" i="12" s="1"/>
  <c r="B74" i="6"/>
  <c r="A73" i="6"/>
  <c r="N73" i="6" s="1"/>
  <c r="G73" i="6"/>
  <c r="L73" i="12" a="1"/>
  <c r="L73" i="12" s="1"/>
  <c r="J73" i="12" a="1"/>
  <c r="J73" i="12" s="1"/>
  <c r="G72" i="12"/>
  <c r="T73" i="5"/>
  <c r="P13" i="7"/>
  <c r="O10" i="7"/>
  <c r="K73" i="12" l="1"/>
  <c r="G74" i="6"/>
  <c r="H74" i="6"/>
  <c r="T74" i="5" s="1"/>
  <c r="L74" i="12" a="1"/>
  <c r="L74" i="12" s="1"/>
  <c r="J74" i="12" a="1"/>
  <c r="J74" i="12" s="1"/>
  <c r="A75" i="12"/>
  <c r="B75" i="5"/>
  <c r="B75" i="6"/>
  <c r="C76" i="5"/>
  <c r="E75" i="5"/>
  <c r="N75" i="5"/>
  <c r="D75" i="6" s="1"/>
  <c r="G75" i="5"/>
  <c r="D75" i="5"/>
  <c r="B75" i="12" s="1"/>
  <c r="AE75" i="5"/>
  <c r="F75" i="5"/>
  <c r="J75" i="5"/>
  <c r="K75" i="5"/>
  <c r="AD75" i="5"/>
  <c r="H75" i="5"/>
  <c r="A74" i="6"/>
  <c r="N74" i="6" s="1"/>
  <c r="G73" i="12"/>
  <c r="Q13" i="7"/>
  <c r="P10" i="7"/>
  <c r="A75" i="6" l="1"/>
  <c r="N75" i="6" s="1"/>
  <c r="B76" i="6"/>
  <c r="B76" i="5"/>
  <c r="AE76" i="5"/>
  <c r="F76" i="5"/>
  <c r="D76" i="5"/>
  <c r="B76" i="12" s="1"/>
  <c r="C77" i="5"/>
  <c r="H76" i="5"/>
  <c r="G76" i="5"/>
  <c r="A76" i="12"/>
  <c r="E76" i="5"/>
  <c r="J76" i="5"/>
  <c r="AD76" i="5"/>
  <c r="K76" i="5"/>
  <c r="N76" i="5"/>
  <c r="D76" i="6" s="1"/>
  <c r="H76" i="6" s="1"/>
  <c r="G75" i="6"/>
  <c r="H75" i="6"/>
  <c r="T75" i="5" s="1"/>
  <c r="L75" i="12" a="1"/>
  <c r="L75" i="12" s="1"/>
  <c r="J75" i="12" a="1"/>
  <c r="J75" i="12" s="1"/>
  <c r="K74" i="12"/>
  <c r="G74" i="12"/>
  <c r="R13" i="7"/>
  <c r="Q10" i="7"/>
  <c r="A76" i="6" l="1"/>
  <c r="N76" i="6" s="1"/>
  <c r="G76" i="6"/>
  <c r="C78" i="5"/>
  <c r="A77" i="12"/>
  <c r="B77" i="5"/>
  <c r="D77" i="5"/>
  <c r="B77" i="12" s="1"/>
  <c r="B77" i="6"/>
  <c r="N77" i="5"/>
  <c r="D77" i="6" s="1"/>
  <c r="H77" i="6" s="1"/>
  <c r="G77" i="5"/>
  <c r="AE77" i="5"/>
  <c r="E77" i="5"/>
  <c r="K77" i="5"/>
  <c r="J77" i="5"/>
  <c r="AD77" i="5"/>
  <c r="F77" i="5"/>
  <c r="H77" i="5"/>
  <c r="K75" i="12"/>
  <c r="L76" i="12" a="1"/>
  <c r="L76" i="12" s="1"/>
  <c r="J76" i="12" a="1"/>
  <c r="J76" i="12" s="1"/>
  <c r="T76" i="5"/>
  <c r="G75" i="12"/>
  <c r="S13" i="7"/>
  <c r="R10" i="7"/>
  <c r="A77" i="6" l="1"/>
  <c r="N77" i="6" s="1"/>
  <c r="G77" i="6"/>
  <c r="K76" i="12"/>
  <c r="L77" i="12" a="1"/>
  <c r="L77" i="12" s="1"/>
  <c r="J77" i="12" a="1"/>
  <c r="J77" i="12" s="1"/>
  <c r="F78" i="5"/>
  <c r="E78" i="5"/>
  <c r="C79" i="5"/>
  <c r="J78" i="5"/>
  <c r="D78" i="5"/>
  <c r="B78" i="12" s="1"/>
  <c r="N78" i="5"/>
  <c r="D78" i="6" s="1"/>
  <c r="A78" i="12"/>
  <c r="K78" i="5"/>
  <c r="B78" i="6"/>
  <c r="AE78" i="5"/>
  <c r="AD78" i="5"/>
  <c r="H78" i="5"/>
  <c r="G78" i="5"/>
  <c r="B78" i="5"/>
  <c r="T77" i="5"/>
  <c r="G76" i="12"/>
  <c r="T13" i="7"/>
  <c r="S10" i="7"/>
  <c r="E79" i="5" l="1"/>
  <c r="AD79" i="5"/>
  <c r="AE79" i="5"/>
  <c r="A79" i="12"/>
  <c r="J79" i="5"/>
  <c r="F79" i="5"/>
  <c r="H79" i="5"/>
  <c r="B79" i="5"/>
  <c r="G79" i="5"/>
  <c r="D79" i="5"/>
  <c r="B79" i="12" s="1"/>
  <c r="B79" i="6"/>
  <c r="C80" i="5"/>
  <c r="K79" i="5"/>
  <c r="N79" i="5"/>
  <c r="D79" i="6" s="1"/>
  <c r="H79" i="6" s="1"/>
  <c r="H78" i="6"/>
  <c r="T78" i="5" s="1"/>
  <c r="K77" i="12"/>
  <c r="G78" i="6"/>
  <c r="A78" i="6"/>
  <c r="N78" i="6" s="1"/>
  <c r="J78" i="12" a="1"/>
  <c r="J78" i="12" s="1"/>
  <c r="L78" i="12" a="1"/>
  <c r="L78" i="12" s="1"/>
  <c r="G77" i="12"/>
  <c r="U13" i="7"/>
  <c r="T10" i="7"/>
  <c r="G79" i="6" l="1"/>
  <c r="A79" i="6"/>
  <c r="N79" i="6" s="1"/>
  <c r="K78" i="12"/>
  <c r="L79" i="12" a="1"/>
  <c r="L79" i="12" s="1"/>
  <c r="J79" i="12" a="1"/>
  <c r="J79" i="12" s="1"/>
  <c r="H80" i="5"/>
  <c r="G80" i="5"/>
  <c r="AE80" i="5"/>
  <c r="A80" i="12"/>
  <c r="F80" i="5"/>
  <c r="E80" i="5"/>
  <c r="C81" i="5"/>
  <c r="N80" i="5"/>
  <c r="D80" i="6" s="1"/>
  <c r="H80" i="6" s="1"/>
  <c r="B80" i="5"/>
  <c r="D80" i="5"/>
  <c r="B80" i="12" s="1"/>
  <c r="K80" i="5"/>
  <c r="J80" i="5"/>
  <c r="B80" i="6"/>
  <c r="AD80" i="5"/>
  <c r="T79" i="5"/>
  <c r="G78" i="12"/>
  <c r="V13" i="7"/>
  <c r="U10" i="7"/>
  <c r="K11" i="10"/>
  <c r="K10" i="7"/>
  <c r="C82" i="5" l="1"/>
  <c r="J81" i="5"/>
  <c r="N81" i="5"/>
  <c r="D81" i="6" s="1"/>
  <c r="H81" i="6" s="1"/>
  <c r="B81" i="6"/>
  <c r="B81" i="5"/>
  <c r="E81" i="5"/>
  <c r="D81" i="5"/>
  <c r="B81" i="12" s="1"/>
  <c r="A81" i="12"/>
  <c r="AD81" i="5"/>
  <c r="K81" i="5"/>
  <c r="G81" i="5"/>
  <c r="F81" i="5"/>
  <c r="AE81" i="5"/>
  <c r="H81" i="5"/>
  <c r="G80" i="6"/>
  <c r="J80" i="12" a="1"/>
  <c r="J80" i="12" s="1"/>
  <c r="L80" i="12" a="1"/>
  <c r="L80" i="12" s="1"/>
  <c r="A80" i="6"/>
  <c r="N80" i="6" s="1"/>
  <c r="K79" i="12"/>
  <c r="G79" i="12"/>
  <c r="T80" i="5"/>
  <c r="W13" i="7"/>
  <c r="V10" i="7"/>
  <c r="T14" i="5"/>
  <c r="K80" i="12" l="1"/>
  <c r="A81" i="6"/>
  <c r="N81" i="6" s="1"/>
  <c r="G81" i="6"/>
  <c r="J81" i="12" a="1"/>
  <c r="J81" i="12" s="1"/>
  <c r="L81" i="12" a="1"/>
  <c r="L81" i="12" s="1"/>
  <c r="C83" i="5"/>
  <c r="D82" i="5"/>
  <c r="B82" i="12" s="1"/>
  <c r="K82" i="5"/>
  <c r="B82" i="6"/>
  <c r="AE82" i="5"/>
  <c r="AD82" i="5"/>
  <c r="A82" i="12"/>
  <c r="J82" i="5"/>
  <c r="N82" i="5"/>
  <c r="D82" i="6" s="1"/>
  <c r="B82" i="5"/>
  <c r="E82" i="5"/>
  <c r="F82" i="5"/>
  <c r="H82" i="5"/>
  <c r="G82" i="5"/>
  <c r="T81" i="5"/>
  <c r="G80" i="12"/>
  <c r="X13" i="7"/>
  <c r="W10" i="7"/>
  <c r="G14" i="12"/>
  <c r="A82" i="6" l="1"/>
  <c r="N82" i="6" s="1"/>
  <c r="H82" i="6"/>
  <c r="T82" i="5" s="1"/>
  <c r="L82" i="12" a="1"/>
  <c r="L82" i="12" s="1"/>
  <c r="J82" i="12" a="1"/>
  <c r="J82" i="12" s="1"/>
  <c r="AE83" i="5"/>
  <c r="J83" i="5"/>
  <c r="A83" i="12"/>
  <c r="K83" i="5"/>
  <c r="F83" i="5"/>
  <c r="C84" i="5"/>
  <c r="AD83" i="5"/>
  <c r="B83" i="6"/>
  <c r="H83" i="5"/>
  <c r="N83" i="5"/>
  <c r="D83" i="6" s="1"/>
  <c r="G83" i="6" s="1"/>
  <c r="G83" i="5"/>
  <c r="E83" i="5"/>
  <c r="D83" i="5"/>
  <c r="B83" i="12" s="1"/>
  <c r="B83" i="5"/>
  <c r="K81" i="12"/>
  <c r="G82" i="6"/>
  <c r="G81" i="12"/>
  <c r="Y13" i="7"/>
  <c r="X10" i="7"/>
  <c r="A8" i="9"/>
  <c r="B7" i="9" a="1"/>
  <c r="B7" i="9" s="1"/>
  <c r="A15" i="6" a="1"/>
  <c r="A15" i="6" s="1"/>
  <c r="H83" i="6" l="1"/>
  <c r="T83" i="5" s="1"/>
  <c r="A83" i="6"/>
  <c r="N83" i="6" s="1"/>
  <c r="L83" i="12" a="1"/>
  <c r="L83" i="12" s="1"/>
  <c r="J83" i="12" a="1"/>
  <c r="J83" i="12" s="1"/>
  <c r="F84" i="5"/>
  <c r="E84" i="5"/>
  <c r="D84" i="5"/>
  <c r="B84" i="12" s="1"/>
  <c r="B84" i="5"/>
  <c r="N84" i="5"/>
  <c r="D84" i="6" s="1"/>
  <c r="G84" i="6" s="1"/>
  <c r="AE84" i="5"/>
  <c r="J84" i="5"/>
  <c r="A84" i="12"/>
  <c r="K84" i="5"/>
  <c r="C85" i="5"/>
  <c r="G84" i="5"/>
  <c r="AD84" i="5"/>
  <c r="B84" i="6"/>
  <c r="H84" i="5"/>
  <c r="K82" i="12"/>
  <c r="AO41" i="6"/>
  <c r="BF41" i="6"/>
  <c r="BC41" i="6"/>
  <c r="AM41" i="6"/>
  <c r="AN41" i="6"/>
  <c r="AU41" i="6"/>
  <c r="AB41" i="6"/>
  <c r="AR16" i="6"/>
  <c r="AP16" i="6"/>
  <c r="AO17" i="6"/>
  <c r="BE21" i="6"/>
  <c r="BG21" i="6"/>
  <c r="AP28" i="6"/>
  <c r="AN28" i="6"/>
  <c r="BC34" i="6"/>
  <c r="AR34" i="6"/>
  <c r="AU37" i="6"/>
  <c r="AZ37" i="6"/>
  <c r="BB41" i="6"/>
  <c r="AX41" i="6"/>
  <c r="BG41" i="6"/>
  <c r="AQ41" i="6"/>
  <c r="BA41" i="6"/>
  <c r="AB28" i="6"/>
  <c r="AM21" i="6"/>
  <c r="AX34" i="6"/>
  <c r="AP37" i="6"/>
  <c r="BE17" i="6"/>
  <c r="AS21" i="6"/>
  <c r="BG34" i="6"/>
  <c r="BC37" i="6"/>
  <c r="AX16" i="6"/>
  <c r="AZ17" i="6"/>
  <c r="AX21" i="6"/>
  <c r="BB28" i="6"/>
  <c r="AP34" i="6"/>
  <c r="AY37" i="6"/>
  <c r="BA37" i="6"/>
  <c r="BA16" i="6"/>
  <c r="BD16" i="6"/>
  <c r="AX17" i="6"/>
  <c r="AN17" i="6"/>
  <c r="BF21" i="6"/>
  <c r="BF28" i="6"/>
  <c r="AM28" i="6"/>
  <c r="AU34" i="6"/>
  <c r="AT34" i="6"/>
  <c r="AO37" i="6"/>
  <c r="BD37" i="6"/>
  <c r="AZ41" i="6"/>
  <c r="AP41" i="6"/>
  <c r="BE41" i="6"/>
  <c r="AY16" i="6"/>
  <c r="BE28" i="6"/>
  <c r="AY34" i="6"/>
  <c r="BB16" i="6"/>
  <c r="AM16" i="6"/>
  <c r="AR21" i="6"/>
  <c r="AR17" i="6"/>
  <c r="AU16" i="6"/>
  <c r="BD17" i="6"/>
  <c r="AQ21" i="6"/>
  <c r="AT21" i="6"/>
  <c r="AS28" i="6"/>
  <c r="BA28" i="6"/>
  <c r="AZ34" i="6"/>
  <c r="BD34" i="6"/>
  <c r="AT37" i="6"/>
  <c r="AB16" i="6"/>
  <c r="AS16" i="6"/>
  <c r="BB21" i="6"/>
  <c r="AB21" i="6"/>
  <c r="AB34" i="6"/>
  <c r="AZ16" i="6"/>
  <c r="BF17" i="6"/>
  <c r="AU17" i="6"/>
  <c r="BA17" i="6"/>
  <c r="AV17" i="6"/>
  <c r="AP21" i="6"/>
  <c r="AZ21" i="6"/>
  <c r="BC28" i="6"/>
  <c r="AY28" i="6"/>
  <c r="BB34" i="6"/>
  <c r="AO34" i="6"/>
  <c r="AR37" i="6"/>
  <c r="AB17" i="6"/>
  <c r="AX28" i="6"/>
  <c r="BE37" i="6"/>
  <c r="BC16" i="6"/>
  <c r="AV28" i="6"/>
  <c r="BE34" i="6"/>
  <c r="AN16" i="6"/>
  <c r="AQ17" i="6"/>
  <c r="AY17" i="6"/>
  <c r="BD21" i="6"/>
  <c r="AR28" i="6"/>
  <c r="BG28" i="6"/>
  <c r="AM34" i="6"/>
  <c r="AS34" i="6"/>
  <c r="AS37" i="6"/>
  <c r="BD41" i="6"/>
  <c r="AM37" i="6"/>
  <c r="BC17" i="6"/>
  <c r="AQ16" i="6"/>
  <c r="AY21" i="6"/>
  <c r="AV16" i="6"/>
  <c r="BG16" i="6"/>
  <c r="BG17" i="6"/>
  <c r="AT17" i="6"/>
  <c r="AO21" i="6"/>
  <c r="AV21" i="6"/>
  <c r="AT28" i="6"/>
  <c r="AO28" i="6"/>
  <c r="AN34" i="6"/>
  <c r="AX37" i="6"/>
  <c r="BG37" i="6"/>
  <c r="BE16" i="6"/>
  <c r="AO16" i="6"/>
  <c r="AP17" i="6"/>
  <c r="BA21" i="6"/>
  <c r="AN21" i="6"/>
  <c r="AQ28" i="6"/>
  <c r="AU28" i="6"/>
  <c r="BF34" i="6"/>
  <c r="BF37" i="6"/>
  <c r="AQ37" i="6"/>
  <c r="AR41" i="6"/>
  <c r="AS17" i="6"/>
  <c r="AQ34" i="6"/>
  <c r="AT16" i="6"/>
  <c r="BF16" i="6"/>
  <c r="AM17" i="6"/>
  <c r="BC21" i="6"/>
  <c r="AU21" i="6"/>
  <c r="BD28" i="6"/>
  <c r="AZ28" i="6"/>
  <c r="BA34" i="6"/>
  <c r="BB37" i="6"/>
  <c r="AN37" i="6"/>
  <c r="AV41" i="6"/>
  <c r="AS41" i="6"/>
  <c r="AY41" i="6"/>
  <c r="AB37" i="6"/>
  <c r="AT41" i="6"/>
  <c r="AV34" i="6"/>
  <c r="BB17" i="6"/>
  <c r="AV37" i="6"/>
  <c r="AC16" i="6"/>
  <c r="AC37" i="6"/>
  <c r="M18" i="6"/>
  <c r="M19" i="6" s="1"/>
  <c r="AC28" i="6"/>
  <c r="AC17" i="6"/>
  <c r="AC21" i="6"/>
  <c r="AC34" i="6"/>
  <c r="AC41" i="6"/>
  <c r="AD41" i="6"/>
  <c r="AD17" i="6"/>
  <c r="AD37" i="6"/>
  <c r="AD21" i="6"/>
  <c r="AD34" i="6"/>
  <c r="AD28" i="6"/>
  <c r="AD16" i="6"/>
  <c r="AF34" i="6"/>
  <c r="AF28" i="6"/>
  <c r="AE16" i="6"/>
  <c r="AE28" i="6"/>
  <c r="AE41" i="6"/>
  <c r="AF17" i="6"/>
  <c r="AF41" i="6"/>
  <c r="AE17" i="6"/>
  <c r="AF37" i="6"/>
  <c r="AE34" i="6"/>
  <c r="AF16" i="6"/>
  <c r="AE37" i="6"/>
  <c r="AF21" i="6"/>
  <c r="AE21" i="6"/>
  <c r="AN47" i="6"/>
  <c r="BA47" i="6"/>
  <c r="AG21" i="6"/>
  <c r="AG47" i="6"/>
  <c r="AG16" i="6"/>
  <c r="AG34" i="6"/>
  <c r="AU47" i="6"/>
  <c r="AC47" i="6"/>
  <c r="AG28" i="6"/>
  <c r="AG37" i="6"/>
  <c r="BB47" i="6"/>
  <c r="BG47" i="6"/>
  <c r="BD47" i="6"/>
  <c r="AG41" i="6"/>
  <c r="AG17" i="6"/>
  <c r="AY47" i="6"/>
  <c r="AB47" i="6"/>
  <c r="BE47" i="6"/>
  <c r="AH34" i="6"/>
  <c r="AH47" i="6"/>
  <c r="AM47" i="6"/>
  <c r="AF47" i="6"/>
  <c r="AZ47" i="6"/>
  <c r="AR47" i="6"/>
  <c r="AH37" i="6"/>
  <c r="AS47" i="6"/>
  <c r="AV47" i="6"/>
  <c r="AH17" i="6"/>
  <c r="AH41" i="6"/>
  <c r="AH21" i="6"/>
  <c r="AD47" i="6"/>
  <c r="BC47" i="6"/>
  <c r="AQ47" i="6"/>
  <c r="AT47" i="6"/>
  <c r="AH16" i="6"/>
  <c r="AH28" i="6"/>
  <c r="AO47" i="6"/>
  <c r="BF47" i="6"/>
  <c r="AE47" i="6"/>
  <c r="AX47" i="6"/>
  <c r="AP47" i="6"/>
  <c r="AI47" i="6"/>
  <c r="AI16" i="6"/>
  <c r="AI34" i="6"/>
  <c r="AI28" i="6"/>
  <c r="AI37" i="6"/>
  <c r="AI17" i="6"/>
  <c r="AI41" i="6"/>
  <c r="AI21" i="6"/>
  <c r="AJ21" i="6"/>
  <c r="AJ16" i="6"/>
  <c r="AJ28" i="6"/>
  <c r="AJ17" i="6"/>
  <c r="AJ41" i="6"/>
  <c r="AJ47" i="6"/>
  <c r="AJ37" i="6"/>
  <c r="AJ34" i="6"/>
  <c r="AK16" i="6"/>
  <c r="AK21" i="6"/>
  <c r="AK28" i="6"/>
  <c r="AK41" i="6"/>
  <c r="AK47" i="6"/>
  <c r="AK17" i="6"/>
  <c r="AK34" i="6"/>
  <c r="AK37" i="6"/>
  <c r="BA52" i="6"/>
  <c r="AO52" i="6"/>
  <c r="AR52" i="6"/>
  <c r="AD52" i="6"/>
  <c r="AY52" i="6"/>
  <c r="AV52" i="6"/>
  <c r="AQ52" i="6"/>
  <c r="AH52" i="6"/>
  <c r="AK52" i="6"/>
  <c r="BC52" i="6"/>
  <c r="AG52" i="6"/>
  <c r="AC52" i="6"/>
  <c r="AP52" i="6"/>
  <c r="AT52" i="6"/>
  <c r="AX52" i="6"/>
  <c r="AB52" i="6"/>
  <c r="AI52" i="6"/>
  <c r="BF52" i="6"/>
  <c r="AF52" i="6"/>
  <c r="BB52" i="6"/>
  <c r="AU52" i="6"/>
  <c r="BG52" i="6"/>
  <c r="AZ52" i="6"/>
  <c r="BE52" i="6"/>
  <c r="AN52" i="6"/>
  <c r="AJ52" i="6"/>
  <c r="AE52" i="6"/>
  <c r="BD52" i="6"/>
  <c r="AS52" i="6"/>
  <c r="AM52" i="6"/>
  <c r="BC54" i="6"/>
  <c r="BG54" i="6"/>
  <c r="AM54" i="6"/>
  <c r="AI54" i="6"/>
  <c r="AS54" i="6"/>
  <c r="AV54" i="6"/>
  <c r="AB54" i="6"/>
  <c r="BD54" i="6"/>
  <c r="BA54" i="6"/>
  <c r="AX54" i="6"/>
  <c r="AE54" i="6"/>
  <c r="AD54" i="6"/>
  <c r="AC54" i="6"/>
  <c r="AJ54" i="6"/>
  <c r="BF54" i="6"/>
  <c r="BE54" i="6"/>
  <c r="AG54" i="6"/>
  <c r="AF54" i="6"/>
  <c r="BB54" i="6"/>
  <c r="AO54" i="6"/>
  <c r="AQ54" i="6"/>
  <c r="AZ54" i="6"/>
  <c r="AU54" i="6"/>
  <c r="AN54" i="6"/>
  <c r="AT54" i="6"/>
  <c r="AH54" i="6"/>
  <c r="AY54" i="6"/>
  <c r="AP54" i="6"/>
  <c r="AK54" i="6"/>
  <c r="AR54" i="6"/>
  <c r="G82" i="12"/>
  <c r="Y10" i="7"/>
  <c r="AI14" i="6"/>
  <c r="BE14" i="6"/>
  <c r="AK14" i="6"/>
  <c r="AR14" i="6"/>
  <c r="AO14" i="6"/>
  <c r="AM14" i="6"/>
  <c r="BC14" i="6"/>
  <c r="D15" i="7"/>
  <c r="C16" i="7" s="1" a="1"/>
  <c r="C16" i="7" s="1"/>
  <c r="B15" i="9"/>
  <c r="B16" i="9" s="1"/>
  <c r="B15" i="10"/>
  <c r="B16" i="10" s="1"/>
  <c r="AQ14" i="6"/>
  <c r="AB14" i="6"/>
  <c r="AY14" i="6"/>
  <c r="AJ14" i="6"/>
  <c r="AN14" i="6"/>
  <c r="BB14" i="6"/>
  <c r="AG14" i="6"/>
  <c r="AS14" i="6"/>
  <c r="BD14" i="6"/>
  <c r="AE14" i="6"/>
  <c r="BF14" i="6"/>
  <c r="AX14" i="6"/>
  <c r="AZ14" i="6"/>
  <c r="AV14" i="6"/>
  <c r="AT14" i="6"/>
  <c r="AP14" i="6"/>
  <c r="BG14" i="6"/>
  <c r="AU14" i="6"/>
  <c r="AC14" i="6"/>
  <c r="AH14" i="6"/>
  <c r="AF14" i="6"/>
  <c r="BA14" i="6"/>
  <c r="AD14" i="6"/>
  <c r="A84" i="6" l="1"/>
  <c r="N84" i="6" s="1"/>
  <c r="H84" i="6"/>
  <c r="T84" i="5" s="1"/>
  <c r="G85" i="5"/>
  <c r="F85" i="5"/>
  <c r="E85" i="5"/>
  <c r="A85" i="12"/>
  <c r="C86" i="5"/>
  <c r="D85" i="5"/>
  <c r="B85" i="12" s="1"/>
  <c r="B85" i="5"/>
  <c r="AE85" i="5"/>
  <c r="H85" i="5"/>
  <c r="N85" i="5"/>
  <c r="D85" i="6" s="1"/>
  <c r="H85" i="6" s="1"/>
  <c r="B85" i="6"/>
  <c r="AD85" i="5"/>
  <c r="K85" i="5"/>
  <c r="J85" i="5"/>
  <c r="L84" i="12" a="1"/>
  <c r="L84" i="12" s="1"/>
  <c r="J84" i="12" a="1"/>
  <c r="J84" i="12" s="1"/>
  <c r="K83" i="12"/>
  <c r="G83" i="12"/>
  <c r="AX18" i="6"/>
  <c r="BA18" i="6"/>
  <c r="AZ18" i="6"/>
  <c r="AV18" i="6"/>
  <c r="AU18" i="6"/>
  <c r="AO18" i="6"/>
  <c r="AY18" i="6"/>
  <c r="AN18" i="6"/>
  <c r="AP18" i="6"/>
  <c r="BG18" i="6"/>
  <c r="BE18" i="6"/>
  <c r="AQ18" i="6"/>
  <c r="BF18" i="6"/>
  <c r="BD18" i="6"/>
  <c r="AB18" i="6"/>
  <c r="AT18" i="6"/>
  <c r="AM18" i="6"/>
  <c r="BC18" i="6"/>
  <c r="AS18" i="6"/>
  <c r="AR18" i="6"/>
  <c r="BB18" i="6"/>
  <c r="AC18" i="6"/>
  <c r="AD18" i="6"/>
  <c r="AE18" i="6"/>
  <c r="AF18" i="6"/>
  <c r="AG18" i="6"/>
  <c r="AH18" i="6"/>
  <c r="AI18" i="6"/>
  <c r="AJ18" i="6"/>
  <c r="AK18" i="6"/>
  <c r="M20" i="6"/>
  <c r="BB19" i="6"/>
  <c r="BF19" i="6"/>
  <c r="BE19" i="6"/>
  <c r="AX19" i="6"/>
  <c r="BD19" i="6"/>
  <c r="BC19" i="6"/>
  <c r="AU19" i="6"/>
  <c r="AB19" i="6"/>
  <c r="AY19" i="6"/>
  <c r="AR19" i="6"/>
  <c r="AS19" i="6"/>
  <c r="AO19" i="6"/>
  <c r="AV19" i="6"/>
  <c r="AN19" i="6"/>
  <c r="BG19" i="6"/>
  <c r="BA19" i="6"/>
  <c r="AZ19" i="6"/>
  <c r="AM19" i="6"/>
  <c r="AP19" i="6"/>
  <c r="AT19" i="6"/>
  <c r="AQ19" i="6"/>
  <c r="AC19" i="6"/>
  <c r="AD19" i="6"/>
  <c r="AE19" i="6"/>
  <c r="AF19" i="6"/>
  <c r="AG19" i="6"/>
  <c r="AH19" i="6"/>
  <c r="AI19" i="6"/>
  <c r="AJ19" i="6"/>
  <c r="AK19" i="6"/>
  <c r="B17" i="10"/>
  <c r="B17" i="9"/>
  <c r="B16" i="7"/>
  <c r="C17" i="7" a="1"/>
  <c r="C17" i="7" s="1"/>
  <c r="B15" i="7"/>
  <c r="C15" i="9"/>
  <c r="F15" i="9" s="1"/>
  <c r="C15" i="10"/>
  <c r="A15" i="7"/>
  <c r="A85" i="6" l="1"/>
  <c r="N85" i="6" s="1"/>
  <c r="G85" i="6"/>
  <c r="C87" i="5"/>
  <c r="J86" i="5"/>
  <c r="D86" i="5"/>
  <c r="B86" i="12" s="1"/>
  <c r="B86" i="6"/>
  <c r="B86" i="5"/>
  <c r="K86" i="5"/>
  <c r="F86" i="5"/>
  <c r="AE86" i="5"/>
  <c r="AD86" i="5"/>
  <c r="H86" i="5"/>
  <c r="A86" i="12"/>
  <c r="N86" i="5"/>
  <c r="D86" i="6" s="1"/>
  <c r="G86" i="6" s="1"/>
  <c r="G86" i="5"/>
  <c r="E86" i="5"/>
  <c r="J85" i="12" a="1"/>
  <c r="J85" i="12" s="1"/>
  <c r="L85" i="12" a="1"/>
  <c r="L85" i="12" s="1"/>
  <c r="K84" i="12"/>
  <c r="B18" i="9"/>
  <c r="C18" i="7" a="1"/>
  <c r="C18" i="7" s="1"/>
  <c r="B17" i="7"/>
  <c r="BA20" i="6"/>
  <c r="BB20" i="6"/>
  <c r="BD20" i="6"/>
  <c r="AZ20" i="6"/>
  <c r="AY20" i="6"/>
  <c r="BF20" i="6"/>
  <c r="AR20" i="6"/>
  <c r="AQ20" i="6"/>
  <c r="AO20" i="6"/>
  <c r="AS20" i="6"/>
  <c r="AN20" i="6"/>
  <c r="AU20" i="6"/>
  <c r="BC20" i="6"/>
  <c r="BG20" i="6"/>
  <c r="AB20" i="6"/>
  <c r="AM20" i="6"/>
  <c r="AV20" i="6"/>
  <c r="AP20" i="6"/>
  <c r="BE20" i="6"/>
  <c r="AT20" i="6"/>
  <c r="AX20" i="6"/>
  <c r="AC20" i="6"/>
  <c r="AD20" i="6"/>
  <c r="AE20" i="6"/>
  <c r="AF20" i="6"/>
  <c r="AG20" i="6"/>
  <c r="AH20" i="6"/>
  <c r="AI20" i="6"/>
  <c r="AJ20" i="6"/>
  <c r="AK20" i="6"/>
  <c r="M22" i="6"/>
  <c r="G84" i="12"/>
  <c r="B18" i="10"/>
  <c r="T85" i="5"/>
  <c r="X14" i="5" a="1"/>
  <c r="X14" i="5" s="1"/>
  <c r="I14" i="5" s="1"/>
  <c r="H86" i="6" l="1"/>
  <c r="T86" i="5" s="1"/>
  <c r="A86" i="6"/>
  <c r="N86" i="6" s="1"/>
  <c r="J86" i="12" a="1"/>
  <c r="J86" i="12" s="1"/>
  <c r="L86" i="12" a="1"/>
  <c r="L86" i="12" s="1"/>
  <c r="K85" i="12"/>
  <c r="D87" i="5"/>
  <c r="B87" i="12" s="1"/>
  <c r="AD87" i="5"/>
  <c r="C88" i="5"/>
  <c r="B87" i="5"/>
  <c r="H87" i="5"/>
  <c r="J87" i="5"/>
  <c r="G87" i="5"/>
  <c r="AE87" i="5"/>
  <c r="K87" i="5"/>
  <c r="A87" i="12"/>
  <c r="B87" i="6"/>
  <c r="E87" i="5"/>
  <c r="N87" i="5"/>
  <c r="D87" i="6" s="1"/>
  <c r="H87" i="6" s="1"/>
  <c r="F87" i="5"/>
  <c r="G85" i="12"/>
  <c r="B19" i="10"/>
  <c r="B19" i="9"/>
  <c r="AU22" i="6"/>
  <c r="AS22" i="6"/>
  <c r="AO22" i="6"/>
  <c r="AZ22" i="6"/>
  <c r="AV22" i="6"/>
  <c r="AY22" i="6"/>
  <c r="BD22" i="6"/>
  <c r="AQ22" i="6"/>
  <c r="BB22" i="6"/>
  <c r="AP22" i="6"/>
  <c r="BG22" i="6"/>
  <c r="BC22" i="6"/>
  <c r="AM22" i="6"/>
  <c r="AB22" i="6"/>
  <c r="BA22" i="6"/>
  <c r="AT22" i="6"/>
  <c r="AR22" i="6"/>
  <c r="AN22" i="6"/>
  <c r="AX22" i="6"/>
  <c r="BF22" i="6"/>
  <c r="BE22" i="6"/>
  <c r="AC22" i="6"/>
  <c r="AD22" i="6"/>
  <c r="AF22" i="6"/>
  <c r="AE22" i="6"/>
  <c r="AG22" i="6"/>
  <c r="AH22" i="6"/>
  <c r="AI22" i="6"/>
  <c r="AJ22" i="6"/>
  <c r="AK22" i="6"/>
  <c r="M27" i="6"/>
  <c r="M23" i="6"/>
  <c r="M24" i="6"/>
  <c r="M25" i="6"/>
  <c r="M26" i="6"/>
  <c r="B18" i="7"/>
  <c r="C19" i="7" a="1"/>
  <c r="C19" i="7" s="1"/>
  <c r="I14" i="12"/>
  <c r="M14" i="12" s="1"/>
  <c r="L14" i="5"/>
  <c r="O14" i="5" s="1"/>
  <c r="AM14" i="5"/>
  <c r="Z14" i="5"/>
  <c r="AB14" i="5" s="1"/>
  <c r="D8" i="9"/>
  <c r="G87" i="6" l="1"/>
  <c r="AD88" i="5"/>
  <c r="B88" i="5"/>
  <c r="A88" i="12"/>
  <c r="K88" i="5"/>
  <c r="J88" i="5"/>
  <c r="D88" i="5"/>
  <c r="B88" i="12" s="1"/>
  <c r="G88" i="5"/>
  <c r="B88" i="6"/>
  <c r="AE88" i="5"/>
  <c r="N88" i="5"/>
  <c r="D88" i="6" s="1"/>
  <c r="C89" i="5"/>
  <c r="H88" i="5"/>
  <c r="E88" i="5"/>
  <c r="F88" i="5"/>
  <c r="A87" i="6"/>
  <c r="N87" i="6" s="1"/>
  <c r="K86" i="12"/>
  <c r="L87" i="12" a="1"/>
  <c r="L87" i="12" s="1"/>
  <c r="J87" i="12" a="1"/>
  <c r="J87" i="12" s="1"/>
  <c r="AR24" i="6"/>
  <c r="AP24" i="6"/>
  <c r="AO24" i="6"/>
  <c r="AT24" i="6"/>
  <c r="BB24" i="6"/>
  <c r="BC24" i="6"/>
  <c r="AU24" i="6"/>
  <c r="BE24" i="6"/>
  <c r="AZ24" i="6"/>
  <c r="BG24" i="6"/>
  <c r="BA24" i="6"/>
  <c r="AX24" i="6"/>
  <c r="AS24" i="6"/>
  <c r="AY24" i="6"/>
  <c r="AB24" i="6"/>
  <c r="AN24" i="6"/>
  <c r="BD24" i="6"/>
  <c r="BF24" i="6"/>
  <c r="AQ24" i="6"/>
  <c r="AV24" i="6"/>
  <c r="AM24" i="6"/>
  <c r="AC24" i="6"/>
  <c r="AD24" i="6"/>
  <c r="AF24" i="6"/>
  <c r="AE24" i="6"/>
  <c r="AG24" i="6"/>
  <c r="AH24" i="6"/>
  <c r="AI24" i="6"/>
  <c r="AJ24" i="6"/>
  <c r="AK24" i="6"/>
  <c r="AU23" i="6"/>
  <c r="AQ23" i="6"/>
  <c r="BA23" i="6"/>
  <c r="AS23" i="6"/>
  <c r="AR23" i="6"/>
  <c r="BB23" i="6"/>
  <c r="AM23" i="6"/>
  <c r="AX23" i="6"/>
  <c r="BD23" i="6"/>
  <c r="AN23" i="6"/>
  <c r="BF23" i="6"/>
  <c r="BG23" i="6"/>
  <c r="AO23" i="6"/>
  <c r="AZ23" i="6"/>
  <c r="BC23" i="6"/>
  <c r="AB23" i="6"/>
  <c r="BE23" i="6"/>
  <c r="AY23" i="6"/>
  <c r="AT23" i="6"/>
  <c r="AV23" i="6"/>
  <c r="AP23" i="6"/>
  <c r="AC23" i="6"/>
  <c r="AD23" i="6"/>
  <c r="AE23" i="6"/>
  <c r="AF23" i="6"/>
  <c r="AG23" i="6"/>
  <c r="AH23" i="6"/>
  <c r="AI23" i="6"/>
  <c r="AJ23" i="6"/>
  <c r="AK23" i="6"/>
  <c r="B20" i="9"/>
  <c r="T87" i="5"/>
  <c r="BD27" i="6"/>
  <c r="BA27" i="6"/>
  <c r="BC27" i="6"/>
  <c r="AO27" i="6"/>
  <c r="AQ27" i="6"/>
  <c r="AB27" i="6"/>
  <c r="AY27" i="6"/>
  <c r="AV27" i="6"/>
  <c r="AP27" i="6"/>
  <c r="BB27" i="6"/>
  <c r="AN27" i="6"/>
  <c r="AS27" i="6"/>
  <c r="BE27" i="6"/>
  <c r="AX27" i="6"/>
  <c r="AT27" i="6"/>
  <c r="AR27" i="6"/>
  <c r="AZ27" i="6"/>
  <c r="BG27" i="6"/>
  <c r="AU27" i="6"/>
  <c r="BF27" i="6"/>
  <c r="AM27" i="6"/>
  <c r="AC27" i="6"/>
  <c r="AD27" i="6"/>
  <c r="AE27" i="6"/>
  <c r="AF27" i="6"/>
  <c r="AG27" i="6"/>
  <c r="AH27" i="6"/>
  <c r="AI27" i="6"/>
  <c r="AJ27" i="6"/>
  <c r="AK27" i="6"/>
  <c r="M29" i="6"/>
  <c r="B19" i="7"/>
  <c r="C20" i="7" a="1"/>
  <c r="C20" i="7" s="1"/>
  <c r="B20" i="10"/>
  <c r="AS25" i="6"/>
  <c r="BE25" i="6"/>
  <c r="BF25" i="6"/>
  <c r="BC25" i="6"/>
  <c r="AN25" i="6"/>
  <c r="BG25" i="6"/>
  <c r="BD25" i="6"/>
  <c r="AY25" i="6"/>
  <c r="AO25" i="6"/>
  <c r="BA25" i="6"/>
  <c r="AV25" i="6"/>
  <c r="AT25" i="6"/>
  <c r="AZ25" i="6"/>
  <c r="AU25" i="6"/>
  <c r="AX25" i="6"/>
  <c r="AR25" i="6"/>
  <c r="AQ25" i="6"/>
  <c r="AM25" i="6"/>
  <c r="BB25" i="6"/>
  <c r="AB25" i="6"/>
  <c r="AP25" i="6"/>
  <c r="AC25" i="6"/>
  <c r="AD25" i="6"/>
  <c r="AF25" i="6"/>
  <c r="AE25" i="6"/>
  <c r="AG25" i="6"/>
  <c r="AH25" i="6"/>
  <c r="AI25" i="6"/>
  <c r="AJ25" i="6"/>
  <c r="AK25" i="6"/>
  <c r="BF26" i="6"/>
  <c r="AR26" i="6"/>
  <c r="AB26" i="6"/>
  <c r="BA26" i="6"/>
  <c r="AT26" i="6"/>
  <c r="AX26" i="6"/>
  <c r="BB26" i="6"/>
  <c r="BG26" i="6"/>
  <c r="AP26" i="6"/>
  <c r="BD26" i="6"/>
  <c r="AU26" i="6"/>
  <c r="AZ26" i="6"/>
  <c r="AY26" i="6"/>
  <c r="AM26" i="6"/>
  <c r="AS26" i="6"/>
  <c r="AQ26" i="6"/>
  <c r="AV26" i="6"/>
  <c r="BE26" i="6"/>
  <c r="BC26" i="6"/>
  <c r="AN26" i="6"/>
  <c r="AO26" i="6"/>
  <c r="AC26" i="6"/>
  <c r="AD26" i="6"/>
  <c r="AF26" i="6"/>
  <c r="AE26" i="6"/>
  <c r="AG26" i="6"/>
  <c r="AH26" i="6"/>
  <c r="AI26" i="6"/>
  <c r="AJ26" i="6"/>
  <c r="AK26" i="6"/>
  <c r="G86" i="12"/>
  <c r="O14" i="12"/>
  <c r="N14" i="12" s="1"/>
  <c r="C14" i="12"/>
  <c r="AO14" i="12"/>
  <c r="C14" i="6"/>
  <c r="AA14" i="5"/>
  <c r="D14" i="12"/>
  <c r="E14" i="6"/>
  <c r="D21" i="2"/>
  <c r="A88" i="6" l="1"/>
  <c r="N88" i="6" s="1"/>
  <c r="H88" i="6"/>
  <c r="T88" i="5" s="1"/>
  <c r="G88" i="6"/>
  <c r="B89" i="5"/>
  <c r="N89" i="5"/>
  <c r="D89" i="6" s="1"/>
  <c r="H89" i="6" s="1"/>
  <c r="E89" i="5"/>
  <c r="H89" i="5"/>
  <c r="F89" i="5"/>
  <c r="K89" i="5"/>
  <c r="J89" i="5"/>
  <c r="A89" i="12"/>
  <c r="AE89" i="5"/>
  <c r="B89" i="6"/>
  <c r="AD89" i="5"/>
  <c r="G89" i="5"/>
  <c r="D89" i="5"/>
  <c r="B89" i="12" s="1"/>
  <c r="C90" i="5"/>
  <c r="K87" i="12"/>
  <c r="L88" i="12" a="1"/>
  <c r="L88" i="12" s="1"/>
  <c r="J88" i="12" a="1"/>
  <c r="J88" i="12" s="1"/>
  <c r="G87" i="12"/>
  <c r="B21" i="9"/>
  <c r="B21" i="10"/>
  <c r="C21" i="7" a="1"/>
  <c r="C21" i="7" s="1"/>
  <c r="B20" i="7"/>
  <c r="BB29" i="6"/>
  <c r="AP29" i="6"/>
  <c r="AR29" i="6"/>
  <c r="AS29" i="6"/>
  <c r="BC29" i="6"/>
  <c r="AO29" i="6"/>
  <c r="BD29" i="6"/>
  <c r="AY29" i="6"/>
  <c r="AZ29" i="6"/>
  <c r="AN29" i="6"/>
  <c r="AT29" i="6"/>
  <c r="AB29" i="6"/>
  <c r="AX29" i="6"/>
  <c r="AV29" i="6"/>
  <c r="BG29" i="6"/>
  <c r="BF29" i="6"/>
  <c r="AM29" i="6"/>
  <c r="BE29" i="6"/>
  <c r="AU29" i="6"/>
  <c r="AQ29" i="6"/>
  <c r="BA29" i="6"/>
  <c r="AC29" i="6"/>
  <c r="AD29" i="6"/>
  <c r="AE29" i="6"/>
  <c r="AF29" i="6"/>
  <c r="AG29" i="6"/>
  <c r="AH29" i="6"/>
  <c r="AI29" i="6"/>
  <c r="AJ29" i="6"/>
  <c r="AK29" i="6"/>
  <c r="M33" i="6"/>
  <c r="M31" i="6"/>
  <c r="M30" i="6"/>
  <c r="M32" i="6"/>
  <c r="Y14" i="12"/>
  <c r="W14" i="12" s="1"/>
  <c r="V14" i="12" s="1"/>
  <c r="I15" i="12"/>
  <c r="M15" i="12"/>
  <c r="J15" i="12" s="1"/>
  <c r="O15" i="12"/>
  <c r="A89" i="6" l="1"/>
  <c r="N89" i="6" s="1"/>
  <c r="G89" i="6"/>
  <c r="U14" i="12"/>
  <c r="K88" i="12"/>
  <c r="J89" i="12" a="1"/>
  <c r="J89" i="12" s="1"/>
  <c r="L89" i="12" a="1"/>
  <c r="L89" i="12" s="1"/>
  <c r="E90" i="5"/>
  <c r="C91" i="5"/>
  <c r="D90" i="5"/>
  <c r="B90" i="12" s="1"/>
  <c r="H90" i="5"/>
  <c r="N90" i="5"/>
  <c r="D90" i="6" s="1"/>
  <c r="H90" i="6" s="1"/>
  <c r="G90" i="5"/>
  <c r="F90" i="5"/>
  <c r="B90" i="6"/>
  <c r="AE90" i="5"/>
  <c r="AD90" i="5"/>
  <c r="A90" i="12"/>
  <c r="K90" i="5"/>
  <c r="B90" i="5"/>
  <c r="J90" i="5"/>
  <c r="T14" i="12"/>
  <c r="T89" i="5"/>
  <c r="B22" i="10"/>
  <c r="G88" i="12"/>
  <c r="AP32" i="6"/>
  <c r="BE32" i="6"/>
  <c r="BC32" i="6"/>
  <c r="AM32" i="6"/>
  <c r="BF32" i="6"/>
  <c r="AN32" i="6"/>
  <c r="BA32" i="6"/>
  <c r="AR32" i="6"/>
  <c r="AZ32" i="6"/>
  <c r="AB32" i="6"/>
  <c r="AS32" i="6"/>
  <c r="AX32" i="6"/>
  <c r="BB32" i="6"/>
  <c r="AY32" i="6"/>
  <c r="AT32" i="6"/>
  <c r="AQ32" i="6"/>
  <c r="AO32" i="6"/>
  <c r="BG32" i="6"/>
  <c r="BD32" i="6"/>
  <c r="AV32" i="6"/>
  <c r="AU32" i="6"/>
  <c r="AC32" i="6"/>
  <c r="AD32" i="6"/>
  <c r="AE32" i="6"/>
  <c r="AF32" i="6"/>
  <c r="AG32" i="6"/>
  <c r="AH32" i="6"/>
  <c r="AI32" i="6"/>
  <c r="AJ32" i="6"/>
  <c r="AK32" i="6"/>
  <c r="AT30" i="6"/>
  <c r="AU30" i="6"/>
  <c r="BB30" i="6"/>
  <c r="AS30" i="6"/>
  <c r="BG30" i="6"/>
  <c r="AV30" i="6"/>
  <c r="AQ30" i="6"/>
  <c r="AN30" i="6"/>
  <c r="AX30" i="6"/>
  <c r="BD30" i="6"/>
  <c r="BC30" i="6"/>
  <c r="BE30" i="6"/>
  <c r="BA30" i="6"/>
  <c r="AB30" i="6"/>
  <c r="BF30" i="6"/>
  <c r="AR30" i="6"/>
  <c r="AO30" i="6"/>
  <c r="AY30" i="6"/>
  <c r="AP30" i="6"/>
  <c r="AM30" i="6"/>
  <c r="AZ30" i="6"/>
  <c r="AC30" i="6"/>
  <c r="AD30" i="6"/>
  <c r="AF30" i="6"/>
  <c r="AE30" i="6"/>
  <c r="AG30" i="6"/>
  <c r="AH30" i="6"/>
  <c r="AI30" i="6"/>
  <c r="AJ30" i="6"/>
  <c r="AK30" i="6"/>
  <c r="X14" i="12"/>
  <c r="BG31" i="6"/>
  <c r="AN31" i="6"/>
  <c r="AM31" i="6"/>
  <c r="AX31" i="6"/>
  <c r="BB31" i="6"/>
  <c r="AR31" i="6"/>
  <c r="AS31" i="6"/>
  <c r="AV31" i="6"/>
  <c r="BF31" i="6"/>
  <c r="AP31" i="6"/>
  <c r="AZ31" i="6"/>
  <c r="BA31" i="6"/>
  <c r="BC31" i="6"/>
  <c r="AO31" i="6"/>
  <c r="AB31" i="6"/>
  <c r="AU31" i="6"/>
  <c r="AY31" i="6"/>
  <c r="BD31" i="6"/>
  <c r="AT31" i="6"/>
  <c r="AQ31" i="6"/>
  <c r="BE31" i="6"/>
  <c r="AC31" i="6"/>
  <c r="AD31" i="6"/>
  <c r="AE31" i="6"/>
  <c r="AF31" i="6"/>
  <c r="AG31" i="6"/>
  <c r="AH31" i="6"/>
  <c r="AI31" i="6"/>
  <c r="AJ31" i="6"/>
  <c r="AK31" i="6"/>
  <c r="B22" i="9"/>
  <c r="AZ33" i="6"/>
  <c r="BE33" i="6"/>
  <c r="BG33" i="6"/>
  <c r="AO33" i="6"/>
  <c r="AM33" i="6"/>
  <c r="BD33" i="6"/>
  <c r="AB33" i="6"/>
  <c r="AP33" i="6"/>
  <c r="AV33" i="6"/>
  <c r="AQ33" i="6"/>
  <c r="AN33" i="6"/>
  <c r="BF33" i="6"/>
  <c r="AU33" i="6"/>
  <c r="AT33" i="6"/>
  <c r="BB33" i="6"/>
  <c r="BC33" i="6"/>
  <c r="BA33" i="6"/>
  <c r="AS33" i="6"/>
  <c r="AY33" i="6"/>
  <c r="AX33" i="6"/>
  <c r="AR33" i="6"/>
  <c r="AC33" i="6"/>
  <c r="AD33" i="6"/>
  <c r="AE33" i="6"/>
  <c r="AF33" i="6"/>
  <c r="AG33" i="6"/>
  <c r="AH33" i="6"/>
  <c r="AI33" i="6"/>
  <c r="AJ33" i="6"/>
  <c r="AK33" i="6"/>
  <c r="M35" i="6"/>
  <c r="C22" i="7" a="1"/>
  <c r="C22" i="7" s="1"/>
  <c r="B21" i="7"/>
  <c r="L15" i="12"/>
  <c r="K15" i="12" s="1"/>
  <c r="N15" i="12"/>
  <c r="P10" i="12"/>
  <c r="O10" i="12" s="1"/>
  <c r="K89" i="12" l="1"/>
  <c r="A90" i="6"/>
  <c r="N90" i="6" s="1"/>
  <c r="G90" i="6"/>
  <c r="D91" i="5"/>
  <c r="B91" i="12" s="1"/>
  <c r="C92" i="5"/>
  <c r="K91" i="5"/>
  <c r="AE91" i="5"/>
  <c r="B91" i="5"/>
  <c r="N91" i="5"/>
  <c r="D91" i="6" s="1"/>
  <c r="H91" i="6" s="1"/>
  <c r="H91" i="5"/>
  <c r="G91" i="5"/>
  <c r="A91" i="12"/>
  <c r="F91" i="5"/>
  <c r="B91" i="6"/>
  <c r="J91" i="5"/>
  <c r="AD91" i="5"/>
  <c r="E91" i="5"/>
  <c r="J90" i="12" a="1"/>
  <c r="J90" i="12" s="1"/>
  <c r="L90" i="12" a="1"/>
  <c r="L90" i="12" s="1"/>
  <c r="T90" i="5"/>
  <c r="G89" i="12"/>
  <c r="B22" i="7"/>
  <c r="C23" i="7" a="1"/>
  <c r="C23" i="7" s="1"/>
  <c r="AM35" i="6"/>
  <c r="BD35" i="6"/>
  <c r="AY35" i="6"/>
  <c r="AR35" i="6"/>
  <c r="BE35" i="6"/>
  <c r="BC35" i="6"/>
  <c r="AS35" i="6"/>
  <c r="BA35" i="6"/>
  <c r="AX35" i="6"/>
  <c r="AN35" i="6"/>
  <c r="BB35" i="6"/>
  <c r="AU35" i="6"/>
  <c r="AP35" i="6"/>
  <c r="AO35" i="6"/>
  <c r="AQ35" i="6"/>
  <c r="AB35" i="6"/>
  <c r="AV35" i="6"/>
  <c r="AZ35" i="6"/>
  <c r="BF35" i="6"/>
  <c r="BG35" i="6"/>
  <c r="AT35" i="6"/>
  <c r="AC35" i="6"/>
  <c r="AD35" i="6"/>
  <c r="AF35" i="6"/>
  <c r="AE35" i="6"/>
  <c r="AG35" i="6"/>
  <c r="AH35" i="6"/>
  <c r="AI35" i="6"/>
  <c r="AJ35" i="6"/>
  <c r="AK35" i="6"/>
  <c r="M36" i="6"/>
  <c r="B23" i="10"/>
  <c r="B23" i="9"/>
  <c r="F15" i="7" a="1"/>
  <c r="F15" i="7" s="1"/>
  <c r="A91" i="6" l="1"/>
  <c r="N91" i="6" s="1"/>
  <c r="K90" i="12"/>
  <c r="AE92" i="5"/>
  <c r="E92" i="5"/>
  <c r="C93" i="5"/>
  <c r="H92" i="5"/>
  <c r="B92" i="5"/>
  <c r="N92" i="5"/>
  <c r="D92" i="6" s="1"/>
  <c r="G92" i="6" s="1"/>
  <c r="G92" i="5"/>
  <c r="F92" i="5"/>
  <c r="AD92" i="5"/>
  <c r="A92" i="12"/>
  <c r="B92" i="6"/>
  <c r="J92" i="5"/>
  <c r="D92" i="5"/>
  <c r="B92" i="12" s="1"/>
  <c r="K92" i="5"/>
  <c r="L91" i="12" a="1"/>
  <c r="L91" i="12" s="1"/>
  <c r="J91" i="12" a="1"/>
  <c r="J91" i="12" s="1"/>
  <c r="G91" i="6"/>
  <c r="G90" i="12"/>
  <c r="B24" i="9"/>
  <c r="B24" i="10"/>
  <c r="T91" i="5"/>
  <c r="BB36" i="6"/>
  <c r="AT36" i="6"/>
  <c r="BD36" i="6"/>
  <c r="AP36" i="6"/>
  <c r="AV36" i="6"/>
  <c r="AO36" i="6"/>
  <c r="AS36" i="6"/>
  <c r="BE36" i="6"/>
  <c r="AY36" i="6"/>
  <c r="AQ36" i="6"/>
  <c r="AU36" i="6"/>
  <c r="AX36" i="6"/>
  <c r="AR36" i="6"/>
  <c r="AZ36" i="6"/>
  <c r="BF36" i="6"/>
  <c r="BG36" i="6"/>
  <c r="BC36" i="6"/>
  <c r="AN36" i="6"/>
  <c r="AB36" i="6"/>
  <c r="AM36" i="6"/>
  <c r="BA36" i="6"/>
  <c r="AC36" i="6"/>
  <c r="AD36" i="6"/>
  <c r="AF36" i="6"/>
  <c r="AE36" i="6"/>
  <c r="AG36" i="6"/>
  <c r="AH36" i="6"/>
  <c r="AI36" i="6"/>
  <c r="AJ36" i="6"/>
  <c r="AK36" i="6"/>
  <c r="M38" i="6"/>
  <c r="B23" i="7"/>
  <c r="C24" i="7" a="1"/>
  <c r="C24" i="7" s="1"/>
  <c r="J15" i="7"/>
  <c r="S15" i="7"/>
  <c r="L15" i="7"/>
  <c r="X15" i="7"/>
  <c r="R15" i="7"/>
  <c r="O15" i="7"/>
  <c r="Y15" i="7"/>
  <c r="M15" i="7"/>
  <c r="Q15" i="7"/>
  <c r="P15" i="7"/>
  <c r="V15" i="7"/>
  <c r="K15" i="7"/>
  <c r="U15" i="7"/>
  <c r="W15" i="7"/>
  <c r="T15" i="7"/>
  <c r="I15" i="7"/>
  <c r="N15" i="7"/>
  <c r="K91" i="12" l="1"/>
  <c r="H92" i="6"/>
  <c r="T92" i="5" s="1"/>
  <c r="A92" i="6"/>
  <c r="N92" i="6" s="1"/>
  <c r="L92" i="12" a="1"/>
  <c r="L92" i="12" s="1"/>
  <c r="J92" i="12" a="1"/>
  <c r="J92" i="12" s="1"/>
  <c r="G93" i="5"/>
  <c r="J93" i="5"/>
  <c r="AE93" i="5"/>
  <c r="D93" i="5"/>
  <c r="B93" i="12" s="1"/>
  <c r="A93" i="12"/>
  <c r="C94" i="5"/>
  <c r="B93" i="5"/>
  <c r="N93" i="5"/>
  <c r="D93" i="6" s="1"/>
  <c r="B93" i="6"/>
  <c r="F93" i="5"/>
  <c r="E93" i="5"/>
  <c r="H93" i="5"/>
  <c r="AD93" i="5"/>
  <c r="K93" i="5"/>
  <c r="B25" i="10"/>
  <c r="G91" i="12"/>
  <c r="B24" i="7"/>
  <c r="C25" i="7" a="1"/>
  <c r="C25" i="7" s="1"/>
  <c r="B25" i="9"/>
  <c r="BB38" i="6"/>
  <c r="BE38" i="6"/>
  <c r="AB38" i="6"/>
  <c r="AR38" i="6"/>
  <c r="AZ38" i="6"/>
  <c r="BD38" i="6"/>
  <c r="BF38" i="6"/>
  <c r="AQ38" i="6"/>
  <c r="AN38" i="6"/>
  <c r="BG38" i="6"/>
  <c r="BC38" i="6"/>
  <c r="AS38" i="6"/>
  <c r="AT38" i="6"/>
  <c r="BA38" i="6"/>
  <c r="AX38" i="6"/>
  <c r="AV38" i="6"/>
  <c r="AP38" i="6"/>
  <c r="AY38" i="6"/>
  <c r="AU38" i="6"/>
  <c r="AO38" i="6"/>
  <c r="AM38" i="6"/>
  <c r="AC38" i="6"/>
  <c r="AD38" i="6"/>
  <c r="AF38" i="6"/>
  <c r="AE38" i="6"/>
  <c r="AG38" i="6"/>
  <c r="AH38" i="6"/>
  <c r="AI38" i="6"/>
  <c r="AJ38" i="6"/>
  <c r="AK38" i="6"/>
  <c r="M39" i="6"/>
  <c r="M40" i="6"/>
  <c r="H15" i="7"/>
  <c r="E15" i="7"/>
  <c r="A93" i="6" l="1"/>
  <c r="N93" i="6" s="1"/>
  <c r="C95" i="5"/>
  <c r="K94" i="5"/>
  <c r="H94" i="5"/>
  <c r="D94" i="5"/>
  <c r="B94" i="12" s="1"/>
  <c r="N94" i="5"/>
  <c r="D94" i="6" s="1"/>
  <c r="H94" i="6" s="1"/>
  <c r="AD94" i="5"/>
  <c r="A94" i="12"/>
  <c r="G94" i="5"/>
  <c r="E94" i="5"/>
  <c r="J94" i="5"/>
  <c r="B94" i="6"/>
  <c r="AE94" i="5"/>
  <c r="F94" i="5"/>
  <c r="B94" i="5"/>
  <c r="G93" i="6"/>
  <c r="J93" i="12" a="1"/>
  <c r="J93" i="12" s="1"/>
  <c r="L93" i="12" a="1"/>
  <c r="L93" i="12" s="1"/>
  <c r="H93" i="6"/>
  <c r="T93" i="5" s="1"/>
  <c r="K92" i="12"/>
  <c r="BA39" i="6"/>
  <c r="BC39" i="6"/>
  <c r="AN39" i="6"/>
  <c r="AB39" i="6"/>
  <c r="AY39" i="6"/>
  <c r="BF39" i="6"/>
  <c r="AU39" i="6"/>
  <c r="BD39" i="6"/>
  <c r="AT39" i="6"/>
  <c r="BE39" i="6"/>
  <c r="BB39" i="6"/>
  <c r="AP39" i="6"/>
  <c r="AS39" i="6"/>
  <c r="AZ39" i="6"/>
  <c r="AM39" i="6"/>
  <c r="AR39" i="6"/>
  <c r="AX39" i="6"/>
  <c r="AO39" i="6"/>
  <c r="AV39" i="6"/>
  <c r="BG39" i="6"/>
  <c r="AQ39" i="6"/>
  <c r="AC39" i="6"/>
  <c r="AD39" i="6"/>
  <c r="AE39" i="6"/>
  <c r="AF39" i="6"/>
  <c r="AG39" i="6"/>
  <c r="AH39" i="6"/>
  <c r="AI39" i="6"/>
  <c r="AJ39" i="6"/>
  <c r="AK39" i="6"/>
  <c r="B26" i="9"/>
  <c r="C26" i="7" a="1"/>
  <c r="C26" i="7" s="1"/>
  <c r="B25" i="7"/>
  <c r="B26" i="10"/>
  <c r="BF40" i="6"/>
  <c r="AV40" i="6"/>
  <c r="BB40" i="6"/>
  <c r="AM40" i="6"/>
  <c r="AT40" i="6"/>
  <c r="BA40" i="6"/>
  <c r="BG40" i="6"/>
  <c r="AY40" i="6"/>
  <c r="AO40" i="6"/>
  <c r="AB40" i="6"/>
  <c r="BD40" i="6"/>
  <c r="AZ40" i="6"/>
  <c r="AQ40" i="6"/>
  <c r="AU40" i="6"/>
  <c r="BE40" i="6"/>
  <c r="BC40" i="6"/>
  <c r="AP40" i="6"/>
  <c r="AX40" i="6"/>
  <c r="AR40" i="6"/>
  <c r="AS40" i="6"/>
  <c r="AN40" i="6"/>
  <c r="AC40" i="6"/>
  <c r="AD40" i="6"/>
  <c r="AE40" i="6"/>
  <c r="AF40" i="6"/>
  <c r="AG40" i="6"/>
  <c r="AH40" i="6"/>
  <c r="AI40" i="6"/>
  <c r="AJ40" i="6"/>
  <c r="AK40" i="6"/>
  <c r="M42" i="6"/>
  <c r="G92" i="12"/>
  <c r="J10" i="13"/>
  <c r="K93" i="12" l="1"/>
  <c r="G94" i="6"/>
  <c r="J94" i="12" a="1"/>
  <c r="J94" i="12" s="1"/>
  <c r="L94" i="12" a="1"/>
  <c r="L94" i="12" s="1"/>
  <c r="A94" i="6"/>
  <c r="N94" i="6" s="1"/>
  <c r="C96" i="5"/>
  <c r="D95" i="5"/>
  <c r="B95" i="12" s="1"/>
  <c r="G95" i="5"/>
  <c r="F95" i="5"/>
  <c r="A95" i="12"/>
  <c r="J95" i="5"/>
  <c r="AE95" i="5"/>
  <c r="B95" i="5"/>
  <c r="AD95" i="5"/>
  <c r="B95" i="6"/>
  <c r="H95" i="5"/>
  <c r="N95" i="5"/>
  <c r="D95" i="6" s="1"/>
  <c r="H95" i="6" s="1"/>
  <c r="K95" i="5"/>
  <c r="E95" i="5"/>
  <c r="BF42" i="6"/>
  <c r="BA42" i="6"/>
  <c r="AM42" i="6"/>
  <c r="AS42" i="6"/>
  <c r="AX42" i="6"/>
  <c r="AT42" i="6"/>
  <c r="AU42" i="6"/>
  <c r="AP42" i="6"/>
  <c r="BB42" i="6"/>
  <c r="AR42" i="6"/>
  <c r="AV42" i="6"/>
  <c r="AZ42" i="6"/>
  <c r="AB42" i="6"/>
  <c r="BG42" i="6"/>
  <c r="AQ42" i="6"/>
  <c r="BC42" i="6"/>
  <c r="AY42" i="6"/>
  <c r="AO42" i="6"/>
  <c r="AN42" i="6"/>
  <c r="BD42" i="6"/>
  <c r="BE42" i="6"/>
  <c r="AC42" i="6"/>
  <c r="AD42" i="6"/>
  <c r="AF42" i="6"/>
  <c r="AE42" i="6"/>
  <c r="AG42" i="6"/>
  <c r="AH42" i="6"/>
  <c r="AI42" i="6"/>
  <c r="AJ42" i="6"/>
  <c r="AK42" i="6"/>
  <c r="M43" i="6"/>
  <c r="M44" i="6"/>
  <c r="M45" i="6"/>
  <c r="M46" i="6"/>
  <c r="B27" i="10"/>
  <c r="C27" i="7" a="1"/>
  <c r="C27" i="7" s="1"/>
  <c r="B26" i="7"/>
  <c r="G93" i="12"/>
  <c r="T94" i="5"/>
  <c r="B27" i="9"/>
  <c r="F100" i="8" a="1"/>
  <c r="F100" i="8" s="1"/>
  <c r="K94" i="12" l="1"/>
  <c r="A95" i="6"/>
  <c r="J95" i="12" a="1"/>
  <c r="J95" i="12" s="1"/>
  <c r="L95" i="12" a="1"/>
  <c r="L95" i="12" s="1"/>
  <c r="D96" i="5"/>
  <c r="B96" i="12" s="1"/>
  <c r="B96" i="5"/>
  <c r="N96" i="5"/>
  <c r="D96" i="6" s="1"/>
  <c r="G96" i="6" s="1"/>
  <c r="AE96" i="5"/>
  <c r="K96" i="5"/>
  <c r="E96" i="5"/>
  <c r="J96" i="5"/>
  <c r="B96" i="6"/>
  <c r="F96" i="5"/>
  <c r="AD96" i="5"/>
  <c r="A96" i="12"/>
  <c r="G96" i="5"/>
  <c r="C97" i="5"/>
  <c r="H96" i="5"/>
  <c r="G95" i="6"/>
  <c r="B28" i="10"/>
  <c r="AP46" i="6"/>
  <c r="AY46" i="6"/>
  <c r="AG46" i="6"/>
  <c r="AT46" i="6"/>
  <c r="AR46" i="6"/>
  <c r="AD46" i="6"/>
  <c r="BF46" i="6"/>
  <c r="AX46" i="6"/>
  <c r="BC46" i="6"/>
  <c r="AQ46" i="6"/>
  <c r="AN46" i="6"/>
  <c r="AO46" i="6"/>
  <c r="BG46" i="6"/>
  <c r="BB46" i="6"/>
  <c r="AS46" i="6"/>
  <c r="AM46" i="6"/>
  <c r="AV46" i="6"/>
  <c r="BE46" i="6"/>
  <c r="AF46" i="6"/>
  <c r="AZ46" i="6"/>
  <c r="AU46" i="6"/>
  <c r="BD46" i="6"/>
  <c r="AE46" i="6"/>
  <c r="BA46" i="6"/>
  <c r="AC46" i="6"/>
  <c r="AB46" i="6"/>
  <c r="AH46" i="6"/>
  <c r="AI46" i="6"/>
  <c r="AJ46" i="6"/>
  <c r="AK46" i="6"/>
  <c r="M48" i="6"/>
  <c r="AX45" i="6"/>
  <c r="BD45" i="6"/>
  <c r="BF45" i="6"/>
  <c r="BB45" i="6"/>
  <c r="AV45" i="6"/>
  <c r="AZ45" i="6"/>
  <c r="AR45" i="6"/>
  <c r="AN45" i="6"/>
  <c r="AY45" i="6"/>
  <c r="AP45" i="6"/>
  <c r="AU45" i="6"/>
  <c r="BA45" i="6"/>
  <c r="BE45" i="6"/>
  <c r="AT45" i="6"/>
  <c r="AQ45" i="6"/>
  <c r="AM45" i="6"/>
  <c r="BG45" i="6"/>
  <c r="BC45" i="6"/>
  <c r="AS45" i="6"/>
  <c r="AO45" i="6"/>
  <c r="AD45" i="6"/>
  <c r="AC45" i="6"/>
  <c r="AE45" i="6"/>
  <c r="AB45" i="6"/>
  <c r="AF45" i="6"/>
  <c r="AG45" i="6"/>
  <c r="AH45" i="6"/>
  <c r="AI45" i="6"/>
  <c r="AJ45" i="6"/>
  <c r="AK45" i="6"/>
  <c r="BA43" i="6"/>
  <c r="AY43" i="6"/>
  <c r="BG43" i="6"/>
  <c r="AV43" i="6"/>
  <c r="AR43" i="6"/>
  <c r="AS43" i="6"/>
  <c r="AQ43" i="6"/>
  <c r="AB43" i="6"/>
  <c r="AN43" i="6"/>
  <c r="AX43" i="6"/>
  <c r="BB43" i="6"/>
  <c r="AP43" i="6"/>
  <c r="AO43" i="6"/>
  <c r="AU43" i="6"/>
  <c r="BE43" i="6"/>
  <c r="AZ43" i="6"/>
  <c r="BD43" i="6"/>
  <c r="BF43" i="6"/>
  <c r="AM43" i="6"/>
  <c r="AT43" i="6"/>
  <c r="BC43" i="6"/>
  <c r="AC43" i="6"/>
  <c r="AD43" i="6"/>
  <c r="AE43" i="6"/>
  <c r="AF43" i="6"/>
  <c r="AG43" i="6"/>
  <c r="AH43" i="6"/>
  <c r="AI43" i="6"/>
  <c r="AJ43" i="6"/>
  <c r="AK43" i="6"/>
  <c r="G94" i="12"/>
  <c r="T95" i="5"/>
  <c r="N95" i="6"/>
  <c r="B27" i="7"/>
  <c r="C28" i="7" a="1"/>
  <c r="C28" i="7" s="1"/>
  <c r="AR44" i="6"/>
  <c r="AO44" i="6"/>
  <c r="AU44" i="6"/>
  <c r="AN44" i="6"/>
  <c r="BC44" i="6"/>
  <c r="BF44" i="6"/>
  <c r="BE44" i="6"/>
  <c r="AM44" i="6"/>
  <c r="AY44" i="6"/>
  <c r="AS44" i="6"/>
  <c r="AQ44" i="6"/>
  <c r="BA44" i="6"/>
  <c r="AB44" i="6"/>
  <c r="BB44" i="6"/>
  <c r="AV44" i="6"/>
  <c r="BD44" i="6"/>
  <c r="AP44" i="6"/>
  <c r="AZ44" i="6"/>
  <c r="AT44" i="6"/>
  <c r="BG44" i="6"/>
  <c r="AX44" i="6"/>
  <c r="AD44" i="6"/>
  <c r="AC44" i="6"/>
  <c r="AE44" i="6"/>
  <c r="AF44" i="6"/>
  <c r="AG44" i="6"/>
  <c r="AH44" i="6"/>
  <c r="AI44" i="6"/>
  <c r="AJ44" i="6"/>
  <c r="AK44" i="6"/>
  <c r="B28" i="9"/>
  <c r="A11" i="12"/>
  <c r="P11" i="12" s="1"/>
  <c r="O11" i="12" s="1"/>
  <c r="H96" i="6" l="1"/>
  <c r="T96" i="5" s="1"/>
  <c r="A96" i="6"/>
  <c r="N96" i="6" s="1"/>
  <c r="K95" i="12"/>
  <c r="D97" i="5"/>
  <c r="B97" i="12" s="1"/>
  <c r="H97" i="5"/>
  <c r="F97" i="5"/>
  <c r="C98" i="5"/>
  <c r="N97" i="5"/>
  <c r="D97" i="6" s="1"/>
  <c r="H97" i="6" s="1"/>
  <c r="G97" i="5"/>
  <c r="AE97" i="5"/>
  <c r="A97" i="12"/>
  <c r="B97" i="6"/>
  <c r="AD97" i="5"/>
  <c r="K97" i="5"/>
  <c r="B97" i="5"/>
  <c r="J97" i="5"/>
  <c r="E97" i="5"/>
  <c r="L96" i="12" a="1"/>
  <c r="L96" i="12" s="1"/>
  <c r="J96" i="12" a="1"/>
  <c r="J96" i="12" s="1"/>
  <c r="B29" i="10"/>
  <c r="B29" i="9"/>
  <c r="B28" i="7"/>
  <c r="C29" i="7" a="1"/>
  <c r="C29" i="7" s="1"/>
  <c r="G95" i="12"/>
  <c r="AY48" i="6"/>
  <c r="BG48" i="6"/>
  <c r="AE48" i="6"/>
  <c r="AR48" i="6"/>
  <c r="AU48" i="6"/>
  <c r="AD48" i="6"/>
  <c r="AO48" i="6"/>
  <c r="AF48" i="6"/>
  <c r="AX48" i="6"/>
  <c r="BA48" i="6"/>
  <c r="AN48" i="6"/>
  <c r="AH48" i="6"/>
  <c r="BF48" i="6"/>
  <c r="AM48" i="6"/>
  <c r="AZ48" i="6"/>
  <c r="BD48" i="6"/>
  <c r="AQ48" i="6"/>
  <c r="AV48" i="6"/>
  <c r="BE48" i="6"/>
  <c r="AP48" i="6"/>
  <c r="AG48" i="6"/>
  <c r="AS48" i="6"/>
  <c r="AT48" i="6"/>
  <c r="BC48" i="6"/>
  <c r="BB48" i="6"/>
  <c r="AI48" i="6"/>
  <c r="AB48" i="6"/>
  <c r="AC48" i="6"/>
  <c r="AJ48" i="6"/>
  <c r="AK48" i="6"/>
  <c r="M49" i="6"/>
  <c r="M51" i="6"/>
  <c r="M50" i="6"/>
  <c r="A10" i="9"/>
  <c r="G97" i="6" l="1"/>
  <c r="A97" i="6"/>
  <c r="N97" i="6" s="1"/>
  <c r="K96" i="12"/>
  <c r="J97" i="12" a="1"/>
  <c r="J97" i="12" s="1"/>
  <c r="L97" i="12" a="1"/>
  <c r="L97" i="12" s="1"/>
  <c r="B98" i="5"/>
  <c r="N98" i="5"/>
  <c r="D98" i="6" s="1"/>
  <c r="G98" i="6" s="1"/>
  <c r="B98" i="6"/>
  <c r="J98" i="5"/>
  <c r="AD98" i="5"/>
  <c r="G98" i="5"/>
  <c r="E98" i="5"/>
  <c r="D98" i="5"/>
  <c r="B98" i="12" s="1"/>
  <c r="AE98" i="5"/>
  <c r="H98" i="5"/>
  <c r="C99" i="5"/>
  <c r="K98" i="5"/>
  <c r="A98" i="12"/>
  <c r="F98" i="5"/>
  <c r="BA51" i="6"/>
  <c r="AC51" i="6"/>
  <c r="AD51" i="6"/>
  <c r="AZ51" i="6"/>
  <c r="BG51" i="6"/>
  <c r="AB51" i="6"/>
  <c r="BC51" i="6"/>
  <c r="BF51" i="6"/>
  <c r="AH51" i="6"/>
  <c r="AM51" i="6"/>
  <c r="AY51" i="6"/>
  <c r="BE51" i="6"/>
  <c r="AV51" i="6"/>
  <c r="AS51" i="6"/>
  <c r="AR51" i="6"/>
  <c r="AE51" i="6"/>
  <c r="AN51" i="6"/>
  <c r="BD51" i="6"/>
  <c r="AQ51" i="6"/>
  <c r="AU51" i="6"/>
  <c r="AP51" i="6"/>
  <c r="AX51" i="6"/>
  <c r="AT51" i="6"/>
  <c r="AO51" i="6"/>
  <c r="BB51" i="6"/>
  <c r="AF51" i="6"/>
  <c r="AI51" i="6"/>
  <c r="AK51" i="6"/>
  <c r="AJ51" i="6"/>
  <c r="AG51" i="6"/>
  <c r="B30" i="10"/>
  <c r="M53" i="6"/>
  <c r="AU50" i="6"/>
  <c r="AY50" i="6"/>
  <c r="BC50" i="6"/>
  <c r="BD50" i="6"/>
  <c r="AP50" i="6"/>
  <c r="AI50" i="6"/>
  <c r="AH50" i="6"/>
  <c r="AF50" i="6"/>
  <c r="AV50" i="6"/>
  <c r="AT50" i="6"/>
  <c r="BF50" i="6"/>
  <c r="AS50" i="6"/>
  <c r="AE50" i="6"/>
  <c r="BE50" i="6"/>
  <c r="BA50" i="6"/>
  <c r="AX50" i="6"/>
  <c r="AO50" i="6"/>
  <c r="BG50" i="6"/>
  <c r="AN50" i="6"/>
  <c r="AQ50" i="6"/>
  <c r="AM50" i="6"/>
  <c r="AZ50" i="6"/>
  <c r="BB50" i="6"/>
  <c r="AR50" i="6"/>
  <c r="AJ50" i="6"/>
  <c r="AD50" i="6"/>
  <c r="AB50" i="6"/>
  <c r="AG50" i="6"/>
  <c r="AC50" i="6"/>
  <c r="AK50" i="6"/>
  <c r="T97" i="5"/>
  <c r="BG49" i="6"/>
  <c r="AX49" i="6"/>
  <c r="AS49" i="6"/>
  <c r="AY49" i="6"/>
  <c r="AZ49" i="6"/>
  <c r="AV49" i="6"/>
  <c r="AM49" i="6"/>
  <c r="BE49" i="6"/>
  <c r="AO49" i="6"/>
  <c r="AR49" i="6"/>
  <c r="AQ49" i="6"/>
  <c r="AU49" i="6"/>
  <c r="BB49" i="6"/>
  <c r="BF49" i="6"/>
  <c r="BA49" i="6"/>
  <c r="BD49" i="6"/>
  <c r="AN49" i="6"/>
  <c r="BC49" i="6"/>
  <c r="AT49" i="6"/>
  <c r="AP49" i="6"/>
  <c r="AD49" i="6"/>
  <c r="AJ49" i="6"/>
  <c r="AI49" i="6"/>
  <c r="AE49" i="6"/>
  <c r="AB49" i="6"/>
  <c r="AC49" i="6"/>
  <c r="AF49" i="6"/>
  <c r="AH49" i="6"/>
  <c r="AG49" i="6"/>
  <c r="AK49" i="6"/>
  <c r="G96" i="12"/>
  <c r="C30" i="7" a="1"/>
  <c r="C30" i="7" s="1"/>
  <c r="B29" i="7"/>
  <c r="B30" i="9"/>
  <c r="V1" i="7" a="1"/>
  <c r="V1" i="7" s="1"/>
  <c r="P1" i="7" a="1"/>
  <c r="P1" i="7" s="1"/>
  <c r="X1" i="7" a="1"/>
  <c r="X1" i="7" s="1"/>
  <c r="M1" i="7" a="1"/>
  <c r="M1" i="7" s="1"/>
  <c r="O1" i="7" a="1"/>
  <c r="O1" i="7" s="1"/>
  <c r="S1" i="7" a="1"/>
  <c r="S1" i="7" s="1"/>
  <c r="W1" i="7" a="1"/>
  <c r="W1" i="7" s="1"/>
  <c r="L1" i="7" a="1"/>
  <c r="L1" i="7" s="1"/>
  <c r="R1" i="7" a="1"/>
  <c r="R1" i="7" s="1"/>
  <c r="U1" i="7" a="1"/>
  <c r="U1" i="7" s="1"/>
  <c r="J1" i="7" a="1"/>
  <c r="J1" i="7" s="1"/>
  <c r="E1" i="7" a="1"/>
  <c r="E1" i="7" s="1"/>
  <c r="H1" i="7" a="1"/>
  <c r="H1" i="7" s="1"/>
  <c r="F1" i="7"/>
  <c r="T1" i="7" a="1"/>
  <c r="T1" i="7" s="1"/>
  <c r="N1" i="7" a="1"/>
  <c r="N1" i="7" s="1"/>
  <c r="Q1" i="7" a="1"/>
  <c r="Q1" i="7" s="1"/>
  <c r="I1" i="7" a="1"/>
  <c r="I1" i="7" s="1"/>
  <c r="Y1" i="7" a="1"/>
  <c r="Y1" i="7" s="1"/>
  <c r="K1" i="7" a="1"/>
  <c r="K1" i="7" s="1"/>
  <c r="H98" i="6" l="1"/>
  <c r="K97" i="12"/>
  <c r="A98" i="6"/>
  <c r="N98" i="6" s="1"/>
  <c r="J98" i="12" a="1"/>
  <c r="J98" i="12" s="1"/>
  <c r="L98" i="12" a="1"/>
  <c r="L98" i="12" s="1"/>
  <c r="A99" i="12"/>
  <c r="K99" i="5"/>
  <c r="B99" i="6"/>
  <c r="E99" i="5"/>
  <c r="C100" i="5"/>
  <c r="AD99" i="5"/>
  <c r="H99" i="5"/>
  <c r="AE99" i="5"/>
  <c r="F99" i="5"/>
  <c r="D99" i="5"/>
  <c r="B99" i="12" s="1"/>
  <c r="B99" i="5"/>
  <c r="N99" i="5"/>
  <c r="D99" i="6" s="1"/>
  <c r="H99" i="6" s="1"/>
  <c r="G99" i="5"/>
  <c r="J99" i="5"/>
  <c r="AM53" i="6"/>
  <c r="AI53" i="6"/>
  <c r="BG53" i="6"/>
  <c r="AX53" i="6"/>
  <c r="AR53" i="6"/>
  <c r="AJ53" i="6"/>
  <c r="AH53" i="6"/>
  <c r="AZ53" i="6"/>
  <c r="AD53" i="6"/>
  <c r="AS53" i="6"/>
  <c r="AT53" i="6"/>
  <c r="AO53" i="6"/>
  <c r="BE53" i="6"/>
  <c r="BB53" i="6"/>
  <c r="BC53" i="6"/>
  <c r="AQ53" i="6"/>
  <c r="BA53" i="6"/>
  <c r="BF53" i="6"/>
  <c r="BD53" i="6"/>
  <c r="AF53" i="6"/>
  <c r="AP53" i="6"/>
  <c r="AY53" i="6"/>
  <c r="AN53" i="6"/>
  <c r="AU53" i="6"/>
  <c r="AB53" i="6"/>
  <c r="AV53" i="6"/>
  <c r="AG53" i="6"/>
  <c r="AK53" i="6"/>
  <c r="AC53" i="6"/>
  <c r="AE53" i="6"/>
  <c r="M55" i="6"/>
  <c r="B31" i="9"/>
  <c r="B30" i="7"/>
  <c r="C31" i="7" a="1"/>
  <c r="C31" i="7" s="1"/>
  <c r="B31" i="10"/>
  <c r="G97" i="12"/>
  <c r="T98" i="5"/>
  <c r="W14" i="7"/>
  <c r="M14" i="7"/>
  <c r="V14" i="7"/>
  <c r="T14" i="7"/>
  <c r="U14" i="7"/>
  <c r="R14" i="7"/>
  <c r="L14" i="7"/>
  <c r="X14" i="7"/>
  <c r="J14" i="7"/>
  <c r="E14" i="7"/>
  <c r="O14" i="7"/>
  <c r="H14" i="7"/>
  <c r="AE100" i="8" a="1"/>
  <c r="AE100" i="8" s="1"/>
  <c r="X100" i="8" a="1"/>
  <c r="X100" i="8" s="1"/>
  <c r="AC100" i="8" a="1"/>
  <c r="AC100" i="8" s="1"/>
  <c r="AA100" i="8" a="1"/>
  <c r="AA100" i="8" s="1"/>
  <c r="E100" i="8" a="1"/>
  <c r="E100" i="8" s="1"/>
  <c r="AF100" i="8" a="1"/>
  <c r="AF100" i="8" s="1"/>
  <c r="V100" i="8" a="1"/>
  <c r="V100" i="8" s="1"/>
  <c r="AD100" i="8" a="1"/>
  <c r="AD100" i="8" s="1"/>
  <c r="AB100" i="8" a="1"/>
  <c r="AB100" i="8" s="1"/>
  <c r="Y100" i="8" a="1"/>
  <c r="Y100" i="8" s="1"/>
  <c r="W100" i="8" a="1"/>
  <c r="W100" i="8" s="1"/>
  <c r="U100" i="8" a="1"/>
  <c r="U100" i="8" s="1"/>
  <c r="Z100" i="8" a="1"/>
  <c r="Z100" i="8" s="1"/>
  <c r="I14" i="7"/>
  <c r="K74" i="10" a="1"/>
  <c r="K74" i="10" s="1"/>
  <c r="F14" i="7"/>
  <c r="I74" i="10" a="1"/>
  <c r="I74" i="10" s="1"/>
  <c r="Q14" i="7"/>
  <c r="S14" i="7"/>
  <c r="K14" i="7"/>
  <c r="N14" i="7"/>
  <c r="Y14" i="7"/>
  <c r="P14" i="7"/>
  <c r="G99" i="6" l="1"/>
  <c r="F100" i="5"/>
  <c r="K100" i="5"/>
  <c r="E100" i="5"/>
  <c r="D100" i="5"/>
  <c r="B100" i="12" s="1"/>
  <c r="AD100" i="5"/>
  <c r="B100" i="5"/>
  <c r="A100" i="12"/>
  <c r="J100" i="5"/>
  <c r="B100" i="6"/>
  <c r="N100" i="5"/>
  <c r="D100" i="6" s="1"/>
  <c r="AE100" i="5"/>
  <c r="C101" i="5"/>
  <c r="H100" i="5"/>
  <c r="G100" i="5"/>
  <c r="A99" i="6"/>
  <c r="N99" i="6" s="1"/>
  <c r="J99" i="12" a="1"/>
  <c r="J99" i="12" s="1"/>
  <c r="L99" i="12" a="1"/>
  <c r="L99" i="12" s="1"/>
  <c r="K98" i="12"/>
  <c r="T99" i="5"/>
  <c r="B32" i="9"/>
  <c r="B32" i="10"/>
  <c r="G98" i="12"/>
  <c r="C32" i="7" a="1"/>
  <c r="C32" i="7" s="1"/>
  <c r="B31" i="7"/>
  <c r="AS55" i="6"/>
  <c r="BC55" i="6"/>
  <c r="AU55" i="6"/>
  <c r="BB55" i="6"/>
  <c r="AP55" i="6"/>
  <c r="AY55" i="6"/>
  <c r="AD55" i="6"/>
  <c r="AN55" i="6"/>
  <c r="BE55" i="6"/>
  <c r="BG55" i="6"/>
  <c r="AK55" i="6"/>
  <c r="AV55" i="6"/>
  <c r="AR55" i="6"/>
  <c r="AZ55" i="6"/>
  <c r="BF55" i="6"/>
  <c r="BA55" i="6"/>
  <c r="AQ55" i="6"/>
  <c r="AX55" i="6"/>
  <c r="AM55" i="6"/>
  <c r="AB55" i="6"/>
  <c r="AO55" i="6"/>
  <c r="AF55" i="6"/>
  <c r="AE55" i="6"/>
  <c r="BD55" i="6"/>
  <c r="AT55" i="6"/>
  <c r="AG55" i="6"/>
  <c r="AJ55" i="6"/>
  <c r="AH55" i="6"/>
  <c r="AC55" i="6"/>
  <c r="AI55" i="6"/>
  <c r="M64" i="6"/>
  <c r="M76" i="6"/>
  <c r="M61" i="6"/>
  <c r="M65" i="6"/>
  <c r="M77" i="6"/>
  <c r="M66" i="6"/>
  <c r="M78" i="6"/>
  <c r="M83" i="6"/>
  <c r="M75" i="6"/>
  <c r="M67" i="6"/>
  <c r="M79" i="6"/>
  <c r="M60" i="6"/>
  <c r="M56" i="6"/>
  <c r="M68" i="6"/>
  <c r="M80" i="6"/>
  <c r="M57" i="6"/>
  <c r="M69" i="6"/>
  <c r="M81" i="6"/>
  <c r="M63" i="6"/>
  <c r="M84" i="6"/>
  <c r="M58" i="6"/>
  <c r="M70" i="6"/>
  <c r="M82" i="6"/>
  <c r="M59" i="6"/>
  <c r="M71" i="6"/>
  <c r="M72" i="6"/>
  <c r="M73" i="6"/>
  <c r="M62" i="6"/>
  <c r="M74" i="6"/>
  <c r="M85" i="6"/>
  <c r="M86" i="6"/>
  <c r="M87" i="6"/>
  <c r="M88" i="6"/>
  <c r="M89" i="6"/>
  <c r="M90" i="6"/>
  <c r="M91" i="6"/>
  <c r="M92" i="6"/>
  <c r="M93" i="6"/>
  <c r="M94" i="6"/>
  <c r="M95" i="6"/>
  <c r="M96" i="6"/>
  <c r="M97" i="6"/>
  <c r="G18" i="7"/>
  <c r="G48" i="7"/>
  <c r="G61" i="7"/>
  <c r="G38" i="7"/>
  <c r="G45" i="7"/>
  <c r="G34" i="7"/>
  <c r="G49" i="7"/>
  <c r="G44" i="7"/>
  <c r="G33" i="7"/>
  <c r="G39" i="7"/>
  <c r="G16" i="7"/>
  <c r="G55" i="7"/>
  <c r="G54" i="7"/>
  <c r="G56" i="7"/>
  <c r="G22" i="7"/>
  <c r="G26" i="7"/>
  <c r="G29" i="7"/>
  <c r="G53" i="7"/>
  <c r="G30" i="7"/>
  <c r="G42" i="7"/>
  <c r="G35" i="7"/>
  <c r="G51" i="7"/>
  <c r="G37" i="7"/>
  <c r="G25" i="7"/>
  <c r="G31" i="7"/>
  <c r="G36" i="7"/>
  <c r="G27" i="7"/>
  <c r="G19" i="7"/>
  <c r="G62" i="7"/>
  <c r="G32" i="7"/>
  <c r="G21" i="7"/>
  <c r="G41" i="7"/>
  <c r="G60" i="7"/>
  <c r="G28" i="7"/>
  <c r="G50" i="7"/>
  <c r="G47" i="7"/>
  <c r="G57" i="7"/>
  <c r="G40" i="7"/>
  <c r="G17" i="7"/>
  <c r="G58" i="7"/>
  <c r="G63" i="7"/>
  <c r="G52" i="7"/>
  <c r="G64" i="7"/>
  <c r="G59" i="7"/>
  <c r="G46" i="7"/>
  <c r="G24" i="7"/>
  <c r="G23" i="7"/>
  <c r="G20" i="7"/>
  <c r="G43" i="7"/>
  <c r="M98" i="6"/>
  <c r="G1" i="7"/>
  <c r="V72" i="9"/>
  <c r="N72" i="9"/>
  <c r="AB72" i="9"/>
  <c r="Z72" i="9"/>
  <c r="R72" i="9"/>
  <c r="J72" i="9"/>
  <c r="AD72" i="9"/>
  <c r="H72" i="9"/>
  <c r="L72" i="9"/>
  <c r="P72" i="9"/>
  <c r="T72" i="9"/>
  <c r="X72" i="9"/>
  <c r="M99" i="6" l="1"/>
  <c r="AC99" i="6" s="1"/>
  <c r="K99" i="12"/>
  <c r="AD101" i="5"/>
  <c r="H101" i="5"/>
  <c r="E101" i="5"/>
  <c r="D101" i="5"/>
  <c r="B101" i="12" s="1"/>
  <c r="N101" i="5"/>
  <c r="D101" i="6" s="1"/>
  <c r="G101" i="6" s="1"/>
  <c r="A101" i="12"/>
  <c r="C102" i="5"/>
  <c r="G101" i="5"/>
  <c r="K101" i="5"/>
  <c r="B101" i="6"/>
  <c r="B101" i="5"/>
  <c r="J101" i="5"/>
  <c r="F101" i="5"/>
  <c r="AE101" i="5"/>
  <c r="A100" i="6"/>
  <c r="M100" i="6" s="1"/>
  <c r="J100" i="12" a="1"/>
  <c r="J100" i="12" s="1"/>
  <c r="L100" i="12" a="1"/>
  <c r="L100" i="12" s="1"/>
  <c r="H100" i="6"/>
  <c r="T100" i="5" s="1"/>
  <c r="G100" i="6"/>
  <c r="AS57" i="6"/>
  <c r="BC57" i="6"/>
  <c r="AV57" i="6"/>
  <c r="BB57" i="6"/>
  <c r="AH57" i="6"/>
  <c r="AO57" i="6"/>
  <c r="AE57" i="6"/>
  <c r="BG57" i="6"/>
  <c r="AZ57" i="6"/>
  <c r="BE57" i="6"/>
  <c r="AY57" i="6"/>
  <c r="AJ57" i="6"/>
  <c r="AX57" i="6"/>
  <c r="BD57" i="6"/>
  <c r="AR57" i="6"/>
  <c r="AP57" i="6"/>
  <c r="BF57" i="6"/>
  <c r="AQ57" i="6"/>
  <c r="AB57" i="6"/>
  <c r="AK57" i="6"/>
  <c r="AT57" i="6"/>
  <c r="AF57" i="6"/>
  <c r="BA57" i="6"/>
  <c r="AG57" i="6"/>
  <c r="AN57" i="6"/>
  <c r="AU57" i="6"/>
  <c r="AM57" i="6"/>
  <c r="AI57" i="6"/>
  <c r="AD57" i="6"/>
  <c r="AC57" i="6"/>
  <c r="B33" i="10"/>
  <c r="AT87" i="6"/>
  <c r="AV87" i="6"/>
  <c r="AM87" i="6"/>
  <c r="BE87" i="6"/>
  <c r="AU87" i="6"/>
  <c r="AF87" i="6"/>
  <c r="AQ87" i="6"/>
  <c r="BA87" i="6"/>
  <c r="AS87" i="6"/>
  <c r="AZ87" i="6"/>
  <c r="AB87" i="6"/>
  <c r="BF87" i="6"/>
  <c r="AC87" i="6"/>
  <c r="AP87" i="6"/>
  <c r="AR87" i="6"/>
  <c r="BD87" i="6"/>
  <c r="BC87" i="6"/>
  <c r="AY87" i="6"/>
  <c r="BG87" i="6"/>
  <c r="BB87" i="6"/>
  <c r="AH87" i="6"/>
  <c r="AK87" i="6"/>
  <c r="AN87" i="6"/>
  <c r="AX87" i="6"/>
  <c r="AO87" i="6"/>
  <c r="AD87" i="6"/>
  <c r="AI87" i="6"/>
  <c r="AE87" i="6"/>
  <c r="AJ87" i="6"/>
  <c r="AG87" i="6"/>
  <c r="AP84" i="6"/>
  <c r="BA84" i="6"/>
  <c r="BF84" i="6"/>
  <c r="AN84" i="6"/>
  <c r="AZ84" i="6"/>
  <c r="AY84" i="6"/>
  <c r="BE84" i="6"/>
  <c r="AS84" i="6"/>
  <c r="AR84" i="6"/>
  <c r="AO84" i="6"/>
  <c r="AX84" i="6"/>
  <c r="AQ84" i="6"/>
  <c r="AV84" i="6"/>
  <c r="BD84" i="6"/>
  <c r="BG84" i="6"/>
  <c r="AU84" i="6"/>
  <c r="AT84" i="6"/>
  <c r="BB84" i="6"/>
  <c r="AM84" i="6"/>
  <c r="BC84" i="6"/>
  <c r="AD84" i="6"/>
  <c r="AI84" i="6"/>
  <c r="AK84" i="6"/>
  <c r="AB84" i="6"/>
  <c r="AG84" i="6"/>
  <c r="AJ84" i="6"/>
  <c r="AC84" i="6"/>
  <c r="AF84" i="6"/>
  <c r="AH84" i="6"/>
  <c r="AE84" i="6"/>
  <c r="AP83" i="6"/>
  <c r="AV83" i="6"/>
  <c r="BC83" i="6"/>
  <c r="AT83" i="6"/>
  <c r="AO83" i="6"/>
  <c r="AH83" i="6"/>
  <c r="BE83" i="6"/>
  <c r="AZ83" i="6"/>
  <c r="AY83" i="6"/>
  <c r="AN83" i="6"/>
  <c r="AS83" i="6"/>
  <c r="AX83" i="6"/>
  <c r="BD83" i="6"/>
  <c r="AG83" i="6"/>
  <c r="BG83" i="6"/>
  <c r="BF83" i="6"/>
  <c r="BB83" i="6"/>
  <c r="AQ83" i="6"/>
  <c r="AU83" i="6"/>
  <c r="AM83" i="6"/>
  <c r="AB83" i="6"/>
  <c r="AC83" i="6"/>
  <c r="BA83" i="6"/>
  <c r="AR83" i="6"/>
  <c r="AJ83" i="6"/>
  <c r="AE83" i="6"/>
  <c r="AF83" i="6"/>
  <c r="AK83" i="6"/>
  <c r="AI83" i="6"/>
  <c r="AD83" i="6"/>
  <c r="BE69" i="6"/>
  <c r="AS69" i="6"/>
  <c r="AR69" i="6"/>
  <c r="AM69" i="6"/>
  <c r="AN69" i="6"/>
  <c r="BA69" i="6"/>
  <c r="AF69" i="6"/>
  <c r="AP69" i="6"/>
  <c r="AK69" i="6"/>
  <c r="BG69" i="6"/>
  <c r="AH69" i="6"/>
  <c r="AV69" i="6"/>
  <c r="BD69" i="6"/>
  <c r="AO69" i="6"/>
  <c r="BC69" i="6"/>
  <c r="AY69" i="6"/>
  <c r="BF69" i="6"/>
  <c r="AX69" i="6"/>
  <c r="AQ69" i="6"/>
  <c r="AZ69" i="6"/>
  <c r="AU69" i="6"/>
  <c r="AT69" i="6"/>
  <c r="BB69" i="6"/>
  <c r="AG69" i="6"/>
  <c r="AC69" i="6"/>
  <c r="AI69" i="6"/>
  <c r="AJ69" i="6"/>
  <c r="AB69" i="6"/>
  <c r="AE69" i="6"/>
  <c r="AD69" i="6"/>
  <c r="BF95" i="6"/>
  <c r="AU95" i="6"/>
  <c r="AP95" i="6"/>
  <c r="AS95" i="6"/>
  <c r="BD95" i="6"/>
  <c r="AZ95" i="6"/>
  <c r="BC95" i="6"/>
  <c r="BG95" i="6"/>
  <c r="AO95" i="6"/>
  <c r="BE95" i="6"/>
  <c r="BB95" i="6"/>
  <c r="AT95" i="6"/>
  <c r="AN95" i="6"/>
  <c r="AM95" i="6"/>
  <c r="AR95" i="6"/>
  <c r="AX95" i="6"/>
  <c r="BA95" i="6"/>
  <c r="AQ95" i="6"/>
  <c r="AE95" i="6"/>
  <c r="AV95" i="6"/>
  <c r="AY95" i="6"/>
  <c r="AJ95" i="6"/>
  <c r="AD95" i="6"/>
  <c r="AB95" i="6"/>
  <c r="AC95" i="6"/>
  <c r="AK95" i="6"/>
  <c r="AI95" i="6"/>
  <c r="AF95" i="6"/>
  <c r="AH95" i="6"/>
  <c r="AG95" i="6"/>
  <c r="AU98" i="6"/>
  <c r="BE98" i="6"/>
  <c r="AP98" i="6"/>
  <c r="AT98" i="6"/>
  <c r="BD98" i="6"/>
  <c r="AB98" i="6"/>
  <c r="AS98" i="6"/>
  <c r="AO98" i="6"/>
  <c r="AY98" i="6"/>
  <c r="BA98" i="6"/>
  <c r="BG98" i="6"/>
  <c r="BC98" i="6"/>
  <c r="AR98" i="6"/>
  <c r="BB98" i="6"/>
  <c r="BF98" i="6"/>
  <c r="AX98" i="6"/>
  <c r="AC98" i="6"/>
  <c r="AZ98" i="6"/>
  <c r="AM98" i="6"/>
  <c r="AN98" i="6"/>
  <c r="AQ98" i="6"/>
  <c r="AV98" i="6"/>
  <c r="AF98" i="6"/>
  <c r="AI98" i="6"/>
  <c r="AH98" i="6"/>
  <c r="AD98" i="6"/>
  <c r="AE98" i="6"/>
  <c r="AK98" i="6"/>
  <c r="AJ98" i="6"/>
  <c r="AG98" i="6"/>
  <c r="AN86" i="6"/>
  <c r="AV86" i="6"/>
  <c r="BG86" i="6"/>
  <c r="AM86" i="6"/>
  <c r="AU86" i="6"/>
  <c r="AQ86" i="6"/>
  <c r="AD86" i="6"/>
  <c r="BD86" i="6"/>
  <c r="AZ86" i="6"/>
  <c r="BF86" i="6"/>
  <c r="BC86" i="6"/>
  <c r="AX86" i="6"/>
  <c r="AH86" i="6"/>
  <c r="AP86" i="6"/>
  <c r="AO86" i="6"/>
  <c r="BE86" i="6"/>
  <c r="AT86" i="6"/>
  <c r="AI86" i="6"/>
  <c r="AS86" i="6"/>
  <c r="BB86" i="6"/>
  <c r="BA86" i="6"/>
  <c r="AR86" i="6"/>
  <c r="AY86" i="6"/>
  <c r="AJ86" i="6"/>
  <c r="AC86" i="6"/>
  <c r="AB86" i="6"/>
  <c r="AF86" i="6"/>
  <c r="AE86" i="6"/>
  <c r="AG86" i="6"/>
  <c r="AK86" i="6"/>
  <c r="AQ63" i="6"/>
  <c r="AT63" i="6"/>
  <c r="AU63" i="6"/>
  <c r="AS63" i="6"/>
  <c r="BB63" i="6"/>
  <c r="AR63" i="6"/>
  <c r="BF63" i="6"/>
  <c r="BE63" i="6"/>
  <c r="AX63" i="6"/>
  <c r="AZ63" i="6"/>
  <c r="AM63" i="6"/>
  <c r="BD63" i="6"/>
  <c r="AP63" i="6"/>
  <c r="BA63" i="6"/>
  <c r="AN63" i="6"/>
  <c r="BG63" i="6"/>
  <c r="AV63" i="6"/>
  <c r="AI63" i="6"/>
  <c r="AO63" i="6"/>
  <c r="AY63" i="6"/>
  <c r="BC63" i="6"/>
  <c r="AH63" i="6"/>
  <c r="AF63" i="6"/>
  <c r="AD63" i="6"/>
  <c r="AB63" i="6"/>
  <c r="AC63" i="6"/>
  <c r="AG63" i="6"/>
  <c r="AJ63" i="6"/>
  <c r="AK63" i="6"/>
  <c r="AE63" i="6"/>
  <c r="BC78" i="6"/>
  <c r="AU78" i="6"/>
  <c r="AG78" i="6"/>
  <c r="AP78" i="6"/>
  <c r="BB78" i="6"/>
  <c r="AT78" i="6"/>
  <c r="AZ78" i="6"/>
  <c r="AX78" i="6"/>
  <c r="BG78" i="6"/>
  <c r="BD78" i="6"/>
  <c r="AM78" i="6"/>
  <c r="AH78" i="6"/>
  <c r="AN78" i="6"/>
  <c r="AO78" i="6"/>
  <c r="AS78" i="6"/>
  <c r="AQ78" i="6"/>
  <c r="AV78" i="6"/>
  <c r="BE78" i="6"/>
  <c r="BF78" i="6"/>
  <c r="AY78" i="6"/>
  <c r="BA78" i="6"/>
  <c r="AR78" i="6"/>
  <c r="AD78" i="6"/>
  <c r="AF78" i="6"/>
  <c r="AJ78" i="6"/>
  <c r="AK78" i="6"/>
  <c r="AI78" i="6"/>
  <c r="AB78" i="6"/>
  <c r="AC78" i="6"/>
  <c r="AE78" i="6"/>
  <c r="AQ97" i="6"/>
  <c r="AD97" i="6"/>
  <c r="BG97" i="6"/>
  <c r="AV97" i="6"/>
  <c r="AS97" i="6"/>
  <c r="AT97" i="6"/>
  <c r="BE97" i="6"/>
  <c r="BB97" i="6"/>
  <c r="BC97" i="6"/>
  <c r="AP97" i="6"/>
  <c r="BA97" i="6"/>
  <c r="AY97" i="6"/>
  <c r="AZ97" i="6"/>
  <c r="AO97" i="6"/>
  <c r="AU97" i="6"/>
  <c r="BD97" i="6"/>
  <c r="AF97" i="6"/>
  <c r="BF97" i="6"/>
  <c r="AR97" i="6"/>
  <c r="AN97" i="6"/>
  <c r="AM97" i="6"/>
  <c r="AH97" i="6"/>
  <c r="AX97" i="6"/>
  <c r="AC97" i="6"/>
  <c r="AE97" i="6"/>
  <c r="AK97" i="6"/>
  <c r="AB97" i="6"/>
  <c r="AI97" i="6"/>
  <c r="AJ97" i="6"/>
  <c r="AG97" i="6"/>
  <c r="AR85" i="6"/>
  <c r="AU85" i="6"/>
  <c r="AY85" i="6"/>
  <c r="BE85" i="6"/>
  <c r="BG85" i="6"/>
  <c r="AO85" i="6"/>
  <c r="AX85" i="6"/>
  <c r="AT85" i="6"/>
  <c r="BD85" i="6"/>
  <c r="AV85" i="6"/>
  <c r="AN85" i="6"/>
  <c r="BC85" i="6"/>
  <c r="AS85" i="6"/>
  <c r="AM85" i="6"/>
  <c r="BB85" i="6"/>
  <c r="AQ85" i="6"/>
  <c r="AZ85" i="6"/>
  <c r="AF85" i="6"/>
  <c r="BF85" i="6"/>
  <c r="BA85" i="6"/>
  <c r="AP85" i="6"/>
  <c r="AB85" i="6"/>
  <c r="AC85" i="6"/>
  <c r="AH85" i="6"/>
  <c r="AD85" i="6"/>
  <c r="AE85" i="6"/>
  <c r="AK85" i="6"/>
  <c r="AI85" i="6"/>
  <c r="AJ85" i="6"/>
  <c r="AG85" i="6"/>
  <c r="AX81" i="6"/>
  <c r="BC81" i="6"/>
  <c r="AV81" i="6"/>
  <c r="AY81" i="6"/>
  <c r="BF81" i="6"/>
  <c r="BE81" i="6"/>
  <c r="BB81" i="6"/>
  <c r="AE81" i="6"/>
  <c r="AQ81" i="6"/>
  <c r="AM81" i="6"/>
  <c r="BD81" i="6"/>
  <c r="AP81" i="6"/>
  <c r="BA81" i="6"/>
  <c r="AO81" i="6"/>
  <c r="AU81" i="6"/>
  <c r="BG81" i="6"/>
  <c r="AF81" i="6"/>
  <c r="AC81" i="6"/>
  <c r="AN81" i="6"/>
  <c r="AS81" i="6"/>
  <c r="AT81" i="6"/>
  <c r="AK81" i="6"/>
  <c r="AB81" i="6"/>
  <c r="AR81" i="6"/>
  <c r="AZ81" i="6"/>
  <c r="AG81" i="6"/>
  <c r="AI81" i="6"/>
  <c r="AJ81" i="6"/>
  <c r="AH81" i="6"/>
  <c r="AD81" i="6"/>
  <c r="AN66" i="6"/>
  <c r="AS66" i="6"/>
  <c r="BF66" i="6"/>
  <c r="AR66" i="6"/>
  <c r="BA66" i="6"/>
  <c r="BB66" i="6"/>
  <c r="AM66" i="6"/>
  <c r="AQ66" i="6"/>
  <c r="AO66" i="6"/>
  <c r="BC66" i="6"/>
  <c r="AZ66" i="6"/>
  <c r="BG66" i="6"/>
  <c r="AP66" i="6"/>
  <c r="BE66" i="6"/>
  <c r="AV66" i="6"/>
  <c r="AY66" i="6"/>
  <c r="AX66" i="6"/>
  <c r="BD66" i="6"/>
  <c r="AT66" i="6"/>
  <c r="AU66" i="6"/>
  <c r="AE66" i="6"/>
  <c r="AB66" i="6"/>
  <c r="AJ66" i="6"/>
  <c r="AC66" i="6"/>
  <c r="AD66" i="6"/>
  <c r="AK66" i="6"/>
  <c r="AG66" i="6"/>
  <c r="AI66" i="6"/>
  <c r="AH66" i="6"/>
  <c r="AF66" i="6"/>
  <c r="AP96" i="6"/>
  <c r="AY96" i="6"/>
  <c r="BF96" i="6"/>
  <c r="AT96" i="6"/>
  <c r="BD96" i="6"/>
  <c r="AV96" i="6"/>
  <c r="AM96" i="6"/>
  <c r="AO96" i="6"/>
  <c r="AS96" i="6"/>
  <c r="AX96" i="6"/>
  <c r="BB96" i="6"/>
  <c r="AN96" i="6"/>
  <c r="AZ96" i="6"/>
  <c r="AU96" i="6"/>
  <c r="BG96" i="6"/>
  <c r="BE96" i="6"/>
  <c r="AR96" i="6"/>
  <c r="BA96" i="6"/>
  <c r="AC96" i="6"/>
  <c r="AG96" i="6"/>
  <c r="AF96" i="6"/>
  <c r="AQ96" i="6"/>
  <c r="BC96" i="6"/>
  <c r="AB96" i="6"/>
  <c r="AJ96" i="6"/>
  <c r="AK96" i="6"/>
  <c r="AH96" i="6"/>
  <c r="AI96" i="6"/>
  <c r="AD96" i="6"/>
  <c r="AE96" i="6"/>
  <c r="AY62" i="6"/>
  <c r="AZ62" i="6"/>
  <c r="BC62" i="6"/>
  <c r="AP62" i="6"/>
  <c r="AX62" i="6"/>
  <c r="BG62" i="6"/>
  <c r="AN62" i="6"/>
  <c r="AM62" i="6"/>
  <c r="AT62" i="6"/>
  <c r="AV62" i="6"/>
  <c r="AQ62" i="6"/>
  <c r="AO62" i="6"/>
  <c r="BD62" i="6"/>
  <c r="BE62" i="6"/>
  <c r="BA62" i="6"/>
  <c r="AU62" i="6"/>
  <c r="BB62" i="6"/>
  <c r="AS62" i="6"/>
  <c r="BF62" i="6"/>
  <c r="AR62" i="6"/>
  <c r="AD62" i="6"/>
  <c r="AJ62" i="6"/>
  <c r="AF62" i="6"/>
  <c r="AB62" i="6"/>
  <c r="AG62" i="6"/>
  <c r="AI62" i="6"/>
  <c r="AE62" i="6"/>
  <c r="AK62" i="6"/>
  <c r="AH62" i="6"/>
  <c r="AC62" i="6"/>
  <c r="BC61" i="6"/>
  <c r="AN61" i="6"/>
  <c r="AT61" i="6"/>
  <c r="AZ61" i="6"/>
  <c r="AR61" i="6"/>
  <c r="BE61" i="6"/>
  <c r="AQ61" i="6"/>
  <c r="AY61" i="6"/>
  <c r="BB61" i="6"/>
  <c r="AP61" i="6"/>
  <c r="AO61" i="6"/>
  <c r="AV61" i="6"/>
  <c r="AU61" i="6"/>
  <c r="AM61" i="6"/>
  <c r="BD61" i="6"/>
  <c r="AX61" i="6"/>
  <c r="BG61" i="6"/>
  <c r="AS61" i="6"/>
  <c r="BF61" i="6"/>
  <c r="AH61" i="6"/>
  <c r="BA61" i="6"/>
  <c r="AD61" i="6"/>
  <c r="AE61" i="6"/>
  <c r="AC61" i="6"/>
  <c r="AB61" i="6"/>
  <c r="AF61" i="6"/>
  <c r="AI61" i="6"/>
  <c r="AK61" i="6"/>
  <c r="AJ61" i="6"/>
  <c r="AG61" i="6"/>
  <c r="C33" i="7" a="1"/>
  <c r="C33" i="7" s="1"/>
  <c r="B32" i="7"/>
  <c r="AN68" i="6"/>
  <c r="AB68" i="6"/>
  <c r="AX68" i="6"/>
  <c r="BB68" i="6"/>
  <c r="AR68" i="6"/>
  <c r="AZ68" i="6"/>
  <c r="BC68" i="6"/>
  <c r="AM68" i="6"/>
  <c r="AQ68" i="6"/>
  <c r="AT68" i="6"/>
  <c r="AP68" i="6"/>
  <c r="BA68" i="6"/>
  <c r="AU68" i="6"/>
  <c r="AJ68" i="6"/>
  <c r="AY68" i="6"/>
  <c r="AO68" i="6"/>
  <c r="BE68" i="6"/>
  <c r="AV68" i="6"/>
  <c r="BF68" i="6"/>
  <c r="BD68" i="6"/>
  <c r="AS68" i="6"/>
  <c r="BG68" i="6"/>
  <c r="AH68" i="6"/>
  <c r="AD68" i="6"/>
  <c r="AI68" i="6"/>
  <c r="AE68" i="6"/>
  <c r="AG68" i="6"/>
  <c r="AK68" i="6"/>
  <c r="AF68" i="6"/>
  <c r="AC68" i="6"/>
  <c r="AU77" i="6"/>
  <c r="AM77" i="6"/>
  <c r="AS77" i="6"/>
  <c r="AN77" i="6"/>
  <c r="AQ77" i="6"/>
  <c r="AG77" i="6"/>
  <c r="AV77" i="6"/>
  <c r="AT77" i="6"/>
  <c r="AR77" i="6"/>
  <c r="BG77" i="6"/>
  <c r="AY77" i="6"/>
  <c r="AB77" i="6"/>
  <c r="BC77" i="6"/>
  <c r="BE77" i="6"/>
  <c r="BB77" i="6"/>
  <c r="BF77" i="6"/>
  <c r="AO77" i="6"/>
  <c r="AD77" i="6"/>
  <c r="AH77" i="6"/>
  <c r="BA77" i="6"/>
  <c r="AZ77" i="6"/>
  <c r="AP77" i="6"/>
  <c r="AX77" i="6"/>
  <c r="AK77" i="6"/>
  <c r="BD77" i="6"/>
  <c r="AC77" i="6"/>
  <c r="AJ77" i="6"/>
  <c r="AF77" i="6"/>
  <c r="AI77" i="6"/>
  <c r="AE77" i="6"/>
  <c r="AN65" i="6"/>
  <c r="BE65" i="6"/>
  <c r="BB65" i="6"/>
  <c r="AP65" i="6"/>
  <c r="BD65" i="6"/>
  <c r="AU65" i="6"/>
  <c r="AT65" i="6"/>
  <c r="AQ65" i="6"/>
  <c r="AM65" i="6"/>
  <c r="AX65" i="6"/>
  <c r="AO65" i="6"/>
  <c r="BC65" i="6"/>
  <c r="AV65" i="6"/>
  <c r="BA65" i="6"/>
  <c r="AZ65" i="6"/>
  <c r="AY65" i="6"/>
  <c r="AS65" i="6"/>
  <c r="AR65" i="6"/>
  <c r="BF65" i="6"/>
  <c r="BG65" i="6"/>
  <c r="AJ65" i="6"/>
  <c r="AD65" i="6"/>
  <c r="AI65" i="6"/>
  <c r="AC65" i="6"/>
  <c r="AE65" i="6"/>
  <c r="AB65" i="6"/>
  <c r="AF65" i="6"/>
  <c r="AG65" i="6"/>
  <c r="AH65" i="6"/>
  <c r="AK65" i="6"/>
  <c r="AV73" i="6"/>
  <c r="AC73" i="6"/>
  <c r="AF73" i="6"/>
  <c r="BA73" i="6"/>
  <c r="AI73" i="6"/>
  <c r="BF73" i="6"/>
  <c r="AN73" i="6"/>
  <c r="AQ73" i="6"/>
  <c r="BB73" i="6"/>
  <c r="BD73" i="6"/>
  <c r="AK73" i="6"/>
  <c r="AO73" i="6"/>
  <c r="AS73" i="6"/>
  <c r="AU73" i="6"/>
  <c r="AP73" i="6"/>
  <c r="BE73" i="6"/>
  <c r="AJ73" i="6"/>
  <c r="AD73" i="6"/>
  <c r="AB73" i="6"/>
  <c r="AX73" i="6"/>
  <c r="AM73" i="6"/>
  <c r="AR73" i="6"/>
  <c r="AH73" i="6"/>
  <c r="AT73" i="6"/>
  <c r="AZ73" i="6"/>
  <c r="AE73" i="6"/>
  <c r="BC73" i="6"/>
  <c r="AY73" i="6"/>
  <c r="BG73" i="6"/>
  <c r="AG73" i="6"/>
  <c r="AP80" i="6"/>
  <c r="AV80" i="6"/>
  <c r="AR80" i="6"/>
  <c r="AZ80" i="6"/>
  <c r="AX80" i="6"/>
  <c r="AU80" i="6"/>
  <c r="AQ80" i="6"/>
  <c r="BA80" i="6"/>
  <c r="BE80" i="6"/>
  <c r="BB80" i="6"/>
  <c r="BG80" i="6"/>
  <c r="BD80" i="6"/>
  <c r="AN80" i="6"/>
  <c r="AO80" i="6"/>
  <c r="AT80" i="6"/>
  <c r="BF80" i="6"/>
  <c r="AS80" i="6"/>
  <c r="AM80" i="6"/>
  <c r="AY80" i="6"/>
  <c r="BC80" i="6"/>
  <c r="AJ80" i="6"/>
  <c r="AB80" i="6"/>
  <c r="AG80" i="6"/>
  <c r="AC80" i="6"/>
  <c r="AF80" i="6"/>
  <c r="AD80" i="6"/>
  <c r="AE80" i="6"/>
  <c r="AK80" i="6"/>
  <c r="AI80" i="6"/>
  <c r="AH80" i="6"/>
  <c r="BG93" i="6"/>
  <c r="BC93" i="6"/>
  <c r="AV93" i="6"/>
  <c r="AY93" i="6"/>
  <c r="AU93" i="6"/>
  <c r="AT93" i="6"/>
  <c r="AN93" i="6"/>
  <c r="AR93" i="6"/>
  <c r="AI93" i="6"/>
  <c r="BD93" i="6"/>
  <c r="BB93" i="6"/>
  <c r="AM93" i="6"/>
  <c r="AZ93" i="6"/>
  <c r="AS93" i="6"/>
  <c r="BE93" i="6"/>
  <c r="AD93" i="6"/>
  <c r="BF93" i="6"/>
  <c r="BA93" i="6"/>
  <c r="AP93" i="6"/>
  <c r="AQ93" i="6"/>
  <c r="AE93" i="6"/>
  <c r="AO93" i="6"/>
  <c r="AX93" i="6"/>
  <c r="AB93" i="6"/>
  <c r="AH93" i="6"/>
  <c r="AJ93" i="6"/>
  <c r="AF93" i="6"/>
  <c r="AC93" i="6"/>
  <c r="AK93" i="6"/>
  <c r="AG93" i="6"/>
  <c r="AO72" i="6"/>
  <c r="AX72" i="6"/>
  <c r="BG72" i="6"/>
  <c r="AR72" i="6"/>
  <c r="AS72" i="6"/>
  <c r="BD72" i="6"/>
  <c r="AU72" i="6"/>
  <c r="AK72" i="6"/>
  <c r="AQ72" i="6"/>
  <c r="AJ72" i="6"/>
  <c r="AN72" i="6"/>
  <c r="AY72" i="6"/>
  <c r="AD72" i="6"/>
  <c r="AM72" i="6"/>
  <c r="AT72" i="6"/>
  <c r="BB72" i="6"/>
  <c r="AG72" i="6"/>
  <c r="BF72" i="6"/>
  <c r="BA72" i="6"/>
  <c r="AB72" i="6"/>
  <c r="AZ72" i="6"/>
  <c r="BC72" i="6"/>
  <c r="AI72" i="6"/>
  <c r="AP72" i="6"/>
  <c r="BE72" i="6"/>
  <c r="AH72" i="6"/>
  <c r="AV72" i="6"/>
  <c r="AF72" i="6"/>
  <c r="AC72" i="6"/>
  <c r="AE72" i="6"/>
  <c r="AV76" i="6"/>
  <c r="AZ76" i="6"/>
  <c r="BE76" i="6"/>
  <c r="AU76" i="6"/>
  <c r="BA76" i="6"/>
  <c r="BD76" i="6"/>
  <c r="AT76" i="6"/>
  <c r="BB76" i="6"/>
  <c r="AO76" i="6"/>
  <c r="BG76" i="6"/>
  <c r="AY76" i="6"/>
  <c r="AS76" i="6"/>
  <c r="AN76" i="6"/>
  <c r="BC76" i="6"/>
  <c r="AM76" i="6"/>
  <c r="AP76" i="6"/>
  <c r="AR76" i="6"/>
  <c r="BF76" i="6"/>
  <c r="AX76" i="6"/>
  <c r="AQ76" i="6"/>
  <c r="AH76" i="6"/>
  <c r="AI76" i="6"/>
  <c r="AK76" i="6"/>
  <c r="AE76" i="6"/>
  <c r="AB76" i="6"/>
  <c r="AF76" i="6"/>
  <c r="AJ76" i="6"/>
  <c r="AC76" i="6"/>
  <c r="AD76" i="6"/>
  <c r="AG76" i="6"/>
  <c r="AT92" i="6"/>
  <c r="AO92" i="6"/>
  <c r="AX92" i="6"/>
  <c r="AR92" i="6"/>
  <c r="BC92" i="6"/>
  <c r="BA92" i="6"/>
  <c r="AQ92" i="6"/>
  <c r="AV92" i="6"/>
  <c r="AP92" i="6"/>
  <c r="AG92" i="6"/>
  <c r="BF92" i="6"/>
  <c r="BE92" i="6"/>
  <c r="AM92" i="6"/>
  <c r="AI92" i="6"/>
  <c r="AD92" i="6"/>
  <c r="AN92" i="6"/>
  <c r="AU92" i="6"/>
  <c r="BG92" i="6"/>
  <c r="AS92" i="6"/>
  <c r="AF92" i="6"/>
  <c r="AJ92" i="6"/>
  <c r="BB92" i="6"/>
  <c r="AZ92" i="6"/>
  <c r="AY92" i="6"/>
  <c r="BD92" i="6"/>
  <c r="AK92" i="6"/>
  <c r="AH92" i="6"/>
  <c r="AE92" i="6"/>
  <c r="AC92" i="6"/>
  <c r="AB92" i="6"/>
  <c r="BB71" i="6"/>
  <c r="BF71" i="6"/>
  <c r="AX71" i="6"/>
  <c r="AM71" i="6"/>
  <c r="AV71" i="6"/>
  <c r="AQ71" i="6"/>
  <c r="AT71" i="6"/>
  <c r="AP71" i="6"/>
  <c r="AS71" i="6"/>
  <c r="BD71" i="6"/>
  <c r="AO71" i="6"/>
  <c r="AG71" i="6"/>
  <c r="BE71" i="6"/>
  <c r="AY71" i="6"/>
  <c r="AU71" i="6"/>
  <c r="BG71" i="6"/>
  <c r="BC71" i="6"/>
  <c r="AZ71" i="6"/>
  <c r="AR71" i="6"/>
  <c r="AN71" i="6"/>
  <c r="BA71" i="6"/>
  <c r="AF71" i="6"/>
  <c r="AI71" i="6"/>
  <c r="AJ71" i="6"/>
  <c r="AH71" i="6"/>
  <c r="AD71" i="6"/>
  <c r="AE71" i="6"/>
  <c r="AC71" i="6"/>
  <c r="AK71" i="6"/>
  <c r="AB71" i="6"/>
  <c r="AV56" i="6"/>
  <c r="AQ56" i="6"/>
  <c r="AY56" i="6"/>
  <c r="AZ56" i="6"/>
  <c r="AN56" i="6"/>
  <c r="AO56" i="6"/>
  <c r="AU56" i="6"/>
  <c r="BG56" i="6"/>
  <c r="AM56" i="6"/>
  <c r="BB56" i="6"/>
  <c r="AT56" i="6"/>
  <c r="BE56" i="6"/>
  <c r="BC56" i="6"/>
  <c r="AS56" i="6"/>
  <c r="BD56" i="6"/>
  <c r="AP56" i="6"/>
  <c r="AC56" i="6"/>
  <c r="AX56" i="6"/>
  <c r="AR56" i="6"/>
  <c r="AK56" i="6"/>
  <c r="BA56" i="6"/>
  <c r="BF56" i="6"/>
  <c r="AG56" i="6"/>
  <c r="AB56" i="6"/>
  <c r="AE56" i="6"/>
  <c r="AJ56" i="6"/>
  <c r="AI56" i="6"/>
  <c r="AF56" i="6"/>
  <c r="AH56" i="6"/>
  <c r="AD56" i="6"/>
  <c r="AN64" i="6"/>
  <c r="AX64" i="6"/>
  <c r="BG64" i="6"/>
  <c r="BE64" i="6"/>
  <c r="BD64" i="6"/>
  <c r="AV64" i="6"/>
  <c r="AP64" i="6"/>
  <c r="AM64" i="6"/>
  <c r="BA64" i="6"/>
  <c r="BF64" i="6"/>
  <c r="AQ64" i="6"/>
  <c r="AS64" i="6"/>
  <c r="AZ64" i="6"/>
  <c r="AU64" i="6"/>
  <c r="AJ64" i="6"/>
  <c r="AY64" i="6"/>
  <c r="AR64" i="6"/>
  <c r="BB64" i="6"/>
  <c r="AO64" i="6"/>
  <c r="BC64" i="6"/>
  <c r="AT64" i="6"/>
  <c r="AI64" i="6"/>
  <c r="AG64" i="6"/>
  <c r="AD64" i="6"/>
  <c r="AC64" i="6"/>
  <c r="AH64" i="6"/>
  <c r="AK64" i="6"/>
  <c r="AE64" i="6"/>
  <c r="AB64" i="6"/>
  <c r="AF64" i="6"/>
  <c r="BC74" i="6"/>
  <c r="AR74" i="6"/>
  <c r="AP74" i="6"/>
  <c r="BB74" i="6"/>
  <c r="AX74" i="6"/>
  <c r="BF74" i="6"/>
  <c r="AZ74" i="6"/>
  <c r="BA74" i="6"/>
  <c r="AQ74" i="6"/>
  <c r="AY74" i="6"/>
  <c r="AM74" i="6"/>
  <c r="AN74" i="6"/>
  <c r="AU74" i="6"/>
  <c r="BE74" i="6"/>
  <c r="AO74" i="6"/>
  <c r="AT74" i="6"/>
  <c r="AS74" i="6"/>
  <c r="AV74" i="6"/>
  <c r="BG74" i="6"/>
  <c r="BD74" i="6"/>
  <c r="AD74" i="6"/>
  <c r="AI74" i="6"/>
  <c r="AC74" i="6"/>
  <c r="AH74" i="6"/>
  <c r="AG74" i="6"/>
  <c r="AJ74" i="6"/>
  <c r="AE74" i="6"/>
  <c r="AF74" i="6"/>
  <c r="AB74" i="6"/>
  <c r="AK74" i="6"/>
  <c r="BE94" i="6"/>
  <c r="BB94" i="6"/>
  <c r="AN94" i="6"/>
  <c r="AT94" i="6"/>
  <c r="BF94" i="6"/>
  <c r="AH94" i="6"/>
  <c r="BA94" i="6"/>
  <c r="AP94" i="6"/>
  <c r="AE94" i="6"/>
  <c r="AS94" i="6"/>
  <c r="BD94" i="6"/>
  <c r="AZ94" i="6"/>
  <c r="AJ94" i="6"/>
  <c r="AU94" i="6"/>
  <c r="AO94" i="6"/>
  <c r="AY94" i="6"/>
  <c r="AG94" i="6"/>
  <c r="BC94" i="6"/>
  <c r="AX94" i="6"/>
  <c r="AC94" i="6"/>
  <c r="AI94" i="6"/>
  <c r="BG94" i="6"/>
  <c r="AM94" i="6"/>
  <c r="AR94" i="6"/>
  <c r="AK94" i="6"/>
  <c r="AV94" i="6"/>
  <c r="AD94" i="6"/>
  <c r="AF94" i="6"/>
  <c r="AQ94" i="6"/>
  <c r="AB94" i="6"/>
  <c r="AT91" i="6"/>
  <c r="AX91" i="6"/>
  <c r="BB91" i="6"/>
  <c r="AR91" i="6"/>
  <c r="BE91" i="6"/>
  <c r="AV91" i="6"/>
  <c r="AP91" i="6"/>
  <c r="AM91" i="6"/>
  <c r="AQ91" i="6"/>
  <c r="AO91" i="6"/>
  <c r="AU91" i="6"/>
  <c r="BF91" i="6"/>
  <c r="AZ91" i="6"/>
  <c r="BC91" i="6"/>
  <c r="AI91" i="6"/>
  <c r="BG91" i="6"/>
  <c r="BA91" i="6"/>
  <c r="AN91" i="6"/>
  <c r="AS91" i="6"/>
  <c r="BD91" i="6"/>
  <c r="AH91" i="6"/>
  <c r="AY91" i="6"/>
  <c r="AK91" i="6"/>
  <c r="AE91" i="6"/>
  <c r="AJ91" i="6"/>
  <c r="AC91" i="6"/>
  <c r="AD91" i="6"/>
  <c r="AB91" i="6"/>
  <c r="AF91" i="6"/>
  <c r="AG91" i="6"/>
  <c r="BC59" i="6"/>
  <c r="AN59" i="6"/>
  <c r="AO59" i="6"/>
  <c r="AS59" i="6"/>
  <c r="AQ59" i="6"/>
  <c r="AX59" i="6"/>
  <c r="AT59" i="6"/>
  <c r="AZ59" i="6"/>
  <c r="BB59" i="6"/>
  <c r="BE59" i="6"/>
  <c r="AR59" i="6"/>
  <c r="AM59" i="6"/>
  <c r="BD59" i="6"/>
  <c r="AY59" i="6"/>
  <c r="BA59" i="6"/>
  <c r="BG59" i="6"/>
  <c r="BF59" i="6"/>
  <c r="AV59" i="6"/>
  <c r="AU59" i="6"/>
  <c r="AP59" i="6"/>
  <c r="AD59" i="6"/>
  <c r="AI59" i="6"/>
  <c r="AF59" i="6"/>
  <c r="AG59" i="6"/>
  <c r="AJ59" i="6"/>
  <c r="AC59" i="6"/>
  <c r="AE59" i="6"/>
  <c r="AB59" i="6"/>
  <c r="AH59" i="6"/>
  <c r="AK59" i="6"/>
  <c r="BA60" i="6"/>
  <c r="AQ60" i="6"/>
  <c r="BD60" i="6"/>
  <c r="AO60" i="6"/>
  <c r="AC60" i="6"/>
  <c r="AN60" i="6"/>
  <c r="AM60" i="6"/>
  <c r="AV60" i="6"/>
  <c r="AS60" i="6"/>
  <c r="AY60" i="6"/>
  <c r="BG60" i="6"/>
  <c r="BE60" i="6"/>
  <c r="AR60" i="6"/>
  <c r="AX60" i="6"/>
  <c r="BF60" i="6"/>
  <c r="BC60" i="6"/>
  <c r="AP60" i="6"/>
  <c r="AG60" i="6"/>
  <c r="BB60" i="6"/>
  <c r="AU60" i="6"/>
  <c r="AZ60" i="6"/>
  <c r="AT60" i="6"/>
  <c r="AF60" i="6"/>
  <c r="AE60" i="6"/>
  <c r="AK60" i="6"/>
  <c r="AB60" i="6"/>
  <c r="AI60" i="6"/>
  <c r="AH60" i="6"/>
  <c r="AD60" i="6"/>
  <c r="AJ60" i="6"/>
  <c r="BE90" i="6"/>
  <c r="BA90" i="6"/>
  <c r="AS90" i="6"/>
  <c r="BD90" i="6"/>
  <c r="AN90" i="6"/>
  <c r="BC90" i="6"/>
  <c r="AR90" i="6"/>
  <c r="AZ90" i="6"/>
  <c r="AU90" i="6"/>
  <c r="AX90" i="6"/>
  <c r="BG90" i="6"/>
  <c r="AV90" i="6"/>
  <c r="AP90" i="6"/>
  <c r="AM90" i="6"/>
  <c r="BB90" i="6"/>
  <c r="AQ90" i="6"/>
  <c r="BF90" i="6"/>
  <c r="AO90" i="6"/>
  <c r="AY90" i="6"/>
  <c r="AT90" i="6"/>
  <c r="AE90" i="6"/>
  <c r="AB90" i="6"/>
  <c r="AG90" i="6"/>
  <c r="AD90" i="6"/>
  <c r="AC90" i="6"/>
  <c r="AI90" i="6"/>
  <c r="AH90" i="6"/>
  <c r="AK90" i="6"/>
  <c r="AJ90" i="6"/>
  <c r="AF90" i="6"/>
  <c r="AK82" i="6"/>
  <c r="AO82" i="6"/>
  <c r="AZ82" i="6"/>
  <c r="BD82" i="6"/>
  <c r="AH82" i="6"/>
  <c r="BC82" i="6"/>
  <c r="AU82" i="6"/>
  <c r="BF82" i="6"/>
  <c r="AN82" i="6"/>
  <c r="BE82" i="6"/>
  <c r="AP82" i="6"/>
  <c r="AT82" i="6"/>
  <c r="AS82" i="6"/>
  <c r="AD82" i="6"/>
  <c r="BB82" i="6"/>
  <c r="AV82" i="6"/>
  <c r="AF82" i="6"/>
  <c r="AB82" i="6"/>
  <c r="AY82" i="6"/>
  <c r="AQ82" i="6"/>
  <c r="AR82" i="6"/>
  <c r="AX82" i="6"/>
  <c r="BG82" i="6"/>
  <c r="BA82" i="6"/>
  <c r="AM82" i="6"/>
  <c r="AG82" i="6"/>
  <c r="AE82" i="6"/>
  <c r="AJ82" i="6"/>
  <c r="AC82" i="6"/>
  <c r="AI82" i="6"/>
  <c r="AP79" i="6"/>
  <c r="AU79" i="6"/>
  <c r="AO79" i="6"/>
  <c r="AJ79" i="6"/>
  <c r="AV79" i="6"/>
  <c r="AF79" i="6"/>
  <c r="BE79" i="6"/>
  <c r="AQ79" i="6"/>
  <c r="AI79" i="6"/>
  <c r="AT79" i="6"/>
  <c r="AX79" i="6"/>
  <c r="AE79" i="6"/>
  <c r="BD79" i="6"/>
  <c r="AZ79" i="6"/>
  <c r="BA79" i="6"/>
  <c r="AS79" i="6"/>
  <c r="AC79" i="6"/>
  <c r="AM79" i="6"/>
  <c r="AD79" i="6"/>
  <c r="AB79" i="6"/>
  <c r="AN79" i="6"/>
  <c r="AK79" i="6"/>
  <c r="BC79" i="6"/>
  <c r="AY79" i="6"/>
  <c r="BB79" i="6"/>
  <c r="BG79" i="6"/>
  <c r="AH79" i="6"/>
  <c r="AR79" i="6"/>
  <c r="BF79" i="6"/>
  <c r="AG79" i="6"/>
  <c r="B33" i="9"/>
  <c r="AQ89" i="6"/>
  <c r="AS89" i="6"/>
  <c r="BF89" i="6"/>
  <c r="BA89" i="6"/>
  <c r="BG89" i="6"/>
  <c r="AP89" i="6"/>
  <c r="AT89" i="6"/>
  <c r="AZ89" i="6"/>
  <c r="BE89" i="6"/>
  <c r="AX89" i="6"/>
  <c r="BC89" i="6"/>
  <c r="AY89" i="6"/>
  <c r="AO89" i="6"/>
  <c r="BD89" i="6"/>
  <c r="AN89" i="6"/>
  <c r="AV89" i="6"/>
  <c r="AU89" i="6"/>
  <c r="AM89" i="6"/>
  <c r="AR89" i="6"/>
  <c r="BB89" i="6"/>
  <c r="AG89" i="6"/>
  <c r="AK89" i="6"/>
  <c r="AE89" i="6"/>
  <c r="AC89" i="6"/>
  <c r="AI89" i="6"/>
  <c r="AH89" i="6"/>
  <c r="AD89" i="6"/>
  <c r="AB89" i="6"/>
  <c r="AF89" i="6"/>
  <c r="AJ89" i="6"/>
  <c r="BG67" i="6"/>
  <c r="AP67" i="6"/>
  <c r="AS67" i="6"/>
  <c r="AZ67" i="6"/>
  <c r="BE67" i="6"/>
  <c r="AY67" i="6"/>
  <c r="BC67" i="6"/>
  <c r="AX67" i="6"/>
  <c r="BA67" i="6"/>
  <c r="BD67" i="6"/>
  <c r="AQ67" i="6"/>
  <c r="BB67" i="6"/>
  <c r="AN67" i="6"/>
  <c r="AR67" i="6"/>
  <c r="AO67" i="6"/>
  <c r="BF67" i="6"/>
  <c r="AT67" i="6"/>
  <c r="AV67" i="6"/>
  <c r="AM67" i="6"/>
  <c r="AU67" i="6"/>
  <c r="AH67" i="6"/>
  <c r="AB67" i="6"/>
  <c r="AD67" i="6"/>
  <c r="AF67" i="6"/>
  <c r="AJ67" i="6"/>
  <c r="AK67" i="6"/>
  <c r="AC67" i="6"/>
  <c r="AE67" i="6"/>
  <c r="AI67" i="6"/>
  <c r="AG67" i="6"/>
  <c r="BG70" i="6"/>
  <c r="AM70" i="6"/>
  <c r="AR70" i="6"/>
  <c r="BA70" i="6"/>
  <c r="AP70" i="6"/>
  <c r="AV70" i="6"/>
  <c r="BE70" i="6"/>
  <c r="AO70" i="6"/>
  <c r="AX70" i="6"/>
  <c r="AY70" i="6"/>
  <c r="BF70" i="6"/>
  <c r="AS70" i="6"/>
  <c r="BD70" i="6"/>
  <c r="BB70" i="6"/>
  <c r="AQ70" i="6"/>
  <c r="AT70" i="6"/>
  <c r="BC70" i="6"/>
  <c r="AZ70" i="6"/>
  <c r="AU70" i="6"/>
  <c r="AN70" i="6"/>
  <c r="AB70" i="6"/>
  <c r="AJ70" i="6"/>
  <c r="AI70" i="6"/>
  <c r="AD70" i="6"/>
  <c r="AE70" i="6"/>
  <c r="AG70" i="6"/>
  <c r="AC70" i="6"/>
  <c r="AH70" i="6"/>
  <c r="AF70" i="6"/>
  <c r="AK70" i="6"/>
  <c r="AN88" i="6"/>
  <c r="BF88" i="6"/>
  <c r="BB88" i="6"/>
  <c r="BC88" i="6"/>
  <c r="AO88" i="6"/>
  <c r="AY88" i="6"/>
  <c r="AR88" i="6"/>
  <c r="BA88" i="6"/>
  <c r="AP88" i="6"/>
  <c r="AT88" i="6"/>
  <c r="AZ88" i="6"/>
  <c r="AX88" i="6"/>
  <c r="AU88" i="6"/>
  <c r="AE88" i="6"/>
  <c r="AV88" i="6"/>
  <c r="AS88" i="6"/>
  <c r="BE88" i="6"/>
  <c r="AQ88" i="6"/>
  <c r="BD88" i="6"/>
  <c r="AM88" i="6"/>
  <c r="BG88" i="6"/>
  <c r="AF88" i="6"/>
  <c r="AK88" i="6"/>
  <c r="AB88" i="6"/>
  <c r="AG88" i="6"/>
  <c r="AC88" i="6"/>
  <c r="AJ88" i="6"/>
  <c r="AH88" i="6"/>
  <c r="AI88" i="6"/>
  <c r="AD88" i="6"/>
  <c r="AT58" i="6"/>
  <c r="BB58" i="6"/>
  <c r="BF58" i="6"/>
  <c r="AZ58" i="6"/>
  <c r="AV58" i="6"/>
  <c r="AN58" i="6"/>
  <c r="AR58" i="6"/>
  <c r="AS58" i="6"/>
  <c r="BG58" i="6"/>
  <c r="AH58" i="6"/>
  <c r="AG58" i="6"/>
  <c r="BE58" i="6"/>
  <c r="AY58" i="6"/>
  <c r="BA58" i="6"/>
  <c r="BD58" i="6"/>
  <c r="AX58" i="6"/>
  <c r="AQ58" i="6"/>
  <c r="AO58" i="6"/>
  <c r="BC58" i="6"/>
  <c r="AU58" i="6"/>
  <c r="AM58" i="6"/>
  <c r="AP58" i="6"/>
  <c r="AF58" i="6"/>
  <c r="AJ58" i="6"/>
  <c r="AC58" i="6"/>
  <c r="AE58" i="6"/>
  <c r="AI58" i="6"/>
  <c r="AD58" i="6"/>
  <c r="AK58" i="6"/>
  <c r="AB58" i="6"/>
  <c r="AV75" i="6"/>
  <c r="BG75" i="6"/>
  <c r="BA75" i="6"/>
  <c r="AK75" i="6"/>
  <c r="AG75" i="6"/>
  <c r="AR75" i="6"/>
  <c r="AX75" i="6"/>
  <c r="AC75" i="6"/>
  <c r="AO75" i="6"/>
  <c r="AF75" i="6"/>
  <c r="AY75" i="6"/>
  <c r="BF75" i="6"/>
  <c r="AN75" i="6"/>
  <c r="AE75" i="6"/>
  <c r="AQ75" i="6"/>
  <c r="BD75" i="6"/>
  <c r="AP75" i="6"/>
  <c r="AT75" i="6"/>
  <c r="AB75" i="6"/>
  <c r="BC75" i="6"/>
  <c r="AU75" i="6"/>
  <c r="BE75" i="6"/>
  <c r="AM75" i="6"/>
  <c r="AZ75" i="6"/>
  <c r="AS75" i="6"/>
  <c r="AH75" i="6"/>
  <c r="AD75" i="6"/>
  <c r="BB75" i="6"/>
  <c r="AJ75" i="6"/>
  <c r="AI75" i="6"/>
  <c r="G99" i="12"/>
  <c r="F6" i="7"/>
  <c r="AU99" i="6" l="1"/>
  <c r="AR99" i="6"/>
  <c r="AV99" i="6"/>
  <c r="AS99" i="6"/>
  <c r="BD99" i="6"/>
  <c r="AF99" i="6"/>
  <c r="AI99" i="6"/>
  <c r="H101" i="6"/>
  <c r="T101" i="5" s="1"/>
  <c r="AQ99" i="6"/>
  <c r="BG99" i="6"/>
  <c r="AO99" i="6"/>
  <c r="BF99" i="6"/>
  <c r="BB99" i="6"/>
  <c r="AG99" i="6"/>
  <c r="AZ99" i="6"/>
  <c r="AP99" i="6"/>
  <c r="AT99" i="6"/>
  <c r="AN99" i="6"/>
  <c r="AM99" i="6"/>
  <c r="AE99" i="6"/>
  <c r="BE99" i="6"/>
  <c r="BC99" i="6"/>
  <c r="AY99" i="6"/>
  <c r="AK99" i="6"/>
  <c r="AH99" i="6"/>
  <c r="AX99" i="6"/>
  <c r="AD99" i="6"/>
  <c r="AB99" i="6"/>
  <c r="BA99" i="6"/>
  <c r="AJ99" i="6"/>
  <c r="AN100" i="6"/>
  <c r="AU100" i="6"/>
  <c r="BE100" i="6"/>
  <c r="AJ100" i="6"/>
  <c r="AR100" i="6"/>
  <c r="AQ100" i="6"/>
  <c r="AC100" i="6"/>
  <c r="BC100" i="6"/>
  <c r="AP100" i="6"/>
  <c r="AG100" i="6"/>
  <c r="AT100" i="6"/>
  <c r="AV100" i="6"/>
  <c r="BA100" i="6"/>
  <c r="BD100" i="6"/>
  <c r="AB100" i="6"/>
  <c r="BB100" i="6"/>
  <c r="BF100" i="6"/>
  <c r="AE100" i="6"/>
  <c r="AM100" i="6"/>
  <c r="AD100" i="6"/>
  <c r="AH100" i="6"/>
  <c r="BG100" i="6"/>
  <c r="AY100" i="6"/>
  <c r="AO100" i="6"/>
  <c r="AS100" i="6"/>
  <c r="AX100" i="6"/>
  <c r="AZ100" i="6"/>
  <c r="AK100" i="6"/>
  <c r="A101" i="6"/>
  <c r="K100" i="12"/>
  <c r="J101" i="12" a="1"/>
  <c r="J101" i="12" s="1"/>
  <c r="L101" i="12" a="1"/>
  <c r="L101" i="12" s="1"/>
  <c r="B102" i="5"/>
  <c r="N102" i="5"/>
  <c r="D102" i="6" s="1"/>
  <c r="H102" i="6" s="1"/>
  <c r="J102" i="5"/>
  <c r="K102" i="5"/>
  <c r="AE102" i="5"/>
  <c r="H102" i="5"/>
  <c r="AD102" i="5"/>
  <c r="G102" i="5"/>
  <c r="F102" i="5"/>
  <c r="A102" i="12"/>
  <c r="E102" i="5"/>
  <c r="C103" i="5"/>
  <c r="B102" i="6"/>
  <c r="D102" i="5"/>
  <c r="B102" i="12" s="1"/>
  <c r="N100" i="6"/>
  <c r="AF100" i="6"/>
  <c r="AI100" i="6"/>
  <c r="B34" i="10"/>
  <c r="G100" i="12"/>
  <c r="B33" i="7"/>
  <c r="C34" i="7" a="1"/>
  <c r="C34" i="7" s="1"/>
  <c r="B34" i="9"/>
  <c r="U101" i="8"/>
  <c r="K101" i="12" l="1"/>
  <c r="A102" i="6"/>
  <c r="N102" i="6" s="1"/>
  <c r="G102" i="6"/>
  <c r="J102" i="12" a="1"/>
  <c r="J102" i="12" s="1"/>
  <c r="L102" i="12" a="1"/>
  <c r="L102" i="12" s="1"/>
  <c r="H103" i="5"/>
  <c r="E103" i="5"/>
  <c r="N103" i="5"/>
  <c r="D103" i="6" s="1"/>
  <c r="H103" i="6" s="1"/>
  <c r="K103" i="5"/>
  <c r="J103" i="5"/>
  <c r="B103" i="5"/>
  <c r="D103" i="5"/>
  <c r="B103" i="12" s="1"/>
  <c r="AE103" i="5"/>
  <c r="G103" i="5"/>
  <c r="A103" i="12"/>
  <c r="F103" i="5"/>
  <c r="B103" i="6"/>
  <c r="AD103" i="5"/>
  <c r="C104" i="5"/>
  <c r="N101" i="6"/>
  <c r="M101" i="6"/>
  <c r="T102" i="5"/>
  <c r="G101" i="12"/>
  <c r="B35" i="9"/>
  <c r="B34" i="7"/>
  <c r="C35" i="7" a="1"/>
  <c r="C35" i="7" s="1"/>
  <c r="B35" i="10"/>
  <c r="V101" i="8"/>
  <c r="M102" i="6" l="1"/>
  <c r="AE102" i="6" s="1"/>
  <c r="K102" i="12"/>
  <c r="A103" i="6"/>
  <c r="M103" i="6" s="1"/>
  <c r="AG103" i="6" s="1"/>
  <c r="G103" i="6"/>
  <c r="AP101" i="6"/>
  <c r="BF101" i="6"/>
  <c r="AQ101" i="6"/>
  <c r="BE101" i="6"/>
  <c r="AY101" i="6"/>
  <c r="BB101" i="6"/>
  <c r="AT101" i="6"/>
  <c r="AX101" i="6"/>
  <c r="AV101" i="6"/>
  <c r="AU101" i="6"/>
  <c r="AM101" i="6"/>
  <c r="AR101" i="6"/>
  <c r="AN101" i="6"/>
  <c r="AI101" i="6"/>
  <c r="BC101" i="6"/>
  <c r="AZ101" i="6"/>
  <c r="AJ101" i="6"/>
  <c r="AG101" i="6"/>
  <c r="AC101" i="6"/>
  <c r="AD101" i="6"/>
  <c r="AB101" i="6"/>
  <c r="BA101" i="6"/>
  <c r="BD101" i="6"/>
  <c r="AO101" i="6"/>
  <c r="AK101" i="6"/>
  <c r="AH101" i="6"/>
  <c r="AE101" i="6"/>
  <c r="BG101" i="6"/>
  <c r="AS101" i="6"/>
  <c r="AF101" i="6"/>
  <c r="E104" i="5"/>
  <c r="G104" i="5"/>
  <c r="AD104" i="5"/>
  <c r="J104" i="5"/>
  <c r="K104" i="5"/>
  <c r="A104" i="12"/>
  <c r="C105" i="5"/>
  <c r="N104" i="5"/>
  <c r="D104" i="6" s="1"/>
  <c r="G104" i="6" s="1"/>
  <c r="AE104" i="5"/>
  <c r="B104" i="6"/>
  <c r="H104" i="5"/>
  <c r="B104" i="5"/>
  <c r="F104" i="5"/>
  <c r="D104" i="5"/>
  <c r="B104" i="12" s="1"/>
  <c r="J103" i="12" a="1"/>
  <c r="J103" i="12" s="1"/>
  <c r="L103" i="12" a="1"/>
  <c r="L103" i="12" s="1"/>
  <c r="B36" i="10"/>
  <c r="G102" i="12"/>
  <c r="C36" i="7" a="1"/>
  <c r="C36" i="7" s="1"/>
  <c r="B35" i="7"/>
  <c r="B36" i="9"/>
  <c r="T103" i="5"/>
  <c r="W101" i="8"/>
  <c r="D1" i="2"/>
  <c r="AI102" i="6" l="1"/>
  <c r="AV102" i="6"/>
  <c r="BG102" i="6"/>
  <c r="AU102" i="6"/>
  <c r="BC102" i="6"/>
  <c r="BB102" i="6"/>
  <c r="AS102" i="6"/>
  <c r="AN102" i="6"/>
  <c r="AY102" i="6"/>
  <c r="AC102" i="6"/>
  <c r="AM102" i="6"/>
  <c r="AH102" i="6"/>
  <c r="AD102" i="6"/>
  <c r="BD102" i="6"/>
  <c r="AZ102" i="6"/>
  <c r="AT102" i="6"/>
  <c r="AB102" i="6"/>
  <c r="AP102" i="6"/>
  <c r="BA102" i="6"/>
  <c r="BE102" i="6"/>
  <c r="AJ102" i="6"/>
  <c r="AK102" i="6"/>
  <c r="AR102" i="6"/>
  <c r="AX102" i="6"/>
  <c r="BF102" i="6"/>
  <c r="AF102" i="6"/>
  <c r="AO102" i="6"/>
  <c r="AG102" i="6"/>
  <c r="AQ102" i="6"/>
  <c r="N103" i="6"/>
  <c r="K103" i="12"/>
  <c r="H104" i="6"/>
  <c r="T104" i="5" s="1"/>
  <c r="A104" i="6"/>
  <c r="M104" i="6" s="1"/>
  <c r="AP104" i="6" s="1"/>
  <c r="J104" i="12" a="1"/>
  <c r="J104" i="12" s="1"/>
  <c r="L104" i="12" a="1"/>
  <c r="L104" i="12" s="1"/>
  <c r="AE105" i="5"/>
  <c r="A105" i="12"/>
  <c r="F105" i="5"/>
  <c r="D105" i="5"/>
  <c r="B105" i="12" s="1"/>
  <c r="B105" i="5"/>
  <c r="B105" i="6"/>
  <c r="N105" i="5"/>
  <c r="D105" i="6" s="1"/>
  <c r="H105" i="6" s="1"/>
  <c r="AD105" i="5"/>
  <c r="K105" i="5"/>
  <c r="J105" i="5"/>
  <c r="G105" i="5"/>
  <c r="H105" i="5"/>
  <c r="E105" i="5"/>
  <c r="C106" i="5"/>
  <c r="AB103" i="6"/>
  <c r="G103" i="12"/>
  <c r="B37" i="9"/>
  <c r="B36" i="7"/>
  <c r="C37" i="7" a="1"/>
  <c r="C37" i="7" s="1"/>
  <c r="B37" i="10"/>
  <c r="AX103" i="6"/>
  <c r="AI103" i="6"/>
  <c r="AK103" i="6"/>
  <c r="AV103" i="6"/>
  <c r="AE103" i="6"/>
  <c r="AP103" i="6"/>
  <c r="AH103" i="6"/>
  <c r="AU103" i="6"/>
  <c r="AR103" i="6"/>
  <c r="BE103" i="6"/>
  <c r="AD103" i="6"/>
  <c r="AO103" i="6"/>
  <c r="AQ103" i="6"/>
  <c r="AS103" i="6"/>
  <c r="BD103" i="6"/>
  <c r="BC103" i="6"/>
  <c r="BB103" i="6"/>
  <c r="AM103" i="6"/>
  <c r="AY103" i="6"/>
  <c r="BA103" i="6"/>
  <c r="AJ103" i="6"/>
  <c r="AN103" i="6"/>
  <c r="BF103" i="6"/>
  <c r="AZ103" i="6"/>
  <c r="BG103" i="6"/>
  <c r="AT103" i="6"/>
  <c r="AF103" i="6"/>
  <c r="AC103" i="6"/>
  <c r="X101" i="8"/>
  <c r="AC104" i="6" l="1"/>
  <c r="AB104" i="6"/>
  <c r="AD104" i="6"/>
  <c r="BB104" i="6"/>
  <c r="A105" i="6"/>
  <c r="N105" i="6" s="1"/>
  <c r="AH104" i="6"/>
  <c r="AZ104" i="6"/>
  <c r="BC104" i="6"/>
  <c r="AF104" i="6"/>
  <c r="AR104" i="6"/>
  <c r="BG104" i="6"/>
  <c r="AO104" i="6"/>
  <c r="BA104" i="6"/>
  <c r="AK104" i="6"/>
  <c r="AM104" i="6"/>
  <c r="AY104" i="6"/>
  <c r="K104" i="12"/>
  <c r="AJ104" i="6"/>
  <c r="AI104" i="6"/>
  <c r="AG104" i="6"/>
  <c r="AU104" i="6"/>
  <c r="AX104" i="6"/>
  <c r="AE104" i="6"/>
  <c r="BF104" i="6"/>
  <c r="AN104" i="6"/>
  <c r="BE104" i="6"/>
  <c r="AV104" i="6"/>
  <c r="AS104" i="6"/>
  <c r="N104" i="6"/>
  <c r="AT104" i="6"/>
  <c r="BD104" i="6"/>
  <c r="AQ104" i="6"/>
  <c r="G105" i="6"/>
  <c r="D106" i="5"/>
  <c r="B106" i="12" s="1"/>
  <c r="K106" i="5"/>
  <c r="AD106" i="5"/>
  <c r="H106" i="5"/>
  <c r="J106" i="5"/>
  <c r="A106" i="12"/>
  <c r="N106" i="5"/>
  <c r="D106" i="6" s="1"/>
  <c r="G106" i="6" s="1"/>
  <c r="E106" i="5"/>
  <c r="B106" i="6"/>
  <c r="C107" i="5"/>
  <c r="F106" i="5"/>
  <c r="AE106" i="5"/>
  <c r="B106" i="5"/>
  <c r="G106" i="5"/>
  <c r="J105" i="12" a="1"/>
  <c r="J105" i="12" s="1"/>
  <c r="L105" i="12" a="1"/>
  <c r="L105" i="12" s="1"/>
  <c r="C38" i="7" a="1"/>
  <c r="C38" i="7" s="1"/>
  <c r="B37" i="7"/>
  <c r="T105" i="5"/>
  <c r="M105" i="6"/>
  <c r="AH105" i="6" s="1"/>
  <c r="B38" i="10"/>
  <c r="G104" i="12"/>
  <c r="B38" i="9"/>
  <c r="Y101" i="8"/>
  <c r="A106" i="6" l="1"/>
  <c r="M106" i="6" s="1"/>
  <c r="K105" i="12"/>
  <c r="H106" i="6"/>
  <c r="T106" i="5" s="1"/>
  <c r="E107" i="5"/>
  <c r="D107" i="5"/>
  <c r="B107" i="12" s="1"/>
  <c r="AD107" i="5"/>
  <c r="K107" i="5"/>
  <c r="B107" i="5"/>
  <c r="H107" i="5"/>
  <c r="F107" i="5"/>
  <c r="A107" i="12"/>
  <c r="B107" i="6"/>
  <c r="C108" i="5"/>
  <c r="N107" i="5"/>
  <c r="D107" i="6" s="1"/>
  <c r="G107" i="6" s="1"/>
  <c r="AE107" i="5"/>
  <c r="J107" i="5"/>
  <c r="G107" i="5"/>
  <c r="J106" i="12" a="1"/>
  <c r="J106" i="12" s="1"/>
  <c r="L106" i="12" a="1"/>
  <c r="L106" i="12" s="1"/>
  <c r="AC105" i="6"/>
  <c r="AB105" i="6"/>
  <c r="AG105" i="6"/>
  <c r="AI105" i="6"/>
  <c r="B39" i="9"/>
  <c r="B39" i="10"/>
  <c r="BE105" i="6"/>
  <c r="AM105" i="6"/>
  <c r="AY105" i="6"/>
  <c r="BG105" i="6"/>
  <c r="AQ105" i="6"/>
  <c r="AV105" i="6"/>
  <c r="AT105" i="6"/>
  <c r="AS105" i="6"/>
  <c r="BF105" i="6"/>
  <c r="AP105" i="6"/>
  <c r="BC105" i="6"/>
  <c r="AO105" i="6"/>
  <c r="BD105" i="6"/>
  <c r="AR105" i="6"/>
  <c r="AN105" i="6"/>
  <c r="BA105" i="6"/>
  <c r="BB105" i="6"/>
  <c r="AF105" i="6"/>
  <c r="AZ105" i="6"/>
  <c r="AU105" i="6"/>
  <c r="AX105" i="6"/>
  <c r="AK105" i="6"/>
  <c r="AD105" i="6"/>
  <c r="AJ105" i="6"/>
  <c r="AE105" i="6"/>
  <c r="G105" i="12"/>
  <c r="C39" i="7" a="1"/>
  <c r="C39" i="7" s="1"/>
  <c r="B38" i="7"/>
  <c r="Z101" i="8"/>
  <c r="N106" i="6" l="1"/>
  <c r="K106" i="12"/>
  <c r="BA106" i="6"/>
  <c r="AF106" i="6"/>
  <c r="BG106" i="6"/>
  <c r="AY106" i="6"/>
  <c r="AT106" i="6"/>
  <c r="AO106" i="6"/>
  <c r="BD106" i="6"/>
  <c r="BE106" i="6"/>
  <c r="AJ106" i="6"/>
  <c r="BC106" i="6"/>
  <c r="AC106" i="6"/>
  <c r="AD106" i="6"/>
  <c r="AG106" i="6"/>
  <c r="BB106" i="6"/>
  <c r="AQ106" i="6"/>
  <c r="H107" i="6"/>
  <c r="T107" i="5" s="1"/>
  <c r="AE106" i="6"/>
  <c r="BF106" i="6"/>
  <c r="AI106" i="6"/>
  <c r="AS106" i="6"/>
  <c r="AH106" i="6"/>
  <c r="AZ106" i="6"/>
  <c r="AM106" i="6"/>
  <c r="AU106" i="6"/>
  <c r="A107" i="6"/>
  <c r="AP106" i="6"/>
  <c r="AE108" i="5"/>
  <c r="AD108" i="5"/>
  <c r="H108" i="5"/>
  <c r="D108" i="5"/>
  <c r="B108" i="12" s="1"/>
  <c r="A108" i="12"/>
  <c r="E108" i="5"/>
  <c r="N108" i="5"/>
  <c r="D108" i="6" s="1"/>
  <c r="F108" i="5"/>
  <c r="B108" i="6"/>
  <c r="G108" i="5"/>
  <c r="B108" i="5"/>
  <c r="C109" i="5"/>
  <c r="J108" i="5"/>
  <c r="K108" i="5"/>
  <c r="AN106" i="6"/>
  <c r="AK106" i="6"/>
  <c r="L107" i="12" a="1"/>
  <c r="L107" i="12" s="1"/>
  <c r="J107" i="12" a="1"/>
  <c r="J107" i="12" s="1"/>
  <c r="AB106" i="6"/>
  <c r="AR106" i="6"/>
  <c r="AX106" i="6"/>
  <c r="AV106" i="6"/>
  <c r="B40" i="10"/>
  <c r="G106" i="12"/>
  <c r="B39" i="7"/>
  <c r="C40" i="7" a="1"/>
  <c r="C40" i="7" s="1"/>
  <c r="B40" i="9"/>
  <c r="AA101" i="8"/>
  <c r="K107" i="12" l="1"/>
  <c r="F109" i="5"/>
  <c r="A109" i="12"/>
  <c r="E109" i="5"/>
  <c r="B109" i="6"/>
  <c r="AE109" i="5"/>
  <c r="B109" i="5"/>
  <c r="AD109" i="5"/>
  <c r="D109" i="5"/>
  <c r="B109" i="12" s="1"/>
  <c r="K109" i="5"/>
  <c r="C110" i="5"/>
  <c r="N109" i="5"/>
  <c r="D109" i="6" s="1"/>
  <c r="H109" i="6" s="1"/>
  <c r="J109" i="5"/>
  <c r="H109" i="5"/>
  <c r="G109" i="5"/>
  <c r="J108" i="12" a="1"/>
  <c r="J108" i="12" s="1"/>
  <c r="L108" i="12" a="1"/>
  <c r="L108" i="12" s="1"/>
  <c r="G108" i="6"/>
  <c r="N107" i="6"/>
  <c r="M107" i="6"/>
  <c r="H108" i="6"/>
  <c r="A108" i="6"/>
  <c r="N108" i="6" s="1"/>
  <c r="B41" i="10"/>
  <c r="B40" i="7"/>
  <c r="C41" i="7" a="1"/>
  <c r="C41" i="7" s="1"/>
  <c r="G107" i="12"/>
  <c r="B41" i="9"/>
  <c r="AB101" i="8"/>
  <c r="K108" i="12" l="1"/>
  <c r="G109" i="6"/>
  <c r="E110" i="5"/>
  <c r="D110" i="5"/>
  <c r="B110" i="12" s="1"/>
  <c r="C111" i="5"/>
  <c r="H110" i="5"/>
  <c r="A110" i="12"/>
  <c r="AE110" i="5"/>
  <c r="G110" i="5"/>
  <c r="B110" i="6"/>
  <c r="K110" i="5"/>
  <c r="J110" i="5"/>
  <c r="F110" i="5"/>
  <c r="B110" i="5"/>
  <c r="AD110" i="5"/>
  <c r="N110" i="5"/>
  <c r="D110" i="6" s="1"/>
  <c r="H110" i="6" s="1"/>
  <c r="AU107" i="6"/>
  <c r="AM107" i="6"/>
  <c r="BB107" i="6"/>
  <c r="AR107" i="6"/>
  <c r="BD107" i="6"/>
  <c r="AO107" i="6"/>
  <c r="AH107" i="6"/>
  <c r="AJ107" i="6"/>
  <c r="BG107" i="6"/>
  <c r="AI107" i="6"/>
  <c r="AQ107" i="6"/>
  <c r="BC107" i="6"/>
  <c r="AK107" i="6"/>
  <c r="AX107" i="6"/>
  <c r="AZ107" i="6"/>
  <c r="AE107" i="6"/>
  <c r="AV107" i="6"/>
  <c r="AY107" i="6"/>
  <c r="AC107" i="6"/>
  <c r="BA107" i="6"/>
  <c r="AD107" i="6"/>
  <c r="AN107" i="6"/>
  <c r="AG107" i="6"/>
  <c r="BE107" i="6"/>
  <c r="AS107" i="6"/>
  <c r="BF107" i="6"/>
  <c r="AP107" i="6"/>
  <c r="AB107" i="6"/>
  <c r="AF107" i="6"/>
  <c r="AT107" i="6"/>
  <c r="J109" i="12" a="1"/>
  <c r="J109" i="12" s="1"/>
  <c r="L109" i="12" a="1"/>
  <c r="L109" i="12" s="1"/>
  <c r="T108" i="5"/>
  <c r="G108" i="12" s="1"/>
  <c r="A109" i="6"/>
  <c r="M108" i="6"/>
  <c r="AC108" i="6" s="1"/>
  <c r="T109" i="5"/>
  <c r="C42" i="7" a="1"/>
  <c r="C42" i="7" s="1"/>
  <c r="B41" i="7"/>
  <c r="B42" i="9"/>
  <c r="B42" i="10"/>
  <c r="AC101" i="8"/>
  <c r="G110" i="6" l="1"/>
  <c r="A110" i="6"/>
  <c r="N110" i="6" s="1"/>
  <c r="AS108" i="6"/>
  <c r="BG108" i="6"/>
  <c r="AX108" i="6"/>
  <c r="AZ108" i="6"/>
  <c r="AM108" i="6"/>
  <c r="BE108" i="6"/>
  <c r="BB108" i="6"/>
  <c r="AN108" i="6"/>
  <c r="AR108" i="6"/>
  <c r="AQ108" i="6"/>
  <c r="BA108" i="6"/>
  <c r="AP108" i="6"/>
  <c r="AY108" i="6"/>
  <c r="AT108" i="6"/>
  <c r="BC108" i="6"/>
  <c r="AV108" i="6"/>
  <c r="AO108" i="6"/>
  <c r="BF108" i="6"/>
  <c r="BD108" i="6"/>
  <c r="AU108" i="6"/>
  <c r="K109" i="12"/>
  <c r="J110" i="12" a="1"/>
  <c r="J110" i="12" s="1"/>
  <c r="L110" i="12" a="1"/>
  <c r="L110" i="12" s="1"/>
  <c r="AJ108" i="6"/>
  <c r="AG108" i="6"/>
  <c r="AH108" i="6"/>
  <c r="F111" i="5"/>
  <c r="B111" i="5"/>
  <c r="J111" i="5"/>
  <c r="E111" i="5"/>
  <c r="N111" i="5"/>
  <c r="D111" i="6" s="1"/>
  <c r="G111" i="6" s="1"/>
  <c r="C112" i="5"/>
  <c r="AD111" i="5"/>
  <c r="H111" i="5"/>
  <c r="K111" i="5"/>
  <c r="B111" i="6"/>
  <c r="D111" i="5"/>
  <c r="B111" i="12" s="1"/>
  <c r="G111" i="5"/>
  <c r="AE111" i="5"/>
  <c r="A111" i="12"/>
  <c r="N109" i="6"/>
  <c r="M109" i="6"/>
  <c r="AI108" i="6"/>
  <c r="AK108" i="6"/>
  <c r="AD108" i="6"/>
  <c r="AF108" i="6"/>
  <c r="AE108" i="6"/>
  <c r="AB108" i="6"/>
  <c r="T110" i="5"/>
  <c r="G109" i="12"/>
  <c r="B43" i="9"/>
  <c r="B43" i="10"/>
  <c r="C43" i="7" a="1"/>
  <c r="C43" i="7" s="1"/>
  <c r="B42" i="7"/>
  <c r="AD101" i="8"/>
  <c r="M110" i="6" l="1"/>
  <c r="AH110" i="6" s="1"/>
  <c r="H111" i="6"/>
  <c r="T111" i="5" s="1"/>
  <c r="A111" i="6"/>
  <c r="N111" i="6" s="1"/>
  <c r="K110" i="12"/>
  <c r="B112" i="5"/>
  <c r="J112" i="5"/>
  <c r="B112" i="6"/>
  <c r="E112" i="5"/>
  <c r="A112" i="12"/>
  <c r="N112" i="5"/>
  <c r="D112" i="6" s="1"/>
  <c r="H112" i="6" s="1"/>
  <c r="AE112" i="5"/>
  <c r="G112" i="5"/>
  <c r="AD112" i="5"/>
  <c r="K112" i="5"/>
  <c r="C113" i="5"/>
  <c r="D112" i="5"/>
  <c r="B112" i="12" s="1"/>
  <c r="H112" i="5"/>
  <c r="F112" i="5"/>
  <c r="AP109" i="6"/>
  <c r="BF109" i="6"/>
  <c r="AX109" i="6"/>
  <c r="AJ109" i="6"/>
  <c r="AU109" i="6"/>
  <c r="AT109" i="6"/>
  <c r="AG109" i="6"/>
  <c r="AE109" i="6"/>
  <c r="AD109" i="6"/>
  <c r="AV109" i="6"/>
  <c r="AZ109" i="6"/>
  <c r="AM109" i="6"/>
  <c r="AK109" i="6"/>
  <c r="BC109" i="6"/>
  <c r="AI109" i="6"/>
  <c r="BD109" i="6"/>
  <c r="BE109" i="6"/>
  <c r="AY109" i="6"/>
  <c r="AO109" i="6"/>
  <c r="BA109" i="6"/>
  <c r="AR109" i="6"/>
  <c r="AS109" i="6"/>
  <c r="AC109" i="6"/>
  <c r="AF109" i="6"/>
  <c r="AQ109" i="6"/>
  <c r="AB109" i="6"/>
  <c r="BB109" i="6"/>
  <c r="AN109" i="6"/>
  <c r="BG109" i="6"/>
  <c r="AH109" i="6"/>
  <c r="J111" i="12" a="1"/>
  <c r="J111" i="12" s="1"/>
  <c r="L111" i="12" a="1"/>
  <c r="L111" i="12" s="1"/>
  <c r="B44" i="9"/>
  <c r="B43" i="7"/>
  <c r="C44" i="7" a="1"/>
  <c r="C44" i="7" s="1"/>
  <c r="B44" i="10"/>
  <c r="G110" i="12"/>
  <c r="AE101" i="8"/>
  <c r="BA110" i="6" l="1"/>
  <c r="AD110" i="6"/>
  <c r="AE110" i="6"/>
  <c r="BE110" i="6"/>
  <c r="AI110" i="6"/>
  <c r="AZ110" i="6"/>
  <c r="AV110" i="6"/>
  <c r="AM110" i="6"/>
  <c r="AC110" i="6"/>
  <c r="BC110" i="6"/>
  <c r="AX110" i="6"/>
  <c r="BG110" i="6"/>
  <c r="AR110" i="6"/>
  <c r="BB110" i="6"/>
  <c r="AY110" i="6"/>
  <c r="AT110" i="6"/>
  <c r="AP110" i="6"/>
  <c r="AS110" i="6"/>
  <c r="AJ110" i="6"/>
  <c r="BD110" i="6"/>
  <c r="AB110" i="6"/>
  <c r="AN110" i="6"/>
  <c r="AQ110" i="6"/>
  <c r="AO110" i="6"/>
  <c r="BF110" i="6"/>
  <c r="AF110" i="6"/>
  <c r="AU110" i="6"/>
  <c r="AG110" i="6"/>
  <c r="AK110" i="6"/>
  <c r="M111" i="6"/>
  <c r="AT111" i="6" s="1"/>
  <c r="K111" i="12"/>
  <c r="G112" i="6"/>
  <c r="J112" i="12" a="1"/>
  <c r="J112" i="12" s="1"/>
  <c r="L112" i="12" a="1"/>
  <c r="L112" i="12" s="1"/>
  <c r="A112" i="6"/>
  <c r="H113" i="5"/>
  <c r="K113" i="5"/>
  <c r="E113" i="5"/>
  <c r="J113" i="5"/>
  <c r="D113" i="5"/>
  <c r="B113" i="12" s="1"/>
  <c r="N113" i="5"/>
  <c r="D113" i="6" s="1"/>
  <c r="H113" i="6" s="1"/>
  <c r="A113" i="12"/>
  <c r="B113" i="5"/>
  <c r="C114" i="5"/>
  <c r="F113" i="5"/>
  <c r="B113" i="6"/>
  <c r="G113" i="5"/>
  <c r="AE113" i="5"/>
  <c r="AD113" i="5"/>
  <c r="T112" i="5"/>
  <c r="B44" i="7"/>
  <c r="C45" i="7" a="1"/>
  <c r="C45" i="7" s="1"/>
  <c r="G111" i="12"/>
  <c r="B45" i="10"/>
  <c r="B45" i="9"/>
  <c r="AF101" i="8"/>
  <c r="AX111" i="6" l="1"/>
  <c r="AH111" i="6"/>
  <c r="AJ111" i="6"/>
  <c r="AO111" i="6"/>
  <c r="AK111" i="6"/>
  <c r="AV111" i="6"/>
  <c r="AM111" i="6"/>
  <c r="AR111" i="6"/>
  <c r="AF111" i="6"/>
  <c r="AN111" i="6"/>
  <c r="BD111" i="6"/>
  <c r="AC111" i="6"/>
  <c r="BG111" i="6"/>
  <c r="AP111" i="6"/>
  <c r="AD111" i="6"/>
  <c r="BC111" i="6"/>
  <c r="BF111" i="6"/>
  <c r="AU111" i="6"/>
  <c r="BA111" i="6"/>
  <c r="BB111" i="6"/>
  <c r="AY111" i="6"/>
  <c r="BE111" i="6"/>
  <c r="AS111" i="6"/>
  <c r="AG111" i="6"/>
  <c r="AB111" i="6"/>
  <c r="AI111" i="6"/>
  <c r="AZ111" i="6"/>
  <c r="AQ111" i="6"/>
  <c r="AE111" i="6"/>
  <c r="K112" i="12"/>
  <c r="A113" i="6"/>
  <c r="M113" i="6" s="1"/>
  <c r="AH113" i="6" s="1"/>
  <c r="J113" i="12" a="1"/>
  <c r="J113" i="12" s="1"/>
  <c r="L113" i="12" a="1"/>
  <c r="L113" i="12" s="1"/>
  <c r="G113" i="6"/>
  <c r="N114" i="5"/>
  <c r="D114" i="6" s="1"/>
  <c r="H114" i="6" s="1"/>
  <c r="J114" i="5"/>
  <c r="K114" i="5"/>
  <c r="D114" i="5"/>
  <c r="B114" i="12" s="1"/>
  <c r="AE114" i="5"/>
  <c r="E114" i="5"/>
  <c r="H114" i="5"/>
  <c r="AD114" i="5"/>
  <c r="A114" i="12"/>
  <c r="G114" i="5"/>
  <c r="F114" i="5"/>
  <c r="B114" i="6"/>
  <c r="B114" i="5"/>
  <c r="C115" i="5" s="1"/>
  <c r="M112" i="6"/>
  <c r="N112" i="6"/>
  <c r="G112" i="12"/>
  <c r="T113" i="5"/>
  <c r="B46" i="9"/>
  <c r="B46" i="10"/>
  <c r="C46" i="7" a="1"/>
  <c r="C46" i="7" s="1"/>
  <c r="B45" i="7"/>
  <c r="T101" i="8"/>
  <c r="N113" i="6" l="1"/>
  <c r="K113" i="12"/>
  <c r="G114" i="6"/>
  <c r="A114" i="6"/>
  <c r="M114" i="6" s="1"/>
  <c r="AN114" i="6" s="1"/>
  <c r="J114" i="12" a="1"/>
  <c r="J114" i="12" s="1"/>
  <c r="L114" i="12" a="1"/>
  <c r="L114" i="12" s="1"/>
  <c r="AJ113" i="6"/>
  <c r="AF113" i="6"/>
  <c r="BB112" i="6"/>
  <c r="AM112" i="6"/>
  <c r="AU112" i="6"/>
  <c r="BF112" i="6"/>
  <c r="AR112" i="6"/>
  <c r="AF112" i="6"/>
  <c r="AI112" i="6"/>
  <c r="BD112" i="6"/>
  <c r="AP112" i="6"/>
  <c r="AJ112" i="6"/>
  <c r="AG112" i="6"/>
  <c r="BA112" i="6"/>
  <c r="AQ112" i="6"/>
  <c r="AK112" i="6"/>
  <c r="AD112" i="6"/>
  <c r="BE112" i="6"/>
  <c r="AH112" i="6"/>
  <c r="AX112" i="6"/>
  <c r="AO112" i="6"/>
  <c r="AY112" i="6"/>
  <c r="AE112" i="6"/>
  <c r="AB112" i="6"/>
  <c r="AT112" i="6"/>
  <c r="AZ112" i="6"/>
  <c r="AS112" i="6"/>
  <c r="AV112" i="6"/>
  <c r="BG112" i="6"/>
  <c r="AC112" i="6"/>
  <c r="AN112" i="6"/>
  <c r="BC112" i="6"/>
  <c r="A115" i="12"/>
  <c r="AD115" i="5"/>
  <c r="B115" i="6"/>
  <c r="G115" i="5"/>
  <c r="I115" i="5"/>
  <c r="AE115" i="5"/>
  <c r="C116" i="5"/>
  <c r="H115" i="5"/>
  <c r="E115" i="5"/>
  <c r="N115" i="5"/>
  <c r="D115" i="6" s="1"/>
  <c r="W115" i="5"/>
  <c r="H115" i="12" s="1"/>
  <c r="B115" i="5"/>
  <c r="F115" i="5"/>
  <c r="G113" i="12"/>
  <c r="C47" i="7" a="1"/>
  <c r="C47" i="7" s="1"/>
  <c r="B46" i="7"/>
  <c r="T114" i="5"/>
  <c r="AZ113" i="6"/>
  <c r="AR113" i="6"/>
  <c r="BE113" i="6"/>
  <c r="AU113" i="6"/>
  <c r="BG113" i="6"/>
  <c r="AP113" i="6"/>
  <c r="AT113" i="6"/>
  <c r="AY113" i="6"/>
  <c r="AN113" i="6"/>
  <c r="BC113" i="6"/>
  <c r="AE113" i="6"/>
  <c r="AO113" i="6"/>
  <c r="AX113" i="6"/>
  <c r="BD113" i="6"/>
  <c r="AI113" i="6"/>
  <c r="BF113" i="6"/>
  <c r="BB113" i="6"/>
  <c r="AV113" i="6"/>
  <c r="AQ113" i="6"/>
  <c r="AD113" i="6"/>
  <c r="BA113" i="6"/>
  <c r="AM113" i="6"/>
  <c r="AS113" i="6"/>
  <c r="B47" i="10"/>
  <c r="AB113" i="6"/>
  <c r="AK113" i="6"/>
  <c r="AG113" i="6"/>
  <c r="AC113" i="6"/>
  <c r="B47" i="9"/>
  <c r="AZ114" i="6" l="1"/>
  <c r="AQ114" i="6"/>
  <c r="AS114" i="6"/>
  <c r="AO114" i="6"/>
  <c r="AE114" i="6"/>
  <c r="BC114" i="6"/>
  <c r="AT114" i="6"/>
  <c r="BE114" i="6"/>
  <c r="AD114" i="6"/>
  <c r="BG114" i="6"/>
  <c r="AU114" i="6"/>
  <c r="BB114" i="6"/>
  <c r="AF114" i="6"/>
  <c r="AB114" i="6"/>
  <c r="N114" i="6"/>
  <c r="AG114" i="6"/>
  <c r="AM114" i="6"/>
  <c r="BD114" i="6"/>
  <c r="AI114" i="6"/>
  <c r="AJ114" i="6"/>
  <c r="AH114" i="6"/>
  <c r="AC114" i="6"/>
  <c r="AK114" i="6"/>
  <c r="AR114" i="6"/>
  <c r="AV114" i="6"/>
  <c r="AP114" i="6"/>
  <c r="AX114" i="6"/>
  <c r="AY114" i="6"/>
  <c r="BF114" i="6"/>
  <c r="BA114" i="6"/>
  <c r="G115" i="6"/>
  <c r="M115" i="6"/>
  <c r="AT115" i="6" s="1"/>
  <c r="AE116" i="5"/>
  <c r="B116" i="5"/>
  <c r="AD116" i="5"/>
  <c r="C117" i="5"/>
  <c r="N116" i="5"/>
  <c r="D116" i="6" s="1"/>
  <c r="K116" i="5"/>
  <c r="F116" i="5"/>
  <c r="H116" i="5"/>
  <c r="E116" i="5"/>
  <c r="A116" i="12"/>
  <c r="G116" i="5"/>
  <c r="B116" i="6"/>
  <c r="J116" i="5"/>
  <c r="D116" i="5"/>
  <c r="B116" i="12" s="1"/>
  <c r="N115" i="6"/>
  <c r="J115" i="6" a="1"/>
  <c r="J115" i="6" s="1"/>
  <c r="A115" i="6"/>
  <c r="K114" i="12"/>
  <c r="H115" i="6"/>
  <c r="T115" i="5" s="1"/>
  <c r="G115" i="12" s="1"/>
  <c r="B48" i="9"/>
  <c r="B47" i="7"/>
  <c r="C48" i="7" a="1"/>
  <c r="C48" i="7" s="1"/>
  <c r="B48" i="10"/>
  <c r="G114" i="12"/>
  <c r="AN115" i="6" l="1"/>
  <c r="AY115" i="6"/>
  <c r="AR115" i="6"/>
  <c r="AM115" i="6"/>
  <c r="BB115" i="6"/>
  <c r="AP115" i="6"/>
  <c r="AZ115" i="6"/>
  <c r="A116" i="6"/>
  <c r="N116" i="6" s="1"/>
  <c r="AQ115" i="6"/>
  <c r="AS115" i="6"/>
  <c r="AU115" i="6"/>
  <c r="AV115" i="6"/>
  <c r="AB115" i="6"/>
  <c r="AX115" i="6"/>
  <c r="AF115" i="6"/>
  <c r="AO115" i="6"/>
  <c r="BF115" i="6"/>
  <c r="AE115" i="6"/>
  <c r="AI115" i="6"/>
  <c r="AJ115" i="6"/>
  <c r="AH115" i="6"/>
  <c r="BC115" i="6"/>
  <c r="AD115" i="6"/>
  <c r="BE115" i="6"/>
  <c r="AK115" i="6"/>
  <c r="AG115" i="6"/>
  <c r="AC115" i="6"/>
  <c r="AE117" i="5"/>
  <c r="AD117" i="5"/>
  <c r="A117" i="12"/>
  <c r="F117" i="5"/>
  <c r="N117" i="5"/>
  <c r="D117" i="6" s="1"/>
  <c r="G117" i="6" s="1"/>
  <c r="D117" i="5"/>
  <c r="B117" i="12" s="1"/>
  <c r="B117" i="6"/>
  <c r="B117" i="5"/>
  <c r="K117" i="5"/>
  <c r="J117" i="5"/>
  <c r="E117" i="5"/>
  <c r="G117" i="5"/>
  <c r="H117" i="5"/>
  <c r="C118" i="5"/>
  <c r="H116" i="6"/>
  <c r="T116" i="5" s="1"/>
  <c r="J116" i="12" a="1"/>
  <c r="J116" i="12" s="1"/>
  <c r="L116" i="12" a="1"/>
  <c r="L116" i="12" s="1"/>
  <c r="BA115" i="6"/>
  <c r="G116" i="6"/>
  <c r="BD115" i="6"/>
  <c r="BG115" i="6"/>
  <c r="C49" i="7" a="1"/>
  <c r="C49" i="7" s="1"/>
  <c r="B48" i="7"/>
  <c r="B49" i="9"/>
  <c r="B49" i="10"/>
  <c r="M116" i="6" l="1"/>
  <c r="AQ116" i="6" s="1"/>
  <c r="K116" i="12"/>
  <c r="A117" i="6"/>
  <c r="N117" i="6" s="1"/>
  <c r="J117" i="12" a="1"/>
  <c r="J117" i="12" s="1"/>
  <c r="L117" i="12" a="1"/>
  <c r="L117" i="12" s="1"/>
  <c r="H117" i="6"/>
  <c r="F118" i="5"/>
  <c r="D118" i="5"/>
  <c r="B118" i="12" s="1"/>
  <c r="E118" i="5"/>
  <c r="B118" i="5"/>
  <c r="C119" i="5"/>
  <c r="AE118" i="5"/>
  <c r="K118" i="5"/>
  <c r="B118" i="6"/>
  <c r="AD118" i="5"/>
  <c r="J118" i="5"/>
  <c r="H118" i="5"/>
  <c r="G118" i="5"/>
  <c r="A118" i="12"/>
  <c r="N118" i="5"/>
  <c r="D118" i="6" s="1"/>
  <c r="H118" i="6" s="1"/>
  <c r="B50" i="9"/>
  <c r="B50" i="10"/>
  <c r="G116" i="12"/>
  <c r="C50" i="7" a="1"/>
  <c r="C50" i="7" s="1"/>
  <c r="B49" i="7"/>
  <c r="AC12" i="13"/>
  <c r="AG12" i="13"/>
  <c r="AH12" i="13"/>
  <c r="AE12" i="13"/>
  <c r="AF12" i="13"/>
  <c r="AD12" i="13"/>
  <c r="AF116" i="6" l="1"/>
  <c r="BB116" i="6"/>
  <c r="AU116" i="6"/>
  <c r="AP116" i="6"/>
  <c r="AC116" i="6"/>
  <c r="AN116" i="6"/>
  <c r="AM116" i="6"/>
  <c r="BE116" i="6"/>
  <c r="AR116" i="6"/>
  <c r="BG116" i="6"/>
  <c r="AV116" i="6"/>
  <c r="BF116" i="6"/>
  <c r="AZ116" i="6"/>
  <c r="BA116" i="6"/>
  <c r="AH116" i="6"/>
  <c r="BC116" i="6"/>
  <c r="M117" i="6"/>
  <c r="AM117" i="6" s="1"/>
  <c r="AJ116" i="6"/>
  <c r="AK116" i="6"/>
  <c r="AX116" i="6"/>
  <c r="AD116" i="6"/>
  <c r="AS116" i="6"/>
  <c r="AE116" i="6"/>
  <c r="AB116" i="6"/>
  <c r="AO116" i="6"/>
  <c r="AI116" i="6"/>
  <c r="AG116" i="6"/>
  <c r="BD116" i="6"/>
  <c r="AT116" i="6"/>
  <c r="AY116" i="6"/>
  <c r="G118" i="6"/>
  <c r="K117" i="12"/>
  <c r="J118" i="12" a="1"/>
  <c r="J118" i="12" s="1"/>
  <c r="L118" i="12" a="1"/>
  <c r="L118" i="12" s="1"/>
  <c r="T117" i="5"/>
  <c r="G117" i="12" s="1"/>
  <c r="N119" i="5"/>
  <c r="D119" i="6" s="1"/>
  <c r="J119" i="5"/>
  <c r="H119" i="5"/>
  <c r="G119" i="5"/>
  <c r="C120" i="5"/>
  <c r="AE119" i="5"/>
  <c r="AD119" i="5"/>
  <c r="E119" i="5"/>
  <c r="B119" i="6"/>
  <c r="F119" i="5"/>
  <c r="D119" i="5"/>
  <c r="B119" i="12" s="1"/>
  <c r="K119" i="5"/>
  <c r="A119" i="12"/>
  <c r="B119" i="5"/>
  <c r="A118" i="6"/>
  <c r="T118" i="5"/>
  <c r="B51" i="9"/>
  <c r="B51" i="10"/>
  <c r="B50" i="7"/>
  <c r="C51" i="7" a="1"/>
  <c r="C51" i="7" s="1"/>
  <c r="AC117" i="6" l="1"/>
  <c r="AZ117" i="6"/>
  <c r="BD117" i="6"/>
  <c r="AN117" i="6"/>
  <c r="AU117" i="6"/>
  <c r="AT117" i="6"/>
  <c r="AV117" i="6"/>
  <c r="AR117" i="6"/>
  <c r="AX117" i="6"/>
  <c r="AQ117" i="6"/>
  <c r="AF117" i="6"/>
  <c r="BB117" i="6"/>
  <c r="AG117" i="6"/>
  <c r="BF117" i="6"/>
  <c r="AO117" i="6"/>
  <c r="AK117" i="6"/>
  <c r="BG117" i="6"/>
  <c r="BE117" i="6"/>
  <c r="AS117" i="6"/>
  <c r="AD117" i="6"/>
  <c r="BA117" i="6"/>
  <c r="AI117" i="6"/>
  <c r="AH117" i="6"/>
  <c r="AP117" i="6"/>
  <c r="AY117" i="6"/>
  <c r="BC117" i="6"/>
  <c r="AB117" i="6"/>
  <c r="AE117" i="6"/>
  <c r="AJ117" i="6"/>
  <c r="K118" i="12"/>
  <c r="M118" i="6"/>
  <c r="N118" i="6"/>
  <c r="K120" i="5"/>
  <c r="J120" i="5"/>
  <c r="A120" i="12"/>
  <c r="AE120" i="5"/>
  <c r="AD120" i="5"/>
  <c r="B120" i="6"/>
  <c r="C121" i="5"/>
  <c r="E120" i="5"/>
  <c r="F120" i="5"/>
  <c r="B120" i="5"/>
  <c r="N120" i="5"/>
  <c r="D120" i="6" s="1"/>
  <c r="H120" i="6" s="1"/>
  <c r="H120" i="5"/>
  <c r="G120" i="5"/>
  <c r="D120" i="5"/>
  <c r="B120" i="12" s="1"/>
  <c r="G119" i="6"/>
  <c r="L119" i="12" a="1"/>
  <c r="L119" i="12" s="1"/>
  <c r="J119" i="12" a="1"/>
  <c r="J119" i="12" s="1"/>
  <c r="H119" i="6"/>
  <c r="T119" i="5" s="1"/>
  <c r="A119" i="6"/>
  <c r="M119" i="6" s="1"/>
  <c r="BE119" i="6" s="1"/>
  <c r="B52" i="10"/>
  <c r="G118" i="12"/>
  <c r="B51" i="7"/>
  <c r="C52" i="7" a="1"/>
  <c r="C52" i="7" s="1"/>
  <c r="B52" i="9"/>
  <c r="M12" i="6" a="1"/>
  <c r="M12" i="6" s="1"/>
  <c r="G120" i="6" l="1"/>
  <c r="AU119" i="6"/>
  <c r="BG119" i="6"/>
  <c r="AK119" i="6"/>
  <c r="AH119" i="6"/>
  <c r="AB119" i="6"/>
  <c r="AR119" i="6"/>
  <c r="AZ119" i="6"/>
  <c r="AM119" i="6"/>
  <c r="BC119" i="6"/>
  <c r="AF119" i="6"/>
  <c r="AI119" i="6"/>
  <c r="BD119" i="6"/>
  <c r="K119" i="12"/>
  <c r="E121" i="5"/>
  <c r="D121" i="5"/>
  <c r="B121" i="12" s="1"/>
  <c r="H121" i="5"/>
  <c r="K121" i="5"/>
  <c r="G121" i="5"/>
  <c r="J121" i="5"/>
  <c r="AD121" i="5"/>
  <c r="C122" i="5"/>
  <c r="A121" i="12"/>
  <c r="AE121" i="5"/>
  <c r="N121" i="5"/>
  <c r="D121" i="6" s="1"/>
  <c r="B121" i="6"/>
  <c r="F121" i="5"/>
  <c r="B121" i="5"/>
  <c r="AV119" i="6"/>
  <c r="J120" i="12" a="1"/>
  <c r="J120" i="12" s="1"/>
  <c r="L120" i="12" a="1"/>
  <c r="L120" i="12" s="1"/>
  <c r="AJ119" i="6"/>
  <c r="AN119" i="6"/>
  <c r="BA119" i="6"/>
  <c r="AE119" i="6"/>
  <c r="AS119" i="6"/>
  <c r="AQ119" i="6"/>
  <c r="AP119" i="6"/>
  <c r="BF119" i="6"/>
  <c r="AG119" i="6"/>
  <c r="AO119" i="6"/>
  <c r="AT119" i="6"/>
  <c r="A120" i="6"/>
  <c r="AD119" i="6"/>
  <c r="AB118" i="6"/>
  <c r="AO118" i="6"/>
  <c r="AT118" i="6"/>
  <c r="AE118" i="6"/>
  <c r="BB118" i="6"/>
  <c r="BC118" i="6"/>
  <c r="AZ118" i="6"/>
  <c r="AH118" i="6"/>
  <c r="AQ118" i="6"/>
  <c r="AY118" i="6"/>
  <c r="AP118" i="6"/>
  <c r="BA118" i="6"/>
  <c r="BG118" i="6"/>
  <c r="AU118" i="6"/>
  <c r="AV118" i="6"/>
  <c r="AF118" i="6"/>
  <c r="AX118" i="6"/>
  <c r="AM118" i="6"/>
  <c r="AS118" i="6"/>
  <c r="AI118" i="6"/>
  <c r="AK118" i="6"/>
  <c r="AN118" i="6"/>
  <c r="AJ118" i="6"/>
  <c r="BD118" i="6"/>
  <c r="BF118" i="6"/>
  <c r="AG118" i="6"/>
  <c r="AR118" i="6"/>
  <c r="AD118" i="6"/>
  <c r="AC118" i="6"/>
  <c r="BE118" i="6"/>
  <c r="AC119" i="6"/>
  <c r="AY119" i="6"/>
  <c r="BB119" i="6"/>
  <c r="AX119" i="6"/>
  <c r="N119" i="6"/>
  <c r="G119" i="12"/>
  <c r="B53" i="9"/>
  <c r="B53" i="10"/>
  <c r="C53" i="7" a="1"/>
  <c r="C53" i="7" s="1"/>
  <c r="B52" i="7"/>
  <c r="T120" i="5"/>
  <c r="A121" i="6" l="1"/>
  <c r="N121" i="6" s="1"/>
  <c r="K120" i="12"/>
  <c r="G121" i="6"/>
  <c r="AD122" i="5"/>
  <c r="B122" i="5"/>
  <c r="E122" i="5"/>
  <c r="K122" i="5"/>
  <c r="D122" i="5"/>
  <c r="B122" i="12" s="1"/>
  <c r="A122" i="12"/>
  <c r="N122" i="5"/>
  <c r="D122" i="6" s="1"/>
  <c r="H122" i="6" s="1"/>
  <c r="C123" i="5"/>
  <c r="B122" i="6"/>
  <c r="J122" i="5"/>
  <c r="AE122" i="5"/>
  <c r="G122" i="5"/>
  <c r="F122" i="5"/>
  <c r="H122" i="5"/>
  <c r="N120" i="6"/>
  <c r="M120" i="6"/>
  <c r="H121" i="6"/>
  <c r="T121" i="5" s="1"/>
  <c r="J121" i="12" a="1"/>
  <c r="J121" i="12" s="1"/>
  <c r="L121" i="12" a="1"/>
  <c r="L121" i="12" s="1"/>
  <c r="B54" i="9"/>
  <c r="G120" i="12"/>
  <c r="C54" i="7" a="1"/>
  <c r="C54" i="7" s="1"/>
  <c r="B53" i="7"/>
  <c r="B54" i="10"/>
  <c r="B6" i="9" a="1"/>
  <c r="B6" i="9" s="1"/>
  <c r="M13" i="9" s="1"/>
  <c r="K121" i="12" l="1"/>
  <c r="M121" i="6"/>
  <c r="AC121" i="6" s="1"/>
  <c r="A122" i="6"/>
  <c r="N122" i="6" s="1"/>
  <c r="K123" i="5"/>
  <c r="J123" i="5"/>
  <c r="AE123" i="5"/>
  <c r="H123" i="5"/>
  <c r="AD123" i="5"/>
  <c r="F123" i="5"/>
  <c r="E123" i="5"/>
  <c r="D123" i="5"/>
  <c r="B123" i="12" s="1"/>
  <c r="C124" i="5"/>
  <c r="A123" i="12"/>
  <c r="G123" i="5"/>
  <c r="B123" i="6"/>
  <c r="B123" i="5"/>
  <c r="N123" i="5"/>
  <c r="D123" i="6" s="1"/>
  <c r="G123" i="6" s="1"/>
  <c r="L122" i="12" a="1"/>
  <c r="L122" i="12" s="1"/>
  <c r="J122" i="12" a="1"/>
  <c r="J122" i="12" s="1"/>
  <c r="G122" i="6"/>
  <c r="AK120" i="6"/>
  <c r="AH120" i="6"/>
  <c r="AZ120" i="6"/>
  <c r="AU120" i="6"/>
  <c r="BB120" i="6"/>
  <c r="AT120" i="6"/>
  <c r="AX120" i="6"/>
  <c r="AD120" i="6"/>
  <c r="AP120" i="6"/>
  <c r="AC120" i="6"/>
  <c r="BF120" i="6"/>
  <c r="AS120" i="6"/>
  <c r="AJ120" i="6"/>
  <c r="AN120" i="6"/>
  <c r="AY120" i="6"/>
  <c r="AQ120" i="6"/>
  <c r="AF120" i="6"/>
  <c r="AM120" i="6"/>
  <c r="AB120" i="6"/>
  <c r="AO120" i="6"/>
  <c r="AE120" i="6"/>
  <c r="AI120" i="6"/>
  <c r="AV120" i="6"/>
  <c r="BG120" i="6"/>
  <c r="BA120" i="6"/>
  <c r="AR120" i="6"/>
  <c r="BC120" i="6"/>
  <c r="BD120" i="6"/>
  <c r="AG120" i="6"/>
  <c r="BE120" i="6"/>
  <c r="G121" i="12"/>
  <c r="T122" i="5"/>
  <c r="B55" i="9"/>
  <c r="B55" i="10"/>
  <c r="C55" i="7" a="1"/>
  <c r="C55" i="7" s="1"/>
  <c r="B54" i="7"/>
  <c r="M122" i="6" l="1"/>
  <c r="AZ122" i="6" s="1"/>
  <c r="AR121" i="6"/>
  <c r="AJ121" i="6"/>
  <c r="AQ121" i="6"/>
  <c r="AK121" i="6"/>
  <c r="BE121" i="6"/>
  <c r="AB121" i="6"/>
  <c r="AF121" i="6"/>
  <c r="AZ121" i="6"/>
  <c r="BG121" i="6"/>
  <c r="AI121" i="6"/>
  <c r="AG121" i="6"/>
  <c r="AN121" i="6"/>
  <c r="AO121" i="6"/>
  <c r="AP121" i="6"/>
  <c r="AU121" i="6"/>
  <c r="AX121" i="6"/>
  <c r="BD121" i="6"/>
  <c r="BA121" i="6"/>
  <c r="AD121" i="6"/>
  <c r="BC121" i="6"/>
  <c r="AS121" i="6"/>
  <c r="AE121" i="6"/>
  <c r="AY121" i="6"/>
  <c r="AH121" i="6"/>
  <c r="BF121" i="6"/>
  <c r="AT121" i="6"/>
  <c r="BB121" i="6"/>
  <c r="AM121" i="6"/>
  <c r="AV121" i="6"/>
  <c r="K122" i="12"/>
  <c r="H123" i="6"/>
  <c r="A123" i="6"/>
  <c r="M123" i="6" s="1"/>
  <c r="AQ123" i="6" s="1"/>
  <c r="AD124" i="5"/>
  <c r="C125" i="5"/>
  <c r="K124" i="5"/>
  <c r="J124" i="5"/>
  <c r="F124" i="5"/>
  <c r="E124" i="5"/>
  <c r="A124" i="12"/>
  <c r="N124" i="5"/>
  <c r="D124" i="6" s="1"/>
  <c r="H124" i="5"/>
  <c r="D124" i="5"/>
  <c r="B124" i="12" s="1"/>
  <c r="B124" i="5"/>
  <c r="AE124" i="5"/>
  <c r="B124" i="6"/>
  <c r="G124" i="5"/>
  <c r="J123" i="12" a="1"/>
  <c r="J123" i="12" s="1"/>
  <c r="L123" i="12" a="1"/>
  <c r="L123" i="12" s="1"/>
  <c r="C56" i="7" a="1"/>
  <c r="C56" i="7" s="1"/>
  <c r="B55" i="7"/>
  <c r="B56" i="9"/>
  <c r="G122" i="12"/>
  <c r="B56" i="10"/>
  <c r="AI122" i="6" l="1"/>
  <c r="BB122" i="6"/>
  <c r="AG122" i="6"/>
  <c r="AV122" i="6"/>
  <c r="AU122" i="6"/>
  <c r="AR122" i="6"/>
  <c r="AJ122" i="6"/>
  <c r="AB122" i="6"/>
  <c r="AK122" i="6"/>
  <c r="AE122" i="6"/>
  <c r="AP122" i="6"/>
  <c r="BD122" i="6"/>
  <c r="AT122" i="6"/>
  <c r="BG122" i="6"/>
  <c r="AS122" i="6"/>
  <c r="BE122" i="6"/>
  <c r="AO122" i="6"/>
  <c r="BC122" i="6"/>
  <c r="AY122" i="6"/>
  <c r="AC122" i="6"/>
  <c r="BF122" i="6"/>
  <c r="AQ122" i="6"/>
  <c r="AM122" i="6"/>
  <c r="AD122" i="6"/>
  <c r="AF122" i="6"/>
  <c r="AN122" i="6"/>
  <c r="AX122" i="6"/>
  <c r="AH122" i="6"/>
  <c r="BA122" i="6"/>
  <c r="AD123" i="6"/>
  <c r="AN123" i="6"/>
  <c r="AY123" i="6"/>
  <c r="BC123" i="6"/>
  <c r="BB123" i="6"/>
  <c r="T123" i="5"/>
  <c r="G123" i="12" s="1"/>
  <c r="BA123" i="6"/>
  <c r="N123" i="6"/>
  <c r="AR123" i="6"/>
  <c r="A124" i="6"/>
  <c r="M124" i="6" s="1"/>
  <c r="BF124" i="6" s="1"/>
  <c r="AT123" i="6"/>
  <c r="AP123" i="6"/>
  <c r="AX123" i="6"/>
  <c r="AZ123" i="6"/>
  <c r="AG123" i="6"/>
  <c r="AU123" i="6"/>
  <c r="AH123" i="6"/>
  <c r="AB123" i="6"/>
  <c r="AE123" i="6"/>
  <c r="BG123" i="6"/>
  <c r="BF123" i="6"/>
  <c r="AM123" i="6"/>
  <c r="AI123" i="6"/>
  <c r="AF123" i="6"/>
  <c r="AO123" i="6"/>
  <c r="AK123" i="6"/>
  <c r="AS123" i="6"/>
  <c r="AV123" i="6"/>
  <c r="BE123" i="6"/>
  <c r="AC123" i="6"/>
  <c r="AJ123" i="6"/>
  <c r="BD123" i="6"/>
  <c r="H124" i="6"/>
  <c r="T124" i="5" s="1"/>
  <c r="J124" i="12" a="1"/>
  <c r="J124" i="12" s="1"/>
  <c r="L124" i="12" a="1"/>
  <c r="L124" i="12" s="1"/>
  <c r="K123" i="12"/>
  <c r="G125" i="5"/>
  <c r="F125" i="5"/>
  <c r="E125" i="5"/>
  <c r="A125" i="12"/>
  <c r="D125" i="5"/>
  <c r="B125" i="12" s="1"/>
  <c r="N125" i="5"/>
  <c r="D125" i="6" s="1"/>
  <c r="H125" i="6" s="1"/>
  <c r="K125" i="5"/>
  <c r="H125" i="5"/>
  <c r="C126" i="5"/>
  <c r="J125" i="5"/>
  <c r="AE125" i="5"/>
  <c r="B125" i="5"/>
  <c r="B125" i="6"/>
  <c r="AD125" i="5"/>
  <c r="G124" i="6"/>
  <c r="B57" i="10"/>
  <c r="B57" i="9"/>
  <c r="C57" i="7" a="1"/>
  <c r="C57" i="7" s="1"/>
  <c r="B56" i="7"/>
  <c r="N124" i="6" l="1"/>
  <c r="AG124" i="6"/>
  <c r="BE124" i="6"/>
  <c r="AT124" i="6"/>
  <c r="AR124" i="6"/>
  <c r="AP124" i="6"/>
  <c r="AZ124" i="6"/>
  <c r="A125" i="6"/>
  <c r="M125" i="6" s="1"/>
  <c r="AJ125" i="6" s="1"/>
  <c r="AE124" i="6"/>
  <c r="AB124" i="6"/>
  <c r="AV124" i="6"/>
  <c r="BG124" i="6"/>
  <c r="AD124" i="6"/>
  <c r="BC124" i="6"/>
  <c r="AJ124" i="6"/>
  <c r="AY124" i="6"/>
  <c r="BB124" i="6"/>
  <c r="AI124" i="6"/>
  <c r="AX124" i="6"/>
  <c r="G125" i="6"/>
  <c r="BA124" i="6"/>
  <c r="AS124" i="6"/>
  <c r="AQ124" i="6"/>
  <c r="AM124" i="6"/>
  <c r="AN124" i="6"/>
  <c r="AO124" i="6"/>
  <c r="AH124" i="6"/>
  <c r="AU124" i="6"/>
  <c r="AC124" i="6"/>
  <c r="AF124" i="6"/>
  <c r="AK124" i="6"/>
  <c r="BD124" i="6"/>
  <c r="L125" i="12" a="1"/>
  <c r="L125" i="12" s="1"/>
  <c r="J125" i="12" a="1"/>
  <c r="J125" i="12" s="1"/>
  <c r="K124" i="12"/>
  <c r="AE126" i="5"/>
  <c r="AD126" i="5"/>
  <c r="N126" i="5"/>
  <c r="D126" i="6" s="1"/>
  <c r="H126" i="6" s="1"/>
  <c r="K126" i="5"/>
  <c r="J126" i="5"/>
  <c r="C127" i="5"/>
  <c r="F126" i="5"/>
  <c r="E126" i="5"/>
  <c r="H126" i="5"/>
  <c r="G126" i="5"/>
  <c r="B126" i="6"/>
  <c r="D126" i="5"/>
  <c r="B126" i="12" s="1"/>
  <c r="A126" i="12"/>
  <c r="B126" i="5"/>
  <c r="B57" i="7"/>
  <c r="C58" i="7" a="1"/>
  <c r="C58" i="7" s="1"/>
  <c r="B58" i="9"/>
  <c r="G124" i="12"/>
  <c r="T125" i="5"/>
  <c r="B58" i="10"/>
  <c r="N125" i="6" l="1"/>
  <c r="K125" i="12"/>
  <c r="G126" i="6"/>
  <c r="A126" i="6"/>
  <c r="M126" i="6" s="1"/>
  <c r="BG126" i="6" s="1"/>
  <c r="B127" i="5"/>
  <c r="AE127" i="5"/>
  <c r="A127" i="12"/>
  <c r="E127" i="5"/>
  <c r="AD127" i="5"/>
  <c r="J127" i="5"/>
  <c r="B127" i="6"/>
  <c r="D127" i="5"/>
  <c r="B127" i="12" s="1"/>
  <c r="F127" i="5"/>
  <c r="N127" i="5"/>
  <c r="D127" i="6" s="1"/>
  <c r="C128" i="5"/>
  <c r="H127" i="5"/>
  <c r="G127" i="5"/>
  <c r="K127" i="5"/>
  <c r="J126" i="12" a="1"/>
  <c r="J126" i="12" s="1"/>
  <c r="L126" i="12" a="1"/>
  <c r="L126" i="12" s="1"/>
  <c r="AG125" i="6"/>
  <c r="AK125" i="6"/>
  <c r="G125" i="12"/>
  <c r="T126" i="5"/>
  <c r="B59" i="10"/>
  <c r="B58" i="7"/>
  <c r="C59" i="7" a="1"/>
  <c r="C59" i="7" s="1"/>
  <c r="AM125" i="6"/>
  <c r="BD125" i="6"/>
  <c r="AZ125" i="6"/>
  <c r="AV125" i="6"/>
  <c r="AT125" i="6"/>
  <c r="AY125" i="6"/>
  <c r="AS125" i="6"/>
  <c r="BG125" i="6"/>
  <c r="AU125" i="6"/>
  <c r="AR125" i="6"/>
  <c r="BE125" i="6"/>
  <c r="BC125" i="6"/>
  <c r="AP125" i="6"/>
  <c r="AO125" i="6"/>
  <c r="AX125" i="6"/>
  <c r="AD125" i="6"/>
  <c r="AI125" i="6"/>
  <c r="AB125" i="6"/>
  <c r="BB125" i="6"/>
  <c r="AH125" i="6"/>
  <c r="AN125" i="6"/>
  <c r="AF125" i="6"/>
  <c r="AQ125" i="6"/>
  <c r="BF125" i="6"/>
  <c r="BA125" i="6"/>
  <c r="AC125" i="6"/>
  <c r="AE125" i="6"/>
  <c r="B59" i="9"/>
  <c r="N126" i="6" l="1"/>
  <c r="BB126" i="6"/>
  <c r="AM126" i="6"/>
  <c r="AK126" i="6"/>
  <c r="AT126" i="6"/>
  <c r="K126" i="12"/>
  <c r="BF126" i="6"/>
  <c r="BE126" i="6"/>
  <c r="AY126" i="6"/>
  <c r="AU126" i="6"/>
  <c r="BC126" i="6"/>
  <c r="AC126" i="6"/>
  <c r="AD126" i="6"/>
  <c r="BD126" i="6"/>
  <c r="A127" i="6"/>
  <c r="N127" i="6" s="1"/>
  <c r="AR126" i="6"/>
  <c r="AI126" i="6"/>
  <c r="AV126" i="6"/>
  <c r="AG126" i="6"/>
  <c r="AZ126" i="6"/>
  <c r="AB126" i="6"/>
  <c r="AE126" i="6"/>
  <c r="AX126" i="6"/>
  <c r="AJ126" i="6"/>
  <c r="G127" i="6"/>
  <c r="AF126" i="6"/>
  <c r="H127" i="6"/>
  <c r="T127" i="5" s="1"/>
  <c r="BA126" i="6"/>
  <c r="J127" i="12" a="1"/>
  <c r="J127" i="12" s="1"/>
  <c r="L127" i="12" a="1"/>
  <c r="L127" i="12" s="1"/>
  <c r="AS126" i="6"/>
  <c r="AO126" i="6"/>
  <c r="AH126" i="6"/>
  <c r="AQ126" i="6"/>
  <c r="AN126" i="6"/>
  <c r="AP126" i="6"/>
  <c r="H128" i="5"/>
  <c r="G128" i="5"/>
  <c r="AD128" i="5"/>
  <c r="F128" i="5"/>
  <c r="E128" i="5"/>
  <c r="J128" i="5"/>
  <c r="B128" i="6"/>
  <c r="D128" i="5"/>
  <c r="B128" i="12" s="1"/>
  <c r="B128" i="5"/>
  <c r="C129" i="5" s="1"/>
  <c r="A128" i="12"/>
  <c r="K128" i="5"/>
  <c r="N128" i="5"/>
  <c r="D128" i="6" s="1"/>
  <c r="AE128" i="5"/>
  <c r="B60" i="10"/>
  <c r="B60" i="9"/>
  <c r="G126" i="12"/>
  <c r="B59" i="7"/>
  <c r="C60" i="7" a="1"/>
  <c r="C60" i="7" s="1"/>
  <c r="A128" i="6" l="1"/>
  <c r="M128" i="6" s="1"/>
  <c r="AV128" i="6" s="1"/>
  <c r="M127" i="6"/>
  <c r="AU127" i="6" s="1"/>
  <c r="K127" i="12"/>
  <c r="H128" i="6"/>
  <c r="J128" i="12" a="1"/>
  <c r="J128" i="12" s="1"/>
  <c r="L128" i="12" a="1"/>
  <c r="L128" i="12" s="1"/>
  <c r="G128" i="6"/>
  <c r="F129" i="5"/>
  <c r="E129" i="5"/>
  <c r="A129" i="12"/>
  <c r="B129" i="6"/>
  <c r="W129" i="5"/>
  <c r="H129" i="12" s="1"/>
  <c r="N129" i="5"/>
  <c r="D129" i="6" s="1"/>
  <c r="N129" i="6" s="1"/>
  <c r="AD129" i="5"/>
  <c r="I129" i="5"/>
  <c r="H129" i="5"/>
  <c r="G129" i="5"/>
  <c r="AE129" i="5"/>
  <c r="B129" i="5"/>
  <c r="C130" i="5" s="1"/>
  <c r="B60" i="7"/>
  <c r="C61" i="7" a="1"/>
  <c r="C61" i="7" s="1"/>
  <c r="G127" i="12"/>
  <c r="B61" i="9"/>
  <c r="B61" i="10"/>
  <c r="N128" i="6" l="1"/>
  <c r="AE127" i="6"/>
  <c r="AQ127" i="6"/>
  <c r="AF127" i="6"/>
  <c r="AN127" i="6"/>
  <c r="AK127" i="6"/>
  <c r="BE127" i="6"/>
  <c r="AX127" i="6"/>
  <c r="BA127" i="6"/>
  <c r="AJ127" i="6"/>
  <c r="AH127" i="6"/>
  <c r="AS127" i="6"/>
  <c r="AI127" i="6"/>
  <c r="AP127" i="6"/>
  <c r="BB127" i="6"/>
  <c r="BF127" i="6"/>
  <c r="AX128" i="6"/>
  <c r="BG127" i="6"/>
  <c r="AO127" i="6"/>
  <c r="AD127" i="6"/>
  <c r="AF128" i="6"/>
  <c r="BD127" i="6"/>
  <c r="K128" i="12"/>
  <c r="AR127" i="6"/>
  <c r="AT127" i="6"/>
  <c r="AM127" i="6"/>
  <c r="AZ127" i="6"/>
  <c r="AV127" i="6"/>
  <c r="AC127" i="6"/>
  <c r="BC127" i="6"/>
  <c r="AG127" i="6"/>
  <c r="AU128" i="6"/>
  <c r="AY127" i="6"/>
  <c r="AB127" i="6"/>
  <c r="AH128" i="6"/>
  <c r="AC128" i="6"/>
  <c r="AD128" i="6"/>
  <c r="AT128" i="6"/>
  <c r="AE128" i="6"/>
  <c r="AJ128" i="6"/>
  <c r="BD128" i="6"/>
  <c r="AQ128" i="6"/>
  <c r="AK128" i="6"/>
  <c r="AZ128" i="6"/>
  <c r="AB128" i="6"/>
  <c r="AP128" i="6"/>
  <c r="AS128" i="6"/>
  <c r="AI128" i="6"/>
  <c r="AY128" i="6"/>
  <c r="BF128" i="6"/>
  <c r="AN128" i="6"/>
  <c r="AG128" i="6"/>
  <c r="BG128" i="6"/>
  <c r="BC128" i="6"/>
  <c r="AM128" i="6"/>
  <c r="T128" i="5"/>
  <c r="G128" i="12" s="1"/>
  <c r="BE128" i="6"/>
  <c r="AO128" i="6"/>
  <c r="BA128" i="6"/>
  <c r="AR128" i="6"/>
  <c r="G129" i="6"/>
  <c r="BB128" i="6"/>
  <c r="H129" i="6"/>
  <c r="T129" i="5" s="1"/>
  <c r="G129" i="12" s="1"/>
  <c r="J129" i="6" a="1"/>
  <c r="J129" i="6" s="1"/>
  <c r="A129" i="6"/>
  <c r="M129" i="6"/>
  <c r="BG129" i="6" s="1"/>
  <c r="B130" i="6"/>
  <c r="J130" i="6" s="1" a="1"/>
  <c r="J130" i="6" s="1"/>
  <c r="F130" i="5"/>
  <c r="E130" i="5"/>
  <c r="W130" i="5"/>
  <c r="H130" i="12" s="1"/>
  <c r="B130" i="5"/>
  <c r="C131" i="5"/>
  <c r="A130" i="12"/>
  <c r="H130" i="5"/>
  <c r="N130" i="5"/>
  <c r="D130" i="6" s="1"/>
  <c r="G130" i="5"/>
  <c r="AD130" i="5"/>
  <c r="I130" i="5"/>
  <c r="AE130" i="5"/>
  <c r="B62" i="9"/>
  <c r="B62" i="10"/>
  <c r="B61" i="7"/>
  <c r="C62" i="7" a="1"/>
  <c r="C62" i="7" s="1"/>
  <c r="BC129" i="6" l="1"/>
  <c r="BF129" i="6"/>
  <c r="AO129" i="6"/>
  <c r="AZ129" i="6"/>
  <c r="AB129" i="6"/>
  <c r="A130" i="6"/>
  <c r="AJ129" i="6"/>
  <c r="BB129" i="6"/>
  <c r="AF129" i="6"/>
  <c r="AN129" i="6"/>
  <c r="AS129" i="6"/>
  <c r="AK129" i="6"/>
  <c r="AD129" i="6"/>
  <c r="BE129" i="6"/>
  <c r="AH129" i="6"/>
  <c r="AG129" i="6"/>
  <c r="AR129" i="6"/>
  <c r="AE129" i="6"/>
  <c r="AC129" i="6"/>
  <c r="AI129" i="6"/>
  <c r="AM129" i="6"/>
  <c r="AU129" i="6"/>
  <c r="AV129" i="6"/>
  <c r="M130" i="6"/>
  <c r="AV130" i="6" s="1"/>
  <c r="G130" i="6"/>
  <c r="H130" i="6"/>
  <c r="T130" i="5" s="1"/>
  <c r="G130" i="12" s="1"/>
  <c r="AT129" i="6"/>
  <c r="N130" i="6"/>
  <c r="G131" i="5"/>
  <c r="F131" i="5"/>
  <c r="AD131" i="5"/>
  <c r="E131" i="5"/>
  <c r="D131" i="5"/>
  <c r="B131" i="12" s="1"/>
  <c r="B131" i="5"/>
  <c r="H131" i="5"/>
  <c r="N131" i="5"/>
  <c r="D131" i="6" s="1"/>
  <c r="G131" i="6" s="1"/>
  <c r="AE131" i="5"/>
  <c r="A131" i="12"/>
  <c r="C132" i="5"/>
  <c r="B131" i="6"/>
  <c r="J131" i="5"/>
  <c r="K131" i="5"/>
  <c r="AQ129" i="6"/>
  <c r="AX129" i="6"/>
  <c r="AP129" i="6"/>
  <c r="BA129" i="6"/>
  <c r="BD129" i="6"/>
  <c r="AY129" i="6"/>
  <c r="C63" i="7" a="1"/>
  <c r="C63" i="7" s="1"/>
  <c r="B62" i="7"/>
  <c r="B63" i="9"/>
  <c r="B63" i="10"/>
  <c r="AH130" i="6" l="1"/>
  <c r="AB130" i="6"/>
  <c r="AX130" i="6"/>
  <c r="AN130" i="6"/>
  <c r="AO130" i="6"/>
  <c r="AK130" i="6"/>
  <c r="AT130" i="6"/>
  <c r="BB130" i="6"/>
  <c r="AE130" i="6"/>
  <c r="AJ130" i="6"/>
  <c r="AG130" i="6"/>
  <c r="AM130" i="6"/>
  <c r="BD130" i="6"/>
  <c r="AU130" i="6"/>
  <c r="AP130" i="6"/>
  <c r="AC130" i="6"/>
  <c r="BG130" i="6"/>
  <c r="AZ130" i="6"/>
  <c r="AY130" i="6"/>
  <c r="BC130" i="6"/>
  <c r="AS130" i="6"/>
  <c r="AR130" i="6"/>
  <c r="BF130" i="6"/>
  <c r="AI130" i="6"/>
  <c r="AF130" i="6"/>
  <c r="BA130" i="6"/>
  <c r="A131" i="6"/>
  <c r="N131" i="6" s="1"/>
  <c r="BE130" i="6"/>
  <c r="AD130" i="6"/>
  <c r="AQ130" i="6"/>
  <c r="J132" i="5"/>
  <c r="B132" i="5"/>
  <c r="AD132" i="5"/>
  <c r="AE132" i="5"/>
  <c r="A132" i="12"/>
  <c r="N132" i="5"/>
  <c r="D132" i="6" s="1"/>
  <c r="B132" i="6"/>
  <c r="K132" i="5"/>
  <c r="C133" i="5"/>
  <c r="H132" i="5"/>
  <c r="F132" i="5"/>
  <c r="G132" i="5"/>
  <c r="E132" i="5"/>
  <c r="D132" i="5"/>
  <c r="B132" i="12" s="1"/>
  <c r="J131" i="12" a="1"/>
  <c r="J131" i="12" s="1"/>
  <c r="L131" i="12" a="1"/>
  <c r="L131" i="12" s="1"/>
  <c r="H131" i="6"/>
  <c r="T131" i="5" s="1"/>
  <c r="B64" i="9"/>
  <c r="B64" i="10"/>
  <c r="C64" i="7" a="1"/>
  <c r="C64" i="7" s="1"/>
  <c r="B63" i="7"/>
  <c r="M131" i="6" l="1"/>
  <c r="AO131" i="6" s="1"/>
  <c r="A132" i="6"/>
  <c r="N132" i="6" s="1"/>
  <c r="K131" i="12"/>
  <c r="G132" i="6"/>
  <c r="H132" i="6"/>
  <c r="T132" i="5" s="1"/>
  <c r="C134" i="5"/>
  <c r="G133" i="5"/>
  <c r="F133" i="5"/>
  <c r="N133" i="5"/>
  <c r="D133" i="6" s="1"/>
  <c r="G133" i="6" s="1"/>
  <c r="J133" i="5"/>
  <c r="A133" i="12"/>
  <c r="E133" i="5"/>
  <c r="D133" i="5"/>
  <c r="B133" i="12" s="1"/>
  <c r="B133" i="6"/>
  <c r="B133" i="5"/>
  <c r="H133" i="5"/>
  <c r="AE133" i="5"/>
  <c r="AD133" i="5"/>
  <c r="K133" i="5"/>
  <c r="J132" i="12" a="1"/>
  <c r="J132" i="12" s="1"/>
  <c r="L132" i="12" a="1"/>
  <c r="L132" i="12" s="1"/>
  <c r="B64" i="7"/>
  <c r="C10" i="7"/>
  <c r="G131" i="12"/>
  <c r="AT131" i="6" l="1"/>
  <c r="AH131" i="6"/>
  <c r="AV131" i="6"/>
  <c r="AB131" i="6"/>
  <c r="H133" i="6"/>
  <c r="T133" i="5" s="1"/>
  <c r="AX131" i="6"/>
  <c r="BC131" i="6"/>
  <c r="AM131" i="6"/>
  <c r="AF131" i="6"/>
  <c r="AZ131" i="6"/>
  <c r="AN131" i="6"/>
  <c r="AS131" i="6"/>
  <c r="AK131" i="6"/>
  <c r="AE131" i="6"/>
  <c r="AY131" i="6"/>
  <c r="AU131" i="6"/>
  <c r="AP131" i="6"/>
  <c r="BE131" i="6"/>
  <c r="AC131" i="6"/>
  <c r="AQ131" i="6"/>
  <c r="AD131" i="6"/>
  <c r="AG131" i="6"/>
  <c r="BG131" i="6"/>
  <c r="BA131" i="6"/>
  <c r="BF131" i="6"/>
  <c r="AR131" i="6"/>
  <c r="AI131" i="6"/>
  <c r="BD131" i="6"/>
  <c r="BB131" i="6"/>
  <c r="AJ131" i="6"/>
  <c r="K132" i="12"/>
  <c r="M132" i="6"/>
  <c r="AY132" i="6" s="1"/>
  <c r="J133" i="12" a="1"/>
  <c r="J133" i="12" s="1"/>
  <c r="L133" i="12" a="1"/>
  <c r="L133" i="12" s="1"/>
  <c r="F134" i="5"/>
  <c r="AE134" i="5"/>
  <c r="N134" i="5"/>
  <c r="D134" i="6" s="1"/>
  <c r="H134" i="6" s="1"/>
  <c r="K134" i="5"/>
  <c r="E134" i="5"/>
  <c r="B134" i="6"/>
  <c r="J134" i="5"/>
  <c r="C135" i="5"/>
  <c r="B134" i="5"/>
  <c r="D134" i="5"/>
  <c r="B134" i="12" s="1"/>
  <c r="A134" i="12"/>
  <c r="AD134" i="5"/>
  <c r="H134" i="5"/>
  <c r="G134" i="5"/>
  <c r="A133" i="6"/>
  <c r="M133" i="6" s="1"/>
  <c r="BF133" i="6" s="1"/>
  <c r="G132" i="12"/>
  <c r="AQ132" i="6" l="1"/>
  <c r="AV132" i="6"/>
  <c r="K133" i="12"/>
  <c r="AI132" i="6"/>
  <c r="BD132" i="6"/>
  <c r="BE132" i="6"/>
  <c r="BG132" i="6"/>
  <c r="AT132" i="6"/>
  <c r="AD132" i="6"/>
  <c r="AO132" i="6"/>
  <c r="AF132" i="6"/>
  <c r="AM132" i="6"/>
  <c r="AZ132" i="6"/>
  <c r="BB132" i="6"/>
  <c r="AK132" i="6"/>
  <c r="AH132" i="6"/>
  <c r="AX132" i="6"/>
  <c r="BA132" i="6"/>
  <c r="AJ132" i="6"/>
  <c r="AR132" i="6"/>
  <c r="AE132" i="6"/>
  <c r="BF132" i="6"/>
  <c r="AB132" i="6"/>
  <c r="AN132" i="6"/>
  <c r="BC132" i="6"/>
  <c r="AP132" i="6"/>
  <c r="AS132" i="6"/>
  <c r="AU132" i="6"/>
  <c r="AC132" i="6"/>
  <c r="AG132" i="6"/>
  <c r="AE133" i="6"/>
  <c r="AV133" i="6"/>
  <c r="AI133" i="6"/>
  <c r="AB133" i="6"/>
  <c r="AF133" i="6"/>
  <c r="N133" i="6"/>
  <c r="AM133" i="6"/>
  <c r="AU133" i="6"/>
  <c r="AD133" i="6"/>
  <c r="AC133" i="6"/>
  <c r="G134" i="6"/>
  <c r="BE133" i="6"/>
  <c r="AT133" i="6"/>
  <c r="AS133" i="6"/>
  <c r="AQ133" i="6"/>
  <c r="AZ133" i="6"/>
  <c r="AO133" i="6"/>
  <c r="BD133" i="6"/>
  <c r="BG133" i="6"/>
  <c r="AY133" i="6"/>
  <c r="AK133" i="6"/>
  <c r="AP133" i="6"/>
  <c r="AX133" i="6"/>
  <c r="AR133" i="6"/>
  <c r="AG133" i="6"/>
  <c r="BB133" i="6"/>
  <c r="BC133" i="6"/>
  <c r="AJ133" i="6"/>
  <c r="AN133" i="6"/>
  <c r="A134" i="6"/>
  <c r="M134" i="6" s="1"/>
  <c r="B135" i="5"/>
  <c r="N135" i="5"/>
  <c r="D135" i="6" s="1"/>
  <c r="H135" i="6" s="1"/>
  <c r="C136" i="5"/>
  <c r="J135" i="5"/>
  <c r="G135" i="5"/>
  <c r="B135" i="6"/>
  <c r="D135" i="5"/>
  <c r="B135" i="12" s="1"/>
  <c r="H135" i="5"/>
  <c r="F135" i="5"/>
  <c r="A135" i="12"/>
  <c r="AE135" i="5"/>
  <c r="AD135" i="5"/>
  <c r="K135" i="5"/>
  <c r="E135" i="5"/>
  <c r="BA133" i="6"/>
  <c r="AH133" i="6"/>
  <c r="J134" i="12" a="1"/>
  <c r="J134" i="12" s="1"/>
  <c r="L134" i="12" a="1"/>
  <c r="L134" i="12" s="1"/>
  <c r="G133" i="12"/>
  <c r="T134" i="5"/>
  <c r="K134" i="12" l="1"/>
  <c r="AH134" i="6"/>
  <c r="AZ134" i="6"/>
  <c r="BD134" i="6"/>
  <c r="AT134" i="6"/>
  <c r="BE134" i="6"/>
  <c r="AY134" i="6"/>
  <c r="AD134" i="6"/>
  <c r="AO134" i="6"/>
  <c r="AF134" i="6"/>
  <c r="N134" i="6"/>
  <c r="AJ134" i="6"/>
  <c r="AR134" i="6"/>
  <c r="AE134" i="6"/>
  <c r="BA134" i="6"/>
  <c r="G135" i="6"/>
  <c r="AV134" i="6"/>
  <c r="BF134" i="6"/>
  <c r="AI134" i="6"/>
  <c r="BB134" i="6"/>
  <c r="AS134" i="6"/>
  <c r="AU134" i="6"/>
  <c r="AK134" i="6"/>
  <c r="BG134" i="6"/>
  <c r="AN134" i="6"/>
  <c r="AQ134" i="6"/>
  <c r="AG134" i="6"/>
  <c r="J135" i="12" a="1"/>
  <c r="J135" i="12" s="1"/>
  <c r="L135" i="12" a="1"/>
  <c r="L135" i="12" s="1"/>
  <c r="AX134" i="6"/>
  <c r="AC134" i="6"/>
  <c r="BC134" i="6"/>
  <c r="AM134" i="6"/>
  <c r="AP134" i="6"/>
  <c r="AB134" i="6"/>
  <c r="AD136" i="5"/>
  <c r="A136" i="12"/>
  <c r="K136" i="5"/>
  <c r="J136" i="5"/>
  <c r="B136" i="5"/>
  <c r="N136" i="5"/>
  <c r="D136" i="6" s="1"/>
  <c r="G136" i="6" s="1"/>
  <c r="C137" i="5"/>
  <c r="H136" i="5"/>
  <c r="F136" i="5"/>
  <c r="E136" i="5"/>
  <c r="D136" i="5"/>
  <c r="B136" i="12" s="1"/>
  <c r="B136" i="6"/>
  <c r="G136" i="5"/>
  <c r="AE136" i="5"/>
  <c r="A135" i="6"/>
  <c r="T135" i="5"/>
  <c r="G134" i="12"/>
  <c r="K135" i="12" l="1"/>
  <c r="H136" i="6"/>
  <c r="T136" i="5" s="1"/>
  <c r="N135" i="6"/>
  <c r="M135" i="6"/>
  <c r="J136" i="12" a="1"/>
  <c r="J136" i="12" s="1"/>
  <c r="L136" i="12" a="1"/>
  <c r="L136" i="12" s="1"/>
  <c r="A136" i="6"/>
  <c r="M136" i="6" s="1"/>
  <c r="AZ136" i="6" s="1"/>
  <c r="A137" i="12"/>
  <c r="K137" i="5"/>
  <c r="J137" i="5"/>
  <c r="N137" i="5"/>
  <c r="D137" i="6" s="1"/>
  <c r="G137" i="6" s="1"/>
  <c r="B137" i="6"/>
  <c r="C138" i="5"/>
  <c r="G137" i="5"/>
  <c r="F137" i="5"/>
  <c r="D137" i="5"/>
  <c r="B137" i="12" s="1"/>
  <c r="H137" i="5"/>
  <c r="E137" i="5"/>
  <c r="AD137" i="5"/>
  <c r="AE137" i="5"/>
  <c r="B137" i="5"/>
  <c r="G135" i="12"/>
  <c r="K136" i="12" l="1"/>
  <c r="AR136" i="6"/>
  <c r="A137" i="6"/>
  <c r="N137" i="6" s="1"/>
  <c r="AF136" i="6"/>
  <c r="BD136" i="6"/>
  <c r="AS136" i="6"/>
  <c r="H137" i="6"/>
  <c r="T137" i="5" s="1"/>
  <c r="AJ136" i="6"/>
  <c r="AE136" i="6"/>
  <c r="AK136" i="6"/>
  <c r="AY136" i="6"/>
  <c r="AO136" i="6"/>
  <c r="AP136" i="6"/>
  <c r="AX136" i="6"/>
  <c r="BG136" i="6"/>
  <c r="AV136" i="6"/>
  <c r="AC136" i="6"/>
  <c r="AQ136" i="6"/>
  <c r="AD136" i="6"/>
  <c r="AI136" i="6"/>
  <c r="AN136" i="6"/>
  <c r="AB136" i="6"/>
  <c r="BC136" i="6"/>
  <c r="BB136" i="6"/>
  <c r="AU136" i="6"/>
  <c r="BA136" i="6"/>
  <c r="AH136" i="6"/>
  <c r="AT136" i="6"/>
  <c r="AG136" i="6"/>
  <c r="N136" i="6"/>
  <c r="AM136" i="6"/>
  <c r="BE136" i="6"/>
  <c r="D138" i="5"/>
  <c r="B138" i="12" s="1"/>
  <c r="C139" i="5"/>
  <c r="J138" i="5"/>
  <c r="H138" i="5"/>
  <c r="G138" i="5"/>
  <c r="E138" i="5"/>
  <c r="B138" i="5"/>
  <c r="A138" i="12"/>
  <c r="F138" i="5"/>
  <c r="B138" i="6"/>
  <c r="N138" i="5"/>
  <c r="D138" i="6" s="1"/>
  <c r="AD138" i="5"/>
  <c r="AE138" i="5"/>
  <c r="K138" i="5"/>
  <c r="BF136" i="6"/>
  <c r="J137" i="12" a="1"/>
  <c r="J137" i="12" s="1"/>
  <c r="L137" i="12" a="1"/>
  <c r="L137" i="12" s="1"/>
  <c r="AY135" i="6"/>
  <c r="AJ135" i="6"/>
  <c r="AG135" i="6"/>
  <c r="AX135" i="6"/>
  <c r="AM135" i="6"/>
  <c r="AQ135" i="6"/>
  <c r="BE135" i="6"/>
  <c r="BB135" i="6"/>
  <c r="AT135" i="6"/>
  <c r="AB135" i="6"/>
  <c r="BA135" i="6"/>
  <c r="BF135" i="6"/>
  <c r="AH135" i="6"/>
  <c r="AK135" i="6"/>
  <c r="AZ135" i="6"/>
  <c r="AU135" i="6"/>
  <c r="AR135" i="6"/>
  <c r="AS135" i="6"/>
  <c r="AP135" i="6"/>
  <c r="AD135" i="6"/>
  <c r="BG135" i="6"/>
  <c r="AE135" i="6"/>
  <c r="AC135" i="6"/>
  <c r="AI135" i="6"/>
  <c r="BD135" i="6"/>
  <c r="AO135" i="6"/>
  <c r="BC135" i="6"/>
  <c r="AF135" i="6"/>
  <c r="AV135" i="6"/>
  <c r="AN135" i="6"/>
  <c r="G136" i="12"/>
  <c r="M137" i="6" l="1"/>
  <c r="AV137" i="6" s="1"/>
  <c r="K137" i="12"/>
  <c r="H138" i="6"/>
  <c r="T138" i="5" s="1"/>
  <c r="A138" i="6"/>
  <c r="M138" i="6" s="1"/>
  <c r="BB138" i="6" s="1"/>
  <c r="G138" i="6"/>
  <c r="L138" i="12" a="1"/>
  <c r="L138" i="12" s="1"/>
  <c r="J138" i="12" a="1"/>
  <c r="J138" i="12" s="1"/>
  <c r="B139" i="5"/>
  <c r="A139" i="12"/>
  <c r="N139" i="5"/>
  <c r="D139" i="6" s="1"/>
  <c r="H139" i="6" s="1"/>
  <c r="AE139" i="5"/>
  <c r="D139" i="5"/>
  <c r="B139" i="12" s="1"/>
  <c r="B139" i="6"/>
  <c r="C140" i="5"/>
  <c r="H139" i="5"/>
  <c r="G139" i="5"/>
  <c r="AD139" i="5"/>
  <c r="K139" i="5"/>
  <c r="F139" i="5"/>
  <c r="E139" i="5"/>
  <c r="J139" i="5"/>
  <c r="G137" i="12"/>
  <c r="AH137" i="6" l="1"/>
  <c r="BF137" i="6"/>
  <c r="AD137" i="6"/>
  <c r="BA137" i="6"/>
  <c r="AK137" i="6"/>
  <c r="AR137" i="6"/>
  <c r="AG137" i="6"/>
  <c r="AB137" i="6"/>
  <c r="AM137" i="6"/>
  <c r="AU137" i="6"/>
  <c r="AE137" i="6"/>
  <c r="AP137" i="6"/>
  <c r="AQ137" i="6"/>
  <c r="AZ137" i="6"/>
  <c r="AF137" i="6"/>
  <c r="AJ137" i="6"/>
  <c r="BE137" i="6"/>
  <c r="AO137" i="6"/>
  <c r="AI137" i="6"/>
  <c r="AS137" i="6"/>
  <c r="AX137" i="6"/>
  <c r="AY137" i="6"/>
  <c r="BC137" i="6"/>
  <c r="BG137" i="6"/>
  <c r="AN137" i="6"/>
  <c r="AC137" i="6"/>
  <c r="BB137" i="6"/>
  <c r="BD137" i="6"/>
  <c r="AT137" i="6"/>
  <c r="K138" i="12"/>
  <c r="AC138" i="6"/>
  <c r="AO138" i="6"/>
  <c r="AX138" i="6"/>
  <c r="AK138" i="6"/>
  <c r="AB138" i="6"/>
  <c r="BD138" i="6"/>
  <c r="AD138" i="6"/>
  <c r="AG138" i="6"/>
  <c r="AR138" i="6"/>
  <c r="AJ138" i="6"/>
  <c r="BF138" i="6"/>
  <c r="AM138" i="6"/>
  <c r="BC138" i="6"/>
  <c r="BA138" i="6"/>
  <c r="AF138" i="6"/>
  <c r="BG138" i="6"/>
  <c r="AQ138" i="6"/>
  <c r="AS138" i="6"/>
  <c r="AI138" i="6"/>
  <c r="BE138" i="6"/>
  <c r="AP138" i="6"/>
  <c r="AT138" i="6"/>
  <c r="AY138" i="6"/>
  <c r="AU138" i="6"/>
  <c r="AH138" i="6"/>
  <c r="AV138" i="6"/>
  <c r="AE138" i="6"/>
  <c r="AZ138" i="6"/>
  <c r="AN138" i="6"/>
  <c r="N138" i="6"/>
  <c r="J139" i="12" a="1"/>
  <c r="J139" i="12" s="1"/>
  <c r="L139" i="12" a="1"/>
  <c r="L139" i="12" s="1"/>
  <c r="G139" i="6"/>
  <c r="C141" i="5"/>
  <c r="A140" i="12"/>
  <c r="B140" i="6"/>
  <c r="K140" i="5"/>
  <c r="D140" i="5"/>
  <c r="B140" i="12" s="1"/>
  <c r="G140" i="5"/>
  <c r="B140" i="5"/>
  <c r="N140" i="5"/>
  <c r="D140" i="6" s="1"/>
  <c r="AE140" i="5"/>
  <c r="F140" i="5"/>
  <c r="AD140" i="5"/>
  <c r="E140" i="5"/>
  <c r="J140" i="5"/>
  <c r="H140" i="5"/>
  <c r="A139" i="6"/>
  <c r="N139" i="6" s="1"/>
  <c r="T139" i="5"/>
  <c r="G138" i="12"/>
  <c r="H140" i="6" l="1"/>
  <c r="T140" i="5" s="1"/>
  <c r="G140" i="6"/>
  <c r="L140" i="12" a="1"/>
  <c r="L140" i="12" s="1"/>
  <c r="J140" i="12" a="1"/>
  <c r="J140" i="12" s="1"/>
  <c r="A140" i="6"/>
  <c r="M140" i="6" s="1"/>
  <c r="H141" i="5"/>
  <c r="B141" i="5"/>
  <c r="C142" i="5"/>
  <c r="G141" i="5"/>
  <c r="N141" i="5"/>
  <c r="D141" i="6" s="1"/>
  <c r="AE141" i="5"/>
  <c r="E141" i="5"/>
  <c r="B141" i="6"/>
  <c r="J141" i="5"/>
  <c r="A141" i="12"/>
  <c r="D141" i="5"/>
  <c r="B141" i="12" s="1"/>
  <c r="F141" i="5"/>
  <c r="AD141" i="5"/>
  <c r="K141" i="5"/>
  <c r="M139" i="6"/>
  <c r="K139" i="12"/>
  <c r="G139" i="12"/>
  <c r="A141" i="6" l="1"/>
  <c r="M141" i="6" s="1"/>
  <c r="BC141" i="6" s="1"/>
  <c r="BA140" i="6"/>
  <c r="AM140" i="6"/>
  <c r="AU140" i="6"/>
  <c r="AY140" i="6"/>
  <c r="AF140" i="6"/>
  <c r="BE140" i="6"/>
  <c r="AV140" i="6"/>
  <c r="AR140" i="6"/>
  <c r="AB140" i="6"/>
  <c r="BD140" i="6"/>
  <c r="AC140" i="6"/>
  <c r="AO140" i="6"/>
  <c r="AP140" i="6"/>
  <c r="AG140" i="6"/>
  <c r="AT140" i="6"/>
  <c r="AE140" i="6"/>
  <c r="BG140" i="6"/>
  <c r="AZ140" i="6"/>
  <c r="AS140" i="6"/>
  <c r="AJ140" i="6"/>
  <c r="AD140" i="6"/>
  <c r="AX140" i="6"/>
  <c r="AQ140" i="6"/>
  <c r="BB140" i="6"/>
  <c r="BF140" i="6"/>
  <c r="AI140" i="6"/>
  <c r="AN140" i="6"/>
  <c r="BC140" i="6"/>
  <c r="AK140" i="6"/>
  <c r="H141" i="6"/>
  <c r="T141" i="5" s="1"/>
  <c r="H142" i="5"/>
  <c r="N142" i="5"/>
  <c r="D142" i="6" s="1"/>
  <c r="G142" i="6" s="1"/>
  <c r="K142" i="5"/>
  <c r="E142" i="5"/>
  <c r="J142" i="5"/>
  <c r="G142" i="5"/>
  <c r="A142" i="12"/>
  <c r="AE142" i="5"/>
  <c r="B142" i="6"/>
  <c r="AD142" i="5"/>
  <c r="F142" i="5"/>
  <c r="D142" i="5"/>
  <c r="B142" i="12" s="1"/>
  <c r="B142" i="5"/>
  <c r="C143" i="5"/>
  <c r="AH140" i="6"/>
  <c r="L141" i="12" a="1"/>
  <c r="L141" i="12" s="1"/>
  <c r="J141" i="12" a="1"/>
  <c r="J141" i="12" s="1"/>
  <c r="K140" i="12"/>
  <c r="N140" i="6"/>
  <c r="BF139" i="6"/>
  <c r="AE139" i="6"/>
  <c r="AF139" i="6"/>
  <c r="AM139" i="6"/>
  <c r="AX139" i="6"/>
  <c r="AB139" i="6"/>
  <c r="AN139" i="6"/>
  <c r="BB139" i="6"/>
  <c r="AY139" i="6"/>
  <c r="AJ139" i="6"/>
  <c r="AQ139" i="6"/>
  <c r="AT139" i="6"/>
  <c r="AS139" i="6"/>
  <c r="BC139" i="6"/>
  <c r="AP139" i="6"/>
  <c r="AH139" i="6"/>
  <c r="AI139" i="6"/>
  <c r="BA139" i="6"/>
  <c r="AD139" i="6"/>
  <c r="BD139" i="6"/>
  <c r="AG139" i="6"/>
  <c r="AC139" i="6"/>
  <c r="AV139" i="6"/>
  <c r="AU139" i="6"/>
  <c r="AZ139" i="6"/>
  <c r="BE139" i="6"/>
  <c r="AO139" i="6"/>
  <c r="AR139" i="6"/>
  <c r="BG139" i="6"/>
  <c r="AK139" i="6"/>
  <c r="G141" i="6"/>
  <c r="G140" i="12"/>
  <c r="H142" i="6" l="1"/>
  <c r="T142" i="5" s="1"/>
  <c r="N141" i="6"/>
  <c r="AC141" i="6"/>
  <c r="BD141" i="6"/>
  <c r="BE141" i="6"/>
  <c r="BG141" i="6"/>
  <c r="AR141" i="6"/>
  <c r="AO141" i="6"/>
  <c r="BB141" i="6"/>
  <c r="BF141" i="6"/>
  <c r="AM141" i="6"/>
  <c r="K141" i="12"/>
  <c r="AN141" i="6"/>
  <c r="AB141" i="6"/>
  <c r="F143" i="5"/>
  <c r="K143" i="5"/>
  <c r="E143" i="5"/>
  <c r="D143" i="5"/>
  <c r="B143" i="12" s="1"/>
  <c r="B143" i="5"/>
  <c r="AD143" i="5"/>
  <c r="A143" i="12"/>
  <c r="C144" i="5"/>
  <c r="N143" i="5"/>
  <c r="D143" i="6" s="1"/>
  <c r="H143" i="6" s="1"/>
  <c r="J143" i="5"/>
  <c r="B143" i="6"/>
  <c r="H143" i="5"/>
  <c r="AE143" i="5"/>
  <c r="G143" i="5"/>
  <c r="AQ141" i="6"/>
  <c r="AV141" i="6"/>
  <c r="AU141" i="6"/>
  <c r="AH141" i="6"/>
  <c r="AT141" i="6"/>
  <c r="AI141" i="6"/>
  <c r="AS141" i="6"/>
  <c r="AY141" i="6"/>
  <c r="AG141" i="6"/>
  <c r="AF141" i="6"/>
  <c r="AE141" i="6"/>
  <c r="AZ141" i="6"/>
  <c r="AP141" i="6"/>
  <c r="AJ141" i="6"/>
  <c r="A142" i="6"/>
  <c r="BA141" i="6"/>
  <c r="AK141" i="6"/>
  <c r="AD141" i="6"/>
  <c r="AX141" i="6"/>
  <c r="L142" i="12" a="1"/>
  <c r="L142" i="12" s="1"/>
  <c r="J142" i="12" a="1"/>
  <c r="J142" i="12" s="1"/>
  <c r="G141" i="12"/>
  <c r="K142" i="12" l="1"/>
  <c r="A144" i="12"/>
  <c r="N144" i="5"/>
  <c r="D144" i="6" s="1"/>
  <c r="G144" i="6" s="1"/>
  <c r="AD144" i="5"/>
  <c r="B144" i="6"/>
  <c r="K144" i="5"/>
  <c r="C145" i="5"/>
  <c r="H144" i="5"/>
  <c r="G144" i="5"/>
  <c r="F144" i="5"/>
  <c r="E144" i="5"/>
  <c r="J144" i="5"/>
  <c r="B144" i="5"/>
  <c r="AE144" i="5"/>
  <c r="D144" i="5"/>
  <c r="B144" i="12" s="1"/>
  <c r="L143" i="12" a="1"/>
  <c r="L143" i="12" s="1"/>
  <c r="J143" i="12" a="1"/>
  <c r="J143" i="12" s="1"/>
  <c r="N142" i="6"/>
  <c r="M142" i="6"/>
  <c r="G143" i="6"/>
  <c r="A143" i="6"/>
  <c r="N143" i="6" s="1"/>
  <c r="G142" i="12"/>
  <c r="T143" i="5"/>
  <c r="K143" i="12" l="1"/>
  <c r="M143" i="6"/>
  <c r="AC143" i="6" s="1"/>
  <c r="A144" i="6"/>
  <c r="N144" i="6" s="1"/>
  <c r="H144" i="6"/>
  <c r="BF142" i="6"/>
  <c r="AQ142" i="6"/>
  <c r="BA142" i="6"/>
  <c r="AV142" i="6"/>
  <c r="BC142" i="6"/>
  <c r="AD142" i="6"/>
  <c r="AM142" i="6"/>
  <c r="BE142" i="6"/>
  <c r="AH142" i="6"/>
  <c r="AS142" i="6"/>
  <c r="AJ142" i="6"/>
  <c r="AK142" i="6"/>
  <c r="AP142" i="6"/>
  <c r="AT142" i="6"/>
  <c r="AE142" i="6"/>
  <c r="AC142" i="6"/>
  <c r="AI142" i="6"/>
  <c r="AO142" i="6"/>
  <c r="BB142" i="6"/>
  <c r="AG142" i="6"/>
  <c r="BD142" i="6"/>
  <c r="AR142" i="6"/>
  <c r="AU142" i="6"/>
  <c r="BG142" i="6"/>
  <c r="AN142" i="6"/>
  <c r="AZ142" i="6"/>
  <c r="AX142" i="6"/>
  <c r="AB142" i="6"/>
  <c r="AY142" i="6"/>
  <c r="AF142" i="6"/>
  <c r="G145" i="5"/>
  <c r="A145" i="12"/>
  <c r="F145" i="5"/>
  <c r="E145" i="5"/>
  <c r="B145" i="6"/>
  <c r="D145" i="5"/>
  <c r="B145" i="12" s="1"/>
  <c r="B145" i="5"/>
  <c r="N145" i="5"/>
  <c r="D145" i="6" s="1"/>
  <c r="H145" i="6" s="1"/>
  <c r="K145" i="5"/>
  <c r="H145" i="5"/>
  <c r="C146" i="5"/>
  <c r="AE145" i="5"/>
  <c r="AD145" i="5"/>
  <c r="J145" i="5"/>
  <c r="L144" i="12" a="1"/>
  <c r="L144" i="12" s="1"/>
  <c r="J144" i="12" a="1"/>
  <c r="J144" i="12" s="1"/>
  <c r="G143" i="12"/>
  <c r="T144" i="5"/>
  <c r="BD143" i="6" l="1"/>
  <c r="BA143" i="6"/>
  <c r="AS143" i="6"/>
  <c r="AB143" i="6"/>
  <c r="AJ143" i="6"/>
  <c r="BE143" i="6"/>
  <c r="AY143" i="6"/>
  <c r="K144" i="12"/>
  <c r="AF143" i="6"/>
  <c r="AR143" i="6"/>
  <c r="AT143" i="6"/>
  <c r="BF143" i="6"/>
  <c r="AI143" i="6"/>
  <c r="AU143" i="6"/>
  <c r="AH143" i="6"/>
  <c r="AV143" i="6"/>
  <c r="AG143" i="6"/>
  <c r="AE143" i="6"/>
  <c r="BG143" i="6"/>
  <c r="AO143" i="6"/>
  <c r="M144" i="6"/>
  <c r="AK143" i="6"/>
  <c r="AD143" i="6"/>
  <c r="AP143" i="6"/>
  <c r="AQ143" i="6"/>
  <c r="BB143" i="6"/>
  <c r="AN143" i="6"/>
  <c r="BC143" i="6"/>
  <c r="AX143" i="6"/>
  <c r="AZ143" i="6"/>
  <c r="AM143" i="6"/>
  <c r="G145" i="6"/>
  <c r="A145" i="6"/>
  <c r="M145" i="6" s="1"/>
  <c r="L145" i="12" a="1"/>
  <c r="L145" i="12" s="1"/>
  <c r="J145" i="12" a="1"/>
  <c r="J145" i="12" s="1"/>
  <c r="J146" i="5"/>
  <c r="C147" i="5"/>
  <c r="H146" i="5"/>
  <c r="G146" i="5"/>
  <c r="E146" i="5"/>
  <c r="F146" i="5"/>
  <c r="AE146" i="5"/>
  <c r="N146" i="5"/>
  <c r="D146" i="6" s="1"/>
  <c r="G146" i="6" s="1"/>
  <c r="K146" i="5"/>
  <c r="A146" i="12"/>
  <c r="AD146" i="5"/>
  <c r="B146" i="6"/>
  <c r="B146" i="5"/>
  <c r="D146" i="5"/>
  <c r="B146" i="12" s="1"/>
  <c r="T145" i="5"/>
  <c r="G144" i="12"/>
  <c r="H146" i="6" l="1"/>
  <c r="T146" i="5" s="1"/>
  <c r="BF144" i="6"/>
  <c r="AO144" i="6"/>
  <c r="BD144" i="6"/>
  <c r="AR144" i="6"/>
  <c r="AS144" i="6"/>
  <c r="AC144" i="6"/>
  <c r="AK144" i="6"/>
  <c r="AI144" i="6"/>
  <c r="BC144" i="6"/>
  <c r="BB144" i="6"/>
  <c r="BG144" i="6"/>
  <c r="AQ144" i="6"/>
  <c r="AE144" i="6"/>
  <c r="AF144" i="6"/>
  <c r="BA144" i="6"/>
  <c r="AV144" i="6"/>
  <c r="AG144" i="6"/>
  <c r="AY144" i="6"/>
  <c r="AM144" i="6"/>
  <c r="AZ144" i="6"/>
  <c r="BE144" i="6"/>
  <c r="AU144" i="6"/>
  <c r="AD144" i="6"/>
  <c r="AN144" i="6"/>
  <c r="AB144" i="6"/>
  <c r="AX144" i="6"/>
  <c r="AT144" i="6"/>
  <c r="AH144" i="6"/>
  <c r="AP144" i="6"/>
  <c r="AJ144" i="6"/>
  <c r="AM145" i="6"/>
  <c r="AI145" i="6"/>
  <c r="AD145" i="6"/>
  <c r="BD145" i="6"/>
  <c r="BA145" i="6"/>
  <c r="AB145" i="6"/>
  <c r="BE145" i="6"/>
  <c r="AH145" i="6"/>
  <c r="AP145" i="6"/>
  <c r="AE145" i="6"/>
  <c r="BC145" i="6"/>
  <c r="AV145" i="6"/>
  <c r="BF145" i="6"/>
  <c r="AC145" i="6"/>
  <c r="AK145" i="6"/>
  <c r="AS145" i="6"/>
  <c r="AG145" i="6"/>
  <c r="AU145" i="6"/>
  <c r="AY145" i="6"/>
  <c r="AX145" i="6"/>
  <c r="AT145" i="6"/>
  <c r="AO145" i="6"/>
  <c r="BG145" i="6"/>
  <c r="AF145" i="6"/>
  <c r="AJ145" i="6"/>
  <c r="AQ145" i="6"/>
  <c r="AR145" i="6"/>
  <c r="AN145" i="6"/>
  <c r="AZ145" i="6"/>
  <c r="BB145" i="6"/>
  <c r="D147" i="5"/>
  <c r="B147" i="12" s="1"/>
  <c r="A147" i="12"/>
  <c r="E147" i="5"/>
  <c r="B147" i="5"/>
  <c r="N147" i="5"/>
  <c r="D147" i="6" s="1"/>
  <c r="G147" i="5"/>
  <c r="C148" i="5"/>
  <c r="K147" i="5"/>
  <c r="H147" i="5"/>
  <c r="AE147" i="5"/>
  <c r="AD147" i="5"/>
  <c r="F147" i="5"/>
  <c r="B147" i="6"/>
  <c r="J147" i="5"/>
  <c r="K145" i="12"/>
  <c r="A146" i="6"/>
  <c r="L146" i="12" a="1"/>
  <c r="L146" i="12" s="1"/>
  <c r="J146" i="12" a="1"/>
  <c r="J146" i="12" s="1"/>
  <c r="N145" i="6"/>
  <c r="G145" i="12"/>
  <c r="K146" i="12" l="1"/>
  <c r="A147" i="6"/>
  <c r="N147" i="6" s="1"/>
  <c r="L147" i="12" a="1"/>
  <c r="L147" i="12" s="1"/>
  <c r="J147" i="12" a="1"/>
  <c r="J147" i="12" s="1"/>
  <c r="M146" i="6"/>
  <c r="N146" i="6"/>
  <c r="G147" i="6"/>
  <c r="H147" i="6"/>
  <c r="B148" i="6"/>
  <c r="G148" i="5"/>
  <c r="AE148" i="5"/>
  <c r="AD148" i="5"/>
  <c r="K148" i="5"/>
  <c r="J148" i="5"/>
  <c r="C149" i="5"/>
  <c r="H148" i="5"/>
  <c r="E148" i="5"/>
  <c r="B148" i="5"/>
  <c r="D148" i="5"/>
  <c r="B148" i="12" s="1"/>
  <c r="F148" i="5"/>
  <c r="A148" i="12"/>
  <c r="N148" i="5"/>
  <c r="D148" i="6" s="1"/>
  <c r="G146" i="12"/>
  <c r="K147" i="12" l="1"/>
  <c r="M147" i="6"/>
  <c r="AV147" i="6" s="1"/>
  <c r="J148" i="12" a="1"/>
  <c r="J148" i="12" s="1"/>
  <c r="L148" i="12" a="1"/>
  <c r="L148" i="12" s="1"/>
  <c r="A148" i="6"/>
  <c r="N148" i="6" s="1"/>
  <c r="T147" i="5"/>
  <c r="G147" i="12" s="1"/>
  <c r="G148" i="6"/>
  <c r="H148" i="6"/>
  <c r="T148" i="5" s="1"/>
  <c r="AD149" i="5"/>
  <c r="E149" i="5"/>
  <c r="N149" i="5"/>
  <c r="D149" i="6" s="1"/>
  <c r="H149" i="6" s="1"/>
  <c r="K149" i="5"/>
  <c r="AE149" i="5"/>
  <c r="C150" i="5"/>
  <c r="J149" i="5"/>
  <c r="H149" i="5"/>
  <c r="B149" i="6"/>
  <c r="G149" i="5"/>
  <c r="F149" i="5"/>
  <c r="B149" i="5"/>
  <c r="A149" i="12"/>
  <c r="D149" i="5"/>
  <c r="B149" i="12" s="1"/>
  <c r="AI146" i="6"/>
  <c r="AS146" i="6"/>
  <c r="AN146" i="6"/>
  <c r="BD146" i="6"/>
  <c r="AJ146" i="6"/>
  <c r="AB146" i="6"/>
  <c r="BC146" i="6"/>
  <c r="AZ146" i="6"/>
  <c r="BE146" i="6"/>
  <c r="AP146" i="6"/>
  <c r="BB146" i="6"/>
  <c r="AE146" i="6"/>
  <c r="AC146" i="6"/>
  <c r="AY146" i="6"/>
  <c r="AO146" i="6"/>
  <c r="BF146" i="6"/>
  <c r="AV146" i="6"/>
  <c r="AF146" i="6"/>
  <c r="AK146" i="6"/>
  <c r="AG146" i="6"/>
  <c r="AR146" i="6"/>
  <c r="AU146" i="6"/>
  <c r="AT146" i="6"/>
  <c r="AQ146" i="6"/>
  <c r="AD146" i="6"/>
  <c r="AH146" i="6"/>
  <c r="AM146" i="6"/>
  <c r="AX146" i="6"/>
  <c r="BA146" i="6"/>
  <c r="BG146" i="6"/>
  <c r="M148" i="6" l="1"/>
  <c r="AV148" i="6" s="1"/>
  <c r="K148" i="12"/>
  <c r="G149" i="6"/>
  <c r="BE147" i="6"/>
  <c r="AY147" i="6"/>
  <c r="AE147" i="6"/>
  <c r="BG147" i="6"/>
  <c r="AB147" i="6"/>
  <c r="AH147" i="6"/>
  <c r="AU147" i="6"/>
  <c r="AN147" i="6"/>
  <c r="AO147" i="6"/>
  <c r="AG147" i="6"/>
  <c r="AX147" i="6"/>
  <c r="AQ147" i="6"/>
  <c r="AJ147" i="6"/>
  <c r="BC147" i="6"/>
  <c r="BF147" i="6"/>
  <c r="AD147" i="6"/>
  <c r="BD147" i="6"/>
  <c r="AF147" i="6"/>
  <c r="AT147" i="6"/>
  <c r="BA147" i="6"/>
  <c r="AR147" i="6"/>
  <c r="AS147" i="6"/>
  <c r="AM147" i="6"/>
  <c r="AI147" i="6"/>
  <c r="AP147" i="6"/>
  <c r="BB147" i="6"/>
  <c r="AC147" i="6"/>
  <c r="AZ147" i="6"/>
  <c r="AK147" i="6"/>
  <c r="N150" i="5"/>
  <c r="D150" i="6" s="1"/>
  <c r="G150" i="6" s="1"/>
  <c r="AE150" i="5"/>
  <c r="AD150" i="5"/>
  <c r="K150" i="5"/>
  <c r="J150" i="5"/>
  <c r="D150" i="5"/>
  <c r="B150" i="12" s="1"/>
  <c r="F150" i="5"/>
  <c r="C151" i="5"/>
  <c r="H150" i="5"/>
  <c r="G150" i="5"/>
  <c r="A150" i="12"/>
  <c r="B150" i="6"/>
  <c r="E150" i="5"/>
  <c r="B150" i="5"/>
  <c r="A149" i="6"/>
  <c r="L149" i="12" a="1"/>
  <c r="L149" i="12" s="1"/>
  <c r="J149" i="12" a="1"/>
  <c r="J149" i="12" s="1"/>
  <c r="G148" i="12"/>
  <c r="T149" i="5"/>
  <c r="AP148" i="6" l="1"/>
  <c r="AM148" i="6"/>
  <c r="BG148" i="6"/>
  <c r="AS148" i="6"/>
  <c r="AZ148" i="6"/>
  <c r="AC148" i="6"/>
  <c r="BD148" i="6"/>
  <c r="AE148" i="6"/>
  <c r="AU148" i="6"/>
  <c r="AG148" i="6"/>
  <c r="BA148" i="6"/>
  <c r="AJ148" i="6"/>
  <c r="AR148" i="6"/>
  <c r="AI148" i="6"/>
  <c r="BB148" i="6"/>
  <c r="BC148" i="6"/>
  <c r="AH148" i="6"/>
  <c r="BE148" i="6"/>
  <c r="AN148" i="6"/>
  <c r="AF148" i="6"/>
  <c r="BF148" i="6"/>
  <c r="AX148" i="6"/>
  <c r="AY148" i="6"/>
  <c r="AQ148" i="6"/>
  <c r="AK148" i="6"/>
  <c r="AD148" i="6"/>
  <c r="AT148" i="6"/>
  <c r="AB148" i="6"/>
  <c r="AO148" i="6"/>
  <c r="H150" i="6"/>
  <c r="T150" i="5" s="1"/>
  <c r="A150" i="6"/>
  <c r="N150" i="6" s="1"/>
  <c r="J150" i="12" a="1"/>
  <c r="J150" i="12" s="1"/>
  <c r="L150" i="12" a="1"/>
  <c r="L150" i="12" s="1"/>
  <c r="D151" i="5"/>
  <c r="B151" i="12" s="1"/>
  <c r="N151" i="5"/>
  <c r="D151" i="6" s="1"/>
  <c r="G151" i="6" s="1"/>
  <c r="AE151" i="5"/>
  <c r="B151" i="5"/>
  <c r="J151" i="5"/>
  <c r="A151" i="12"/>
  <c r="B151" i="6"/>
  <c r="AD151" i="5"/>
  <c r="K151" i="5"/>
  <c r="C152" i="5"/>
  <c r="G151" i="5"/>
  <c r="H151" i="5"/>
  <c r="E151" i="5"/>
  <c r="F151" i="5"/>
  <c r="K149" i="12"/>
  <c r="N149" i="6"/>
  <c r="M149" i="6"/>
  <c r="G149" i="12"/>
  <c r="H151" i="6" l="1"/>
  <c r="T151" i="5" s="1"/>
  <c r="K150" i="12"/>
  <c r="M150" i="6"/>
  <c r="AY150" i="6" s="1"/>
  <c r="A151" i="6"/>
  <c r="BC149" i="6"/>
  <c r="AH149" i="6"/>
  <c r="AY149" i="6"/>
  <c r="AT149" i="6"/>
  <c r="BF149" i="6"/>
  <c r="AQ149" i="6"/>
  <c r="AU149" i="6"/>
  <c r="BE149" i="6"/>
  <c r="AN149" i="6"/>
  <c r="AI149" i="6"/>
  <c r="AF149" i="6"/>
  <c r="AK149" i="6"/>
  <c r="AG149" i="6"/>
  <c r="AZ149" i="6"/>
  <c r="AV149" i="6"/>
  <c r="AM149" i="6"/>
  <c r="BD149" i="6"/>
  <c r="BG149" i="6"/>
  <c r="AB149" i="6"/>
  <c r="BA149" i="6"/>
  <c r="AD149" i="6"/>
  <c r="BB149" i="6"/>
  <c r="AC149" i="6"/>
  <c r="AR149" i="6"/>
  <c r="AP149" i="6"/>
  <c r="AJ149" i="6"/>
  <c r="AS149" i="6"/>
  <c r="AO149" i="6"/>
  <c r="AX149" i="6"/>
  <c r="AE149" i="6"/>
  <c r="D152" i="5"/>
  <c r="B152" i="12" s="1"/>
  <c r="B152" i="5"/>
  <c r="N152" i="5"/>
  <c r="D152" i="6" s="1"/>
  <c r="H152" i="6" s="1"/>
  <c r="AE152" i="5"/>
  <c r="A152" i="12"/>
  <c r="F152" i="5"/>
  <c r="E152" i="5"/>
  <c r="H152" i="5"/>
  <c r="G152" i="5"/>
  <c r="C153" i="5"/>
  <c r="B152" i="6"/>
  <c r="AD152" i="5"/>
  <c r="K152" i="5"/>
  <c r="J152" i="5"/>
  <c r="L151" i="12" a="1"/>
  <c r="L151" i="12" s="1"/>
  <c r="J151" i="12" a="1"/>
  <c r="J151" i="12" s="1"/>
  <c r="G150" i="12"/>
  <c r="AT150" i="6" l="1"/>
  <c r="AP150" i="6"/>
  <c r="BC150" i="6"/>
  <c r="AE150" i="6"/>
  <c r="BE150" i="6"/>
  <c r="AU150" i="6"/>
  <c r="BD150" i="6"/>
  <c r="AC150" i="6"/>
  <c r="BG150" i="6"/>
  <c r="AH150" i="6"/>
  <c r="AQ150" i="6"/>
  <c r="AR150" i="6"/>
  <c r="AF150" i="6"/>
  <c r="AG150" i="6"/>
  <c r="AB150" i="6"/>
  <c r="G152" i="6"/>
  <c r="AD150" i="6"/>
  <c r="AZ150" i="6"/>
  <c r="AN150" i="6"/>
  <c r="AJ150" i="6"/>
  <c r="AI150" i="6"/>
  <c r="AO150" i="6"/>
  <c r="BB150" i="6"/>
  <c r="AM150" i="6"/>
  <c r="BA150" i="6"/>
  <c r="BF150" i="6"/>
  <c r="AK150" i="6"/>
  <c r="AX150" i="6"/>
  <c r="AS150" i="6"/>
  <c r="AV150" i="6"/>
  <c r="M151" i="6"/>
  <c r="N151" i="6"/>
  <c r="J152" i="12" a="1"/>
  <c r="J152" i="12" s="1"/>
  <c r="L152" i="12" a="1"/>
  <c r="L152" i="12" s="1"/>
  <c r="K151" i="12"/>
  <c r="A152" i="6"/>
  <c r="N153" i="5"/>
  <c r="D153" i="6" s="1"/>
  <c r="B153" i="5"/>
  <c r="G153" i="5"/>
  <c r="AE153" i="5"/>
  <c r="F153" i="5"/>
  <c r="J153" i="5"/>
  <c r="A153" i="12"/>
  <c r="E153" i="5"/>
  <c r="B153" i="6"/>
  <c r="D153" i="5"/>
  <c r="B153" i="12" s="1"/>
  <c r="AD153" i="5"/>
  <c r="K153" i="5"/>
  <c r="C154" i="5"/>
  <c r="H153" i="5"/>
  <c r="G151" i="12"/>
  <c r="T152" i="5"/>
  <c r="K152" i="12" l="1"/>
  <c r="A153" i="6"/>
  <c r="M153" i="6" s="1"/>
  <c r="AM153" i="6" s="1"/>
  <c r="H153" i="6"/>
  <c r="G153" i="6"/>
  <c r="AM151" i="6"/>
  <c r="BE151" i="6"/>
  <c r="BF151" i="6"/>
  <c r="BD151" i="6"/>
  <c r="AY151" i="6"/>
  <c r="AQ151" i="6"/>
  <c r="AG151" i="6"/>
  <c r="AP151" i="6"/>
  <c r="AZ151" i="6"/>
  <c r="AF151" i="6"/>
  <c r="AB151" i="6"/>
  <c r="AS151" i="6"/>
  <c r="AR151" i="6"/>
  <c r="AN151" i="6"/>
  <c r="AK151" i="6"/>
  <c r="AC151" i="6"/>
  <c r="BB151" i="6"/>
  <c r="AE151" i="6"/>
  <c r="BG151" i="6"/>
  <c r="AO151" i="6"/>
  <c r="AX151" i="6"/>
  <c r="AH151" i="6"/>
  <c r="AV151" i="6"/>
  <c r="AU151" i="6"/>
  <c r="BA151" i="6"/>
  <c r="AJ151" i="6"/>
  <c r="AI151" i="6"/>
  <c r="AT151" i="6"/>
  <c r="AD151" i="6"/>
  <c r="BC151" i="6"/>
  <c r="J153" i="12" a="1"/>
  <c r="J153" i="12" s="1"/>
  <c r="L153" i="12" a="1"/>
  <c r="L153" i="12" s="1"/>
  <c r="A154" i="12"/>
  <c r="AE154" i="5"/>
  <c r="F154" i="5"/>
  <c r="E154" i="5"/>
  <c r="N154" i="5"/>
  <c r="D154" i="6" s="1"/>
  <c r="B154" i="6"/>
  <c r="AD154" i="5"/>
  <c r="C155" i="5"/>
  <c r="D154" i="5"/>
  <c r="B154" i="12" s="1"/>
  <c r="B154" i="5"/>
  <c r="J154" i="5"/>
  <c r="H154" i="5"/>
  <c r="K154" i="5"/>
  <c r="G154" i="5"/>
  <c r="M152" i="6"/>
  <c r="N152" i="6"/>
  <c r="G152" i="12"/>
  <c r="BA153" i="6" l="1"/>
  <c r="AN153" i="6"/>
  <c r="BF153" i="6"/>
  <c r="BG153" i="6"/>
  <c r="BB153" i="6"/>
  <c r="BE153" i="6"/>
  <c r="AB153" i="6"/>
  <c r="AT153" i="6"/>
  <c r="AR153" i="6"/>
  <c r="AP153" i="6"/>
  <c r="AQ153" i="6"/>
  <c r="K153" i="12"/>
  <c r="BD153" i="6"/>
  <c r="BC153" i="6"/>
  <c r="AZ153" i="6"/>
  <c r="AX153" i="6"/>
  <c r="AV153" i="6"/>
  <c r="AU153" i="6"/>
  <c r="N153" i="6"/>
  <c r="AS153" i="6"/>
  <c r="AO153" i="6"/>
  <c r="AY153" i="6"/>
  <c r="AE153" i="6"/>
  <c r="AJ153" i="6"/>
  <c r="AD153" i="6"/>
  <c r="AG153" i="6"/>
  <c r="AF153" i="6"/>
  <c r="AC153" i="6"/>
  <c r="AK153" i="6"/>
  <c r="AH153" i="6"/>
  <c r="AI153" i="6"/>
  <c r="T153" i="5"/>
  <c r="G153" i="12" s="1"/>
  <c r="A155" i="12"/>
  <c r="C156" i="5"/>
  <c r="B155" i="6"/>
  <c r="F155" i="5"/>
  <c r="H155" i="5"/>
  <c r="N155" i="5"/>
  <c r="D155" i="6" s="1"/>
  <c r="G155" i="6" s="1"/>
  <c r="AE155" i="5"/>
  <c r="AD155" i="5"/>
  <c r="K155" i="5"/>
  <c r="J155" i="5"/>
  <c r="G155" i="5"/>
  <c r="E155" i="5"/>
  <c r="D155" i="5"/>
  <c r="B155" i="12" s="1"/>
  <c r="B155" i="5"/>
  <c r="G154" i="6"/>
  <c r="BB152" i="6"/>
  <c r="AY152" i="6"/>
  <c r="AO152" i="6"/>
  <c r="AK152" i="6"/>
  <c r="BD152" i="6"/>
  <c r="AV152" i="6"/>
  <c r="AD152" i="6"/>
  <c r="AI152" i="6"/>
  <c r="AN152" i="6"/>
  <c r="AM152" i="6"/>
  <c r="AE152" i="6"/>
  <c r="AU152" i="6"/>
  <c r="BC152" i="6"/>
  <c r="AB152" i="6"/>
  <c r="AQ152" i="6"/>
  <c r="AT152" i="6"/>
  <c r="AH152" i="6"/>
  <c r="AF152" i="6"/>
  <c r="AG152" i="6"/>
  <c r="AC152" i="6"/>
  <c r="AJ152" i="6"/>
  <c r="AR152" i="6"/>
  <c r="BG152" i="6"/>
  <c r="AP152" i="6"/>
  <c r="AS152" i="6"/>
  <c r="AZ152" i="6"/>
  <c r="BA152" i="6"/>
  <c r="BE152" i="6"/>
  <c r="BF152" i="6"/>
  <c r="AX152" i="6"/>
  <c r="A154" i="6"/>
  <c r="N154" i="6" s="1"/>
  <c r="H154" i="6"/>
  <c r="L154" i="12" a="1"/>
  <c r="L154" i="12" s="1"/>
  <c r="J154" i="12" a="1"/>
  <c r="J154" i="12" s="1"/>
  <c r="H155" i="6" l="1"/>
  <c r="T155" i="5" s="1"/>
  <c r="A155" i="6"/>
  <c r="M155" i="6" s="1"/>
  <c r="T154" i="5"/>
  <c r="G154" i="12" s="1"/>
  <c r="G156" i="5"/>
  <c r="F156" i="5"/>
  <c r="K156" i="5"/>
  <c r="E156" i="5"/>
  <c r="D156" i="5"/>
  <c r="B156" i="12" s="1"/>
  <c r="J156" i="5"/>
  <c r="B156" i="5"/>
  <c r="B156" i="6"/>
  <c r="H156" i="5"/>
  <c r="A156" i="12"/>
  <c r="AE156" i="5"/>
  <c r="AD156" i="5"/>
  <c r="N156" i="5"/>
  <c r="D156" i="6" s="1"/>
  <c r="H156" i="6" s="1"/>
  <c r="C157" i="5"/>
  <c r="K154" i="12"/>
  <c r="L155" i="12" a="1"/>
  <c r="L155" i="12" s="1"/>
  <c r="J155" i="12" a="1"/>
  <c r="J155" i="12" s="1"/>
  <c r="M154" i="6"/>
  <c r="AC154" i="6" s="1"/>
  <c r="A156" i="6" l="1"/>
  <c r="N156" i="6" s="1"/>
  <c r="G156" i="6"/>
  <c r="N155" i="6"/>
  <c r="K155" i="12"/>
  <c r="AB154" i="6"/>
  <c r="AO155" i="6"/>
  <c r="AY155" i="6"/>
  <c r="AB155" i="6"/>
  <c r="BA155" i="6"/>
  <c r="AN155" i="6"/>
  <c r="BG155" i="6"/>
  <c r="BF155" i="6"/>
  <c r="BD155" i="6"/>
  <c r="AQ155" i="6"/>
  <c r="AD155" i="6"/>
  <c r="AH155" i="6"/>
  <c r="AR155" i="6"/>
  <c r="AS155" i="6"/>
  <c r="AI155" i="6"/>
  <c r="AC155" i="6"/>
  <c r="AK155" i="6"/>
  <c r="BC155" i="6"/>
  <c r="AV155" i="6"/>
  <c r="BB155" i="6"/>
  <c r="AX155" i="6"/>
  <c r="AM155" i="6"/>
  <c r="AF155" i="6"/>
  <c r="AG155" i="6"/>
  <c r="AZ155" i="6"/>
  <c r="BE155" i="6"/>
  <c r="AE155" i="6"/>
  <c r="AT155" i="6"/>
  <c r="AU155" i="6"/>
  <c r="AP155" i="6"/>
  <c r="AJ155" i="6"/>
  <c r="B157" i="6"/>
  <c r="C158" i="5"/>
  <c r="B157" i="5"/>
  <c r="D157" i="5"/>
  <c r="B157" i="12" s="1"/>
  <c r="N157" i="5"/>
  <c r="D157" i="6" s="1"/>
  <c r="H157" i="6" s="1"/>
  <c r="J157" i="5"/>
  <c r="G157" i="5"/>
  <c r="AE157" i="5"/>
  <c r="AD157" i="5"/>
  <c r="A157" i="12"/>
  <c r="K157" i="5"/>
  <c r="E157" i="5"/>
  <c r="H157" i="5"/>
  <c r="F157" i="5"/>
  <c r="AN154" i="6"/>
  <c r="AR154" i="6"/>
  <c r="AJ154" i="6"/>
  <c r="AM154" i="6"/>
  <c r="AU154" i="6"/>
  <c r="AY154" i="6"/>
  <c r="AO154" i="6"/>
  <c r="BA154" i="6"/>
  <c r="AK154" i="6"/>
  <c r="AP154" i="6"/>
  <c r="AT154" i="6"/>
  <c r="AV154" i="6"/>
  <c r="BB154" i="6"/>
  <c r="BG154" i="6"/>
  <c r="AG154" i="6"/>
  <c r="BF154" i="6"/>
  <c r="AX154" i="6"/>
  <c r="BE154" i="6"/>
  <c r="BC154" i="6"/>
  <c r="AS154" i="6"/>
  <c r="AQ154" i="6"/>
  <c r="BD154" i="6"/>
  <c r="AZ154" i="6"/>
  <c r="AE154" i="6"/>
  <c r="L156" i="12" a="1"/>
  <c r="L156" i="12" s="1"/>
  <c r="J156" i="12" a="1"/>
  <c r="J156" i="12" s="1"/>
  <c r="AH154" i="6"/>
  <c r="AF154" i="6"/>
  <c r="AD154" i="6"/>
  <c r="AI154" i="6"/>
  <c r="T156" i="5"/>
  <c r="G155" i="12"/>
  <c r="M156" i="6" l="1"/>
  <c r="AC156" i="6" s="1"/>
  <c r="K156" i="12"/>
  <c r="A157" i="6"/>
  <c r="M157" i="6" s="1"/>
  <c r="AS157" i="6" s="1"/>
  <c r="G158" i="5"/>
  <c r="F158" i="5"/>
  <c r="AE158" i="5"/>
  <c r="N158" i="5"/>
  <c r="D158" i="6" s="1"/>
  <c r="G158" i="6" s="1"/>
  <c r="E158" i="5"/>
  <c r="A158" i="12"/>
  <c r="B158" i="6"/>
  <c r="K158" i="5"/>
  <c r="B158" i="5"/>
  <c r="AD158" i="5"/>
  <c r="J158" i="5"/>
  <c r="H158" i="5"/>
  <c r="D158" i="5"/>
  <c r="B158" i="12" s="1"/>
  <c r="C159" i="5"/>
  <c r="G157" i="6"/>
  <c r="J157" i="12" a="1"/>
  <c r="J157" i="12" s="1"/>
  <c r="L157" i="12" a="1"/>
  <c r="L157" i="12" s="1"/>
  <c r="T157" i="5"/>
  <c r="G156" i="12"/>
  <c r="N157" i="6" l="1"/>
  <c r="BA156" i="6"/>
  <c r="AK156" i="6"/>
  <c r="AH156" i="6"/>
  <c r="BC156" i="6"/>
  <c r="AQ156" i="6"/>
  <c r="AR156" i="6"/>
  <c r="AU156" i="6"/>
  <c r="AX156" i="6"/>
  <c r="AO156" i="6"/>
  <c r="AG156" i="6"/>
  <c r="BB156" i="6"/>
  <c r="AE156" i="6"/>
  <c r="BF156" i="6"/>
  <c r="AI156" i="6"/>
  <c r="AN156" i="6"/>
  <c r="AT156" i="6"/>
  <c r="AV156" i="6"/>
  <c r="AF156" i="6"/>
  <c r="BG156" i="6"/>
  <c r="AP156" i="6"/>
  <c r="BD156" i="6"/>
  <c r="AS156" i="6"/>
  <c r="AM156" i="6"/>
  <c r="AY156" i="6"/>
  <c r="AJ156" i="6"/>
  <c r="AB156" i="6"/>
  <c r="AZ156" i="6"/>
  <c r="BE156" i="6"/>
  <c r="AD156" i="6"/>
  <c r="H158" i="6"/>
  <c r="T158" i="5" s="1"/>
  <c r="AE157" i="6"/>
  <c r="K157" i="12"/>
  <c r="AH157" i="6"/>
  <c r="AO157" i="6"/>
  <c r="BF157" i="6"/>
  <c r="AP157" i="6"/>
  <c r="BD157" i="6"/>
  <c r="AM157" i="6"/>
  <c r="AK157" i="6"/>
  <c r="AF157" i="6"/>
  <c r="BB157" i="6"/>
  <c r="BG157" i="6"/>
  <c r="AG157" i="6"/>
  <c r="AQ157" i="6"/>
  <c r="AB157" i="6"/>
  <c r="AR157" i="6"/>
  <c r="AV157" i="6"/>
  <c r="AX157" i="6"/>
  <c r="AD157" i="6"/>
  <c r="AY157" i="6"/>
  <c r="L158" i="12" a="1"/>
  <c r="L158" i="12" s="1"/>
  <c r="J158" i="12" a="1"/>
  <c r="J158" i="12" s="1"/>
  <c r="AI157" i="6"/>
  <c r="AU157" i="6"/>
  <c r="A158" i="6"/>
  <c r="AN157" i="6"/>
  <c r="AZ157" i="6"/>
  <c r="BA157" i="6"/>
  <c r="N159" i="5"/>
  <c r="D159" i="6" s="1"/>
  <c r="G159" i="5"/>
  <c r="J159" i="5"/>
  <c r="C160" i="5"/>
  <c r="A159" i="12"/>
  <c r="H159" i="5"/>
  <c r="F159" i="5"/>
  <c r="AE159" i="5"/>
  <c r="AD159" i="5"/>
  <c r="K159" i="5"/>
  <c r="B159" i="6"/>
  <c r="E159" i="5"/>
  <c r="D159" i="5"/>
  <c r="B159" i="12" s="1"/>
  <c r="B159" i="5"/>
  <c r="AJ157" i="6"/>
  <c r="AT157" i="6"/>
  <c r="BC157" i="6"/>
  <c r="AC157" i="6"/>
  <c r="BE157" i="6"/>
  <c r="G157" i="12"/>
  <c r="A159" i="6" l="1"/>
  <c r="N159" i="6" s="1"/>
  <c r="B160" i="5"/>
  <c r="D160" i="5"/>
  <c r="B160" i="12" s="1"/>
  <c r="C161" i="5"/>
  <c r="F160" i="5"/>
  <c r="E160" i="5"/>
  <c r="A160" i="12"/>
  <c r="G160" i="5"/>
  <c r="K160" i="5"/>
  <c r="J160" i="5"/>
  <c r="B160" i="6"/>
  <c r="N160" i="5"/>
  <c r="D160" i="6" s="1"/>
  <c r="AE160" i="5"/>
  <c r="AD160" i="5"/>
  <c r="H160" i="5"/>
  <c r="H159" i="6"/>
  <c r="T159" i="5" s="1"/>
  <c r="G159" i="6"/>
  <c r="M158" i="6"/>
  <c r="N158" i="6"/>
  <c r="L159" i="12" a="1"/>
  <c r="L159" i="12" s="1"/>
  <c r="J159" i="12" a="1"/>
  <c r="J159" i="12" s="1"/>
  <c r="K158" i="12"/>
  <c r="G158" i="12"/>
  <c r="M159" i="6" l="1"/>
  <c r="AO159" i="6" s="1"/>
  <c r="A160" i="6"/>
  <c r="M160" i="6" s="1"/>
  <c r="BD160" i="6" s="1"/>
  <c r="AO158" i="6"/>
  <c r="AG158" i="6"/>
  <c r="AI158" i="6"/>
  <c r="AB158" i="6"/>
  <c r="AM158" i="6"/>
  <c r="BC158" i="6"/>
  <c r="AJ158" i="6"/>
  <c r="AE158" i="6"/>
  <c r="AZ158" i="6"/>
  <c r="AC158" i="6"/>
  <c r="AR158" i="6"/>
  <c r="BF158" i="6"/>
  <c r="AD158" i="6"/>
  <c r="AT158" i="6"/>
  <c r="AY158" i="6"/>
  <c r="AV158" i="6"/>
  <c r="BG158" i="6"/>
  <c r="AH158" i="6"/>
  <c r="AQ158" i="6"/>
  <c r="BB158" i="6"/>
  <c r="BE158" i="6"/>
  <c r="BA158" i="6"/>
  <c r="AX158" i="6"/>
  <c r="AS158" i="6"/>
  <c r="AP158" i="6"/>
  <c r="AU158" i="6"/>
  <c r="BD158" i="6"/>
  <c r="AF158" i="6"/>
  <c r="AK158" i="6"/>
  <c r="AN158" i="6"/>
  <c r="J160" i="12" a="1"/>
  <c r="J160" i="12" s="1"/>
  <c r="L160" i="12" a="1"/>
  <c r="L160" i="12" s="1"/>
  <c r="G160" i="6"/>
  <c r="N161" i="5"/>
  <c r="D161" i="6" s="1"/>
  <c r="H161" i="6" s="1"/>
  <c r="AE161" i="5"/>
  <c r="B161" i="5"/>
  <c r="C162" i="5"/>
  <c r="K161" i="5"/>
  <c r="F161" i="5"/>
  <c r="A161" i="12"/>
  <c r="J161" i="5"/>
  <c r="G161" i="5"/>
  <c r="E161" i="5"/>
  <c r="B161" i="6"/>
  <c r="H161" i="5"/>
  <c r="AD161" i="5"/>
  <c r="D161" i="5"/>
  <c r="B161" i="12" s="1"/>
  <c r="H160" i="6"/>
  <c r="K159" i="12"/>
  <c r="G159" i="12"/>
  <c r="AS159" i="6" l="1"/>
  <c r="AR159" i="6"/>
  <c r="AT159" i="6"/>
  <c r="AC159" i="6"/>
  <c r="AU159" i="6"/>
  <c r="BC159" i="6"/>
  <c r="AY159" i="6"/>
  <c r="AT160" i="6"/>
  <c r="AZ159" i="6"/>
  <c r="BA160" i="6"/>
  <c r="AC160" i="6"/>
  <c r="AV159" i="6"/>
  <c r="AH159" i="6"/>
  <c r="AG159" i="6"/>
  <c r="BE159" i="6"/>
  <c r="AK159" i="6"/>
  <c r="AQ159" i="6"/>
  <c r="BF159" i="6"/>
  <c r="AX159" i="6"/>
  <c r="BC160" i="6"/>
  <c r="AD159" i="6"/>
  <c r="BB160" i="6"/>
  <c r="AB159" i="6"/>
  <c r="AE159" i="6"/>
  <c r="BE160" i="6"/>
  <c r="AP160" i="6"/>
  <c r="BG159" i="6"/>
  <c r="AM159" i="6"/>
  <c r="AI159" i="6"/>
  <c r="BD159" i="6"/>
  <c r="AN159" i="6"/>
  <c r="BA159" i="6"/>
  <c r="AJ159" i="6"/>
  <c r="AP159" i="6"/>
  <c r="AF159" i="6"/>
  <c r="BB159" i="6"/>
  <c r="G161" i="6"/>
  <c r="AY160" i="6"/>
  <c r="AN160" i="6"/>
  <c r="AD160" i="6"/>
  <c r="AV160" i="6"/>
  <c r="AX160" i="6"/>
  <c r="BG160" i="6"/>
  <c r="AU160" i="6"/>
  <c r="AR160" i="6"/>
  <c r="K160" i="12"/>
  <c r="AK160" i="6"/>
  <c r="AS160" i="6"/>
  <c r="AZ160" i="6"/>
  <c r="AO160" i="6"/>
  <c r="BF160" i="6"/>
  <c r="T160" i="5"/>
  <c r="G160" i="12" s="1"/>
  <c r="AQ160" i="6"/>
  <c r="AM160" i="6"/>
  <c r="N160" i="6"/>
  <c r="K162" i="5"/>
  <c r="J162" i="5"/>
  <c r="D162" i="5"/>
  <c r="B162" i="12" s="1"/>
  <c r="N162" i="5"/>
  <c r="D162" i="6" s="1"/>
  <c r="H162" i="6" s="1"/>
  <c r="C163" i="5"/>
  <c r="H162" i="5"/>
  <c r="G162" i="5"/>
  <c r="A162" i="12"/>
  <c r="F162" i="5"/>
  <c r="AD162" i="5"/>
  <c r="B162" i="6"/>
  <c r="E162" i="5"/>
  <c r="B162" i="5"/>
  <c r="AE162" i="5"/>
  <c r="AH160" i="6"/>
  <c r="A161" i="6"/>
  <c r="AG160" i="6"/>
  <c r="AE160" i="6"/>
  <c r="AB160" i="6"/>
  <c r="AJ160" i="6"/>
  <c r="L161" i="12" a="1"/>
  <c r="L161" i="12" s="1"/>
  <c r="J161" i="12" a="1"/>
  <c r="J161" i="12" s="1"/>
  <c r="AI160" i="6"/>
  <c r="AF160" i="6"/>
  <c r="T161" i="5"/>
  <c r="A162" i="6" l="1"/>
  <c r="N162" i="6" s="1"/>
  <c r="K161" i="12"/>
  <c r="G162" i="6"/>
  <c r="E163" i="5"/>
  <c r="AD163" i="5"/>
  <c r="K163" i="5"/>
  <c r="C164" i="5"/>
  <c r="J163" i="5"/>
  <c r="AE163" i="5"/>
  <c r="D163" i="5"/>
  <c r="B163" i="12" s="1"/>
  <c r="B163" i="5"/>
  <c r="A163" i="12"/>
  <c r="N163" i="5"/>
  <c r="D163" i="6" s="1"/>
  <c r="B163" i="6"/>
  <c r="H163" i="5"/>
  <c r="G163" i="5"/>
  <c r="F163" i="5"/>
  <c r="N161" i="6"/>
  <c r="M161" i="6"/>
  <c r="L162" i="12" a="1"/>
  <c r="L162" i="12" s="1"/>
  <c r="J162" i="12" a="1"/>
  <c r="J162" i="12" s="1"/>
  <c r="T162" i="5"/>
  <c r="G161" i="12"/>
  <c r="M162" i="6" l="1"/>
  <c r="BG162" i="6" s="1"/>
  <c r="A163" i="6"/>
  <c r="M163" i="6" s="1"/>
  <c r="BD163" i="6" s="1"/>
  <c r="J163" i="12" a="1"/>
  <c r="J163" i="12" s="1"/>
  <c r="L163" i="12" a="1"/>
  <c r="L163" i="12" s="1"/>
  <c r="K162" i="12"/>
  <c r="BF161" i="6"/>
  <c r="AD161" i="6"/>
  <c r="AE161" i="6"/>
  <c r="BA161" i="6"/>
  <c r="BG161" i="6"/>
  <c r="BC161" i="6"/>
  <c r="AF161" i="6"/>
  <c r="BE161" i="6"/>
  <c r="AX161" i="6"/>
  <c r="AK161" i="6"/>
  <c r="AJ161" i="6"/>
  <c r="AB161" i="6"/>
  <c r="AY161" i="6"/>
  <c r="AH161" i="6"/>
  <c r="AV161" i="6"/>
  <c r="AC161" i="6"/>
  <c r="AT161" i="6"/>
  <c r="AO161" i="6"/>
  <c r="AR161" i="6"/>
  <c r="AP161" i="6"/>
  <c r="AI161" i="6"/>
  <c r="BB161" i="6"/>
  <c r="AQ161" i="6"/>
  <c r="AN161" i="6"/>
  <c r="AS161" i="6"/>
  <c r="AG161" i="6"/>
  <c r="AZ161" i="6"/>
  <c r="BD161" i="6"/>
  <c r="AM161" i="6"/>
  <c r="AU161" i="6"/>
  <c r="H164" i="5"/>
  <c r="J164" i="5"/>
  <c r="G164" i="5"/>
  <c r="B164" i="6"/>
  <c r="A164" i="12"/>
  <c r="C165" i="5"/>
  <c r="AE164" i="5"/>
  <c r="K164" i="5"/>
  <c r="F164" i="5"/>
  <c r="AD164" i="5"/>
  <c r="D164" i="5"/>
  <c r="B164" i="12" s="1"/>
  <c r="B164" i="5"/>
  <c r="N164" i="5"/>
  <c r="D164" i="6" s="1"/>
  <c r="E164" i="5"/>
  <c r="G163" i="6"/>
  <c r="H163" i="6"/>
  <c r="G162" i="12"/>
  <c r="N163" i="6" l="1"/>
  <c r="AC163" i="6"/>
  <c r="BE162" i="6"/>
  <c r="AC162" i="6"/>
  <c r="AN162" i="6"/>
  <c r="AE162" i="6"/>
  <c r="AM162" i="6"/>
  <c r="AZ162" i="6"/>
  <c r="BF162" i="6"/>
  <c r="AP162" i="6"/>
  <c r="AT162" i="6"/>
  <c r="AO162" i="6"/>
  <c r="AV162" i="6"/>
  <c r="AS162" i="6"/>
  <c r="AJ162" i="6"/>
  <c r="AU162" i="6"/>
  <c r="AG162" i="6"/>
  <c r="AK162" i="6"/>
  <c r="AY162" i="6"/>
  <c r="AB162" i="6"/>
  <c r="AF162" i="6"/>
  <c r="AH162" i="6"/>
  <c r="AR162" i="6"/>
  <c r="AX162" i="6"/>
  <c r="AQ162" i="6"/>
  <c r="AI162" i="6"/>
  <c r="BD162" i="6"/>
  <c r="BA162" i="6"/>
  <c r="AD162" i="6"/>
  <c r="BB162" i="6"/>
  <c r="BC162" i="6"/>
  <c r="BG163" i="6"/>
  <c r="BA163" i="6"/>
  <c r="AR163" i="6"/>
  <c r="AX163" i="6"/>
  <c r="AK163" i="6"/>
  <c r="AF163" i="6"/>
  <c r="AV163" i="6"/>
  <c r="AB163" i="6"/>
  <c r="AE163" i="6"/>
  <c r="AS163" i="6"/>
  <c r="AD163" i="6"/>
  <c r="BB163" i="6"/>
  <c r="AT163" i="6"/>
  <c r="AH163" i="6"/>
  <c r="AP163" i="6"/>
  <c r="BF163" i="6"/>
  <c r="K163" i="12"/>
  <c r="BC163" i="6"/>
  <c r="AY163" i="6"/>
  <c r="A164" i="6"/>
  <c r="N164" i="6" s="1"/>
  <c r="BE163" i="6"/>
  <c r="AU163" i="6"/>
  <c r="AM163" i="6"/>
  <c r="AQ163" i="6"/>
  <c r="AJ163" i="6"/>
  <c r="AO163" i="6"/>
  <c r="AN163" i="6"/>
  <c r="AZ163" i="6"/>
  <c r="AI163" i="6"/>
  <c r="AG163" i="6"/>
  <c r="T163" i="5"/>
  <c r="G163" i="12" s="1"/>
  <c r="H164" i="6"/>
  <c r="T164" i="5" s="1"/>
  <c r="G164" i="6"/>
  <c r="H165" i="5"/>
  <c r="G165" i="5"/>
  <c r="N165" i="5"/>
  <c r="D165" i="6" s="1"/>
  <c r="H165" i="6" s="1"/>
  <c r="B165" i="5"/>
  <c r="C166" i="5"/>
  <c r="AE165" i="5"/>
  <c r="D165" i="5"/>
  <c r="B165" i="12" s="1"/>
  <c r="AD165" i="5"/>
  <c r="F165" i="5"/>
  <c r="A165" i="12"/>
  <c r="K165" i="5"/>
  <c r="J165" i="5"/>
  <c r="B165" i="6"/>
  <c r="E165" i="5"/>
  <c r="L164" i="12" a="1"/>
  <c r="L164" i="12" s="1"/>
  <c r="J164" i="12" a="1"/>
  <c r="J164" i="12" s="1"/>
  <c r="M164" i="6" l="1"/>
  <c r="AQ164" i="6" s="1"/>
  <c r="A165" i="6"/>
  <c r="N165" i="6" s="1"/>
  <c r="K164" i="12"/>
  <c r="F166" i="5"/>
  <c r="G166" i="5"/>
  <c r="E166" i="5"/>
  <c r="D166" i="5"/>
  <c r="B166" i="12" s="1"/>
  <c r="B166" i="5"/>
  <c r="C167" i="5"/>
  <c r="AE166" i="5"/>
  <c r="B166" i="6"/>
  <c r="H166" i="5"/>
  <c r="J166" i="5"/>
  <c r="N166" i="5"/>
  <c r="D166" i="6" s="1"/>
  <c r="G166" i="6" s="1"/>
  <c r="AD166" i="5"/>
  <c r="K166" i="5"/>
  <c r="A166" i="12"/>
  <c r="G165" i="6"/>
  <c r="J165" i="12" a="1"/>
  <c r="J165" i="12" s="1"/>
  <c r="L165" i="12" a="1"/>
  <c r="L165" i="12" s="1"/>
  <c r="T165" i="5"/>
  <c r="G164" i="12"/>
  <c r="M165" i="6" l="1"/>
  <c r="AP165" i="6" s="1"/>
  <c r="AZ164" i="6"/>
  <c r="BE164" i="6"/>
  <c r="AT164" i="6"/>
  <c r="AM164" i="6"/>
  <c r="AI164" i="6"/>
  <c r="BD164" i="6"/>
  <c r="AO164" i="6"/>
  <c r="AK164" i="6"/>
  <c r="AD164" i="6"/>
  <c r="AJ164" i="6"/>
  <c r="AH164" i="6"/>
  <c r="BC164" i="6"/>
  <c r="AF164" i="6"/>
  <c r="AE164" i="6"/>
  <c r="AP164" i="6"/>
  <c r="AB164" i="6"/>
  <c r="AN164" i="6"/>
  <c r="AS164" i="6"/>
  <c r="BG164" i="6"/>
  <c r="AY164" i="6"/>
  <c r="BA164" i="6"/>
  <c r="AV164" i="6"/>
  <c r="AG164" i="6"/>
  <c r="AU164" i="6"/>
  <c r="BF164" i="6"/>
  <c r="AC164" i="6"/>
  <c r="AR164" i="6"/>
  <c r="AX164" i="6"/>
  <c r="BB164" i="6"/>
  <c r="A166" i="6"/>
  <c r="M166" i="6" s="1"/>
  <c r="AV166" i="6" s="1"/>
  <c r="K165" i="12"/>
  <c r="H166" i="6"/>
  <c r="AE167" i="5"/>
  <c r="H167" i="5"/>
  <c r="AD167" i="5"/>
  <c r="K167" i="5"/>
  <c r="J167" i="5"/>
  <c r="G167" i="5"/>
  <c r="N167" i="5"/>
  <c r="D167" i="6" s="1"/>
  <c r="H167" i="6" s="1"/>
  <c r="F167" i="5"/>
  <c r="E167" i="5"/>
  <c r="A167" i="12"/>
  <c r="D167" i="5"/>
  <c r="B167" i="12" s="1"/>
  <c r="B167" i="5"/>
  <c r="C168" i="5" s="1"/>
  <c r="B167" i="6"/>
  <c r="J166" i="12" a="1"/>
  <c r="J166" i="12" s="1"/>
  <c r="L166" i="12" a="1"/>
  <c r="L166" i="12" s="1"/>
  <c r="G165" i="12"/>
  <c r="AT165" i="6" l="1"/>
  <c r="AQ165" i="6"/>
  <c r="AB165" i="6"/>
  <c r="AU165" i="6"/>
  <c r="AV165" i="6"/>
  <c r="BF165" i="6"/>
  <c r="BG165" i="6"/>
  <c r="AZ165" i="6"/>
  <c r="N166" i="6"/>
  <c r="BE165" i="6"/>
  <c r="AS165" i="6"/>
  <c r="AG165" i="6"/>
  <c r="AE165" i="6"/>
  <c r="BA165" i="6"/>
  <c r="AF165" i="6"/>
  <c r="AH165" i="6"/>
  <c r="BC165" i="6"/>
  <c r="BD165" i="6"/>
  <c r="AO165" i="6"/>
  <c r="AR165" i="6"/>
  <c r="AD165" i="6"/>
  <c r="AM165" i="6"/>
  <c r="BB165" i="6"/>
  <c r="AC165" i="6"/>
  <c r="AN165" i="6"/>
  <c r="AJ165" i="6"/>
  <c r="AY165" i="6"/>
  <c r="AI165" i="6"/>
  <c r="AX165" i="6"/>
  <c r="AK165" i="6"/>
  <c r="BA166" i="6"/>
  <c r="AS166" i="6"/>
  <c r="BC166" i="6"/>
  <c r="AY166" i="6"/>
  <c r="AH166" i="6"/>
  <c r="AO166" i="6"/>
  <c r="BE166" i="6"/>
  <c r="AT166" i="6"/>
  <c r="AG166" i="6"/>
  <c r="BG166" i="6"/>
  <c r="AX166" i="6"/>
  <c r="AQ166" i="6"/>
  <c r="BF166" i="6"/>
  <c r="AR166" i="6"/>
  <c r="AK166" i="6"/>
  <c r="AU166" i="6"/>
  <c r="AD166" i="6"/>
  <c r="BD166" i="6"/>
  <c r="AN166" i="6"/>
  <c r="AM166" i="6"/>
  <c r="AZ166" i="6"/>
  <c r="AP166" i="6"/>
  <c r="BB166" i="6"/>
  <c r="AB166" i="6"/>
  <c r="AC166" i="6"/>
  <c r="AF166" i="6"/>
  <c r="AJ166" i="6"/>
  <c r="AE166" i="6"/>
  <c r="AI166" i="6"/>
  <c r="T166" i="5"/>
  <c r="G166" i="12" s="1"/>
  <c r="K166" i="12"/>
  <c r="J167" i="12" a="1"/>
  <c r="J167" i="12" s="1"/>
  <c r="L167" i="12" a="1"/>
  <c r="L167" i="12" s="1"/>
  <c r="A167" i="6"/>
  <c r="N167" i="6" s="1"/>
  <c r="G167" i="6"/>
  <c r="AE168" i="5"/>
  <c r="AD168" i="5"/>
  <c r="N168" i="5"/>
  <c r="D168" i="6" s="1"/>
  <c r="M168" i="6" s="1"/>
  <c r="I168" i="5"/>
  <c r="A168" i="12"/>
  <c r="F168" i="5"/>
  <c r="B168" i="6"/>
  <c r="J168" i="6" s="1" a="1"/>
  <c r="J168" i="6" s="1"/>
  <c r="C169" i="5"/>
  <c r="H168" i="5"/>
  <c r="G168" i="5"/>
  <c r="E168" i="5"/>
  <c r="W168" i="5"/>
  <c r="H168" i="12" s="1"/>
  <c r="B168" i="5"/>
  <c r="T167" i="5"/>
  <c r="K167" i="12" l="1"/>
  <c r="A168" i="6"/>
  <c r="H168" i="6"/>
  <c r="T168" i="5" s="1"/>
  <c r="G168" i="12" s="1"/>
  <c r="AZ168" i="6"/>
  <c r="BE168" i="6"/>
  <c r="BB168" i="6"/>
  <c r="B169" i="6"/>
  <c r="D169" i="5"/>
  <c r="B169" i="12" s="1"/>
  <c r="A169" i="12"/>
  <c r="B169" i="5"/>
  <c r="N169" i="5"/>
  <c r="D169" i="6" s="1"/>
  <c r="G169" i="5"/>
  <c r="AE169" i="5"/>
  <c r="AD169" i="5"/>
  <c r="K169" i="5"/>
  <c r="J169" i="5"/>
  <c r="F169" i="5"/>
  <c r="C170" i="5"/>
  <c r="E169" i="5"/>
  <c r="H169" i="5"/>
  <c r="G168" i="6"/>
  <c r="M167" i="6"/>
  <c r="AE167" i="6" s="1"/>
  <c r="AS168" i="6"/>
  <c r="N168" i="6"/>
  <c r="BC168" i="6"/>
  <c r="AO168" i="6"/>
  <c r="AP168" i="6"/>
  <c r="AM168" i="6"/>
  <c r="BD168" i="6"/>
  <c r="AN168" i="6"/>
  <c r="AQ168" i="6"/>
  <c r="BG168" i="6"/>
  <c r="AR168" i="6"/>
  <c r="AT168" i="6"/>
  <c r="G167" i="12"/>
  <c r="AX168" i="6"/>
  <c r="AU168" i="6"/>
  <c r="BF168" i="6"/>
  <c r="BA168" i="6"/>
  <c r="AV168" i="6"/>
  <c r="AY168" i="6"/>
  <c r="AI168" i="6" l="1"/>
  <c r="AF168" i="6"/>
  <c r="AJ168" i="6"/>
  <c r="AD168" i="6"/>
  <c r="AK168" i="6"/>
  <c r="AE168" i="6"/>
  <c r="AG168" i="6"/>
  <c r="AC168" i="6"/>
  <c r="AB168" i="6"/>
  <c r="AH168" i="6"/>
  <c r="AH167" i="6"/>
  <c r="A169" i="6"/>
  <c r="M169" i="6" s="1"/>
  <c r="AP169" i="6" s="1"/>
  <c r="AJ167" i="6"/>
  <c r="AZ167" i="6"/>
  <c r="AO167" i="6"/>
  <c r="AR167" i="6"/>
  <c r="AY167" i="6"/>
  <c r="AM167" i="6"/>
  <c r="AN167" i="6"/>
  <c r="J169" i="12" a="1"/>
  <c r="J169" i="12" s="1"/>
  <c r="L169" i="12" a="1"/>
  <c r="L169" i="12" s="1"/>
  <c r="H169" i="6"/>
  <c r="T169" i="5" s="1"/>
  <c r="AD167" i="6"/>
  <c r="AU167" i="6"/>
  <c r="AP167" i="6"/>
  <c r="AK167" i="6"/>
  <c r="AI167" i="6"/>
  <c r="G169" i="6"/>
  <c r="BE167" i="6"/>
  <c r="BB167" i="6"/>
  <c r="AS167" i="6"/>
  <c r="J170" i="5"/>
  <c r="C171" i="5"/>
  <c r="G170" i="5"/>
  <c r="H170" i="5"/>
  <c r="F170" i="5"/>
  <c r="K170" i="5"/>
  <c r="E170" i="5"/>
  <c r="AE170" i="5"/>
  <c r="N170" i="5"/>
  <c r="D170" i="6" s="1"/>
  <c r="A170" i="12"/>
  <c r="AD170" i="5"/>
  <c r="B170" i="6"/>
  <c r="D170" i="5"/>
  <c r="B170" i="12" s="1"/>
  <c r="B170" i="5"/>
  <c r="BF167" i="6"/>
  <c r="BC167" i="6"/>
  <c r="AT167" i="6"/>
  <c r="AV167" i="6"/>
  <c r="AC167" i="6"/>
  <c r="BD167" i="6"/>
  <c r="AF167" i="6"/>
  <c r="AB167" i="6"/>
  <c r="AX167" i="6"/>
  <c r="AQ167" i="6"/>
  <c r="BA167" i="6"/>
  <c r="AG167" i="6"/>
  <c r="BG167" i="6"/>
  <c r="N169" i="6" l="1"/>
  <c r="K169" i="12"/>
  <c r="A170" i="6"/>
  <c r="N170" i="6" s="1"/>
  <c r="BB169" i="6"/>
  <c r="L170" i="12" a="1"/>
  <c r="L170" i="12" s="1"/>
  <c r="J170" i="12" a="1"/>
  <c r="J170" i="12" s="1"/>
  <c r="AG169" i="6"/>
  <c r="AZ169" i="6"/>
  <c r="AM169" i="6"/>
  <c r="G170" i="6"/>
  <c r="BA169" i="6"/>
  <c r="AJ169" i="6"/>
  <c r="BF169" i="6"/>
  <c r="AT169" i="6"/>
  <c r="AK169" i="6"/>
  <c r="AQ169" i="6"/>
  <c r="AH169" i="6"/>
  <c r="BD169" i="6"/>
  <c r="AO169" i="6"/>
  <c r="H170" i="6"/>
  <c r="T170" i="5" s="1"/>
  <c r="AY169" i="6"/>
  <c r="AI169" i="6"/>
  <c r="AS169" i="6"/>
  <c r="F171" i="5"/>
  <c r="N171" i="5"/>
  <c r="D171" i="6" s="1"/>
  <c r="AE171" i="5"/>
  <c r="AD171" i="5"/>
  <c r="A171" i="12"/>
  <c r="K171" i="5"/>
  <c r="B171" i="6"/>
  <c r="J171" i="5"/>
  <c r="C172" i="5"/>
  <c r="E171" i="5"/>
  <c r="B171" i="5"/>
  <c r="G171" i="5"/>
  <c r="D171" i="5"/>
  <c r="B171" i="12" s="1"/>
  <c r="H171" i="5"/>
  <c r="AX169" i="6"/>
  <c r="AV169" i="6"/>
  <c r="AE169" i="6"/>
  <c r="AC169" i="6"/>
  <c r="AN169" i="6"/>
  <c r="BC169" i="6"/>
  <c r="BE169" i="6"/>
  <c r="BG169" i="6"/>
  <c r="AF169" i="6"/>
  <c r="AB169" i="6"/>
  <c r="AU169" i="6"/>
  <c r="AD169" i="6"/>
  <c r="AR169" i="6"/>
  <c r="G169" i="12"/>
  <c r="M170" i="6" l="1"/>
  <c r="BD170" i="6" s="1"/>
  <c r="K170" i="12"/>
  <c r="G171" i="6"/>
  <c r="C173" i="5"/>
  <c r="H172" i="5"/>
  <c r="D172" i="5"/>
  <c r="B172" i="12" s="1"/>
  <c r="B172" i="5"/>
  <c r="AD172" i="5"/>
  <c r="J172" i="5"/>
  <c r="F172" i="5"/>
  <c r="AE172" i="5"/>
  <c r="K172" i="5"/>
  <c r="E172" i="5"/>
  <c r="A172" i="12"/>
  <c r="B172" i="6"/>
  <c r="N172" i="5"/>
  <c r="D172" i="6" s="1"/>
  <c r="H172" i="6" s="1"/>
  <c r="G172" i="5"/>
  <c r="A171" i="6"/>
  <c r="M171" i="6" s="1"/>
  <c r="H171" i="6"/>
  <c r="T171" i="5" s="1"/>
  <c r="J171" i="12" a="1"/>
  <c r="J171" i="12" s="1"/>
  <c r="L171" i="12" a="1"/>
  <c r="L171" i="12" s="1"/>
  <c r="G170" i="12"/>
  <c r="BA170" i="6" l="1"/>
  <c r="AH170" i="6"/>
  <c r="BC170" i="6"/>
  <c r="BG170" i="6"/>
  <c r="BE170" i="6"/>
  <c r="AZ170" i="6"/>
  <c r="AF170" i="6"/>
  <c r="AX170" i="6"/>
  <c r="AG170" i="6"/>
  <c r="AB170" i="6"/>
  <c r="AR170" i="6"/>
  <c r="AP170" i="6"/>
  <c r="AK170" i="6"/>
  <c r="AY170" i="6"/>
  <c r="AE170" i="6"/>
  <c r="AQ170" i="6"/>
  <c r="AV170" i="6"/>
  <c r="AJ170" i="6"/>
  <c r="AU170" i="6"/>
  <c r="AO170" i="6"/>
  <c r="AI170" i="6"/>
  <c r="AM170" i="6"/>
  <c r="BF170" i="6"/>
  <c r="AC170" i="6"/>
  <c r="AS170" i="6"/>
  <c r="AN170" i="6"/>
  <c r="AD170" i="6"/>
  <c r="BB170" i="6"/>
  <c r="AT170" i="6"/>
  <c r="A172" i="6"/>
  <c r="M172" i="6" s="1"/>
  <c r="AZ172" i="6" s="1"/>
  <c r="K171" i="12"/>
  <c r="G172" i="6"/>
  <c r="AV171" i="6"/>
  <c r="AX171" i="6"/>
  <c r="BB171" i="6"/>
  <c r="AF171" i="6"/>
  <c r="AK171" i="6"/>
  <c r="AY171" i="6"/>
  <c r="AG171" i="6"/>
  <c r="AU171" i="6"/>
  <c r="AD171" i="6"/>
  <c r="AC171" i="6"/>
  <c r="AB171" i="6"/>
  <c r="AH171" i="6"/>
  <c r="AO171" i="6"/>
  <c r="BG171" i="6"/>
  <c r="AZ171" i="6"/>
  <c r="AR171" i="6"/>
  <c r="BC171" i="6"/>
  <c r="AM171" i="6"/>
  <c r="AT171" i="6"/>
  <c r="AS171" i="6"/>
  <c r="AN171" i="6"/>
  <c r="BD171" i="6"/>
  <c r="AI171" i="6"/>
  <c r="BF171" i="6"/>
  <c r="BE171" i="6"/>
  <c r="AP171" i="6"/>
  <c r="BA171" i="6"/>
  <c r="AJ171" i="6"/>
  <c r="AE171" i="6"/>
  <c r="AQ171" i="6"/>
  <c r="N171" i="6"/>
  <c r="D173" i="5"/>
  <c r="B173" i="12" s="1"/>
  <c r="AD173" i="5"/>
  <c r="N173" i="5"/>
  <c r="D173" i="6" s="1"/>
  <c r="G173" i="6" s="1"/>
  <c r="AE173" i="5"/>
  <c r="J173" i="5"/>
  <c r="A173" i="12"/>
  <c r="G173" i="5"/>
  <c r="F173" i="5"/>
  <c r="E173" i="5"/>
  <c r="C174" i="5"/>
  <c r="H173" i="5"/>
  <c r="K173" i="5"/>
  <c r="B173" i="6"/>
  <c r="B173" i="5"/>
  <c r="J172" i="12" a="1"/>
  <c r="J172" i="12" s="1"/>
  <c r="L172" i="12" a="1"/>
  <c r="L172" i="12" s="1"/>
  <c r="T172" i="5"/>
  <c r="G171" i="12"/>
  <c r="AB172" i="6" l="1"/>
  <c r="AX172" i="6"/>
  <c r="AR172" i="6"/>
  <c r="AH172" i="6"/>
  <c r="N172" i="6"/>
  <c r="AN172" i="6"/>
  <c r="AQ172" i="6"/>
  <c r="BG172" i="6"/>
  <c r="AC172" i="6"/>
  <c r="AO172" i="6"/>
  <c r="BF172" i="6"/>
  <c r="AG172" i="6"/>
  <c r="BC172" i="6"/>
  <c r="BA172" i="6"/>
  <c r="AS172" i="6"/>
  <c r="AI172" i="6"/>
  <c r="AM172" i="6"/>
  <c r="AP172" i="6"/>
  <c r="BD172" i="6"/>
  <c r="BB172" i="6"/>
  <c r="AV172" i="6"/>
  <c r="AE172" i="6"/>
  <c r="AF172" i="6"/>
  <c r="AY172" i="6"/>
  <c r="AU172" i="6"/>
  <c r="AT172" i="6"/>
  <c r="AK172" i="6"/>
  <c r="AD172" i="6"/>
  <c r="BE172" i="6"/>
  <c r="AJ172" i="6"/>
  <c r="A173" i="6"/>
  <c r="N173" i="6" s="1"/>
  <c r="K172" i="12"/>
  <c r="H173" i="6"/>
  <c r="T173" i="5" s="1"/>
  <c r="J174" i="5"/>
  <c r="D174" i="5"/>
  <c r="B174" i="12" s="1"/>
  <c r="AD174" i="5"/>
  <c r="C175" i="5"/>
  <c r="H174" i="5"/>
  <c r="G174" i="5"/>
  <c r="AE174" i="5"/>
  <c r="A174" i="12"/>
  <c r="F174" i="5"/>
  <c r="E174" i="5"/>
  <c r="B174" i="6"/>
  <c r="N174" i="5"/>
  <c r="D174" i="6" s="1"/>
  <c r="G174" i="6" s="1"/>
  <c r="B174" i="5"/>
  <c r="K174" i="5"/>
  <c r="J173" i="12" a="1"/>
  <c r="J173" i="12" s="1"/>
  <c r="L173" i="12" a="1"/>
  <c r="L173" i="12" s="1"/>
  <c r="G172" i="12"/>
  <c r="K173" i="12" l="1"/>
  <c r="H174" i="6"/>
  <c r="T174" i="5" s="1"/>
  <c r="M173" i="6"/>
  <c r="AG173" i="6" s="1"/>
  <c r="G175" i="5"/>
  <c r="N175" i="5"/>
  <c r="D175" i="6" s="1"/>
  <c r="G175" i="6" s="1"/>
  <c r="B175" i="6"/>
  <c r="F175" i="5"/>
  <c r="D175" i="5"/>
  <c r="B175" i="12" s="1"/>
  <c r="A175" i="12"/>
  <c r="E175" i="5"/>
  <c r="AD175" i="5"/>
  <c r="AE175" i="5"/>
  <c r="K175" i="5"/>
  <c r="J175" i="5"/>
  <c r="B175" i="5"/>
  <c r="C176" i="5"/>
  <c r="H175" i="5"/>
  <c r="L174" i="12" a="1"/>
  <c r="L174" i="12" s="1"/>
  <c r="J174" i="12" a="1"/>
  <c r="J174" i="12" s="1"/>
  <c r="A174" i="6"/>
  <c r="G173" i="12"/>
  <c r="AD173" i="6" l="1"/>
  <c r="AI173" i="6"/>
  <c r="AJ173" i="6"/>
  <c r="BD173" i="6"/>
  <c r="AO173" i="6"/>
  <c r="BC173" i="6"/>
  <c r="BA173" i="6"/>
  <c r="AX173" i="6"/>
  <c r="AC173" i="6"/>
  <c r="AQ173" i="6"/>
  <c r="AV173" i="6"/>
  <c r="AY173" i="6"/>
  <c r="BF173" i="6"/>
  <c r="AP173" i="6"/>
  <c r="AK173" i="6"/>
  <c r="BB173" i="6"/>
  <c r="AS173" i="6"/>
  <c r="AE173" i="6"/>
  <c r="AT173" i="6"/>
  <c r="BE173" i="6"/>
  <c r="AM173" i="6"/>
  <c r="AB173" i="6"/>
  <c r="AF173" i="6"/>
  <c r="AN173" i="6"/>
  <c r="BG173" i="6"/>
  <c r="AU173" i="6"/>
  <c r="AZ173" i="6"/>
  <c r="AR173" i="6"/>
  <c r="AH173" i="6"/>
  <c r="A175" i="6"/>
  <c r="N175" i="6" s="1"/>
  <c r="H175" i="6"/>
  <c r="T175" i="5" s="1"/>
  <c r="N174" i="6"/>
  <c r="M174" i="6"/>
  <c r="J175" i="12" a="1"/>
  <c r="J175" i="12" s="1"/>
  <c r="L175" i="12" a="1"/>
  <c r="L175" i="12" s="1"/>
  <c r="K174" i="12"/>
  <c r="N176" i="5"/>
  <c r="D176" i="6" s="1"/>
  <c r="AE176" i="5"/>
  <c r="AD176" i="5"/>
  <c r="H176" i="5"/>
  <c r="K176" i="5"/>
  <c r="C177" i="5"/>
  <c r="B176" i="5"/>
  <c r="A176" i="12"/>
  <c r="B176" i="6"/>
  <c r="F176" i="5"/>
  <c r="E176" i="5"/>
  <c r="J176" i="5"/>
  <c r="D176" i="5"/>
  <c r="B176" i="12" s="1"/>
  <c r="G176" i="5"/>
  <c r="G174" i="12"/>
  <c r="A176" i="6" l="1"/>
  <c r="N176" i="6" s="1"/>
  <c r="M175" i="6"/>
  <c r="BB175" i="6" s="1"/>
  <c r="K175" i="12"/>
  <c r="G176" i="6"/>
  <c r="H176" i="6"/>
  <c r="T176" i="5" s="1"/>
  <c r="J176" i="12" a="1"/>
  <c r="J176" i="12" s="1"/>
  <c r="L176" i="12" a="1"/>
  <c r="L176" i="12" s="1"/>
  <c r="AZ174" i="6"/>
  <c r="AP174" i="6"/>
  <c r="AR174" i="6"/>
  <c r="AU174" i="6"/>
  <c r="AF174" i="6"/>
  <c r="AQ174" i="6"/>
  <c r="BB174" i="6"/>
  <c r="AJ174" i="6"/>
  <c r="BG174" i="6"/>
  <c r="AX174" i="6"/>
  <c r="AG174" i="6"/>
  <c r="BA174" i="6"/>
  <c r="AI174" i="6"/>
  <c r="BE174" i="6"/>
  <c r="AB174" i="6"/>
  <c r="AE174" i="6"/>
  <c r="BD174" i="6"/>
  <c r="AO174" i="6"/>
  <c r="BF174" i="6"/>
  <c r="AC174" i="6"/>
  <c r="AS174" i="6"/>
  <c r="AM174" i="6"/>
  <c r="AK174" i="6"/>
  <c r="AD174" i="6"/>
  <c r="AH174" i="6"/>
  <c r="AN174" i="6"/>
  <c r="AT174" i="6"/>
  <c r="BC174" i="6"/>
  <c r="AV174" i="6"/>
  <c r="AY174" i="6"/>
  <c r="AE177" i="5"/>
  <c r="F177" i="5"/>
  <c r="A177" i="12"/>
  <c r="D177" i="5"/>
  <c r="B177" i="12" s="1"/>
  <c r="E177" i="5"/>
  <c r="N177" i="5"/>
  <c r="D177" i="6" s="1"/>
  <c r="H177" i="6" s="1"/>
  <c r="B177" i="6"/>
  <c r="AD177" i="5"/>
  <c r="B177" i="5"/>
  <c r="K177" i="5"/>
  <c r="J177" i="5"/>
  <c r="G177" i="5"/>
  <c r="C178" i="5"/>
  <c r="H177" i="5"/>
  <c r="G175" i="12"/>
  <c r="K176" i="12" l="1"/>
  <c r="AH175" i="6"/>
  <c r="M176" i="6"/>
  <c r="AY176" i="6" s="1"/>
  <c r="AQ175" i="6"/>
  <c r="BE175" i="6"/>
  <c r="BA175" i="6"/>
  <c r="AX175" i="6"/>
  <c r="AD175" i="6"/>
  <c r="AM175" i="6"/>
  <c r="AY175" i="6"/>
  <c r="BD175" i="6"/>
  <c r="AG175" i="6"/>
  <c r="AV175" i="6"/>
  <c r="AN175" i="6"/>
  <c r="AI175" i="6"/>
  <c r="AK175" i="6"/>
  <c r="AJ175" i="6"/>
  <c r="AT175" i="6"/>
  <c r="AS175" i="6"/>
  <c r="AP175" i="6"/>
  <c r="AO175" i="6"/>
  <c r="AU175" i="6"/>
  <c r="AC175" i="6"/>
  <c r="BG175" i="6"/>
  <c r="AR175" i="6"/>
  <c r="BC175" i="6"/>
  <c r="BF175" i="6"/>
  <c r="AB175" i="6"/>
  <c r="AF175" i="6"/>
  <c r="AZ175" i="6"/>
  <c r="AE175" i="6"/>
  <c r="G177" i="6"/>
  <c r="A177" i="6"/>
  <c r="N177" i="6" s="1"/>
  <c r="J177" i="12" a="1"/>
  <c r="J177" i="12" s="1"/>
  <c r="L177" i="12" a="1"/>
  <c r="L177" i="12" s="1"/>
  <c r="N178" i="5"/>
  <c r="D178" i="6" s="1"/>
  <c r="G178" i="6" s="1"/>
  <c r="K178" i="5"/>
  <c r="J178" i="5"/>
  <c r="C179" i="5"/>
  <c r="A178" i="12"/>
  <c r="G178" i="5"/>
  <c r="B178" i="6"/>
  <c r="AD178" i="5"/>
  <c r="AE178" i="5"/>
  <c r="F178" i="5"/>
  <c r="E178" i="5"/>
  <c r="D178" i="5"/>
  <c r="B178" i="12" s="1"/>
  <c r="B178" i="5"/>
  <c r="H178" i="5"/>
  <c r="G176" i="12"/>
  <c r="T177" i="5"/>
  <c r="AN176" i="6" l="1"/>
  <c r="AC176" i="6"/>
  <c r="AQ176" i="6"/>
  <c r="AX176" i="6"/>
  <c r="AO176" i="6"/>
  <c r="AR176" i="6"/>
  <c r="AK176" i="6"/>
  <c r="BF176" i="6"/>
  <c r="AJ176" i="6"/>
  <c r="AI176" i="6"/>
  <c r="BA176" i="6"/>
  <c r="AF176" i="6"/>
  <c r="BC176" i="6"/>
  <c r="BE176" i="6"/>
  <c r="BD176" i="6"/>
  <c r="AP176" i="6"/>
  <c r="AT176" i="6"/>
  <c r="AZ176" i="6"/>
  <c r="AH176" i="6"/>
  <c r="AB176" i="6"/>
  <c r="AG176" i="6"/>
  <c r="AD176" i="6"/>
  <c r="BG176" i="6"/>
  <c r="AV176" i="6"/>
  <c r="AE176" i="6"/>
  <c r="BB176" i="6"/>
  <c r="AU176" i="6"/>
  <c r="AM176" i="6"/>
  <c r="AS176" i="6"/>
  <c r="M177" i="6"/>
  <c r="AK177" i="6" s="1"/>
  <c r="A178" i="6"/>
  <c r="N178" i="6" s="1"/>
  <c r="J178" i="12" a="1"/>
  <c r="J178" i="12" s="1"/>
  <c r="L178" i="12" a="1"/>
  <c r="L178" i="12" s="1"/>
  <c r="E179" i="5"/>
  <c r="G179" i="5"/>
  <c r="D179" i="5"/>
  <c r="B179" i="12" s="1"/>
  <c r="B179" i="6"/>
  <c r="C180" i="5"/>
  <c r="AD179" i="5"/>
  <c r="B179" i="5"/>
  <c r="H179" i="5"/>
  <c r="J179" i="5"/>
  <c r="A179" i="12"/>
  <c r="N179" i="5"/>
  <c r="D179" i="6" s="1"/>
  <c r="G179" i="6" s="1"/>
  <c r="F179" i="5"/>
  <c r="AE179" i="5"/>
  <c r="K179" i="5"/>
  <c r="H178" i="6"/>
  <c r="K177" i="12"/>
  <c r="G177" i="12"/>
  <c r="AC177" i="6" l="1"/>
  <c r="AM177" i="6"/>
  <c r="AY177" i="6"/>
  <c r="AQ177" i="6"/>
  <c r="AG177" i="6"/>
  <c r="AO177" i="6"/>
  <c r="AH177" i="6"/>
  <c r="AP177" i="6"/>
  <c r="BC177" i="6"/>
  <c r="AF177" i="6"/>
  <c r="AE177" i="6"/>
  <c r="AD177" i="6"/>
  <c r="AT177" i="6"/>
  <c r="K178" i="12"/>
  <c r="BF177" i="6"/>
  <c r="AV177" i="6"/>
  <c r="AU177" i="6"/>
  <c r="AN177" i="6"/>
  <c r="AB177" i="6"/>
  <c r="AJ177" i="6"/>
  <c r="AX177" i="6"/>
  <c r="AS177" i="6"/>
  <c r="BA177" i="6"/>
  <c r="AR177" i="6"/>
  <c r="BD177" i="6"/>
  <c r="BE177" i="6"/>
  <c r="AI177" i="6"/>
  <c r="BB177" i="6"/>
  <c r="BG177" i="6"/>
  <c r="AZ177" i="6"/>
  <c r="A179" i="6"/>
  <c r="M179" i="6" s="1"/>
  <c r="H179" i="6"/>
  <c r="T179" i="5" s="1"/>
  <c r="M178" i="6"/>
  <c r="AE178" i="6" s="1"/>
  <c r="E180" i="5"/>
  <c r="H180" i="5"/>
  <c r="C181" i="5"/>
  <c r="D180" i="5"/>
  <c r="B180" i="12" s="1"/>
  <c r="K180" i="5"/>
  <c r="G180" i="5"/>
  <c r="N180" i="5"/>
  <c r="D180" i="6" s="1"/>
  <c r="H180" i="6" s="1"/>
  <c r="AD180" i="5"/>
  <c r="J180" i="5"/>
  <c r="B180" i="6"/>
  <c r="B180" i="5"/>
  <c r="A180" i="12"/>
  <c r="F180" i="5"/>
  <c r="AE180" i="5"/>
  <c r="T178" i="5"/>
  <c r="G178" i="12" s="1"/>
  <c r="J179" i="12" a="1"/>
  <c r="J179" i="12" s="1"/>
  <c r="L179" i="12" a="1"/>
  <c r="L179" i="12" s="1"/>
  <c r="N179" i="6" l="1"/>
  <c r="AU178" i="6"/>
  <c r="AM178" i="6"/>
  <c r="K179" i="12"/>
  <c r="AV178" i="6"/>
  <c r="AZ178" i="6"/>
  <c r="AK178" i="6"/>
  <c r="AJ178" i="6"/>
  <c r="G180" i="6"/>
  <c r="BG178" i="6"/>
  <c r="AN178" i="6"/>
  <c r="AP178" i="6"/>
  <c r="AS178" i="6"/>
  <c r="AO178" i="6"/>
  <c r="AR178" i="6"/>
  <c r="AY178" i="6"/>
  <c r="AT178" i="6"/>
  <c r="BF178" i="6"/>
  <c r="AQ178" i="6"/>
  <c r="AC178" i="6"/>
  <c r="BA178" i="6"/>
  <c r="BD178" i="6"/>
  <c r="AB178" i="6"/>
  <c r="BE178" i="6"/>
  <c r="BC178" i="6"/>
  <c r="AG178" i="6"/>
  <c r="AX178" i="6"/>
  <c r="AF178" i="6"/>
  <c r="BB178" i="6"/>
  <c r="A180" i="6"/>
  <c r="M180" i="6" s="1"/>
  <c r="BB180" i="6" s="1"/>
  <c r="AD178" i="6"/>
  <c r="AH178" i="6"/>
  <c r="AI178" i="6"/>
  <c r="H181" i="5"/>
  <c r="G181" i="5"/>
  <c r="AE181" i="5"/>
  <c r="E181" i="5"/>
  <c r="F181" i="5"/>
  <c r="K181" i="5"/>
  <c r="B181" i="6"/>
  <c r="AD181" i="5"/>
  <c r="A181" i="12"/>
  <c r="J181" i="5"/>
  <c r="C182" i="5"/>
  <c r="D181" i="5"/>
  <c r="B181" i="12" s="1"/>
  <c r="N181" i="5"/>
  <c r="D181" i="6" s="1"/>
  <c r="G181" i="6" s="1"/>
  <c r="B181" i="5"/>
  <c r="J180" i="12" a="1"/>
  <c r="J180" i="12" s="1"/>
  <c r="L180" i="12" a="1"/>
  <c r="L180" i="12" s="1"/>
  <c r="G179" i="12"/>
  <c r="T180" i="5"/>
  <c r="BE179" i="6"/>
  <c r="BA179" i="6"/>
  <c r="AQ179" i="6"/>
  <c r="AM179" i="6"/>
  <c r="AI179" i="6"/>
  <c r="AC179" i="6"/>
  <c r="AJ179" i="6"/>
  <c r="AV179" i="6"/>
  <c r="AU179" i="6"/>
  <c r="BD179" i="6"/>
  <c r="AG179" i="6"/>
  <c r="AE179" i="6"/>
  <c r="AF179" i="6"/>
  <c r="AP179" i="6"/>
  <c r="AZ179" i="6"/>
  <c r="AX179" i="6"/>
  <c r="AT179" i="6"/>
  <c r="AB179" i="6"/>
  <c r="BF179" i="6"/>
  <c r="BC179" i="6"/>
  <c r="AY179" i="6"/>
  <c r="AS179" i="6"/>
  <c r="AO179" i="6"/>
  <c r="BG179" i="6"/>
  <c r="BB179" i="6"/>
  <c r="AR179" i="6"/>
  <c r="AN179" i="6"/>
  <c r="AK179" i="6"/>
  <c r="AD179" i="6"/>
  <c r="AH179" i="6"/>
  <c r="N180" i="6" l="1"/>
  <c r="H181" i="6"/>
  <c r="AU180" i="6"/>
  <c r="AB180" i="6"/>
  <c r="AI180" i="6"/>
  <c r="AT180" i="6"/>
  <c r="AQ180" i="6"/>
  <c r="BG180" i="6"/>
  <c r="A181" i="6"/>
  <c r="M181" i="6" s="1"/>
  <c r="AN181" i="6" s="1"/>
  <c r="AF180" i="6"/>
  <c r="AG180" i="6"/>
  <c r="K180" i="12"/>
  <c r="AS180" i="6"/>
  <c r="AM180" i="6"/>
  <c r="AP180" i="6"/>
  <c r="AJ180" i="6"/>
  <c r="AY180" i="6"/>
  <c r="AX180" i="6"/>
  <c r="AR180" i="6"/>
  <c r="J181" i="12" a="1"/>
  <c r="J181" i="12" s="1"/>
  <c r="L181" i="12" a="1"/>
  <c r="L181" i="12" s="1"/>
  <c r="AV180" i="6"/>
  <c r="AO180" i="6"/>
  <c r="AD180" i="6"/>
  <c r="AZ180" i="6"/>
  <c r="BF180" i="6"/>
  <c r="BC180" i="6"/>
  <c r="BE180" i="6"/>
  <c r="AK180" i="6"/>
  <c r="AC180" i="6"/>
  <c r="AN180" i="6"/>
  <c r="AH180" i="6"/>
  <c r="BD180" i="6"/>
  <c r="AE180" i="6"/>
  <c r="BA180" i="6"/>
  <c r="C183" i="5"/>
  <c r="H182" i="5"/>
  <c r="D182" i="5"/>
  <c r="B182" i="12" s="1"/>
  <c r="B182" i="5"/>
  <c r="AE182" i="5"/>
  <c r="N182" i="5"/>
  <c r="D182" i="6" s="1"/>
  <c r="F182" i="5"/>
  <c r="G182" i="5"/>
  <c r="E182" i="5"/>
  <c r="AD182" i="5"/>
  <c r="J182" i="5"/>
  <c r="A182" i="12"/>
  <c r="K182" i="5"/>
  <c r="B182" i="6"/>
  <c r="G180" i="12"/>
  <c r="K181" i="12" l="1"/>
  <c r="AG181" i="6"/>
  <c r="N181" i="6"/>
  <c r="T181" i="5"/>
  <c r="G181" i="12" s="1"/>
  <c r="AS181" i="6"/>
  <c r="AV181" i="6"/>
  <c r="BD181" i="6"/>
  <c r="A182" i="6"/>
  <c r="M182" i="6" s="1"/>
  <c r="AM182" i="6" s="1"/>
  <c r="AQ181" i="6"/>
  <c r="BF181" i="6"/>
  <c r="AY181" i="6"/>
  <c r="AE181" i="6"/>
  <c r="BA181" i="6"/>
  <c r="AC181" i="6"/>
  <c r="AF181" i="6"/>
  <c r="AR181" i="6"/>
  <c r="BB181" i="6"/>
  <c r="AZ181" i="6"/>
  <c r="BG181" i="6"/>
  <c r="AU181" i="6"/>
  <c r="AB181" i="6"/>
  <c r="AJ181" i="6"/>
  <c r="BC181" i="6"/>
  <c r="AH181" i="6"/>
  <c r="AT181" i="6"/>
  <c r="AI181" i="6"/>
  <c r="AK181" i="6"/>
  <c r="AM181" i="6"/>
  <c r="AD181" i="6"/>
  <c r="AP181" i="6"/>
  <c r="AX181" i="6"/>
  <c r="BE181" i="6"/>
  <c r="AO181" i="6"/>
  <c r="H182" i="6"/>
  <c r="T182" i="5" s="1"/>
  <c r="G182" i="6"/>
  <c r="A183" i="12"/>
  <c r="G183" i="5"/>
  <c r="J183" i="5"/>
  <c r="AD183" i="5"/>
  <c r="K183" i="5"/>
  <c r="B183" i="5"/>
  <c r="C184" i="5"/>
  <c r="N183" i="5"/>
  <c r="D183" i="6" s="1"/>
  <c r="F183" i="5"/>
  <c r="E183" i="5"/>
  <c r="D183" i="5"/>
  <c r="B183" i="12" s="1"/>
  <c r="AE183" i="5"/>
  <c r="B183" i="6"/>
  <c r="H183" i="5"/>
  <c r="L182" i="12" a="1"/>
  <c r="L182" i="12" s="1"/>
  <c r="J182" i="12" a="1"/>
  <c r="J182" i="12" s="1"/>
  <c r="N182" i="6" l="1"/>
  <c r="AI182" i="6"/>
  <c r="AQ182" i="6"/>
  <c r="AO182" i="6"/>
  <c r="AN182" i="6"/>
  <c r="AX182" i="6"/>
  <c r="BF182" i="6"/>
  <c r="AZ182" i="6"/>
  <c r="AK182" i="6"/>
  <c r="AD182" i="6"/>
  <c r="A183" i="6"/>
  <c r="N183" i="6" s="1"/>
  <c r="AS182" i="6"/>
  <c r="AB182" i="6"/>
  <c r="AJ182" i="6"/>
  <c r="AG182" i="6"/>
  <c r="AE182" i="6"/>
  <c r="BE182" i="6"/>
  <c r="AT182" i="6"/>
  <c r="BD182" i="6"/>
  <c r="BB182" i="6"/>
  <c r="AU182" i="6"/>
  <c r="AY182" i="6"/>
  <c r="BC182" i="6"/>
  <c r="BA182" i="6"/>
  <c r="AF182" i="6"/>
  <c r="K182" i="12"/>
  <c r="AV182" i="6"/>
  <c r="AR182" i="6"/>
  <c r="BG182" i="6"/>
  <c r="AP182" i="6"/>
  <c r="J184" i="5"/>
  <c r="G184" i="5"/>
  <c r="F184" i="5"/>
  <c r="B184" i="5"/>
  <c r="N184" i="5"/>
  <c r="D184" i="6" s="1"/>
  <c r="H184" i="6" s="1"/>
  <c r="C185" i="5"/>
  <c r="E184" i="5"/>
  <c r="AE184" i="5"/>
  <c r="AD184" i="5"/>
  <c r="A184" i="12"/>
  <c r="K184" i="5"/>
  <c r="B184" i="6"/>
  <c r="H184" i="5"/>
  <c r="D184" i="5"/>
  <c r="B184" i="12" s="1"/>
  <c r="G183" i="6"/>
  <c r="AH182" i="6"/>
  <c r="AC182" i="6"/>
  <c r="H183" i="6"/>
  <c r="T183" i="5" s="1"/>
  <c r="J183" i="12" a="1"/>
  <c r="J183" i="12" s="1"/>
  <c r="L183" i="12" a="1"/>
  <c r="L183" i="12" s="1"/>
  <c r="G182" i="12"/>
  <c r="M183" i="6" l="1"/>
  <c r="AD183" i="6" s="1"/>
  <c r="K183" i="12"/>
  <c r="G184" i="6"/>
  <c r="A184" i="6"/>
  <c r="M184" i="6" s="1"/>
  <c r="K185" i="5"/>
  <c r="D185" i="5"/>
  <c r="B185" i="12" s="1"/>
  <c r="B185" i="5"/>
  <c r="AD185" i="5"/>
  <c r="J185" i="5"/>
  <c r="B185" i="6"/>
  <c r="N185" i="5"/>
  <c r="D185" i="6" s="1"/>
  <c r="AE185" i="5"/>
  <c r="G185" i="5"/>
  <c r="H185" i="5"/>
  <c r="C186" i="5"/>
  <c r="E185" i="5"/>
  <c r="A185" i="12"/>
  <c r="F185" i="5"/>
  <c r="J184" i="12" a="1"/>
  <c r="J184" i="12" s="1"/>
  <c r="L184" i="12" a="1"/>
  <c r="L184" i="12" s="1"/>
  <c r="G183" i="12"/>
  <c r="T184" i="5"/>
  <c r="K184" i="12" l="1"/>
  <c r="A185" i="6"/>
  <c r="N185" i="6" s="1"/>
  <c r="AT183" i="6"/>
  <c r="AR183" i="6"/>
  <c r="AU183" i="6"/>
  <c r="BB183" i="6"/>
  <c r="BA183" i="6"/>
  <c r="AP183" i="6"/>
  <c r="AF183" i="6"/>
  <c r="AI183" i="6"/>
  <c r="AJ183" i="6"/>
  <c r="BD183" i="6"/>
  <c r="AS183" i="6"/>
  <c r="BC183" i="6"/>
  <c r="AG183" i="6"/>
  <c r="BE183" i="6"/>
  <c r="AK183" i="6"/>
  <c r="AM183" i="6"/>
  <c r="AE183" i="6"/>
  <c r="AV183" i="6"/>
  <c r="AZ183" i="6"/>
  <c r="AX183" i="6"/>
  <c r="AH183" i="6"/>
  <c r="AC183" i="6"/>
  <c r="BG183" i="6"/>
  <c r="BF183" i="6"/>
  <c r="AB183" i="6"/>
  <c r="AN183" i="6"/>
  <c r="AY183" i="6"/>
  <c r="AQ183" i="6"/>
  <c r="AO183" i="6"/>
  <c r="BE184" i="6"/>
  <c r="AZ184" i="6"/>
  <c r="AB184" i="6"/>
  <c r="BD184" i="6"/>
  <c r="AJ184" i="6"/>
  <c r="AH184" i="6"/>
  <c r="AP184" i="6"/>
  <c r="AQ184" i="6"/>
  <c r="AD184" i="6"/>
  <c r="BG184" i="6"/>
  <c r="BC184" i="6"/>
  <c r="AU184" i="6"/>
  <c r="AV184" i="6"/>
  <c r="BA184" i="6"/>
  <c r="AG184" i="6"/>
  <c r="N184" i="6"/>
  <c r="AE184" i="6"/>
  <c r="AY184" i="6"/>
  <c r="AM184" i="6"/>
  <c r="AC184" i="6"/>
  <c r="AO184" i="6"/>
  <c r="AF184" i="6"/>
  <c r="AR184" i="6"/>
  <c r="AS184" i="6"/>
  <c r="AI184" i="6"/>
  <c r="AN184" i="6"/>
  <c r="G185" i="6"/>
  <c r="H185" i="6"/>
  <c r="AX184" i="6"/>
  <c r="BB184" i="6"/>
  <c r="J185" i="12" a="1"/>
  <c r="J185" i="12" s="1"/>
  <c r="L185" i="12" a="1"/>
  <c r="L185" i="12" s="1"/>
  <c r="AK184" i="6"/>
  <c r="AT184" i="6"/>
  <c r="BF184" i="6"/>
  <c r="J186" i="5"/>
  <c r="A186" i="12"/>
  <c r="C187" i="5"/>
  <c r="AD186" i="5"/>
  <c r="F186" i="5"/>
  <c r="N186" i="5"/>
  <c r="D186" i="6" s="1"/>
  <c r="H186" i="6" s="1"/>
  <c r="D186" i="5"/>
  <c r="B186" i="12" s="1"/>
  <c r="G186" i="5"/>
  <c r="K186" i="5"/>
  <c r="B186" i="5"/>
  <c r="B186" i="6"/>
  <c r="E186" i="5"/>
  <c r="H186" i="5"/>
  <c r="AE186" i="5"/>
  <c r="G184" i="12"/>
  <c r="M185" i="6" l="1"/>
  <c r="BD185" i="6" s="1"/>
  <c r="K185" i="12"/>
  <c r="A186" i="6"/>
  <c r="M186" i="6" s="1"/>
  <c r="BF186" i="6" s="1"/>
  <c r="G186" i="6"/>
  <c r="T185" i="5"/>
  <c r="G185" i="12" s="1"/>
  <c r="A187" i="12"/>
  <c r="E187" i="5"/>
  <c r="B187" i="6"/>
  <c r="B187" i="5"/>
  <c r="G187" i="5"/>
  <c r="H187" i="5"/>
  <c r="C188" i="5"/>
  <c r="N187" i="5"/>
  <c r="D187" i="6" s="1"/>
  <c r="G187" i="6" s="1"/>
  <c r="K187" i="5"/>
  <c r="D187" i="5"/>
  <c r="B187" i="12" s="1"/>
  <c r="J187" i="5"/>
  <c r="AD187" i="5"/>
  <c r="AE187" i="5"/>
  <c r="F187" i="5"/>
  <c r="J186" i="12" a="1"/>
  <c r="J186" i="12" s="1"/>
  <c r="L186" i="12" a="1"/>
  <c r="L186" i="12" s="1"/>
  <c r="T186" i="5"/>
  <c r="AF185" i="6" l="1"/>
  <c r="AM185" i="6"/>
  <c r="AH185" i="6"/>
  <c r="AU185" i="6"/>
  <c r="AD185" i="6"/>
  <c r="AJ185" i="6"/>
  <c r="AO185" i="6"/>
  <c r="BE185" i="6"/>
  <c r="AG185" i="6"/>
  <c r="AZ185" i="6"/>
  <c r="AT185" i="6"/>
  <c r="AN185" i="6"/>
  <c r="AV185" i="6"/>
  <c r="BF185" i="6"/>
  <c r="AP185" i="6"/>
  <c r="AE185" i="6"/>
  <c r="AK185" i="6"/>
  <c r="AC185" i="6"/>
  <c r="BG185" i="6"/>
  <c r="BB185" i="6"/>
  <c r="AQ185" i="6"/>
  <c r="BA185" i="6"/>
  <c r="AI185" i="6"/>
  <c r="AB185" i="6"/>
  <c r="AX185" i="6"/>
  <c r="BC185" i="6"/>
  <c r="AS185" i="6"/>
  <c r="AR185" i="6"/>
  <c r="AY185" i="6"/>
  <c r="N186" i="6"/>
  <c r="AB186" i="6"/>
  <c r="AJ186" i="6"/>
  <c r="AH186" i="6"/>
  <c r="AR186" i="6"/>
  <c r="AX186" i="6"/>
  <c r="AF186" i="6"/>
  <c r="BE186" i="6"/>
  <c r="AU186" i="6"/>
  <c r="AI186" i="6"/>
  <c r="AM186" i="6"/>
  <c r="AD186" i="6"/>
  <c r="AZ186" i="6"/>
  <c r="BB186" i="6"/>
  <c r="AG186" i="6"/>
  <c r="AY186" i="6"/>
  <c r="AK186" i="6"/>
  <c r="AN186" i="6"/>
  <c r="AQ186" i="6"/>
  <c r="AT186" i="6"/>
  <c r="AV186" i="6"/>
  <c r="AS186" i="6"/>
  <c r="AO186" i="6"/>
  <c r="BC186" i="6"/>
  <c r="AE186" i="6"/>
  <c r="BD186" i="6"/>
  <c r="BG186" i="6"/>
  <c r="AC186" i="6"/>
  <c r="BA186" i="6"/>
  <c r="AP186" i="6"/>
  <c r="K186" i="12"/>
  <c r="H187" i="6"/>
  <c r="T187" i="5" s="1"/>
  <c r="A187" i="6"/>
  <c r="N187" i="6" s="1"/>
  <c r="L187" i="12" a="1"/>
  <c r="L187" i="12" s="1"/>
  <c r="J187" i="12" a="1"/>
  <c r="J187" i="12" s="1"/>
  <c r="B188" i="6"/>
  <c r="AD188" i="5"/>
  <c r="B188" i="5"/>
  <c r="J188" i="5"/>
  <c r="N188" i="5"/>
  <c r="D188" i="6" s="1"/>
  <c r="K188" i="5"/>
  <c r="C189" i="5"/>
  <c r="H188" i="5"/>
  <c r="F188" i="5"/>
  <c r="E188" i="5"/>
  <c r="G188" i="5"/>
  <c r="D188" i="5"/>
  <c r="B188" i="12" s="1"/>
  <c r="A188" i="12"/>
  <c r="AE188" i="5"/>
  <c r="G186" i="12"/>
  <c r="M187" i="6" l="1"/>
  <c r="AD187" i="6" s="1"/>
  <c r="A188" i="6"/>
  <c r="M188" i="6" s="1"/>
  <c r="BD188" i="6" s="1"/>
  <c r="H188" i="6"/>
  <c r="G188" i="6"/>
  <c r="K187" i="12"/>
  <c r="A189" i="12"/>
  <c r="AE189" i="5"/>
  <c r="B189" i="6"/>
  <c r="G189" i="5"/>
  <c r="AD189" i="5"/>
  <c r="E189" i="5"/>
  <c r="N189" i="5"/>
  <c r="D189" i="6" s="1"/>
  <c r="B189" i="5"/>
  <c r="K189" i="5"/>
  <c r="C190" i="5"/>
  <c r="H189" i="5"/>
  <c r="J189" i="5"/>
  <c r="F189" i="5"/>
  <c r="D189" i="5"/>
  <c r="B189" i="12" s="1"/>
  <c r="L188" i="12" a="1"/>
  <c r="L188" i="12" s="1"/>
  <c r="J188" i="12" a="1"/>
  <c r="J188" i="12" s="1"/>
  <c r="G187" i="12"/>
  <c r="BA187" i="6" l="1"/>
  <c r="AF187" i="6"/>
  <c r="AJ187" i="6"/>
  <c r="BB187" i="6"/>
  <c r="AK187" i="6"/>
  <c r="AH187" i="6"/>
  <c r="BC187" i="6"/>
  <c r="AZ187" i="6"/>
  <c r="AV187" i="6"/>
  <c r="AI187" i="6"/>
  <c r="AX187" i="6"/>
  <c r="AR187" i="6"/>
  <c r="AP187" i="6"/>
  <c r="AN187" i="6"/>
  <c r="BF187" i="6"/>
  <c r="AY187" i="6"/>
  <c r="AE187" i="6"/>
  <c r="AS187" i="6"/>
  <c r="AB187" i="6"/>
  <c r="AM187" i="6"/>
  <c r="BG187" i="6"/>
  <c r="AQ187" i="6"/>
  <c r="AC187" i="6"/>
  <c r="BD187" i="6"/>
  <c r="BE187" i="6"/>
  <c r="AT187" i="6"/>
  <c r="AG187" i="6"/>
  <c r="AO187" i="6"/>
  <c r="AU187" i="6"/>
  <c r="AF188" i="6"/>
  <c r="T188" i="5"/>
  <c r="G188" i="12" s="1"/>
  <c r="AU188" i="6"/>
  <c r="BC188" i="6"/>
  <c r="AG188" i="6"/>
  <c r="AN188" i="6"/>
  <c r="AM188" i="6"/>
  <c r="AK188" i="6"/>
  <c r="AE188" i="6"/>
  <c r="BG188" i="6"/>
  <c r="AI188" i="6"/>
  <c r="AZ188" i="6"/>
  <c r="AX188" i="6"/>
  <c r="BF188" i="6"/>
  <c r="AD188" i="6"/>
  <c r="AS188" i="6"/>
  <c r="AJ188" i="6"/>
  <c r="AC188" i="6"/>
  <c r="BE188" i="6"/>
  <c r="AB188" i="6"/>
  <c r="AQ188" i="6"/>
  <c r="BA188" i="6"/>
  <c r="AR188" i="6"/>
  <c r="AY188" i="6"/>
  <c r="BB188" i="6"/>
  <c r="AP188" i="6"/>
  <c r="AH188" i="6"/>
  <c r="N188" i="6"/>
  <c r="AV188" i="6"/>
  <c r="AT188" i="6"/>
  <c r="AO188" i="6"/>
  <c r="A189" i="6"/>
  <c r="N189" i="6" s="1"/>
  <c r="K188" i="12"/>
  <c r="G189" i="6"/>
  <c r="H189" i="6"/>
  <c r="T189" i="5" s="1"/>
  <c r="AE190" i="5"/>
  <c r="N190" i="5"/>
  <c r="D190" i="6" s="1"/>
  <c r="G190" i="6" s="1"/>
  <c r="A190" i="12"/>
  <c r="K190" i="5"/>
  <c r="J190" i="5"/>
  <c r="C191" i="5"/>
  <c r="H190" i="5"/>
  <c r="G190" i="5"/>
  <c r="F190" i="5"/>
  <c r="E190" i="5"/>
  <c r="B190" i="5"/>
  <c r="B190" i="6"/>
  <c r="D190" i="5"/>
  <c r="B190" i="12" s="1"/>
  <c r="AD190" i="5"/>
  <c r="J189" i="12" a="1"/>
  <c r="J189" i="12" s="1"/>
  <c r="L189" i="12" a="1"/>
  <c r="L189" i="12" s="1"/>
  <c r="M189" i="6" l="1"/>
  <c r="BE189" i="6" s="1"/>
  <c r="H190" i="6"/>
  <c r="T190" i="5" s="1"/>
  <c r="C192" i="5"/>
  <c r="H191" i="5"/>
  <c r="F191" i="5"/>
  <c r="G191" i="5"/>
  <c r="E191" i="5"/>
  <c r="D191" i="5"/>
  <c r="B191" i="12" s="1"/>
  <c r="A191" i="12"/>
  <c r="B191" i="5"/>
  <c r="K191" i="5"/>
  <c r="B191" i="6"/>
  <c r="AE191" i="5"/>
  <c r="AD191" i="5"/>
  <c r="N191" i="5"/>
  <c r="D191" i="6" s="1"/>
  <c r="H191" i="6" s="1"/>
  <c r="J191" i="5"/>
  <c r="K189" i="12"/>
  <c r="L190" i="12" a="1"/>
  <c r="L190" i="12" s="1"/>
  <c r="J190" i="12" a="1"/>
  <c r="J190" i="12" s="1"/>
  <c r="A190" i="6"/>
  <c r="G189" i="12"/>
  <c r="AT189" i="6" l="1"/>
  <c r="AV189" i="6"/>
  <c r="AB189" i="6"/>
  <c r="AE189" i="6"/>
  <c r="BF189" i="6"/>
  <c r="AZ189" i="6"/>
  <c r="BB189" i="6"/>
  <c r="AO189" i="6"/>
  <c r="AJ189" i="6"/>
  <c r="AX189" i="6"/>
  <c r="AD189" i="6"/>
  <c r="AS189" i="6"/>
  <c r="AP189" i="6"/>
  <c r="AC189" i="6"/>
  <c r="BG189" i="6"/>
  <c r="BA189" i="6"/>
  <c r="AH189" i="6"/>
  <c r="AG189" i="6"/>
  <c r="AK189" i="6"/>
  <c r="AM189" i="6"/>
  <c r="AU189" i="6"/>
  <c r="AQ189" i="6"/>
  <c r="BD189" i="6"/>
  <c r="AN189" i="6"/>
  <c r="AF189" i="6"/>
  <c r="BC189" i="6"/>
  <c r="AY189" i="6"/>
  <c r="AI189" i="6"/>
  <c r="AR189" i="6"/>
  <c r="G191" i="6"/>
  <c r="A191" i="6"/>
  <c r="N191" i="6" s="1"/>
  <c r="K190" i="12"/>
  <c r="J191" i="12" a="1"/>
  <c r="J191" i="12" s="1"/>
  <c r="L191" i="12" a="1"/>
  <c r="L191" i="12" s="1"/>
  <c r="F192" i="5"/>
  <c r="B192" i="5"/>
  <c r="N192" i="5"/>
  <c r="D192" i="6" s="1"/>
  <c r="G192" i="6" s="1"/>
  <c r="K192" i="5"/>
  <c r="AE192" i="5"/>
  <c r="G192" i="5"/>
  <c r="C193" i="5"/>
  <c r="J192" i="5"/>
  <c r="H192" i="5"/>
  <c r="E192" i="5"/>
  <c r="D192" i="5"/>
  <c r="B192" i="12" s="1"/>
  <c r="A192" i="12"/>
  <c r="B192" i="6"/>
  <c r="AD192" i="5"/>
  <c r="M190" i="6"/>
  <c r="N190" i="6"/>
  <c r="T191" i="5"/>
  <c r="G190" i="12"/>
  <c r="M191" i="6" l="1"/>
  <c r="AJ191" i="6" s="1"/>
  <c r="H192" i="6"/>
  <c r="T192" i="5" s="1"/>
  <c r="A192" i="6"/>
  <c r="N192" i="6" s="1"/>
  <c r="K191" i="12"/>
  <c r="B193" i="6"/>
  <c r="G193" i="5"/>
  <c r="N193" i="5"/>
  <c r="D193" i="6" s="1"/>
  <c r="AE193" i="5"/>
  <c r="B193" i="5"/>
  <c r="C194" i="5"/>
  <c r="D193" i="5"/>
  <c r="B193" i="12" s="1"/>
  <c r="K193" i="5"/>
  <c r="A193" i="12"/>
  <c r="J193" i="5"/>
  <c r="AD193" i="5"/>
  <c r="H193" i="5"/>
  <c r="F193" i="5"/>
  <c r="E193" i="5"/>
  <c r="BE190" i="6"/>
  <c r="AD190" i="6"/>
  <c r="BC190" i="6"/>
  <c r="AQ190" i="6"/>
  <c r="AI190" i="6"/>
  <c r="AP190" i="6"/>
  <c r="AM190" i="6"/>
  <c r="AJ190" i="6"/>
  <c r="AB190" i="6"/>
  <c r="AV190" i="6"/>
  <c r="AF190" i="6"/>
  <c r="AN190" i="6"/>
  <c r="AE190" i="6"/>
  <c r="AT190" i="6"/>
  <c r="AZ190" i="6"/>
  <c r="AK190" i="6"/>
  <c r="BB190" i="6"/>
  <c r="BF190" i="6"/>
  <c r="AX190" i="6"/>
  <c r="AR190" i="6"/>
  <c r="AU190" i="6"/>
  <c r="AS190" i="6"/>
  <c r="AC190" i="6"/>
  <c r="AG190" i="6"/>
  <c r="AH190" i="6"/>
  <c r="AO190" i="6"/>
  <c r="AY190" i="6"/>
  <c r="BA190" i="6"/>
  <c r="BG190" i="6"/>
  <c r="BD190" i="6"/>
  <c r="L192" i="12" a="1"/>
  <c r="L192" i="12" s="1"/>
  <c r="J192" i="12" a="1"/>
  <c r="J192" i="12" s="1"/>
  <c r="G191" i="12"/>
  <c r="AQ191" i="6" l="1"/>
  <c r="AR191" i="6"/>
  <c r="BG191" i="6"/>
  <c r="AI191" i="6"/>
  <c r="A193" i="6"/>
  <c r="N193" i="6" s="1"/>
  <c r="BC191" i="6"/>
  <c r="AE191" i="6"/>
  <c r="AO191" i="6"/>
  <c r="AH191" i="6"/>
  <c r="AT191" i="6"/>
  <c r="AC191" i="6"/>
  <c r="AZ191" i="6"/>
  <c r="BE191" i="6"/>
  <c r="AD191" i="6"/>
  <c r="AB191" i="6"/>
  <c r="AV191" i="6"/>
  <c r="AP191" i="6"/>
  <c r="BF191" i="6"/>
  <c r="BD191" i="6"/>
  <c r="AF191" i="6"/>
  <c r="AX191" i="6"/>
  <c r="BA191" i="6"/>
  <c r="AK191" i="6"/>
  <c r="AU191" i="6"/>
  <c r="AN191" i="6"/>
  <c r="G193" i="6"/>
  <c r="H193" i="6"/>
  <c r="T193" i="5" s="1"/>
  <c r="BB191" i="6"/>
  <c r="M192" i="6"/>
  <c r="AG192" i="6" s="1"/>
  <c r="AY191" i="6"/>
  <c r="AS191" i="6"/>
  <c r="AM191" i="6"/>
  <c r="AG191" i="6"/>
  <c r="J193" i="12" a="1"/>
  <c r="J193" i="12" s="1"/>
  <c r="L193" i="12" a="1"/>
  <c r="L193" i="12" s="1"/>
  <c r="K192" i="12"/>
  <c r="J194" i="5"/>
  <c r="B194" i="6"/>
  <c r="AD194" i="5"/>
  <c r="E194" i="5"/>
  <c r="D194" i="5"/>
  <c r="B194" i="12" s="1"/>
  <c r="N194" i="5"/>
  <c r="D194" i="6" s="1"/>
  <c r="H194" i="6" s="1"/>
  <c r="B194" i="5"/>
  <c r="A194" i="12"/>
  <c r="G194" i="5"/>
  <c r="F194" i="5"/>
  <c r="C195" i="5"/>
  <c r="H194" i="5"/>
  <c r="K194" i="5"/>
  <c r="AE194" i="5"/>
  <c r="G192" i="12"/>
  <c r="M193" i="6" l="1"/>
  <c r="BF193" i="6" s="1"/>
  <c r="AN192" i="6"/>
  <c r="AC192" i="6"/>
  <c r="AB192" i="6"/>
  <c r="AS192" i="6"/>
  <c r="AF192" i="6"/>
  <c r="BB192" i="6"/>
  <c r="BE192" i="6"/>
  <c r="AO192" i="6"/>
  <c r="AD192" i="6"/>
  <c r="AP192" i="6"/>
  <c r="BG192" i="6"/>
  <c r="AR192" i="6"/>
  <c r="AT192" i="6"/>
  <c r="AM192" i="6"/>
  <c r="AY192" i="6"/>
  <c r="AX192" i="6"/>
  <c r="AV192" i="6"/>
  <c r="AZ192" i="6"/>
  <c r="AU192" i="6"/>
  <c r="AE192" i="6"/>
  <c r="BA192" i="6"/>
  <c r="AJ192" i="6"/>
  <c r="BC192" i="6"/>
  <c r="BF192" i="6"/>
  <c r="AH192" i="6"/>
  <c r="BD192" i="6"/>
  <c r="AI192" i="6"/>
  <c r="AQ192" i="6"/>
  <c r="AK192" i="6"/>
  <c r="K193" i="12"/>
  <c r="J194" i="12" a="1"/>
  <c r="J194" i="12" s="1"/>
  <c r="L194" i="12" a="1"/>
  <c r="L194" i="12" s="1"/>
  <c r="G194" i="6"/>
  <c r="A194" i="6"/>
  <c r="N194" i="6" s="1"/>
  <c r="F195" i="5"/>
  <c r="E195" i="5"/>
  <c r="C196" i="5"/>
  <c r="A195" i="12"/>
  <c r="H195" i="5"/>
  <c r="B195" i="6"/>
  <c r="G195" i="5"/>
  <c r="AD195" i="5"/>
  <c r="K195" i="5"/>
  <c r="N195" i="5"/>
  <c r="D195" i="6" s="1"/>
  <c r="G195" i="6" s="1"/>
  <c r="B195" i="5"/>
  <c r="J195" i="5"/>
  <c r="AE195" i="5"/>
  <c r="D195" i="5"/>
  <c r="B195" i="12" s="1"/>
  <c r="T194" i="5"/>
  <c r="G193" i="12"/>
  <c r="BE193" i="6" l="1"/>
  <c r="AZ193" i="6"/>
  <c r="BD193" i="6"/>
  <c r="AV193" i="6"/>
  <c r="AC193" i="6"/>
  <c r="AX193" i="6"/>
  <c r="BG193" i="6"/>
  <c r="AY193" i="6"/>
  <c r="BC193" i="6"/>
  <c r="AI193" i="6"/>
  <c r="AM193" i="6"/>
  <c r="AS193" i="6"/>
  <c r="AU193" i="6"/>
  <c r="AR193" i="6"/>
  <c r="AD193" i="6"/>
  <c r="AJ193" i="6"/>
  <c r="AN193" i="6"/>
  <c r="AG193" i="6"/>
  <c r="AP193" i="6"/>
  <c r="AE193" i="6"/>
  <c r="AQ193" i="6"/>
  <c r="AF193" i="6"/>
  <c r="BB193" i="6"/>
  <c r="AH193" i="6"/>
  <c r="AT193" i="6"/>
  <c r="BA193" i="6"/>
  <c r="AB193" i="6"/>
  <c r="AO193" i="6"/>
  <c r="AK193" i="6"/>
  <c r="A195" i="6"/>
  <c r="M195" i="6" s="1"/>
  <c r="AY195" i="6" s="1"/>
  <c r="M194" i="6"/>
  <c r="BC194" i="6" s="1"/>
  <c r="K194" i="12"/>
  <c r="H195" i="6"/>
  <c r="F196" i="5"/>
  <c r="D196" i="5"/>
  <c r="B196" i="12" s="1"/>
  <c r="A196" i="12"/>
  <c r="N196" i="5"/>
  <c r="D196" i="6" s="1"/>
  <c r="H196" i="6" s="1"/>
  <c r="K196" i="5"/>
  <c r="AE196" i="5"/>
  <c r="AD196" i="5"/>
  <c r="B196" i="5"/>
  <c r="H196" i="5"/>
  <c r="C197" i="5"/>
  <c r="B196" i="6"/>
  <c r="G196" i="5"/>
  <c r="J196" i="5"/>
  <c r="E196" i="5"/>
  <c r="L195" i="12" a="1"/>
  <c r="L195" i="12" s="1"/>
  <c r="J195" i="12" a="1"/>
  <c r="J195" i="12" s="1"/>
  <c r="G194" i="12"/>
  <c r="N195" i="6" l="1"/>
  <c r="AO194" i="6"/>
  <c r="AD195" i="6"/>
  <c r="AM195" i="6"/>
  <c r="BE195" i="6"/>
  <c r="AI194" i="6"/>
  <c r="BB195" i="6"/>
  <c r="AG194" i="6"/>
  <c r="BF195" i="6"/>
  <c r="AE194" i="6"/>
  <c r="BA195" i="6"/>
  <c r="AN194" i="6"/>
  <c r="AN195" i="6"/>
  <c r="AV195" i="6"/>
  <c r="AH195" i="6"/>
  <c r="AE195" i="6"/>
  <c r="AR195" i="6"/>
  <c r="AR194" i="6"/>
  <c r="AF194" i="6"/>
  <c r="AJ195" i="6"/>
  <c r="BE194" i="6"/>
  <c r="T195" i="5"/>
  <c r="G195" i="12" s="1"/>
  <c r="BA194" i="6"/>
  <c r="AV194" i="6"/>
  <c r="AB194" i="6"/>
  <c r="AP194" i="6"/>
  <c r="AZ194" i="6"/>
  <c r="BF194" i="6"/>
  <c r="AZ195" i="6"/>
  <c r="AO195" i="6"/>
  <c r="AB195" i="6"/>
  <c r="AS195" i="6"/>
  <c r="AT195" i="6"/>
  <c r="AD194" i="6"/>
  <c r="AX195" i="6"/>
  <c r="BG195" i="6"/>
  <c r="BB194" i="6"/>
  <c r="AJ194" i="6"/>
  <c r="K195" i="12"/>
  <c r="AP195" i="6"/>
  <c r="AQ194" i="6"/>
  <c r="AT194" i="6"/>
  <c r="A196" i="6"/>
  <c r="N196" i="6" s="1"/>
  <c r="AU194" i="6"/>
  <c r="BD195" i="6"/>
  <c r="AF195" i="6"/>
  <c r="AC195" i="6"/>
  <c r="BD194" i="6"/>
  <c r="AU195" i="6"/>
  <c r="AI195" i="6"/>
  <c r="AK195" i="6"/>
  <c r="AS194" i="6"/>
  <c r="AY194" i="6"/>
  <c r="AM194" i="6"/>
  <c r="AK194" i="6"/>
  <c r="BG194" i="6"/>
  <c r="AC194" i="6"/>
  <c r="AQ195" i="6"/>
  <c r="BC195" i="6"/>
  <c r="AG195" i="6"/>
  <c r="AX194" i="6"/>
  <c r="AH194" i="6"/>
  <c r="G196" i="6"/>
  <c r="J196" i="12" a="1"/>
  <c r="J196" i="12" s="1"/>
  <c r="L196" i="12" a="1"/>
  <c r="L196" i="12" s="1"/>
  <c r="K197" i="5"/>
  <c r="AE197" i="5"/>
  <c r="H197" i="5"/>
  <c r="J197" i="5"/>
  <c r="AD197" i="5"/>
  <c r="C198" i="5"/>
  <c r="B197" i="5"/>
  <c r="A197" i="12"/>
  <c r="F197" i="5"/>
  <c r="B197" i="6"/>
  <c r="N197" i="5"/>
  <c r="D197" i="6" s="1"/>
  <c r="G197" i="6" s="1"/>
  <c r="G197" i="5"/>
  <c r="D197" i="5"/>
  <c r="B197" i="12" s="1"/>
  <c r="E197" i="5"/>
  <c r="T196" i="5"/>
  <c r="M196" i="6" l="1"/>
  <c r="AE196" i="6" s="1"/>
  <c r="K196" i="12"/>
  <c r="A197" i="6"/>
  <c r="N197" i="6" s="1"/>
  <c r="H197" i="6"/>
  <c r="T197" i="5" s="1"/>
  <c r="L197" i="12" a="1"/>
  <c r="L197" i="12" s="1"/>
  <c r="J197" i="12" a="1"/>
  <c r="J197" i="12" s="1"/>
  <c r="A198" i="12"/>
  <c r="E198" i="5"/>
  <c r="B198" i="6"/>
  <c r="D198" i="5"/>
  <c r="B198" i="12" s="1"/>
  <c r="H198" i="5"/>
  <c r="AE198" i="5"/>
  <c r="N198" i="5"/>
  <c r="D198" i="6" s="1"/>
  <c r="C199" i="5"/>
  <c r="K198" i="5"/>
  <c r="G198" i="5"/>
  <c r="J198" i="5"/>
  <c r="AD198" i="5"/>
  <c r="F198" i="5"/>
  <c r="B198" i="5"/>
  <c r="G196" i="12"/>
  <c r="M197" i="6" l="1"/>
  <c r="AN197" i="6" s="1"/>
  <c r="AD196" i="6"/>
  <c r="AK196" i="6"/>
  <c r="AI196" i="6"/>
  <c r="BB196" i="6"/>
  <c r="BC196" i="6"/>
  <c r="AY196" i="6"/>
  <c r="AJ196" i="6"/>
  <c r="AH196" i="6"/>
  <c r="AM196" i="6"/>
  <c r="AU196" i="6"/>
  <c r="A198" i="6"/>
  <c r="N198" i="6" s="1"/>
  <c r="BA196" i="6"/>
  <c r="AR196" i="6"/>
  <c r="BE196" i="6"/>
  <c r="BD196" i="6"/>
  <c r="AV196" i="6"/>
  <c r="AZ196" i="6"/>
  <c r="AO196" i="6"/>
  <c r="BF196" i="6"/>
  <c r="AN196" i="6"/>
  <c r="AT196" i="6"/>
  <c r="AP196" i="6"/>
  <c r="BG196" i="6"/>
  <c r="AF196" i="6"/>
  <c r="AG196" i="6"/>
  <c r="AS196" i="6"/>
  <c r="AC196" i="6"/>
  <c r="AB196" i="6"/>
  <c r="AX196" i="6"/>
  <c r="AQ196" i="6"/>
  <c r="K197" i="12"/>
  <c r="H198" i="6"/>
  <c r="T198" i="5" s="1"/>
  <c r="A199" i="12"/>
  <c r="E199" i="5"/>
  <c r="B199" i="6"/>
  <c r="D199" i="5"/>
  <c r="B199" i="12" s="1"/>
  <c r="G199" i="5"/>
  <c r="K199" i="5"/>
  <c r="AE199" i="5"/>
  <c r="J199" i="5"/>
  <c r="AD199" i="5"/>
  <c r="H199" i="5"/>
  <c r="F199" i="5"/>
  <c r="N199" i="5"/>
  <c r="D199" i="6" s="1"/>
  <c r="B199" i="5"/>
  <c r="C200" i="5"/>
  <c r="J198" i="12" a="1"/>
  <c r="J198" i="12" s="1"/>
  <c r="L198" i="12" a="1"/>
  <c r="L198" i="12" s="1"/>
  <c r="G198" i="6"/>
  <c r="G197" i="12"/>
  <c r="AJ197" i="6" l="1"/>
  <c r="AS197" i="6"/>
  <c r="AK197" i="6"/>
  <c r="AX197" i="6"/>
  <c r="AV197" i="6"/>
  <c r="AZ197" i="6"/>
  <c r="BB197" i="6"/>
  <c r="AE197" i="6"/>
  <c r="AR197" i="6"/>
  <c r="AD197" i="6"/>
  <c r="AU197" i="6"/>
  <c r="BA197" i="6"/>
  <c r="AH197" i="6"/>
  <c r="AB197" i="6"/>
  <c r="AM197" i="6"/>
  <c r="AC197" i="6"/>
  <c r="BF197" i="6"/>
  <c r="AP197" i="6"/>
  <c r="AQ197" i="6"/>
  <c r="AI197" i="6"/>
  <c r="AG197" i="6"/>
  <c r="BD197" i="6"/>
  <c r="AF197" i="6"/>
  <c r="BE197" i="6"/>
  <c r="AY197" i="6"/>
  <c r="BG197" i="6"/>
  <c r="AO197" i="6"/>
  <c r="AT197" i="6"/>
  <c r="BC197" i="6"/>
  <c r="M198" i="6"/>
  <c r="AS198" i="6" s="1"/>
  <c r="A199" i="6"/>
  <c r="N199" i="6" s="1"/>
  <c r="G199" i="6"/>
  <c r="H199" i="6"/>
  <c r="T199" i="5" s="1"/>
  <c r="K200" i="5"/>
  <c r="AE200" i="5"/>
  <c r="AD200" i="5"/>
  <c r="H200" i="5"/>
  <c r="B200" i="6"/>
  <c r="G200" i="5"/>
  <c r="D200" i="5"/>
  <c r="B200" i="12" s="1"/>
  <c r="C201" i="5"/>
  <c r="F200" i="5"/>
  <c r="N200" i="5"/>
  <c r="D200" i="6" s="1"/>
  <c r="H200" i="6" s="1"/>
  <c r="E200" i="5"/>
  <c r="A200" i="12"/>
  <c r="B200" i="5"/>
  <c r="J200" i="5"/>
  <c r="K198" i="12"/>
  <c r="L199" i="12" a="1"/>
  <c r="L199" i="12" s="1"/>
  <c r="J199" i="12" a="1"/>
  <c r="J199" i="12" s="1"/>
  <c r="G198" i="12"/>
  <c r="AB198" i="6" l="1"/>
  <c r="BB198" i="6"/>
  <c r="AF198" i="6"/>
  <c r="AM198" i="6"/>
  <c r="AK198" i="6"/>
  <c r="AZ198" i="6"/>
  <c r="AE198" i="6"/>
  <c r="BE198" i="6"/>
  <c r="AJ198" i="6"/>
  <c r="AX198" i="6"/>
  <c r="AY198" i="6"/>
  <c r="BF198" i="6"/>
  <c r="AV198" i="6"/>
  <c r="BD198" i="6"/>
  <c r="AG198" i="6"/>
  <c r="AT198" i="6"/>
  <c r="AH198" i="6"/>
  <c r="BG198" i="6"/>
  <c r="AC198" i="6"/>
  <c r="AQ198" i="6"/>
  <c r="BA198" i="6"/>
  <c r="BC198" i="6"/>
  <c r="AI198" i="6"/>
  <c r="AR198" i="6"/>
  <c r="AP198" i="6"/>
  <c r="AN198" i="6"/>
  <c r="AD198" i="6"/>
  <c r="AO198" i="6"/>
  <c r="AU198" i="6"/>
  <c r="M199" i="6"/>
  <c r="AO199" i="6" s="1"/>
  <c r="A200" i="6"/>
  <c r="N200" i="6" s="1"/>
  <c r="K199" i="12"/>
  <c r="G200" i="6"/>
  <c r="J200" i="12" a="1"/>
  <c r="J200" i="12" s="1"/>
  <c r="L200" i="12" a="1"/>
  <c r="L200" i="12" s="1"/>
  <c r="AD201" i="5"/>
  <c r="H201" i="5"/>
  <c r="F201" i="5"/>
  <c r="G201" i="5"/>
  <c r="E201" i="5"/>
  <c r="J201" i="5"/>
  <c r="D201" i="5"/>
  <c r="B201" i="12" s="1"/>
  <c r="N201" i="5"/>
  <c r="D201" i="6" s="1"/>
  <c r="H201" i="6" s="1"/>
  <c r="B201" i="5"/>
  <c r="K201" i="5"/>
  <c r="A201" i="12"/>
  <c r="C202" i="5"/>
  <c r="B201" i="6"/>
  <c r="AE201" i="5"/>
  <c r="T200" i="5"/>
  <c r="G199" i="12"/>
  <c r="M200" i="6" l="1"/>
  <c r="AI200" i="6" s="1"/>
  <c r="AX199" i="6"/>
  <c r="AU199" i="6"/>
  <c r="AJ199" i="6"/>
  <c r="AI199" i="6"/>
  <c r="AT199" i="6"/>
  <c r="BG199" i="6"/>
  <c r="AD199" i="6"/>
  <c r="AK199" i="6"/>
  <c r="AR199" i="6"/>
  <c r="AF199" i="6"/>
  <c r="BB199" i="6"/>
  <c r="AY199" i="6"/>
  <c r="AN199" i="6"/>
  <c r="AB199" i="6"/>
  <c r="AS199" i="6"/>
  <c r="AH199" i="6"/>
  <c r="AG199" i="6"/>
  <c r="BA199" i="6"/>
  <c r="BD199" i="6"/>
  <c r="BF199" i="6"/>
  <c r="BE199" i="6"/>
  <c r="AZ199" i="6"/>
  <c r="AQ199" i="6"/>
  <c r="AP199" i="6"/>
  <c r="AC199" i="6"/>
  <c r="AV199" i="6"/>
  <c r="AM199" i="6"/>
  <c r="AE199" i="6"/>
  <c r="BC199" i="6"/>
  <c r="K200" i="12"/>
  <c r="A201" i="6"/>
  <c r="N201" i="6" s="1"/>
  <c r="G201" i="6"/>
  <c r="J201" i="12" a="1"/>
  <c r="J201" i="12" s="1"/>
  <c r="L201" i="12" a="1"/>
  <c r="L201" i="12" s="1"/>
  <c r="AE202" i="5"/>
  <c r="J202" i="5"/>
  <c r="AD202" i="5"/>
  <c r="H202" i="5"/>
  <c r="G202" i="5"/>
  <c r="F202" i="5"/>
  <c r="N202" i="5"/>
  <c r="D202" i="6" s="1"/>
  <c r="H202" i="6" s="1"/>
  <c r="B202" i="5"/>
  <c r="K202" i="5"/>
  <c r="B202" i="6"/>
  <c r="A202" i="12"/>
  <c r="E202" i="5"/>
  <c r="D202" i="5"/>
  <c r="B202" i="12" s="1"/>
  <c r="C203" i="5"/>
  <c r="G200" i="12"/>
  <c r="T201" i="5"/>
  <c r="BE200" i="6" l="1"/>
  <c r="AH200" i="6"/>
  <c r="AJ200" i="6"/>
  <c r="BF200" i="6"/>
  <c r="AZ200" i="6"/>
  <c r="AD200" i="6"/>
  <c r="AX200" i="6"/>
  <c r="AR200" i="6"/>
  <c r="AP200" i="6"/>
  <c r="AG200" i="6"/>
  <c r="BD200" i="6"/>
  <c r="AC200" i="6"/>
  <c r="AB200" i="6"/>
  <c r="AQ200" i="6"/>
  <c r="AV200" i="6"/>
  <c r="AS200" i="6"/>
  <c r="AO200" i="6"/>
  <c r="BG200" i="6"/>
  <c r="AE200" i="6"/>
  <c r="AK200" i="6"/>
  <c r="BA200" i="6"/>
  <c r="BB200" i="6"/>
  <c r="AF200" i="6"/>
  <c r="AU200" i="6"/>
  <c r="AY200" i="6"/>
  <c r="AN200" i="6"/>
  <c r="AT200" i="6"/>
  <c r="BC200" i="6"/>
  <c r="AM200" i="6"/>
  <c r="M201" i="6"/>
  <c r="BF201" i="6" s="1"/>
  <c r="A202" i="6"/>
  <c r="M202" i="6" s="1"/>
  <c r="AM202" i="6" s="1"/>
  <c r="G202" i="6"/>
  <c r="K201" i="12"/>
  <c r="E203" i="5"/>
  <c r="B203" i="5"/>
  <c r="N203" i="5"/>
  <c r="D203" i="6" s="1"/>
  <c r="A203" i="12"/>
  <c r="D203" i="5"/>
  <c r="B203" i="12" s="1"/>
  <c r="B203" i="6"/>
  <c r="C204" i="5"/>
  <c r="AD203" i="5"/>
  <c r="K203" i="5"/>
  <c r="F203" i="5"/>
  <c r="H203" i="5"/>
  <c r="G203" i="5"/>
  <c r="J203" i="5"/>
  <c r="AE203" i="5"/>
  <c r="J202" i="12" a="1"/>
  <c r="J202" i="12" s="1"/>
  <c r="L202" i="12" a="1"/>
  <c r="L202" i="12" s="1"/>
  <c r="T202" i="5"/>
  <c r="G201" i="12"/>
  <c r="AB201" i="6" l="1"/>
  <c r="AF201" i="6"/>
  <c r="BA201" i="6"/>
  <c r="AI201" i="6"/>
  <c r="AM201" i="6"/>
  <c r="AP201" i="6"/>
  <c r="BD201" i="6"/>
  <c r="AD201" i="6"/>
  <c r="BG201" i="6"/>
  <c r="AF202" i="6"/>
  <c r="AR202" i="6"/>
  <c r="A203" i="6"/>
  <c r="N203" i="6" s="1"/>
  <c r="AY201" i="6"/>
  <c r="AK201" i="6"/>
  <c r="BE201" i="6"/>
  <c r="AX201" i="6"/>
  <c r="AT201" i="6"/>
  <c r="AO201" i="6"/>
  <c r="AR201" i="6"/>
  <c r="AU201" i="6"/>
  <c r="AG201" i="6"/>
  <c r="AJ201" i="6"/>
  <c r="AQ201" i="6"/>
  <c r="AN201" i="6"/>
  <c r="AC201" i="6"/>
  <c r="AS201" i="6"/>
  <c r="AZ201" i="6"/>
  <c r="AV201" i="6"/>
  <c r="AG202" i="6"/>
  <c r="AE201" i="6"/>
  <c r="BB201" i="6"/>
  <c r="BC201" i="6"/>
  <c r="AH201" i="6"/>
  <c r="AY202" i="6"/>
  <c r="BG202" i="6"/>
  <c r="AI202" i="6"/>
  <c r="AX202" i="6"/>
  <c r="AJ202" i="6"/>
  <c r="AB202" i="6"/>
  <c r="BA202" i="6"/>
  <c r="AZ202" i="6"/>
  <c r="AE202" i="6"/>
  <c r="BF202" i="6"/>
  <c r="BE202" i="6"/>
  <c r="AQ202" i="6"/>
  <c r="AD202" i="6"/>
  <c r="AU202" i="6"/>
  <c r="BC202" i="6"/>
  <c r="AC202" i="6"/>
  <c r="AT202" i="6"/>
  <c r="BD202" i="6"/>
  <c r="AV202" i="6"/>
  <c r="AP202" i="6"/>
  <c r="BB202" i="6"/>
  <c r="AO202" i="6"/>
  <c r="AS202" i="6"/>
  <c r="AH202" i="6"/>
  <c r="AK202" i="6"/>
  <c r="AN202" i="6"/>
  <c r="N202" i="6"/>
  <c r="H203" i="6"/>
  <c r="J203" i="12" a="1"/>
  <c r="J203" i="12" s="1"/>
  <c r="L203" i="12" a="1"/>
  <c r="L203" i="12" s="1"/>
  <c r="G203" i="6"/>
  <c r="N204" i="5"/>
  <c r="D204" i="6" s="1"/>
  <c r="G204" i="6" s="1"/>
  <c r="K204" i="5"/>
  <c r="A204" i="12"/>
  <c r="D204" i="5"/>
  <c r="B204" i="12" s="1"/>
  <c r="G204" i="5"/>
  <c r="B204" i="6"/>
  <c r="C205" i="5"/>
  <c r="F204" i="5"/>
  <c r="B204" i="5"/>
  <c r="AD204" i="5"/>
  <c r="AE204" i="5"/>
  <c r="J204" i="5"/>
  <c r="H204" i="5"/>
  <c r="E204" i="5"/>
  <c r="K202" i="12"/>
  <c r="G202" i="12"/>
  <c r="M203" i="6" l="1"/>
  <c r="BE203" i="6" s="1"/>
  <c r="K203" i="12"/>
  <c r="A204" i="6"/>
  <c r="N204" i="6" s="1"/>
  <c r="H204" i="6"/>
  <c r="T204" i="5" s="1"/>
  <c r="T203" i="5"/>
  <c r="G203" i="12" s="1"/>
  <c r="J204" i="12" a="1"/>
  <c r="J204" i="12" s="1"/>
  <c r="L204" i="12" a="1"/>
  <c r="L204" i="12" s="1"/>
  <c r="F205" i="5"/>
  <c r="E205" i="5"/>
  <c r="C206" i="5"/>
  <c r="D205" i="5"/>
  <c r="B205" i="12" s="1"/>
  <c r="K205" i="5"/>
  <c r="N205" i="5"/>
  <c r="D205" i="6" s="1"/>
  <c r="G205" i="6" s="1"/>
  <c r="AE205" i="5"/>
  <c r="A205" i="12"/>
  <c r="B205" i="5"/>
  <c r="AD205" i="5"/>
  <c r="B205" i="6"/>
  <c r="J205" i="5"/>
  <c r="H205" i="5"/>
  <c r="G205" i="5"/>
  <c r="AG203" i="6" l="1"/>
  <c r="AR203" i="6"/>
  <c r="AY203" i="6"/>
  <c r="BB203" i="6"/>
  <c r="AV203" i="6"/>
  <c r="AF203" i="6"/>
  <c r="AK203" i="6"/>
  <c r="BG203" i="6"/>
  <c r="BF203" i="6"/>
  <c r="AP203" i="6"/>
  <c r="AQ203" i="6"/>
  <c r="AZ203" i="6"/>
  <c r="BA203" i="6"/>
  <c r="BD203" i="6"/>
  <c r="AU203" i="6"/>
  <c r="AT203" i="6"/>
  <c r="AJ203" i="6"/>
  <c r="AE203" i="6"/>
  <c r="AN203" i="6"/>
  <c r="AS203" i="6"/>
  <c r="AH203" i="6"/>
  <c r="BC203" i="6"/>
  <c r="AI203" i="6"/>
  <c r="AD203" i="6"/>
  <c r="AO203" i="6"/>
  <c r="AX203" i="6"/>
  <c r="AM203" i="6"/>
  <c r="AB203" i="6"/>
  <c r="AC203" i="6"/>
  <c r="M204" i="6"/>
  <c r="AS204" i="6" s="1"/>
  <c r="A205" i="6"/>
  <c r="N205" i="6" s="1"/>
  <c r="H205" i="6"/>
  <c r="T205" i="5" s="1"/>
  <c r="K204" i="12"/>
  <c r="J205" i="12" a="1"/>
  <c r="J205" i="12" s="1"/>
  <c r="L205" i="12" a="1"/>
  <c r="L205" i="12" s="1"/>
  <c r="AE206" i="5"/>
  <c r="N206" i="5"/>
  <c r="D206" i="6" s="1"/>
  <c r="G206" i="6" s="1"/>
  <c r="A206" i="12"/>
  <c r="B206" i="5"/>
  <c r="B206" i="6"/>
  <c r="J206" i="5"/>
  <c r="F206" i="5"/>
  <c r="C207" i="5"/>
  <c r="H206" i="5"/>
  <c r="AD206" i="5"/>
  <c r="G206" i="5"/>
  <c r="D206" i="5"/>
  <c r="B206" i="12" s="1"/>
  <c r="E206" i="5"/>
  <c r="K206" i="5"/>
  <c r="G204" i="12"/>
  <c r="AQ204" i="6" l="1"/>
  <c r="M205" i="6"/>
  <c r="BD205" i="6" s="1"/>
  <c r="BD204" i="6"/>
  <c r="AI204" i="6"/>
  <c r="BB204" i="6"/>
  <c r="AP204" i="6"/>
  <c r="AC204" i="6"/>
  <c r="K205" i="12"/>
  <c r="AJ204" i="6"/>
  <c r="AX204" i="6"/>
  <c r="BA204" i="6"/>
  <c r="AR204" i="6"/>
  <c r="AY204" i="6"/>
  <c r="AB204" i="6"/>
  <c r="AM204" i="6"/>
  <c r="AO204" i="6"/>
  <c r="AF204" i="6"/>
  <c r="AD204" i="6"/>
  <c r="BG204" i="6"/>
  <c r="BC204" i="6"/>
  <c r="AV204" i="6"/>
  <c r="AU204" i="6"/>
  <c r="AH204" i="6"/>
  <c r="AK204" i="6"/>
  <c r="AN204" i="6"/>
  <c r="BE204" i="6"/>
  <c r="AZ204" i="6"/>
  <c r="AT204" i="6"/>
  <c r="AE204" i="6"/>
  <c r="BF204" i="6"/>
  <c r="AG204" i="6"/>
  <c r="H206" i="6"/>
  <c r="T206" i="5" s="1"/>
  <c r="A206" i="6"/>
  <c r="N206" i="6" s="1"/>
  <c r="F207" i="5"/>
  <c r="D207" i="5"/>
  <c r="B207" i="12" s="1"/>
  <c r="AE207" i="5"/>
  <c r="B207" i="6"/>
  <c r="AD207" i="5"/>
  <c r="E207" i="5"/>
  <c r="N207" i="5"/>
  <c r="D207" i="6" s="1"/>
  <c r="G207" i="6" s="1"/>
  <c r="C208" i="5"/>
  <c r="K207" i="5"/>
  <c r="J207" i="5"/>
  <c r="A207" i="12"/>
  <c r="B207" i="5"/>
  <c r="G207" i="5"/>
  <c r="H207" i="5"/>
  <c r="J206" i="12" a="1"/>
  <c r="J206" i="12" s="1"/>
  <c r="L206" i="12" a="1"/>
  <c r="L206" i="12" s="1"/>
  <c r="G205" i="12"/>
  <c r="AJ205" i="6" l="1"/>
  <c r="AB205" i="6"/>
  <c r="AX205" i="6"/>
  <c r="AV205" i="6"/>
  <c r="AE205" i="6"/>
  <c r="AP205" i="6"/>
  <c r="AK205" i="6"/>
  <c r="BF205" i="6"/>
  <c r="AQ205" i="6"/>
  <c r="AI205" i="6"/>
  <c r="AM205" i="6"/>
  <c r="BC205" i="6"/>
  <c r="AS205" i="6"/>
  <c r="AG205" i="6"/>
  <c r="AN205" i="6"/>
  <c r="AD205" i="6"/>
  <c r="AR205" i="6"/>
  <c r="BA205" i="6"/>
  <c r="AF205" i="6"/>
  <c r="AH205" i="6"/>
  <c r="AT205" i="6"/>
  <c r="BG205" i="6"/>
  <c r="BE205" i="6"/>
  <c r="AO205" i="6"/>
  <c r="AZ205" i="6"/>
  <c r="BB205" i="6"/>
  <c r="AC205" i="6"/>
  <c r="AU205" i="6"/>
  <c r="AY205" i="6"/>
  <c r="A207" i="6"/>
  <c r="M207" i="6" s="1"/>
  <c r="AQ207" i="6" s="1"/>
  <c r="K206" i="12"/>
  <c r="M206" i="6"/>
  <c r="AI206" i="6" s="1"/>
  <c r="J207" i="12" a="1"/>
  <c r="J207" i="12" s="1"/>
  <c r="L207" i="12" a="1"/>
  <c r="L207" i="12" s="1"/>
  <c r="H207" i="6"/>
  <c r="T207" i="5" s="1"/>
  <c r="D208" i="5"/>
  <c r="B208" i="12" s="1"/>
  <c r="C209" i="5"/>
  <c r="K208" i="5"/>
  <c r="AE208" i="5"/>
  <c r="A208" i="12"/>
  <c r="G208" i="5"/>
  <c r="N208" i="5"/>
  <c r="D208" i="6" s="1"/>
  <c r="B208" i="6"/>
  <c r="B208" i="5"/>
  <c r="J208" i="5"/>
  <c r="AD208" i="5"/>
  <c r="H208" i="5"/>
  <c r="F208" i="5"/>
  <c r="E208" i="5"/>
  <c r="G206" i="12"/>
  <c r="N207" i="6" l="1"/>
  <c r="AT206" i="6"/>
  <c r="AF206" i="6"/>
  <c r="AO206" i="6"/>
  <c r="AM206" i="6"/>
  <c r="BA206" i="6"/>
  <c r="AQ206" i="6"/>
  <c r="AE206" i="6"/>
  <c r="BB206" i="6"/>
  <c r="BF206" i="6"/>
  <c r="AK206" i="6"/>
  <c r="AU206" i="6"/>
  <c r="AD206" i="6"/>
  <c r="BE206" i="6"/>
  <c r="AB206" i="6"/>
  <c r="AH206" i="6"/>
  <c r="AS206" i="6"/>
  <c r="BC206" i="6"/>
  <c r="BG206" i="6"/>
  <c r="AP206" i="6"/>
  <c r="AZ206" i="6"/>
  <c r="BD206" i="6"/>
  <c r="AJ206" i="6"/>
  <c r="AR206" i="6"/>
  <c r="K207" i="12"/>
  <c r="AN206" i="6"/>
  <c r="AX206" i="6"/>
  <c r="AC206" i="6"/>
  <c r="AV206" i="6"/>
  <c r="AY206" i="6"/>
  <c r="AG206" i="6"/>
  <c r="AC207" i="6"/>
  <c r="A208" i="6"/>
  <c r="N208" i="6" s="1"/>
  <c r="BB207" i="6"/>
  <c r="AS207" i="6"/>
  <c r="AY207" i="6"/>
  <c r="AO207" i="6"/>
  <c r="BA207" i="6"/>
  <c r="AT207" i="6"/>
  <c r="AI207" i="6"/>
  <c r="AF207" i="6"/>
  <c r="AN207" i="6"/>
  <c r="AE207" i="6"/>
  <c r="BD207" i="6"/>
  <c r="AX207" i="6"/>
  <c r="H208" i="6"/>
  <c r="T208" i="5" s="1"/>
  <c r="AZ207" i="6"/>
  <c r="AR207" i="6"/>
  <c r="AU207" i="6"/>
  <c r="BE207" i="6"/>
  <c r="AG207" i="6"/>
  <c r="AD207" i="6"/>
  <c r="BC207" i="6"/>
  <c r="BF207" i="6"/>
  <c r="AJ207" i="6"/>
  <c r="G208" i="6"/>
  <c r="AH207" i="6"/>
  <c r="K209" i="5"/>
  <c r="A209" i="12"/>
  <c r="H209" i="5"/>
  <c r="B209" i="6"/>
  <c r="N209" i="5"/>
  <c r="D209" i="6" s="1"/>
  <c r="H209" i="6" s="1"/>
  <c r="D209" i="5"/>
  <c r="B209" i="12" s="1"/>
  <c r="C210" i="5"/>
  <c r="B209" i="5"/>
  <c r="J209" i="5"/>
  <c r="E209" i="5"/>
  <c r="F209" i="5"/>
  <c r="G209" i="5"/>
  <c r="AD209" i="5"/>
  <c r="AE209" i="5"/>
  <c r="AP207" i="6"/>
  <c r="AM207" i="6"/>
  <c r="L208" i="12" a="1"/>
  <c r="L208" i="12" s="1"/>
  <c r="J208" i="12" a="1"/>
  <c r="J208" i="12" s="1"/>
  <c r="BG207" i="6"/>
  <c r="AB207" i="6"/>
  <c r="AK207" i="6"/>
  <c r="AV207" i="6"/>
  <c r="G207" i="12"/>
  <c r="M208" i="6" l="1"/>
  <c r="AB208" i="6" s="1"/>
  <c r="G209" i="6"/>
  <c r="A209" i="6"/>
  <c r="N209" i="6" s="1"/>
  <c r="J209" i="12" a="1"/>
  <c r="J209" i="12" s="1"/>
  <c r="L209" i="12" a="1"/>
  <c r="L209" i="12" s="1"/>
  <c r="K208" i="12"/>
  <c r="A210" i="12"/>
  <c r="J210" i="5"/>
  <c r="B210" i="6"/>
  <c r="G210" i="5"/>
  <c r="AE210" i="5"/>
  <c r="K210" i="5"/>
  <c r="C211" i="5"/>
  <c r="H210" i="5"/>
  <c r="B210" i="5"/>
  <c r="F210" i="5"/>
  <c r="E210" i="5"/>
  <c r="D210" i="5"/>
  <c r="B210" i="12" s="1"/>
  <c r="AD210" i="5"/>
  <c r="N210" i="5"/>
  <c r="D210" i="6" s="1"/>
  <c r="G210" i="6" s="1"/>
  <c r="G208" i="12"/>
  <c r="T209" i="5"/>
  <c r="AI208" i="6" l="1"/>
  <c r="AJ208" i="6"/>
  <c r="AD208" i="6"/>
  <c r="AK208" i="6"/>
  <c r="AY208" i="6"/>
  <c r="AN208" i="6"/>
  <c r="BA208" i="6"/>
  <c r="AR208" i="6"/>
  <c r="BB208" i="6"/>
  <c r="AG208" i="6"/>
  <c r="AM208" i="6"/>
  <c r="AS208" i="6"/>
  <c r="AH208" i="6"/>
  <c r="AV208" i="6"/>
  <c r="BC208" i="6"/>
  <c r="AX208" i="6"/>
  <c r="AU208" i="6"/>
  <c r="BF208" i="6"/>
  <c r="BD208" i="6"/>
  <c r="AO208" i="6"/>
  <c r="AP208" i="6"/>
  <c r="AC208" i="6"/>
  <c r="BE208" i="6"/>
  <c r="AE208" i="6"/>
  <c r="AF208" i="6"/>
  <c r="AZ208" i="6"/>
  <c r="AT208" i="6"/>
  <c r="BG208" i="6"/>
  <c r="AQ208" i="6"/>
  <c r="H210" i="6"/>
  <c r="A210" i="6"/>
  <c r="M210" i="6" s="1"/>
  <c r="BG210" i="6" s="1"/>
  <c r="K209" i="12"/>
  <c r="M209" i="6"/>
  <c r="AE209" i="6" s="1"/>
  <c r="A211" i="12"/>
  <c r="AE211" i="5"/>
  <c r="H211" i="5"/>
  <c r="B211" i="5"/>
  <c r="K211" i="5"/>
  <c r="B211" i="6"/>
  <c r="G211" i="5"/>
  <c r="E211" i="5"/>
  <c r="F211" i="5"/>
  <c r="AD211" i="5"/>
  <c r="D211" i="5"/>
  <c r="B211" i="12" s="1"/>
  <c r="C212" i="5"/>
  <c r="N211" i="5"/>
  <c r="D211" i="6" s="1"/>
  <c r="H211" i="6" s="1"/>
  <c r="J211" i="5"/>
  <c r="J210" i="12" a="1"/>
  <c r="J210" i="12" s="1"/>
  <c r="L210" i="12" a="1"/>
  <c r="L210" i="12" s="1"/>
  <c r="G209" i="12"/>
  <c r="AG210" i="6" l="1"/>
  <c r="T210" i="5"/>
  <c r="G210" i="12" s="1"/>
  <c r="AJ210" i="6"/>
  <c r="AP210" i="6"/>
  <c r="AC210" i="6"/>
  <c r="AT210" i="6"/>
  <c r="AM210" i="6"/>
  <c r="AR210" i="6"/>
  <c r="BE210" i="6"/>
  <c r="AQ210" i="6"/>
  <c r="AK209" i="6"/>
  <c r="BA210" i="6"/>
  <c r="BB210" i="6"/>
  <c r="AN210" i="6"/>
  <c r="AS210" i="6"/>
  <c r="AK210" i="6"/>
  <c r="BF210" i="6"/>
  <c r="AV210" i="6"/>
  <c r="AD210" i="6"/>
  <c r="AI210" i="6"/>
  <c r="BD210" i="6"/>
  <c r="AX210" i="6"/>
  <c r="AF210" i="6"/>
  <c r="AE210" i="6"/>
  <c r="AH210" i="6"/>
  <c r="N210" i="6"/>
  <c r="AO210" i="6"/>
  <c r="AY210" i="6"/>
  <c r="AZ210" i="6"/>
  <c r="BC210" i="6"/>
  <c r="AB210" i="6"/>
  <c r="AU210" i="6"/>
  <c r="A211" i="6"/>
  <c r="M211" i="6" s="1"/>
  <c r="BG211" i="6" s="1"/>
  <c r="AQ209" i="6"/>
  <c r="AM209" i="6"/>
  <c r="BG209" i="6"/>
  <c r="AU209" i="6"/>
  <c r="BE209" i="6"/>
  <c r="AH209" i="6"/>
  <c r="AN209" i="6"/>
  <c r="AV209" i="6"/>
  <c r="BD209" i="6"/>
  <c r="AB209" i="6"/>
  <c r="BF209" i="6"/>
  <c r="BB209" i="6"/>
  <c r="AP209" i="6"/>
  <c r="AR209" i="6"/>
  <c r="BC209" i="6"/>
  <c r="AZ209" i="6"/>
  <c r="AC209" i="6"/>
  <c r="AI209" i="6"/>
  <c r="AD209" i="6"/>
  <c r="AJ209" i="6"/>
  <c r="AY209" i="6"/>
  <c r="AT209" i="6"/>
  <c r="AS209" i="6"/>
  <c r="AX209" i="6"/>
  <c r="AF209" i="6"/>
  <c r="BA209" i="6"/>
  <c r="AG209" i="6"/>
  <c r="AO209" i="6"/>
  <c r="J212" i="5"/>
  <c r="F212" i="5"/>
  <c r="A212" i="12"/>
  <c r="E212" i="5"/>
  <c r="C213" i="5"/>
  <c r="D212" i="5"/>
  <c r="B212" i="12" s="1"/>
  <c r="G212" i="5"/>
  <c r="AD212" i="5"/>
  <c r="K212" i="5"/>
  <c r="H212" i="5"/>
  <c r="N212" i="5"/>
  <c r="D212" i="6" s="1"/>
  <c r="H212" i="6" s="1"/>
  <c r="B212" i="6"/>
  <c r="AE212" i="5"/>
  <c r="B212" i="5"/>
  <c r="K210" i="12"/>
  <c r="G211" i="6"/>
  <c r="L211" i="12" a="1"/>
  <c r="L211" i="12" s="1"/>
  <c r="J211" i="12" a="1"/>
  <c r="J211" i="12" s="1"/>
  <c r="T211" i="5"/>
  <c r="AF211" i="6" l="1"/>
  <c r="AZ211" i="6"/>
  <c r="AH211" i="6"/>
  <c r="AK211" i="6"/>
  <c r="AY211" i="6"/>
  <c r="BA211" i="6"/>
  <c r="AE211" i="6"/>
  <c r="AD211" i="6"/>
  <c r="G212" i="6"/>
  <c r="AV211" i="6"/>
  <c r="AT211" i="6"/>
  <c r="BE211" i="6"/>
  <c r="BB211" i="6"/>
  <c r="AG211" i="6"/>
  <c r="BD211" i="6"/>
  <c r="N211" i="6"/>
  <c r="AS211" i="6"/>
  <c r="AC211" i="6"/>
  <c r="AR211" i="6"/>
  <c r="AN211" i="6"/>
  <c r="AI211" i="6"/>
  <c r="AM211" i="6"/>
  <c r="AQ211" i="6"/>
  <c r="AU211" i="6"/>
  <c r="AJ211" i="6"/>
  <c r="BF211" i="6"/>
  <c r="BC211" i="6"/>
  <c r="AP211" i="6"/>
  <c r="AB211" i="6"/>
  <c r="AX211" i="6"/>
  <c r="AO211" i="6"/>
  <c r="K211" i="12"/>
  <c r="J212" i="12" a="1"/>
  <c r="J212" i="12" s="1"/>
  <c r="L212" i="12" a="1"/>
  <c r="L212" i="12" s="1"/>
  <c r="A213" i="12"/>
  <c r="G213" i="5"/>
  <c r="B213" i="6"/>
  <c r="N213" i="5"/>
  <c r="D213" i="6" s="1"/>
  <c r="H213" i="6" s="1"/>
  <c r="AE213" i="5"/>
  <c r="E213" i="5"/>
  <c r="D213" i="5"/>
  <c r="B213" i="12" s="1"/>
  <c r="AD213" i="5"/>
  <c r="H213" i="5"/>
  <c r="F213" i="5"/>
  <c r="B213" i="5"/>
  <c r="C214" i="5"/>
  <c r="J213" i="5"/>
  <c r="K213" i="5"/>
  <c r="A212" i="6"/>
  <c r="G211" i="12"/>
  <c r="T212" i="5"/>
  <c r="K212" i="12" l="1"/>
  <c r="G213" i="6"/>
  <c r="N212" i="6"/>
  <c r="M212" i="6"/>
  <c r="A213" i="6"/>
  <c r="J213" i="12" a="1"/>
  <c r="J213" i="12" s="1"/>
  <c r="L213" i="12" a="1"/>
  <c r="L213" i="12" s="1"/>
  <c r="J214" i="5"/>
  <c r="N214" i="5"/>
  <c r="D214" i="6" s="1"/>
  <c r="C215" i="5"/>
  <c r="B214" i="5"/>
  <c r="G214" i="5"/>
  <c r="A214" i="12"/>
  <c r="AE214" i="5"/>
  <c r="E214" i="5"/>
  <c r="B214" i="6"/>
  <c r="AD214" i="5"/>
  <c r="D214" i="5"/>
  <c r="B214" i="12" s="1"/>
  <c r="F214" i="5"/>
  <c r="H214" i="5"/>
  <c r="K214" i="5"/>
  <c r="G212" i="12"/>
  <c r="T213" i="5"/>
  <c r="A214" i="6" l="1"/>
  <c r="N214" i="6" s="1"/>
  <c r="K213" i="12"/>
  <c r="H214" i="6"/>
  <c r="T214" i="5" s="1"/>
  <c r="J214" i="12" a="1"/>
  <c r="J214" i="12" s="1"/>
  <c r="L214" i="12" a="1"/>
  <c r="L214" i="12" s="1"/>
  <c r="N213" i="6"/>
  <c r="M213" i="6"/>
  <c r="AS212" i="6"/>
  <c r="AT212" i="6"/>
  <c r="AP212" i="6"/>
  <c r="AB212" i="6"/>
  <c r="AU212" i="6"/>
  <c r="AV212" i="6"/>
  <c r="AI212" i="6"/>
  <c r="AF212" i="6"/>
  <c r="AG212" i="6"/>
  <c r="AD212" i="6"/>
  <c r="AX212" i="6"/>
  <c r="AE212" i="6"/>
  <c r="BC212" i="6"/>
  <c r="AC212" i="6"/>
  <c r="BF212" i="6"/>
  <c r="AN212" i="6"/>
  <c r="AY212" i="6"/>
  <c r="AZ212" i="6"/>
  <c r="BA212" i="6"/>
  <c r="AQ212" i="6"/>
  <c r="AM212" i="6"/>
  <c r="AH212" i="6"/>
  <c r="AR212" i="6"/>
  <c r="AO212" i="6"/>
  <c r="AK212" i="6"/>
  <c r="BG212" i="6"/>
  <c r="BB212" i="6"/>
  <c r="BE212" i="6"/>
  <c r="AJ212" i="6"/>
  <c r="BD212" i="6"/>
  <c r="A215" i="12"/>
  <c r="N215" i="5"/>
  <c r="D215" i="6" s="1"/>
  <c r="G215" i="6" s="1"/>
  <c r="B215" i="6"/>
  <c r="D215" i="5"/>
  <c r="B215" i="12" s="1"/>
  <c r="H215" i="5"/>
  <c r="AE215" i="5"/>
  <c r="AD215" i="5"/>
  <c r="K215" i="5"/>
  <c r="G215" i="5"/>
  <c r="E215" i="5"/>
  <c r="B215" i="5"/>
  <c r="C216" i="5"/>
  <c r="J215" i="5"/>
  <c r="F215" i="5"/>
  <c r="G214" i="6"/>
  <c r="G213" i="12"/>
  <c r="M214" i="6" l="1"/>
  <c r="BC214" i="6" s="1"/>
  <c r="A215" i="6"/>
  <c r="M215" i="6" s="1"/>
  <c r="BG215" i="6" s="1"/>
  <c r="K214" i="12"/>
  <c r="H215" i="6"/>
  <c r="T215" i="5" s="1"/>
  <c r="BF213" i="6"/>
  <c r="AE213" i="6"/>
  <c r="AY213" i="6"/>
  <c r="BC213" i="6"/>
  <c r="AB213" i="6"/>
  <c r="AK213" i="6"/>
  <c r="BE213" i="6"/>
  <c r="AM213" i="6"/>
  <c r="AH213" i="6"/>
  <c r="BA213" i="6"/>
  <c r="AO213" i="6"/>
  <c r="AR213" i="6"/>
  <c r="BG213" i="6"/>
  <c r="AS213" i="6"/>
  <c r="AC213" i="6"/>
  <c r="AU213" i="6"/>
  <c r="AP213" i="6"/>
  <c r="BD213" i="6"/>
  <c r="AJ213" i="6"/>
  <c r="AD213" i="6"/>
  <c r="AI213" i="6"/>
  <c r="AF213" i="6"/>
  <c r="AX213" i="6"/>
  <c r="AZ213" i="6"/>
  <c r="AN213" i="6"/>
  <c r="AG213" i="6"/>
  <c r="AV213" i="6"/>
  <c r="AQ213" i="6"/>
  <c r="BB213" i="6"/>
  <c r="AT213" i="6"/>
  <c r="J215" i="12" a="1"/>
  <c r="J215" i="12" s="1"/>
  <c r="L215" i="12" a="1"/>
  <c r="L215" i="12" s="1"/>
  <c r="D216" i="5"/>
  <c r="B216" i="12" s="1"/>
  <c r="H216" i="5"/>
  <c r="G216" i="5"/>
  <c r="N216" i="5"/>
  <c r="D216" i="6" s="1"/>
  <c r="H216" i="6" s="1"/>
  <c r="AD216" i="5"/>
  <c r="B216" i="5"/>
  <c r="AE216" i="5"/>
  <c r="K216" i="5"/>
  <c r="J216" i="5"/>
  <c r="A216" i="12"/>
  <c r="B216" i="6"/>
  <c r="F216" i="5"/>
  <c r="E216" i="5"/>
  <c r="C217" i="5"/>
  <c r="G214" i="12"/>
  <c r="AB214" i="6" l="1"/>
  <c r="AO214" i="6"/>
  <c r="AC214" i="6"/>
  <c r="AJ214" i="6"/>
  <c r="AV214" i="6"/>
  <c r="AD214" i="6"/>
  <c r="AZ214" i="6"/>
  <c r="BA214" i="6"/>
  <c r="AF214" i="6"/>
  <c r="AX214" i="6"/>
  <c r="BB214" i="6"/>
  <c r="BG214" i="6"/>
  <c r="BD214" i="6"/>
  <c r="BF214" i="6"/>
  <c r="AE214" i="6"/>
  <c r="AH214" i="6"/>
  <c r="AM214" i="6"/>
  <c r="AG214" i="6"/>
  <c r="AI214" i="6"/>
  <c r="AQ214" i="6"/>
  <c r="AU214" i="6"/>
  <c r="AS214" i="6"/>
  <c r="AN214" i="6"/>
  <c r="BE214" i="6"/>
  <c r="AY214" i="6"/>
  <c r="AP214" i="6"/>
  <c r="AR214" i="6"/>
  <c r="AT214" i="6"/>
  <c r="AK214" i="6"/>
  <c r="K215" i="12"/>
  <c r="N215" i="6"/>
  <c r="AS215" i="6"/>
  <c r="AG215" i="6"/>
  <c r="BD215" i="6"/>
  <c r="AU215" i="6"/>
  <c r="AI215" i="6"/>
  <c r="AB215" i="6"/>
  <c r="AT215" i="6"/>
  <c r="AP215" i="6"/>
  <c r="BE215" i="6"/>
  <c r="AD215" i="6"/>
  <c r="AX215" i="6"/>
  <c r="AY215" i="6"/>
  <c r="AZ215" i="6"/>
  <c r="AE215" i="6"/>
  <c r="AR215" i="6"/>
  <c r="AN215" i="6"/>
  <c r="BF215" i="6"/>
  <c r="BA215" i="6"/>
  <c r="AO215" i="6"/>
  <c r="AM215" i="6"/>
  <c r="BC215" i="6"/>
  <c r="BB215" i="6"/>
  <c r="AV215" i="6"/>
  <c r="AQ215" i="6"/>
  <c r="AK215" i="6"/>
  <c r="AC215" i="6"/>
  <c r="AF215" i="6"/>
  <c r="AH215" i="6"/>
  <c r="AJ215" i="6"/>
  <c r="A216" i="6"/>
  <c r="M216" i="6" s="1"/>
  <c r="AS216" i="6" s="1"/>
  <c r="J216" i="12" a="1"/>
  <c r="J216" i="12" s="1"/>
  <c r="L216" i="12" a="1"/>
  <c r="L216" i="12" s="1"/>
  <c r="B217" i="6"/>
  <c r="H217" i="5"/>
  <c r="N217" i="5"/>
  <c r="D217" i="6" s="1"/>
  <c r="H217" i="6" s="1"/>
  <c r="D217" i="5"/>
  <c r="B217" i="12" s="1"/>
  <c r="B217" i="5"/>
  <c r="C218" i="5" s="1"/>
  <c r="AE217" i="5"/>
  <c r="AD217" i="5"/>
  <c r="F217" i="5"/>
  <c r="E217" i="5"/>
  <c r="G217" i="5"/>
  <c r="K217" i="5"/>
  <c r="A217" i="12"/>
  <c r="J217" i="5"/>
  <c r="G216" i="6"/>
  <c r="T216" i="5"/>
  <c r="G215" i="12"/>
  <c r="K216" i="12" l="1"/>
  <c r="AJ216" i="6"/>
  <c r="AQ216" i="6"/>
  <c r="AO216" i="6"/>
  <c r="AN216" i="6"/>
  <c r="AV216" i="6"/>
  <c r="AK216" i="6"/>
  <c r="AF216" i="6"/>
  <c r="BE216" i="6"/>
  <c r="BA216" i="6"/>
  <c r="BG216" i="6"/>
  <c r="AE216" i="6"/>
  <c r="AP216" i="6"/>
  <c r="AB216" i="6"/>
  <c r="AZ216" i="6"/>
  <c r="AT216" i="6"/>
  <c r="AC216" i="6"/>
  <c r="BD216" i="6"/>
  <c r="AH216" i="6"/>
  <c r="BC216" i="6"/>
  <c r="AX216" i="6"/>
  <c r="AU216" i="6"/>
  <c r="BF216" i="6"/>
  <c r="AR216" i="6"/>
  <c r="AG216" i="6"/>
  <c r="AM216" i="6"/>
  <c r="AI216" i="6"/>
  <c r="AY216" i="6"/>
  <c r="AD216" i="6"/>
  <c r="BB216" i="6"/>
  <c r="N216" i="6"/>
  <c r="G217" i="6"/>
  <c r="AE218" i="5"/>
  <c r="AD218" i="5"/>
  <c r="G218" i="5"/>
  <c r="E218" i="5"/>
  <c r="I218" i="5"/>
  <c r="A218" i="12"/>
  <c r="B218" i="6"/>
  <c r="C219" i="5"/>
  <c r="H218" i="5"/>
  <c r="W218" i="5"/>
  <c r="H218" i="12" s="1"/>
  <c r="N218" i="5"/>
  <c r="D218" i="6" s="1"/>
  <c r="F218" i="5"/>
  <c r="B218" i="5"/>
  <c r="A217" i="6"/>
  <c r="J217" i="12" a="1"/>
  <c r="J217" i="12" s="1"/>
  <c r="L217" i="12" a="1"/>
  <c r="L217" i="12" s="1"/>
  <c r="T217" i="5"/>
  <c r="G216" i="12"/>
  <c r="K217" i="12" l="1"/>
  <c r="N218" i="6"/>
  <c r="B219" i="5"/>
  <c r="G219" i="5"/>
  <c r="K219" i="5"/>
  <c r="N219" i="5"/>
  <c r="D219" i="6" s="1"/>
  <c r="H219" i="6" s="1"/>
  <c r="F219" i="5"/>
  <c r="H219" i="5"/>
  <c r="B219" i="6"/>
  <c r="AE219" i="5"/>
  <c r="E219" i="5"/>
  <c r="J219" i="5"/>
  <c r="A219" i="12"/>
  <c r="AD219" i="5"/>
  <c r="C220" i="5"/>
  <c r="D219" i="5"/>
  <c r="B219" i="12" s="1"/>
  <c r="M218" i="6"/>
  <c r="AR218" i="6" s="1"/>
  <c r="H218" i="6"/>
  <c r="T218" i="5" s="1"/>
  <c r="G218" i="12" s="1"/>
  <c r="G218" i="6"/>
  <c r="J218" i="6" a="1"/>
  <c r="J218" i="6" s="1"/>
  <c r="A218" i="6"/>
  <c r="M217" i="6"/>
  <c r="N217" i="6"/>
  <c r="G217" i="12"/>
  <c r="BA218" i="6" l="1"/>
  <c r="AV218" i="6"/>
  <c r="BD218" i="6"/>
  <c r="AS218" i="6"/>
  <c r="BE218" i="6"/>
  <c r="BG218" i="6"/>
  <c r="AI218" i="6"/>
  <c r="AJ218" i="6"/>
  <c r="AX218" i="6"/>
  <c r="AQ218" i="6"/>
  <c r="AZ218" i="6"/>
  <c r="AU218" i="6"/>
  <c r="AT218" i="6"/>
  <c r="A219" i="6"/>
  <c r="M219" i="6" s="1"/>
  <c r="BF219" i="6" s="1"/>
  <c r="G219" i="6"/>
  <c r="AE218" i="6"/>
  <c r="AD218" i="6"/>
  <c r="AG218" i="6"/>
  <c r="AM218" i="6"/>
  <c r="AO218" i="6"/>
  <c r="BB218" i="6"/>
  <c r="BF218" i="6"/>
  <c r="AB218" i="6"/>
  <c r="AP218" i="6"/>
  <c r="AK218" i="6"/>
  <c r="AC218" i="6"/>
  <c r="BC218" i="6"/>
  <c r="N220" i="5"/>
  <c r="D220" i="6" s="1"/>
  <c r="G220" i="6" s="1"/>
  <c r="E220" i="5"/>
  <c r="AE220" i="5"/>
  <c r="AD220" i="5"/>
  <c r="A220" i="12"/>
  <c r="J220" i="5"/>
  <c r="K220" i="5"/>
  <c r="D220" i="5"/>
  <c r="B220" i="12" s="1"/>
  <c r="C221" i="5"/>
  <c r="B220" i="6"/>
  <c r="H220" i="5"/>
  <c r="G220" i="5"/>
  <c r="F220" i="5"/>
  <c r="B220" i="5"/>
  <c r="BD217" i="6"/>
  <c r="BE217" i="6"/>
  <c r="AF217" i="6"/>
  <c r="AD217" i="6"/>
  <c r="AR217" i="6"/>
  <c r="AM217" i="6"/>
  <c r="AK217" i="6"/>
  <c r="AS217" i="6"/>
  <c r="BG217" i="6"/>
  <c r="AY217" i="6"/>
  <c r="AP217" i="6"/>
  <c r="BF217" i="6"/>
  <c r="AX217" i="6"/>
  <c r="BC217" i="6"/>
  <c r="AN217" i="6"/>
  <c r="AJ217" i="6"/>
  <c r="AZ217" i="6"/>
  <c r="AE217" i="6"/>
  <c r="AB217" i="6"/>
  <c r="AQ217" i="6"/>
  <c r="AC217" i="6"/>
  <c r="AO217" i="6"/>
  <c r="AI217" i="6"/>
  <c r="AT217" i="6"/>
  <c r="AH217" i="6"/>
  <c r="BA217" i="6"/>
  <c r="AU217" i="6"/>
  <c r="BB217" i="6"/>
  <c r="AG217" i="6"/>
  <c r="AV217" i="6"/>
  <c r="AF218" i="6"/>
  <c r="AH218" i="6"/>
  <c r="AY218" i="6"/>
  <c r="L219" i="12" a="1"/>
  <c r="L219" i="12" s="1"/>
  <c r="J219" i="12" a="1"/>
  <c r="J219" i="12" s="1"/>
  <c r="AN218" i="6"/>
  <c r="T219" i="5"/>
  <c r="H220" i="6" l="1"/>
  <c r="T220" i="5" s="1"/>
  <c r="AM219" i="6"/>
  <c r="AK219" i="6"/>
  <c r="BC219" i="6"/>
  <c r="AJ219" i="6"/>
  <c r="AE219" i="6"/>
  <c r="AQ219" i="6"/>
  <c r="AP219" i="6"/>
  <c r="N219" i="6"/>
  <c r="AI219" i="6"/>
  <c r="AN219" i="6"/>
  <c r="AV219" i="6"/>
  <c r="AR219" i="6"/>
  <c r="AD219" i="6"/>
  <c r="AB219" i="6"/>
  <c r="AS219" i="6"/>
  <c r="AC219" i="6"/>
  <c r="AX219" i="6"/>
  <c r="BA219" i="6"/>
  <c r="AU219" i="6"/>
  <c r="AF219" i="6"/>
  <c r="AO219" i="6"/>
  <c r="AT219" i="6"/>
  <c r="BG219" i="6"/>
  <c r="AY219" i="6"/>
  <c r="AH219" i="6"/>
  <c r="AG219" i="6"/>
  <c r="BB219" i="6"/>
  <c r="BD219" i="6"/>
  <c r="BE219" i="6"/>
  <c r="AZ219" i="6"/>
  <c r="K219" i="12"/>
  <c r="A220" i="6"/>
  <c r="M220" i="6" s="1"/>
  <c r="AU220" i="6" s="1"/>
  <c r="J220" i="12" a="1"/>
  <c r="J220" i="12" s="1"/>
  <c r="L220" i="12" a="1"/>
  <c r="L220" i="12" s="1"/>
  <c r="N221" i="5"/>
  <c r="D221" i="6" s="1"/>
  <c r="H221" i="6" s="1"/>
  <c r="B221" i="5"/>
  <c r="AD221" i="5"/>
  <c r="K221" i="5"/>
  <c r="D221" i="5"/>
  <c r="B221" i="12" s="1"/>
  <c r="C222" i="5"/>
  <c r="AE221" i="5"/>
  <c r="G221" i="5"/>
  <c r="J221" i="5"/>
  <c r="H221" i="5"/>
  <c r="A221" i="12"/>
  <c r="F221" i="5"/>
  <c r="E221" i="5"/>
  <c r="B221" i="6"/>
  <c r="G219" i="12"/>
  <c r="G221" i="6" l="1"/>
  <c r="N220" i="6"/>
  <c r="A221" i="6"/>
  <c r="BE220" i="6"/>
  <c r="AQ220" i="6"/>
  <c r="AM220" i="6"/>
  <c r="AX220" i="6"/>
  <c r="AI220" i="6"/>
  <c r="AT220" i="6"/>
  <c r="AF220" i="6"/>
  <c r="AS220" i="6"/>
  <c r="AV220" i="6"/>
  <c r="AR220" i="6"/>
  <c r="AO220" i="6"/>
  <c r="BC220" i="6"/>
  <c r="AY220" i="6"/>
  <c r="AH220" i="6"/>
  <c r="AB220" i="6"/>
  <c r="BA220" i="6"/>
  <c r="BG220" i="6"/>
  <c r="BD220" i="6"/>
  <c r="AZ220" i="6"/>
  <c r="AC220" i="6"/>
  <c r="BF220" i="6"/>
  <c r="K220" i="12"/>
  <c r="AE220" i="6"/>
  <c r="AK220" i="6"/>
  <c r="AG220" i="6"/>
  <c r="AJ220" i="6"/>
  <c r="BB220" i="6"/>
  <c r="AP220" i="6"/>
  <c r="AD220" i="6"/>
  <c r="AN220" i="6"/>
  <c r="B222" i="6"/>
  <c r="E222" i="5"/>
  <c r="AE222" i="5"/>
  <c r="G222" i="5"/>
  <c r="C223" i="5"/>
  <c r="K222" i="5"/>
  <c r="A222" i="12"/>
  <c r="H222" i="5"/>
  <c r="B222" i="5"/>
  <c r="N222" i="5"/>
  <c r="D222" i="6" s="1"/>
  <c r="D222" i="5"/>
  <c r="B222" i="12" s="1"/>
  <c r="J222" i="5"/>
  <c r="F222" i="5"/>
  <c r="AD222" i="5"/>
  <c r="J221" i="12" a="1"/>
  <c r="J221" i="12" s="1"/>
  <c r="L221" i="12" a="1"/>
  <c r="L221" i="12" s="1"/>
  <c r="T221" i="5"/>
  <c r="G220" i="12"/>
  <c r="K221" i="12" l="1"/>
  <c r="A222" i="6"/>
  <c r="M222" i="6" s="1"/>
  <c r="AS222" i="6" s="1"/>
  <c r="N221" i="6"/>
  <c r="M221" i="6"/>
  <c r="J222" i="12" a="1"/>
  <c r="J222" i="12" s="1"/>
  <c r="L222" i="12" a="1"/>
  <c r="L222" i="12" s="1"/>
  <c r="AE223" i="5"/>
  <c r="G223" i="5"/>
  <c r="H223" i="5"/>
  <c r="A223" i="12"/>
  <c r="AD223" i="5"/>
  <c r="B223" i="6"/>
  <c r="B223" i="5"/>
  <c r="F223" i="5"/>
  <c r="N223" i="5"/>
  <c r="D223" i="6" s="1"/>
  <c r="K223" i="5"/>
  <c r="J223" i="5"/>
  <c r="D223" i="5"/>
  <c r="B223" i="12" s="1"/>
  <c r="C224" i="5"/>
  <c r="E223" i="5"/>
  <c r="G222" i="6"/>
  <c r="H222" i="6"/>
  <c r="T222" i="5" s="1"/>
  <c r="G221" i="12"/>
  <c r="N222" i="6" l="1"/>
  <c r="A223" i="6"/>
  <c r="M223" i="6" s="1"/>
  <c r="AZ223" i="6" s="1"/>
  <c r="AR221" i="6"/>
  <c r="AO221" i="6"/>
  <c r="BD221" i="6"/>
  <c r="BB221" i="6"/>
  <c r="AG221" i="6"/>
  <c r="BG221" i="6"/>
  <c r="AV221" i="6"/>
  <c r="AM221" i="6"/>
  <c r="BC221" i="6"/>
  <c r="AC221" i="6"/>
  <c r="AD221" i="6"/>
  <c r="AF221" i="6"/>
  <c r="AY221" i="6"/>
  <c r="AQ221" i="6"/>
  <c r="AZ221" i="6"/>
  <c r="AE221" i="6"/>
  <c r="AI221" i="6"/>
  <c r="AN221" i="6"/>
  <c r="AU221" i="6"/>
  <c r="AB221" i="6"/>
  <c r="AJ221" i="6"/>
  <c r="AP221" i="6"/>
  <c r="AH221" i="6"/>
  <c r="AT221" i="6"/>
  <c r="BF221" i="6"/>
  <c r="AK221" i="6"/>
  <c r="BE221" i="6"/>
  <c r="AX221" i="6"/>
  <c r="AS221" i="6"/>
  <c r="BA221" i="6"/>
  <c r="G223" i="6"/>
  <c r="AE222" i="6"/>
  <c r="AT222" i="6"/>
  <c r="AP222" i="6"/>
  <c r="AG222" i="6"/>
  <c r="AI222" i="6"/>
  <c r="AB222" i="6"/>
  <c r="AH222" i="6"/>
  <c r="AM222" i="6"/>
  <c r="AC222" i="6"/>
  <c r="AZ222" i="6"/>
  <c r="AQ222" i="6"/>
  <c r="BG222" i="6"/>
  <c r="L223" i="12" a="1"/>
  <c r="L223" i="12" s="1"/>
  <c r="J223" i="12" a="1"/>
  <c r="J223" i="12" s="1"/>
  <c r="AF222" i="6"/>
  <c r="AX222" i="6"/>
  <c r="BF222" i="6"/>
  <c r="AD222" i="6"/>
  <c r="AY222" i="6"/>
  <c r="AO222" i="6"/>
  <c r="AR222" i="6"/>
  <c r="AU222" i="6"/>
  <c r="K224" i="5"/>
  <c r="H224" i="5"/>
  <c r="E224" i="5"/>
  <c r="AD224" i="5"/>
  <c r="D224" i="5"/>
  <c r="B224" i="12" s="1"/>
  <c r="G224" i="5"/>
  <c r="F224" i="5"/>
  <c r="AE224" i="5"/>
  <c r="B224" i="5"/>
  <c r="C225" i="5" s="1"/>
  <c r="A224" i="12"/>
  <c r="B224" i="6"/>
  <c r="N224" i="5"/>
  <c r="D224" i="6" s="1"/>
  <c r="H224" i="6" s="1"/>
  <c r="J224" i="5"/>
  <c r="AJ222" i="6"/>
  <c r="H223" i="6"/>
  <c r="AV222" i="6"/>
  <c r="AK222" i="6"/>
  <c r="K222" i="12"/>
  <c r="BD222" i="6"/>
  <c r="BC222" i="6"/>
  <c r="BB222" i="6"/>
  <c r="AN222" i="6"/>
  <c r="BE222" i="6"/>
  <c r="BA222" i="6"/>
  <c r="G222" i="12"/>
  <c r="N223" i="6" l="1"/>
  <c r="AD223" i="6"/>
  <c r="T223" i="5"/>
  <c r="A224" i="6"/>
  <c r="N224" i="6" s="1"/>
  <c r="AI223" i="6"/>
  <c r="AJ223" i="6"/>
  <c r="AX223" i="6"/>
  <c r="BD223" i="6"/>
  <c r="AR223" i="6"/>
  <c r="BF223" i="6"/>
  <c r="AB223" i="6"/>
  <c r="BB223" i="6"/>
  <c r="AG223" i="6"/>
  <c r="AK223" i="6"/>
  <c r="AQ223" i="6"/>
  <c r="BA223" i="6"/>
  <c r="AE223" i="6"/>
  <c r="AH223" i="6"/>
  <c r="AO223" i="6"/>
  <c r="AS223" i="6"/>
  <c r="AV223" i="6"/>
  <c r="BG223" i="6"/>
  <c r="L224" i="12" a="1"/>
  <c r="L224" i="12" s="1"/>
  <c r="J224" i="12" a="1"/>
  <c r="J224" i="12" s="1"/>
  <c r="AE225" i="5"/>
  <c r="W225" i="5"/>
  <c r="H225" i="12" s="1"/>
  <c r="I225" i="5"/>
  <c r="G225" i="5"/>
  <c r="F225" i="5"/>
  <c r="A225" i="12"/>
  <c r="AD225" i="5"/>
  <c r="B225" i="6"/>
  <c r="E225" i="5"/>
  <c r="N225" i="5"/>
  <c r="D225" i="6" s="1"/>
  <c r="N225" i="6" s="1"/>
  <c r="C226" i="5"/>
  <c r="H225" i="5"/>
  <c r="B225" i="5"/>
  <c r="BC223" i="6"/>
  <c r="G224" i="6"/>
  <c r="AF223" i="6"/>
  <c r="AP223" i="6"/>
  <c r="AN223" i="6"/>
  <c r="AT223" i="6"/>
  <c r="AY223" i="6"/>
  <c r="AM223" i="6"/>
  <c r="AC223" i="6"/>
  <c r="BE223" i="6"/>
  <c r="AU223" i="6"/>
  <c r="K223" i="12"/>
  <c r="G223" i="12"/>
  <c r="T224" i="5"/>
  <c r="M224" i="6" l="1"/>
  <c r="AC224" i="6" s="1"/>
  <c r="M225" i="6"/>
  <c r="AO225" i="6" s="1"/>
  <c r="G225" i="6"/>
  <c r="H225" i="6"/>
  <c r="T225" i="5" s="1"/>
  <c r="G225" i="12" s="1"/>
  <c r="N226" i="5"/>
  <c r="D226" i="6" s="1"/>
  <c r="H226" i="6" s="1"/>
  <c r="K226" i="5"/>
  <c r="E226" i="5"/>
  <c r="H226" i="5"/>
  <c r="B226" i="6"/>
  <c r="J226" i="5"/>
  <c r="C227" i="5"/>
  <c r="G226" i="5"/>
  <c r="B226" i="5"/>
  <c r="F226" i="5"/>
  <c r="A226" i="12"/>
  <c r="AD226" i="5"/>
  <c r="D226" i="5"/>
  <c r="B226" i="12" s="1"/>
  <c r="AE226" i="5"/>
  <c r="K224" i="12"/>
  <c r="A225" i="6"/>
  <c r="J225" i="6" a="1"/>
  <c r="J225" i="6" s="1"/>
  <c r="G224" i="12"/>
  <c r="BB224" i="6" l="1"/>
  <c r="BC224" i="6"/>
  <c r="BA224" i="6"/>
  <c r="AI224" i="6"/>
  <c r="AK224" i="6"/>
  <c r="AM224" i="6"/>
  <c r="AN224" i="6"/>
  <c r="AB224" i="6"/>
  <c r="AY224" i="6"/>
  <c r="AS224" i="6"/>
  <c r="AJ224" i="6"/>
  <c r="BD224" i="6"/>
  <c r="BF224" i="6"/>
  <c r="AX224" i="6"/>
  <c r="AF224" i="6"/>
  <c r="AE224" i="6"/>
  <c r="AT224" i="6"/>
  <c r="BG224" i="6"/>
  <c r="AH224" i="6"/>
  <c r="AD224" i="6"/>
  <c r="AG224" i="6"/>
  <c r="AO224" i="6"/>
  <c r="AR224" i="6"/>
  <c r="AP224" i="6"/>
  <c r="AU224" i="6"/>
  <c r="AV224" i="6"/>
  <c r="AZ224" i="6"/>
  <c r="BE224" i="6"/>
  <c r="AQ224" i="6"/>
  <c r="BD225" i="6"/>
  <c r="AZ225" i="6"/>
  <c r="AM225" i="6"/>
  <c r="AN225" i="6"/>
  <c r="AE225" i="6"/>
  <c r="AT225" i="6"/>
  <c r="AG225" i="6"/>
  <c r="AQ225" i="6"/>
  <c r="AC225" i="6"/>
  <c r="AD225" i="6"/>
  <c r="AR225" i="6"/>
  <c r="BB225" i="6"/>
  <c r="AS225" i="6"/>
  <c r="AP225" i="6"/>
  <c r="BF225" i="6"/>
  <c r="AJ225" i="6"/>
  <c r="AY225" i="6"/>
  <c r="AI225" i="6"/>
  <c r="AX225" i="6"/>
  <c r="AB225" i="6"/>
  <c r="AF225" i="6"/>
  <c r="BC225" i="6"/>
  <c r="AH225" i="6"/>
  <c r="BG225" i="6"/>
  <c r="AV225" i="6"/>
  <c r="G226" i="6"/>
  <c r="BA225" i="6"/>
  <c r="AU225" i="6"/>
  <c r="AK225" i="6"/>
  <c r="BE225" i="6"/>
  <c r="J226" i="12" a="1"/>
  <c r="J226" i="12" s="1"/>
  <c r="L226" i="12" a="1"/>
  <c r="L226" i="12" s="1"/>
  <c r="K227" i="5"/>
  <c r="N227" i="5"/>
  <c r="D227" i="6" s="1"/>
  <c r="G227" i="6" s="1"/>
  <c r="D227" i="5"/>
  <c r="B227" i="12" s="1"/>
  <c r="F227" i="5"/>
  <c r="J227" i="5"/>
  <c r="H227" i="5"/>
  <c r="C228" i="5"/>
  <c r="E227" i="5"/>
  <c r="AE227" i="5"/>
  <c r="A227" i="12"/>
  <c r="B227" i="6"/>
  <c r="B227" i="5"/>
  <c r="AD227" i="5"/>
  <c r="G227" i="5"/>
  <c r="A226" i="6"/>
  <c r="T226" i="5"/>
  <c r="K226" i="12" l="1"/>
  <c r="H227" i="6"/>
  <c r="T227" i="5" s="1"/>
  <c r="L227" i="12" a="1"/>
  <c r="L227" i="12" s="1"/>
  <c r="J227" i="12" a="1"/>
  <c r="J227" i="12" s="1"/>
  <c r="M226" i="6"/>
  <c r="N226" i="6"/>
  <c r="A227" i="6"/>
  <c r="C229" i="5"/>
  <c r="D228" i="5"/>
  <c r="B228" i="12" s="1"/>
  <c r="AD228" i="5"/>
  <c r="A228" i="12"/>
  <c r="K228" i="5"/>
  <c r="H228" i="5"/>
  <c r="G228" i="5"/>
  <c r="E228" i="5"/>
  <c r="B228" i="6"/>
  <c r="AE228" i="5"/>
  <c r="F228" i="5"/>
  <c r="N228" i="5"/>
  <c r="D228" i="6" s="1"/>
  <c r="B228" i="5"/>
  <c r="J228" i="5"/>
  <c r="G226" i="12"/>
  <c r="A228" i="6" l="1"/>
  <c r="N228" i="6" s="1"/>
  <c r="C230" i="5"/>
  <c r="A229" i="12"/>
  <c r="E229" i="5"/>
  <c r="B229" i="6"/>
  <c r="N229" i="5"/>
  <c r="D229" i="6" s="1"/>
  <c r="H229" i="6" s="1"/>
  <c r="K229" i="5"/>
  <c r="B229" i="5"/>
  <c r="G229" i="5"/>
  <c r="AE229" i="5"/>
  <c r="AD229" i="5"/>
  <c r="D229" i="5"/>
  <c r="B229" i="12" s="1"/>
  <c r="H229" i="5"/>
  <c r="F229" i="5"/>
  <c r="J229" i="5"/>
  <c r="N227" i="6"/>
  <c r="M227" i="6"/>
  <c r="AS226" i="6"/>
  <c r="AY226" i="6"/>
  <c r="BG226" i="6"/>
  <c r="AJ226" i="6"/>
  <c r="AU226" i="6"/>
  <c r="AZ226" i="6"/>
  <c r="AN226" i="6"/>
  <c r="BA226" i="6"/>
  <c r="BF226" i="6"/>
  <c r="AI226" i="6"/>
  <c r="AT226" i="6"/>
  <c r="AH226" i="6"/>
  <c r="BC226" i="6"/>
  <c r="BB226" i="6"/>
  <c r="BE226" i="6"/>
  <c r="AP226" i="6"/>
  <c r="AE226" i="6"/>
  <c r="AF226" i="6"/>
  <c r="AM226" i="6"/>
  <c r="AK226" i="6"/>
  <c r="AC226" i="6"/>
  <c r="AD226" i="6"/>
  <c r="AB226" i="6"/>
  <c r="AR226" i="6"/>
  <c r="AX226" i="6"/>
  <c r="BD226" i="6"/>
  <c r="AG226" i="6"/>
  <c r="AQ226" i="6"/>
  <c r="AV226" i="6"/>
  <c r="AO226" i="6"/>
  <c r="L228" i="12" a="1"/>
  <c r="L228" i="12" s="1"/>
  <c r="J228" i="12" a="1"/>
  <c r="J228" i="12" s="1"/>
  <c r="G228" i="6"/>
  <c r="H228" i="6"/>
  <c r="T228" i="5" s="1"/>
  <c r="K227" i="12"/>
  <c r="G227" i="12"/>
  <c r="M228" i="6" l="1"/>
  <c r="AR228" i="6" s="1"/>
  <c r="G229" i="6"/>
  <c r="K228" i="12"/>
  <c r="A229" i="6"/>
  <c r="BB227" i="6"/>
  <c r="AN227" i="6"/>
  <c r="BC227" i="6"/>
  <c r="AJ227" i="6"/>
  <c r="BD227" i="6"/>
  <c r="AR227" i="6"/>
  <c r="BF227" i="6"/>
  <c r="AK227" i="6"/>
  <c r="AD227" i="6"/>
  <c r="AZ227" i="6"/>
  <c r="AG227" i="6"/>
  <c r="AS227" i="6"/>
  <c r="AO227" i="6"/>
  <c r="AC227" i="6"/>
  <c r="BE227" i="6"/>
  <c r="AI227" i="6"/>
  <c r="BA227" i="6"/>
  <c r="BG227" i="6"/>
  <c r="AP227" i="6"/>
  <c r="AV227" i="6"/>
  <c r="AY227" i="6"/>
  <c r="AT227" i="6"/>
  <c r="AE227" i="6"/>
  <c r="AM227" i="6"/>
  <c r="AH227" i="6"/>
  <c r="AU227" i="6"/>
  <c r="AB227" i="6"/>
  <c r="AQ227" i="6"/>
  <c r="AF227" i="6"/>
  <c r="AX227" i="6"/>
  <c r="L229" i="12" a="1"/>
  <c r="L229" i="12" s="1"/>
  <c r="J229" i="12" a="1"/>
  <c r="J229" i="12" s="1"/>
  <c r="C231" i="5"/>
  <c r="H230" i="5"/>
  <c r="N230" i="5"/>
  <c r="D230" i="6" s="1"/>
  <c r="K230" i="5"/>
  <c r="J230" i="5"/>
  <c r="AD230" i="5"/>
  <c r="E230" i="5"/>
  <c r="G230" i="5"/>
  <c r="D230" i="5"/>
  <c r="B230" i="12" s="1"/>
  <c r="AE230" i="5"/>
  <c r="B230" i="6"/>
  <c r="F230" i="5"/>
  <c r="B230" i="5"/>
  <c r="A230" i="12"/>
  <c r="T229" i="5"/>
  <c r="G228" i="12"/>
  <c r="AS228" i="6" l="1"/>
  <c r="AI228" i="6"/>
  <c r="BB228" i="6"/>
  <c r="AG228" i="6"/>
  <c r="AH228" i="6"/>
  <c r="AX228" i="6"/>
  <c r="AJ228" i="6"/>
  <c r="AM228" i="6"/>
  <c r="AY228" i="6"/>
  <c r="BE228" i="6"/>
  <c r="AU228" i="6"/>
  <c r="AO228" i="6"/>
  <c r="BA228" i="6"/>
  <c r="AC228" i="6"/>
  <c r="AV228" i="6"/>
  <c r="AB228" i="6"/>
  <c r="AZ228" i="6"/>
  <c r="AP228" i="6"/>
  <c r="AD228" i="6"/>
  <c r="AQ228" i="6"/>
  <c r="BC228" i="6"/>
  <c r="BF228" i="6"/>
  <c r="AT228" i="6"/>
  <c r="BG228" i="6"/>
  <c r="BD228" i="6"/>
  <c r="AE228" i="6"/>
  <c r="AN228" i="6"/>
  <c r="AK228" i="6"/>
  <c r="AF228" i="6"/>
  <c r="A230" i="6"/>
  <c r="N230" i="6" s="1"/>
  <c r="H230" i="6"/>
  <c r="T230" i="5" s="1"/>
  <c r="K229" i="12"/>
  <c r="M229" i="6"/>
  <c r="N229" i="6"/>
  <c r="L230" i="12" a="1"/>
  <c r="L230" i="12" s="1"/>
  <c r="J230" i="12" a="1"/>
  <c r="J230" i="12" s="1"/>
  <c r="AD231" i="5"/>
  <c r="K231" i="5"/>
  <c r="N231" i="5"/>
  <c r="D231" i="6" s="1"/>
  <c r="J231" i="5"/>
  <c r="D231" i="5"/>
  <c r="B231" i="12" s="1"/>
  <c r="A231" i="12"/>
  <c r="E231" i="5"/>
  <c r="AE231" i="5"/>
  <c r="B231" i="6"/>
  <c r="H231" i="5"/>
  <c r="B231" i="5"/>
  <c r="C232" i="5"/>
  <c r="G231" i="5"/>
  <c r="F231" i="5"/>
  <c r="G230" i="6"/>
  <c r="G229" i="12"/>
  <c r="M230" i="6" l="1"/>
  <c r="AT230" i="6" s="1"/>
  <c r="A231" i="6"/>
  <c r="M231" i="6" s="1"/>
  <c r="AP231" i="6" s="1"/>
  <c r="K230" i="12"/>
  <c r="H231" i="6"/>
  <c r="T231" i="5" s="1"/>
  <c r="AS229" i="6"/>
  <c r="AU229" i="6"/>
  <c r="AC229" i="6"/>
  <c r="AG229" i="6"/>
  <c r="BA229" i="6"/>
  <c r="AY229" i="6"/>
  <c r="AM229" i="6"/>
  <c r="BD229" i="6"/>
  <c r="AO229" i="6"/>
  <c r="BE229" i="6"/>
  <c r="BB229" i="6"/>
  <c r="AD229" i="6"/>
  <c r="BF229" i="6"/>
  <c r="AH229" i="6"/>
  <c r="AF229" i="6"/>
  <c r="AB229" i="6"/>
  <c r="AZ229" i="6"/>
  <c r="AJ229" i="6"/>
  <c r="AE229" i="6"/>
  <c r="AK229" i="6"/>
  <c r="BG229" i="6"/>
  <c r="AV229" i="6"/>
  <c r="AN229" i="6"/>
  <c r="AT229" i="6"/>
  <c r="AX229" i="6"/>
  <c r="AR229" i="6"/>
  <c r="BC229" i="6"/>
  <c r="AP229" i="6"/>
  <c r="AI229" i="6"/>
  <c r="AQ229" i="6"/>
  <c r="G231" i="6"/>
  <c r="L231" i="12" a="1"/>
  <c r="L231" i="12" s="1"/>
  <c r="J231" i="12" a="1"/>
  <c r="J231" i="12" s="1"/>
  <c r="J232" i="5"/>
  <c r="D232" i="5"/>
  <c r="B232" i="12" s="1"/>
  <c r="F232" i="5"/>
  <c r="B232" i="6"/>
  <c r="N232" i="5"/>
  <c r="D232" i="6" s="1"/>
  <c r="G232" i="6" s="1"/>
  <c r="K232" i="5"/>
  <c r="G232" i="5"/>
  <c r="E232" i="5"/>
  <c r="AE232" i="5"/>
  <c r="AD232" i="5"/>
  <c r="A232" i="12"/>
  <c r="H232" i="5"/>
  <c r="C233" i="5"/>
  <c r="B232" i="5"/>
  <c r="G230" i="12"/>
  <c r="N231" i="6" l="1"/>
  <c r="AF230" i="6"/>
  <c r="BB230" i="6"/>
  <c r="AB230" i="6"/>
  <c r="AH230" i="6"/>
  <c r="AY230" i="6"/>
  <c r="AN230" i="6"/>
  <c r="BG230" i="6"/>
  <c r="AV230" i="6"/>
  <c r="BA230" i="6"/>
  <c r="AC230" i="6"/>
  <c r="AK230" i="6"/>
  <c r="AJ230" i="6"/>
  <c r="AO230" i="6"/>
  <c r="BD230" i="6"/>
  <c r="AS230" i="6"/>
  <c r="BE230" i="6"/>
  <c r="AG230" i="6"/>
  <c r="AQ230" i="6"/>
  <c r="AE230" i="6"/>
  <c r="AM230" i="6"/>
  <c r="BF230" i="6"/>
  <c r="AP230" i="6"/>
  <c r="AZ230" i="6"/>
  <c r="AU230" i="6"/>
  <c r="AD230" i="6"/>
  <c r="AX230" i="6"/>
  <c r="AR230" i="6"/>
  <c r="BC230" i="6"/>
  <c r="AI230" i="6"/>
  <c r="H232" i="6"/>
  <c r="T232" i="5" s="1"/>
  <c r="AE231" i="6"/>
  <c r="AH231" i="6"/>
  <c r="AI231" i="6"/>
  <c r="AZ231" i="6"/>
  <c r="AD231" i="6"/>
  <c r="BC231" i="6"/>
  <c r="AQ231" i="6"/>
  <c r="BB231" i="6"/>
  <c r="AJ231" i="6"/>
  <c r="AO231" i="6"/>
  <c r="BE231" i="6"/>
  <c r="BA231" i="6"/>
  <c r="BG231" i="6"/>
  <c r="AN231" i="6"/>
  <c r="BF231" i="6"/>
  <c r="AK231" i="6"/>
  <c r="AY231" i="6"/>
  <c r="AU231" i="6"/>
  <c r="AB231" i="6"/>
  <c r="AS231" i="6"/>
  <c r="AG231" i="6"/>
  <c r="BD231" i="6"/>
  <c r="AV231" i="6"/>
  <c r="AF231" i="6"/>
  <c r="AR231" i="6"/>
  <c r="A232" i="6"/>
  <c r="M232" i="6" s="1"/>
  <c r="AX232" i="6" s="1"/>
  <c r="AC231" i="6"/>
  <c r="AM231" i="6"/>
  <c r="AX231" i="6"/>
  <c r="AT231" i="6"/>
  <c r="E233" i="5"/>
  <c r="A233" i="12"/>
  <c r="D233" i="5"/>
  <c r="B233" i="12" s="1"/>
  <c r="N233" i="5"/>
  <c r="D233" i="6" s="1"/>
  <c r="C234" i="5"/>
  <c r="B233" i="6"/>
  <c r="K233" i="5"/>
  <c r="AE233" i="5"/>
  <c r="J233" i="5"/>
  <c r="H233" i="5"/>
  <c r="G233" i="5"/>
  <c r="AD233" i="5"/>
  <c r="B233" i="5"/>
  <c r="F233" i="5"/>
  <c r="J232" i="12" a="1"/>
  <c r="J232" i="12" s="1"/>
  <c r="L232" i="12" a="1"/>
  <c r="L232" i="12" s="1"/>
  <c r="K231" i="12"/>
  <c r="G231" i="12"/>
  <c r="K232" i="12" l="1"/>
  <c r="A233" i="6"/>
  <c r="N233" i="6" s="1"/>
  <c r="AT232" i="6"/>
  <c r="AO232" i="6"/>
  <c r="AU232" i="6"/>
  <c r="AM232" i="6"/>
  <c r="AK232" i="6"/>
  <c r="BC232" i="6"/>
  <c r="BB232" i="6"/>
  <c r="AQ232" i="6"/>
  <c r="AV232" i="6"/>
  <c r="BA232" i="6"/>
  <c r="AS232" i="6"/>
  <c r="AR232" i="6"/>
  <c r="AN232" i="6"/>
  <c r="AD232" i="6"/>
  <c r="AC232" i="6"/>
  <c r="AG232" i="6"/>
  <c r="AZ232" i="6"/>
  <c r="AY232" i="6"/>
  <c r="AE232" i="6"/>
  <c r="BD232" i="6"/>
  <c r="AH232" i="6"/>
  <c r="AB232" i="6"/>
  <c r="AF232" i="6"/>
  <c r="N232" i="6"/>
  <c r="BE232" i="6"/>
  <c r="AP232" i="6"/>
  <c r="AJ232" i="6"/>
  <c r="BG232" i="6"/>
  <c r="BF232" i="6"/>
  <c r="AI232" i="6"/>
  <c r="G233" i="6"/>
  <c r="M233" i="6"/>
  <c r="AP233" i="6" s="1"/>
  <c r="H233" i="6"/>
  <c r="T233" i="5" s="1"/>
  <c r="C235" i="5"/>
  <c r="H234" i="5"/>
  <c r="K234" i="5"/>
  <c r="AD234" i="5"/>
  <c r="G234" i="5"/>
  <c r="D234" i="5"/>
  <c r="B234" i="12" s="1"/>
  <c r="J234" i="5"/>
  <c r="A234" i="12"/>
  <c r="B234" i="6"/>
  <c r="AE234" i="5"/>
  <c r="N234" i="5"/>
  <c r="D234" i="6" s="1"/>
  <c r="E234" i="5"/>
  <c r="F234" i="5"/>
  <c r="B234" i="5"/>
  <c r="L233" i="12" a="1"/>
  <c r="L233" i="12" s="1"/>
  <c r="J233" i="12" a="1"/>
  <c r="J233" i="12" s="1"/>
  <c r="G232" i="12"/>
  <c r="A234" i="6" l="1"/>
  <c r="N234" i="6" s="1"/>
  <c r="AR233" i="6"/>
  <c r="AV233" i="6"/>
  <c r="AC233" i="6"/>
  <c r="AN233" i="6"/>
  <c r="AX233" i="6"/>
  <c r="BD233" i="6"/>
  <c r="AU233" i="6"/>
  <c r="AQ233" i="6"/>
  <c r="AB233" i="6"/>
  <c r="AM233" i="6"/>
  <c r="AT233" i="6"/>
  <c r="AF233" i="6"/>
  <c r="AO233" i="6"/>
  <c r="AZ233" i="6"/>
  <c r="BG233" i="6"/>
  <c r="AH233" i="6"/>
  <c r="AE233" i="6"/>
  <c r="AI233" i="6"/>
  <c r="AD233" i="6"/>
  <c r="BF233" i="6"/>
  <c r="BE233" i="6"/>
  <c r="AJ233" i="6"/>
  <c r="BC233" i="6"/>
  <c r="AS233" i="6"/>
  <c r="AK233" i="6"/>
  <c r="AG233" i="6"/>
  <c r="AY233" i="6"/>
  <c r="BB233" i="6"/>
  <c r="BA233" i="6"/>
  <c r="L234" i="12" a="1"/>
  <c r="L234" i="12" s="1"/>
  <c r="J234" i="12" a="1"/>
  <c r="J234" i="12" s="1"/>
  <c r="M234" i="6"/>
  <c r="K233" i="12"/>
  <c r="G234" i="6"/>
  <c r="H234" i="6"/>
  <c r="T234" i="5" s="1"/>
  <c r="AE235" i="5"/>
  <c r="J235" i="5"/>
  <c r="AD235" i="5"/>
  <c r="D235" i="5"/>
  <c r="B235" i="12" s="1"/>
  <c r="G235" i="5"/>
  <c r="H235" i="5"/>
  <c r="F235" i="5"/>
  <c r="A235" i="12"/>
  <c r="B235" i="6"/>
  <c r="K235" i="5"/>
  <c r="N235" i="5"/>
  <c r="D235" i="6" s="1"/>
  <c r="G235" i="6" s="1"/>
  <c r="C236" i="5"/>
  <c r="B235" i="5"/>
  <c r="E235" i="5"/>
  <c r="G233" i="12"/>
  <c r="AD234" i="6" l="1"/>
  <c r="K234" i="12"/>
  <c r="AY234" i="6"/>
  <c r="BE234" i="6"/>
  <c r="H235" i="6"/>
  <c r="T235" i="5" s="1"/>
  <c r="AU234" i="6"/>
  <c r="AG234" i="6"/>
  <c r="AS234" i="6"/>
  <c r="AJ234" i="6"/>
  <c r="AC234" i="6"/>
  <c r="BD234" i="6"/>
  <c r="AN234" i="6"/>
  <c r="G236" i="5"/>
  <c r="F236" i="5"/>
  <c r="N236" i="5"/>
  <c r="D236" i="6" s="1"/>
  <c r="C237" i="5"/>
  <c r="H236" i="5"/>
  <c r="A236" i="12"/>
  <c r="D236" i="5"/>
  <c r="B236" i="12" s="1"/>
  <c r="AE236" i="5"/>
  <c r="B236" i="6"/>
  <c r="E236" i="5"/>
  <c r="K236" i="5"/>
  <c r="B236" i="5"/>
  <c r="J236" i="5"/>
  <c r="AD236" i="5"/>
  <c r="AT234" i="6"/>
  <c r="AI234" i="6"/>
  <c r="BC234" i="6"/>
  <c r="AP234" i="6"/>
  <c r="AX234" i="6"/>
  <c r="AZ234" i="6"/>
  <c r="A235" i="6"/>
  <c r="AE234" i="6"/>
  <c r="BA234" i="6"/>
  <c r="AO234" i="6"/>
  <c r="AM234" i="6"/>
  <c r="AF234" i="6"/>
  <c r="BF234" i="6"/>
  <c r="AB234" i="6"/>
  <c r="AR234" i="6"/>
  <c r="AV234" i="6"/>
  <c r="AQ234" i="6"/>
  <c r="L235" i="12" a="1"/>
  <c r="L235" i="12" s="1"/>
  <c r="J235" i="12" a="1"/>
  <c r="J235" i="12" s="1"/>
  <c r="BG234" i="6"/>
  <c r="AH234" i="6"/>
  <c r="BB234" i="6"/>
  <c r="AK234" i="6"/>
  <c r="G234" i="12"/>
  <c r="K235" i="12" l="1"/>
  <c r="A236" i="6"/>
  <c r="N236" i="6" s="1"/>
  <c r="G236" i="6"/>
  <c r="A237" i="12"/>
  <c r="B237" i="5"/>
  <c r="B237" i="6"/>
  <c r="D237" i="5"/>
  <c r="B237" i="12" s="1"/>
  <c r="E237" i="5"/>
  <c r="G237" i="5"/>
  <c r="K237" i="5"/>
  <c r="N237" i="5"/>
  <c r="D237" i="6" s="1"/>
  <c r="AE237" i="5"/>
  <c r="J237" i="5"/>
  <c r="F237" i="5"/>
  <c r="C238" i="5"/>
  <c r="AD237" i="5"/>
  <c r="H237" i="5"/>
  <c r="N235" i="6"/>
  <c r="M235" i="6"/>
  <c r="H236" i="6"/>
  <c r="T236" i="5" s="1"/>
  <c r="L236" i="12" a="1"/>
  <c r="L236" i="12" s="1"/>
  <c r="J236" i="12" a="1"/>
  <c r="J236" i="12" s="1"/>
  <c r="G235" i="12"/>
  <c r="M236" i="6" l="1"/>
  <c r="AX236" i="6" s="1"/>
  <c r="A237" i="6"/>
  <c r="M237" i="6" s="1"/>
  <c r="AJ235" i="6"/>
  <c r="BE235" i="6"/>
  <c r="AG235" i="6"/>
  <c r="AS235" i="6"/>
  <c r="AF235" i="6"/>
  <c r="AK235" i="6"/>
  <c r="AD235" i="6"/>
  <c r="BA235" i="6"/>
  <c r="AV235" i="6"/>
  <c r="BD235" i="6"/>
  <c r="AT235" i="6"/>
  <c r="AX235" i="6"/>
  <c r="AZ235" i="6"/>
  <c r="AP235" i="6"/>
  <c r="AC235" i="6"/>
  <c r="BB235" i="6"/>
  <c r="AR235" i="6"/>
  <c r="BC235" i="6"/>
  <c r="AH235" i="6"/>
  <c r="AI235" i="6"/>
  <c r="AE235" i="6"/>
  <c r="BF235" i="6"/>
  <c r="AU235" i="6"/>
  <c r="AM235" i="6"/>
  <c r="AB235" i="6"/>
  <c r="AN235" i="6"/>
  <c r="BG235" i="6"/>
  <c r="AQ235" i="6"/>
  <c r="AO235" i="6"/>
  <c r="AY235" i="6"/>
  <c r="K236" i="12"/>
  <c r="G237" i="6"/>
  <c r="H237" i="6"/>
  <c r="L237" i="12" a="1"/>
  <c r="L237" i="12" s="1"/>
  <c r="J237" i="12" a="1"/>
  <c r="J237" i="12" s="1"/>
  <c r="F238" i="5"/>
  <c r="N238" i="5"/>
  <c r="D238" i="6" s="1"/>
  <c r="H238" i="6" s="1"/>
  <c r="B238" i="5"/>
  <c r="C239" i="5"/>
  <c r="J238" i="5"/>
  <c r="A238" i="12"/>
  <c r="K238" i="5"/>
  <c r="B238" i="6"/>
  <c r="AE238" i="5"/>
  <c r="E238" i="5"/>
  <c r="D238" i="5"/>
  <c r="B238" i="12" s="1"/>
  <c r="AD238" i="5"/>
  <c r="H238" i="5"/>
  <c r="G238" i="5"/>
  <c r="G236" i="12"/>
  <c r="AY236" i="6" l="1"/>
  <c r="AC236" i="6"/>
  <c r="BG236" i="6"/>
  <c r="AZ236" i="6"/>
  <c r="AM236" i="6"/>
  <c r="AU236" i="6"/>
  <c r="N237" i="6"/>
  <c r="AE236" i="6"/>
  <c r="AH236" i="6"/>
  <c r="AV236" i="6"/>
  <c r="BE236" i="6"/>
  <c r="AN236" i="6"/>
  <c r="AG236" i="6"/>
  <c r="AO236" i="6"/>
  <c r="AS236" i="6"/>
  <c r="AR236" i="6"/>
  <c r="BB236" i="6"/>
  <c r="AF236" i="6"/>
  <c r="AI236" i="6"/>
  <c r="AQ236" i="6"/>
  <c r="BF236" i="6"/>
  <c r="AK236" i="6"/>
  <c r="AT236" i="6"/>
  <c r="AD236" i="6"/>
  <c r="AB236" i="6"/>
  <c r="BA236" i="6"/>
  <c r="BD236" i="6"/>
  <c r="AP236" i="6"/>
  <c r="BC236" i="6"/>
  <c r="AJ236" i="6"/>
  <c r="AP237" i="6"/>
  <c r="AQ237" i="6"/>
  <c r="AT237" i="6"/>
  <c r="AU237" i="6"/>
  <c r="AY237" i="6"/>
  <c r="BE237" i="6"/>
  <c r="AR237" i="6"/>
  <c r="AM237" i="6"/>
  <c r="AO237" i="6"/>
  <c r="BB237" i="6"/>
  <c r="AK237" i="6"/>
  <c r="AX237" i="6"/>
  <c r="BF237" i="6"/>
  <c r="BG237" i="6"/>
  <c r="BA237" i="6"/>
  <c r="BD237" i="6"/>
  <c r="AS237" i="6"/>
  <c r="BC237" i="6"/>
  <c r="AN237" i="6"/>
  <c r="AZ237" i="6"/>
  <c r="AV237" i="6"/>
  <c r="AI237" i="6"/>
  <c r="AG237" i="6"/>
  <c r="AH237" i="6"/>
  <c r="A239" i="12"/>
  <c r="B239" i="5"/>
  <c r="N239" i="5"/>
  <c r="D239" i="6" s="1"/>
  <c r="B239" i="6"/>
  <c r="D239" i="5"/>
  <c r="B239" i="12" s="1"/>
  <c r="AD239" i="5"/>
  <c r="J239" i="5"/>
  <c r="AE239" i="5"/>
  <c r="H239" i="5"/>
  <c r="K239" i="5"/>
  <c r="F239" i="5"/>
  <c r="E239" i="5"/>
  <c r="G239" i="5"/>
  <c r="C240" i="5"/>
  <c r="AF237" i="6"/>
  <c r="AD237" i="6"/>
  <c r="G238" i="6"/>
  <c r="AB237" i="6"/>
  <c r="AE237" i="6"/>
  <c r="A238" i="6"/>
  <c r="M238" i="6" s="1"/>
  <c r="AN238" i="6" s="1"/>
  <c r="AJ237" i="6"/>
  <c r="L238" i="12" a="1"/>
  <c r="L238" i="12" s="1"/>
  <c r="J238" i="12" a="1"/>
  <c r="J238" i="12" s="1"/>
  <c r="K237" i="12"/>
  <c r="T237" i="5"/>
  <c r="G237" i="12" s="1"/>
  <c r="AC237" i="6"/>
  <c r="T238" i="5"/>
  <c r="K238" i="12" l="1"/>
  <c r="N238" i="6"/>
  <c r="AD238" i="6"/>
  <c r="AF238" i="6"/>
  <c r="AZ238" i="6"/>
  <c r="AB238" i="6"/>
  <c r="AS238" i="6"/>
  <c r="A239" i="6"/>
  <c r="M239" i="6" s="1"/>
  <c r="AZ239" i="6" s="1"/>
  <c r="G239" i="6"/>
  <c r="BD238" i="6"/>
  <c r="BB238" i="6"/>
  <c r="AE240" i="5"/>
  <c r="H240" i="5"/>
  <c r="F240" i="5"/>
  <c r="J240" i="5"/>
  <c r="AD240" i="5"/>
  <c r="D240" i="5"/>
  <c r="B240" i="12" s="1"/>
  <c r="N240" i="5"/>
  <c r="D240" i="6" s="1"/>
  <c r="H240" i="6" s="1"/>
  <c r="G240" i="5"/>
  <c r="E240" i="5"/>
  <c r="K240" i="5"/>
  <c r="A240" i="12"/>
  <c r="B240" i="6"/>
  <c r="C241" i="5"/>
  <c r="B240" i="5"/>
  <c r="J239" i="12" a="1"/>
  <c r="J239" i="12" s="1"/>
  <c r="L239" i="12" a="1"/>
  <c r="L239" i="12" s="1"/>
  <c r="BG238" i="6"/>
  <c r="BF238" i="6"/>
  <c r="AQ238" i="6"/>
  <c r="AU238" i="6"/>
  <c r="AJ238" i="6"/>
  <c r="AG238" i="6"/>
  <c r="AY238" i="6"/>
  <c r="AV238" i="6"/>
  <c r="H239" i="6"/>
  <c r="T239" i="5" s="1"/>
  <c r="AK238" i="6"/>
  <c r="AR238" i="6"/>
  <c r="BA238" i="6"/>
  <c r="BE238" i="6"/>
  <c r="AP238" i="6"/>
  <c r="AX238" i="6"/>
  <c r="BC238" i="6"/>
  <c r="AM238" i="6"/>
  <c r="AH238" i="6"/>
  <c r="AO238" i="6"/>
  <c r="AI238" i="6"/>
  <c r="AT238" i="6"/>
  <c r="AC238" i="6"/>
  <c r="AE238" i="6"/>
  <c r="G238" i="12"/>
  <c r="N239" i="6" l="1"/>
  <c r="A240" i="6"/>
  <c r="M240" i="6" s="1"/>
  <c r="AI240" i="6" s="1"/>
  <c r="AS239" i="6"/>
  <c r="G240" i="6"/>
  <c r="AY239" i="6"/>
  <c r="AJ239" i="6"/>
  <c r="BD239" i="6"/>
  <c r="AB239" i="6"/>
  <c r="AU239" i="6"/>
  <c r="J240" i="12" a="1"/>
  <c r="J240" i="12" s="1"/>
  <c r="L240" i="12" a="1"/>
  <c r="L240" i="12" s="1"/>
  <c r="AK239" i="6"/>
  <c r="AV239" i="6"/>
  <c r="AM239" i="6"/>
  <c r="D241" i="5"/>
  <c r="B241" i="12" s="1"/>
  <c r="K241" i="5"/>
  <c r="B241" i="5"/>
  <c r="AE241" i="5"/>
  <c r="N241" i="5"/>
  <c r="D241" i="6" s="1"/>
  <c r="H241" i="6" s="1"/>
  <c r="AD241" i="5"/>
  <c r="F241" i="5"/>
  <c r="A241" i="12"/>
  <c r="B241" i="6"/>
  <c r="J241" i="5"/>
  <c r="G241" i="5"/>
  <c r="H241" i="5"/>
  <c r="C242" i="5"/>
  <c r="E241" i="5"/>
  <c r="BE239" i="6"/>
  <c r="AC239" i="6"/>
  <c r="AG239" i="6"/>
  <c r="BF239" i="6"/>
  <c r="AF239" i="6"/>
  <c r="AR239" i="6"/>
  <c r="AX239" i="6"/>
  <c r="AI239" i="6"/>
  <c r="AN239" i="6"/>
  <c r="BA239" i="6"/>
  <c r="AO239" i="6"/>
  <c r="BB239" i="6"/>
  <c r="AP239" i="6"/>
  <c r="AT239" i="6"/>
  <c r="AH239" i="6"/>
  <c r="AE239" i="6"/>
  <c r="BG239" i="6"/>
  <c r="AD239" i="6"/>
  <c r="BC239" i="6"/>
  <c r="AQ239" i="6"/>
  <c r="K239" i="12"/>
  <c r="G239" i="12"/>
  <c r="T240" i="5"/>
  <c r="A241" i="6" l="1"/>
  <c r="M241" i="6" s="1"/>
  <c r="AS241" i="6" s="1"/>
  <c r="N240" i="6"/>
  <c r="AJ240" i="6"/>
  <c r="AV240" i="6"/>
  <c r="AB240" i="6"/>
  <c r="BC240" i="6"/>
  <c r="AT240" i="6"/>
  <c r="AR240" i="6"/>
  <c r="AQ240" i="6"/>
  <c r="BA240" i="6"/>
  <c r="K240" i="12"/>
  <c r="AX240" i="6"/>
  <c r="BB240" i="6"/>
  <c r="AH240" i="6"/>
  <c r="BD240" i="6"/>
  <c r="BG240" i="6"/>
  <c r="AK240" i="6"/>
  <c r="AU240" i="6"/>
  <c r="AP240" i="6"/>
  <c r="AG240" i="6"/>
  <c r="AN240" i="6"/>
  <c r="BF240" i="6"/>
  <c r="AZ240" i="6"/>
  <c r="AS240" i="6"/>
  <c r="AD240" i="6"/>
  <c r="AC240" i="6"/>
  <c r="AM240" i="6"/>
  <c r="AY240" i="6"/>
  <c r="AO240" i="6"/>
  <c r="BE240" i="6"/>
  <c r="AF240" i="6"/>
  <c r="AE240" i="6"/>
  <c r="AE242" i="5"/>
  <c r="A242" i="12"/>
  <c r="J242" i="5"/>
  <c r="B242" i="6"/>
  <c r="N242" i="5"/>
  <c r="D242" i="6" s="1"/>
  <c r="C243" i="5"/>
  <c r="G242" i="5"/>
  <c r="E242" i="5"/>
  <c r="H242" i="5"/>
  <c r="D242" i="5"/>
  <c r="B242" i="12" s="1"/>
  <c r="F242" i="5"/>
  <c r="AD242" i="5"/>
  <c r="K242" i="5"/>
  <c r="B242" i="5"/>
  <c r="L241" i="12" a="1"/>
  <c r="L241" i="12" s="1"/>
  <c r="J241" i="12" a="1"/>
  <c r="J241" i="12" s="1"/>
  <c r="G241" i="6"/>
  <c r="G240" i="12"/>
  <c r="T241" i="5"/>
  <c r="N241" i="6" l="1"/>
  <c r="AD241" i="6"/>
  <c r="AI241" i="6"/>
  <c r="BE241" i="6"/>
  <c r="BB241" i="6"/>
  <c r="AB241" i="6"/>
  <c r="AU241" i="6"/>
  <c r="AN241" i="6"/>
  <c r="BA241" i="6"/>
  <c r="AK241" i="6"/>
  <c r="BF241" i="6"/>
  <c r="BD241" i="6"/>
  <c r="AG241" i="6"/>
  <c r="AP241" i="6"/>
  <c r="AY241" i="6"/>
  <c r="AV241" i="6"/>
  <c r="AH241" i="6"/>
  <c r="AC241" i="6"/>
  <c r="AJ241" i="6"/>
  <c r="BG241" i="6"/>
  <c r="AT241" i="6"/>
  <c r="BC241" i="6"/>
  <c r="AE241" i="6"/>
  <c r="AQ241" i="6"/>
  <c r="AR241" i="6"/>
  <c r="AM241" i="6"/>
  <c r="AF241" i="6"/>
  <c r="AX241" i="6"/>
  <c r="AZ241" i="6"/>
  <c r="AO241" i="6"/>
  <c r="A242" i="6"/>
  <c r="M242" i="6" s="1"/>
  <c r="AX242" i="6" s="1"/>
  <c r="H242" i="6"/>
  <c r="T242" i="5" s="1"/>
  <c r="K241" i="12"/>
  <c r="J243" i="5"/>
  <c r="B243" i="5"/>
  <c r="N243" i="5"/>
  <c r="D243" i="6" s="1"/>
  <c r="G243" i="6" s="1"/>
  <c r="AE243" i="5"/>
  <c r="H243" i="5"/>
  <c r="A243" i="12"/>
  <c r="B243" i="6"/>
  <c r="AD243" i="5"/>
  <c r="K243" i="5"/>
  <c r="C244" i="5"/>
  <c r="D243" i="5"/>
  <c r="B243" i="12" s="1"/>
  <c r="G243" i="5"/>
  <c r="F243" i="5"/>
  <c r="E243" i="5"/>
  <c r="L242" i="12" a="1"/>
  <c r="L242" i="12" s="1"/>
  <c r="J242" i="12" a="1"/>
  <c r="J242" i="12" s="1"/>
  <c r="G242" i="6"/>
  <c r="G241" i="12"/>
  <c r="BE242" i="6" l="1"/>
  <c r="AJ242" i="6"/>
  <c r="AV242" i="6"/>
  <c r="AH242" i="6"/>
  <c r="AM242" i="6"/>
  <c r="BG242" i="6"/>
  <c r="AS242" i="6"/>
  <c r="BF242" i="6"/>
  <c r="AT242" i="6"/>
  <c r="BB242" i="6"/>
  <c r="BD242" i="6"/>
  <c r="AN242" i="6"/>
  <c r="AZ242" i="6"/>
  <c r="AP242" i="6"/>
  <c r="BA242" i="6"/>
  <c r="AQ242" i="6"/>
  <c r="AE242" i="6"/>
  <c r="AU242" i="6"/>
  <c r="AO242" i="6"/>
  <c r="AY242" i="6"/>
  <c r="AR242" i="6"/>
  <c r="BC242" i="6"/>
  <c r="N242" i="6"/>
  <c r="AC242" i="6"/>
  <c r="AI242" i="6"/>
  <c r="AK242" i="6"/>
  <c r="H243" i="6"/>
  <c r="T243" i="5" s="1"/>
  <c r="AF242" i="6"/>
  <c r="AB242" i="6"/>
  <c r="AG242" i="6"/>
  <c r="AD242" i="6"/>
  <c r="K242" i="12"/>
  <c r="F244" i="5"/>
  <c r="AD244" i="5"/>
  <c r="H244" i="5"/>
  <c r="G244" i="5"/>
  <c r="E244" i="5"/>
  <c r="C245" i="5"/>
  <c r="B244" i="5"/>
  <c r="A244" i="12"/>
  <c r="AE244" i="5"/>
  <c r="N244" i="5"/>
  <c r="D244" i="6" s="1"/>
  <c r="J244" i="5"/>
  <c r="D244" i="5"/>
  <c r="B244" i="12" s="1"/>
  <c r="K244" i="5"/>
  <c r="B244" i="6"/>
  <c r="J243" i="12" a="1"/>
  <c r="J243" i="12" s="1"/>
  <c r="L243" i="12" a="1"/>
  <c r="L243" i="12" s="1"/>
  <c r="A243" i="6"/>
  <c r="G242" i="12"/>
  <c r="A244" i="6" l="1"/>
  <c r="M244" i="6" s="1"/>
  <c r="AP244" i="6" s="1"/>
  <c r="K243" i="12"/>
  <c r="B245" i="5"/>
  <c r="AD245" i="5"/>
  <c r="J245" i="5"/>
  <c r="K245" i="5"/>
  <c r="A245" i="12"/>
  <c r="H245" i="5"/>
  <c r="B245" i="6"/>
  <c r="AE245" i="5"/>
  <c r="E245" i="5"/>
  <c r="F245" i="5"/>
  <c r="G245" i="5"/>
  <c r="N245" i="5"/>
  <c r="D245" i="6" s="1"/>
  <c r="G245" i="6" s="1"/>
  <c r="C246" i="5"/>
  <c r="D245" i="5"/>
  <c r="B245" i="12" s="1"/>
  <c r="M243" i="6"/>
  <c r="N243" i="6"/>
  <c r="L244" i="12" a="1"/>
  <c r="L244" i="12" s="1"/>
  <c r="J244" i="12" a="1"/>
  <c r="J244" i="12" s="1"/>
  <c r="G244" i="6"/>
  <c r="H244" i="6"/>
  <c r="G243" i="12"/>
  <c r="AR244" i="6" l="1"/>
  <c r="BG244" i="6"/>
  <c r="K244" i="12"/>
  <c r="AT244" i="6"/>
  <c r="BF244" i="6"/>
  <c r="AS244" i="6"/>
  <c r="AN244" i="6"/>
  <c r="AM244" i="6"/>
  <c r="AU244" i="6"/>
  <c r="AI244" i="6"/>
  <c r="BA244" i="6"/>
  <c r="BD244" i="6"/>
  <c r="BE244" i="6"/>
  <c r="N244" i="6"/>
  <c r="BC244" i="6"/>
  <c r="AV244" i="6"/>
  <c r="AY244" i="6"/>
  <c r="AZ244" i="6"/>
  <c r="AQ244" i="6"/>
  <c r="AO244" i="6"/>
  <c r="AX244" i="6"/>
  <c r="BB244" i="6"/>
  <c r="AF244" i="6"/>
  <c r="AB244" i="6"/>
  <c r="A245" i="6"/>
  <c r="N245" i="6" s="1"/>
  <c r="H245" i="6"/>
  <c r="T245" i="5" s="1"/>
  <c r="AK244" i="6"/>
  <c r="AC244" i="6"/>
  <c r="AG244" i="6"/>
  <c r="T244" i="5"/>
  <c r="G244" i="12" s="1"/>
  <c r="AE244" i="6"/>
  <c r="J245" i="12" a="1"/>
  <c r="J245" i="12" s="1"/>
  <c r="L245" i="12" a="1"/>
  <c r="L245" i="12" s="1"/>
  <c r="AM243" i="6"/>
  <c r="AE243" i="6"/>
  <c r="AD243" i="6"/>
  <c r="AH243" i="6"/>
  <c r="BE243" i="6"/>
  <c r="AI243" i="6"/>
  <c r="BB243" i="6"/>
  <c r="AZ243" i="6"/>
  <c r="AU243" i="6"/>
  <c r="AN243" i="6"/>
  <c r="AO243" i="6"/>
  <c r="AP243" i="6"/>
  <c r="AX243" i="6"/>
  <c r="AC243" i="6"/>
  <c r="AY243" i="6"/>
  <c r="AQ243" i="6"/>
  <c r="BA243" i="6"/>
  <c r="BG243" i="6"/>
  <c r="AS243" i="6"/>
  <c r="BF243" i="6"/>
  <c r="AR243" i="6"/>
  <c r="AG243" i="6"/>
  <c r="AV243" i="6"/>
  <c r="BC243" i="6"/>
  <c r="AF243" i="6"/>
  <c r="AB243" i="6"/>
  <c r="AK243" i="6"/>
  <c r="BD243" i="6"/>
  <c r="AT243" i="6"/>
  <c r="AJ243" i="6"/>
  <c r="AD244" i="6"/>
  <c r="AH244" i="6"/>
  <c r="AJ244" i="6"/>
  <c r="B246" i="6"/>
  <c r="AE246" i="5"/>
  <c r="H246" i="5"/>
  <c r="E246" i="5"/>
  <c r="N246" i="5"/>
  <c r="D246" i="6" s="1"/>
  <c r="G246" i="5"/>
  <c r="F246" i="5"/>
  <c r="D246" i="5"/>
  <c r="B246" i="12" s="1"/>
  <c r="K246" i="5"/>
  <c r="B246" i="5"/>
  <c r="C247" i="5" s="1"/>
  <c r="A246" i="12"/>
  <c r="AD246" i="5"/>
  <c r="J246" i="5"/>
  <c r="M245" i="6" l="1"/>
  <c r="AF245" i="6" s="1"/>
  <c r="K245" i="12"/>
  <c r="J246" i="12" a="1"/>
  <c r="J246" i="12" s="1"/>
  <c r="L246" i="12" a="1"/>
  <c r="L246" i="12" s="1"/>
  <c r="AE247" i="5"/>
  <c r="W247" i="5"/>
  <c r="H247" i="12" s="1"/>
  <c r="H247" i="5"/>
  <c r="I247" i="5"/>
  <c r="A247" i="12"/>
  <c r="N247" i="5"/>
  <c r="D247" i="6" s="1"/>
  <c r="M247" i="6" s="1"/>
  <c r="AP247" i="6" s="1"/>
  <c r="B247" i="6"/>
  <c r="G247" i="5"/>
  <c r="C248" i="5"/>
  <c r="B247" i="5"/>
  <c r="F247" i="5"/>
  <c r="E247" i="5"/>
  <c r="AD247" i="5"/>
  <c r="A246" i="6"/>
  <c r="N246" i="6" s="1"/>
  <c r="H246" i="6"/>
  <c r="G246" i="6"/>
  <c r="G245" i="12"/>
  <c r="BA245" i="6" l="1"/>
  <c r="BF245" i="6"/>
  <c r="AR245" i="6"/>
  <c r="AV245" i="6"/>
  <c r="AZ245" i="6"/>
  <c r="AY245" i="6"/>
  <c r="AM245" i="6"/>
  <c r="AI245" i="6"/>
  <c r="AU245" i="6"/>
  <c r="BD245" i="6"/>
  <c r="BB245" i="6"/>
  <c r="BG245" i="6"/>
  <c r="BC245" i="6"/>
  <c r="AP245" i="6"/>
  <c r="AH245" i="6"/>
  <c r="AO245" i="6"/>
  <c r="AT245" i="6"/>
  <c r="AD245" i="6"/>
  <c r="AB245" i="6"/>
  <c r="AS245" i="6"/>
  <c r="BE245" i="6"/>
  <c r="AG245" i="6"/>
  <c r="AE245" i="6"/>
  <c r="AX245" i="6"/>
  <c r="AN245" i="6"/>
  <c r="AQ245" i="6"/>
  <c r="AK245" i="6"/>
  <c r="AC245" i="6"/>
  <c r="AJ245" i="6"/>
  <c r="K246" i="12"/>
  <c r="A247" i="6"/>
  <c r="J247" i="6" a="1"/>
  <c r="J247" i="6" s="1"/>
  <c r="T246" i="5"/>
  <c r="G246" i="12" s="1"/>
  <c r="M246" i="6"/>
  <c r="AE246" i="6" s="1"/>
  <c r="G247" i="6"/>
  <c r="H247" i="6"/>
  <c r="T247" i="5" s="1"/>
  <c r="G247" i="12" s="1"/>
  <c r="N247" i="6"/>
  <c r="F248" i="5"/>
  <c r="AD248" i="5"/>
  <c r="E248" i="5"/>
  <c r="G248" i="5"/>
  <c r="C249" i="5"/>
  <c r="B248" i="6"/>
  <c r="J248" i="5"/>
  <c r="D248" i="5"/>
  <c r="B248" i="12" s="1"/>
  <c r="AE248" i="5"/>
  <c r="H248" i="5"/>
  <c r="N248" i="5"/>
  <c r="D248" i="6" s="1"/>
  <c r="K248" i="5"/>
  <c r="A248" i="12"/>
  <c r="B248" i="5"/>
  <c r="AM247" i="6"/>
  <c r="BF247" i="6"/>
  <c r="BA247" i="6"/>
  <c r="AR247" i="6"/>
  <c r="AS247" i="6"/>
  <c r="BE247" i="6"/>
  <c r="AQ247" i="6"/>
  <c r="AU247" i="6"/>
  <c r="AZ247" i="6"/>
  <c r="BB247" i="6"/>
  <c r="BD247" i="6"/>
  <c r="AO247" i="6"/>
  <c r="AN247" i="6"/>
  <c r="BG247" i="6"/>
  <c r="AY247" i="6"/>
  <c r="BC247" i="6"/>
  <c r="AV247" i="6"/>
  <c r="AX247" i="6"/>
  <c r="AT247" i="6"/>
  <c r="AE247" i="6" l="1"/>
  <c r="AK247" i="6"/>
  <c r="AI247" i="6"/>
  <c r="AJ247" i="6"/>
  <c r="AD247" i="6"/>
  <c r="A248" i="6"/>
  <c r="M248" i="6" s="1"/>
  <c r="AB246" i="6"/>
  <c r="AG247" i="6"/>
  <c r="AF246" i="6"/>
  <c r="AD249" i="5"/>
  <c r="H249" i="5"/>
  <c r="N249" i="5"/>
  <c r="D249" i="6" s="1"/>
  <c r="H249" i="6" s="1"/>
  <c r="AE249" i="5"/>
  <c r="K249" i="5"/>
  <c r="J249" i="5"/>
  <c r="A249" i="12"/>
  <c r="B249" i="6"/>
  <c r="G249" i="5"/>
  <c r="E249" i="5"/>
  <c r="D249" i="5"/>
  <c r="B249" i="12" s="1"/>
  <c r="F249" i="5"/>
  <c r="C250" i="5"/>
  <c r="B249" i="5"/>
  <c r="AQ246" i="6"/>
  <c r="AR246" i="6"/>
  <c r="BC246" i="6"/>
  <c r="AU246" i="6"/>
  <c r="BG246" i="6"/>
  <c r="BD246" i="6"/>
  <c r="BE246" i="6"/>
  <c r="AJ246" i="6"/>
  <c r="AY246" i="6"/>
  <c r="BF246" i="6"/>
  <c r="BA246" i="6"/>
  <c r="AD246" i="6"/>
  <c r="AI246" i="6"/>
  <c r="AX246" i="6"/>
  <c r="AN246" i="6"/>
  <c r="AV246" i="6"/>
  <c r="AM246" i="6"/>
  <c r="AZ246" i="6"/>
  <c r="AO246" i="6"/>
  <c r="BB246" i="6"/>
  <c r="AP246" i="6"/>
  <c r="AH246" i="6"/>
  <c r="AS246" i="6"/>
  <c r="AT246" i="6"/>
  <c r="G248" i="6"/>
  <c r="H248" i="6"/>
  <c r="AC247" i="6"/>
  <c r="AG246" i="6"/>
  <c r="AH247" i="6"/>
  <c r="L248" i="12" a="1"/>
  <c r="L248" i="12" s="1"/>
  <c r="J248" i="12" a="1"/>
  <c r="J248" i="12" s="1"/>
  <c r="AC246" i="6"/>
  <c r="AB247" i="6"/>
  <c r="AF247" i="6"/>
  <c r="AK246" i="6"/>
  <c r="N248" i="6" l="1"/>
  <c r="AY248" i="6"/>
  <c r="AT248" i="6"/>
  <c r="BC248" i="6"/>
  <c r="AV248" i="6"/>
  <c r="AS248" i="6"/>
  <c r="AM248" i="6"/>
  <c r="BD248" i="6"/>
  <c r="BF248" i="6"/>
  <c r="BA248" i="6"/>
  <c r="AX248" i="6"/>
  <c r="AP248" i="6"/>
  <c r="AZ248" i="6"/>
  <c r="AU248" i="6"/>
  <c r="BB248" i="6"/>
  <c r="AQ248" i="6"/>
  <c r="BE248" i="6"/>
  <c r="AN248" i="6"/>
  <c r="AO248" i="6"/>
  <c r="BG248" i="6"/>
  <c r="AR248" i="6"/>
  <c r="AF248" i="6"/>
  <c r="AG248" i="6"/>
  <c r="AI248" i="6"/>
  <c r="AD248" i="6"/>
  <c r="F250" i="5"/>
  <c r="G250" i="5"/>
  <c r="E250" i="5"/>
  <c r="B250" i="5"/>
  <c r="AE250" i="5"/>
  <c r="C251" i="5"/>
  <c r="K250" i="5"/>
  <c r="A250" i="12"/>
  <c r="H250" i="5"/>
  <c r="N250" i="5"/>
  <c r="D250" i="6" s="1"/>
  <c r="H250" i="6" s="1"/>
  <c r="J250" i="5"/>
  <c r="AD250" i="5"/>
  <c r="B250" i="6"/>
  <c r="D250" i="5"/>
  <c r="B250" i="12" s="1"/>
  <c r="T248" i="5"/>
  <c r="G248" i="12" s="1"/>
  <c r="AE248" i="6"/>
  <c r="K248" i="12"/>
  <c r="AJ248" i="6"/>
  <c r="A249" i="6"/>
  <c r="N249" i="6" s="1"/>
  <c r="AC248" i="6"/>
  <c r="AK248" i="6"/>
  <c r="G249" i="6"/>
  <c r="AH248" i="6"/>
  <c r="AB248" i="6"/>
  <c r="J249" i="12" a="1"/>
  <c r="J249" i="12" s="1"/>
  <c r="L249" i="12" a="1"/>
  <c r="L249" i="12" s="1"/>
  <c r="T249" i="5"/>
  <c r="G250" i="6" l="1"/>
  <c r="K249" i="12"/>
  <c r="L250" i="12" a="1"/>
  <c r="L250" i="12" s="1"/>
  <c r="J250" i="12" a="1"/>
  <c r="J250" i="12" s="1"/>
  <c r="G251" i="5"/>
  <c r="D251" i="5"/>
  <c r="B251" i="12" s="1"/>
  <c r="H251" i="5"/>
  <c r="B251" i="6"/>
  <c r="E251" i="5"/>
  <c r="B251" i="5"/>
  <c r="F251" i="5"/>
  <c r="C252" i="5"/>
  <c r="C253" i="5" s="1"/>
  <c r="N251" i="5"/>
  <c r="D251" i="6" s="1"/>
  <c r="H251" i="6" s="1"/>
  <c r="A251" i="12"/>
  <c r="J251" i="5"/>
  <c r="AE251" i="5"/>
  <c r="AD251" i="5"/>
  <c r="K251" i="5"/>
  <c r="M249" i="6"/>
  <c r="A250" i="6"/>
  <c r="G249" i="12"/>
  <c r="T250" i="5"/>
  <c r="B253" i="6" l="1"/>
  <c r="AD253" i="5"/>
  <c r="N253" i="5"/>
  <c r="J253" i="5"/>
  <c r="D253" i="5"/>
  <c r="B253" i="12" s="1"/>
  <c r="AE253" i="5"/>
  <c r="K253" i="5"/>
  <c r="A253" i="12"/>
  <c r="N250" i="6"/>
  <c r="M250" i="6"/>
  <c r="G251" i="6"/>
  <c r="AM249" i="6"/>
  <c r="AI249" i="6"/>
  <c r="AQ249" i="6"/>
  <c r="AO249" i="6"/>
  <c r="AC249" i="6"/>
  <c r="BE249" i="6"/>
  <c r="AS249" i="6"/>
  <c r="BD249" i="6"/>
  <c r="AR249" i="6"/>
  <c r="AZ249" i="6"/>
  <c r="AJ249" i="6"/>
  <c r="AH249" i="6"/>
  <c r="AV249" i="6"/>
  <c r="AK249" i="6"/>
  <c r="AB249" i="6"/>
  <c r="BB249" i="6"/>
  <c r="AD249" i="6"/>
  <c r="AT249" i="6"/>
  <c r="BA249" i="6"/>
  <c r="AY249" i="6"/>
  <c r="AN249" i="6"/>
  <c r="AE249" i="6"/>
  <c r="BC249" i="6"/>
  <c r="BF249" i="6"/>
  <c r="AX249" i="6"/>
  <c r="AU249" i="6"/>
  <c r="AG249" i="6"/>
  <c r="AP249" i="6"/>
  <c r="AF249" i="6"/>
  <c r="BG249" i="6"/>
  <c r="K252" i="5"/>
  <c r="A252" i="12"/>
  <c r="G252" i="5"/>
  <c r="G253" i="5" s="1"/>
  <c r="B252" i="6"/>
  <c r="F252" i="5"/>
  <c r="F253" i="5" s="1"/>
  <c r="D252" i="5"/>
  <c r="B252" i="12" s="1"/>
  <c r="J252" i="5"/>
  <c r="AE252" i="5"/>
  <c r="E252" i="5"/>
  <c r="E253" i="5" s="1"/>
  <c r="B252" i="5"/>
  <c r="H252" i="5"/>
  <c r="H253" i="5" s="1"/>
  <c r="N252" i="5"/>
  <c r="D252" i="6" s="1"/>
  <c r="H252" i="6" s="1"/>
  <c r="AD252" i="5"/>
  <c r="J251" i="12" a="1"/>
  <c r="J251" i="12" s="1"/>
  <c r="L251" i="12" a="1"/>
  <c r="L251" i="12" s="1"/>
  <c r="A251" i="6"/>
  <c r="N251" i="6" s="1"/>
  <c r="K250" i="12"/>
  <c r="G250" i="12"/>
  <c r="T251" i="5"/>
  <c r="L253" i="12" l="1" a="1"/>
  <c r="L253" i="12" s="1"/>
  <c r="J253" i="12" a="1"/>
  <c r="J253" i="12" s="1"/>
  <c r="B253" i="5"/>
  <c r="C254" i="5" s="1"/>
  <c r="D253" i="6"/>
  <c r="K251" i="12"/>
  <c r="M251" i="6"/>
  <c r="AG251" i="6" s="1"/>
  <c r="G252" i="6"/>
  <c r="J252" i="12" a="1"/>
  <c r="J252" i="12" s="1"/>
  <c r="L252" i="12" a="1"/>
  <c r="L252" i="12" s="1"/>
  <c r="AM250" i="6"/>
  <c r="AC250" i="6"/>
  <c r="AE250" i="6"/>
  <c r="AY250" i="6"/>
  <c r="AP250" i="6"/>
  <c r="AT250" i="6"/>
  <c r="AX250" i="6"/>
  <c r="AZ250" i="6"/>
  <c r="AD250" i="6"/>
  <c r="AK250" i="6"/>
  <c r="AJ250" i="6"/>
  <c r="AH250" i="6"/>
  <c r="BD250" i="6"/>
  <c r="BE250" i="6"/>
  <c r="AV250" i="6"/>
  <c r="AQ250" i="6"/>
  <c r="AS250" i="6"/>
  <c r="AN250" i="6"/>
  <c r="BB250" i="6"/>
  <c r="AB250" i="6"/>
  <c r="AU250" i="6"/>
  <c r="BA250" i="6"/>
  <c r="AF250" i="6"/>
  <c r="AG250" i="6"/>
  <c r="BC250" i="6"/>
  <c r="BF250" i="6"/>
  <c r="AI250" i="6"/>
  <c r="AR250" i="6"/>
  <c r="BG250" i="6"/>
  <c r="AO250" i="6"/>
  <c r="A252" i="6"/>
  <c r="G251" i="12"/>
  <c r="T252" i="5"/>
  <c r="K253" i="12" l="1"/>
  <c r="A253" i="6"/>
  <c r="M253" i="6" s="1"/>
  <c r="AT253" i="6" s="1"/>
  <c r="AE254" i="5"/>
  <c r="A254" i="12"/>
  <c r="G254" i="5"/>
  <c r="B254" i="6"/>
  <c r="J254" i="6" s="1" a="1"/>
  <c r="J254" i="6" s="1"/>
  <c r="H254" i="5"/>
  <c r="E254" i="5"/>
  <c r="N254" i="5"/>
  <c r="D254" i="6" s="1"/>
  <c r="N254" i="6" s="1"/>
  <c r="B254" i="5"/>
  <c r="AD254" i="5"/>
  <c r="H253" i="6"/>
  <c r="C255" i="5"/>
  <c r="K255" i="5" s="1"/>
  <c r="I254" i="5"/>
  <c r="F254" i="5"/>
  <c r="W254" i="5"/>
  <c r="H254" i="12" s="1"/>
  <c r="BA251" i="6"/>
  <c r="BD251" i="6"/>
  <c r="BC251" i="6"/>
  <c r="AU251" i="6"/>
  <c r="AQ251" i="6"/>
  <c r="AI251" i="6"/>
  <c r="AJ251" i="6"/>
  <c r="AD251" i="6"/>
  <c r="AH251" i="6"/>
  <c r="AO251" i="6"/>
  <c r="AT251" i="6"/>
  <c r="AC251" i="6"/>
  <c r="BE251" i="6"/>
  <c r="AR251" i="6"/>
  <c r="AY251" i="6"/>
  <c r="AK251" i="6"/>
  <c r="BB251" i="6"/>
  <c r="AE251" i="6"/>
  <c r="AB251" i="6"/>
  <c r="AV251" i="6"/>
  <c r="AN251" i="6"/>
  <c r="BF251" i="6"/>
  <c r="AX251" i="6"/>
  <c r="AS251" i="6"/>
  <c r="BG251" i="6"/>
  <c r="AM251" i="6"/>
  <c r="AZ251" i="6"/>
  <c r="AP251" i="6"/>
  <c r="AF251" i="6"/>
  <c r="K252" i="12"/>
  <c r="N252" i="6"/>
  <c r="M252" i="6"/>
  <c r="G252" i="12"/>
  <c r="H254" i="6" l="1"/>
  <c r="T254" i="5" s="1"/>
  <c r="G254" i="12" s="1"/>
  <c r="B255" i="5"/>
  <c r="N253" i="6"/>
  <c r="A254" i="6"/>
  <c r="G255" i="5"/>
  <c r="AE253" i="6"/>
  <c r="G254" i="6"/>
  <c r="M254" i="6"/>
  <c r="BA254" i="6" s="1"/>
  <c r="E255" i="5"/>
  <c r="AS253" i="6"/>
  <c r="AQ253" i="6"/>
  <c r="AV253" i="6"/>
  <c r="AK253" i="6"/>
  <c r="AB253" i="6"/>
  <c r="AG253" i="6"/>
  <c r="AY253" i="6"/>
  <c r="B255" i="6"/>
  <c r="AD255" i="5"/>
  <c r="BD253" i="6"/>
  <c r="AI253" i="6"/>
  <c r="BA253" i="6"/>
  <c r="AF253" i="6"/>
  <c r="AX253" i="6"/>
  <c r="AH253" i="6"/>
  <c r="BC253" i="6"/>
  <c r="AD253" i="6"/>
  <c r="T253" i="5"/>
  <c r="AN253" i="6"/>
  <c r="BE253" i="6"/>
  <c r="AJ253" i="6"/>
  <c r="BB253" i="6"/>
  <c r="AZ253" i="6"/>
  <c r="AP253" i="6"/>
  <c r="BG253" i="6"/>
  <c r="D255" i="5"/>
  <c r="B255" i="12" s="1"/>
  <c r="N255" i="5"/>
  <c r="D255" i="6" s="1"/>
  <c r="H255" i="6" s="1"/>
  <c r="T255" i="5" s="1"/>
  <c r="H255" i="5"/>
  <c r="J255" i="5"/>
  <c r="AE255" i="5"/>
  <c r="F255" i="5"/>
  <c r="C256" i="5"/>
  <c r="AD256" i="5" s="1"/>
  <c r="A255" i="12"/>
  <c r="J255" i="12" s="1" a="1"/>
  <c r="J255" i="12" s="1"/>
  <c r="AM253" i="6"/>
  <c r="AR253" i="6"/>
  <c r="AU253" i="6"/>
  <c r="AO253" i="6"/>
  <c r="BF253" i="6"/>
  <c r="AC253" i="6"/>
  <c r="AZ252" i="6"/>
  <c r="AX252" i="6"/>
  <c r="AV252" i="6"/>
  <c r="AT252" i="6"/>
  <c r="AG252" i="6"/>
  <c r="AB252" i="6"/>
  <c r="AI252" i="6"/>
  <c r="AC252" i="6"/>
  <c r="AN252" i="6"/>
  <c r="BF252" i="6"/>
  <c r="BG252" i="6"/>
  <c r="AK252" i="6"/>
  <c r="AM252" i="6"/>
  <c r="AQ252" i="6"/>
  <c r="AF252" i="6"/>
  <c r="AD252" i="6"/>
  <c r="BB252" i="6"/>
  <c r="BD252" i="6"/>
  <c r="AH252" i="6"/>
  <c r="AP252" i="6"/>
  <c r="AE252" i="6"/>
  <c r="AJ252" i="6"/>
  <c r="AY252" i="6"/>
  <c r="AR252" i="6"/>
  <c r="AO252" i="6"/>
  <c r="AU252" i="6"/>
  <c r="BA252" i="6"/>
  <c r="AS252" i="6"/>
  <c r="BE252" i="6"/>
  <c r="BC252" i="6"/>
  <c r="AK254" i="6" l="1"/>
  <c r="AF254" i="6"/>
  <c r="AS254" i="6"/>
  <c r="AH254" i="6"/>
  <c r="AU254" i="6"/>
  <c r="BF254" i="6"/>
  <c r="AQ254" i="6"/>
  <c r="E256" i="5"/>
  <c r="AJ254" i="6"/>
  <c r="AO254" i="6"/>
  <c r="AR254" i="6"/>
  <c r="AD254" i="6"/>
  <c r="AX254" i="6"/>
  <c r="AP254" i="6"/>
  <c r="BC254" i="6"/>
  <c r="AG254" i="6"/>
  <c r="AY254" i="6"/>
  <c r="AI254" i="6"/>
  <c r="AM254" i="6"/>
  <c r="AT254" i="6"/>
  <c r="AV254" i="6"/>
  <c r="AB254" i="6"/>
  <c r="AN254" i="6"/>
  <c r="AC254" i="6"/>
  <c r="BG254" i="6"/>
  <c r="AE254" i="6"/>
  <c r="BE254" i="6"/>
  <c r="BD254" i="6"/>
  <c r="BB254" i="6"/>
  <c r="AZ254" i="6"/>
  <c r="L255" i="12" a="1"/>
  <c r="L255" i="12" s="1"/>
  <c r="K255" i="12" s="1"/>
  <c r="J256" i="5"/>
  <c r="G255" i="6"/>
  <c r="A255" i="6"/>
  <c r="N255" i="6" s="1"/>
  <c r="AE256" i="5"/>
  <c r="D256" i="5"/>
  <c r="B256" i="12" s="1"/>
  <c r="A256" i="12"/>
  <c r="J256" i="12" s="1" a="1"/>
  <c r="J256" i="12" s="1"/>
  <c r="C257" i="5"/>
  <c r="D257" i="5" s="1"/>
  <c r="B257" i="12" s="1"/>
  <c r="H256" i="5"/>
  <c r="B256" i="5"/>
  <c r="F256" i="5"/>
  <c r="K256" i="5"/>
  <c r="G256" i="5"/>
  <c r="B256" i="6"/>
  <c r="N256" i="5"/>
  <c r="D256" i="6" s="1"/>
  <c r="H256" i="6" s="1"/>
  <c r="T256" i="5" s="1"/>
  <c r="G253" i="12"/>
  <c r="G255" i="12"/>
  <c r="E257" i="5" l="1"/>
  <c r="B257" i="6"/>
  <c r="L256" i="12" a="1"/>
  <c r="L256" i="12" s="1"/>
  <c r="K256" i="12" s="1"/>
  <c r="C258" i="5"/>
  <c r="J258" i="5" s="1"/>
  <c r="M255" i="6"/>
  <c r="AI255" i="6" s="1"/>
  <c r="G257" i="5"/>
  <c r="K257" i="5"/>
  <c r="F257" i="5"/>
  <c r="A257" i="12"/>
  <c r="J257" i="12" s="1" a="1"/>
  <c r="J257" i="12" s="1"/>
  <c r="AD257" i="5"/>
  <c r="AE257" i="5"/>
  <c r="J257" i="5"/>
  <c r="H257" i="5"/>
  <c r="N257" i="5"/>
  <c r="D257" i="6" s="1"/>
  <c r="H257" i="6" s="1"/>
  <c r="T257" i="5" s="1"/>
  <c r="G256" i="6"/>
  <c r="A256" i="6"/>
  <c r="B257" i="5"/>
  <c r="G256" i="12"/>
  <c r="B258" i="5" l="1"/>
  <c r="H258" i="5"/>
  <c r="K258" i="5"/>
  <c r="C259" i="5"/>
  <c r="J259" i="5" s="1"/>
  <c r="E258" i="5"/>
  <c r="B258" i="6"/>
  <c r="A258" i="12"/>
  <c r="J258" i="12" s="1" a="1"/>
  <c r="J258" i="12" s="1"/>
  <c r="F258" i="5"/>
  <c r="F259" i="5" s="1"/>
  <c r="D258" i="5"/>
  <c r="B258" i="12" s="1"/>
  <c r="AD258" i="5"/>
  <c r="N258" i="5"/>
  <c r="D258" i="6" s="1"/>
  <c r="H258" i="6" s="1"/>
  <c r="AE258" i="5"/>
  <c r="G258" i="5"/>
  <c r="AF255" i="6"/>
  <c r="BD255" i="6"/>
  <c r="AU255" i="6"/>
  <c r="M256" i="6"/>
  <c r="AK256" i="6" s="1"/>
  <c r="AS255" i="6"/>
  <c r="AX255" i="6"/>
  <c r="AV255" i="6"/>
  <c r="L257" i="12" a="1"/>
  <c r="L257" i="12" s="1"/>
  <c r="K257" i="12" s="1"/>
  <c r="AM255" i="6"/>
  <c r="AD255" i="6"/>
  <c r="BA255" i="6"/>
  <c r="G257" i="6"/>
  <c r="BE255" i="6"/>
  <c r="AK255" i="6"/>
  <c r="AR255" i="6"/>
  <c r="BC255" i="6"/>
  <c r="A257" i="6"/>
  <c r="M257" i="6" s="1"/>
  <c r="AO257" i="6" s="1"/>
  <c r="AG255" i="6"/>
  <c r="AZ255" i="6"/>
  <c r="AQ255" i="6"/>
  <c r="AO255" i="6"/>
  <c r="AE255" i="6"/>
  <c r="BF255" i="6"/>
  <c r="BB255" i="6"/>
  <c r="AT255" i="6"/>
  <c r="AC255" i="6"/>
  <c r="N256" i="6"/>
  <c r="AN255" i="6"/>
  <c r="AJ255" i="6"/>
  <c r="BG255" i="6"/>
  <c r="AB255" i="6"/>
  <c r="AY255" i="6"/>
  <c r="AP255" i="6"/>
  <c r="AH255" i="6"/>
  <c r="AD259" i="5"/>
  <c r="A259" i="12"/>
  <c r="N259" i="5"/>
  <c r="D259" i="6" s="1"/>
  <c r="B259" i="6"/>
  <c r="AE259" i="5"/>
  <c r="C260" i="5"/>
  <c r="B259" i="5"/>
  <c r="D259" i="5"/>
  <c r="B259" i="12" s="1"/>
  <c r="G258" i="6"/>
  <c r="T258" i="5"/>
  <c r="G257" i="12"/>
  <c r="L258" i="12" l="1" a="1"/>
  <c r="L258" i="12" s="1"/>
  <c r="G259" i="5"/>
  <c r="E259" i="5"/>
  <c r="E260" i="5" s="1"/>
  <c r="H259" i="5"/>
  <c r="K259" i="5"/>
  <c r="BB256" i="6"/>
  <c r="BD256" i="6"/>
  <c r="AF256" i="6"/>
  <c r="AM256" i="6"/>
  <c r="AZ256" i="6"/>
  <c r="BA256" i="6"/>
  <c r="AQ256" i="6"/>
  <c r="AB256" i="6"/>
  <c r="AN256" i="6"/>
  <c r="AU256" i="6"/>
  <c r="AJ256" i="6"/>
  <c r="AS257" i="6"/>
  <c r="BG256" i="6"/>
  <c r="AH256" i="6"/>
  <c r="AI256" i="6"/>
  <c r="AD256" i="6"/>
  <c r="AY257" i="6"/>
  <c r="AY256" i="6"/>
  <c r="AG256" i="6"/>
  <c r="AP256" i="6"/>
  <c r="AE256" i="6"/>
  <c r="BC256" i="6"/>
  <c r="AJ257" i="6"/>
  <c r="AV256" i="6"/>
  <c r="AS256" i="6"/>
  <c r="AO256" i="6"/>
  <c r="AG257" i="6"/>
  <c r="AE257" i="6"/>
  <c r="AF257" i="6"/>
  <c r="BC257" i="6"/>
  <c r="AN257" i="6"/>
  <c r="A258" i="6"/>
  <c r="A259" i="6" s="1"/>
  <c r="N259" i="6" s="1"/>
  <c r="BE257" i="6"/>
  <c r="BG257" i="6"/>
  <c r="BE256" i="6"/>
  <c r="AX256" i="6"/>
  <c r="AR256" i="6"/>
  <c r="BF256" i="6"/>
  <c r="AC256" i="6"/>
  <c r="AT256" i="6"/>
  <c r="N257" i="6"/>
  <c r="AB257" i="6"/>
  <c r="AD257" i="6"/>
  <c r="BD257" i="6"/>
  <c r="AP257" i="6"/>
  <c r="AI257" i="6"/>
  <c r="BA257" i="6"/>
  <c r="AM257" i="6"/>
  <c r="BB257" i="6"/>
  <c r="AC257" i="6"/>
  <c r="AX257" i="6"/>
  <c r="AK257" i="6"/>
  <c r="AT257" i="6"/>
  <c r="AH257" i="6"/>
  <c r="AU257" i="6"/>
  <c r="BF257" i="6"/>
  <c r="AQ257" i="6"/>
  <c r="AV257" i="6"/>
  <c r="AZ257" i="6"/>
  <c r="AR257" i="6"/>
  <c r="L259" i="12" a="1"/>
  <c r="L259" i="12" s="1"/>
  <c r="J259" i="12" a="1"/>
  <c r="J259" i="12" s="1"/>
  <c r="F260" i="5"/>
  <c r="AE260" i="5"/>
  <c r="J260" i="5"/>
  <c r="B260" i="5"/>
  <c r="AD260" i="5"/>
  <c r="A260" i="12"/>
  <c r="B260" i="6"/>
  <c r="C261" i="5"/>
  <c r="G260" i="5"/>
  <c r="N260" i="5"/>
  <c r="D260" i="6" s="1"/>
  <c r="H260" i="6" s="1"/>
  <c r="K260" i="5"/>
  <c r="D260" i="5"/>
  <c r="B260" i="12" s="1"/>
  <c r="H260" i="5"/>
  <c r="K258" i="12"/>
  <c r="G259" i="6"/>
  <c r="H259" i="6"/>
  <c r="G258" i="12"/>
  <c r="N258" i="6" l="1"/>
  <c r="M258" i="6"/>
  <c r="A260" i="6"/>
  <c r="N260" i="6" s="1"/>
  <c r="G260" i="6"/>
  <c r="T259" i="5"/>
  <c r="M259" i="6"/>
  <c r="B261" i="5"/>
  <c r="N261" i="5"/>
  <c r="D261" i="6" s="1"/>
  <c r="G261" i="6" s="1"/>
  <c r="J261" i="5"/>
  <c r="C262" i="5"/>
  <c r="A261" i="12"/>
  <c r="K261" i="5"/>
  <c r="G261" i="5"/>
  <c r="H261" i="5"/>
  <c r="D261" i="5"/>
  <c r="B261" i="12" s="1"/>
  <c r="B261" i="6"/>
  <c r="F261" i="5"/>
  <c r="E261" i="5"/>
  <c r="AE261" i="5"/>
  <c r="AD261" i="5"/>
  <c r="L260" i="12" a="1"/>
  <c r="L260" i="12" s="1"/>
  <c r="J260" i="12" a="1"/>
  <c r="J260" i="12" s="1"/>
  <c r="K259" i="12"/>
  <c r="T260" i="5"/>
  <c r="G259" i="12"/>
  <c r="AF258" i="6" l="1"/>
  <c r="AB258" i="6"/>
  <c r="AM258" i="6"/>
  <c r="BG258" i="6"/>
  <c r="AD258" i="6"/>
  <c r="AJ258" i="6"/>
  <c r="AZ258" i="6"/>
  <c r="AY258" i="6"/>
  <c r="BC258" i="6"/>
  <c r="AU258" i="6"/>
  <c r="AV258" i="6"/>
  <c r="BA258" i="6"/>
  <c r="AC258" i="6"/>
  <c r="AE258" i="6"/>
  <c r="AO258" i="6"/>
  <c r="AP258" i="6"/>
  <c r="BD258" i="6"/>
  <c r="BE258" i="6"/>
  <c r="AT258" i="6"/>
  <c r="AX258" i="6"/>
  <c r="BB258" i="6"/>
  <c r="AI258" i="6"/>
  <c r="AG258" i="6"/>
  <c r="AQ258" i="6"/>
  <c r="AR258" i="6"/>
  <c r="AH258" i="6"/>
  <c r="AN258" i="6"/>
  <c r="AK258" i="6"/>
  <c r="AS258" i="6"/>
  <c r="BF258" i="6"/>
  <c r="H261" i="6"/>
  <c r="T261" i="5" s="1"/>
  <c r="K260" i="12"/>
  <c r="M260" i="6"/>
  <c r="BG260" i="6" s="1"/>
  <c r="A261" i="6"/>
  <c r="N261" i="6" s="1"/>
  <c r="AX259" i="6"/>
  <c r="BC259" i="6"/>
  <c r="AQ259" i="6"/>
  <c r="AR259" i="6"/>
  <c r="BE259" i="6"/>
  <c r="AO259" i="6"/>
  <c r="AN259" i="6"/>
  <c r="AU259" i="6"/>
  <c r="AM259" i="6"/>
  <c r="AT259" i="6"/>
  <c r="BG259" i="6"/>
  <c r="AY259" i="6"/>
  <c r="BD259" i="6"/>
  <c r="BB259" i="6"/>
  <c r="BF259" i="6"/>
  <c r="BA259" i="6"/>
  <c r="AS259" i="6"/>
  <c r="AV259" i="6"/>
  <c r="AZ259" i="6"/>
  <c r="AP259" i="6"/>
  <c r="AH259" i="6"/>
  <c r="AC259" i="6"/>
  <c r="AI259" i="6"/>
  <c r="AE259" i="6"/>
  <c r="AG259" i="6"/>
  <c r="AJ259" i="6"/>
  <c r="AB259" i="6"/>
  <c r="AD259" i="6"/>
  <c r="AF259" i="6"/>
  <c r="AK259" i="6"/>
  <c r="J261" i="12" a="1"/>
  <c r="J261" i="12" s="1"/>
  <c r="L261" i="12" a="1"/>
  <c r="L261" i="12" s="1"/>
  <c r="C263" i="5"/>
  <c r="H262" i="5"/>
  <c r="E262" i="5"/>
  <c r="J262" i="5"/>
  <c r="G262" i="5"/>
  <c r="AD262" i="5"/>
  <c r="K262" i="5"/>
  <c r="B262" i="5"/>
  <c r="A262" i="12"/>
  <c r="F262" i="5"/>
  <c r="N262" i="5"/>
  <c r="D262" i="6" s="1"/>
  <c r="G262" i="6" s="1"/>
  <c r="AE262" i="5"/>
  <c r="D262" i="5"/>
  <c r="B262" i="12" s="1"/>
  <c r="B262" i="6"/>
  <c r="G260" i="12"/>
  <c r="M261" i="6" l="1"/>
  <c r="AB261" i="6" s="1"/>
  <c r="BD260" i="6"/>
  <c r="AU260" i="6"/>
  <c r="AV260" i="6"/>
  <c r="BB260" i="6"/>
  <c r="AM260" i="6"/>
  <c r="BA260" i="6"/>
  <c r="AY260" i="6"/>
  <c r="AT260" i="6"/>
  <c r="AH260" i="6"/>
  <c r="AD260" i="6"/>
  <c r="AQ260" i="6"/>
  <c r="AO260" i="6"/>
  <c r="AC260" i="6"/>
  <c r="AB260" i="6"/>
  <c r="AN260" i="6"/>
  <c r="AI260" i="6"/>
  <c r="AZ260" i="6"/>
  <c r="BF260" i="6"/>
  <c r="AX260" i="6"/>
  <c r="AR260" i="6"/>
  <c r="BE260" i="6"/>
  <c r="AP260" i="6"/>
  <c r="AG260" i="6"/>
  <c r="AF260" i="6"/>
  <c r="AE260" i="6"/>
  <c r="AK260" i="6"/>
  <c r="AJ260" i="6"/>
  <c r="AS260" i="6"/>
  <c r="BC260" i="6"/>
  <c r="A262" i="6"/>
  <c r="N262" i="6" s="1"/>
  <c r="E263" i="5"/>
  <c r="A263" i="12"/>
  <c r="B263" i="6"/>
  <c r="B263" i="5"/>
  <c r="D263" i="5"/>
  <c r="B263" i="12" s="1"/>
  <c r="AE263" i="5"/>
  <c r="K263" i="5"/>
  <c r="F263" i="5"/>
  <c r="AD263" i="5"/>
  <c r="N263" i="5"/>
  <c r="D263" i="6" s="1"/>
  <c r="J263" i="5"/>
  <c r="H263" i="5"/>
  <c r="G263" i="5"/>
  <c r="C264" i="5"/>
  <c r="K261" i="12"/>
  <c r="H262" i="6"/>
  <c r="J262" i="12" a="1"/>
  <c r="J262" i="12" s="1"/>
  <c r="L262" i="12" a="1"/>
  <c r="L262" i="12" s="1"/>
  <c r="G261" i="12"/>
  <c r="AQ261" i="6" l="1"/>
  <c r="BC261" i="6"/>
  <c r="BE261" i="6"/>
  <c r="AG261" i="6"/>
  <c r="AX261" i="6"/>
  <c r="BA261" i="6"/>
  <c r="AO261" i="6"/>
  <c r="AS261" i="6"/>
  <c r="BG261" i="6"/>
  <c r="AY261" i="6"/>
  <c r="AM261" i="6"/>
  <c r="AP261" i="6"/>
  <c r="AF261" i="6"/>
  <c r="BD261" i="6"/>
  <c r="AD261" i="6"/>
  <c r="AC261" i="6"/>
  <c r="AN261" i="6"/>
  <c r="AH261" i="6"/>
  <c r="AI261" i="6"/>
  <c r="AT261" i="6"/>
  <c r="AU261" i="6"/>
  <c r="AV261" i="6"/>
  <c r="AE261" i="6"/>
  <c r="AR261" i="6"/>
  <c r="AJ261" i="6"/>
  <c r="BF261" i="6"/>
  <c r="BB261" i="6"/>
  <c r="AZ261" i="6"/>
  <c r="AK261" i="6"/>
  <c r="K262" i="12"/>
  <c r="M262" i="6"/>
  <c r="AC262" i="6" s="1"/>
  <c r="T262" i="5"/>
  <c r="G262" i="12" s="1"/>
  <c r="G263" i="6"/>
  <c r="H263" i="6"/>
  <c r="T263" i="5" s="1"/>
  <c r="A263" i="6"/>
  <c r="M263" i="6" s="1"/>
  <c r="E264" i="5"/>
  <c r="D264" i="5"/>
  <c r="B264" i="12" s="1"/>
  <c r="A264" i="12"/>
  <c r="B264" i="6"/>
  <c r="F264" i="5"/>
  <c r="AD264" i="5"/>
  <c r="AE264" i="5"/>
  <c r="H264" i="5"/>
  <c r="B264" i="5"/>
  <c r="N264" i="5"/>
  <c r="D264" i="6" s="1"/>
  <c r="H264" i="6" s="1"/>
  <c r="K264" i="5"/>
  <c r="C265" i="5"/>
  <c r="J264" i="5"/>
  <c r="G264" i="5"/>
  <c r="L263" i="12" a="1"/>
  <c r="L263" i="12" s="1"/>
  <c r="J263" i="12" a="1"/>
  <c r="J263" i="12" s="1"/>
  <c r="AM262" i="6" l="1"/>
  <c r="AO262" i="6"/>
  <c r="AD262" i="6"/>
  <c r="AP262" i="6"/>
  <c r="AK262" i="6"/>
  <c r="BG262" i="6"/>
  <c r="AJ262" i="6"/>
  <c r="BB262" i="6"/>
  <c r="AI262" i="6"/>
  <c r="AT262" i="6"/>
  <c r="AN262" i="6"/>
  <c r="AS262" i="6"/>
  <c r="AU262" i="6"/>
  <c r="BD262" i="6"/>
  <c r="BA262" i="6"/>
  <c r="BE262" i="6"/>
  <c r="AG262" i="6"/>
  <c r="AE262" i="6"/>
  <c r="AQ262" i="6"/>
  <c r="BC262" i="6"/>
  <c r="AZ262" i="6"/>
  <c r="AH262" i="6"/>
  <c r="AV262" i="6"/>
  <c r="AX262" i="6"/>
  <c r="BF262" i="6"/>
  <c r="AR262" i="6"/>
  <c r="AY262" i="6"/>
  <c r="AB262" i="6"/>
  <c r="AF262" i="6"/>
  <c r="N263" i="6"/>
  <c r="A264" i="6"/>
  <c r="M264" i="6" s="1"/>
  <c r="AS264" i="6" s="1"/>
  <c r="G264" i="6"/>
  <c r="AE263" i="6"/>
  <c r="AY263" i="6"/>
  <c r="BC263" i="6"/>
  <c r="AP263" i="6"/>
  <c r="BB263" i="6"/>
  <c r="AF263" i="6"/>
  <c r="AQ263" i="6"/>
  <c r="BD263" i="6"/>
  <c r="AV263" i="6"/>
  <c r="AS263" i="6"/>
  <c r="AB263" i="6"/>
  <c r="AN263" i="6"/>
  <c r="BE263" i="6"/>
  <c r="AT263" i="6"/>
  <c r="BG263" i="6"/>
  <c r="AI263" i="6"/>
  <c r="AX263" i="6"/>
  <c r="AG263" i="6"/>
  <c r="BF263" i="6"/>
  <c r="AU263" i="6"/>
  <c r="AH263" i="6"/>
  <c r="AD263" i="6"/>
  <c r="AZ263" i="6"/>
  <c r="AO263" i="6"/>
  <c r="BA263" i="6"/>
  <c r="AM263" i="6"/>
  <c r="AR263" i="6"/>
  <c r="L264" i="12" a="1"/>
  <c r="L264" i="12" s="1"/>
  <c r="J264" i="12" a="1"/>
  <c r="J264" i="12" s="1"/>
  <c r="K263" i="12"/>
  <c r="AC263" i="6"/>
  <c r="AJ263" i="6"/>
  <c r="AK263" i="6"/>
  <c r="N265" i="5"/>
  <c r="D265" i="6" s="1"/>
  <c r="J265" i="5"/>
  <c r="G265" i="5"/>
  <c r="A265" i="12"/>
  <c r="F265" i="5"/>
  <c r="B265" i="6"/>
  <c r="AE265" i="5"/>
  <c r="E265" i="5"/>
  <c r="B265" i="5"/>
  <c r="D265" i="5"/>
  <c r="B265" i="12" s="1"/>
  <c r="C266" i="5"/>
  <c r="H265" i="5"/>
  <c r="AD265" i="5"/>
  <c r="K265" i="5"/>
  <c r="G263" i="12"/>
  <c r="T264" i="5"/>
  <c r="N264" i="6" l="1"/>
  <c r="A265" i="6"/>
  <c r="N265" i="6" s="1"/>
  <c r="AI264" i="6"/>
  <c r="AG264" i="6"/>
  <c r="BF264" i="6"/>
  <c r="AC264" i="6"/>
  <c r="AF264" i="6"/>
  <c r="AX264" i="6"/>
  <c r="AT264" i="6"/>
  <c r="AM264" i="6"/>
  <c r="BC264" i="6"/>
  <c r="AJ264" i="6"/>
  <c r="BD264" i="6"/>
  <c r="AD264" i="6"/>
  <c r="BA264" i="6"/>
  <c r="AK264" i="6"/>
  <c r="K264" i="12"/>
  <c r="AQ264" i="6"/>
  <c r="BG264" i="6"/>
  <c r="AV264" i="6"/>
  <c r="AO264" i="6"/>
  <c r="AR264" i="6"/>
  <c r="BE264" i="6"/>
  <c r="AN264" i="6"/>
  <c r="AH264" i="6"/>
  <c r="AE264" i="6"/>
  <c r="AY264" i="6"/>
  <c r="AB264" i="6"/>
  <c r="AP264" i="6"/>
  <c r="BB264" i="6"/>
  <c r="AZ264" i="6"/>
  <c r="AU264" i="6"/>
  <c r="A266" i="12"/>
  <c r="D266" i="5"/>
  <c r="B266" i="12" s="1"/>
  <c r="B266" i="6"/>
  <c r="C267" i="5"/>
  <c r="N266" i="5"/>
  <c r="D266" i="6" s="1"/>
  <c r="G266" i="6" s="1"/>
  <c r="AE266" i="5"/>
  <c r="J266" i="5"/>
  <c r="E266" i="5"/>
  <c r="H266" i="5"/>
  <c r="G266" i="5"/>
  <c r="F266" i="5"/>
  <c r="AD266" i="5"/>
  <c r="B266" i="5"/>
  <c r="K266" i="5"/>
  <c r="H265" i="6"/>
  <c r="G265" i="6"/>
  <c r="J265" i="12" a="1"/>
  <c r="J265" i="12" s="1"/>
  <c r="L265" i="12" a="1"/>
  <c r="L265" i="12" s="1"/>
  <c r="G264" i="12"/>
  <c r="M265" i="6" l="1"/>
  <c r="AQ265" i="6" s="1"/>
  <c r="T265" i="5"/>
  <c r="K265" i="12"/>
  <c r="E267" i="5"/>
  <c r="A267" i="12"/>
  <c r="K267" i="5"/>
  <c r="B267" i="6"/>
  <c r="H267" i="5"/>
  <c r="AD267" i="5"/>
  <c r="G267" i="5"/>
  <c r="AE267" i="5"/>
  <c r="D267" i="5"/>
  <c r="B267" i="12" s="1"/>
  <c r="N267" i="5"/>
  <c r="D267" i="6" s="1"/>
  <c r="H267" i="6" s="1"/>
  <c r="J267" i="5"/>
  <c r="B267" i="5"/>
  <c r="C268" i="5" s="1"/>
  <c r="F267" i="5"/>
  <c r="A266" i="6"/>
  <c r="N266" i="6" s="1"/>
  <c r="H266" i="6"/>
  <c r="T266" i="5" s="1"/>
  <c r="L266" i="12" a="1"/>
  <c r="L266" i="12" s="1"/>
  <c r="J266" i="12" a="1"/>
  <c r="J266" i="12" s="1"/>
  <c r="G265" i="12"/>
  <c r="AX265" i="6" l="1"/>
  <c r="AZ265" i="6"/>
  <c r="AF265" i="6"/>
  <c r="AD265" i="6"/>
  <c r="BG265" i="6"/>
  <c r="AO265" i="6"/>
  <c r="BB265" i="6"/>
  <c r="BA265" i="6"/>
  <c r="AS265" i="6"/>
  <c r="AT265" i="6"/>
  <c r="BD265" i="6"/>
  <c r="AM265" i="6"/>
  <c r="AR265" i="6"/>
  <c r="BC265" i="6"/>
  <c r="AU265" i="6"/>
  <c r="AK265" i="6"/>
  <c r="AB265" i="6"/>
  <c r="AJ265" i="6"/>
  <c r="AG265" i="6"/>
  <c r="AV265" i="6"/>
  <c r="AC265" i="6"/>
  <c r="AH265" i="6"/>
  <c r="AP265" i="6"/>
  <c r="BE265" i="6"/>
  <c r="AN265" i="6"/>
  <c r="AE265" i="6"/>
  <c r="K266" i="12"/>
  <c r="BF265" i="6"/>
  <c r="AI265" i="6"/>
  <c r="AY265" i="6"/>
  <c r="G267" i="6"/>
  <c r="J267" i="12" a="1"/>
  <c r="J267" i="12" s="1"/>
  <c r="L267" i="12" a="1"/>
  <c r="L267" i="12" s="1"/>
  <c r="B268" i="5"/>
  <c r="C269" i="5" s="1"/>
  <c r="AD268" i="5"/>
  <c r="F268" i="5"/>
  <c r="E268" i="5"/>
  <c r="I268" i="5"/>
  <c r="H268" i="5"/>
  <c r="G268" i="5"/>
  <c r="AE268" i="5"/>
  <c r="A268" i="12"/>
  <c r="N268" i="5"/>
  <c r="D268" i="6" s="1"/>
  <c r="N268" i="6" s="1"/>
  <c r="W268" i="5"/>
  <c r="H268" i="12" s="1"/>
  <c r="B268" i="6"/>
  <c r="A267" i="6"/>
  <c r="M266" i="6"/>
  <c r="AF266" i="6" s="1"/>
  <c r="T267" i="5"/>
  <c r="G266" i="12"/>
  <c r="K267" i="12" l="1"/>
  <c r="G268" i="6"/>
  <c r="H268" i="6"/>
  <c r="T268" i="5" s="1"/>
  <c r="G268" i="12" s="1"/>
  <c r="AB266" i="6"/>
  <c r="AD266" i="6"/>
  <c r="AJ266" i="6"/>
  <c r="AK266" i="6"/>
  <c r="A268" i="6"/>
  <c r="J268" i="6" a="1"/>
  <c r="J268" i="6" s="1"/>
  <c r="AI266" i="6"/>
  <c r="AE266" i="6"/>
  <c r="W269" i="5"/>
  <c r="H269" i="12" s="1"/>
  <c r="C270" i="5"/>
  <c r="B269" i="6"/>
  <c r="J269" i="6" s="1" a="1"/>
  <c r="J269" i="6" s="1"/>
  <c r="I269" i="5"/>
  <c r="N269" i="5"/>
  <c r="D269" i="6" s="1"/>
  <c r="H269" i="6" s="1"/>
  <c r="T269" i="5" s="1"/>
  <c r="AD269" i="5"/>
  <c r="G269" i="5"/>
  <c r="F269" i="5"/>
  <c r="AE269" i="5"/>
  <c r="H269" i="5"/>
  <c r="E269" i="5"/>
  <c r="A269" i="12"/>
  <c r="B269" i="5"/>
  <c r="M268" i="6"/>
  <c r="AO268" i="6" s="1"/>
  <c r="N267" i="6"/>
  <c r="M267" i="6"/>
  <c r="BF266" i="6"/>
  <c r="AX266" i="6"/>
  <c r="BA266" i="6"/>
  <c r="BB266" i="6"/>
  <c r="BD266" i="6"/>
  <c r="BG266" i="6"/>
  <c r="BC266" i="6"/>
  <c r="AQ266" i="6"/>
  <c r="AV266" i="6"/>
  <c r="AH266" i="6"/>
  <c r="AZ266" i="6"/>
  <c r="AS266" i="6"/>
  <c r="AP266" i="6"/>
  <c r="AR266" i="6"/>
  <c r="AM266" i="6"/>
  <c r="BE266" i="6"/>
  <c r="AU266" i="6"/>
  <c r="AT266" i="6"/>
  <c r="AY266" i="6"/>
  <c r="AN266" i="6"/>
  <c r="AO266" i="6"/>
  <c r="AC266" i="6"/>
  <c r="AG266" i="6"/>
  <c r="G267" i="12"/>
  <c r="AC268" i="6" l="1"/>
  <c r="AD268" i="6"/>
  <c r="AG268" i="6"/>
  <c r="BF268" i="6"/>
  <c r="AN268" i="6"/>
  <c r="BG268" i="6"/>
  <c r="BB268" i="6"/>
  <c r="BC268" i="6"/>
  <c r="AM268" i="6"/>
  <c r="AT268" i="6"/>
  <c r="AP268" i="6"/>
  <c r="BE268" i="6"/>
  <c r="AI268" i="6"/>
  <c r="AK268" i="6"/>
  <c r="AB268" i="6"/>
  <c r="AV268" i="6"/>
  <c r="AE268" i="6"/>
  <c r="AY268" i="6"/>
  <c r="AF268" i="6"/>
  <c r="AH268" i="6"/>
  <c r="A269" i="6"/>
  <c r="AR268" i="6"/>
  <c r="M269" i="6"/>
  <c r="BG269" i="6" s="1"/>
  <c r="G269" i="6"/>
  <c r="BA268" i="6"/>
  <c r="AQ268" i="6"/>
  <c r="AX268" i="6"/>
  <c r="AZ268" i="6"/>
  <c r="AJ268" i="6"/>
  <c r="N269" i="6"/>
  <c r="AR267" i="6"/>
  <c r="AY267" i="6"/>
  <c r="AB267" i="6"/>
  <c r="AM267" i="6"/>
  <c r="AE267" i="6"/>
  <c r="AQ267" i="6"/>
  <c r="AK267" i="6"/>
  <c r="AS267" i="6"/>
  <c r="AZ267" i="6"/>
  <c r="BA267" i="6"/>
  <c r="AH267" i="6"/>
  <c r="AX267" i="6"/>
  <c r="AI267" i="6"/>
  <c r="AC267" i="6"/>
  <c r="AP267" i="6"/>
  <c r="BB267" i="6"/>
  <c r="BE267" i="6"/>
  <c r="AN267" i="6"/>
  <c r="AO267" i="6"/>
  <c r="BC267" i="6"/>
  <c r="AF267" i="6"/>
  <c r="AD267" i="6"/>
  <c r="AJ267" i="6"/>
  <c r="BD267" i="6"/>
  <c r="AV267" i="6"/>
  <c r="AT267" i="6"/>
  <c r="AU267" i="6"/>
  <c r="AG267" i="6"/>
  <c r="BF267" i="6"/>
  <c r="BG267" i="6"/>
  <c r="BD268" i="6"/>
  <c r="AU268" i="6"/>
  <c r="AS268" i="6"/>
  <c r="B270" i="5"/>
  <c r="A270" i="12"/>
  <c r="AD270" i="5"/>
  <c r="B270" i="6"/>
  <c r="G270" i="5"/>
  <c r="J270" i="5"/>
  <c r="K270" i="5"/>
  <c r="E270" i="5"/>
  <c r="D270" i="5"/>
  <c r="B270" i="12" s="1"/>
  <c r="N270" i="5"/>
  <c r="D270" i="6" s="1"/>
  <c r="G270" i="6" s="1"/>
  <c r="C271" i="5"/>
  <c r="H270" i="5"/>
  <c r="F270" i="5"/>
  <c r="AE270" i="5"/>
  <c r="G269" i="12"/>
  <c r="AE269" i="6" l="1"/>
  <c r="AI269" i="6"/>
  <c r="AY269" i="6"/>
  <c r="AD269" i="6"/>
  <c r="AH269" i="6"/>
  <c r="AQ269" i="6"/>
  <c r="BF269" i="6"/>
  <c r="BD269" i="6"/>
  <c r="AF269" i="6"/>
  <c r="AP269" i="6"/>
  <c r="AX269" i="6"/>
  <c r="AU269" i="6"/>
  <c r="AB269" i="6"/>
  <c r="AC269" i="6"/>
  <c r="BB269" i="6"/>
  <c r="BA269" i="6"/>
  <c r="AT269" i="6"/>
  <c r="AN269" i="6"/>
  <c r="AZ269" i="6"/>
  <c r="AJ269" i="6"/>
  <c r="AR269" i="6"/>
  <c r="BE269" i="6"/>
  <c r="BC269" i="6"/>
  <c r="AK269" i="6"/>
  <c r="AO269" i="6"/>
  <c r="AS269" i="6"/>
  <c r="AV269" i="6"/>
  <c r="AG269" i="6"/>
  <c r="AM269" i="6"/>
  <c r="L270" i="12" a="1"/>
  <c r="L270" i="12" s="1"/>
  <c r="J270" i="12" a="1"/>
  <c r="J270" i="12" s="1"/>
  <c r="A270" i="6"/>
  <c r="M270" i="6" s="1"/>
  <c r="AV270" i="6" s="1"/>
  <c r="AD271" i="5"/>
  <c r="J271" i="5"/>
  <c r="B271" i="6"/>
  <c r="K271" i="5"/>
  <c r="B271" i="5"/>
  <c r="C272" i="5" s="1"/>
  <c r="H271" i="5"/>
  <c r="F271" i="5"/>
  <c r="E271" i="5"/>
  <c r="D271" i="5"/>
  <c r="B271" i="12" s="1"/>
  <c r="G271" i="5"/>
  <c r="A271" i="12"/>
  <c r="N271" i="5"/>
  <c r="D271" i="6" s="1"/>
  <c r="H271" i="6" s="1"/>
  <c r="AE271" i="5"/>
  <c r="H270" i="6"/>
  <c r="T270" i="5" s="1"/>
  <c r="N270" i="6" l="1"/>
  <c r="AC270" i="6"/>
  <c r="AD270" i="6"/>
  <c r="BC270" i="6"/>
  <c r="AK270" i="6"/>
  <c r="AR270" i="6"/>
  <c r="BB270" i="6"/>
  <c r="A271" i="6"/>
  <c r="AT270" i="6"/>
  <c r="AS270" i="6"/>
  <c r="AQ270" i="6"/>
  <c r="AJ270" i="6"/>
  <c r="BE270" i="6"/>
  <c r="AU270" i="6"/>
  <c r="BA270" i="6"/>
  <c r="BG270" i="6"/>
  <c r="AF270" i="6"/>
  <c r="AI270" i="6"/>
  <c r="AB270" i="6"/>
  <c r="AH270" i="6"/>
  <c r="BD270" i="6"/>
  <c r="AD272" i="5"/>
  <c r="A272" i="12"/>
  <c r="N272" i="5"/>
  <c r="D272" i="6" s="1"/>
  <c r="E272" i="5"/>
  <c r="B272" i="6"/>
  <c r="F272" i="5"/>
  <c r="G272" i="5"/>
  <c r="I272" i="5"/>
  <c r="W272" i="5"/>
  <c r="H272" i="12" s="1"/>
  <c r="H272" i="5"/>
  <c r="C273" i="5"/>
  <c r="AE272" i="5"/>
  <c r="B272" i="5"/>
  <c r="BF270" i="6"/>
  <c r="AE270" i="6"/>
  <c r="AG270" i="6"/>
  <c r="AX270" i="6"/>
  <c r="AO270" i="6"/>
  <c r="AN270" i="6"/>
  <c r="AM270" i="6"/>
  <c r="J271" i="12" a="1"/>
  <c r="J271" i="12" s="1"/>
  <c r="L271" i="12" a="1"/>
  <c r="L271" i="12" s="1"/>
  <c r="G271" i="6"/>
  <c r="AY270" i="6"/>
  <c r="AZ270" i="6"/>
  <c r="AP270" i="6"/>
  <c r="K270" i="12"/>
  <c r="G270" i="12"/>
  <c r="T271" i="5"/>
  <c r="G272" i="6" l="1"/>
  <c r="H272" i="6"/>
  <c r="N271" i="6"/>
  <c r="M271" i="6"/>
  <c r="AE273" i="5"/>
  <c r="AD273" i="5"/>
  <c r="K273" i="5"/>
  <c r="E273" i="5"/>
  <c r="J273" i="5"/>
  <c r="B273" i="6"/>
  <c r="D273" i="5"/>
  <c r="B273" i="12" s="1"/>
  <c r="F273" i="5"/>
  <c r="H273" i="5"/>
  <c r="G273" i="5"/>
  <c r="C274" i="5"/>
  <c r="A273" i="12"/>
  <c r="B273" i="5"/>
  <c r="N273" i="5"/>
  <c r="D273" i="6" s="1"/>
  <c r="K271" i="12"/>
  <c r="M272" i="6"/>
  <c r="AE272" i="6" s="1"/>
  <c r="N272" i="6"/>
  <c r="A272" i="6"/>
  <c r="J272" i="6" a="1"/>
  <c r="J272" i="6" s="1"/>
  <c r="G271" i="12"/>
  <c r="AO272" i="6" l="1"/>
  <c r="AC272" i="6"/>
  <c r="AM272" i="6"/>
  <c r="BC272" i="6"/>
  <c r="AU272" i="6"/>
  <c r="BB272" i="6"/>
  <c r="AQ272" i="6"/>
  <c r="AY272" i="6"/>
  <c r="BF272" i="6"/>
  <c r="BG272" i="6"/>
  <c r="AN272" i="6"/>
  <c r="AR272" i="6"/>
  <c r="AX272" i="6"/>
  <c r="A273" i="6"/>
  <c r="M273" i="6" s="1"/>
  <c r="BG271" i="6"/>
  <c r="AU271" i="6"/>
  <c r="AK271" i="6"/>
  <c r="AN271" i="6"/>
  <c r="AZ271" i="6"/>
  <c r="AP271" i="6"/>
  <c r="BE271" i="6"/>
  <c r="AM271" i="6"/>
  <c r="AD271" i="6"/>
  <c r="AS271" i="6"/>
  <c r="AY271" i="6"/>
  <c r="AE271" i="6"/>
  <c r="AT271" i="6"/>
  <c r="AR271" i="6"/>
  <c r="BD271" i="6"/>
  <c r="AF271" i="6"/>
  <c r="AO271" i="6"/>
  <c r="AJ271" i="6"/>
  <c r="AC271" i="6"/>
  <c r="BC271" i="6"/>
  <c r="BB271" i="6"/>
  <c r="AG271" i="6"/>
  <c r="AH271" i="6"/>
  <c r="AI271" i="6"/>
  <c r="AV271" i="6"/>
  <c r="BF271" i="6"/>
  <c r="AX271" i="6"/>
  <c r="AB271" i="6"/>
  <c r="BA271" i="6"/>
  <c r="AQ271" i="6"/>
  <c r="B274" i="6"/>
  <c r="H274" i="5"/>
  <c r="G274" i="5"/>
  <c r="D274" i="5"/>
  <c r="B274" i="12" s="1"/>
  <c r="F274" i="5"/>
  <c r="A274" i="12"/>
  <c r="E274" i="5"/>
  <c r="N274" i="5"/>
  <c r="D274" i="6" s="1"/>
  <c r="G274" i="6" s="1"/>
  <c r="AE274" i="5"/>
  <c r="AD274" i="5"/>
  <c r="B274" i="5"/>
  <c r="C275" i="5" s="1"/>
  <c r="K274" i="5"/>
  <c r="J274" i="5"/>
  <c r="AD272" i="6"/>
  <c r="G273" i="6"/>
  <c r="AK272" i="6"/>
  <c r="T272" i="5"/>
  <c r="G272" i="12" s="1"/>
  <c r="AJ272" i="6"/>
  <c r="AS272" i="6"/>
  <c r="AZ272" i="6"/>
  <c r="AP272" i="6"/>
  <c r="J273" i="12" a="1"/>
  <c r="J273" i="12" s="1"/>
  <c r="L273" i="12" a="1"/>
  <c r="L273" i="12" s="1"/>
  <c r="BA272" i="6"/>
  <c r="AI272" i="6"/>
  <c r="H273" i="6"/>
  <c r="AB272" i="6"/>
  <c r="AV272" i="6"/>
  <c r="AF272" i="6"/>
  <c r="N273" i="6"/>
  <c r="AG272" i="6"/>
  <c r="BD272" i="6"/>
  <c r="AT272" i="6"/>
  <c r="AH272" i="6"/>
  <c r="BE272" i="6"/>
  <c r="K273" i="12" l="1"/>
  <c r="H274" i="6"/>
  <c r="A274" i="6"/>
  <c r="M274" i="6" s="1"/>
  <c r="BA273" i="6"/>
  <c r="AQ273" i="6"/>
  <c r="BE273" i="6"/>
  <c r="BC273" i="6"/>
  <c r="AS273" i="6"/>
  <c r="AV273" i="6"/>
  <c r="AZ273" i="6"/>
  <c r="AM273" i="6"/>
  <c r="AT273" i="6"/>
  <c r="AY273" i="6"/>
  <c r="BF273" i="6"/>
  <c r="AU273" i="6"/>
  <c r="BD273" i="6"/>
  <c r="AN273" i="6"/>
  <c r="BG273" i="6"/>
  <c r="AO273" i="6"/>
  <c r="AX273" i="6"/>
  <c r="AR273" i="6"/>
  <c r="AP273" i="6"/>
  <c r="BB273" i="6"/>
  <c r="AF273" i="6"/>
  <c r="AH273" i="6"/>
  <c r="B275" i="5"/>
  <c r="N275" i="5"/>
  <c r="D275" i="6" s="1"/>
  <c r="H275" i="6" s="1"/>
  <c r="T275" i="5" s="1"/>
  <c r="G275" i="5"/>
  <c r="K272" i="5" s="1"/>
  <c r="AE275" i="5"/>
  <c r="I275" i="5"/>
  <c r="F275" i="5"/>
  <c r="AD275" i="5"/>
  <c r="E275" i="5"/>
  <c r="H275" i="5"/>
  <c r="W275" i="5"/>
  <c r="H275" i="12" s="1"/>
  <c r="A275" i="12"/>
  <c r="C276" i="5"/>
  <c r="B275" i="6"/>
  <c r="AC273" i="6"/>
  <c r="AD273" i="6"/>
  <c r="T273" i="5"/>
  <c r="G273" i="12" s="1"/>
  <c r="AB273" i="6"/>
  <c r="AJ273" i="6"/>
  <c r="J274" i="12" a="1"/>
  <c r="J274" i="12" s="1"/>
  <c r="L274" i="12" a="1"/>
  <c r="L274" i="12" s="1"/>
  <c r="AE273" i="6"/>
  <c r="AG273" i="6"/>
  <c r="AK273" i="6"/>
  <c r="AI273" i="6"/>
  <c r="T274" i="5"/>
  <c r="N274" i="6" l="1"/>
  <c r="N275" i="6"/>
  <c r="AK274" i="6"/>
  <c r="AS274" i="6"/>
  <c r="AM274" i="6"/>
  <c r="AF274" i="6"/>
  <c r="AR274" i="6"/>
  <c r="AP274" i="6"/>
  <c r="BD274" i="6"/>
  <c r="AY274" i="6"/>
  <c r="AC274" i="6"/>
  <c r="AN274" i="6"/>
  <c r="AJ274" i="6"/>
  <c r="AU274" i="6"/>
  <c r="AX274" i="6"/>
  <c r="AQ274" i="6"/>
  <c r="AB274" i="6"/>
  <c r="AG274" i="6"/>
  <c r="AI274" i="6"/>
  <c r="BB274" i="6"/>
  <c r="AH274" i="6"/>
  <c r="BC274" i="6"/>
  <c r="AE274" i="6"/>
  <c r="AV274" i="6"/>
  <c r="AT274" i="6"/>
  <c r="BA274" i="6"/>
  <c r="AZ274" i="6"/>
  <c r="BE274" i="6"/>
  <c r="BF274" i="6"/>
  <c r="AD274" i="6"/>
  <c r="AO274" i="6"/>
  <c r="BG274" i="6"/>
  <c r="G275" i="6"/>
  <c r="M275" i="6"/>
  <c r="AI275" i="6" s="1"/>
  <c r="K276" i="5"/>
  <c r="J276" i="5"/>
  <c r="C277" i="5"/>
  <c r="H276" i="5"/>
  <c r="B276" i="5"/>
  <c r="G276" i="5"/>
  <c r="A276" i="12"/>
  <c r="N276" i="5"/>
  <c r="D276" i="6" s="1"/>
  <c r="H276" i="6" s="1"/>
  <c r="AD276" i="5"/>
  <c r="AE276" i="5"/>
  <c r="D276" i="5"/>
  <c r="B276" i="12" s="1"/>
  <c r="F276" i="5"/>
  <c r="B276" i="6"/>
  <c r="E276" i="5"/>
  <c r="J275" i="6" a="1"/>
  <c r="J275" i="6" s="1"/>
  <c r="A275" i="6"/>
  <c r="K274" i="12"/>
  <c r="G274" i="12"/>
  <c r="G275" i="12"/>
  <c r="AS275" i="6" l="1"/>
  <c r="AH275" i="6"/>
  <c r="BG275" i="6"/>
  <c r="AJ275" i="6"/>
  <c r="BB275" i="6"/>
  <c r="AD275" i="6"/>
  <c r="AQ275" i="6"/>
  <c r="AO275" i="6"/>
  <c r="AC275" i="6"/>
  <c r="AN275" i="6"/>
  <c r="AE275" i="6"/>
  <c r="AG275" i="6"/>
  <c r="BE275" i="6"/>
  <c r="G276" i="6"/>
  <c r="AZ275" i="6"/>
  <c r="BF275" i="6"/>
  <c r="AM275" i="6"/>
  <c r="AU275" i="6"/>
  <c r="BA275" i="6"/>
  <c r="AF275" i="6"/>
  <c r="BD275" i="6"/>
  <c r="AV275" i="6"/>
  <c r="AY275" i="6"/>
  <c r="AX275" i="6"/>
  <c r="BC275" i="6"/>
  <c r="AR275" i="6"/>
  <c r="AT275" i="6"/>
  <c r="AB275" i="6"/>
  <c r="AP275" i="6"/>
  <c r="AK275" i="6"/>
  <c r="J276" i="12" a="1"/>
  <c r="J276" i="12" s="1"/>
  <c r="L276" i="12" a="1"/>
  <c r="L276" i="12" s="1"/>
  <c r="D277" i="5"/>
  <c r="B277" i="12" s="1"/>
  <c r="B277" i="5"/>
  <c r="C278" i="5"/>
  <c r="H277" i="5"/>
  <c r="AE277" i="5"/>
  <c r="K277" i="5"/>
  <c r="AD277" i="5"/>
  <c r="J277" i="5"/>
  <c r="A277" i="12"/>
  <c r="G277" i="5"/>
  <c r="B277" i="6"/>
  <c r="N277" i="5"/>
  <c r="D277" i="6" s="1"/>
  <c r="H277" i="6" s="1"/>
  <c r="F277" i="5"/>
  <c r="E277" i="5"/>
  <c r="A276" i="6"/>
  <c r="N276" i="6" s="1"/>
  <c r="T276" i="5"/>
  <c r="K276" i="12" l="1"/>
  <c r="G277" i="6"/>
  <c r="A278" i="12"/>
  <c r="G278" i="5"/>
  <c r="H278" i="5"/>
  <c r="B278" i="6"/>
  <c r="F278" i="5"/>
  <c r="N278" i="5"/>
  <c r="D278" i="6" s="1"/>
  <c r="G278" i="6" s="1"/>
  <c r="AE278" i="5"/>
  <c r="AD278" i="5"/>
  <c r="K278" i="5"/>
  <c r="J278" i="5"/>
  <c r="D278" i="5"/>
  <c r="B278" i="12" s="1"/>
  <c r="B278" i="5"/>
  <c r="E278" i="5"/>
  <c r="C279" i="5"/>
  <c r="A277" i="6"/>
  <c r="M277" i="6" s="1"/>
  <c r="AS277" i="6" s="1"/>
  <c r="J277" i="12" a="1"/>
  <c r="J277" i="12" s="1"/>
  <c r="L277" i="12" a="1"/>
  <c r="L277" i="12" s="1"/>
  <c r="M276" i="6"/>
  <c r="T277" i="5"/>
  <c r="G276" i="12"/>
  <c r="H278" i="6" l="1"/>
  <c r="T278" i="5" s="1"/>
  <c r="N277" i="6"/>
  <c r="AD277" i="6"/>
  <c r="A278" i="6"/>
  <c r="M278" i="6" s="1"/>
  <c r="AQ277" i="6"/>
  <c r="AO277" i="6"/>
  <c r="AE277" i="6"/>
  <c r="AY277" i="6"/>
  <c r="BD277" i="6"/>
  <c r="BC277" i="6"/>
  <c r="BF277" i="6"/>
  <c r="AJ277" i="6"/>
  <c r="AZ277" i="6"/>
  <c r="AN277" i="6"/>
  <c r="AB277" i="6"/>
  <c r="AU277" i="6"/>
  <c r="AX277" i="6"/>
  <c r="BB277" i="6"/>
  <c r="BF276" i="6"/>
  <c r="AS276" i="6"/>
  <c r="AX276" i="6"/>
  <c r="AU276" i="6"/>
  <c r="AD276" i="6"/>
  <c r="AO276" i="6"/>
  <c r="AV276" i="6"/>
  <c r="AQ276" i="6"/>
  <c r="AE276" i="6"/>
  <c r="BA276" i="6"/>
  <c r="AN276" i="6"/>
  <c r="AJ276" i="6"/>
  <c r="AY276" i="6"/>
  <c r="BG276" i="6"/>
  <c r="AZ276" i="6"/>
  <c r="AR276" i="6"/>
  <c r="AB276" i="6"/>
  <c r="AM276" i="6"/>
  <c r="AP276" i="6"/>
  <c r="BE276" i="6"/>
  <c r="AC276" i="6"/>
  <c r="BB276" i="6"/>
  <c r="BC276" i="6"/>
  <c r="AK276" i="6"/>
  <c r="AT276" i="6"/>
  <c r="BD276" i="6"/>
  <c r="AG276" i="6"/>
  <c r="AI276" i="6"/>
  <c r="AF276" i="6"/>
  <c r="AH276" i="6"/>
  <c r="AT277" i="6"/>
  <c r="K277" i="12"/>
  <c r="AV277" i="6"/>
  <c r="AM277" i="6"/>
  <c r="AI277" i="6"/>
  <c r="AC277" i="6"/>
  <c r="AF277" i="6"/>
  <c r="BE277" i="6"/>
  <c r="E279" i="5"/>
  <c r="AD279" i="5"/>
  <c r="K279" i="5"/>
  <c r="A279" i="12"/>
  <c r="H279" i="5"/>
  <c r="D279" i="5"/>
  <c r="B279" i="12" s="1"/>
  <c r="J279" i="5"/>
  <c r="N279" i="5"/>
  <c r="D279" i="6" s="1"/>
  <c r="H279" i="6" s="1"/>
  <c r="AE279" i="5"/>
  <c r="B279" i="6"/>
  <c r="B279" i="5"/>
  <c r="C280" i="5"/>
  <c r="F279" i="5"/>
  <c r="G279" i="5"/>
  <c r="AR277" i="6"/>
  <c r="AG277" i="6"/>
  <c r="BG277" i="6"/>
  <c r="BA277" i="6"/>
  <c r="AK277" i="6"/>
  <c r="AH277" i="6"/>
  <c r="AP277" i="6"/>
  <c r="J278" i="12" a="1"/>
  <c r="J278" i="12" s="1"/>
  <c r="L278" i="12" a="1"/>
  <c r="L278" i="12" s="1"/>
  <c r="G277" i="12"/>
  <c r="AF278" i="6" l="1"/>
  <c r="N278" i="6"/>
  <c r="G279" i="6"/>
  <c r="K278" i="12"/>
  <c r="A279" i="6"/>
  <c r="M279" i="6" s="1"/>
  <c r="AE279" i="6" s="1"/>
  <c r="J279" i="12" a="1"/>
  <c r="J279" i="12" s="1"/>
  <c r="L279" i="12" a="1"/>
  <c r="L279" i="12" s="1"/>
  <c r="F280" i="5"/>
  <c r="G280" i="5"/>
  <c r="E280" i="5"/>
  <c r="J280" i="5"/>
  <c r="H280" i="5"/>
  <c r="A280" i="12"/>
  <c r="B280" i="6"/>
  <c r="D280" i="5"/>
  <c r="B280" i="12" s="1"/>
  <c r="B280" i="5"/>
  <c r="N280" i="5"/>
  <c r="D280" i="6" s="1"/>
  <c r="AE280" i="5"/>
  <c r="AD280" i="5"/>
  <c r="K280" i="5"/>
  <c r="C281" i="5"/>
  <c r="G278" i="12"/>
  <c r="AI278" i="6"/>
  <c r="AE278" i="6"/>
  <c r="AR278" i="6"/>
  <c r="AO278" i="6"/>
  <c r="BD278" i="6"/>
  <c r="AQ278" i="6"/>
  <c r="AX278" i="6"/>
  <c r="AG278" i="6"/>
  <c r="BB278" i="6"/>
  <c r="BC278" i="6"/>
  <c r="AN278" i="6"/>
  <c r="AV278" i="6"/>
  <c r="BG278" i="6"/>
  <c r="AH278" i="6"/>
  <c r="BF278" i="6"/>
  <c r="BA278" i="6"/>
  <c r="BE278" i="6"/>
  <c r="AU278" i="6"/>
  <c r="AM278" i="6"/>
  <c r="AP278" i="6"/>
  <c r="AS278" i="6"/>
  <c r="AZ278" i="6"/>
  <c r="AB278" i="6"/>
  <c r="AC278" i="6"/>
  <c r="AY278" i="6"/>
  <c r="AK278" i="6"/>
  <c r="AT278" i="6"/>
  <c r="AJ278" i="6"/>
  <c r="T279" i="5"/>
  <c r="AD278" i="6"/>
  <c r="A280" i="6" l="1"/>
  <c r="M280" i="6" s="1"/>
  <c r="AQ280" i="6" s="1"/>
  <c r="N279" i="6"/>
  <c r="G280" i="6"/>
  <c r="H280" i="6"/>
  <c r="T280" i="5" s="1"/>
  <c r="AU279" i="6"/>
  <c r="AT279" i="6"/>
  <c r="BE279" i="6"/>
  <c r="AB279" i="6"/>
  <c r="AN279" i="6"/>
  <c r="AZ279" i="6"/>
  <c r="AG279" i="6"/>
  <c r="AR279" i="6"/>
  <c r="BF279" i="6"/>
  <c r="BG279" i="6"/>
  <c r="AV279" i="6"/>
  <c r="BD279" i="6"/>
  <c r="AJ279" i="6"/>
  <c r="BA279" i="6"/>
  <c r="AK279" i="6"/>
  <c r="AH279" i="6"/>
  <c r="AS279" i="6"/>
  <c r="AQ279" i="6"/>
  <c r="AX279" i="6"/>
  <c r="AP279" i="6"/>
  <c r="AY279" i="6"/>
  <c r="AC279" i="6"/>
  <c r="BC279" i="6"/>
  <c r="AO279" i="6"/>
  <c r="AI279" i="6"/>
  <c r="AD279" i="6"/>
  <c r="BB279" i="6"/>
  <c r="AM279" i="6"/>
  <c r="AF279" i="6"/>
  <c r="J280" i="12" a="1"/>
  <c r="J280" i="12" s="1"/>
  <c r="L280" i="12" a="1"/>
  <c r="L280" i="12" s="1"/>
  <c r="A281" i="12"/>
  <c r="D281" i="5"/>
  <c r="B281" i="12" s="1"/>
  <c r="B281" i="6"/>
  <c r="K281" i="5"/>
  <c r="AD281" i="5"/>
  <c r="B281" i="5"/>
  <c r="J281" i="5"/>
  <c r="C282" i="5"/>
  <c r="H281" i="5"/>
  <c r="E281" i="5"/>
  <c r="G281" i="5"/>
  <c r="F281" i="5"/>
  <c r="N281" i="5"/>
  <c r="D281" i="6" s="1"/>
  <c r="H281" i="6" s="1"/>
  <c r="AE281" i="5"/>
  <c r="K279" i="12"/>
  <c r="G279" i="12"/>
  <c r="AR280" i="6" l="1"/>
  <c r="AP280" i="6"/>
  <c r="BC280" i="6"/>
  <c r="BG280" i="6"/>
  <c r="AK280" i="6"/>
  <c r="AE280" i="6"/>
  <c r="BA280" i="6"/>
  <c r="AH280" i="6"/>
  <c r="BB280" i="6"/>
  <c r="AD280" i="6"/>
  <c r="AB280" i="6"/>
  <c r="BD280" i="6"/>
  <c r="AC280" i="6"/>
  <c r="AI280" i="6"/>
  <c r="BF280" i="6"/>
  <c r="AN280" i="6"/>
  <c r="AY280" i="6"/>
  <c r="AX280" i="6"/>
  <c r="AG280" i="6"/>
  <c r="AO280" i="6"/>
  <c r="AM280" i="6"/>
  <c r="AS280" i="6"/>
  <c r="AU280" i="6"/>
  <c r="AT280" i="6"/>
  <c r="AV280" i="6"/>
  <c r="AJ280" i="6"/>
  <c r="N280" i="6"/>
  <c r="AZ280" i="6"/>
  <c r="BE280" i="6"/>
  <c r="AF280" i="6"/>
  <c r="K280" i="12"/>
  <c r="G281" i="6"/>
  <c r="B282" i="5"/>
  <c r="N282" i="5"/>
  <c r="D282" i="6" s="1"/>
  <c r="C283" i="5"/>
  <c r="A282" i="12"/>
  <c r="B282" i="6"/>
  <c r="H282" i="5"/>
  <c r="G282" i="5"/>
  <c r="K282" i="5"/>
  <c r="F282" i="5"/>
  <c r="J282" i="5"/>
  <c r="AE282" i="5"/>
  <c r="AD282" i="5"/>
  <c r="E282" i="5"/>
  <c r="D282" i="5"/>
  <c r="B282" i="12" s="1"/>
  <c r="A281" i="6"/>
  <c r="L281" i="12" a="1"/>
  <c r="L281" i="12" s="1"/>
  <c r="J281" i="12" a="1"/>
  <c r="J281" i="12" s="1"/>
  <c r="G280" i="12"/>
  <c r="T281" i="5"/>
  <c r="A282" i="6" l="1"/>
  <c r="N282" i="6" s="1"/>
  <c r="K281" i="12"/>
  <c r="J282" i="12" a="1"/>
  <c r="J282" i="12" s="1"/>
  <c r="L282" i="12" a="1"/>
  <c r="L282" i="12" s="1"/>
  <c r="G283" i="5"/>
  <c r="F283" i="5"/>
  <c r="E283" i="5"/>
  <c r="D283" i="5"/>
  <c r="B283" i="12" s="1"/>
  <c r="A283" i="12"/>
  <c r="B283" i="6"/>
  <c r="AE283" i="5"/>
  <c r="K283" i="5"/>
  <c r="B283" i="5"/>
  <c r="AD283" i="5"/>
  <c r="N283" i="5"/>
  <c r="D283" i="6" s="1"/>
  <c r="H283" i="6" s="1"/>
  <c r="J283" i="5"/>
  <c r="C284" i="5"/>
  <c r="H283" i="5"/>
  <c r="G282" i="6"/>
  <c r="N281" i="6"/>
  <c r="M281" i="6"/>
  <c r="H282" i="6"/>
  <c r="T282" i="5" s="1"/>
  <c r="G281" i="12"/>
  <c r="J283" i="12" l="1" a="1"/>
  <c r="J283" i="12" s="1"/>
  <c r="L283" i="12" a="1"/>
  <c r="L283" i="12" s="1"/>
  <c r="AQ281" i="6"/>
  <c r="AB281" i="6"/>
  <c r="AZ281" i="6"/>
  <c r="AJ281" i="6"/>
  <c r="BF281" i="6"/>
  <c r="BA281" i="6"/>
  <c r="AY281" i="6"/>
  <c r="BC281" i="6"/>
  <c r="BB281" i="6"/>
  <c r="AP281" i="6"/>
  <c r="AX281" i="6"/>
  <c r="BG281" i="6"/>
  <c r="AE281" i="6"/>
  <c r="AR281" i="6"/>
  <c r="AV281" i="6"/>
  <c r="AT281" i="6"/>
  <c r="AC281" i="6"/>
  <c r="AO281" i="6"/>
  <c r="AI281" i="6"/>
  <c r="BD281" i="6"/>
  <c r="AU281" i="6"/>
  <c r="AS281" i="6"/>
  <c r="AK281" i="6"/>
  <c r="AN281" i="6"/>
  <c r="AG281" i="6"/>
  <c r="AH281" i="6"/>
  <c r="BE281" i="6"/>
  <c r="AM281" i="6"/>
  <c r="AD281" i="6"/>
  <c r="AF281" i="6"/>
  <c r="B284" i="6"/>
  <c r="B284" i="5"/>
  <c r="G284" i="5"/>
  <c r="F284" i="5"/>
  <c r="E284" i="5"/>
  <c r="D284" i="5"/>
  <c r="B284" i="12" s="1"/>
  <c r="J284" i="5"/>
  <c r="N284" i="5"/>
  <c r="D284" i="6" s="1"/>
  <c r="G284" i="6" s="1"/>
  <c r="AE284" i="5"/>
  <c r="C285" i="5"/>
  <c r="K284" i="5"/>
  <c r="H284" i="5"/>
  <c r="AD284" i="5"/>
  <c r="A284" i="12"/>
  <c r="K282" i="12"/>
  <c r="A283" i="6"/>
  <c r="G283" i="6"/>
  <c r="M282" i="6"/>
  <c r="AE282" i="6" s="1"/>
  <c r="G282" i="12"/>
  <c r="T283" i="5"/>
  <c r="K283" i="12" l="1"/>
  <c r="A284" i="6"/>
  <c r="N284" i="6" s="1"/>
  <c r="H284" i="6"/>
  <c r="T284" i="5" s="1"/>
  <c r="AD282" i="6"/>
  <c r="B285" i="5"/>
  <c r="C286" i="5" s="1"/>
  <c r="N285" i="5"/>
  <c r="D285" i="6" s="1"/>
  <c r="G285" i="6" s="1"/>
  <c r="AE285" i="5"/>
  <c r="AD285" i="5"/>
  <c r="K285" i="5"/>
  <c r="J285" i="5"/>
  <c r="E285" i="5"/>
  <c r="G285" i="5"/>
  <c r="D285" i="5"/>
  <c r="B285" i="12" s="1"/>
  <c r="H285" i="5"/>
  <c r="A285" i="12"/>
  <c r="B285" i="6"/>
  <c r="F285" i="5"/>
  <c r="AC282" i="6"/>
  <c r="AN282" i="6"/>
  <c r="AT282" i="6"/>
  <c r="AU282" i="6"/>
  <c r="AX282" i="6"/>
  <c r="AO282" i="6"/>
  <c r="BC282" i="6"/>
  <c r="AF282" i="6"/>
  <c r="AZ282" i="6"/>
  <c r="BB282" i="6"/>
  <c r="AS282" i="6"/>
  <c r="BF282" i="6"/>
  <c r="AM282" i="6"/>
  <c r="BG282" i="6"/>
  <c r="AP282" i="6"/>
  <c r="BD282" i="6"/>
  <c r="AR282" i="6"/>
  <c r="AQ282" i="6"/>
  <c r="AV282" i="6"/>
  <c r="AY282" i="6"/>
  <c r="BA282" i="6"/>
  <c r="BE282" i="6"/>
  <c r="M283" i="6"/>
  <c r="N283" i="6"/>
  <c r="AB282" i="6"/>
  <c r="AI282" i="6"/>
  <c r="AH282" i="6"/>
  <c r="J284" i="12" a="1"/>
  <c r="J284" i="12" s="1"/>
  <c r="L284" i="12" a="1"/>
  <c r="L284" i="12" s="1"/>
  <c r="AK282" i="6"/>
  <c r="AJ282" i="6"/>
  <c r="AG282" i="6"/>
  <c r="G283" i="12"/>
  <c r="K284" i="12" l="1"/>
  <c r="A285" i="6"/>
  <c r="N285" i="6" s="1"/>
  <c r="M284" i="6"/>
  <c r="AF284" i="6" s="1"/>
  <c r="H285" i="6"/>
  <c r="T285" i="5" s="1"/>
  <c r="C287" i="5"/>
  <c r="H286" i="5"/>
  <c r="E286" i="5"/>
  <c r="B286" i="5"/>
  <c r="AE286" i="5"/>
  <c r="W286" i="5"/>
  <c r="H286" i="12" s="1"/>
  <c r="AD286" i="5"/>
  <c r="G286" i="5"/>
  <c r="F286" i="5"/>
  <c r="N286" i="5"/>
  <c r="D286" i="6" s="1"/>
  <c r="H286" i="6" s="1"/>
  <c r="T286" i="5" s="1"/>
  <c r="A286" i="12"/>
  <c r="B286" i="6"/>
  <c r="J286" i="6" s="1" a="1"/>
  <c r="J286" i="6" s="1"/>
  <c r="I286" i="5"/>
  <c r="AT283" i="6"/>
  <c r="AN283" i="6"/>
  <c r="AQ283" i="6"/>
  <c r="AB283" i="6"/>
  <c r="BE283" i="6"/>
  <c r="AI283" i="6"/>
  <c r="AZ283" i="6"/>
  <c r="BB283" i="6"/>
  <c r="AF283" i="6"/>
  <c r="AG283" i="6"/>
  <c r="AR283" i="6"/>
  <c r="AY283" i="6"/>
  <c r="AX283" i="6"/>
  <c r="BC283" i="6"/>
  <c r="AK283" i="6"/>
  <c r="BA283" i="6"/>
  <c r="AC283" i="6"/>
  <c r="AV283" i="6"/>
  <c r="AS283" i="6"/>
  <c r="AP283" i="6"/>
  <c r="AJ283" i="6"/>
  <c r="AU283" i="6"/>
  <c r="AM283" i="6"/>
  <c r="AO283" i="6"/>
  <c r="BF283" i="6"/>
  <c r="AH283" i="6"/>
  <c r="BD283" i="6"/>
  <c r="AD283" i="6"/>
  <c r="BG283" i="6"/>
  <c r="AE283" i="6"/>
  <c r="J285" i="12" a="1"/>
  <c r="J285" i="12" s="1"/>
  <c r="L285" i="12" a="1"/>
  <c r="L285" i="12" s="1"/>
  <c r="M285" i="6"/>
  <c r="AN285" i="6" s="1"/>
  <c r="G284" i="12"/>
  <c r="G286" i="6" l="1"/>
  <c r="AV284" i="6"/>
  <c r="N286" i="6"/>
  <c r="BG284" i="6"/>
  <c r="AY284" i="6"/>
  <c r="BC284" i="6"/>
  <c r="BE284" i="6"/>
  <c r="AG284" i="6"/>
  <c r="AK284" i="6"/>
  <c r="AD284" i="6"/>
  <c r="M286" i="6"/>
  <c r="BF286" i="6" s="1"/>
  <c r="AN284" i="6"/>
  <c r="AT284" i="6"/>
  <c r="AR284" i="6"/>
  <c r="AQ284" i="6"/>
  <c r="AB284" i="6"/>
  <c r="AM284" i="6"/>
  <c r="AZ284" i="6"/>
  <c r="AH284" i="6"/>
  <c r="BB284" i="6"/>
  <c r="BD284" i="6"/>
  <c r="AJ284" i="6"/>
  <c r="AE284" i="6"/>
  <c r="BF284" i="6"/>
  <c r="AO284" i="6"/>
  <c r="AU284" i="6"/>
  <c r="AS284" i="6"/>
  <c r="AX284" i="6"/>
  <c r="AC284" i="6"/>
  <c r="AI284" i="6"/>
  <c r="BA284" i="6"/>
  <c r="AP284" i="6"/>
  <c r="K285" i="12"/>
  <c r="AS285" i="6"/>
  <c r="A286" i="6"/>
  <c r="E287" i="5"/>
  <c r="AD287" i="5"/>
  <c r="B287" i="5"/>
  <c r="A287" i="12"/>
  <c r="K287" i="5"/>
  <c r="B287" i="6"/>
  <c r="D287" i="5"/>
  <c r="B287" i="12" s="1"/>
  <c r="N287" i="5"/>
  <c r="D287" i="6" s="1"/>
  <c r="G287" i="5"/>
  <c r="C288" i="5"/>
  <c r="AE287" i="5"/>
  <c r="F287" i="5"/>
  <c r="J287" i="5"/>
  <c r="H287" i="5"/>
  <c r="AU285" i="6"/>
  <c r="AD285" i="6"/>
  <c r="BF285" i="6"/>
  <c r="AK285" i="6"/>
  <c r="AM285" i="6"/>
  <c r="AF285" i="6"/>
  <c r="AQ285" i="6"/>
  <c r="AX285" i="6"/>
  <c r="AB285" i="6"/>
  <c r="AI285" i="6"/>
  <c r="AC285" i="6"/>
  <c r="BE285" i="6"/>
  <c r="AH285" i="6"/>
  <c r="AE285" i="6"/>
  <c r="BG285" i="6"/>
  <c r="AP285" i="6"/>
  <c r="AO285" i="6"/>
  <c r="AJ285" i="6"/>
  <c r="AG285" i="6"/>
  <c r="BD285" i="6"/>
  <c r="AT285" i="6"/>
  <c r="AV285" i="6"/>
  <c r="BC285" i="6"/>
  <c r="AR285" i="6"/>
  <c r="BA285" i="6"/>
  <c r="AY285" i="6"/>
  <c r="BB285" i="6"/>
  <c r="AZ285" i="6"/>
  <c r="G286" i="12"/>
  <c r="G285" i="12"/>
  <c r="AX286" i="6" l="1"/>
  <c r="AI286" i="6"/>
  <c r="BG286" i="6"/>
  <c r="BE286" i="6"/>
  <c r="AZ286" i="6"/>
  <c r="AG286" i="6"/>
  <c r="BA286" i="6"/>
  <c r="BB286" i="6"/>
  <c r="AM286" i="6"/>
  <c r="AB286" i="6"/>
  <c r="AF286" i="6"/>
  <c r="BD286" i="6"/>
  <c r="AT286" i="6"/>
  <c r="AQ286" i="6"/>
  <c r="AP286" i="6"/>
  <c r="AS286" i="6"/>
  <c r="AD286" i="6"/>
  <c r="AH286" i="6"/>
  <c r="AJ286" i="6"/>
  <c r="AE286" i="6"/>
  <c r="AR286" i="6"/>
  <c r="AK286" i="6"/>
  <c r="BC286" i="6"/>
  <c r="AO286" i="6"/>
  <c r="AV286" i="6"/>
  <c r="AC286" i="6"/>
  <c r="AN286" i="6"/>
  <c r="AU286" i="6"/>
  <c r="AY286" i="6"/>
  <c r="A287" i="6"/>
  <c r="N287" i="6" s="1"/>
  <c r="H287" i="6"/>
  <c r="T287" i="5" s="1"/>
  <c r="G287" i="6"/>
  <c r="L287" i="12" a="1"/>
  <c r="L287" i="12" s="1"/>
  <c r="J287" i="12" a="1"/>
  <c r="J287" i="12" s="1"/>
  <c r="G288" i="5"/>
  <c r="B288" i="5"/>
  <c r="C289" i="5" s="1"/>
  <c r="K288" i="5"/>
  <c r="N288" i="5"/>
  <c r="D288" i="6" s="1"/>
  <c r="G288" i="6" s="1"/>
  <c r="F288" i="5"/>
  <c r="H288" i="5"/>
  <c r="E288" i="5"/>
  <c r="A288" i="12"/>
  <c r="D288" i="5"/>
  <c r="B288" i="12" s="1"/>
  <c r="J288" i="5"/>
  <c r="B288" i="6"/>
  <c r="AE288" i="5"/>
  <c r="AD288" i="5"/>
  <c r="H288" i="6" l="1"/>
  <c r="T288" i="5" s="1"/>
  <c r="M287" i="6"/>
  <c r="L288" i="12" a="1"/>
  <c r="L288" i="12" s="1"/>
  <c r="J288" i="12" a="1"/>
  <c r="J288" i="12" s="1"/>
  <c r="H289" i="5"/>
  <c r="G289" i="5"/>
  <c r="K286" i="5" s="1"/>
  <c r="N289" i="5"/>
  <c r="D289" i="6" s="1"/>
  <c r="M289" i="6" s="1"/>
  <c r="AU289" i="6" s="1"/>
  <c r="AE289" i="5"/>
  <c r="AD289" i="5"/>
  <c r="A289" i="12"/>
  <c r="B289" i="6"/>
  <c r="J289" i="6" s="1" a="1"/>
  <c r="J289" i="6" s="1"/>
  <c r="F289" i="5"/>
  <c r="E289" i="5"/>
  <c r="I289" i="5"/>
  <c r="W289" i="5"/>
  <c r="H289" i="12" s="1"/>
  <c r="B289" i="5"/>
  <c r="C290" i="5"/>
  <c r="A288" i="6"/>
  <c r="K287" i="12"/>
  <c r="G287" i="12"/>
  <c r="H289" i="6" l="1"/>
  <c r="T289" i="5" s="1"/>
  <c r="G289" i="12" s="1"/>
  <c r="AS287" i="6"/>
  <c r="AZ287" i="6"/>
  <c r="AX287" i="6"/>
  <c r="AD287" i="6"/>
  <c r="BC287" i="6"/>
  <c r="AI287" i="6"/>
  <c r="AO287" i="6"/>
  <c r="AP287" i="6"/>
  <c r="AM287" i="6"/>
  <c r="AR287" i="6"/>
  <c r="AY287" i="6"/>
  <c r="AC287" i="6"/>
  <c r="AG287" i="6"/>
  <c r="BG287" i="6"/>
  <c r="BD287" i="6"/>
  <c r="BF287" i="6"/>
  <c r="AQ287" i="6"/>
  <c r="BA287" i="6"/>
  <c r="AN287" i="6"/>
  <c r="AU287" i="6"/>
  <c r="AH287" i="6"/>
  <c r="AF287" i="6"/>
  <c r="BB287" i="6"/>
  <c r="AJ287" i="6"/>
  <c r="AT287" i="6"/>
  <c r="AV287" i="6"/>
  <c r="AB287" i="6"/>
  <c r="BE287" i="6"/>
  <c r="AK287" i="6"/>
  <c r="G289" i="6"/>
  <c r="N289" i="6"/>
  <c r="AE287" i="6"/>
  <c r="N288" i="6"/>
  <c r="M288" i="6"/>
  <c r="C291" i="5"/>
  <c r="E290" i="5"/>
  <c r="F290" i="5"/>
  <c r="G290" i="5"/>
  <c r="B290" i="5"/>
  <c r="B290" i="6"/>
  <c r="A290" i="12"/>
  <c r="H290" i="5"/>
  <c r="N290" i="5"/>
  <c r="D290" i="6" s="1"/>
  <c r="G290" i="6" s="1"/>
  <c r="AE290" i="5"/>
  <c r="K290" i="5"/>
  <c r="D290" i="5"/>
  <c r="B290" i="12" s="1"/>
  <c r="AD290" i="5"/>
  <c r="J290" i="5"/>
  <c r="K288" i="12"/>
  <c r="A289" i="6"/>
  <c r="AQ289" i="6"/>
  <c r="AX289" i="6"/>
  <c r="AY289" i="6"/>
  <c r="AN289" i="6"/>
  <c r="AT289" i="6"/>
  <c r="BE289" i="6"/>
  <c r="AH289" i="6"/>
  <c r="AO289" i="6"/>
  <c r="BA289" i="6"/>
  <c r="BG289" i="6"/>
  <c r="AZ289" i="6"/>
  <c r="AM289" i="6"/>
  <c r="AE289" i="6"/>
  <c r="BB289" i="6"/>
  <c r="G288" i="12"/>
  <c r="AP289" i="6"/>
  <c r="AJ289" i="6"/>
  <c r="AR289" i="6"/>
  <c r="AS289" i="6"/>
  <c r="BC289" i="6"/>
  <c r="BF289" i="6"/>
  <c r="AF289" i="6"/>
  <c r="AV289" i="6"/>
  <c r="BD289" i="6"/>
  <c r="AK289" i="6" l="1"/>
  <c r="AB289" i="6"/>
  <c r="AD289" i="6"/>
  <c r="AG289" i="6"/>
  <c r="AI289" i="6"/>
  <c r="AC289" i="6"/>
  <c r="A290" i="6"/>
  <c r="N290" i="6" s="1"/>
  <c r="L290" i="12" a="1"/>
  <c r="L290" i="12" s="1"/>
  <c r="J290" i="12" a="1"/>
  <c r="J290" i="12" s="1"/>
  <c r="H290" i="6"/>
  <c r="T290" i="5" s="1"/>
  <c r="F291" i="5"/>
  <c r="E291" i="5"/>
  <c r="D291" i="5"/>
  <c r="B291" i="12" s="1"/>
  <c r="J291" i="5"/>
  <c r="H291" i="5"/>
  <c r="K291" i="5"/>
  <c r="B291" i="5"/>
  <c r="G291" i="5"/>
  <c r="AD291" i="5"/>
  <c r="A291" i="12"/>
  <c r="AE291" i="5"/>
  <c r="C292" i="5"/>
  <c r="B291" i="6"/>
  <c r="N291" i="5"/>
  <c r="D291" i="6" s="1"/>
  <c r="BE288" i="6"/>
  <c r="AS288" i="6"/>
  <c r="BG288" i="6"/>
  <c r="AH288" i="6"/>
  <c r="AX288" i="6"/>
  <c r="AI288" i="6"/>
  <c r="BC288" i="6"/>
  <c r="AJ288" i="6"/>
  <c r="AG288" i="6"/>
  <c r="AR288" i="6"/>
  <c r="AQ288" i="6"/>
  <c r="BF288" i="6"/>
  <c r="AO288" i="6"/>
  <c r="BA288" i="6"/>
  <c r="AM288" i="6"/>
  <c r="AT288" i="6"/>
  <c r="AU288" i="6"/>
  <c r="AV288" i="6"/>
  <c r="AP288" i="6"/>
  <c r="BD288" i="6"/>
  <c r="BB288" i="6"/>
  <c r="AC288" i="6"/>
  <c r="AD288" i="6"/>
  <c r="AB288" i="6"/>
  <c r="AN288" i="6"/>
  <c r="AZ288" i="6"/>
  <c r="AE288" i="6"/>
  <c r="AY288" i="6"/>
  <c r="AK288" i="6"/>
  <c r="AF288" i="6"/>
  <c r="A291" i="6" l="1"/>
  <c r="M291" i="6" s="1"/>
  <c r="AT291" i="6" s="1"/>
  <c r="M290" i="6"/>
  <c r="BA290" i="6" s="1"/>
  <c r="G291" i="6"/>
  <c r="H291" i="6"/>
  <c r="J292" i="5"/>
  <c r="A292" i="12"/>
  <c r="G292" i="5"/>
  <c r="B292" i="6"/>
  <c r="B292" i="5"/>
  <c r="AD292" i="5"/>
  <c r="K292" i="5"/>
  <c r="C293" i="5"/>
  <c r="N292" i="5"/>
  <c r="D292" i="6" s="1"/>
  <c r="G292" i="6" s="1"/>
  <c r="D292" i="5"/>
  <c r="B292" i="12" s="1"/>
  <c r="F292" i="5"/>
  <c r="E292" i="5"/>
  <c r="AE292" i="5"/>
  <c r="H292" i="5"/>
  <c r="L291" i="12" a="1"/>
  <c r="L291" i="12" s="1"/>
  <c r="J291" i="12" a="1"/>
  <c r="J291" i="12" s="1"/>
  <c r="K290" i="12"/>
  <c r="G290" i="12"/>
  <c r="N291" i="6" l="1"/>
  <c r="AM291" i="6"/>
  <c r="AR291" i="6"/>
  <c r="AU291" i="6"/>
  <c r="AN291" i="6"/>
  <c r="AQ291" i="6"/>
  <c r="AV291" i="6"/>
  <c r="H292" i="6"/>
  <c r="T292" i="5" s="1"/>
  <c r="BB291" i="6"/>
  <c r="AP291" i="6"/>
  <c r="AZ291" i="6"/>
  <c r="BG291" i="6"/>
  <c r="AO291" i="6"/>
  <c r="AS291" i="6"/>
  <c r="BA291" i="6"/>
  <c r="BE291" i="6"/>
  <c r="AX291" i="6"/>
  <c r="BC291" i="6"/>
  <c r="AY291" i="6"/>
  <c r="AF291" i="6"/>
  <c r="BF291" i="6"/>
  <c r="BD291" i="6"/>
  <c r="AT290" i="6"/>
  <c r="AH290" i="6"/>
  <c r="AS290" i="6"/>
  <c r="AG290" i="6"/>
  <c r="BF290" i="6"/>
  <c r="AC290" i="6"/>
  <c r="BC290" i="6"/>
  <c r="AQ290" i="6"/>
  <c r="AK290" i="6"/>
  <c r="AZ290" i="6"/>
  <c r="AU290" i="6"/>
  <c r="AM290" i="6"/>
  <c r="AE290" i="6"/>
  <c r="A292" i="6"/>
  <c r="N292" i="6" s="1"/>
  <c r="BE290" i="6"/>
  <c r="BG290" i="6"/>
  <c r="BD290" i="6"/>
  <c r="AN290" i="6"/>
  <c r="AV290" i="6"/>
  <c r="BB290" i="6"/>
  <c r="AF290" i="6"/>
  <c r="AB290" i="6"/>
  <c r="AD290" i="6"/>
  <c r="AP290" i="6"/>
  <c r="AX290" i="6"/>
  <c r="AY290" i="6"/>
  <c r="AI290" i="6"/>
  <c r="AO290" i="6"/>
  <c r="AJ290" i="6"/>
  <c r="AR290" i="6"/>
  <c r="AD291" i="6"/>
  <c r="AG291" i="6"/>
  <c r="AK291" i="6"/>
  <c r="AH291" i="6"/>
  <c r="AB291" i="6"/>
  <c r="AJ291" i="6"/>
  <c r="T291" i="5"/>
  <c r="G291" i="12" s="1"/>
  <c r="AE291" i="6"/>
  <c r="J292" i="12" a="1"/>
  <c r="J292" i="12" s="1"/>
  <c r="L292" i="12" a="1"/>
  <c r="L292" i="12" s="1"/>
  <c r="K291" i="12"/>
  <c r="AC291" i="6"/>
  <c r="AI291" i="6"/>
  <c r="B293" i="6"/>
  <c r="E293" i="5"/>
  <c r="J293" i="5"/>
  <c r="N293" i="5"/>
  <c r="D293" i="6" s="1"/>
  <c r="H293" i="6" s="1"/>
  <c r="D293" i="5"/>
  <c r="B293" i="12" s="1"/>
  <c r="C294" i="5"/>
  <c r="K293" i="5"/>
  <c r="H293" i="5"/>
  <c r="G293" i="5"/>
  <c r="F293" i="5"/>
  <c r="B293" i="5"/>
  <c r="AE293" i="5"/>
  <c r="AD293" i="5"/>
  <c r="A293" i="12"/>
  <c r="M292" i="6" l="1"/>
  <c r="AI292" i="6" s="1"/>
  <c r="K292" i="12"/>
  <c r="A293" i="6"/>
  <c r="N293" i="6" s="1"/>
  <c r="AE294" i="5"/>
  <c r="AD294" i="5"/>
  <c r="F294" i="5"/>
  <c r="K294" i="5"/>
  <c r="G294" i="5"/>
  <c r="E294" i="5"/>
  <c r="D294" i="5"/>
  <c r="B294" i="12" s="1"/>
  <c r="C295" i="5"/>
  <c r="A294" i="12"/>
  <c r="B294" i="6"/>
  <c r="J294" i="5"/>
  <c r="H294" i="5"/>
  <c r="N294" i="5"/>
  <c r="D294" i="6" s="1"/>
  <c r="H294" i="6" s="1"/>
  <c r="B294" i="5"/>
  <c r="G293" i="6"/>
  <c r="L293" i="12" a="1"/>
  <c r="L293" i="12" s="1"/>
  <c r="J293" i="12" a="1"/>
  <c r="J293" i="12" s="1"/>
  <c r="M293" i="6"/>
  <c r="AD293" i="6" s="1"/>
  <c r="G292" i="12"/>
  <c r="T293" i="5"/>
  <c r="AC292" i="6" l="1"/>
  <c r="AP292" i="6"/>
  <c r="BB292" i="6"/>
  <c r="AJ292" i="6"/>
  <c r="AX292" i="6"/>
  <c r="AK292" i="6"/>
  <c r="BE292" i="6"/>
  <c r="AT292" i="6"/>
  <c r="AH292" i="6"/>
  <c r="AR292" i="6"/>
  <c r="AF292" i="6"/>
  <c r="AS292" i="6"/>
  <c r="AD292" i="6"/>
  <c r="AV292" i="6"/>
  <c r="BG292" i="6"/>
  <c r="BF292" i="6"/>
  <c r="AY292" i="6"/>
  <c r="AU292" i="6"/>
  <c r="AN292" i="6"/>
  <c r="AQ292" i="6"/>
  <c r="BD292" i="6"/>
  <c r="AZ292" i="6"/>
  <c r="AG292" i="6"/>
  <c r="BA292" i="6"/>
  <c r="BC292" i="6"/>
  <c r="AE292" i="6"/>
  <c r="AB292" i="6"/>
  <c r="AM292" i="6"/>
  <c r="AO292" i="6"/>
  <c r="G294" i="6"/>
  <c r="AO293" i="6"/>
  <c r="AM293" i="6"/>
  <c r="AS293" i="6"/>
  <c r="AN293" i="6"/>
  <c r="AB293" i="6"/>
  <c r="BF293" i="6"/>
  <c r="AY293" i="6"/>
  <c r="AI293" i="6"/>
  <c r="AH293" i="6"/>
  <c r="AQ293" i="6"/>
  <c r="AP293" i="6"/>
  <c r="AG293" i="6"/>
  <c r="AJ293" i="6"/>
  <c r="AV293" i="6"/>
  <c r="AZ293" i="6"/>
  <c r="AT293" i="6"/>
  <c r="AE293" i="6"/>
  <c r="N295" i="5"/>
  <c r="D295" i="6" s="1"/>
  <c r="G295" i="6" s="1"/>
  <c r="G295" i="5"/>
  <c r="A295" i="12"/>
  <c r="F295" i="5"/>
  <c r="E295" i="5"/>
  <c r="AE295" i="5"/>
  <c r="AD295" i="5"/>
  <c r="K295" i="5"/>
  <c r="H295" i="5"/>
  <c r="B295" i="6"/>
  <c r="J295" i="5"/>
  <c r="C296" i="5"/>
  <c r="B295" i="5"/>
  <c r="D295" i="5"/>
  <c r="B295" i="12" s="1"/>
  <c r="J294" i="12" a="1"/>
  <c r="J294" i="12" s="1"/>
  <c r="L294" i="12" a="1"/>
  <c r="L294" i="12" s="1"/>
  <c r="K293" i="12"/>
  <c r="AX293" i="6"/>
  <c r="AR293" i="6"/>
  <c r="BC293" i="6"/>
  <c r="AU293" i="6"/>
  <c r="BD293" i="6"/>
  <c r="AC293" i="6"/>
  <c r="BG293" i="6"/>
  <c r="BE293" i="6"/>
  <c r="BB293" i="6"/>
  <c r="A294" i="6"/>
  <c r="BA293" i="6"/>
  <c r="AK293" i="6"/>
  <c r="AF293" i="6"/>
  <c r="T294" i="5"/>
  <c r="G293" i="12"/>
  <c r="K294" i="12" l="1"/>
  <c r="H295" i="6"/>
  <c r="A295" i="6"/>
  <c r="M295" i="6" s="1"/>
  <c r="AQ295" i="6" s="1"/>
  <c r="B296" i="5"/>
  <c r="C297" i="5"/>
  <c r="H296" i="5"/>
  <c r="E296" i="5"/>
  <c r="A296" i="12"/>
  <c r="N296" i="5"/>
  <c r="D296" i="6" s="1"/>
  <c r="G296" i="6" s="1"/>
  <c r="K296" i="5"/>
  <c r="B296" i="6"/>
  <c r="G296" i="5"/>
  <c r="J296" i="5"/>
  <c r="F296" i="5"/>
  <c r="D296" i="5"/>
  <c r="B296" i="12" s="1"/>
  <c r="AE296" i="5"/>
  <c r="AD296" i="5"/>
  <c r="N294" i="6"/>
  <c r="M294" i="6"/>
  <c r="J295" i="12" a="1"/>
  <c r="J295" i="12" s="1"/>
  <c r="L295" i="12" a="1"/>
  <c r="L295" i="12" s="1"/>
  <c r="T295" i="5"/>
  <c r="G294" i="12"/>
  <c r="N295" i="6" l="1"/>
  <c r="H296" i="6"/>
  <c r="BD295" i="6"/>
  <c r="BE295" i="6"/>
  <c r="AT295" i="6"/>
  <c r="AP295" i="6"/>
  <c r="AH295" i="6"/>
  <c r="AF295" i="6"/>
  <c r="AE295" i="6"/>
  <c r="AK295" i="6"/>
  <c r="AC295" i="6"/>
  <c r="AM295" i="6"/>
  <c r="AU295" i="6"/>
  <c r="AO295" i="6"/>
  <c r="BF295" i="6"/>
  <c r="AZ295" i="6"/>
  <c r="AG295" i="6"/>
  <c r="AX295" i="6"/>
  <c r="AI295" i="6"/>
  <c r="BA295" i="6"/>
  <c r="AB295" i="6"/>
  <c r="AJ295" i="6"/>
  <c r="BC295" i="6"/>
  <c r="AD295" i="6"/>
  <c r="AR295" i="6"/>
  <c r="AV295" i="6"/>
  <c r="AY295" i="6"/>
  <c r="AN295" i="6"/>
  <c r="BB295" i="6"/>
  <c r="AS295" i="6"/>
  <c r="BG295" i="6"/>
  <c r="K295" i="12"/>
  <c r="A296" i="6"/>
  <c r="AN294" i="6"/>
  <c r="AH294" i="6"/>
  <c r="AE294" i="6"/>
  <c r="BG294" i="6"/>
  <c r="BF294" i="6"/>
  <c r="AX294" i="6"/>
  <c r="BB294" i="6"/>
  <c r="BE294" i="6"/>
  <c r="AF294" i="6"/>
  <c r="BA294" i="6"/>
  <c r="AP294" i="6"/>
  <c r="AT294" i="6"/>
  <c r="AM294" i="6"/>
  <c r="AY294" i="6"/>
  <c r="BD294" i="6"/>
  <c r="AQ294" i="6"/>
  <c r="AV294" i="6"/>
  <c r="AO294" i="6"/>
  <c r="AB294" i="6"/>
  <c r="AD294" i="6"/>
  <c r="AI294" i="6"/>
  <c r="AU294" i="6"/>
  <c r="AZ294" i="6"/>
  <c r="AG294" i="6"/>
  <c r="AC294" i="6"/>
  <c r="BC294" i="6"/>
  <c r="AK294" i="6"/>
  <c r="AJ294" i="6"/>
  <c r="AS294" i="6"/>
  <c r="AR294" i="6"/>
  <c r="J296" i="12" a="1"/>
  <c r="J296" i="12" s="1"/>
  <c r="L296" i="12" a="1"/>
  <c r="L296" i="12" s="1"/>
  <c r="B297" i="5"/>
  <c r="N297" i="5"/>
  <c r="D297" i="6" s="1"/>
  <c r="G297" i="6" s="1"/>
  <c r="AE297" i="5"/>
  <c r="J297" i="5"/>
  <c r="G297" i="5"/>
  <c r="AD297" i="5"/>
  <c r="K297" i="5"/>
  <c r="E297" i="5"/>
  <c r="B297" i="6"/>
  <c r="H297" i="5"/>
  <c r="C298" i="5"/>
  <c r="D297" i="5"/>
  <c r="B297" i="12" s="1"/>
  <c r="A297" i="12"/>
  <c r="F297" i="5"/>
  <c r="T296" i="5"/>
  <c r="G295" i="12"/>
  <c r="A297" i="6" l="1"/>
  <c r="M297" i="6" s="1"/>
  <c r="AX297" i="6" s="1"/>
  <c r="H297" i="6"/>
  <c r="T297" i="5" s="1"/>
  <c r="K296" i="12"/>
  <c r="L297" i="12" a="1"/>
  <c r="L297" i="12" s="1"/>
  <c r="J297" i="12" a="1"/>
  <c r="J297" i="12" s="1"/>
  <c r="C299" i="5"/>
  <c r="H298" i="5"/>
  <c r="G298" i="5"/>
  <c r="F298" i="5"/>
  <c r="N298" i="5"/>
  <c r="D298" i="6" s="1"/>
  <c r="E298" i="5"/>
  <c r="K298" i="5"/>
  <c r="J298" i="5"/>
  <c r="AE298" i="5"/>
  <c r="D298" i="5"/>
  <c r="B298" i="12" s="1"/>
  <c r="AD298" i="5"/>
  <c r="A298" i="12"/>
  <c r="B298" i="6"/>
  <c r="B298" i="5"/>
  <c r="M296" i="6"/>
  <c r="N296" i="6"/>
  <c r="G296" i="12"/>
  <c r="N297" i="6" l="1"/>
  <c r="AF297" i="6"/>
  <c r="A298" i="6"/>
  <c r="N298" i="6" s="1"/>
  <c r="AE297" i="6"/>
  <c r="AJ297" i="6"/>
  <c r="BF297" i="6"/>
  <c r="BB297" i="6"/>
  <c r="AP297" i="6"/>
  <c r="BD297" i="6"/>
  <c r="H298" i="6"/>
  <c r="T298" i="5" s="1"/>
  <c r="AS297" i="6"/>
  <c r="AD297" i="6"/>
  <c r="AC297" i="6"/>
  <c r="AY297" i="6"/>
  <c r="AV297" i="6"/>
  <c r="AO297" i="6"/>
  <c r="G298" i="6"/>
  <c r="BE297" i="6"/>
  <c r="AQ297" i="6"/>
  <c r="AT297" i="6"/>
  <c r="AZ297" i="6"/>
  <c r="AH297" i="6"/>
  <c r="AR297" i="6"/>
  <c r="H299" i="5"/>
  <c r="A299" i="12"/>
  <c r="E299" i="5"/>
  <c r="B299" i="6"/>
  <c r="B299" i="5"/>
  <c r="C300" i="5"/>
  <c r="D299" i="5"/>
  <c r="B299" i="12" s="1"/>
  <c r="N299" i="5"/>
  <c r="D299" i="6" s="1"/>
  <c r="AE299" i="5"/>
  <c r="J299" i="5"/>
  <c r="AD299" i="5"/>
  <c r="K299" i="5"/>
  <c r="F299" i="5"/>
  <c r="G299" i="5"/>
  <c r="AM296" i="6"/>
  <c r="AN296" i="6"/>
  <c r="BA296" i="6"/>
  <c r="AV296" i="6"/>
  <c r="AI296" i="6"/>
  <c r="AZ296" i="6"/>
  <c r="AX296" i="6"/>
  <c r="AE296" i="6"/>
  <c r="BD296" i="6"/>
  <c r="AC296" i="6"/>
  <c r="AF296" i="6"/>
  <c r="AS296" i="6"/>
  <c r="AP296" i="6"/>
  <c r="AK296" i="6"/>
  <c r="AG296" i="6"/>
  <c r="AJ296" i="6"/>
  <c r="AO296" i="6"/>
  <c r="BF296" i="6"/>
  <c r="AH296" i="6"/>
  <c r="AQ296" i="6"/>
  <c r="AD296" i="6"/>
  <c r="BE296" i="6"/>
  <c r="BB296" i="6"/>
  <c r="AB296" i="6"/>
  <c r="BC296" i="6"/>
  <c r="AY296" i="6"/>
  <c r="AU296" i="6"/>
  <c r="BG296" i="6"/>
  <c r="AR296" i="6"/>
  <c r="AT296" i="6"/>
  <c r="BC297" i="6"/>
  <c r="BG297" i="6"/>
  <c r="BA297" i="6"/>
  <c r="AI297" i="6"/>
  <c r="AN297" i="6"/>
  <c r="AU297" i="6"/>
  <c r="J298" i="12" a="1"/>
  <c r="J298" i="12" s="1"/>
  <c r="L298" i="12" a="1"/>
  <c r="L298" i="12" s="1"/>
  <c r="AM297" i="6"/>
  <c r="AB297" i="6"/>
  <c r="AK297" i="6"/>
  <c r="AG297" i="6"/>
  <c r="K297" i="12"/>
  <c r="G297" i="12"/>
  <c r="K298" i="12" l="1"/>
  <c r="A299" i="6"/>
  <c r="M299" i="6" s="1"/>
  <c r="BF299" i="6" s="1"/>
  <c r="AD300" i="5"/>
  <c r="K300" i="5"/>
  <c r="J300" i="5"/>
  <c r="H300" i="5"/>
  <c r="G300" i="5"/>
  <c r="C301" i="5"/>
  <c r="B300" i="5"/>
  <c r="B300" i="6"/>
  <c r="N300" i="5"/>
  <c r="D300" i="6" s="1"/>
  <c r="F300" i="5"/>
  <c r="AE300" i="5"/>
  <c r="A300" i="12"/>
  <c r="D300" i="5"/>
  <c r="B300" i="12" s="1"/>
  <c r="E300" i="5"/>
  <c r="G299" i="6"/>
  <c r="H299" i="6"/>
  <c r="T299" i="5" s="1"/>
  <c r="M298" i="6"/>
  <c r="AH298" i="6" s="1"/>
  <c r="J299" i="12" a="1"/>
  <c r="J299" i="12" s="1"/>
  <c r="L299" i="12" a="1"/>
  <c r="L299" i="12" s="1"/>
  <c r="G298" i="12"/>
  <c r="N299" i="6" l="1"/>
  <c r="AU299" i="6"/>
  <c r="BA299" i="6"/>
  <c r="AC299" i="6"/>
  <c r="AJ299" i="6"/>
  <c r="AM299" i="6"/>
  <c r="BG299" i="6"/>
  <c r="AG299" i="6"/>
  <c r="AS299" i="6"/>
  <c r="AN299" i="6"/>
  <c r="AB299" i="6"/>
  <c r="A300" i="6"/>
  <c r="N300" i="6" s="1"/>
  <c r="AE299" i="6"/>
  <c r="AZ299" i="6"/>
  <c r="AX299" i="6"/>
  <c r="AV299" i="6"/>
  <c r="BC299" i="6"/>
  <c r="AK299" i="6"/>
  <c r="BE299" i="6"/>
  <c r="AP299" i="6"/>
  <c r="AD299" i="6"/>
  <c r="AQ299" i="6"/>
  <c r="BD299" i="6"/>
  <c r="AR299" i="6"/>
  <c r="AF299" i="6"/>
  <c r="BB299" i="6"/>
  <c r="AO299" i="6"/>
  <c r="AY299" i="6"/>
  <c r="K299" i="12"/>
  <c r="AT299" i="6"/>
  <c r="AC298" i="6"/>
  <c r="AD298" i="6"/>
  <c r="E301" i="5"/>
  <c r="D301" i="5"/>
  <c r="B301" i="12" s="1"/>
  <c r="B301" i="5"/>
  <c r="A301" i="12"/>
  <c r="AE301" i="5"/>
  <c r="C302" i="5"/>
  <c r="H301" i="5"/>
  <c r="N301" i="5"/>
  <c r="D301" i="6" s="1"/>
  <c r="J301" i="5"/>
  <c r="G301" i="5"/>
  <c r="K301" i="5"/>
  <c r="AD301" i="5"/>
  <c r="B301" i="6"/>
  <c r="F301" i="5"/>
  <c r="BF298" i="6"/>
  <c r="AT298" i="6"/>
  <c r="AO298" i="6"/>
  <c r="BE298" i="6"/>
  <c r="BD298" i="6"/>
  <c r="BA298" i="6"/>
  <c r="BC298" i="6"/>
  <c r="AU298" i="6"/>
  <c r="AY298" i="6"/>
  <c r="AV298" i="6"/>
  <c r="AN298" i="6"/>
  <c r="AZ298" i="6"/>
  <c r="AM298" i="6"/>
  <c r="AR298" i="6"/>
  <c r="AS298" i="6"/>
  <c r="AQ298" i="6"/>
  <c r="BB298" i="6"/>
  <c r="AX298" i="6"/>
  <c r="BG298" i="6"/>
  <c r="AP298" i="6"/>
  <c r="AI298" i="6"/>
  <c r="AH299" i="6"/>
  <c r="AK298" i="6"/>
  <c r="AJ298" i="6"/>
  <c r="AE298" i="6"/>
  <c r="G300" i="6"/>
  <c r="L300" i="12" a="1"/>
  <c r="L300" i="12" s="1"/>
  <c r="J300" i="12" a="1"/>
  <c r="J300" i="12" s="1"/>
  <c r="AB298" i="6"/>
  <c r="H300" i="6"/>
  <c r="T300" i="5" s="1"/>
  <c r="AI299" i="6"/>
  <c r="AF298" i="6"/>
  <c r="AG298" i="6"/>
  <c r="G299" i="12"/>
  <c r="A301" i="6" l="1"/>
  <c r="M301" i="6" s="1"/>
  <c r="AY301" i="6" s="1"/>
  <c r="M300" i="6"/>
  <c r="AY300" i="6" s="1"/>
  <c r="K300" i="12"/>
  <c r="N302" i="5"/>
  <c r="D302" i="6" s="1"/>
  <c r="H302" i="6" s="1"/>
  <c r="AD302" i="5"/>
  <c r="AE302" i="5"/>
  <c r="K302" i="5"/>
  <c r="J302" i="5"/>
  <c r="D302" i="5"/>
  <c r="B302" i="12" s="1"/>
  <c r="H302" i="5"/>
  <c r="E302" i="5"/>
  <c r="B302" i="6"/>
  <c r="G302" i="5"/>
  <c r="B302" i="5"/>
  <c r="C303" i="5" s="1"/>
  <c r="A302" i="12"/>
  <c r="F302" i="5"/>
  <c r="J301" i="12" a="1"/>
  <c r="J301" i="12" s="1"/>
  <c r="L301" i="12" a="1"/>
  <c r="L301" i="12" s="1"/>
  <c r="G301" i="6"/>
  <c r="H301" i="6"/>
  <c r="G300" i="12"/>
  <c r="N301" i="6" l="1"/>
  <c r="K301" i="12"/>
  <c r="BE300" i="6"/>
  <c r="AI300" i="6"/>
  <c r="AK300" i="6"/>
  <c r="AO300" i="6"/>
  <c r="AJ300" i="6"/>
  <c r="AG300" i="6"/>
  <c r="AF300" i="6"/>
  <c r="AE300" i="6"/>
  <c r="BG300" i="6"/>
  <c r="AR300" i="6"/>
  <c r="AM300" i="6"/>
  <c r="BD300" i="6"/>
  <c r="AU300" i="6"/>
  <c r="AS300" i="6"/>
  <c r="AH300" i="6"/>
  <c r="BB300" i="6"/>
  <c r="AD300" i="6"/>
  <c r="AZ300" i="6"/>
  <c r="AQ300" i="6"/>
  <c r="AB300" i="6"/>
  <c r="BF300" i="6"/>
  <c r="AX300" i="6"/>
  <c r="AV300" i="6"/>
  <c r="AC300" i="6"/>
  <c r="AT300" i="6"/>
  <c r="AN300" i="6"/>
  <c r="BA300" i="6"/>
  <c r="AP300" i="6"/>
  <c r="BC300" i="6"/>
  <c r="AE301" i="6"/>
  <c r="AB301" i="6"/>
  <c r="AC301" i="6"/>
  <c r="BE301" i="6"/>
  <c r="AX301" i="6"/>
  <c r="AZ301" i="6"/>
  <c r="AT301" i="6"/>
  <c r="AF301" i="6"/>
  <c r="BA301" i="6"/>
  <c r="AJ301" i="6"/>
  <c r="AS301" i="6"/>
  <c r="AR301" i="6"/>
  <c r="AI301" i="6"/>
  <c r="BD301" i="6"/>
  <c r="AO301" i="6"/>
  <c r="AM301" i="6"/>
  <c r="A302" i="6"/>
  <c r="M302" i="6" s="1"/>
  <c r="AH301" i="6"/>
  <c r="BG301" i="6"/>
  <c r="AU301" i="6"/>
  <c r="G302" i="6"/>
  <c r="BF301" i="6"/>
  <c r="AG301" i="6"/>
  <c r="J302" i="12" a="1"/>
  <c r="J302" i="12" s="1"/>
  <c r="L302" i="12" a="1"/>
  <c r="L302" i="12" s="1"/>
  <c r="AQ301" i="6"/>
  <c r="T301" i="5"/>
  <c r="G301" i="12" s="1"/>
  <c r="AD301" i="6"/>
  <c r="AN301" i="6"/>
  <c r="BB301" i="6"/>
  <c r="AV301" i="6"/>
  <c r="BC301" i="6"/>
  <c r="AK301" i="6"/>
  <c r="AP301" i="6"/>
  <c r="A303" i="12"/>
  <c r="AE303" i="5"/>
  <c r="W303" i="5"/>
  <c r="H303" i="12" s="1"/>
  <c r="N303" i="5"/>
  <c r="D303" i="6" s="1"/>
  <c r="N303" i="6" s="1"/>
  <c r="B303" i="6"/>
  <c r="J303" i="6" s="1" a="1"/>
  <c r="J303" i="6" s="1"/>
  <c r="AD303" i="5"/>
  <c r="C304" i="5"/>
  <c r="H303" i="5"/>
  <c r="G303" i="5"/>
  <c r="B303" i="5"/>
  <c r="E303" i="5"/>
  <c r="I303" i="5"/>
  <c r="F303" i="5"/>
  <c r="T302" i="5"/>
  <c r="K302" i="12" l="1"/>
  <c r="H303" i="6"/>
  <c r="T303" i="5" s="1"/>
  <c r="BD302" i="6"/>
  <c r="AY302" i="6"/>
  <c r="AM302" i="6"/>
  <c r="AP302" i="6"/>
  <c r="AZ302" i="6"/>
  <c r="AQ302" i="6"/>
  <c r="AI302" i="6"/>
  <c r="AT302" i="6"/>
  <c r="BE302" i="6"/>
  <c r="AF302" i="6"/>
  <c r="AS302" i="6"/>
  <c r="AN302" i="6"/>
  <c r="AD302" i="6"/>
  <c r="AH302" i="6"/>
  <c r="BB302" i="6"/>
  <c r="AJ302" i="6"/>
  <c r="AU302" i="6"/>
  <c r="BA302" i="6"/>
  <c r="AX302" i="6"/>
  <c r="AO302" i="6"/>
  <c r="AE302" i="6"/>
  <c r="AB302" i="6"/>
  <c r="AC302" i="6"/>
  <c r="AR302" i="6"/>
  <c r="BG302" i="6"/>
  <c r="AG302" i="6"/>
  <c r="BC302" i="6"/>
  <c r="BF302" i="6"/>
  <c r="AK302" i="6"/>
  <c r="AV302" i="6"/>
  <c r="A303" i="6"/>
  <c r="AE304" i="5"/>
  <c r="AD304" i="5"/>
  <c r="K304" i="5"/>
  <c r="F304" i="5"/>
  <c r="B304" i="6"/>
  <c r="E304" i="5"/>
  <c r="N304" i="5"/>
  <c r="D304" i="6" s="1"/>
  <c r="H304" i="6" s="1"/>
  <c r="D304" i="5"/>
  <c r="B304" i="12" s="1"/>
  <c r="J304" i="5"/>
  <c r="H304" i="5"/>
  <c r="C305" i="5"/>
  <c r="B304" i="5"/>
  <c r="A304" i="12"/>
  <c r="G304" i="5"/>
  <c r="N302" i="6"/>
  <c r="G303" i="6"/>
  <c r="M303" i="6"/>
  <c r="BF303" i="6" s="1"/>
  <c r="G302" i="12"/>
  <c r="G303" i="12"/>
  <c r="BB303" i="6" l="1"/>
  <c r="AQ303" i="6"/>
  <c r="AE303" i="6"/>
  <c r="AI303" i="6"/>
  <c r="AH303" i="6"/>
  <c r="AF303" i="6"/>
  <c r="AG303" i="6"/>
  <c r="A304" i="6"/>
  <c r="M304" i="6" s="1"/>
  <c r="BG303" i="6"/>
  <c r="AU303" i="6"/>
  <c r="BD303" i="6"/>
  <c r="AV303" i="6"/>
  <c r="AP303" i="6"/>
  <c r="AZ303" i="6"/>
  <c r="AK303" i="6"/>
  <c r="BE303" i="6"/>
  <c r="AD303" i="6"/>
  <c r="BC303" i="6"/>
  <c r="AO303" i="6"/>
  <c r="AS303" i="6"/>
  <c r="BA303" i="6"/>
  <c r="AB303" i="6"/>
  <c r="AX303" i="6"/>
  <c r="AJ303" i="6"/>
  <c r="AR303" i="6"/>
  <c r="G304" i="6"/>
  <c r="AM303" i="6"/>
  <c r="L304" i="12" a="1"/>
  <c r="L304" i="12" s="1"/>
  <c r="J304" i="12" a="1"/>
  <c r="J304" i="12" s="1"/>
  <c r="AT303" i="6"/>
  <c r="AC303" i="6"/>
  <c r="G305" i="5"/>
  <c r="F305" i="5"/>
  <c r="AE305" i="5"/>
  <c r="N305" i="5"/>
  <c r="D305" i="6" s="1"/>
  <c r="H305" i="6" s="1"/>
  <c r="K305" i="5"/>
  <c r="E305" i="5"/>
  <c r="D305" i="5"/>
  <c r="B305" i="12" s="1"/>
  <c r="A305" i="12"/>
  <c r="B305" i="5"/>
  <c r="B305" i="6"/>
  <c r="J305" i="5"/>
  <c r="H305" i="5"/>
  <c r="AD305" i="5"/>
  <c r="C306" i="5"/>
  <c r="AY303" i="6"/>
  <c r="AN303" i="6"/>
  <c r="T304" i="5"/>
  <c r="A305" i="6" l="1"/>
  <c r="M305" i="6" s="1"/>
  <c r="AR305" i="6" s="1"/>
  <c r="AZ304" i="6"/>
  <c r="AR304" i="6"/>
  <c r="AB304" i="6"/>
  <c r="AP304" i="6"/>
  <c r="AC304" i="6"/>
  <c r="BA304" i="6"/>
  <c r="AJ304" i="6"/>
  <c r="AK304" i="6"/>
  <c r="BE304" i="6"/>
  <c r="AO304" i="6"/>
  <c r="BB304" i="6"/>
  <c r="BD304" i="6"/>
  <c r="BG304" i="6"/>
  <c r="AU304" i="6"/>
  <c r="AV304" i="6"/>
  <c r="AG304" i="6"/>
  <c r="AD304" i="6"/>
  <c r="AF304" i="6"/>
  <c r="BC304" i="6"/>
  <c r="AY304" i="6"/>
  <c r="AN304" i="6"/>
  <c r="AS304" i="6"/>
  <c r="AI304" i="6"/>
  <c r="AQ304" i="6"/>
  <c r="AX304" i="6"/>
  <c r="BF304" i="6"/>
  <c r="AM304" i="6"/>
  <c r="AT304" i="6"/>
  <c r="AH304" i="6"/>
  <c r="AE304" i="6"/>
  <c r="G305" i="6"/>
  <c r="N305" i="6"/>
  <c r="N304" i="6"/>
  <c r="K304" i="12"/>
  <c r="J305" i="12" a="1"/>
  <c r="J305" i="12" s="1"/>
  <c r="L305" i="12" a="1"/>
  <c r="L305" i="12" s="1"/>
  <c r="E306" i="5"/>
  <c r="N306" i="5"/>
  <c r="D306" i="6" s="1"/>
  <c r="C307" i="5"/>
  <c r="D306" i="5"/>
  <c r="B306" i="12" s="1"/>
  <c r="H306" i="5"/>
  <c r="AD306" i="5"/>
  <c r="G306" i="5"/>
  <c r="F306" i="5"/>
  <c r="AE306" i="5"/>
  <c r="K306" i="5"/>
  <c r="A306" i="12"/>
  <c r="B306" i="6"/>
  <c r="J306" i="5"/>
  <c r="B306" i="5"/>
  <c r="G304" i="12"/>
  <c r="T305" i="5"/>
  <c r="K305" i="12" l="1"/>
  <c r="AJ305" i="6"/>
  <c r="AE305" i="6"/>
  <c r="BG305" i="6"/>
  <c r="AG305" i="6"/>
  <c r="AZ305" i="6"/>
  <c r="A306" i="6"/>
  <c r="M306" i="6" s="1"/>
  <c r="BA306" i="6" s="1"/>
  <c r="AN305" i="6"/>
  <c r="BC305" i="6"/>
  <c r="AT305" i="6"/>
  <c r="AK305" i="6"/>
  <c r="A307" i="12"/>
  <c r="N307" i="5"/>
  <c r="D307" i="6" s="1"/>
  <c r="B307" i="6"/>
  <c r="G307" i="5"/>
  <c r="AE307" i="5"/>
  <c r="C308" i="5"/>
  <c r="E307" i="5"/>
  <c r="J307" i="5"/>
  <c r="B307" i="5"/>
  <c r="AD307" i="5"/>
  <c r="F307" i="5"/>
  <c r="K307" i="5"/>
  <c r="H307" i="5"/>
  <c r="D307" i="5"/>
  <c r="B307" i="12" s="1"/>
  <c r="BF305" i="6"/>
  <c r="AD305" i="6"/>
  <c r="AB305" i="6"/>
  <c r="H306" i="6"/>
  <c r="T306" i="5" s="1"/>
  <c r="BB305" i="6"/>
  <c r="AV305" i="6"/>
  <c r="AU305" i="6"/>
  <c r="L306" i="12" a="1"/>
  <c r="L306" i="12" s="1"/>
  <c r="J306" i="12" a="1"/>
  <c r="J306" i="12" s="1"/>
  <c r="AF305" i="6"/>
  <c r="AH305" i="6"/>
  <c r="AC305" i="6"/>
  <c r="AI305" i="6"/>
  <c r="AY305" i="6"/>
  <c r="AX305" i="6"/>
  <c r="AM305" i="6"/>
  <c r="BE305" i="6"/>
  <c r="G306" i="6"/>
  <c r="AQ305" i="6"/>
  <c r="AS305" i="6"/>
  <c r="BD305" i="6"/>
  <c r="AP305" i="6"/>
  <c r="BA305" i="6"/>
  <c r="AO305" i="6"/>
  <c r="G305" i="12"/>
  <c r="N306" i="6" l="1"/>
  <c r="A307" i="6"/>
  <c r="M307" i="6" s="1"/>
  <c r="G307" i="6"/>
  <c r="H307" i="6"/>
  <c r="T307" i="5" s="1"/>
  <c r="AO306" i="6"/>
  <c r="AH306" i="6"/>
  <c r="AI306" i="6"/>
  <c r="AP306" i="6"/>
  <c r="AM306" i="6"/>
  <c r="B308" i="6"/>
  <c r="AD308" i="5"/>
  <c r="G308" i="5"/>
  <c r="F308" i="5"/>
  <c r="C309" i="5"/>
  <c r="D308" i="5"/>
  <c r="B308" i="12" s="1"/>
  <c r="N308" i="5"/>
  <c r="D308" i="6" s="1"/>
  <c r="E308" i="5"/>
  <c r="H308" i="5"/>
  <c r="J308" i="5"/>
  <c r="K308" i="5"/>
  <c r="B308" i="5"/>
  <c r="A308" i="12"/>
  <c r="AE308" i="5"/>
  <c r="AQ306" i="6"/>
  <c r="AS306" i="6"/>
  <c r="AG306" i="6"/>
  <c r="AX306" i="6"/>
  <c r="AR306" i="6"/>
  <c r="AN306" i="6"/>
  <c r="BE306" i="6"/>
  <c r="BD306" i="6"/>
  <c r="BC306" i="6"/>
  <c r="AJ306" i="6"/>
  <c r="BG306" i="6"/>
  <c r="AV306" i="6"/>
  <c r="AE306" i="6"/>
  <c r="AB306" i="6"/>
  <c r="BF306" i="6"/>
  <c r="J307" i="12" a="1"/>
  <c r="J307" i="12" s="1"/>
  <c r="L307" i="12" a="1"/>
  <c r="L307" i="12" s="1"/>
  <c r="AY306" i="6"/>
  <c r="BB306" i="6"/>
  <c r="AU306" i="6"/>
  <c r="AT306" i="6"/>
  <c r="K306" i="12"/>
  <c r="AD306" i="6"/>
  <c r="AF306" i="6"/>
  <c r="AC306" i="6"/>
  <c r="AK306" i="6"/>
  <c r="AZ306" i="6"/>
  <c r="N307" i="6"/>
  <c r="G306" i="12"/>
  <c r="K307" i="12" l="1"/>
  <c r="A308" i="6"/>
  <c r="M308" i="6" s="1"/>
  <c r="AZ308" i="6" s="1"/>
  <c r="AB307" i="6"/>
  <c r="F309" i="5"/>
  <c r="A309" i="12"/>
  <c r="H309" i="5"/>
  <c r="G309" i="5"/>
  <c r="B309" i="6"/>
  <c r="B309" i="5"/>
  <c r="C310" i="5"/>
  <c r="N309" i="5"/>
  <c r="D309" i="6" s="1"/>
  <c r="G309" i="6" s="1"/>
  <c r="AE309" i="5"/>
  <c r="AD309" i="5"/>
  <c r="K309" i="5"/>
  <c r="J309" i="5"/>
  <c r="D309" i="5"/>
  <c r="B309" i="12" s="1"/>
  <c r="E309" i="5"/>
  <c r="G308" i="6"/>
  <c r="H308" i="6"/>
  <c r="T308" i="5" s="1"/>
  <c r="J308" i="12" a="1"/>
  <c r="J308" i="12" s="1"/>
  <c r="L308" i="12" a="1"/>
  <c r="L308" i="12" s="1"/>
  <c r="G307" i="12"/>
  <c r="AH307" i="6"/>
  <c r="AJ307" i="6"/>
  <c r="BC307" i="6"/>
  <c r="AR307" i="6"/>
  <c r="AC307" i="6"/>
  <c r="AO307" i="6"/>
  <c r="BF307" i="6"/>
  <c r="AZ307" i="6"/>
  <c r="AP307" i="6"/>
  <c r="BG307" i="6"/>
  <c r="BB307" i="6"/>
  <c r="AY307" i="6"/>
  <c r="AT307" i="6"/>
  <c r="AN307" i="6"/>
  <c r="AX307" i="6"/>
  <c r="AQ307" i="6"/>
  <c r="AF307" i="6"/>
  <c r="AS307" i="6"/>
  <c r="AV307" i="6"/>
  <c r="BE307" i="6"/>
  <c r="BA307" i="6"/>
  <c r="AU307" i="6"/>
  <c r="AM307" i="6"/>
  <c r="BD307" i="6"/>
  <c r="AK307" i="6"/>
  <c r="AD307" i="6"/>
  <c r="AE307" i="6"/>
  <c r="AI307" i="6"/>
  <c r="AG307" i="6"/>
  <c r="BF308" i="6" l="1"/>
  <c r="AQ308" i="6"/>
  <c r="AT308" i="6"/>
  <c r="BA308" i="6"/>
  <c r="AB308" i="6"/>
  <c r="AV308" i="6"/>
  <c r="AX308" i="6"/>
  <c r="AE308" i="6"/>
  <c r="AK308" i="6"/>
  <c r="AF308" i="6"/>
  <c r="BC308" i="6"/>
  <c r="BD308" i="6"/>
  <c r="AU308" i="6"/>
  <c r="AM308" i="6"/>
  <c r="AS308" i="6"/>
  <c r="BE308" i="6"/>
  <c r="AY308" i="6"/>
  <c r="AC308" i="6"/>
  <c r="AR308" i="6"/>
  <c r="N308" i="6"/>
  <c r="AN308" i="6"/>
  <c r="BG308" i="6"/>
  <c r="BB308" i="6"/>
  <c r="AD308" i="6"/>
  <c r="AP308" i="6"/>
  <c r="AO308" i="6"/>
  <c r="K308" i="12"/>
  <c r="H309" i="6"/>
  <c r="T309" i="5" s="1"/>
  <c r="AJ308" i="6"/>
  <c r="AI308" i="6"/>
  <c r="AH308" i="6"/>
  <c r="B310" i="5"/>
  <c r="A310" i="12"/>
  <c r="B310" i="6"/>
  <c r="G310" i="5"/>
  <c r="AD310" i="5"/>
  <c r="J310" i="5"/>
  <c r="D310" i="5"/>
  <c r="B310" i="12" s="1"/>
  <c r="N310" i="5"/>
  <c r="D310" i="6" s="1"/>
  <c r="C311" i="5"/>
  <c r="H310" i="5"/>
  <c r="F310" i="5"/>
  <c r="E310" i="5"/>
  <c r="AE310" i="5"/>
  <c r="K310" i="5"/>
  <c r="A309" i="6"/>
  <c r="N309" i="6" s="1"/>
  <c r="L309" i="12" a="1"/>
  <c r="L309" i="12" s="1"/>
  <c r="J309" i="12" a="1"/>
  <c r="J309" i="12" s="1"/>
  <c r="AG308" i="6"/>
  <c r="G308" i="12"/>
  <c r="M309" i="6" l="1"/>
  <c r="AY309" i="6" s="1"/>
  <c r="A310" i="6"/>
  <c r="M310" i="6" s="1"/>
  <c r="BA310" i="6" s="1"/>
  <c r="AD311" i="5"/>
  <c r="F311" i="5"/>
  <c r="H311" i="5"/>
  <c r="K311" i="5"/>
  <c r="J311" i="5"/>
  <c r="A311" i="12"/>
  <c r="E311" i="5"/>
  <c r="B311" i="6"/>
  <c r="C312" i="5"/>
  <c r="D311" i="5"/>
  <c r="B311" i="12" s="1"/>
  <c r="B311" i="5"/>
  <c r="N311" i="5"/>
  <c r="D311" i="6" s="1"/>
  <c r="H311" i="6" s="1"/>
  <c r="AE311" i="5"/>
  <c r="G311" i="5"/>
  <c r="K309" i="12"/>
  <c r="H310" i="6"/>
  <c r="T310" i="5" s="1"/>
  <c r="L310" i="12" a="1"/>
  <c r="L310" i="12" s="1"/>
  <c r="J310" i="12" a="1"/>
  <c r="J310" i="12" s="1"/>
  <c r="G310" i="6"/>
  <c r="N310" i="6"/>
  <c r="G309" i="12"/>
  <c r="AR309" i="6" l="1"/>
  <c r="AU309" i="6"/>
  <c r="BA309" i="6"/>
  <c r="AM309" i="6"/>
  <c r="AF309" i="6"/>
  <c r="AT309" i="6"/>
  <c r="AP309" i="6"/>
  <c r="AD309" i="6"/>
  <c r="BD309" i="6"/>
  <c r="BE309" i="6"/>
  <c r="AI309" i="6"/>
  <c r="AV309" i="6"/>
  <c r="AK309" i="6"/>
  <c r="BF309" i="6"/>
  <c r="AN309" i="6"/>
  <c r="AH309" i="6"/>
  <c r="AC309" i="6"/>
  <c r="AX309" i="6"/>
  <c r="AQ309" i="6"/>
  <c r="K310" i="12"/>
  <c r="AE309" i="6"/>
  <c r="AS309" i="6"/>
  <c r="BG309" i="6"/>
  <c r="BB309" i="6"/>
  <c r="AO309" i="6"/>
  <c r="AB309" i="6"/>
  <c r="AG309" i="6"/>
  <c r="AZ309" i="6"/>
  <c r="BC309" i="6"/>
  <c r="AJ309" i="6"/>
  <c r="A311" i="6"/>
  <c r="N311" i="6" s="1"/>
  <c r="G311" i="6"/>
  <c r="AO310" i="6"/>
  <c r="AP310" i="6"/>
  <c r="AX310" i="6"/>
  <c r="B312" i="5"/>
  <c r="B312" i="6"/>
  <c r="N312" i="5"/>
  <c r="D312" i="6" s="1"/>
  <c r="H312" i="6" s="1"/>
  <c r="F312" i="5"/>
  <c r="AD312" i="5"/>
  <c r="H312" i="5"/>
  <c r="AE312" i="5"/>
  <c r="E312" i="5"/>
  <c r="K312" i="5"/>
  <c r="C313" i="5"/>
  <c r="D312" i="5"/>
  <c r="B312" i="12" s="1"/>
  <c r="G312" i="5"/>
  <c r="A312" i="12"/>
  <c r="J312" i="5"/>
  <c r="AI310" i="6"/>
  <c r="BB310" i="6"/>
  <c r="AZ310" i="6"/>
  <c r="AJ310" i="6"/>
  <c r="AM310" i="6"/>
  <c r="BC310" i="6"/>
  <c r="BF310" i="6"/>
  <c r="AE310" i="6"/>
  <c r="BD310" i="6"/>
  <c r="AT310" i="6"/>
  <c r="L311" i="12" a="1"/>
  <c r="L311" i="12" s="1"/>
  <c r="J311" i="12" a="1"/>
  <c r="J311" i="12" s="1"/>
  <c r="AH310" i="6"/>
  <c r="AF310" i="6"/>
  <c r="AY310" i="6"/>
  <c r="AD310" i="6"/>
  <c r="AB310" i="6"/>
  <c r="AG310" i="6"/>
  <c r="AV310" i="6"/>
  <c r="AU310" i="6"/>
  <c r="AR310" i="6"/>
  <c r="AQ310" i="6"/>
  <c r="AS310" i="6"/>
  <c r="AN310" i="6"/>
  <c r="AC310" i="6"/>
  <c r="BE310" i="6"/>
  <c r="AK310" i="6"/>
  <c r="BG310" i="6"/>
  <c r="T311" i="5"/>
  <c r="G310" i="12"/>
  <c r="M311" i="6" l="1"/>
  <c r="AQ311" i="6" s="1"/>
  <c r="A312" i="6"/>
  <c r="M312" i="6" s="1"/>
  <c r="AH312" i="6" s="1"/>
  <c r="K311" i="12"/>
  <c r="G312" i="6"/>
  <c r="J312" i="12" a="1"/>
  <c r="J312" i="12" s="1"/>
  <c r="L312" i="12" a="1"/>
  <c r="L312" i="12" s="1"/>
  <c r="J313" i="5"/>
  <c r="A313" i="12"/>
  <c r="G313" i="5"/>
  <c r="AD313" i="5"/>
  <c r="B313" i="6"/>
  <c r="N313" i="5"/>
  <c r="D313" i="6" s="1"/>
  <c r="H313" i="6" s="1"/>
  <c r="F313" i="5"/>
  <c r="E313" i="5"/>
  <c r="D313" i="5"/>
  <c r="B313" i="12" s="1"/>
  <c r="H313" i="5"/>
  <c r="AE313" i="5"/>
  <c r="B313" i="5"/>
  <c r="C314" i="5"/>
  <c r="K313" i="5"/>
  <c r="T312" i="5"/>
  <c r="G311" i="12"/>
  <c r="N312" i="6" l="1"/>
  <c r="AE311" i="6"/>
  <c r="AR311" i="6"/>
  <c r="AV311" i="6"/>
  <c r="AF311" i="6"/>
  <c r="AY311" i="6"/>
  <c r="AU311" i="6"/>
  <c r="AK311" i="6"/>
  <c r="AZ311" i="6"/>
  <c r="AC311" i="6"/>
  <c r="AN311" i="6"/>
  <c r="BC311" i="6"/>
  <c r="AS311" i="6"/>
  <c r="BB311" i="6"/>
  <c r="BF311" i="6"/>
  <c r="AP311" i="6"/>
  <c r="AI311" i="6"/>
  <c r="AJ311" i="6"/>
  <c r="BG311" i="6"/>
  <c r="AH311" i="6"/>
  <c r="AG311" i="6"/>
  <c r="AB311" i="6"/>
  <c r="BA311" i="6"/>
  <c r="AX311" i="6"/>
  <c r="BE311" i="6"/>
  <c r="AD311" i="6"/>
  <c r="AT311" i="6"/>
  <c r="AM311" i="6"/>
  <c r="AO311" i="6"/>
  <c r="BD311" i="6"/>
  <c r="K312" i="12"/>
  <c r="J314" i="5"/>
  <c r="D314" i="5"/>
  <c r="B314" i="12" s="1"/>
  <c r="B314" i="5"/>
  <c r="C315" i="5"/>
  <c r="H314" i="5"/>
  <c r="A314" i="12"/>
  <c r="F314" i="5"/>
  <c r="G314" i="5"/>
  <c r="B314" i="6"/>
  <c r="E314" i="5"/>
  <c r="N314" i="5"/>
  <c r="D314" i="6" s="1"/>
  <c r="AE314" i="5"/>
  <c r="AD314" i="5"/>
  <c r="K314" i="5"/>
  <c r="AE312" i="6"/>
  <c r="AI312" i="6"/>
  <c r="L313" i="12" a="1"/>
  <c r="L313" i="12" s="1"/>
  <c r="J313" i="12" a="1"/>
  <c r="J313" i="12" s="1"/>
  <c r="AB312" i="6"/>
  <c r="BB312" i="6"/>
  <c r="G313" i="6"/>
  <c r="AJ312" i="6"/>
  <c r="BF312" i="6"/>
  <c r="AF312" i="6"/>
  <c r="A313" i="6"/>
  <c r="M313" i="6" s="1"/>
  <c r="BG313" i="6" s="1"/>
  <c r="AX312" i="6"/>
  <c r="AU312" i="6"/>
  <c r="AO312" i="6"/>
  <c r="AR312" i="6"/>
  <c r="AY312" i="6"/>
  <c r="AN312" i="6"/>
  <c r="AV312" i="6"/>
  <c r="BA312" i="6"/>
  <c r="BC312" i="6"/>
  <c r="AS312" i="6"/>
  <c r="BG312" i="6"/>
  <c r="BD312" i="6"/>
  <c r="AK312" i="6"/>
  <c r="AM312" i="6"/>
  <c r="AZ312" i="6"/>
  <c r="AC312" i="6"/>
  <c r="AP312" i="6"/>
  <c r="AG312" i="6"/>
  <c r="AQ312" i="6"/>
  <c r="AD312" i="6"/>
  <c r="AT312" i="6"/>
  <c r="BE312" i="6"/>
  <c r="T313" i="5"/>
  <c r="G312" i="12"/>
  <c r="N313" i="6" l="1"/>
  <c r="A314" i="6"/>
  <c r="M314" i="6" s="1"/>
  <c r="AV314" i="6" s="1"/>
  <c r="H314" i="6"/>
  <c r="T314" i="5" s="1"/>
  <c r="G314" i="6"/>
  <c r="AY313" i="6"/>
  <c r="AP313" i="6"/>
  <c r="L314" i="12" a="1"/>
  <c r="L314" i="12" s="1"/>
  <c r="J314" i="12" a="1"/>
  <c r="J314" i="12" s="1"/>
  <c r="AX313" i="6"/>
  <c r="AF313" i="6"/>
  <c r="BF313" i="6"/>
  <c r="K313" i="12"/>
  <c r="AT313" i="6"/>
  <c r="AV313" i="6"/>
  <c r="BC313" i="6"/>
  <c r="AC313" i="6"/>
  <c r="AO313" i="6"/>
  <c r="BB313" i="6"/>
  <c r="AD313" i="6"/>
  <c r="AS313" i="6"/>
  <c r="AI313" i="6"/>
  <c r="AN313" i="6"/>
  <c r="G315" i="5"/>
  <c r="F315" i="5"/>
  <c r="E315" i="5"/>
  <c r="B315" i="6"/>
  <c r="K315" i="5"/>
  <c r="C316" i="5"/>
  <c r="D315" i="5"/>
  <c r="B315" i="12" s="1"/>
  <c r="AD315" i="5"/>
  <c r="J315" i="5"/>
  <c r="AE315" i="5"/>
  <c r="N315" i="5"/>
  <c r="D315" i="6" s="1"/>
  <c r="H315" i="5"/>
  <c r="A315" i="12"/>
  <c r="B315" i="5"/>
  <c r="BD313" i="6"/>
  <c r="AB313" i="6"/>
  <c r="BE313" i="6"/>
  <c r="AU313" i="6"/>
  <c r="AG313" i="6"/>
  <c r="AK313" i="6"/>
  <c r="BA313" i="6"/>
  <c r="AE313" i="6"/>
  <c r="AR313" i="6"/>
  <c r="AJ313" i="6"/>
  <c r="AM313" i="6"/>
  <c r="AZ313" i="6"/>
  <c r="AQ313" i="6"/>
  <c r="AH313" i="6"/>
  <c r="G313" i="12"/>
  <c r="AF314" i="6" l="1"/>
  <c r="AB314" i="6"/>
  <c r="A315" i="6"/>
  <c r="M315" i="6" s="1"/>
  <c r="AQ315" i="6" s="1"/>
  <c r="AI314" i="6"/>
  <c r="BA314" i="6"/>
  <c r="BB314" i="6"/>
  <c r="AK314" i="6"/>
  <c r="AM314" i="6"/>
  <c r="AE314" i="6"/>
  <c r="AT314" i="6"/>
  <c r="AD314" i="6"/>
  <c r="AX314" i="6"/>
  <c r="AJ314" i="6"/>
  <c r="AH314" i="6"/>
  <c r="AR314" i="6"/>
  <c r="BG314" i="6"/>
  <c r="BD314" i="6"/>
  <c r="AP314" i="6"/>
  <c r="AY314" i="6"/>
  <c r="BF314" i="6"/>
  <c r="AC314" i="6"/>
  <c r="AG314" i="6"/>
  <c r="K314" i="12"/>
  <c r="AU314" i="6"/>
  <c r="AO314" i="6"/>
  <c r="BC314" i="6"/>
  <c r="AQ314" i="6"/>
  <c r="AS314" i="6"/>
  <c r="AN314" i="6"/>
  <c r="AZ314" i="6"/>
  <c r="BE314" i="6"/>
  <c r="N314" i="6"/>
  <c r="J315" i="12" a="1"/>
  <c r="J315" i="12" s="1"/>
  <c r="L315" i="12" a="1"/>
  <c r="L315" i="12" s="1"/>
  <c r="G315" i="6"/>
  <c r="H315" i="6"/>
  <c r="T315" i="5" s="1"/>
  <c r="J316" i="5"/>
  <c r="K316" i="5"/>
  <c r="C317" i="5"/>
  <c r="H316" i="5"/>
  <c r="A316" i="12"/>
  <c r="G316" i="5"/>
  <c r="B316" i="6"/>
  <c r="D316" i="5"/>
  <c r="B316" i="12" s="1"/>
  <c r="B316" i="5"/>
  <c r="N316" i="5"/>
  <c r="D316" i="6" s="1"/>
  <c r="H316" i="6" s="1"/>
  <c r="E316" i="5"/>
  <c r="AD316" i="5"/>
  <c r="F316" i="5"/>
  <c r="AE316" i="5"/>
  <c r="G314" i="12"/>
  <c r="K315" i="12" l="1"/>
  <c r="N315" i="6"/>
  <c r="A316" i="6"/>
  <c r="N316" i="6" s="1"/>
  <c r="G316" i="6"/>
  <c r="AS315" i="6"/>
  <c r="BF315" i="6"/>
  <c r="AJ315" i="6"/>
  <c r="AZ315" i="6"/>
  <c r="L316" i="12" a="1"/>
  <c r="L316" i="12" s="1"/>
  <c r="J316" i="12" a="1"/>
  <c r="J316" i="12" s="1"/>
  <c r="AO315" i="6"/>
  <c r="AV315" i="6"/>
  <c r="AR315" i="6"/>
  <c r="AB315" i="6"/>
  <c r="AD315" i="6"/>
  <c r="N317" i="5"/>
  <c r="D317" i="6" s="1"/>
  <c r="AE317" i="5"/>
  <c r="K317" i="5"/>
  <c r="AD317" i="5"/>
  <c r="E317" i="5"/>
  <c r="B317" i="5"/>
  <c r="D317" i="5"/>
  <c r="B317" i="12" s="1"/>
  <c r="B317" i="6"/>
  <c r="C318" i="5"/>
  <c r="J317" i="5"/>
  <c r="F317" i="5"/>
  <c r="A317" i="12"/>
  <c r="G317" i="5"/>
  <c r="H317" i="5"/>
  <c r="AP315" i="6"/>
  <c r="AU315" i="6"/>
  <c r="BD315" i="6"/>
  <c r="AI315" i="6"/>
  <c r="BB315" i="6"/>
  <c r="BC315" i="6"/>
  <c r="AG315" i="6"/>
  <c r="AT315" i="6"/>
  <c r="BG315" i="6"/>
  <c r="AH315" i="6"/>
  <c r="AX315" i="6"/>
  <c r="AE315" i="6"/>
  <c r="AC315" i="6"/>
  <c r="AN315" i="6"/>
  <c r="AK315" i="6"/>
  <c r="AY315" i="6"/>
  <c r="BE315" i="6"/>
  <c r="AF315" i="6"/>
  <c r="AM315" i="6"/>
  <c r="BA315" i="6"/>
  <c r="T316" i="5"/>
  <c r="G315" i="12"/>
  <c r="M316" i="6" l="1"/>
  <c r="AO316" i="6" s="1"/>
  <c r="A317" i="6"/>
  <c r="M317" i="6" s="1"/>
  <c r="BE317" i="6" s="1"/>
  <c r="K316" i="12"/>
  <c r="L317" i="12" a="1"/>
  <c r="L317" i="12" s="1"/>
  <c r="J317" i="12" a="1"/>
  <c r="J317" i="12" s="1"/>
  <c r="A318" i="12"/>
  <c r="AD318" i="5"/>
  <c r="B318" i="6"/>
  <c r="F318" i="5"/>
  <c r="D318" i="5"/>
  <c r="B318" i="12" s="1"/>
  <c r="E318" i="5"/>
  <c r="B318" i="5"/>
  <c r="AE318" i="5"/>
  <c r="N318" i="5"/>
  <c r="D318" i="6" s="1"/>
  <c r="C319" i="5"/>
  <c r="J318" i="5"/>
  <c r="H318" i="5"/>
  <c r="G318" i="5"/>
  <c r="K318" i="5"/>
  <c r="H317" i="6"/>
  <c r="T317" i="5" s="1"/>
  <c r="G317" i="6"/>
  <c r="G316" i="12"/>
  <c r="N317" i="6" l="1"/>
  <c r="AX316" i="6"/>
  <c r="AY316" i="6"/>
  <c r="BG316" i="6"/>
  <c r="AJ316" i="6"/>
  <c r="AE316" i="6"/>
  <c r="AU316" i="6"/>
  <c r="AG316" i="6"/>
  <c r="AP316" i="6"/>
  <c r="AR316" i="6"/>
  <c r="BD316" i="6"/>
  <c r="BF316" i="6"/>
  <c r="BE316" i="6"/>
  <c r="AS316" i="6"/>
  <c r="BC316" i="6"/>
  <c r="BB316" i="6"/>
  <c r="AI316" i="6"/>
  <c r="AQ316" i="6"/>
  <c r="AH316" i="6"/>
  <c r="AM316" i="6"/>
  <c r="AN316" i="6"/>
  <c r="BA316" i="6"/>
  <c r="AF316" i="6"/>
  <c r="AD316" i="6"/>
  <c r="AZ316" i="6"/>
  <c r="AC316" i="6"/>
  <c r="AK316" i="6"/>
  <c r="AV316" i="6"/>
  <c r="AB316" i="6"/>
  <c r="AT316" i="6"/>
  <c r="K317" i="12"/>
  <c r="AP317" i="6"/>
  <c r="AZ317" i="6"/>
  <c r="AU317" i="6"/>
  <c r="AT317" i="6"/>
  <c r="AO317" i="6"/>
  <c r="AQ317" i="6"/>
  <c r="BC317" i="6"/>
  <c r="BB317" i="6"/>
  <c r="AS317" i="6"/>
  <c r="BA317" i="6"/>
  <c r="AM317" i="6"/>
  <c r="AK317" i="6"/>
  <c r="BG317" i="6"/>
  <c r="AE317" i="6"/>
  <c r="AX317" i="6"/>
  <c r="BD317" i="6"/>
  <c r="AC317" i="6"/>
  <c r="AV317" i="6"/>
  <c r="AN317" i="6"/>
  <c r="AY317" i="6"/>
  <c r="BF317" i="6"/>
  <c r="AR317" i="6"/>
  <c r="A318" i="6"/>
  <c r="N318" i="6" s="1"/>
  <c r="AD319" i="5"/>
  <c r="K319" i="5"/>
  <c r="J319" i="5"/>
  <c r="AE319" i="5"/>
  <c r="C320" i="5"/>
  <c r="H319" i="5"/>
  <c r="B319" i="5"/>
  <c r="N319" i="5"/>
  <c r="D319" i="6" s="1"/>
  <c r="G319" i="5"/>
  <c r="E319" i="5"/>
  <c r="D319" i="5"/>
  <c r="B319" i="12" s="1"/>
  <c r="F319" i="5"/>
  <c r="B319" i="6"/>
  <c r="A319" i="12"/>
  <c r="AH317" i="6"/>
  <c r="AB317" i="6"/>
  <c r="AD317" i="6"/>
  <c r="AG317" i="6"/>
  <c r="AI317" i="6"/>
  <c r="AF317" i="6"/>
  <c r="AJ317" i="6"/>
  <c r="H318" i="6"/>
  <c r="T318" i="5" s="1"/>
  <c r="G318" i="6"/>
  <c r="L318" i="12" a="1"/>
  <c r="L318" i="12" s="1"/>
  <c r="J318" i="12" a="1"/>
  <c r="J318" i="12" s="1"/>
  <c r="G317" i="12"/>
  <c r="A319" i="6" l="1"/>
  <c r="M319" i="6" s="1"/>
  <c r="BC319" i="6" s="1"/>
  <c r="M318" i="6"/>
  <c r="BF318" i="6" s="1"/>
  <c r="H319" i="6"/>
  <c r="T319" i="5" s="1"/>
  <c r="J320" i="5"/>
  <c r="N320" i="5"/>
  <c r="D320" i="6" s="1"/>
  <c r="K320" i="5"/>
  <c r="H320" i="5"/>
  <c r="AD320" i="5"/>
  <c r="AE320" i="5"/>
  <c r="F320" i="5"/>
  <c r="D320" i="5"/>
  <c r="B320" i="12" s="1"/>
  <c r="A320" i="12"/>
  <c r="B320" i="5"/>
  <c r="B320" i="6"/>
  <c r="C321" i="5"/>
  <c r="G320" i="5"/>
  <c r="E320" i="5"/>
  <c r="G319" i="6"/>
  <c r="L319" i="12" a="1"/>
  <c r="L319" i="12" s="1"/>
  <c r="J319" i="12" a="1"/>
  <c r="J319" i="12" s="1"/>
  <c r="K318" i="12"/>
  <c r="G318" i="12"/>
  <c r="N319" i="6" l="1"/>
  <c r="A320" i="6"/>
  <c r="M320" i="6" s="1"/>
  <c r="AM320" i="6" s="1"/>
  <c r="AH318" i="6"/>
  <c r="AG318" i="6"/>
  <c r="BC318" i="6"/>
  <c r="AI318" i="6"/>
  <c r="AU318" i="6"/>
  <c r="AY318" i="6"/>
  <c r="AE318" i="6"/>
  <c r="BG318" i="6"/>
  <c r="AV318" i="6"/>
  <c r="AB318" i="6"/>
  <c r="BE318" i="6"/>
  <c r="AT318" i="6"/>
  <c r="AM318" i="6"/>
  <c r="BB318" i="6"/>
  <c r="AJ318" i="6"/>
  <c r="BD318" i="6"/>
  <c r="AO318" i="6"/>
  <c r="AZ318" i="6"/>
  <c r="AS318" i="6"/>
  <c r="AN318" i="6"/>
  <c r="AF318" i="6"/>
  <c r="AQ318" i="6"/>
  <c r="AD318" i="6"/>
  <c r="AX318" i="6"/>
  <c r="AK318" i="6"/>
  <c r="AR318" i="6"/>
  <c r="AP318" i="6"/>
  <c r="BA318" i="6"/>
  <c r="AC318" i="6"/>
  <c r="BD319" i="6"/>
  <c r="AY319" i="6"/>
  <c r="AH319" i="6"/>
  <c r="AV319" i="6"/>
  <c r="AB319" i="6"/>
  <c r="AI319" i="6"/>
  <c r="AE319" i="6"/>
  <c r="AK319" i="6"/>
  <c r="AD319" i="6"/>
  <c r="AJ319" i="6"/>
  <c r="BA319" i="6"/>
  <c r="BG319" i="6"/>
  <c r="AM319" i="6"/>
  <c r="BB319" i="6"/>
  <c r="AR319" i="6"/>
  <c r="A321" i="12"/>
  <c r="C322" i="5"/>
  <c r="B321" i="6"/>
  <c r="F321" i="5"/>
  <c r="B321" i="5"/>
  <c r="N321" i="5"/>
  <c r="D321" i="6" s="1"/>
  <c r="H321" i="6" s="1"/>
  <c r="D321" i="5"/>
  <c r="B321" i="12" s="1"/>
  <c r="AE321" i="5"/>
  <c r="AD321" i="5"/>
  <c r="K321" i="5"/>
  <c r="J321" i="5"/>
  <c r="G321" i="5"/>
  <c r="E321" i="5"/>
  <c r="H321" i="5"/>
  <c r="AQ319" i="6"/>
  <c r="K319" i="12"/>
  <c r="AC319" i="6"/>
  <c r="J320" i="12" a="1"/>
  <c r="J320" i="12" s="1"/>
  <c r="L320" i="12" a="1"/>
  <c r="L320" i="12" s="1"/>
  <c r="AO319" i="6"/>
  <c r="AT319" i="6"/>
  <c r="AZ319" i="6"/>
  <c r="AG319" i="6"/>
  <c r="AN319" i="6"/>
  <c r="BF319" i="6"/>
  <c r="AF319" i="6"/>
  <c r="AP319" i="6"/>
  <c r="AX319" i="6"/>
  <c r="G320" i="6"/>
  <c r="AS319" i="6"/>
  <c r="H320" i="6"/>
  <c r="BE319" i="6"/>
  <c r="AU319" i="6"/>
  <c r="G319" i="12"/>
  <c r="AX320" i="6" l="1"/>
  <c r="AR320" i="6"/>
  <c r="AP320" i="6"/>
  <c r="BE320" i="6"/>
  <c r="BC320" i="6"/>
  <c r="AU320" i="6"/>
  <c r="N320" i="6"/>
  <c r="BD320" i="6"/>
  <c r="AO320" i="6"/>
  <c r="AY320" i="6"/>
  <c r="AV320" i="6"/>
  <c r="AT320" i="6"/>
  <c r="AI320" i="6"/>
  <c r="BA320" i="6"/>
  <c r="AQ320" i="6"/>
  <c r="AS320" i="6"/>
  <c r="BB320" i="6"/>
  <c r="BF320" i="6"/>
  <c r="BG320" i="6"/>
  <c r="AZ320" i="6"/>
  <c r="AN320" i="6"/>
  <c r="K320" i="12"/>
  <c r="AG320" i="6"/>
  <c r="T320" i="5"/>
  <c r="G320" i="12" s="1"/>
  <c r="AF320" i="6"/>
  <c r="AD320" i="6"/>
  <c r="A321" i="6"/>
  <c r="N321" i="6" s="1"/>
  <c r="AH320" i="6"/>
  <c r="G321" i="6"/>
  <c r="AB320" i="6"/>
  <c r="AE320" i="6"/>
  <c r="AJ320" i="6"/>
  <c r="AC320" i="6"/>
  <c r="F322" i="5"/>
  <c r="E322" i="5"/>
  <c r="AE322" i="5"/>
  <c r="H322" i="5"/>
  <c r="AD322" i="5"/>
  <c r="G322" i="5"/>
  <c r="K322" i="5"/>
  <c r="N322" i="5"/>
  <c r="D322" i="6" s="1"/>
  <c r="G322" i="6" s="1"/>
  <c r="J322" i="5"/>
  <c r="A322" i="12"/>
  <c r="D322" i="5"/>
  <c r="B322" i="12" s="1"/>
  <c r="B322" i="6"/>
  <c r="B322" i="5"/>
  <c r="C323" i="5"/>
  <c r="AK320" i="6"/>
  <c r="L321" i="12" a="1"/>
  <c r="L321" i="12" s="1"/>
  <c r="J321" i="12" a="1"/>
  <c r="J321" i="12" s="1"/>
  <c r="T321" i="5"/>
  <c r="A322" i="6" l="1"/>
  <c r="N322" i="6" s="1"/>
  <c r="M321" i="6"/>
  <c r="AM321" i="6" s="1"/>
  <c r="L322" i="12" a="1"/>
  <c r="L322" i="12" s="1"/>
  <c r="J322" i="12" a="1"/>
  <c r="J322" i="12" s="1"/>
  <c r="K321" i="12"/>
  <c r="H322" i="6"/>
  <c r="T322" i="5" s="1"/>
  <c r="F323" i="5"/>
  <c r="J323" i="5"/>
  <c r="C324" i="5"/>
  <c r="E323" i="5"/>
  <c r="AD323" i="5"/>
  <c r="H323" i="5"/>
  <c r="A323" i="12"/>
  <c r="G323" i="5"/>
  <c r="B323" i="6"/>
  <c r="K323" i="5"/>
  <c r="D323" i="5"/>
  <c r="B323" i="12" s="1"/>
  <c r="B323" i="5"/>
  <c r="N323" i="5"/>
  <c r="D323" i="6" s="1"/>
  <c r="G323" i="6" s="1"/>
  <c r="AE323" i="5"/>
  <c r="G321" i="12"/>
  <c r="M322" i="6" l="1"/>
  <c r="BF322" i="6" s="1"/>
  <c r="AS321" i="6"/>
  <c r="BC321" i="6"/>
  <c r="AX321" i="6"/>
  <c r="AT321" i="6"/>
  <c r="AD321" i="6"/>
  <c r="AC321" i="6"/>
  <c r="AK321" i="6"/>
  <c r="BG321" i="6"/>
  <c r="BD321" i="6"/>
  <c r="AN321" i="6"/>
  <c r="AE321" i="6"/>
  <c r="AR321" i="6"/>
  <c r="AJ321" i="6"/>
  <c r="AF321" i="6"/>
  <c r="AG321" i="6"/>
  <c r="AV321" i="6"/>
  <c r="BF321" i="6"/>
  <c r="AB321" i="6"/>
  <c r="AQ321" i="6"/>
  <c r="AY321" i="6"/>
  <c r="BB321" i="6"/>
  <c r="AZ321" i="6"/>
  <c r="AP321" i="6"/>
  <c r="BE321" i="6"/>
  <c r="AU321" i="6"/>
  <c r="AI321" i="6"/>
  <c r="BA321" i="6"/>
  <c r="AO321" i="6"/>
  <c r="AH321" i="6"/>
  <c r="A323" i="6"/>
  <c r="M323" i="6" s="1"/>
  <c r="BG323" i="6" s="1"/>
  <c r="H323" i="6"/>
  <c r="T323" i="5" s="1"/>
  <c r="L323" i="12" a="1"/>
  <c r="L323" i="12" s="1"/>
  <c r="J323" i="12" a="1"/>
  <c r="J323" i="12" s="1"/>
  <c r="K322" i="12"/>
  <c r="G324" i="5"/>
  <c r="B324" i="5"/>
  <c r="C325" i="5" s="1"/>
  <c r="N324" i="5"/>
  <c r="D324" i="6" s="1"/>
  <c r="H324" i="6" s="1"/>
  <c r="A324" i="12"/>
  <c r="AE324" i="5"/>
  <c r="F324" i="5"/>
  <c r="E324" i="5"/>
  <c r="AD324" i="5"/>
  <c r="D324" i="5"/>
  <c r="B324" i="12" s="1"/>
  <c r="B324" i="6"/>
  <c r="J324" i="5"/>
  <c r="H324" i="5"/>
  <c r="K324" i="5"/>
  <c r="G322" i="12"/>
  <c r="BD322" i="6" l="1"/>
  <c r="BB322" i="6"/>
  <c r="AV322" i="6"/>
  <c r="AI322" i="6"/>
  <c r="AO322" i="6"/>
  <c r="K323" i="12"/>
  <c r="AU322" i="6"/>
  <c r="AK322" i="6"/>
  <c r="AG322" i="6"/>
  <c r="AD322" i="6"/>
  <c r="AN322" i="6"/>
  <c r="AX322" i="6"/>
  <c r="BG322" i="6"/>
  <c r="AR322" i="6"/>
  <c r="AZ322" i="6"/>
  <c r="AP322" i="6"/>
  <c r="AM322" i="6"/>
  <c r="AS322" i="6"/>
  <c r="AT322" i="6"/>
  <c r="AB322" i="6"/>
  <c r="BA322" i="6"/>
  <c r="BE322" i="6"/>
  <c r="AY322" i="6"/>
  <c r="AC322" i="6"/>
  <c r="AJ322" i="6"/>
  <c r="AQ322" i="6"/>
  <c r="BC322" i="6"/>
  <c r="AF322" i="6"/>
  <c r="AE322" i="6"/>
  <c r="AH322" i="6"/>
  <c r="N323" i="6"/>
  <c r="AG323" i="6"/>
  <c r="AH323" i="6"/>
  <c r="AV323" i="6"/>
  <c r="BC323" i="6"/>
  <c r="BE323" i="6"/>
  <c r="AS323" i="6"/>
  <c r="BD323" i="6"/>
  <c r="AU323" i="6"/>
  <c r="AO323" i="6"/>
  <c r="AN323" i="6"/>
  <c r="AD323" i="6"/>
  <c r="AT323" i="6"/>
  <c r="AK323" i="6"/>
  <c r="BF323" i="6"/>
  <c r="BB323" i="6"/>
  <c r="AB323" i="6"/>
  <c r="AF323" i="6"/>
  <c r="AX323" i="6"/>
  <c r="AI323" i="6"/>
  <c r="BA323" i="6"/>
  <c r="AE323" i="6"/>
  <c r="AP323" i="6"/>
  <c r="A324" i="6"/>
  <c r="N324" i="6" s="1"/>
  <c r="AM323" i="6"/>
  <c r="AZ323" i="6"/>
  <c r="AC323" i="6"/>
  <c r="AQ323" i="6"/>
  <c r="AJ323" i="6"/>
  <c r="AR323" i="6"/>
  <c r="AY323" i="6"/>
  <c r="G324" i="6"/>
  <c r="J324" i="12" a="1"/>
  <c r="J324" i="12" s="1"/>
  <c r="L324" i="12" a="1"/>
  <c r="L324" i="12" s="1"/>
  <c r="A325" i="12"/>
  <c r="N325" i="5"/>
  <c r="D325" i="6" s="1"/>
  <c r="H325" i="6" s="1"/>
  <c r="T325" i="5" s="1"/>
  <c r="B325" i="6"/>
  <c r="F325" i="5"/>
  <c r="E325" i="5"/>
  <c r="W325" i="5"/>
  <c r="H325" i="12" s="1"/>
  <c r="B325" i="5"/>
  <c r="I325" i="5"/>
  <c r="C326" i="5"/>
  <c r="G325" i="5"/>
  <c r="H325" i="5"/>
  <c r="AE325" i="5"/>
  <c r="AD325" i="5"/>
  <c r="G323" i="12"/>
  <c r="T324" i="5"/>
  <c r="M324" i="6" l="1"/>
  <c r="AO324" i="6" s="1"/>
  <c r="N325" i="6"/>
  <c r="M325" i="6"/>
  <c r="AY325" i="6" s="1"/>
  <c r="G325" i="6"/>
  <c r="J325" i="6" a="1"/>
  <c r="J325" i="6" s="1"/>
  <c r="A325" i="6"/>
  <c r="K324" i="12"/>
  <c r="B326" i="6"/>
  <c r="G326" i="5"/>
  <c r="N326" i="5"/>
  <c r="D326" i="6" s="1"/>
  <c r="AE326" i="5"/>
  <c r="K326" i="5"/>
  <c r="H326" i="5"/>
  <c r="J326" i="5"/>
  <c r="AD326" i="5"/>
  <c r="B326" i="5"/>
  <c r="D326" i="5"/>
  <c r="B326" i="12" s="1"/>
  <c r="C327" i="5"/>
  <c r="F326" i="5"/>
  <c r="E326" i="5"/>
  <c r="A326" i="12"/>
  <c r="AV325" i="6"/>
  <c r="BB325" i="6"/>
  <c r="AT325" i="6"/>
  <c r="BG325" i="6"/>
  <c r="AI325" i="6"/>
  <c r="G324" i="12"/>
  <c r="G325" i="12"/>
  <c r="BF325" i="6"/>
  <c r="AG325" i="6"/>
  <c r="AE325" i="6" l="1"/>
  <c r="AJ325" i="6"/>
  <c r="BC325" i="6"/>
  <c r="AK325" i="6"/>
  <c r="AC325" i="6"/>
  <c r="AZ325" i="6"/>
  <c r="AR325" i="6"/>
  <c r="AF325" i="6"/>
  <c r="AM325" i="6"/>
  <c r="AD325" i="6"/>
  <c r="AX325" i="6"/>
  <c r="AS325" i="6"/>
  <c r="AQ325" i="6"/>
  <c r="AU325" i="6"/>
  <c r="AP325" i="6"/>
  <c r="AB325" i="6"/>
  <c r="AH325" i="6"/>
  <c r="BA325" i="6"/>
  <c r="AO325" i="6"/>
  <c r="AN325" i="6"/>
  <c r="BD324" i="6"/>
  <c r="AN324" i="6"/>
  <c r="AP324" i="6"/>
  <c r="AG324" i="6"/>
  <c r="AT324" i="6"/>
  <c r="AR324" i="6"/>
  <c r="AH324" i="6"/>
  <c r="AQ324" i="6"/>
  <c r="AV324" i="6"/>
  <c r="BC324" i="6"/>
  <c r="AK324" i="6"/>
  <c r="BA324" i="6"/>
  <c r="AB324" i="6"/>
  <c r="AS324" i="6"/>
  <c r="AX324" i="6"/>
  <c r="AU324" i="6"/>
  <c r="AD324" i="6"/>
  <c r="AC324" i="6"/>
  <c r="AY324" i="6"/>
  <c r="BD325" i="6"/>
  <c r="AI324" i="6"/>
  <c r="BG324" i="6"/>
  <c r="AJ324" i="6"/>
  <c r="BE324" i="6"/>
  <c r="A326" i="6"/>
  <c r="N326" i="6" s="1"/>
  <c r="AZ324" i="6"/>
  <c r="AF324" i="6"/>
  <c r="BF324" i="6"/>
  <c r="AE324" i="6"/>
  <c r="BB324" i="6"/>
  <c r="AM324" i="6"/>
  <c r="BE325" i="6"/>
  <c r="AD327" i="5"/>
  <c r="K327" i="5"/>
  <c r="J327" i="5"/>
  <c r="B327" i="5"/>
  <c r="A327" i="12"/>
  <c r="N327" i="5"/>
  <c r="D327" i="6" s="1"/>
  <c r="H327" i="6" s="1"/>
  <c r="D327" i="5"/>
  <c r="B327" i="12" s="1"/>
  <c r="B327" i="6"/>
  <c r="AE327" i="5"/>
  <c r="C328" i="5"/>
  <c r="H327" i="5"/>
  <c r="G327" i="5"/>
  <c r="F327" i="5"/>
  <c r="E327" i="5"/>
  <c r="H326" i="6"/>
  <c r="T326" i="5" s="1"/>
  <c r="L326" i="12" a="1"/>
  <c r="L326" i="12" s="1"/>
  <c r="J326" i="12" a="1"/>
  <c r="J326" i="12" s="1"/>
  <c r="G326" i="6"/>
  <c r="M326" i="6" l="1"/>
  <c r="AQ326" i="6" s="1"/>
  <c r="K326" i="12"/>
  <c r="A327" i="6"/>
  <c r="N327" i="6" s="1"/>
  <c r="N328" i="5"/>
  <c r="D328" i="6" s="1"/>
  <c r="H328" i="6" s="1"/>
  <c r="AE328" i="5"/>
  <c r="AD328" i="5"/>
  <c r="F328" i="5"/>
  <c r="G328" i="5"/>
  <c r="H328" i="5"/>
  <c r="B328" i="5"/>
  <c r="K328" i="5"/>
  <c r="D328" i="5"/>
  <c r="B328" i="12" s="1"/>
  <c r="C329" i="5"/>
  <c r="E328" i="5"/>
  <c r="J328" i="5"/>
  <c r="A328" i="12"/>
  <c r="B328" i="6"/>
  <c r="G327" i="6"/>
  <c r="J327" i="12" a="1"/>
  <c r="J327" i="12" s="1"/>
  <c r="L327" i="12" a="1"/>
  <c r="L327" i="12" s="1"/>
  <c r="G326" i="12"/>
  <c r="T327" i="5"/>
  <c r="A328" i="6" l="1"/>
  <c r="N328" i="6" s="1"/>
  <c r="AZ326" i="6"/>
  <c r="BG326" i="6"/>
  <c r="BA326" i="6"/>
  <c r="BB326" i="6"/>
  <c r="AB326" i="6"/>
  <c r="AP326" i="6"/>
  <c r="AG326" i="6"/>
  <c r="AO326" i="6"/>
  <c r="AH326" i="6"/>
  <c r="AC326" i="6"/>
  <c r="AK326" i="6"/>
  <c r="AX326" i="6"/>
  <c r="AT326" i="6"/>
  <c r="AF326" i="6"/>
  <c r="BF326" i="6"/>
  <c r="AD326" i="6"/>
  <c r="AJ326" i="6"/>
  <c r="AM326" i="6"/>
  <c r="BC326" i="6"/>
  <c r="AE326" i="6"/>
  <c r="AR326" i="6"/>
  <c r="AY326" i="6"/>
  <c r="BE326" i="6"/>
  <c r="AI326" i="6"/>
  <c r="AU326" i="6"/>
  <c r="AS326" i="6"/>
  <c r="BD326" i="6"/>
  <c r="AV326" i="6"/>
  <c r="AN326" i="6"/>
  <c r="M327" i="6"/>
  <c r="AB327" i="6" s="1"/>
  <c r="G328" i="6"/>
  <c r="L328" i="12" a="1"/>
  <c r="L328" i="12" s="1"/>
  <c r="J328" i="12" a="1"/>
  <c r="J328" i="12" s="1"/>
  <c r="F329" i="5"/>
  <c r="A329" i="12"/>
  <c r="G329" i="5"/>
  <c r="N329" i="5"/>
  <c r="D329" i="6" s="1"/>
  <c r="G329" i="6" s="1"/>
  <c r="AE329" i="5"/>
  <c r="B329" i="5"/>
  <c r="AD329" i="5"/>
  <c r="D329" i="5"/>
  <c r="B329" i="12" s="1"/>
  <c r="K329" i="5"/>
  <c r="B329" i="6"/>
  <c r="E329" i="5"/>
  <c r="J329" i="5"/>
  <c r="C330" i="5"/>
  <c r="H329" i="5"/>
  <c r="K327" i="12"/>
  <c r="G327" i="12"/>
  <c r="M328" i="6"/>
  <c r="T328" i="5"/>
  <c r="AR327" i="6" l="1"/>
  <c r="AN327" i="6"/>
  <c r="AK327" i="6"/>
  <c r="AS327" i="6"/>
  <c r="BB327" i="6"/>
  <c r="AX327" i="6"/>
  <c r="BD327" i="6"/>
  <c r="BF327" i="6"/>
  <c r="AC327" i="6"/>
  <c r="AQ327" i="6"/>
  <c r="BG327" i="6"/>
  <c r="AY327" i="6"/>
  <c r="AT327" i="6"/>
  <c r="AU327" i="6"/>
  <c r="BE327" i="6"/>
  <c r="BC327" i="6"/>
  <c r="AZ327" i="6"/>
  <c r="AF327" i="6"/>
  <c r="AM327" i="6"/>
  <c r="AI327" i="6"/>
  <c r="AG327" i="6"/>
  <c r="AP327" i="6"/>
  <c r="BA327" i="6"/>
  <c r="AO327" i="6"/>
  <c r="AD327" i="6"/>
  <c r="AH327" i="6"/>
  <c r="AE327" i="6"/>
  <c r="AJ327" i="6"/>
  <c r="AV327" i="6"/>
  <c r="K328" i="12"/>
  <c r="H329" i="6"/>
  <c r="T329" i="5" s="1"/>
  <c r="A329" i="6"/>
  <c r="N329" i="6" s="1"/>
  <c r="L329" i="12" a="1"/>
  <c r="L329" i="12" s="1"/>
  <c r="J329" i="12" a="1"/>
  <c r="J329" i="12" s="1"/>
  <c r="B330" i="5"/>
  <c r="N330" i="5"/>
  <c r="D330" i="6" s="1"/>
  <c r="G330" i="6" s="1"/>
  <c r="C331" i="5"/>
  <c r="H330" i="5"/>
  <c r="AD330" i="5"/>
  <c r="G330" i="5"/>
  <c r="AE330" i="5"/>
  <c r="E330" i="5"/>
  <c r="K330" i="5"/>
  <c r="J330" i="5"/>
  <c r="B330" i="6"/>
  <c r="F330" i="5"/>
  <c r="D330" i="5"/>
  <c r="B330" i="12" s="1"/>
  <c r="A330" i="12"/>
  <c r="G328" i="12"/>
  <c r="BA328" i="6"/>
  <c r="AP328" i="6"/>
  <c r="AT328" i="6"/>
  <c r="AN328" i="6"/>
  <c r="AX328" i="6"/>
  <c r="AI328" i="6"/>
  <c r="AF328" i="6"/>
  <c r="AM328" i="6"/>
  <c r="AE328" i="6"/>
  <c r="AC328" i="6"/>
  <c r="AB328" i="6"/>
  <c r="BC328" i="6"/>
  <c r="BD328" i="6"/>
  <c r="AQ328" i="6"/>
  <c r="AZ328" i="6"/>
  <c r="AK328" i="6"/>
  <c r="AO328" i="6"/>
  <c r="AV328" i="6"/>
  <c r="BG328" i="6"/>
  <c r="AH328" i="6"/>
  <c r="BF328" i="6"/>
  <c r="BB328" i="6"/>
  <c r="BE328" i="6"/>
  <c r="AU328" i="6"/>
  <c r="AD328" i="6"/>
  <c r="AY328" i="6"/>
  <c r="AS328" i="6"/>
  <c r="AJ328" i="6"/>
  <c r="AR328" i="6"/>
  <c r="AG328" i="6"/>
  <c r="M329" i="6" l="1"/>
  <c r="AF329" i="6" s="1"/>
  <c r="H330" i="6"/>
  <c r="T330" i="5" s="1"/>
  <c r="J331" i="5"/>
  <c r="H331" i="5"/>
  <c r="D331" i="5"/>
  <c r="B331" i="12" s="1"/>
  <c r="B331" i="5"/>
  <c r="N331" i="5"/>
  <c r="D331" i="6" s="1"/>
  <c r="E331" i="5"/>
  <c r="A331" i="12"/>
  <c r="C332" i="5"/>
  <c r="G331" i="5"/>
  <c r="B331" i="6"/>
  <c r="F331" i="5"/>
  <c r="AE331" i="5"/>
  <c r="AD331" i="5"/>
  <c r="K331" i="5"/>
  <c r="L330" i="12" a="1"/>
  <c r="L330" i="12" s="1"/>
  <c r="J330" i="12" a="1"/>
  <c r="J330" i="12" s="1"/>
  <c r="A330" i="6"/>
  <c r="K329" i="12"/>
  <c r="G329" i="12"/>
  <c r="AR329" i="6" l="1"/>
  <c r="BC329" i="6"/>
  <c r="AN329" i="6"/>
  <c r="AO329" i="6"/>
  <c r="AE329" i="6"/>
  <c r="BD329" i="6"/>
  <c r="AZ329" i="6"/>
  <c r="AB329" i="6"/>
  <c r="AJ329" i="6"/>
  <c r="BB329" i="6"/>
  <c r="AY329" i="6"/>
  <c r="AG329" i="6"/>
  <c r="AI329" i="6"/>
  <c r="BG329" i="6"/>
  <c r="AX329" i="6"/>
  <c r="AU329" i="6"/>
  <c r="AT329" i="6"/>
  <c r="BE329" i="6"/>
  <c r="AH329" i="6"/>
  <c r="AM329" i="6"/>
  <c r="AP329" i="6"/>
  <c r="AV329" i="6"/>
  <c r="BF329" i="6"/>
  <c r="AQ329" i="6"/>
  <c r="AK329" i="6"/>
  <c r="AD329" i="6"/>
  <c r="AS329" i="6"/>
  <c r="BA329" i="6"/>
  <c r="AC329" i="6"/>
  <c r="A331" i="6"/>
  <c r="N331" i="6" s="1"/>
  <c r="J331" i="12" a="1"/>
  <c r="J331" i="12" s="1"/>
  <c r="L331" i="12" a="1"/>
  <c r="L331" i="12" s="1"/>
  <c r="G331" i="6"/>
  <c r="K330" i="12"/>
  <c r="A332" i="12"/>
  <c r="B332" i="5"/>
  <c r="B332" i="6"/>
  <c r="C333" i="5"/>
  <c r="G332" i="5"/>
  <c r="F332" i="5"/>
  <c r="E332" i="5"/>
  <c r="D332" i="5"/>
  <c r="B332" i="12" s="1"/>
  <c r="J332" i="5"/>
  <c r="AE332" i="5"/>
  <c r="AD332" i="5"/>
  <c r="H332" i="5"/>
  <c r="N332" i="5"/>
  <c r="D332" i="6" s="1"/>
  <c r="H332" i="6" s="1"/>
  <c r="K332" i="5"/>
  <c r="H331" i="6"/>
  <c r="T331" i="5" s="1"/>
  <c r="N330" i="6"/>
  <c r="M330" i="6"/>
  <c r="G330" i="12"/>
  <c r="K331" i="12" l="1"/>
  <c r="G332" i="6"/>
  <c r="M331" i="6"/>
  <c r="AQ331" i="6" s="1"/>
  <c r="BA330" i="6"/>
  <c r="AJ330" i="6"/>
  <c r="AM330" i="6"/>
  <c r="AQ330" i="6"/>
  <c r="AX330" i="6"/>
  <c r="BD330" i="6"/>
  <c r="AY330" i="6"/>
  <c r="BE330" i="6"/>
  <c r="AN330" i="6"/>
  <c r="AZ330" i="6"/>
  <c r="AG330" i="6"/>
  <c r="AT330" i="6"/>
  <c r="BG330" i="6"/>
  <c r="BB330" i="6"/>
  <c r="AK330" i="6"/>
  <c r="AE330" i="6"/>
  <c r="AB330" i="6"/>
  <c r="AO330" i="6"/>
  <c r="AC330" i="6"/>
  <c r="AV330" i="6"/>
  <c r="AR330" i="6"/>
  <c r="AF330" i="6"/>
  <c r="BC330" i="6"/>
  <c r="AD330" i="6"/>
  <c r="BF330" i="6"/>
  <c r="AP330" i="6"/>
  <c r="AH330" i="6"/>
  <c r="AI330" i="6"/>
  <c r="AU330" i="6"/>
  <c r="AS330" i="6"/>
  <c r="B333" i="5"/>
  <c r="F333" i="5"/>
  <c r="N333" i="5"/>
  <c r="D333" i="6" s="1"/>
  <c r="H333" i="6" s="1"/>
  <c r="G333" i="5"/>
  <c r="AE333" i="5"/>
  <c r="C334" i="5"/>
  <c r="AD333" i="5"/>
  <c r="E333" i="5"/>
  <c r="K333" i="5"/>
  <c r="H333" i="5"/>
  <c r="J333" i="5"/>
  <c r="D333" i="5"/>
  <c r="B333" i="12" s="1"/>
  <c r="A333" i="12"/>
  <c r="B333" i="6"/>
  <c r="A332" i="6"/>
  <c r="J332" i="12" a="1"/>
  <c r="J332" i="12" s="1"/>
  <c r="L332" i="12" a="1"/>
  <c r="L332" i="12" s="1"/>
  <c r="T332" i="5"/>
  <c r="G331" i="12"/>
  <c r="AE331" i="6" l="1"/>
  <c r="AB331" i="6"/>
  <c r="BE331" i="6"/>
  <c r="AR331" i="6"/>
  <c r="AF331" i="6"/>
  <c r="BC331" i="6"/>
  <c r="AD331" i="6"/>
  <c r="AK331" i="6"/>
  <c r="AN331" i="6"/>
  <c r="AO331" i="6"/>
  <c r="AU331" i="6"/>
  <c r="AX331" i="6"/>
  <c r="AT331" i="6"/>
  <c r="AG331" i="6"/>
  <c r="AY331" i="6"/>
  <c r="AM331" i="6"/>
  <c r="AS331" i="6"/>
  <c r="BB331" i="6"/>
  <c r="AV331" i="6"/>
  <c r="BA331" i="6"/>
  <c r="BF331" i="6"/>
  <c r="AI331" i="6"/>
  <c r="AZ331" i="6"/>
  <c r="AC331" i="6"/>
  <c r="BG331" i="6"/>
  <c r="AJ331" i="6"/>
  <c r="AH331" i="6"/>
  <c r="BD331" i="6"/>
  <c r="AP331" i="6"/>
  <c r="N332" i="6"/>
  <c r="M332" i="6"/>
  <c r="A333" i="6"/>
  <c r="M333" i="6" s="1"/>
  <c r="K332" i="12"/>
  <c r="L333" i="12" a="1"/>
  <c r="L333" i="12" s="1"/>
  <c r="J333" i="12" a="1"/>
  <c r="J333" i="12" s="1"/>
  <c r="G333" i="6"/>
  <c r="D334" i="5"/>
  <c r="B334" i="12" s="1"/>
  <c r="A334" i="12"/>
  <c r="B334" i="6"/>
  <c r="C335" i="5"/>
  <c r="H334" i="5"/>
  <c r="J334" i="5"/>
  <c r="B334" i="5"/>
  <c r="N334" i="5"/>
  <c r="D334" i="6" s="1"/>
  <c r="G334" i="6" s="1"/>
  <c r="G334" i="5"/>
  <c r="AD334" i="5"/>
  <c r="F334" i="5"/>
  <c r="E334" i="5"/>
  <c r="AE334" i="5"/>
  <c r="K334" i="5"/>
  <c r="T333" i="5"/>
  <c r="G332" i="12"/>
  <c r="N333" i="6" l="1"/>
  <c r="K333" i="12"/>
  <c r="H334" i="6"/>
  <c r="T334" i="5" s="1"/>
  <c r="AX333" i="6"/>
  <c r="AE333" i="6"/>
  <c r="AT333" i="6"/>
  <c r="BD333" i="6"/>
  <c r="AR333" i="6"/>
  <c r="AN333" i="6"/>
  <c r="AJ333" i="6"/>
  <c r="AU333" i="6"/>
  <c r="AO333" i="6"/>
  <c r="BA333" i="6"/>
  <c r="AV333" i="6"/>
  <c r="BE333" i="6"/>
  <c r="AZ333" i="6"/>
  <c r="BB333" i="6"/>
  <c r="AI333" i="6"/>
  <c r="AC333" i="6"/>
  <c r="AH333" i="6"/>
  <c r="AP333" i="6"/>
  <c r="BF333" i="6"/>
  <c r="AY333" i="6"/>
  <c r="AG333" i="6"/>
  <c r="AQ333" i="6"/>
  <c r="AS333" i="6"/>
  <c r="AK333" i="6"/>
  <c r="AB333" i="6"/>
  <c r="BC333" i="6"/>
  <c r="AF333" i="6"/>
  <c r="AM333" i="6"/>
  <c r="AD333" i="6"/>
  <c r="BG333" i="6"/>
  <c r="L334" i="12" a="1"/>
  <c r="L334" i="12" s="1"/>
  <c r="J334" i="12" a="1"/>
  <c r="J334" i="12" s="1"/>
  <c r="BB332" i="6"/>
  <c r="AF332" i="6"/>
  <c r="AC332" i="6"/>
  <c r="AV332" i="6"/>
  <c r="AQ332" i="6"/>
  <c r="AZ332" i="6"/>
  <c r="AO332" i="6"/>
  <c r="AE332" i="6"/>
  <c r="AT332" i="6"/>
  <c r="AI332" i="6"/>
  <c r="BC332" i="6"/>
  <c r="BG332" i="6"/>
  <c r="AM332" i="6"/>
  <c r="AG332" i="6"/>
  <c r="BE332" i="6"/>
  <c r="AJ332" i="6"/>
  <c r="AH332" i="6"/>
  <c r="AN332" i="6"/>
  <c r="AY332" i="6"/>
  <c r="AP332" i="6"/>
  <c r="BF332" i="6"/>
  <c r="AR332" i="6"/>
  <c r="AD332" i="6"/>
  <c r="BD332" i="6"/>
  <c r="AU332" i="6"/>
  <c r="AB332" i="6"/>
  <c r="AS332" i="6"/>
  <c r="AX332" i="6"/>
  <c r="BA332" i="6"/>
  <c r="AK332" i="6"/>
  <c r="B335" i="5"/>
  <c r="N335" i="5"/>
  <c r="D335" i="6" s="1"/>
  <c r="G335" i="6" s="1"/>
  <c r="AE335" i="5"/>
  <c r="G335" i="5"/>
  <c r="F335" i="5"/>
  <c r="H335" i="5"/>
  <c r="D335" i="5"/>
  <c r="B335" i="12" s="1"/>
  <c r="K335" i="5"/>
  <c r="J335" i="5"/>
  <c r="A335" i="12"/>
  <c r="B335" i="6"/>
  <c r="E335" i="5"/>
  <c r="AD335" i="5"/>
  <c r="C336" i="5"/>
  <c r="A334" i="6"/>
  <c r="G333" i="12"/>
  <c r="A335" i="6" l="1"/>
  <c r="M335" i="6" s="1"/>
  <c r="K334" i="12"/>
  <c r="J335" i="12" a="1"/>
  <c r="J335" i="12" s="1"/>
  <c r="L335" i="12" a="1"/>
  <c r="L335" i="12" s="1"/>
  <c r="N334" i="6"/>
  <c r="M334" i="6"/>
  <c r="B336" i="6"/>
  <c r="E336" i="5"/>
  <c r="AD336" i="5"/>
  <c r="G336" i="5"/>
  <c r="K336" i="5"/>
  <c r="J336" i="5"/>
  <c r="C337" i="5"/>
  <c r="H336" i="5"/>
  <c r="F336" i="5"/>
  <c r="B336" i="5"/>
  <c r="N336" i="5"/>
  <c r="D336" i="6" s="1"/>
  <c r="G336" i="6" s="1"/>
  <c r="AE336" i="5"/>
  <c r="A336" i="12"/>
  <c r="D336" i="5"/>
  <c r="B336" i="12" s="1"/>
  <c r="H335" i="6"/>
  <c r="T335" i="5" s="1"/>
  <c r="G334" i="12"/>
  <c r="AJ335" i="6" l="1"/>
  <c r="N335" i="6"/>
  <c r="A336" i="6"/>
  <c r="N336" i="6" s="1"/>
  <c r="K335" i="12"/>
  <c r="F337" i="5"/>
  <c r="E337" i="5"/>
  <c r="B337" i="5"/>
  <c r="C338" i="5"/>
  <c r="AD337" i="5"/>
  <c r="D337" i="5"/>
  <c r="B337" i="12" s="1"/>
  <c r="A337" i="12"/>
  <c r="AE337" i="5"/>
  <c r="H337" i="5"/>
  <c r="N337" i="5"/>
  <c r="D337" i="6" s="1"/>
  <c r="B337" i="6"/>
  <c r="K337" i="5"/>
  <c r="J337" i="5"/>
  <c r="G337" i="5"/>
  <c r="J336" i="12" a="1"/>
  <c r="J336" i="12" s="1"/>
  <c r="L336" i="12" a="1"/>
  <c r="L336" i="12" s="1"/>
  <c r="AT334" i="6"/>
  <c r="BD334" i="6"/>
  <c r="BG334" i="6"/>
  <c r="AJ334" i="6"/>
  <c r="AZ334" i="6"/>
  <c r="AB334" i="6"/>
  <c r="AF334" i="6"/>
  <c r="BC334" i="6"/>
  <c r="AS334" i="6"/>
  <c r="BF334" i="6"/>
  <c r="AC334" i="6"/>
  <c r="AO334" i="6"/>
  <c r="BB334" i="6"/>
  <c r="AE334" i="6"/>
  <c r="AV334" i="6"/>
  <c r="AU334" i="6"/>
  <c r="AD334" i="6"/>
  <c r="AR334" i="6"/>
  <c r="AQ334" i="6"/>
  <c r="AK334" i="6"/>
  <c r="AN334" i="6"/>
  <c r="AY334" i="6"/>
  <c r="AG334" i="6"/>
  <c r="BA334" i="6"/>
  <c r="BE334" i="6"/>
  <c r="AH334" i="6"/>
  <c r="AI334" i="6"/>
  <c r="AP334" i="6"/>
  <c r="AX334" i="6"/>
  <c r="AM334" i="6"/>
  <c r="H336" i="6"/>
  <c r="T336" i="5" s="1"/>
  <c r="AG335" i="6"/>
  <c r="AB335" i="6"/>
  <c r="AD335" i="6"/>
  <c r="AO335" i="6"/>
  <c r="AN335" i="6"/>
  <c r="AV335" i="6"/>
  <c r="AY335" i="6"/>
  <c r="BF335" i="6"/>
  <c r="BG335" i="6"/>
  <c r="BB335" i="6"/>
  <c r="AX335" i="6"/>
  <c r="AT335" i="6"/>
  <c r="AU335" i="6"/>
  <c r="BC335" i="6"/>
  <c r="BE335" i="6"/>
  <c r="BA335" i="6"/>
  <c r="AR335" i="6"/>
  <c r="AQ335" i="6"/>
  <c r="AM335" i="6"/>
  <c r="AZ335" i="6"/>
  <c r="BD335" i="6"/>
  <c r="AP335" i="6"/>
  <c r="AS335" i="6"/>
  <c r="AI335" i="6"/>
  <c r="AE335" i="6"/>
  <c r="AK335" i="6"/>
  <c r="AH335" i="6"/>
  <c r="AF335" i="6"/>
  <c r="AC335" i="6"/>
  <c r="G335" i="12"/>
  <c r="A337" i="6" l="1"/>
  <c r="M337" i="6" s="1"/>
  <c r="AM337" i="6" s="1"/>
  <c r="M336" i="6"/>
  <c r="AS336" i="6" s="1"/>
  <c r="G337" i="6"/>
  <c r="H337" i="6"/>
  <c r="J337" i="12" a="1"/>
  <c r="J337" i="12" s="1"/>
  <c r="L337" i="12" a="1"/>
  <c r="L337" i="12" s="1"/>
  <c r="K336" i="12"/>
  <c r="J338" i="5"/>
  <c r="D338" i="5"/>
  <c r="B338" i="12" s="1"/>
  <c r="H338" i="5"/>
  <c r="B338" i="5"/>
  <c r="G338" i="5"/>
  <c r="F338" i="5"/>
  <c r="C339" i="5"/>
  <c r="AD338" i="5"/>
  <c r="A338" i="12"/>
  <c r="AE338" i="5"/>
  <c r="B338" i="6"/>
  <c r="E338" i="5"/>
  <c r="N338" i="5"/>
  <c r="D338" i="6" s="1"/>
  <c r="H338" i="6" s="1"/>
  <c r="K338" i="5"/>
  <c r="G336" i="12"/>
  <c r="N337" i="6" l="1"/>
  <c r="BD337" i="6"/>
  <c r="AX337" i="6"/>
  <c r="AQ337" i="6"/>
  <c r="AZ337" i="6"/>
  <c r="BC337" i="6"/>
  <c r="AF337" i="6"/>
  <c r="BA337" i="6"/>
  <c r="AR337" i="6"/>
  <c r="AP337" i="6"/>
  <c r="AT337" i="6"/>
  <c r="AU337" i="6"/>
  <c r="AV337" i="6"/>
  <c r="BE337" i="6"/>
  <c r="BF337" i="6"/>
  <c r="BB337" i="6"/>
  <c r="BG337" i="6"/>
  <c r="AN337" i="6"/>
  <c r="AO337" i="6"/>
  <c r="AY337" i="6"/>
  <c r="AS337" i="6"/>
  <c r="AB337" i="6"/>
  <c r="AD337" i="6"/>
  <c r="T337" i="5"/>
  <c r="G337" i="12" s="1"/>
  <c r="AG337" i="6"/>
  <c r="AE337" i="6"/>
  <c r="AJ337" i="6"/>
  <c r="AC337" i="6"/>
  <c r="AI337" i="6"/>
  <c r="AV336" i="6"/>
  <c r="AO336" i="6"/>
  <c r="AP336" i="6"/>
  <c r="AB336" i="6"/>
  <c r="AH336" i="6"/>
  <c r="AF336" i="6"/>
  <c r="BD336" i="6"/>
  <c r="BF336" i="6"/>
  <c r="AQ336" i="6"/>
  <c r="AK337" i="6"/>
  <c r="AG336" i="6"/>
  <c r="AI336" i="6"/>
  <c r="AJ336" i="6"/>
  <c r="AK336" i="6"/>
  <c r="BE336" i="6"/>
  <c r="BC336" i="6"/>
  <c r="BB336" i="6"/>
  <c r="AY336" i="6"/>
  <c r="AC336" i="6"/>
  <c r="AE336" i="6"/>
  <c r="AZ336" i="6"/>
  <c r="BG336" i="6"/>
  <c r="AX336" i="6"/>
  <c r="A338" i="6"/>
  <c r="M338" i="6" s="1"/>
  <c r="AZ338" i="6" s="1"/>
  <c r="G338" i="6"/>
  <c r="AR336" i="6"/>
  <c r="AM336" i="6"/>
  <c r="BA336" i="6"/>
  <c r="AT336" i="6"/>
  <c r="AD336" i="6"/>
  <c r="AU336" i="6"/>
  <c r="AN336" i="6"/>
  <c r="AH337" i="6"/>
  <c r="K337" i="12"/>
  <c r="L338" i="12" a="1"/>
  <c r="L338" i="12" s="1"/>
  <c r="J338" i="12" a="1"/>
  <c r="J338" i="12" s="1"/>
  <c r="A339" i="12"/>
  <c r="AE339" i="5"/>
  <c r="B339" i="6"/>
  <c r="B339" i="5"/>
  <c r="C340" i="5"/>
  <c r="H339" i="5"/>
  <c r="E339" i="5"/>
  <c r="G339" i="5"/>
  <c r="F339" i="5"/>
  <c r="K339" i="5"/>
  <c r="J339" i="5"/>
  <c r="D339" i="5"/>
  <c r="B339" i="12" s="1"/>
  <c r="AD339" i="5"/>
  <c r="N339" i="5"/>
  <c r="D339" i="6" s="1"/>
  <c r="H339" i="6" s="1"/>
  <c r="T338" i="5"/>
  <c r="N338" i="6" l="1"/>
  <c r="A339" i="6"/>
  <c r="M339" i="6" s="1"/>
  <c r="AS339" i="6" s="1"/>
  <c r="BG338" i="6"/>
  <c r="BA338" i="6"/>
  <c r="AX338" i="6"/>
  <c r="AP338" i="6"/>
  <c r="AJ338" i="6"/>
  <c r="AD338" i="6"/>
  <c r="BC338" i="6"/>
  <c r="AB338" i="6"/>
  <c r="AV338" i="6"/>
  <c r="AF338" i="6"/>
  <c r="G339" i="6"/>
  <c r="AR338" i="6"/>
  <c r="AY338" i="6"/>
  <c r="BF338" i="6"/>
  <c r="AT338" i="6"/>
  <c r="AK338" i="6"/>
  <c r="BB338" i="6"/>
  <c r="AO338" i="6"/>
  <c r="AQ338" i="6"/>
  <c r="AM338" i="6"/>
  <c r="AI338" i="6"/>
  <c r="AU338" i="6"/>
  <c r="AG338" i="6"/>
  <c r="AE338" i="6"/>
  <c r="AH338" i="6"/>
  <c r="BD338" i="6"/>
  <c r="BE338" i="6"/>
  <c r="AS338" i="6"/>
  <c r="AC338" i="6"/>
  <c r="AN338" i="6"/>
  <c r="B340" i="5"/>
  <c r="AD340" i="5"/>
  <c r="K340" i="5"/>
  <c r="D340" i="5"/>
  <c r="B340" i="12" s="1"/>
  <c r="N340" i="5"/>
  <c r="D340" i="6" s="1"/>
  <c r="AE340" i="5"/>
  <c r="G340" i="5"/>
  <c r="F340" i="5"/>
  <c r="A340" i="12"/>
  <c r="E340" i="5"/>
  <c r="C341" i="5"/>
  <c r="J340" i="5"/>
  <c r="B340" i="6"/>
  <c r="H340" i="5"/>
  <c r="J339" i="12" a="1"/>
  <c r="J339" i="12" s="1"/>
  <c r="L339" i="12" a="1"/>
  <c r="L339" i="12" s="1"/>
  <c r="K338" i="12"/>
  <c r="T339" i="5"/>
  <c r="G338" i="12"/>
  <c r="N339" i="6" l="1"/>
  <c r="AD339" i="6"/>
  <c r="AG339" i="6"/>
  <c r="AK339" i="6"/>
  <c r="AN339" i="6"/>
  <c r="AZ339" i="6"/>
  <c r="AR339" i="6"/>
  <c r="AT339" i="6"/>
  <c r="BD339" i="6"/>
  <c r="AY339" i="6"/>
  <c r="AC339" i="6"/>
  <c r="AJ339" i="6"/>
  <c r="AQ339" i="6"/>
  <c r="AP339" i="6"/>
  <c r="BB339" i="6"/>
  <c r="AE339" i="6"/>
  <c r="AM339" i="6"/>
  <c r="BG339" i="6"/>
  <c r="BA339" i="6"/>
  <c r="AU339" i="6"/>
  <c r="AB339" i="6"/>
  <c r="AO339" i="6"/>
  <c r="AI339" i="6"/>
  <c r="AV339" i="6"/>
  <c r="BE339" i="6"/>
  <c r="AH339" i="6"/>
  <c r="BC339" i="6"/>
  <c r="AX339" i="6"/>
  <c r="BF339" i="6"/>
  <c r="AF339" i="6"/>
  <c r="A340" i="6"/>
  <c r="M340" i="6" s="1"/>
  <c r="G340" i="6"/>
  <c r="H340" i="6"/>
  <c r="K341" i="5"/>
  <c r="E341" i="5"/>
  <c r="F341" i="5"/>
  <c r="D341" i="5"/>
  <c r="B341" i="12" s="1"/>
  <c r="B341" i="5"/>
  <c r="C342" i="5" s="1"/>
  <c r="G341" i="5"/>
  <c r="A341" i="12"/>
  <c r="AD341" i="5"/>
  <c r="AE341" i="5"/>
  <c r="B341" i="6"/>
  <c r="J341" i="5"/>
  <c r="H341" i="5"/>
  <c r="N341" i="5"/>
  <c r="D341" i="6" s="1"/>
  <c r="H341" i="6" s="1"/>
  <c r="J340" i="12" a="1"/>
  <c r="J340" i="12" s="1"/>
  <c r="L340" i="12" a="1"/>
  <c r="L340" i="12" s="1"/>
  <c r="K339" i="12"/>
  <c r="G339" i="12"/>
  <c r="K340" i="12" l="1"/>
  <c r="AJ340" i="6"/>
  <c r="AI340" i="6"/>
  <c r="A341" i="6"/>
  <c r="N341" i="6" s="1"/>
  <c r="T340" i="5"/>
  <c r="G340" i="12" s="1"/>
  <c r="AE340" i="6"/>
  <c r="AF340" i="6"/>
  <c r="AR340" i="6"/>
  <c r="BA340" i="6"/>
  <c r="G341" i="6"/>
  <c r="AS340" i="6"/>
  <c r="AY340" i="6"/>
  <c r="AX340" i="6"/>
  <c r="BF340" i="6"/>
  <c r="AC340" i="6"/>
  <c r="AK340" i="6"/>
  <c r="BD340" i="6"/>
  <c r="BB340" i="6"/>
  <c r="AG340" i="6"/>
  <c r="AV340" i="6"/>
  <c r="AH340" i="6"/>
  <c r="AQ340" i="6"/>
  <c r="AD340" i="6"/>
  <c r="BG340" i="6"/>
  <c r="AB340" i="6"/>
  <c r="AT340" i="6"/>
  <c r="BC340" i="6"/>
  <c r="AZ340" i="6"/>
  <c r="AU340" i="6"/>
  <c r="AO340" i="6"/>
  <c r="N340" i="6"/>
  <c r="AP340" i="6"/>
  <c r="AM340" i="6"/>
  <c r="BE340" i="6"/>
  <c r="AN340" i="6"/>
  <c r="J341" i="12" a="1"/>
  <c r="J341" i="12" s="1"/>
  <c r="L341" i="12" a="1"/>
  <c r="L341" i="12" s="1"/>
  <c r="C343" i="5"/>
  <c r="W342" i="5"/>
  <c r="H342" i="12" s="1"/>
  <c r="B342" i="5"/>
  <c r="H342" i="5"/>
  <c r="G342" i="5"/>
  <c r="I342" i="5"/>
  <c r="F342" i="5"/>
  <c r="B342" i="6"/>
  <c r="AE342" i="5"/>
  <c r="E342" i="5"/>
  <c r="A342" i="12"/>
  <c r="AD342" i="5"/>
  <c r="N342" i="5"/>
  <c r="D342" i="6" s="1"/>
  <c r="N342" i="6" s="1"/>
  <c r="T341" i="5"/>
  <c r="M341" i="6" l="1"/>
  <c r="BC341" i="6" s="1"/>
  <c r="K341" i="12"/>
  <c r="J342" i="6" a="1"/>
  <c r="J342" i="6" s="1"/>
  <c r="A342" i="6"/>
  <c r="M342" i="6"/>
  <c r="BF342" i="6" s="1"/>
  <c r="G342" i="6"/>
  <c r="H342" i="6"/>
  <c r="T342" i="5" s="1"/>
  <c r="G342" i="12" s="1"/>
  <c r="AD343" i="5"/>
  <c r="J343" i="5"/>
  <c r="K343" i="5"/>
  <c r="AE343" i="5"/>
  <c r="C344" i="5"/>
  <c r="H343" i="5"/>
  <c r="B343" i="5"/>
  <c r="F343" i="5"/>
  <c r="E343" i="5"/>
  <c r="A343" i="12"/>
  <c r="D343" i="5"/>
  <c r="B343" i="12" s="1"/>
  <c r="N343" i="5"/>
  <c r="D343" i="6" s="1"/>
  <c r="H343" i="6" s="1"/>
  <c r="B343" i="6"/>
  <c r="G343" i="5"/>
  <c r="G341" i="12"/>
  <c r="AY342" i="6" l="1"/>
  <c r="AT342" i="6"/>
  <c r="AV342" i="6"/>
  <c r="AU342" i="6"/>
  <c r="AE342" i="6"/>
  <c r="AJ342" i="6"/>
  <c r="AQ342" i="6"/>
  <c r="AH342" i="6"/>
  <c r="AF341" i="6"/>
  <c r="AH341" i="6"/>
  <c r="AZ341" i="6"/>
  <c r="AQ341" i="6"/>
  <c r="AE341" i="6"/>
  <c r="BB341" i="6"/>
  <c r="BG341" i="6"/>
  <c r="AO341" i="6"/>
  <c r="AU341" i="6"/>
  <c r="BD341" i="6"/>
  <c r="AK341" i="6"/>
  <c r="BF341" i="6"/>
  <c r="AP341" i="6"/>
  <c r="AV341" i="6"/>
  <c r="AR341" i="6"/>
  <c r="BE341" i="6"/>
  <c r="AT341" i="6"/>
  <c r="AI341" i="6"/>
  <c r="AM341" i="6"/>
  <c r="BA341" i="6"/>
  <c r="AY341" i="6"/>
  <c r="AG341" i="6"/>
  <c r="AS341" i="6"/>
  <c r="AX341" i="6"/>
  <c r="AJ341" i="6"/>
  <c r="AB341" i="6"/>
  <c r="AD341" i="6"/>
  <c r="AC341" i="6"/>
  <c r="AN341" i="6"/>
  <c r="BE342" i="6"/>
  <c r="BC342" i="6"/>
  <c r="AZ342" i="6"/>
  <c r="AO342" i="6"/>
  <c r="AN342" i="6"/>
  <c r="AS342" i="6"/>
  <c r="AX342" i="6"/>
  <c r="AB342" i="6"/>
  <c r="AM342" i="6"/>
  <c r="AC342" i="6"/>
  <c r="AI342" i="6"/>
  <c r="BG342" i="6"/>
  <c r="AK342" i="6"/>
  <c r="G343" i="6"/>
  <c r="AD342" i="6"/>
  <c r="AF342" i="6"/>
  <c r="AG342" i="6"/>
  <c r="A344" i="12"/>
  <c r="N344" i="5"/>
  <c r="D344" i="6" s="1"/>
  <c r="G344" i="6" s="1"/>
  <c r="B344" i="6"/>
  <c r="AE344" i="5"/>
  <c r="K344" i="5"/>
  <c r="G344" i="5"/>
  <c r="F344" i="5"/>
  <c r="E344" i="5"/>
  <c r="D344" i="5"/>
  <c r="B344" i="12" s="1"/>
  <c r="J344" i="5"/>
  <c r="B344" i="5"/>
  <c r="C345" i="5"/>
  <c r="H344" i="5"/>
  <c r="AD344" i="5"/>
  <c r="A343" i="6"/>
  <c r="J343" i="12" a="1"/>
  <c r="J343" i="12" s="1"/>
  <c r="L343" i="12" a="1"/>
  <c r="L343" i="12" s="1"/>
  <c r="BA342" i="6"/>
  <c r="BB342" i="6"/>
  <c r="BD342" i="6"/>
  <c r="AP342" i="6"/>
  <c r="AR342" i="6"/>
  <c r="T343" i="5"/>
  <c r="K343" i="12" l="1"/>
  <c r="H344" i="6"/>
  <c r="N345" i="5"/>
  <c r="D345" i="6" s="1"/>
  <c r="G345" i="6" s="1"/>
  <c r="AE345" i="5"/>
  <c r="AD345" i="5"/>
  <c r="K345" i="5"/>
  <c r="J345" i="5"/>
  <c r="E345" i="5"/>
  <c r="D345" i="5"/>
  <c r="B345" i="12" s="1"/>
  <c r="F345" i="5"/>
  <c r="G345" i="5"/>
  <c r="H345" i="5"/>
  <c r="A345" i="12"/>
  <c r="B345" i="6"/>
  <c r="B345" i="5"/>
  <c r="C346" i="5" s="1"/>
  <c r="N343" i="6"/>
  <c r="M343" i="6"/>
  <c r="A344" i="6"/>
  <c r="J344" i="12" a="1"/>
  <c r="J344" i="12" s="1"/>
  <c r="L344" i="12" a="1"/>
  <c r="L344" i="12" s="1"/>
  <c r="G343" i="12"/>
  <c r="T344" i="5"/>
  <c r="H345" i="6" l="1"/>
  <c r="T345" i="5" s="1"/>
  <c r="K344" i="12"/>
  <c r="A345" i="6"/>
  <c r="N345" i="6" s="1"/>
  <c r="J345" i="12" a="1"/>
  <c r="J345" i="12" s="1"/>
  <c r="L345" i="12" a="1"/>
  <c r="L345" i="12" s="1"/>
  <c r="N344" i="6"/>
  <c r="M344" i="6"/>
  <c r="BG343" i="6"/>
  <c r="AV343" i="6"/>
  <c r="BA343" i="6"/>
  <c r="AG343" i="6"/>
  <c r="BD343" i="6"/>
  <c r="AU343" i="6"/>
  <c r="AI343" i="6"/>
  <c r="AP343" i="6"/>
  <c r="AD343" i="6"/>
  <c r="AY343" i="6"/>
  <c r="AR343" i="6"/>
  <c r="AH343" i="6"/>
  <c r="BF343" i="6"/>
  <c r="AF343" i="6"/>
  <c r="AO343" i="6"/>
  <c r="BC343" i="6"/>
  <c r="AK343" i="6"/>
  <c r="AT343" i="6"/>
  <c r="BB343" i="6"/>
  <c r="AB343" i="6"/>
  <c r="AC343" i="6"/>
  <c r="AQ343" i="6"/>
  <c r="BE343" i="6"/>
  <c r="AM343" i="6"/>
  <c r="AS343" i="6"/>
  <c r="AJ343" i="6"/>
  <c r="AN343" i="6"/>
  <c r="AE343" i="6"/>
  <c r="AZ343" i="6"/>
  <c r="AX343" i="6"/>
  <c r="W346" i="5"/>
  <c r="H346" i="12" s="1"/>
  <c r="A346" i="12"/>
  <c r="N346" i="5"/>
  <c r="D346" i="6" s="1"/>
  <c r="N346" i="6" s="1"/>
  <c r="I346" i="5"/>
  <c r="B346" i="5"/>
  <c r="B346" i="6"/>
  <c r="C347" i="5"/>
  <c r="AD346" i="5"/>
  <c r="H346" i="5"/>
  <c r="G346" i="5"/>
  <c r="E346" i="5"/>
  <c r="F346" i="5"/>
  <c r="AE346" i="5"/>
  <c r="G344" i="12"/>
  <c r="M345" i="6" l="1"/>
  <c r="BB345" i="6" s="1"/>
  <c r="K345" i="12"/>
  <c r="H346" i="6"/>
  <c r="T346" i="5" s="1"/>
  <c r="G346" i="12" s="1"/>
  <c r="M346" i="6"/>
  <c r="AX346" i="6" s="1"/>
  <c r="G346" i="6"/>
  <c r="F347" i="5"/>
  <c r="H347" i="5"/>
  <c r="C348" i="5"/>
  <c r="J347" i="5"/>
  <c r="AD347" i="5"/>
  <c r="G347" i="5"/>
  <c r="E347" i="5"/>
  <c r="A347" i="12"/>
  <c r="B347" i="5"/>
  <c r="N347" i="5"/>
  <c r="D347" i="6" s="1"/>
  <c r="G347" i="6" s="1"/>
  <c r="B347" i="6"/>
  <c r="K347" i="5"/>
  <c r="D347" i="5"/>
  <c r="B347" i="12" s="1"/>
  <c r="AE347" i="5"/>
  <c r="AU344" i="6"/>
  <c r="AJ344" i="6"/>
  <c r="AQ344" i="6"/>
  <c r="AK344" i="6"/>
  <c r="BA344" i="6"/>
  <c r="AM344" i="6"/>
  <c r="AP344" i="6"/>
  <c r="AF344" i="6"/>
  <c r="AV344" i="6"/>
  <c r="AS344" i="6"/>
  <c r="BB344" i="6"/>
  <c r="AH344" i="6"/>
  <c r="AN344" i="6"/>
  <c r="AE344" i="6"/>
  <c r="AY344" i="6"/>
  <c r="AB344" i="6"/>
  <c r="BE344" i="6"/>
  <c r="BF344" i="6"/>
  <c r="AR344" i="6"/>
  <c r="AZ344" i="6"/>
  <c r="AX344" i="6"/>
  <c r="AO344" i="6"/>
  <c r="AI344" i="6"/>
  <c r="AD344" i="6"/>
  <c r="BC344" i="6"/>
  <c r="AT344" i="6"/>
  <c r="AC344" i="6"/>
  <c r="BD344" i="6"/>
  <c r="AG344" i="6"/>
  <c r="BG344" i="6"/>
  <c r="A346" i="6"/>
  <c r="J346" i="6" a="1"/>
  <c r="J346" i="6" s="1"/>
  <c r="AR346" i="6"/>
  <c r="G345" i="12"/>
  <c r="BB346" i="6" l="1"/>
  <c r="AB346" i="6"/>
  <c r="AZ346" i="6"/>
  <c r="H347" i="6"/>
  <c r="AO346" i="6"/>
  <c r="AV346" i="6"/>
  <c r="AU346" i="6"/>
  <c r="AC346" i="6"/>
  <c r="BF346" i="6"/>
  <c r="AG346" i="6"/>
  <c r="BA346" i="6"/>
  <c r="AP346" i="6"/>
  <c r="AE346" i="6"/>
  <c r="BC346" i="6"/>
  <c r="AJ346" i="6"/>
  <c r="AT346" i="6"/>
  <c r="AH346" i="6"/>
  <c r="AI346" i="6"/>
  <c r="BE346" i="6"/>
  <c r="AS346" i="6"/>
  <c r="BG346" i="6"/>
  <c r="AD346" i="6"/>
  <c r="AF346" i="6"/>
  <c r="AN346" i="6"/>
  <c r="AM346" i="6"/>
  <c r="AM345" i="6"/>
  <c r="AI345" i="6"/>
  <c r="AG345" i="6"/>
  <c r="BD345" i="6"/>
  <c r="BF345" i="6"/>
  <c r="AN345" i="6"/>
  <c r="BA345" i="6"/>
  <c r="AJ345" i="6"/>
  <c r="AU345" i="6"/>
  <c r="AY345" i="6"/>
  <c r="AF345" i="6"/>
  <c r="BE345" i="6"/>
  <c r="AR345" i="6"/>
  <c r="AP345" i="6"/>
  <c r="AO345" i="6"/>
  <c r="AC345" i="6"/>
  <c r="AT345" i="6"/>
  <c r="AV345" i="6"/>
  <c r="AS345" i="6"/>
  <c r="AH345" i="6"/>
  <c r="BC345" i="6"/>
  <c r="AX345" i="6"/>
  <c r="AB345" i="6"/>
  <c r="AQ345" i="6"/>
  <c r="AE345" i="6"/>
  <c r="AK345" i="6"/>
  <c r="BG345" i="6"/>
  <c r="AD345" i="6"/>
  <c r="AZ345" i="6"/>
  <c r="AY346" i="6"/>
  <c r="AQ346" i="6"/>
  <c r="BD346" i="6"/>
  <c r="AK346" i="6"/>
  <c r="K348" i="5"/>
  <c r="J348" i="5"/>
  <c r="C349" i="5"/>
  <c r="G348" i="5"/>
  <c r="D348" i="5"/>
  <c r="B348" i="12" s="1"/>
  <c r="AD348" i="5"/>
  <c r="B348" i="5"/>
  <c r="H348" i="5"/>
  <c r="AE348" i="5"/>
  <c r="F348" i="5"/>
  <c r="A348" i="12"/>
  <c r="N348" i="5"/>
  <c r="D348" i="6" s="1"/>
  <c r="B348" i="6"/>
  <c r="E348" i="5"/>
  <c r="A347" i="6"/>
  <c r="J347" i="12" a="1"/>
  <c r="J347" i="12" s="1"/>
  <c r="L347" i="12" a="1"/>
  <c r="L347" i="12" s="1"/>
  <c r="T347" i="5"/>
  <c r="K347" i="12" l="1"/>
  <c r="J348" i="12" a="1"/>
  <c r="J348" i="12" s="1"/>
  <c r="L348" i="12" a="1"/>
  <c r="L348" i="12" s="1"/>
  <c r="H348" i="6"/>
  <c r="T348" i="5" s="1"/>
  <c r="A349" i="12"/>
  <c r="J349" i="5"/>
  <c r="G349" i="5"/>
  <c r="F349" i="5"/>
  <c r="E349" i="5"/>
  <c r="D349" i="5"/>
  <c r="B349" i="12" s="1"/>
  <c r="N349" i="5"/>
  <c r="D349" i="6" s="1"/>
  <c r="H349" i="6" s="1"/>
  <c r="B349" i="6"/>
  <c r="AD349" i="5"/>
  <c r="B349" i="5"/>
  <c r="C350" i="5"/>
  <c r="H349" i="5"/>
  <c r="AE349" i="5"/>
  <c r="K349" i="5"/>
  <c r="G348" i="6"/>
  <c r="M347" i="6"/>
  <c r="N347" i="6"/>
  <c r="A348" i="6"/>
  <c r="G347" i="12"/>
  <c r="K348" i="12" l="1"/>
  <c r="M348" i="6"/>
  <c r="AV348" i="6" s="1"/>
  <c r="A349" i="6"/>
  <c r="N349" i="6" s="1"/>
  <c r="N348" i="6"/>
  <c r="BE347" i="6"/>
  <c r="AN347" i="6"/>
  <c r="BB347" i="6"/>
  <c r="AS347" i="6"/>
  <c r="AE347" i="6"/>
  <c r="AJ347" i="6"/>
  <c r="AR347" i="6"/>
  <c r="AV347" i="6"/>
  <c r="BC347" i="6"/>
  <c r="BA347" i="6"/>
  <c r="BF347" i="6"/>
  <c r="BG347" i="6"/>
  <c r="AX347" i="6"/>
  <c r="AB347" i="6"/>
  <c r="AO347" i="6"/>
  <c r="AD347" i="6"/>
  <c r="AQ347" i="6"/>
  <c r="AH347" i="6"/>
  <c r="AK347" i="6"/>
  <c r="AU347" i="6"/>
  <c r="AZ347" i="6"/>
  <c r="AY347" i="6"/>
  <c r="AT347" i="6"/>
  <c r="AP347" i="6"/>
  <c r="BD347" i="6"/>
  <c r="AI347" i="6"/>
  <c r="AF347" i="6"/>
  <c r="AG347" i="6"/>
  <c r="AM347" i="6"/>
  <c r="AC347" i="6"/>
  <c r="L349" i="12" a="1"/>
  <c r="L349" i="12" s="1"/>
  <c r="J349" i="12" a="1"/>
  <c r="J349" i="12" s="1"/>
  <c r="G349" i="6"/>
  <c r="D350" i="5"/>
  <c r="B350" i="12" s="1"/>
  <c r="B350" i="5"/>
  <c r="F350" i="5"/>
  <c r="A350" i="12"/>
  <c r="B350" i="6"/>
  <c r="G350" i="5"/>
  <c r="E350" i="5"/>
  <c r="C351" i="5"/>
  <c r="H350" i="5"/>
  <c r="AD350" i="5"/>
  <c r="N350" i="5"/>
  <c r="D350" i="6" s="1"/>
  <c r="G350" i="6" s="1"/>
  <c r="AE350" i="5"/>
  <c r="J350" i="5"/>
  <c r="K350" i="5"/>
  <c r="T349" i="5"/>
  <c r="G348" i="12"/>
  <c r="M349" i="6" l="1"/>
  <c r="AB349" i="6" s="1"/>
  <c r="AG348" i="6"/>
  <c r="BB348" i="6"/>
  <c r="AF348" i="6"/>
  <c r="AR348" i="6"/>
  <c r="AD348" i="6"/>
  <c r="AK348" i="6"/>
  <c r="AX348" i="6"/>
  <c r="AT348" i="6"/>
  <c r="AQ348" i="6"/>
  <c r="AJ348" i="6"/>
  <c r="AE348" i="6"/>
  <c r="AB348" i="6"/>
  <c r="AC348" i="6"/>
  <c r="AN348" i="6"/>
  <c r="BD348" i="6"/>
  <c r="AY348" i="6"/>
  <c r="BC348" i="6"/>
  <c r="AP348" i="6"/>
  <c r="BG348" i="6"/>
  <c r="BA348" i="6"/>
  <c r="AM348" i="6"/>
  <c r="AU348" i="6"/>
  <c r="AZ348" i="6"/>
  <c r="BE348" i="6"/>
  <c r="AH348" i="6"/>
  <c r="AI348" i="6"/>
  <c r="AS348" i="6"/>
  <c r="AO348" i="6"/>
  <c r="BF348" i="6"/>
  <c r="H350" i="6"/>
  <c r="T350" i="5" s="1"/>
  <c r="A350" i="6"/>
  <c r="M350" i="6" s="1"/>
  <c r="AU350" i="6" s="1"/>
  <c r="K351" i="5"/>
  <c r="J351" i="5"/>
  <c r="AE351" i="5"/>
  <c r="A351" i="12"/>
  <c r="N351" i="5"/>
  <c r="D351" i="6" s="1"/>
  <c r="H351" i="6" s="1"/>
  <c r="B351" i="5"/>
  <c r="H351" i="5"/>
  <c r="F351" i="5"/>
  <c r="E351" i="5"/>
  <c r="AD351" i="5"/>
  <c r="B351" i="6"/>
  <c r="C352" i="5"/>
  <c r="G351" i="5"/>
  <c r="D351" i="5"/>
  <c r="B351" i="12" s="1"/>
  <c r="J350" i="12" a="1"/>
  <c r="J350" i="12" s="1"/>
  <c r="L350" i="12" a="1"/>
  <c r="L350" i="12" s="1"/>
  <c r="K349" i="12"/>
  <c r="G349" i="12"/>
  <c r="AR349" i="6" l="1"/>
  <c r="AH349" i="6"/>
  <c r="AG349" i="6"/>
  <c r="AE349" i="6"/>
  <c r="AK349" i="6"/>
  <c r="AY349" i="6"/>
  <c r="AV349" i="6"/>
  <c r="BE349" i="6"/>
  <c r="BF349" i="6"/>
  <c r="AD349" i="6"/>
  <c r="AP349" i="6"/>
  <c r="BG349" i="6"/>
  <c r="BB349" i="6"/>
  <c r="BC349" i="6"/>
  <c r="AU349" i="6"/>
  <c r="AS349" i="6"/>
  <c r="AI349" i="6"/>
  <c r="AX349" i="6"/>
  <c r="BA349" i="6"/>
  <c r="AN349" i="6"/>
  <c r="AO349" i="6"/>
  <c r="BD349" i="6"/>
  <c r="AC349" i="6"/>
  <c r="AQ349" i="6"/>
  <c r="AT349" i="6"/>
  <c r="AJ349" i="6"/>
  <c r="AM349" i="6"/>
  <c r="AZ349" i="6"/>
  <c r="AF349" i="6"/>
  <c r="A351" i="6"/>
  <c r="M351" i="6" s="1"/>
  <c r="AV351" i="6" s="1"/>
  <c r="AV350" i="6"/>
  <c r="AG350" i="6"/>
  <c r="BD350" i="6"/>
  <c r="BF350" i="6"/>
  <c r="AR350" i="6"/>
  <c r="AQ350" i="6"/>
  <c r="AY350" i="6"/>
  <c r="BC350" i="6"/>
  <c r="BE350" i="6"/>
  <c r="BA350" i="6"/>
  <c r="AJ350" i="6"/>
  <c r="AP350" i="6"/>
  <c r="AK350" i="6"/>
  <c r="AO350" i="6"/>
  <c r="AC350" i="6"/>
  <c r="AB350" i="6"/>
  <c r="AE350" i="6"/>
  <c r="AD350" i="6"/>
  <c r="AI350" i="6"/>
  <c r="AZ350" i="6"/>
  <c r="AF350" i="6"/>
  <c r="AH350" i="6"/>
  <c r="BB350" i="6"/>
  <c r="AX350" i="6"/>
  <c r="BG350" i="6"/>
  <c r="AN350" i="6"/>
  <c r="N350" i="6"/>
  <c r="AT350" i="6"/>
  <c r="AS350" i="6"/>
  <c r="AM350" i="6"/>
  <c r="G351" i="6"/>
  <c r="K350" i="12"/>
  <c r="J351" i="12" a="1"/>
  <c r="J351" i="12" s="1"/>
  <c r="L351" i="12" a="1"/>
  <c r="L351" i="12" s="1"/>
  <c r="N352" i="5"/>
  <c r="D352" i="6" s="1"/>
  <c r="AD352" i="5"/>
  <c r="J352" i="5"/>
  <c r="AE352" i="5"/>
  <c r="B352" i="6"/>
  <c r="E352" i="5"/>
  <c r="B352" i="5"/>
  <c r="K352" i="5"/>
  <c r="F352" i="5"/>
  <c r="C353" i="5"/>
  <c r="H352" i="5"/>
  <c r="A352" i="12"/>
  <c r="G352" i="5"/>
  <c r="D352" i="5"/>
  <c r="B352" i="12" s="1"/>
  <c r="T351" i="5"/>
  <c r="G350" i="12"/>
  <c r="N351" i="6" l="1"/>
  <c r="AC351" i="6"/>
  <c r="AQ351" i="6"/>
  <c r="AB351" i="6"/>
  <c r="AD351" i="6"/>
  <c r="AU351" i="6"/>
  <c r="BG351" i="6"/>
  <c r="AZ351" i="6"/>
  <c r="AX351" i="6"/>
  <c r="BF351" i="6"/>
  <c r="AG351" i="6"/>
  <c r="BB351" i="6"/>
  <c r="BA351" i="6"/>
  <c r="AF351" i="6"/>
  <c r="AP351" i="6"/>
  <c r="AT351" i="6"/>
  <c r="AH351" i="6"/>
  <c r="AS351" i="6"/>
  <c r="AO351" i="6"/>
  <c r="BD351" i="6"/>
  <c r="BE351" i="6"/>
  <c r="AK351" i="6"/>
  <c r="AI351" i="6"/>
  <c r="AM351" i="6"/>
  <c r="AE351" i="6"/>
  <c r="AY351" i="6"/>
  <c r="AJ351" i="6"/>
  <c r="BC351" i="6"/>
  <c r="AR351" i="6"/>
  <c r="AN351" i="6"/>
  <c r="K351" i="12"/>
  <c r="A352" i="6"/>
  <c r="M352" i="6" s="1"/>
  <c r="BA352" i="6" s="1"/>
  <c r="H352" i="6"/>
  <c r="G352" i="6"/>
  <c r="J352" i="12" a="1"/>
  <c r="J352" i="12" s="1"/>
  <c r="L352" i="12" a="1"/>
  <c r="L352" i="12" s="1"/>
  <c r="A353" i="12"/>
  <c r="D353" i="5"/>
  <c r="B353" i="12" s="1"/>
  <c r="C354" i="5"/>
  <c r="B353" i="6"/>
  <c r="B353" i="5"/>
  <c r="J353" i="5"/>
  <c r="E353" i="5"/>
  <c r="H353" i="5"/>
  <c r="G353" i="5"/>
  <c r="F353" i="5"/>
  <c r="N353" i="5"/>
  <c r="D353" i="6" s="1"/>
  <c r="H353" i="6" s="1"/>
  <c r="AE353" i="5"/>
  <c r="K353" i="5"/>
  <c r="AD353" i="5"/>
  <c r="G351" i="12"/>
  <c r="AE352" i="6" l="1"/>
  <c r="T352" i="5"/>
  <c r="G352" i="12" s="1"/>
  <c r="AB352" i="6"/>
  <c r="AX352" i="6"/>
  <c r="AK352" i="6"/>
  <c r="AT352" i="6"/>
  <c r="AH352" i="6"/>
  <c r="G353" i="6"/>
  <c r="AG352" i="6"/>
  <c r="AY352" i="6"/>
  <c r="AF352" i="6"/>
  <c r="AC352" i="6"/>
  <c r="K352" i="12"/>
  <c r="BD352" i="6"/>
  <c r="AQ352" i="6"/>
  <c r="AD352" i="6"/>
  <c r="AU352" i="6"/>
  <c r="AV352" i="6"/>
  <c r="BC352" i="6"/>
  <c r="AZ352" i="6"/>
  <c r="AJ352" i="6"/>
  <c r="BG352" i="6"/>
  <c r="BF352" i="6"/>
  <c r="AR352" i="6"/>
  <c r="BB352" i="6"/>
  <c r="AN352" i="6"/>
  <c r="AO352" i="6"/>
  <c r="AI352" i="6"/>
  <c r="AP352" i="6"/>
  <c r="BE352" i="6"/>
  <c r="AM352" i="6"/>
  <c r="AS352" i="6"/>
  <c r="N352" i="6"/>
  <c r="AE354" i="5"/>
  <c r="A354" i="12"/>
  <c r="AD354" i="5"/>
  <c r="B354" i="6"/>
  <c r="F354" i="5"/>
  <c r="G354" i="5"/>
  <c r="E354" i="5"/>
  <c r="D354" i="5"/>
  <c r="B354" i="12" s="1"/>
  <c r="B354" i="5"/>
  <c r="N354" i="5"/>
  <c r="D354" i="6" s="1"/>
  <c r="C355" i="5"/>
  <c r="H354" i="5"/>
  <c r="J354" i="5"/>
  <c r="K354" i="5"/>
  <c r="L353" i="12" a="1"/>
  <c r="L353" i="12" s="1"/>
  <c r="J353" i="12" a="1"/>
  <c r="J353" i="12" s="1"/>
  <c r="A353" i="6"/>
  <c r="T353" i="5"/>
  <c r="A354" i="6" l="1"/>
  <c r="N354" i="6" s="1"/>
  <c r="K353" i="12"/>
  <c r="B355" i="6"/>
  <c r="D355" i="5"/>
  <c r="B355" i="12" s="1"/>
  <c r="AE355" i="5"/>
  <c r="AD355" i="5"/>
  <c r="G355" i="5"/>
  <c r="K355" i="5"/>
  <c r="F355" i="5"/>
  <c r="J355" i="5"/>
  <c r="A355" i="12"/>
  <c r="C356" i="5"/>
  <c r="H355" i="5"/>
  <c r="B355" i="5"/>
  <c r="N355" i="5"/>
  <c r="D355" i="6" s="1"/>
  <c r="G355" i="6" s="1"/>
  <c r="E355" i="5"/>
  <c r="H354" i="6"/>
  <c r="T354" i="5" s="1"/>
  <c r="N353" i="6"/>
  <c r="M353" i="6"/>
  <c r="G354" i="6"/>
  <c r="J354" i="12" a="1"/>
  <c r="J354" i="12" s="1"/>
  <c r="L354" i="12" a="1"/>
  <c r="L354" i="12" s="1"/>
  <c r="G353" i="12"/>
  <c r="M354" i="6" l="1"/>
  <c r="AC354" i="6" s="1"/>
  <c r="A355" i="6"/>
  <c r="N355" i="6" s="1"/>
  <c r="H355" i="6"/>
  <c r="J355" i="12" a="1"/>
  <c r="J355" i="12" s="1"/>
  <c r="L355" i="12" a="1"/>
  <c r="L355" i="12" s="1"/>
  <c r="G356" i="5"/>
  <c r="F356" i="5"/>
  <c r="E356" i="5"/>
  <c r="D356" i="5"/>
  <c r="B356" i="12" s="1"/>
  <c r="H356" i="5"/>
  <c r="AD356" i="5"/>
  <c r="AE356" i="5"/>
  <c r="A356" i="12"/>
  <c r="J356" i="5"/>
  <c r="K356" i="5"/>
  <c r="N356" i="5"/>
  <c r="D356" i="6" s="1"/>
  <c r="G356" i="6" s="1"/>
  <c r="B356" i="5"/>
  <c r="C357" i="5"/>
  <c r="B356" i="6"/>
  <c r="K354" i="12"/>
  <c r="AN353" i="6"/>
  <c r="AU353" i="6"/>
  <c r="AX353" i="6"/>
  <c r="BD353" i="6"/>
  <c r="BE353" i="6"/>
  <c r="AQ353" i="6"/>
  <c r="BB353" i="6"/>
  <c r="BG353" i="6"/>
  <c r="AZ353" i="6"/>
  <c r="AE353" i="6"/>
  <c r="AJ353" i="6"/>
  <c r="AR353" i="6"/>
  <c r="AO353" i="6"/>
  <c r="AV353" i="6"/>
  <c r="AI353" i="6"/>
  <c r="AY353" i="6"/>
  <c r="AM353" i="6"/>
  <c r="AG353" i="6"/>
  <c r="BF353" i="6"/>
  <c r="BC353" i="6"/>
  <c r="AB353" i="6"/>
  <c r="AK353" i="6"/>
  <c r="AP353" i="6"/>
  <c r="AF353" i="6"/>
  <c r="AS353" i="6"/>
  <c r="AD353" i="6"/>
  <c r="AH353" i="6"/>
  <c r="AT353" i="6"/>
  <c r="BA353" i="6"/>
  <c r="AC353" i="6"/>
  <c r="G354" i="12"/>
  <c r="T355" i="5"/>
  <c r="AH354" i="6" l="1"/>
  <c r="BB354" i="6"/>
  <c r="AX354" i="6"/>
  <c r="BF354" i="6"/>
  <c r="BC354" i="6"/>
  <c r="BA354" i="6"/>
  <c r="AD354" i="6"/>
  <c r="AI354" i="6"/>
  <c r="BG354" i="6"/>
  <c r="AR354" i="6"/>
  <c r="AJ354" i="6"/>
  <c r="BD354" i="6"/>
  <c r="AO354" i="6"/>
  <c r="AP354" i="6"/>
  <c r="AU354" i="6"/>
  <c r="AK354" i="6"/>
  <c r="AG354" i="6"/>
  <c r="AQ354" i="6"/>
  <c r="AZ354" i="6"/>
  <c r="AV354" i="6"/>
  <c r="BE354" i="6"/>
  <c r="AM354" i="6"/>
  <c r="AN354" i="6"/>
  <c r="AB354" i="6"/>
  <c r="AT354" i="6"/>
  <c r="AY354" i="6"/>
  <c r="AS354" i="6"/>
  <c r="AE354" i="6"/>
  <c r="AF354" i="6"/>
  <c r="M355" i="6"/>
  <c r="AD355" i="6" s="1"/>
  <c r="A356" i="6"/>
  <c r="N356" i="6" s="1"/>
  <c r="H356" i="6"/>
  <c r="T356" i="5" s="1"/>
  <c r="K355" i="12"/>
  <c r="L356" i="12" a="1"/>
  <c r="L356" i="12" s="1"/>
  <c r="J356" i="12" a="1"/>
  <c r="J356" i="12" s="1"/>
  <c r="J357" i="5"/>
  <c r="D357" i="5"/>
  <c r="B357" i="12" s="1"/>
  <c r="H357" i="5"/>
  <c r="E357" i="5"/>
  <c r="G357" i="5"/>
  <c r="A357" i="12"/>
  <c r="C358" i="5"/>
  <c r="B357" i="6"/>
  <c r="F357" i="5"/>
  <c r="B357" i="5"/>
  <c r="N357" i="5"/>
  <c r="D357" i="6" s="1"/>
  <c r="H357" i="6" s="1"/>
  <c r="AE357" i="5"/>
  <c r="AD357" i="5"/>
  <c r="K357" i="5"/>
  <c r="G355" i="12"/>
  <c r="AT355" i="6" l="1"/>
  <c r="AS355" i="6"/>
  <c r="BC355" i="6"/>
  <c r="BF355" i="6"/>
  <c r="AI355" i="6"/>
  <c r="AJ355" i="6"/>
  <c r="AC355" i="6"/>
  <c r="AB355" i="6"/>
  <c r="AP355" i="6"/>
  <c r="AN355" i="6"/>
  <c r="BD355" i="6"/>
  <c r="BG355" i="6"/>
  <c r="AF355" i="6"/>
  <c r="AZ355" i="6"/>
  <c r="AM355" i="6"/>
  <c r="AO355" i="6"/>
  <c r="AK355" i="6"/>
  <c r="AQ355" i="6"/>
  <c r="BB355" i="6"/>
  <c r="AE355" i="6"/>
  <c r="AV355" i="6"/>
  <c r="AH355" i="6"/>
  <c r="AY355" i="6"/>
  <c r="AR355" i="6"/>
  <c r="AG355" i="6"/>
  <c r="BA355" i="6"/>
  <c r="AX355" i="6"/>
  <c r="AU355" i="6"/>
  <c r="BE355" i="6"/>
  <c r="M356" i="6"/>
  <c r="AO356" i="6" s="1"/>
  <c r="A357" i="6"/>
  <c r="N357" i="6" s="1"/>
  <c r="L357" i="12" a="1"/>
  <c r="L357" i="12" s="1"/>
  <c r="J357" i="12" a="1"/>
  <c r="J357" i="12" s="1"/>
  <c r="B358" i="6"/>
  <c r="B358" i="5"/>
  <c r="C359" i="5"/>
  <c r="D358" i="5"/>
  <c r="B358" i="12" s="1"/>
  <c r="H358" i="5"/>
  <c r="K358" i="5"/>
  <c r="G358" i="5"/>
  <c r="A358" i="12"/>
  <c r="F358" i="5"/>
  <c r="E358" i="5"/>
  <c r="AE358" i="5"/>
  <c r="AD358" i="5"/>
  <c r="N358" i="5"/>
  <c r="D358" i="6" s="1"/>
  <c r="G358" i="6" s="1"/>
  <c r="J358" i="5"/>
  <c r="G357" i="6"/>
  <c r="K356" i="12"/>
  <c r="G356" i="12"/>
  <c r="T357" i="5"/>
  <c r="K357" i="12" l="1"/>
  <c r="M357" i="6"/>
  <c r="AX357" i="6" s="1"/>
  <c r="BE356" i="6"/>
  <c r="AP356" i="6"/>
  <c r="AT356" i="6"/>
  <c r="AE356" i="6"/>
  <c r="AQ356" i="6"/>
  <c r="AK356" i="6"/>
  <c r="AI356" i="6"/>
  <c r="BA356" i="6"/>
  <c r="BD356" i="6"/>
  <c r="AG356" i="6"/>
  <c r="BB356" i="6"/>
  <c r="BF356" i="6"/>
  <c r="BC356" i="6"/>
  <c r="AM356" i="6"/>
  <c r="AU356" i="6"/>
  <c r="AR356" i="6"/>
  <c r="A358" i="6"/>
  <c r="N358" i="6" s="1"/>
  <c r="AD356" i="6"/>
  <c r="AB356" i="6"/>
  <c r="AS356" i="6"/>
  <c r="BG356" i="6"/>
  <c r="AJ356" i="6"/>
  <c r="AN356" i="6"/>
  <c r="AC356" i="6"/>
  <c r="AF356" i="6"/>
  <c r="AV356" i="6"/>
  <c r="AX356" i="6"/>
  <c r="AH356" i="6"/>
  <c r="AZ356" i="6"/>
  <c r="AY356" i="6"/>
  <c r="H358" i="6"/>
  <c r="T358" i="5" s="1"/>
  <c r="F359" i="5"/>
  <c r="C360" i="5"/>
  <c r="H359" i="5"/>
  <c r="E359" i="5"/>
  <c r="A359" i="12"/>
  <c r="K359" i="5"/>
  <c r="B359" i="6"/>
  <c r="AD359" i="5"/>
  <c r="D359" i="5"/>
  <c r="B359" i="12" s="1"/>
  <c r="B359" i="5"/>
  <c r="J359" i="5"/>
  <c r="AE359" i="5"/>
  <c r="G359" i="5"/>
  <c r="N359" i="5"/>
  <c r="D359" i="6" s="1"/>
  <c r="J358" i="12" a="1"/>
  <c r="J358" i="12" s="1"/>
  <c r="L358" i="12" a="1"/>
  <c r="L358" i="12" s="1"/>
  <c r="G357" i="12"/>
  <c r="A359" i="6" l="1"/>
  <c r="N359" i="6" s="1"/>
  <c r="BB357" i="6"/>
  <c r="AC357" i="6"/>
  <c r="M358" i="6"/>
  <c r="AH358" i="6" s="1"/>
  <c r="AQ357" i="6"/>
  <c r="AM357" i="6"/>
  <c r="BD357" i="6"/>
  <c r="AD357" i="6"/>
  <c r="BC357" i="6"/>
  <c r="AJ357" i="6"/>
  <c r="AB357" i="6"/>
  <c r="AK357" i="6"/>
  <c r="BF357" i="6"/>
  <c r="AT357" i="6"/>
  <c r="AE357" i="6"/>
  <c r="AG357" i="6"/>
  <c r="BE357" i="6"/>
  <c r="AO357" i="6"/>
  <c r="AF357" i="6"/>
  <c r="AZ357" i="6"/>
  <c r="AS357" i="6"/>
  <c r="BA357" i="6"/>
  <c r="AY357" i="6"/>
  <c r="AV357" i="6"/>
  <c r="AP357" i="6"/>
  <c r="AH357" i="6"/>
  <c r="AI357" i="6"/>
  <c r="AU357" i="6"/>
  <c r="AR357" i="6"/>
  <c r="BG357" i="6"/>
  <c r="AN357" i="6"/>
  <c r="H359" i="6"/>
  <c r="T359" i="5" s="1"/>
  <c r="G359" i="6"/>
  <c r="J359" i="12" a="1"/>
  <c r="J359" i="12" s="1"/>
  <c r="L359" i="12" a="1"/>
  <c r="L359" i="12" s="1"/>
  <c r="N360" i="5"/>
  <c r="D360" i="6" s="1"/>
  <c r="H360" i="6" s="1"/>
  <c r="F360" i="5"/>
  <c r="E360" i="5"/>
  <c r="D360" i="5"/>
  <c r="B360" i="12" s="1"/>
  <c r="B360" i="5"/>
  <c r="A360" i="12"/>
  <c r="C361" i="5"/>
  <c r="B360" i="6"/>
  <c r="AE360" i="5"/>
  <c r="AD360" i="5"/>
  <c r="K360" i="5"/>
  <c r="G360" i="5"/>
  <c r="J360" i="5"/>
  <c r="H360" i="5"/>
  <c r="K358" i="12"/>
  <c r="G358" i="12"/>
  <c r="M359" i="6"/>
  <c r="AI359" i="6" l="1"/>
  <c r="AD358" i="6"/>
  <c r="BA358" i="6"/>
  <c r="G360" i="6"/>
  <c r="BE358" i="6"/>
  <c r="AX358" i="6"/>
  <c r="BF358" i="6"/>
  <c r="AR358" i="6"/>
  <c r="BC358" i="6"/>
  <c r="AQ358" i="6"/>
  <c r="AK358" i="6"/>
  <c r="AT358" i="6"/>
  <c r="BD358" i="6"/>
  <c r="AE358" i="6"/>
  <c r="BG358" i="6"/>
  <c r="AJ358" i="6"/>
  <c r="AB358" i="6"/>
  <c r="AO358" i="6"/>
  <c r="AU358" i="6"/>
  <c r="AG358" i="6"/>
  <c r="BB358" i="6"/>
  <c r="AZ358" i="6"/>
  <c r="AC358" i="6"/>
  <c r="AV358" i="6"/>
  <c r="AM358" i="6"/>
  <c r="A360" i="6"/>
  <c r="M360" i="6" s="1"/>
  <c r="BB360" i="6" s="1"/>
  <c r="AI358" i="6"/>
  <c r="AS358" i="6"/>
  <c r="AF358" i="6"/>
  <c r="AY358" i="6"/>
  <c r="AN358" i="6"/>
  <c r="AP358" i="6"/>
  <c r="J360" i="12" a="1"/>
  <c r="J360" i="12" s="1"/>
  <c r="L360" i="12" a="1"/>
  <c r="L360" i="12" s="1"/>
  <c r="A361" i="12"/>
  <c r="N361" i="5"/>
  <c r="D361" i="6" s="1"/>
  <c r="G361" i="6" s="1"/>
  <c r="B361" i="6"/>
  <c r="K361" i="5"/>
  <c r="E361" i="5"/>
  <c r="AE361" i="5"/>
  <c r="D361" i="5"/>
  <c r="B361" i="12" s="1"/>
  <c r="H361" i="5"/>
  <c r="J361" i="5"/>
  <c r="G361" i="5"/>
  <c r="F361" i="5"/>
  <c r="B361" i="5"/>
  <c r="C362" i="5"/>
  <c r="AD361" i="5"/>
  <c r="K359" i="12"/>
  <c r="T360" i="5"/>
  <c r="AC359" i="6"/>
  <c r="BB359" i="6"/>
  <c r="AP359" i="6"/>
  <c r="AX359" i="6"/>
  <c r="AO359" i="6"/>
  <c r="BE359" i="6"/>
  <c r="BF359" i="6"/>
  <c r="BD359" i="6"/>
  <c r="AV359" i="6"/>
  <c r="AS359" i="6"/>
  <c r="BC359" i="6"/>
  <c r="AF359" i="6"/>
  <c r="BA359" i="6"/>
  <c r="BG359" i="6"/>
  <c r="AR359" i="6"/>
  <c r="AY359" i="6"/>
  <c r="AH359" i="6"/>
  <c r="AU359" i="6"/>
  <c r="AQ359" i="6"/>
  <c r="AN359" i="6"/>
  <c r="AE359" i="6"/>
  <c r="AT359" i="6"/>
  <c r="AM359" i="6"/>
  <c r="AG359" i="6"/>
  <c r="AZ359" i="6"/>
  <c r="AD359" i="6"/>
  <c r="AJ359" i="6"/>
  <c r="AB359" i="6"/>
  <c r="G359" i="12"/>
  <c r="AK359" i="6"/>
  <c r="N360" i="6" l="1"/>
  <c r="K360" i="12"/>
  <c r="AX360" i="6"/>
  <c r="AP360" i="6"/>
  <c r="AO360" i="6"/>
  <c r="AM360" i="6"/>
  <c r="AE360" i="6"/>
  <c r="A361" i="6"/>
  <c r="N361" i="6" s="1"/>
  <c r="H361" i="6"/>
  <c r="T361" i="5" s="1"/>
  <c r="AS360" i="6"/>
  <c r="AY360" i="6"/>
  <c r="AG360" i="6"/>
  <c r="AU360" i="6"/>
  <c r="AH360" i="6"/>
  <c r="AC360" i="6"/>
  <c r="BF360" i="6"/>
  <c r="AV360" i="6"/>
  <c r="AK360" i="6"/>
  <c r="BD360" i="6"/>
  <c r="AQ360" i="6"/>
  <c r="AB360" i="6"/>
  <c r="AF360" i="6"/>
  <c r="BC360" i="6"/>
  <c r="AN360" i="6"/>
  <c r="AT360" i="6"/>
  <c r="K362" i="5"/>
  <c r="J362" i="5"/>
  <c r="D362" i="5"/>
  <c r="B362" i="12" s="1"/>
  <c r="E362" i="5"/>
  <c r="B362" i="6"/>
  <c r="N362" i="5"/>
  <c r="D362" i="6" s="1"/>
  <c r="H362" i="6" s="1"/>
  <c r="C363" i="5"/>
  <c r="F362" i="5"/>
  <c r="H362" i="5"/>
  <c r="B362" i="5"/>
  <c r="A362" i="12"/>
  <c r="G362" i="5"/>
  <c r="AD362" i="5"/>
  <c r="AE362" i="5"/>
  <c r="J361" i="12" a="1"/>
  <c r="J361" i="12" s="1"/>
  <c r="L361" i="12" a="1"/>
  <c r="L361" i="12" s="1"/>
  <c r="AR360" i="6"/>
  <c r="BA360" i="6"/>
  <c r="AJ360" i="6"/>
  <c r="AZ360" i="6"/>
  <c r="AI360" i="6"/>
  <c r="BG360" i="6"/>
  <c r="AD360" i="6"/>
  <c r="BE360" i="6"/>
  <c r="G360" i="12"/>
  <c r="G362" i="6" l="1"/>
  <c r="A362" i="6"/>
  <c r="M362" i="6" s="1"/>
  <c r="AJ362" i="6" s="1"/>
  <c r="M361" i="6"/>
  <c r="BG361" i="6" s="1"/>
  <c r="C364" i="5"/>
  <c r="H363" i="5"/>
  <c r="G363" i="5"/>
  <c r="B363" i="6"/>
  <c r="F363" i="5"/>
  <c r="E363" i="5"/>
  <c r="AD363" i="5"/>
  <c r="B363" i="5"/>
  <c r="D363" i="5"/>
  <c r="B363" i="12" s="1"/>
  <c r="N363" i="5"/>
  <c r="D363" i="6" s="1"/>
  <c r="H363" i="6" s="1"/>
  <c r="K363" i="5"/>
  <c r="J363" i="5"/>
  <c r="A363" i="12"/>
  <c r="AE363" i="5"/>
  <c r="K361" i="12"/>
  <c r="L362" i="12" a="1"/>
  <c r="L362" i="12" s="1"/>
  <c r="J362" i="12" a="1"/>
  <c r="J362" i="12" s="1"/>
  <c r="G361" i="12"/>
  <c r="T362" i="5"/>
  <c r="N362" i="6" l="1"/>
  <c r="BA362" i="6"/>
  <c r="AT362" i="6"/>
  <c r="AG362" i="6"/>
  <c r="AV362" i="6"/>
  <c r="AU362" i="6"/>
  <c r="AE362" i="6"/>
  <c r="AY362" i="6"/>
  <c r="AN362" i="6"/>
  <c r="BC362" i="6"/>
  <c r="AZ362" i="6"/>
  <c r="BB362" i="6"/>
  <c r="AB362" i="6"/>
  <c r="AH362" i="6"/>
  <c r="AS362" i="6"/>
  <c r="AO362" i="6"/>
  <c r="BD362" i="6"/>
  <c r="AI362" i="6"/>
  <c r="AD362" i="6"/>
  <c r="BE362" i="6"/>
  <c r="AR362" i="6"/>
  <c r="K362" i="12"/>
  <c r="BG362" i="6"/>
  <c r="AQ362" i="6"/>
  <c r="AX362" i="6"/>
  <c r="AF362" i="6"/>
  <c r="AC362" i="6"/>
  <c r="AM362" i="6"/>
  <c r="BF362" i="6"/>
  <c r="AK362" i="6"/>
  <c r="AP362" i="6"/>
  <c r="AV361" i="6"/>
  <c r="BB361" i="6"/>
  <c r="AO361" i="6"/>
  <c r="AK361" i="6"/>
  <c r="AT361" i="6"/>
  <c r="AI361" i="6"/>
  <c r="AS361" i="6"/>
  <c r="AF361" i="6"/>
  <c r="AR361" i="6"/>
  <c r="AN361" i="6"/>
  <c r="AM361" i="6"/>
  <c r="AX361" i="6"/>
  <c r="BC361" i="6"/>
  <c r="AZ361" i="6"/>
  <c r="BA361" i="6"/>
  <c r="AH361" i="6"/>
  <c r="AG361" i="6"/>
  <c r="AC361" i="6"/>
  <c r="AB361" i="6"/>
  <c r="AU361" i="6"/>
  <c r="BE361" i="6"/>
  <c r="AD361" i="6"/>
  <c r="BF361" i="6"/>
  <c r="AQ361" i="6"/>
  <c r="AY361" i="6"/>
  <c r="AP361" i="6"/>
  <c r="BD361" i="6"/>
  <c r="AJ361" i="6"/>
  <c r="AE361" i="6"/>
  <c r="A363" i="6"/>
  <c r="N363" i="6" s="1"/>
  <c r="G363" i="6"/>
  <c r="J363" i="12" a="1"/>
  <c r="J363" i="12" s="1"/>
  <c r="L363" i="12" a="1"/>
  <c r="L363" i="12" s="1"/>
  <c r="N364" i="5"/>
  <c r="D364" i="6" s="1"/>
  <c r="H364" i="6" s="1"/>
  <c r="AE364" i="5"/>
  <c r="K364" i="5"/>
  <c r="F364" i="5"/>
  <c r="AD364" i="5"/>
  <c r="E364" i="5"/>
  <c r="B364" i="6"/>
  <c r="D364" i="5"/>
  <c r="B364" i="12" s="1"/>
  <c r="H364" i="5"/>
  <c r="G364" i="5"/>
  <c r="C365" i="5"/>
  <c r="A364" i="12"/>
  <c r="J364" i="5"/>
  <c r="B364" i="5"/>
  <c r="T363" i="5"/>
  <c r="G362" i="12"/>
  <c r="K363" i="12" l="1"/>
  <c r="A364" i="6"/>
  <c r="N364" i="6" s="1"/>
  <c r="G364" i="6"/>
  <c r="L364" i="12" a="1"/>
  <c r="L364" i="12" s="1"/>
  <c r="J364" i="12" a="1"/>
  <c r="J364" i="12" s="1"/>
  <c r="AE365" i="5"/>
  <c r="D365" i="5"/>
  <c r="B365" i="12" s="1"/>
  <c r="A365" i="12"/>
  <c r="K365" i="5"/>
  <c r="AD365" i="5"/>
  <c r="H365" i="5"/>
  <c r="B365" i="5"/>
  <c r="B365" i="6"/>
  <c r="E365" i="5"/>
  <c r="N365" i="5"/>
  <c r="D365" i="6" s="1"/>
  <c r="F365" i="5"/>
  <c r="G365" i="5"/>
  <c r="C366" i="5"/>
  <c r="J365" i="5"/>
  <c r="M363" i="6"/>
  <c r="T364" i="5"/>
  <c r="G363" i="12"/>
  <c r="M364" i="6" l="1"/>
  <c r="AK364" i="6" s="1"/>
  <c r="A365" i="6"/>
  <c r="N365" i="6" s="1"/>
  <c r="G365" i="6"/>
  <c r="H365" i="6"/>
  <c r="T365" i="5" s="1"/>
  <c r="L365" i="12" a="1"/>
  <c r="L365" i="12" s="1"/>
  <c r="J365" i="12" a="1"/>
  <c r="J365" i="12" s="1"/>
  <c r="AT363" i="6"/>
  <c r="AV363" i="6"/>
  <c r="AY363" i="6"/>
  <c r="AP363" i="6"/>
  <c r="AQ363" i="6"/>
  <c r="AI363" i="6"/>
  <c r="AH363" i="6"/>
  <c r="AB363" i="6"/>
  <c r="AN363" i="6"/>
  <c r="AM363" i="6"/>
  <c r="AO363" i="6"/>
  <c r="AJ363" i="6"/>
  <c r="AD363" i="6"/>
  <c r="AK363" i="6"/>
  <c r="BA363" i="6"/>
  <c r="AG363" i="6"/>
  <c r="AX363" i="6"/>
  <c r="BG363" i="6"/>
  <c r="BF363" i="6"/>
  <c r="AS363" i="6"/>
  <c r="BE363" i="6"/>
  <c r="BB363" i="6"/>
  <c r="AF363" i="6"/>
  <c r="BC363" i="6"/>
  <c r="AZ363" i="6"/>
  <c r="AR363" i="6"/>
  <c r="BD363" i="6"/>
  <c r="AU363" i="6"/>
  <c r="AE363" i="6"/>
  <c r="AC363" i="6"/>
  <c r="F366" i="5"/>
  <c r="E366" i="5"/>
  <c r="D366" i="5"/>
  <c r="B366" i="12" s="1"/>
  <c r="AE366" i="5"/>
  <c r="AD366" i="5"/>
  <c r="B366" i="6"/>
  <c r="K366" i="5"/>
  <c r="H366" i="5"/>
  <c r="J366" i="5"/>
  <c r="A366" i="12"/>
  <c r="N366" i="5"/>
  <c r="D366" i="6" s="1"/>
  <c r="H366" i="6" s="1"/>
  <c r="B366" i="5"/>
  <c r="C367" i="5"/>
  <c r="G366" i="5"/>
  <c r="K364" i="12"/>
  <c r="G364" i="12"/>
  <c r="AU364" i="6" l="1"/>
  <c r="AR364" i="6"/>
  <c r="AI364" i="6"/>
  <c r="AH364" i="6"/>
  <c r="BG364" i="6"/>
  <c r="AP364" i="6"/>
  <c r="BB364" i="6"/>
  <c r="AG364" i="6"/>
  <c r="AX364" i="6"/>
  <c r="AZ364" i="6"/>
  <c r="AJ364" i="6"/>
  <c r="AF364" i="6"/>
  <c r="BF364" i="6"/>
  <c r="AY364" i="6"/>
  <c r="BA364" i="6"/>
  <c r="AB364" i="6"/>
  <c r="BD364" i="6"/>
  <c r="AS364" i="6"/>
  <c r="AT364" i="6"/>
  <c r="AV364" i="6"/>
  <c r="AO364" i="6"/>
  <c r="AC364" i="6"/>
  <c r="AM364" i="6"/>
  <c r="AQ364" i="6"/>
  <c r="AN364" i="6"/>
  <c r="BE364" i="6"/>
  <c r="BC364" i="6"/>
  <c r="AD364" i="6"/>
  <c r="AE364" i="6"/>
  <c r="M365" i="6"/>
  <c r="AC365" i="6" s="1"/>
  <c r="B367" i="5"/>
  <c r="N367" i="5"/>
  <c r="D367" i="6" s="1"/>
  <c r="G367" i="6" s="1"/>
  <c r="H367" i="5"/>
  <c r="G367" i="5"/>
  <c r="C368" i="5"/>
  <c r="B367" i="6"/>
  <c r="AE367" i="5"/>
  <c r="AD367" i="5"/>
  <c r="A367" i="12"/>
  <c r="F367" i="5"/>
  <c r="K367" i="5"/>
  <c r="J367" i="5"/>
  <c r="D367" i="5"/>
  <c r="B367" i="12" s="1"/>
  <c r="E367" i="5"/>
  <c r="L366" i="12" a="1"/>
  <c r="L366" i="12" s="1"/>
  <c r="J366" i="12" a="1"/>
  <c r="J366" i="12" s="1"/>
  <c r="K365" i="12"/>
  <c r="G366" i="6"/>
  <c r="A366" i="6"/>
  <c r="N366" i="6" s="1"/>
  <c r="G365" i="12"/>
  <c r="T366" i="5"/>
  <c r="H367" i="6" l="1"/>
  <c r="AM365" i="6"/>
  <c r="AB365" i="6"/>
  <c r="AV365" i="6"/>
  <c r="AF365" i="6"/>
  <c r="AE365" i="6"/>
  <c r="AZ365" i="6"/>
  <c r="AO365" i="6"/>
  <c r="BG365" i="6"/>
  <c r="BD365" i="6"/>
  <c r="AS365" i="6"/>
  <c r="AI365" i="6"/>
  <c r="AK365" i="6"/>
  <c r="AX365" i="6"/>
  <c r="BE365" i="6"/>
  <c r="BB365" i="6"/>
  <c r="AY365" i="6"/>
  <c r="AU365" i="6"/>
  <c r="AN365" i="6"/>
  <c r="AG365" i="6"/>
  <c r="BC365" i="6"/>
  <c r="AD365" i="6"/>
  <c r="AR365" i="6"/>
  <c r="AH365" i="6"/>
  <c r="BF365" i="6"/>
  <c r="AT365" i="6"/>
  <c r="AJ365" i="6"/>
  <c r="AP365" i="6"/>
  <c r="AQ365" i="6"/>
  <c r="BA365" i="6"/>
  <c r="B368" i="5"/>
  <c r="N368" i="5"/>
  <c r="D368" i="6" s="1"/>
  <c r="H368" i="6" s="1"/>
  <c r="E368" i="5"/>
  <c r="D368" i="5"/>
  <c r="B368" i="12" s="1"/>
  <c r="AE368" i="5"/>
  <c r="K368" i="5"/>
  <c r="A368" i="12"/>
  <c r="F368" i="5"/>
  <c r="C369" i="5"/>
  <c r="AD368" i="5"/>
  <c r="J368" i="5"/>
  <c r="G368" i="5"/>
  <c r="B368" i="6"/>
  <c r="H368" i="5"/>
  <c r="L367" i="12" a="1"/>
  <c r="L367" i="12" s="1"/>
  <c r="J367" i="12" a="1"/>
  <c r="J367" i="12" s="1"/>
  <c r="K366" i="12"/>
  <c r="A367" i="6"/>
  <c r="M367" i="6" s="1"/>
  <c r="BA367" i="6" s="1"/>
  <c r="M366" i="6"/>
  <c r="BC366" i="6" s="1"/>
  <c r="T367" i="5"/>
  <c r="G366" i="12"/>
  <c r="G368" i="6" l="1"/>
  <c r="N367" i="6"/>
  <c r="K367" i="12"/>
  <c r="AM367" i="6"/>
  <c r="AC366" i="6"/>
  <c r="AV366" i="6"/>
  <c r="AF366" i="6"/>
  <c r="AE367" i="6"/>
  <c r="BF367" i="6"/>
  <c r="AD366" i="6"/>
  <c r="AI366" i="6"/>
  <c r="AJ367" i="6"/>
  <c r="AR366" i="6"/>
  <c r="AB366" i="6"/>
  <c r="AQ366" i="6"/>
  <c r="BB367" i="6"/>
  <c r="BE366" i="6"/>
  <c r="AS366" i="6"/>
  <c r="AP367" i="6"/>
  <c r="AZ367" i="6"/>
  <c r="A369" i="12"/>
  <c r="G369" i="5"/>
  <c r="B369" i="6"/>
  <c r="E369" i="5"/>
  <c r="J369" i="5"/>
  <c r="D369" i="5"/>
  <c r="B369" i="12" s="1"/>
  <c r="AE369" i="5"/>
  <c r="K369" i="5"/>
  <c r="B369" i="5"/>
  <c r="C370" i="5" s="1"/>
  <c r="AD369" i="5"/>
  <c r="H369" i="5"/>
  <c r="F369" i="5"/>
  <c r="N369" i="5"/>
  <c r="D369" i="6" s="1"/>
  <c r="AK367" i="6"/>
  <c r="AB367" i="6"/>
  <c r="BA366" i="6"/>
  <c r="AR367" i="6"/>
  <c r="AN367" i="6"/>
  <c r="BD367" i="6"/>
  <c r="AY366" i="6"/>
  <c r="AM366" i="6"/>
  <c r="AQ367" i="6"/>
  <c r="AY367" i="6"/>
  <c r="L368" i="12" a="1"/>
  <c r="L368" i="12" s="1"/>
  <c r="J368" i="12" a="1"/>
  <c r="J368" i="12" s="1"/>
  <c r="BB366" i="6"/>
  <c r="AE366" i="6"/>
  <c r="AC367" i="6"/>
  <c r="BF366" i="6"/>
  <c r="AZ366" i="6"/>
  <c r="AX366" i="6"/>
  <c r="BG367" i="6"/>
  <c r="AH367" i="6"/>
  <c r="BD366" i="6"/>
  <c r="BG366" i="6"/>
  <c r="AT366" i="6"/>
  <c r="AU367" i="6"/>
  <c r="AI367" i="6"/>
  <c r="AK366" i="6"/>
  <c r="AS367" i="6"/>
  <c r="AG367" i="6"/>
  <c r="AU366" i="6"/>
  <c r="AJ366" i="6"/>
  <c r="AX367" i="6"/>
  <c r="AH366" i="6"/>
  <c r="AP366" i="6"/>
  <c r="AV367" i="6"/>
  <c r="AO367" i="6"/>
  <c r="AG366" i="6"/>
  <c r="AO366" i="6"/>
  <c r="AF367" i="6"/>
  <c r="AT367" i="6"/>
  <c r="BE367" i="6"/>
  <c r="BC367" i="6"/>
  <c r="AN366" i="6"/>
  <c r="AD367" i="6"/>
  <c r="A368" i="6"/>
  <c r="T368" i="5"/>
  <c r="G367" i="12"/>
  <c r="A369" i="6" l="1"/>
  <c r="N369" i="6" s="1"/>
  <c r="K368" i="12"/>
  <c r="J369" i="12" a="1"/>
  <c r="J369" i="12" s="1"/>
  <c r="L369" i="12" a="1"/>
  <c r="L369" i="12" s="1"/>
  <c r="AE370" i="5"/>
  <c r="I370" i="5"/>
  <c r="H370" i="5"/>
  <c r="G370" i="5"/>
  <c r="C371" i="5"/>
  <c r="F370" i="5"/>
  <c r="E370" i="5"/>
  <c r="N370" i="5"/>
  <c r="D370" i="6" s="1"/>
  <c r="AD370" i="5"/>
  <c r="B370" i="5"/>
  <c r="B370" i="6"/>
  <c r="A370" i="12"/>
  <c r="W370" i="5"/>
  <c r="H370" i="12" s="1"/>
  <c r="G369" i="6"/>
  <c r="N368" i="6"/>
  <c r="M368" i="6"/>
  <c r="H369" i="6"/>
  <c r="G368" i="12"/>
  <c r="M369" i="6" l="1"/>
  <c r="AV369" i="6" s="1"/>
  <c r="B371" i="6"/>
  <c r="N371" i="5"/>
  <c r="D371" i="6" s="1"/>
  <c r="G371" i="5"/>
  <c r="F371" i="5"/>
  <c r="D371" i="5"/>
  <c r="B371" i="12" s="1"/>
  <c r="B371" i="5"/>
  <c r="H371" i="5"/>
  <c r="C372" i="5"/>
  <c r="E371" i="5"/>
  <c r="AD371" i="5"/>
  <c r="J371" i="5"/>
  <c r="A371" i="12"/>
  <c r="K371" i="5"/>
  <c r="AE371" i="5"/>
  <c r="AQ368" i="6"/>
  <c r="AR368" i="6"/>
  <c r="AO368" i="6"/>
  <c r="BC368" i="6"/>
  <c r="BD368" i="6"/>
  <c r="BF368" i="6"/>
  <c r="AS368" i="6"/>
  <c r="AK368" i="6"/>
  <c r="AD368" i="6"/>
  <c r="AU368" i="6"/>
  <c r="BB368" i="6"/>
  <c r="AV368" i="6"/>
  <c r="BA368" i="6"/>
  <c r="AM368" i="6"/>
  <c r="AT368" i="6"/>
  <c r="AH368" i="6"/>
  <c r="AY368" i="6"/>
  <c r="BE368" i="6"/>
  <c r="AN368" i="6"/>
  <c r="AJ368" i="6"/>
  <c r="AG368" i="6"/>
  <c r="AZ368" i="6"/>
  <c r="AX368" i="6"/>
  <c r="AB368" i="6"/>
  <c r="AF368" i="6"/>
  <c r="AC368" i="6"/>
  <c r="AE368" i="6"/>
  <c r="BG368" i="6"/>
  <c r="AP368" i="6"/>
  <c r="AI368" i="6"/>
  <c r="G370" i="6"/>
  <c r="H370" i="6"/>
  <c r="T370" i="5" s="1"/>
  <c r="G370" i="12" s="1"/>
  <c r="N370" i="6"/>
  <c r="T369" i="5"/>
  <c r="G369" i="12" s="1"/>
  <c r="K369" i="12"/>
  <c r="M370" i="6"/>
  <c r="AZ370" i="6" s="1"/>
  <c r="J370" i="6" a="1"/>
  <c r="J370" i="6" s="1"/>
  <c r="A370" i="6"/>
  <c r="AK369" i="6" l="1"/>
  <c r="AB369" i="6"/>
  <c r="AO369" i="6"/>
  <c r="BD369" i="6"/>
  <c r="AH369" i="6"/>
  <c r="AC369" i="6"/>
  <c r="AG369" i="6"/>
  <c r="AZ369" i="6"/>
  <c r="AT369" i="6"/>
  <c r="AX369" i="6"/>
  <c r="AR369" i="6"/>
  <c r="AF369" i="6"/>
  <c r="AE369" i="6"/>
  <c r="AP369" i="6"/>
  <c r="BE369" i="6"/>
  <c r="AQ369" i="6"/>
  <c r="AJ369" i="6"/>
  <c r="AM369" i="6"/>
  <c r="BD370" i="6"/>
  <c r="BB369" i="6"/>
  <c r="BF369" i="6"/>
  <c r="BA369" i="6"/>
  <c r="AU369" i="6"/>
  <c r="BC369" i="6"/>
  <c r="AN369" i="6"/>
  <c r="AI369" i="6"/>
  <c r="BG369" i="6"/>
  <c r="AY369" i="6"/>
  <c r="AD369" i="6"/>
  <c r="AS369" i="6"/>
  <c r="BF370" i="6"/>
  <c r="A371" i="6"/>
  <c r="N371" i="6" s="1"/>
  <c r="AY370" i="6"/>
  <c r="AX370" i="6"/>
  <c r="G371" i="6"/>
  <c r="AB370" i="6"/>
  <c r="H371" i="6"/>
  <c r="T371" i="5" s="1"/>
  <c r="AP370" i="6"/>
  <c r="BE370" i="6"/>
  <c r="BA370" i="6"/>
  <c r="BB370" i="6"/>
  <c r="AJ370" i="6"/>
  <c r="AU370" i="6"/>
  <c r="AM370" i="6"/>
  <c r="AS370" i="6"/>
  <c r="AR370" i="6"/>
  <c r="AN370" i="6"/>
  <c r="AC370" i="6"/>
  <c r="AQ370" i="6"/>
  <c r="B372" i="5"/>
  <c r="G372" i="5"/>
  <c r="C373" i="5"/>
  <c r="D372" i="5"/>
  <c r="B372" i="12" s="1"/>
  <c r="B372" i="6"/>
  <c r="N372" i="5"/>
  <c r="D372" i="6" s="1"/>
  <c r="G372" i="6" s="1"/>
  <c r="AE372" i="5"/>
  <c r="AD372" i="5"/>
  <c r="H372" i="5"/>
  <c r="J372" i="5"/>
  <c r="A372" i="12"/>
  <c r="F372" i="5"/>
  <c r="E372" i="5"/>
  <c r="K372" i="5"/>
  <c r="AV370" i="6"/>
  <c r="BG370" i="6"/>
  <c r="AI370" i="6"/>
  <c r="AG370" i="6"/>
  <c r="AO370" i="6"/>
  <c r="BC370" i="6"/>
  <c r="AD370" i="6"/>
  <c r="AE370" i="6"/>
  <c r="J371" i="12" a="1"/>
  <c r="J371" i="12" s="1"/>
  <c r="L371" i="12" a="1"/>
  <c r="L371" i="12" s="1"/>
  <c r="AH370" i="6"/>
  <c r="AT370" i="6"/>
  <c r="AF370" i="6"/>
  <c r="AK370" i="6"/>
  <c r="M371" i="6" l="1"/>
  <c r="AY371" i="6" s="1"/>
  <c r="K371" i="12"/>
  <c r="H372" i="6"/>
  <c r="T372" i="5" s="1"/>
  <c r="L372" i="12" a="1"/>
  <c r="L372" i="12" s="1"/>
  <c r="J372" i="12" a="1"/>
  <c r="J372" i="12" s="1"/>
  <c r="A372" i="6"/>
  <c r="E373" i="5"/>
  <c r="K373" i="5"/>
  <c r="F373" i="5"/>
  <c r="B373" i="5"/>
  <c r="A373" i="12"/>
  <c r="H373" i="5"/>
  <c r="C374" i="5"/>
  <c r="AD373" i="5"/>
  <c r="B373" i="6"/>
  <c r="G373" i="5"/>
  <c r="N373" i="5"/>
  <c r="D373" i="6" s="1"/>
  <c r="H373" i="6" s="1"/>
  <c r="AE373" i="5"/>
  <c r="J373" i="5"/>
  <c r="D373" i="5"/>
  <c r="B373" i="12" s="1"/>
  <c r="G371" i="12"/>
  <c r="AN371" i="6" l="1"/>
  <c r="BE371" i="6"/>
  <c r="AQ371" i="6"/>
  <c r="BC371" i="6"/>
  <c r="AS371" i="6"/>
  <c r="AU371" i="6"/>
  <c r="BF371" i="6"/>
  <c r="AI371" i="6"/>
  <c r="AP371" i="6"/>
  <c r="AR371" i="6"/>
  <c r="K372" i="12"/>
  <c r="BB371" i="6"/>
  <c r="AC371" i="6"/>
  <c r="AH371" i="6"/>
  <c r="AG371" i="6"/>
  <c r="AB371" i="6"/>
  <c r="BG371" i="6"/>
  <c r="AJ371" i="6"/>
  <c r="AT371" i="6"/>
  <c r="AX371" i="6"/>
  <c r="AZ371" i="6"/>
  <c r="BA371" i="6"/>
  <c r="AD371" i="6"/>
  <c r="AK371" i="6"/>
  <c r="AE371" i="6"/>
  <c r="AV371" i="6"/>
  <c r="AF371" i="6"/>
  <c r="AM371" i="6"/>
  <c r="G373" i="6"/>
  <c r="BD371" i="6"/>
  <c r="AO371" i="6"/>
  <c r="A373" i="6"/>
  <c r="N373" i="6" s="1"/>
  <c r="F374" i="5"/>
  <c r="A374" i="12"/>
  <c r="AE374" i="5"/>
  <c r="B374" i="5"/>
  <c r="B374" i="6"/>
  <c r="AD374" i="5"/>
  <c r="D374" i="5"/>
  <c r="B374" i="12" s="1"/>
  <c r="E374" i="5"/>
  <c r="C375" i="5"/>
  <c r="N374" i="5"/>
  <c r="D374" i="6" s="1"/>
  <c r="G374" i="6" s="1"/>
  <c r="J374" i="5"/>
  <c r="H374" i="5"/>
  <c r="G374" i="5"/>
  <c r="K374" i="5"/>
  <c r="J373" i="12" a="1"/>
  <c r="J373" i="12" s="1"/>
  <c r="L373" i="12" a="1"/>
  <c r="L373" i="12" s="1"/>
  <c r="N372" i="6"/>
  <c r="M372" i="6"/>
  <c r="G372" i="12"/>
  <c r="T373" i="5"/>
  <c r="M373" i="6" l="1"/>
  <c r="BA373" i="6" s="1"/>
  <c r="H374" i="6"/>
  <c r="T374" i="5" s="1"/>
  <c r="K373" i="12"/>
  <c r="BF372" i="6"/>
  <c r="AM372" i="6"/>
  <c r="AT372" i="6"/>
  <c r="AX372" i="6"/>
  <c r="AE372" i="6"/>
  <c r="AB372" i="6"/>
  <c r="AC372" i="6"/>
  <c r="BG372" i="6"/>
  <c r="AR372" i="6"/>
  <c r="BB372" i="6"/>
  <c r="AH372" i="6"/>
  <c r="AV372" i="6"/>
  <c r="AG372" i="6"/>
  <c r="AJ372" i="6"/>
  <c r="AS372" i="6"/>
  <c r="AI372" i="6"/>
  <c r="AO372" i="6"/>
  <c r="AK372" i="6"/>
  <c r="BE372" i="6"/>
  <c r="AF372" i="6"/>
  <c r="AY372" i="6"/>
  <c r="BC372" i="6"/>
  <c r="AU372" i="6"/>
  <c r="BA372" i="6"/>
  <c r="AZ372" i="6"/>
  <c r="AD372" i="6"/>
  <c r="AN372" i="6"/>
  <c r="AP372" i="6"/>
  <c r="AQ372" i="6"/>
  <c r="BD372" i="6"/>
  <c r="A374" i="6"/>
  <c r="J374" i="12" a="1"/>
  <c r="J374" i="12" s="1"/>
  <c r="L374" i="12" a="1"/>
  <c r="L374" i="12" s="1"/>
  <c r="E375" i="5"/>
  <c r="J375" i="5"/>
  <c r="A375" i="12"/>
  <c r="AE375" i="5"/>
  <c r="B375" i="6"/>
  <c r="D375" i="5"/>
  <c r="B375" i="12" s="1"/>
  <c r="AD375" i="5"/>
  <c r="B375" i="5"/>
  <c r="F375" i="5"/>
  <c r="H375" i="5"/>
  <c r="K375" i="5"/>
  <c r="C376" i="5"/>
  <c r="N375" i="5"/>
  <c r="D375" i="6" s="1"/>
  <c r="G375" i="5"/>
  <c r="G373" i="12"/>
  <c r="AN373" i="6" l="1"/>
  <c r="AQ373" i="6"/>
  <c r="AO373" i="6"/>
  <c r="BD373" i="6"/>
  <c r="AX373" i="6"/>
  <c r="AK373" i="6"/>
  <c r="AI373" i="6"/>
  <c r="AT373" i="6"/>
  <c r="BB373" i="6"/>
  <c r="AZ373" i="6"/>
  <c r="BG373" i="6"/>
  <c r="AY373" i="6"/>
  <c r="AF373" i="6"/>
  <c r="AJ373" i="6"/>
  <c r="AP373" i="6"/>
  <c r="AR373" i="6"/>
  <c r="AH373" i="6"/>
  <c r="AS373" i="6"/>
  <c r="BC373" i="6"/>
  <c r="AD373" i="6"/>
  <c r="AB373" i="6"/>
  <c r="AM373" i="6"/>
  <c r="BF373" i="6"/>
  <c r="BE373" i="6"/>
  <c r="AE373" i="6"/>
  <c r="AU373" i="6"/>
  <c r="AC373" i="6"/>
  <c r="AV373" i="6"/>
  <c r="AG373" i="6"/>
  <c r="A375" i="6"/>
  <c r="N375" i="6" s="1"/>
  <c r="M374" i="6"/>
  <c r="N374" i="6"/>
  <c r="L375" i="12" a="1"/>
  <c r="L375" i="12" s="1"/>
  <c r="J375" i="12" a="1"/>
  <c r="J375" i="12" s="1"/>
  <c r="G375" i="6"/>
  <c r="F376" i="5"/>
  <c r="C377" i="5"/>
  <c r="E376" i="5"/>
  <c r="B376" i="5"/>
  <c r="D376" i="5"/>
  <c r="B376" i="12" s="1"/>
  <c r="AE376" i="5"/>
  <c r="AD376" i="5"/>
  <c r="N376" i="5"/>
  <c r="D376" i="6" s="1"/>
  <c r="G376" i="6" s="1"/>
  <c r="K376" i="5"/>
  <c r="H376" i="5"/>
  <c r="A376" i="12"/>
  <c r="J376" i="5"/>
  <c r="B376" i="6"/>
  <c r="G376" i="5"/>
  <c r="H375" i="6"/>
  <c r="K374" i="12"/>
  <c r="G374" i="12"/>
  <c r="M375" i="6" l="1"/>
  <c r="AX375" i="6" s="1"/>
  <c r="K375" i="12"/>
  <c r="T375" i="5"/>
  <c r="F377" i="5"/>
  <c r="E377" i="5"/>
  <c r="D377" i="5"/>
  <c r="B377" i="12" s="1"/>
  <c r="C378" i="5"/>
  <c r="AD377" i="5"/>
  <c r="J377" i="5"/>
  <c r="B377" i="5"/>
  <c r="K377" i="5"/>
  <c r="AE377" i="5"/>
  <c r="G377" i="5"/>
  <c r="B377" i="6"/>
  <c r="H377" i="5"/>
  <c r="A377" i="12"/>
  <c r="N377" i="5"/>
  <c r="D377" i="6" s="1"/>
  <c r="G377" i="6" s="1"/>
  <c r="A376" i="6"/>
  <c r="M376" i="6" s="1"/>
  <c r="H376" i="6"/>
  <c r="T376" i="5" s="1"/>
  <c r="L376" i="12" a="1"/>
  <c r="L376" i="12" s="1"/>
  <c r="J376" i="12" a="1"/>
  <c r="J376" i="12" s="1"/>
  <c r="AQ374" i="6"/>
  <c r="AB374" i="6"/>
  <c r="AV374" i="6"/>
  <c r="AY374" i="6"/>
  <c r="BA374" i="6"/>
  <c r="BF374" i="6"/>
  <c r="AK374" i="6"/>
  <c r="BC374" i="6"/>
  <c r="BB374" i="6"/>
  <c r="AT374" i="6"/>
  <c r="AZ374" i="6"/>
  <c r="AS374" i="6"/>
  <c r="AI374" i="6"/>
  <c r="AD374" i="6"/>
  <c r="AF374" i="6"/>
  <c r="AG374" i="6"/>
  <c r="AN374" i="6"/>
  <c r="AC374" i="6"/>
  <c r="AM374" i="6"/>
  <c r="AX374" i="6"/>
  <c r="AU374" i="6"/>
  <c r="AR374" i="6"/>
  <c r="AH374" i="6"/>
  <c r="AJ374" i="6"/>
  <c r="AP374" i="6"/>
  <c r="BD374" i="6"/>
  <c r="BE374" i="6"/>
  <c r="BG374" i="6"/>
  <c r="AE374" i="6"/>
  <c r="AO374" i="6"/>
  <c r="G375" i="12"/>
  <c r="BA375" i="6" l="1"/>
  <c r="BE375" i="6"/>
  <c r="AN375" i="6"/>
  <c r="AG375" i="6"/>
  <c r="AH375" i="6"/>
  <c r="BG375" i="6"/>
  <c r="AV375" i="6"/>
  <c r="AZ375" i="6"/>
  <c r="BC375" i="6"/>
  <c r="BD375" i="6"/>
  <c r="BB375" i="6"/>
  <c r="AM375" i="6"/>
  <c r="AC375" i="6"/>
  <c r="AY375" i="6"/>
  <c r="BF375" i="6"/>
  <c r="AJ375" i="6"/>
  <c r="AS375" i="6"/>
  <c r="AF375" i="6"/>
  <c r="AQ375" i="6"/>
  <c r="AU375" i="6"/>
  <c r="AO375" i="6"/>
  <c r="AT375" i="6"/>
  <c r="AP375" i="6"/>
  <c r="AD375" i="6"/>
  <c r="AE375" i="6"/>
  <c r="AB375" i="6"/>
  <c r="AI375" i="6"/>
  <c r="AR375" i="6"/>
  <c r="AK375" i="6"/>
  <c r="H377" i="6"/>
  <c r="T377" i="5" s="1"/>
  <c r="N376" i="6"/>
  <c r="AJ376" i="6"/>
  <c r="AT376" i="6"/>
  <c r="BF376" i="6"/>
  <c r="AZ376" i="6"/>
  <c r="BB376" i="6"/>
  <c r="AP376" i="6"/>
  <c r="AM376" i="6"/>
  <c r="AC376" i="6"/>
  <c r="BE376" i="6"/>
  <c r="AE376" i="6"/>
  <c r="AY376" i="6"/>
  <c r="AV376" i="6"/>
  <c r="BG376" i="6"/>
  <c r="BD376" i="6"/>
  <c r="AX376" i="6"/>
  <c r="AN376" i="6"/>
  <c r="AS376" i="6"/>
  <c r="BA376" i="6"/>
  <c r="AD376" i="6"/>
  <c r="AO376" i="6"/>
  <c r="BC376" i="6"/>
  <c r="AU376" i="6"/>
  <c r="AR376" i="6"/>
  <c r="AQ376" i="6"/>
  <c r="AH376" i="6"/>
  <c r="AB376" i="6"/>
  <c r="K376" i="12"/>
  <c r="AI376" i="6"/>
  <c r="AG376" i="6"/>
  <c r="A378" i="12"/>
  <c r="K378" i="5"/>
  <c r="B378" i="6"/>
  <c r="B378" i="5"/>
  <c r="C379" i="5"/>
  <c r="H378" i="5"/>
  <c r="AD378" i="5"/>
  <c r="F378" i="5"/>
  <c r="J378" i="5"/>
  <c r="G378" i="5"/>
  <c r="E378" i="5"/>
  <c r="AE378" i="5"/>
  <c r="D378" i="5"/>
  <c r="B378" i="12" s="1"/>
  <c r="N378" i="5"/>
  <c r="D378" i="6" s="1"/>
  <c r="H378" i="6" s="1"/>
  <c r="A377" i="6"/>
  <c r="AK376" i="6"/>
  <c r="AF376" i="6"/>
  <c r="L377" i="12" a="1"/>
  <c r="L377" i="12" s="1"/>
  <c r="J377" i="12" a="1"/>
  <c r="J377" i="12" s="1"/>
  <c r="G376" i="12"/>
  <c r="G378" i="6" l="1"/>
  <c r="K377" i="12"/>
  <c r="N377" i="6"/>
  <c r="M377" i="6"/>
  <c r="A378" i="6"/>
  <c r="L378" i="12" a="1"/>
  <c r="L378" i="12" s="1"/>
  <c r="J378" i="12" a="1"/>
  <c r="J378" i="12" s="1"/>
  <c r="AD379" i="5"/>
  <c r="AE379" i="5"/>
  <c r="A379" i="12"/>
  <c r="B379" i="6"/>
  <c r="G379" i="5"/>
  <c r="E379" i="5"/>
  <c r="F379" i="5"/>
  <c r="B379" i="5"/>
  <c r="C380" i="5" s="1"/>
  <c r="N379" i="5"/>
  <c r="D379" i="6" s="1"/>
  <c r="K379" i="5"/>
  <c r="J379" i="5"/>
  <c r="H379" i="5"/>
  <c r="D379" i="5"/>
  <c r="B379" i="12" s="1"/>
  <c r="G377" i="12"/>
  <c r="T378" i="5"/>
  <c r="A379" i="6" l="1"/>
  <c r="M379" i="6" s="1"/>
  <c r="AO379" i="6" s="1"/>
  <c r="J379" i="12" a="1"/>
  <c r="J379" i="12" s="1"/>
  <c r="L379" i="12" a="1"/>
  <c r="L379" i="12" s="1"/>
  <c r="H379" i="6"/>
  <c r="T379" i="5" s="1"/>
  <c r="K378" i="12"/>
  <c r="N378" i="6"/>
  <c r="M378" i="6"/>
  <c r="BD377" i="6"/>
  <c r="AE377" i="6"/>
  <c r="AC377" i="6"/>
  <c r="BG377" i="6"/>
  <c r="AQ377" i="6"/>
  <c r="AI377" i="6"/>
  <c r="AG377" i="6"/>
  <c r="AM377" i="6"/>
  <c r="AR377" i="6"/>
  <c r="AH377" i="6"/>
  <c r="AN377" i="6"/>
  <c r="AZ377" i="6"/>
  <c r="AU377" i="6"/>
  <c r="AX377" i="6"/>
  <c r="AF377" i="6"/>
  <c r="AS377" i="6"/>
  <c r="AV377" i="6"/>
  <c r="BA377" i="6"/>
  <c r="AK377" i="6"/>
  <c r="BC377" i="6"/>
  <c r="AY377" i="6"/>
  <c r="BF377" i="6"/>
  <c r="AD377" i="6"/>
  <c r="AT377" i="6"/>
  <c r="AB377" i="6"/>
  <c r="BB377" i="6"/>
  <c r="AP377" i="6"/>
  <c r="AJ377" i="6"/>
  <c r="AO377" i="6"/>
  <c r="BE377" i="6"/>
  <c r="N379" i="6"/>
  <c r="G379" i="6"/>
  <c r="I380" i="5"/>
  <c r="E380" i="5"/>
  <c r="A380" i="12"/>
  <c r="H380" i="5"/>
  <c r="B380" i="6"/>
  <c r="W380" i="5"/>
  <c r="H380" i="12" s="1"/>
  <c r="N380" i="5"/>
  <c r="D380" i="6" s="1"/>
  <c r="AE380" i="5"/>
  <c r="G380" i="5"/>
  <c r="F380" i="5"/>
  <c r="B380" i="5"/>
  <c r="C381" i="5"/>
  <c r="AD380" i="5"/>
  <c r="G378" i="12"/>
  <c r="K379" i="12" l="1"/>
  <c r="H380" i="6"/>
  <c r="T380" i="5" s="1"/>
  <c r="G380" i="12" s="1"/>
  <c r="G380" i="6"/>
  <c r="M380" i="6"/>
  <c r="AV380" i="6" s="1"/>
  <c r="N380" i="6"/>
  <c r="AS379" i="6"/>
  <c r="AY379" i="6"/>
  <c r="BF379" i="6"/>
  <c r="AP379" i="6"/>
  <c r="BA379" i="6"/>
  <c r="AV379" i="6"/>
  <c r="J380" i="6" a="1"/>
  <c r="J380" i="6" s="1"/>
  <c r="A380" i="6"/>
  <c r="BD379" i="6"/>
  <c r="BD378" i="6"/>
  <c r="BB378" i="6"/>
  <c r="AY378" i="6"/>
  <c r="AG378" i="6"/>
  <c r="AV378" i="6"/>
  <c r="AP378" i="6"/>
  <c r="AE378" i="6"/>
  <c r="AX378" i="6"/>
  <c r="AD378" i="6"/>
  <c r="BG378" i="6"/>
  <c r="AI378" i="6"/>
  <c r="AB378" i="6"/>
  <c r="AN378" i="6"/>
  <c r="AH378" i="6"/>
  <c r="BF378" i="6"/>
  <c r="BA378" i="6"/>
  <c r="BE378" i="6"/>
  <c r="BC378" i="6"/>
  <c r="AO378" i="6"/>
  <c r="AC378" i="6"/>
  <c r="AJ378" i="6"/>
  <c r="AF378" i="6"/>
  <c r="AU378" i="6"/>
  <c r="AK378" i="6"/>
  <c r="AM378" i="6"/>
  <c r="AQ378" i="6"/>
  <c r="AR378" i="6"/>
  <c r="AT378" i="6"/>
  <c r="AS378" i="6"/>
  <c r="AZ378" i="6"/>
  <c r="AT379" i="6"/>
  <c r="BG379" i="6"/>
  <c r="AH379" i="6"/>
  <c r="AN379" i="6"/>
  <c r="AM379" i="6"/>
  <c r="AU379" i="6"/>
  <c r="AJ379" i="6"/>
  <c r="AG379" i="6"/>
  <c r="BB379" i="6"/>
  <c r="AE379" i="6"/>
  <c r="AD379" i="6"/>
  <c r="AB379" i="6"/>
  <c r="AC379" i="6"/>
  <c r="AZ379" i="6"/>
  <c r="AK379" i="6"/>
  <c r="BE379" i="6"/>
  <c r="BC379" i="6"/>
  <c r="AR379" i="6"/>
  <c r="AF379" i="6"/>
  <c r="AI379" i="6"/>
  <c r="B381" i="6"/>
  <c r="H381" i="5"/>
  <c r="E381" i="5"/>
  <c r="AD381" i="5"/>
  <c r="G381" i="5"/>
  <c r="F381" i="5"/>
  <c r="B381" i="5"/>
  <c r="J381" i="5"/>
  <c r="AE381" i="5"/>
  <c r="K381" i="5"/>
  <c r="A381" i="12"/>
  <c r="C382" i="5"/>
  <c r="N381" i="5"/>
  <c r="D381" i="6" s="1"/>
  <c r="D381" i="5"/>
  <c r="B381" i="12" s="1"/>
  <c r="AX379" i="6"/>
  <c r="AQ379" i="6"/>
  <c r="G379" i="12"/>
  <c r="AE380" i="6" l="1"/>
  <c r="AH380" i="6"/>
  <c r="BD380" i="6"/>
  <c r="AG380" i="6"/>
  <c r="AF380" i="6"/>
  <c r="AB380" i="6"/>
  <c r="AY380" i="6"/>
  <c r="AP380" i="6"/>
  <c r="AC380" i="6"/>
  <c r="AX380" i="6"/>
  <c r="AQ380" i="6"/>
  <c r="BA380" i="6"/>
  <c r="BC380" i="6"/>
  <c r="BG380" i="6"/>
  <c r="AJ380" i="6"/>
  <c r="BE380" i="6"/>
  <c r="AD380" i="6"/>
  <c r="AM380" i="6"/>
  <c r="AK380" i="6"/>
  <c r="AO380" i="6"/>
  <c r="BB380" i="6"/>
  <c r="AI380" i="6"/>
  <c r="AZ380" i="6"/>
  <c r="AT380" i="6"/>
  <c r="AU380" i="6"/>
  <c r="BF380" i="6"/>
  <c r="AR380" i="6"/>
  <c r="A381" i="6"/>
  <c r="M381" i="6" s="1"/>
  <c r="AR381" i="6" s="1"/>
  <c r="AS380" i="6"/>
  <c r="AN380" i="6"/>
  <c r="J382" i="5"/>
  <c r="G382" i="5"/>
  <c r="N382" i="5"/>
  <c r="D382" i="6" s="1"/>
  <c r="G382" i="6" s="1"/>
  <c r="C383" i="5"/>
  <c r="H382" i="5"/>
  <c r="F382" i="5"/>
  <c r="A382" i="12"/>
  <c r="AE382" i="5"/>
  <c r="B382" i="5"/>
  <c r="E382" i="5"/>
  <c r="B382" i="6"/>
  <c r="D382" i="5"/>
  <c r="B382" i="12" s="1"/>
  <c r="K382" i="5"/>
  <c r="AD382" i="5"/>
  <c r="H381" i="6"/>
  <c r="T381" i="5" s="1"/>
  <c r="J381" i="12" a="1"/>
  <c r="J381" i="12" s="1"/>
  <c r="L381" i="12" a="1"/>
  <c r="L381" i="12" s="1"/>
  <c r="G381" i="6"/>
  <c r="A382" i="6" l="1"/>
  <c r="M382" i="6" s="1"/>
  <c r="AD382" i="6" s="1"/>
  <c r="H382" i="6"/>
  <c r="T382" i="5" s="1"/>
  <c r="N381" i="6"/>
  <c r="K381" i="12"/>
  <c r="BC381" i="6"/>
  <c r="AJ381" i="6"/>
  <c r="AV381" i="6"/>
  <c r="AH381" i="6"/>
  <c r="AN381" i="6"/>
  <c r="AM381" i="6"/>
  <c r="AP381" i="6"/>
  <c r="BA381" i="6"/>
  <c r="AO381" i="6"/>
  <c r="AC381" i="6"/>
  <c r="AF381" i="6"/>
  <c r="AZ381" i="6"/>
  <c r="L382" i="12" a="1"/>
  <c r="L382" i="12" s="1"/>
  <c r="J382" i="12" a="1"/>
  <c r="J382" i="12" s="1"/>
  <c r="AD381" i="6"/>
  <c r="BD381" i="6"/>
  <c r="AG381" i="6"/>
  <c r="AY381" i="6"/>
  <c r="AI381" i="6"/>
  <c r="AD383" i="5"/>
  <c r="J383" i="5"/>
  <c r="B383" i="5"/>
  <c r="G383" i="5"/>
  <c r="F383" i="5"/>
  <c r="H383" i="5"/>
  <c r="N383" i="5"/>
  <c r="D383" i="6" s="1"/>
  <c r="H383" i="6" s="1"/>
  <c r="A383" i="12"/>
  <c r="E383" i="5"/>
  <c r="B383" i="6"/>
  <c r="C384" i="5"/>
  <c r="D383" i="5"/>
  <c r="B383" i="12" s="1"/>
  <c r="AE383" i="5"/>
  <c r="K383" i="5"/>
  <c r="BE381" i="6"/>
  <c r="BB381" i="6"/>
  <c r="AU381" i="6"/>
  <c r="AE381" i="6"/>
  <c r="AK381" i="6"/>
  <c r="AT381" i="6"/>
  <c r="AQ381" i="6"/>
  <c r="AS381" i="6"/>
  <c r="BG381" i="6"/>
  <c r="AB381" i="6"/>
  <c r="AX381" i="6"/>
  <c r="BF381" i="6"/>
  <c r="G381" i="12"/>
  <c r="N382" i="6" l="1"/>
  <c r="A383" i="6"/>
  <c r="N383" i="6" s="1"/>
  <c r="G383" i="6"/>
  <c r="K382" i="12"/>
  <c r="G384" i="5"/>
  <c r="AE384" i="5"/>
  <c r="AD384" i="5"/>
  <c r="B384" i="5"/>
  <c r="A384" i="12"/>
  <c r="N384" i="5"/>
  <c r="D384" i="6" s="1"/>
  <c r="H384" i="6" s="1"/>
  <c r="H384" i="5"/>
  <c r="B384" i="6"/>
  <c r="D384" i="5"/>
  <c r="B384" i="12" s="1"/>
  <c r="C385" i="5"/>
  <c r="F384" i="5"/>
  <c r="E384" i="5"/>
  <c r="K384" i="5"/>
  <c r="J384" i="5"/>
  <c r="L383" i="12" a="1"/>
  <c r="L383" i="12" s="1"/>
  <c r="J383" i="12" a="1"/>
  <c r="J383" i="12" s="1"/>
  <c r="T383" i="5"/>
  <c r="BC382" i="6"/>
  <c r="AZ382" i="6"/>
  <c r="AK382" i="6"/>
  <c r="AX382" i="6"/>
  <c r="AO382" i="6"/>
  <c r="AY382" i="6"/>
  <c r="AF382" i="6"/>
  <c r="AV382" i="6"/>
  <c r="BF382" i="6"/>
  <c r="BB382" i="6"/>
  <c r="AU382" i="6"/>
  <c r="AR382" i="6"/>
  <c r="AN382" i="6"/>
  <c r="AS382" i="6"/>
  <c r="BD382" i="6"/>
  <c r="BE382" i="6"/>
  <c r="BA382" i="6"/>
  <c r="AC382" i="6"/>
  <c r="AQ382" i="6"/>
  <c r="AM382" i="6"/>
  <c r="AT382" i="6"/>
  <c r="AI382" i="6"/>
  <c r="AP382" i="6"/>
  <c r="BG382" i="6"/>
  <c r="AB382" i="6"/>
  <c r="AJ382" i="6"/>
  <c r="AE382" i="6"/>
  <c r="AG382" i="6"/>
  <c r="G382" i="12"/>
  <c r="AH382" i="6"/>
  <c r="A384" i="6" l="1"/>
  <c r="M384" i="6" s="1"/>
  <c r="AM384" i="6" s="1"/>
  <c r="M383" i="6"/>
  <c r="BG383" i="6" s="1"/>
  <c r="G384" i="6"/>
  <c r="B385" i="6"/>
  <c r="H385" i="5"/>
  <c r="B385" i="5"/>
  <c r="E385" i="5"/>
  <c r="D385" i="5"/>
  <c r="B385" i="12" s="1"/>
  <c r="C386" i="5"/>
  <c r="G385" i="5"/>
  <c r="N385" i="5"/>
  <c r="D385" i="6" s="1"/>
  <c r="G385" i="6" s="1"/>
  <c r="AD385" i="5"/>
  <c r="F385" i="5"/>
  <c r="AE385" i="5"/>
  <c r="K385" i="5"/>
  <c r="J385" i="5"/>
  <c r="A385" i="12"/>
  <c r="J384" i="12" a="1"/>
  <c r="J384" i="12" s="1"/>
  <c r="L384" i="12" a="1"/>
  <c r="L384" i="12" s="1"/>
  <c r="K383" i="12"/>
  <c r="G383" i="12"/>
  <c r="T384" i="5"/>
  <c r="A385" i="6" l="1"/>
  <c r="N385" i="6" s="1"/>
  <c r="N384" i="6"/>
  <c r="H385" i="6"/>
  <c r="T385" i="5" s="1"/>
  <c r="AO383" i="6"/>
  <c r="AX384" i="6"/>
  <c r="AK383" i="6"/>
  <c r="AZ383" i="6"/>
  <c r="AB383" i="6"/>
  <c r="AJ384" i="6"/>
  <c r="AV383" i="6"/>
  <c r="AD384" i="6"/>
  <c r="AC383" i="6"/>
  <c r="AE384" i="6"/>
  <c r="BC384" i="6"/>
  <c r="AR383" i="6"/>
  <c r="AP384" i="6"/>
  <c r="AJ383" i="6"/>
  <c r="BB384" i="6"/>
  <c r="AQ383" i="6"/>
  <c r="AH383" i="6"/>
  <c r="AU384" i="6"/>
  <c r="AG384" i="6"/>
  <c r="BD383" i="6"/>
  <c r="AT383" i="6"/>
  <c r="AZ384" i="6"/>
  <c r="BE383" i="6"/>
  <c r="AN384" i="6"/>
  <c r="AI384" i="6"/>
  <c r="BD384" i="6"/>
  <c r="BA383" i="6"/>
  <c r="AU383" i="6"/>
  <c r="AI383" i="6"/>
  <c r="BA384" i="6"/>
  <c r="AF383" i="6"/>
  <c r="AT384" i="6"/>
  <c r="AP383" i="6"/>
  <c r="AK384" i="6"/>
  <c r="BG384" i="6"/>
  <c r="BE384" i="6"/>
  <c r="BB383" i="6"/>
  <c r="AX383" i="6"/>
  <c r="AF384" i="6"/>
  <c r="AY384" i="6"/>
  <c r="AC384" i="6"/>
  <c r="AN383" i="6"/>
  <c r="AV384" i="6"/>
  <c r="AO384" i="6"/>
  <c r="AR384" i="6"/>
  <c r="AM383" i="6"/>
  <c r="AS383" i="6"/>
  <c r="AS384" i="6"/>
  <c r="AQ384" i="6"/>
  <c r="AG383" i="6"/>
  <c r="AE383" i="6"/>
  <c r="AH384" i="6"/>
  <c r="AY383" i="6"/>
  <c r="BC383" i="6"/>
  <c r="AB384" i="6"/>
  <c r="AD383" i="6"/>
  <c r="BF383" i="6"/>
  <c r="M385" i="6"/>
  <c r="AT385" i="6" s="1"/>
  <c r="BF384" i="6"/>
  <c r="K384" i="12"/>
  <c r="D386" i="5"/>
  <c r="B386" i="12" s="1"/>
  <c r="H386" i="5"/>
  <c r="N386" i="5"/>
  <c r="D386" i="6" s="1"/>
  <c r="G386" i="6" s="1"/>
  <c r="AE386" i="5"/>
  <c r="A386" i="12"/>
  <c r="K386" i="5"/>
  <c r="AD386" i="5"/>
  <c r="J386" i="5"/>
  <c r="B386" i="5"/>
  <c r="C387" i="5"/>
  <c r="F386" i="5"/>
  <c r="G386" i="5"/>
  <c r="E386" i="5"/>
  <c r="B386" i="6"/>
  <c r="J385" i="12" a="1"/>
  <c r="J385" i="12" s="1"/>
  <c r="L385" i="12" a="1"/>
  <c r="L385" i="12" s="1"/>
  <c r="G384" i="12"/>
  <c r="AN385" i="6" l="1"/>
  <c r="AH385" i="6"/>
  <c r="AB385" i="6"/>
  <c r="BD385" i="6"/>
  <c r="BA385" i="6"/>
  <c r="AG385" i="6"/>
  <c r="AY385" i="6"/>
  <c r="AS385" i="6"/>
  <c r="K385" i="12"/>
  <c r="BG385" i="6"/>
  <c r="BE385" i="6"/>
  <c r="BF385" i="6"/>
  <c r="AR385" i="6"/>
  <c r="AC385" i="6"/>
  <c r="AV385" i="6"/>
  <c r="AK385" i="6"/>
  <c r="AX385" i="6"/>
  <c r="AJ385" i="6"/>
  <c r="AQ385" i="6"/>
  <c r="AI385" i="6"/>
  <c r="AD385" i="6"/>
  <c r="A386" i="6"/>
  <c r="N386" i="6" s="1"/>
  <c r="AP385" i="6"/>
  <c r="AM385" i="6"/>
  <c r="H386" i="6"/>
  <c r="T386" i="5" s="1"/>
  <c r="BB385" i="6"/>
  <c r="AF385" i="6"/>
  <c r="AO385" i="6"/>
  <c r="AE385" i="6"/>
  <c r="AZ385" i="6"/>
  <c r="BC385" i="6"/>
  <c r="AU385" i="6"/>
  <c r="N387" i="5"/>
  <c r="D387" i="6" s="1"/>
  <c r="H387" i="6" s="1"/>
  <c r="J387" i="5"/>
  <c r="C388" i="5"/>
  <c r="B387" i="5"/>
  <c r="A387" i="12"/>
  <c r="E387" i="5"/>
  <c r="B387" i="6"/>
  <c r="D387" i="5"/>
  <c r="B387" i="12" s="1"/>
  <c r="AD387" i="5"/>
  <c r="AE387" i="5"/>
  <c r="K387" i="5"/>
  <c r="H387" i="5"/>
  <c r="G387" i="5"/>
  <c r="F387" i="5"/>
  <c r="J386" i="12" a="1"/>
  <c r="J386" i="12" s="1"/>
  <c r="L386" i="12" a="1"/>
  <c r="L386" i="12" s="1"/>
  <c r="G385" i="12"/>
  <c r="G387" i="6" l="1"/>
  <c r="M386" i="6"/>
  <c r="AS386" i="6" s="1"/>
  <c r="L387" i="12" a="1"/>
  <c r="L387" i="12" s="1"/>
  <c r="J387" i="12" a="1"/>
  <c r="J387" i="12" s="1"/>
  <c r="K386" i="12"/>
  <c r="C389" i="5"/>
  <c r="D388" i="5"/>
  <c r="B388" i="12" s="1"/>
  <c r="G388" i="5"/>
  <c r="E388" i="5"/>
  <c r="AD388" i="5"/>
  <c r="J388" i="5"/>
  <c r="B388" i="5"/>
  <c r="K388" i="5"/>
  <c r="N388" i="5"/>
  <c r="D388" i="6" s="1"/>
  <c r="A388" i="12"/>
  <c r="AE388" i="5"/>
  <c r="B388" i="6"/>
  <c r="F388" i="5"/>
  <c r="H388" i="5"/>
  <c r="A387" i="6"/>
  <c r="T387" i="5"/>
  <c r="G386" i="12"/>
  <c r="AX386" i="6" l="1"/>
  <c r="AH386" i="6"/>
  <c r="AD386" i="6"/>
  <c r="AO386" i="6"/>
  <c r="BE386" i="6"/>
  <c r="AI386" i="6"/>
  <c r="AC386" i="6"/>
  <c r="AK386" i="6"/>
  <c r="AG386" i="6"/>
  <c r="AB386" i="6"/>
  <c r="BD386" i="6"/>
  <c r="AZ386" i="6"/>
  <c r="AF386" i="6"/>
  <c r="AU386" i="6"/>
  <c r="AT386" i="6"/>
  <c r="AV386" i="6"/>
  <c r="AP386" i="6"/>
  <c r="AQ386" i="6"/>
  <c r="BC386" i="6"/>
  <c r="AJ386" i="6"/>
  <c r="AR386" i="6"/>
  <c r="BA386" i="6"/>
  <c r="BF386" i="6"/>
  <c r="AY386" i="6"/>
  <c r="BG386" i="6"/>
  <c r="BB386" i="6"/>
  <c r="AE386" i="6"/>
  <c r="AM386" i="6"/>
  <c r="AN386" i="6"/>
  <c r="A388" i="6"/>
  <c r="M388" i="6" s="1"/>
  <c r="AV388" i="6" s="1"/>
  <c r="G388" i="6"/>
  <c r="M387" i="6"/>
  <c r="N387" i="6"/>
  <c r="C390" i="5"/>
  <c r="N389" i="5"/>
  <c r="D389" i="6" s="1"/>
  <c r="H389" i="6" s="1"/>
  <c r="F389" i="5"/>
  <c r="E389" i="5"/>
  <c r="G389" i="5"/>
  <c r="AE389" i="5"/>
  <c r="AD389" i="5"/>
  <c r="J389" i="5"/>
  <c r="A389" i="12"/>
  <c r="K389" i="5"/>
  <c r="H389" i="5"/>
  <c r="B389" i="6"/>
  <c r="D389" i="5"/>
  <c r="B389" i="12" s="1"/>
  <c r="B389" i="5"/>
  <c r="H388" i="6"/>
  <c r="L388" i="12" a="1"/>
  <c r="L388" i="12" s="1"/>
  <c r="J388" i="12" a="1"/>
  <c r="J388" i="12" s="1"/>
  <c r="K387" i="12"/>
  <c r="G387" i="12"/>
  <c r="N388" i="6" l="1"/>
  <c r="AK388" i="6"/>
  <c r="T388" i="5"/>
  <c r="G388" i="12" s="1"/>
  <c r="AH388" i="6"/>
  <c r="AM388" i="6"/>
  <c r="AP388" i="6"/>
  <c r="AQ388" i="6"/>
  <c r="BE388" i="6"/>
  <c r="A390" i="12"/>
  <c r="G390" i="5"/>
  <c r="F390" i="5"/>
  <c r="B390" i="6"/>
  <c r="C391" i="5"/>
  <c r="H390" i="5"/>
  <c r="N390" i="5"/>
  <c r="D390" i="6" s="1"/>
  <c r="B390" i="5"/>
  <c r="E390" i="5"/>
  <c r="J390" i="5"/>
  <c r="K390" i="5"/>
  <c r="AD390" i="5"/>
  <c r="AE390" i="5"/>
  <c r="D390" i="5"/>
  <c r="B390" i="12" s="1"/>
  <c r="AZ388" i="6"/>
  <c r="AE388" i="6"/>
  <c r="AC388" i="6"/>
  <c r="A389" i="6"/>
  <c r="N389" i="6" s="1"/>
  <c r="AO387" i="6"/>
  <c r="AC387" i="6"/>
  <c r="AG387" i="6"/>
  <c r="AY387" i="6"/>
  <c r="BG387" i="6"/>
  <c r="AS387" i="6"/>
  <c r="AM387" i="6"/>
  <c r="BB387" i="6"/>
  <c r="AR387" i="6"/>
  <c r="BC387" i="6"/>
  <c r="AT387" i="6"/>
  <c r="AX387" i="6"/>
  <c r="AN387" i="6"/>
  <c r="AB387" i="6"/>
  <c r="AE387" i="6"/>
  <c r="BD387" i="6"/>
  <c r="AK387" i="6"/>
  <c r="AU387" i="6"/>
  <c r="AV387" i="6"/>
  <c r="AH387" i="6"/>
  <c r="AQ387" i="6"/>
  <c r="BE387" i="6"/>
  <c r="BA387" i="6"/>
  <c r="AJ387" i="6"/>
  <c r="AI387" i="6"/>
  <c r="BF387" i="6"/>
  <c r="AP387" i="6"/>
  <c r="AD387" i="6"/>
  <c r="AZ387" i="6"/>
  <c r="AF387" i="6"/>
  <c r="AN388" i="6"/>
  <c r="AJ388" i="6"/>
  <c r="AF388" i="6"/>
  <c r="BA388" i="6"/>
  <c r="BG388" i="6"/>
  <c r="AT388" i="6"/>
  <c r="AS388" i="6"/>
  <c r="BF388" i="6"/>
  <c r="K388" i="12"/>
  <c r="AD388" i="6"/>
  <c r="BC388" i="6"/>
  <c r="AR388" i="6"/>
  <c r="AO388" i="6"/>
  <c r="AX388" i="6"/>
  <c r="AU388" i="6"/>
  <c r="BD388" i="6"/>
  <c r="AG388" i="6"/>
  <c r="AB388" i="6"/>
  <c r="G389" i="6"/>
  <c r="AI388" i="6"/>
  <c r="BB388" i="6"/>
  <c r="AY388" i="6"/>
  <c r="L389" i="12" a="1"/>
  <c r="L389" i="12" s="1"/>
  <c r="J389" i="12" a="1"/>
  <c r="J389" i="12" s="1"/>
  <c r="T389" i="5"/>
  <c r="M389" i="6" l="1"/>
  <c r="AZ389" i="6" s="1"/>
  <c r="K389" i="12"/>
  <c r="A390" i="6"/>
  <c r="N390" i="6" s="1"/>
  <c r="K391" i="5"/>
  <c r="AE391" i="5"/>
  <c r="J391" i="5"/>
  <c r="D391" i="5"/>
  <c r="B391" i="12" s="1"/>
  <c r="B391" i="6"/>
  <c r="AD391" i="5"/>
  <c r="F391" i="5"/>
  <c r="B391" i="5"/>
  <c r="C392" i="5" s="1"/>
  <c r="A391" i="12"/>
  <c r="H391" i="5"/>
  <c r="G391" i="5"/>
  <c r="E391" i="5"/>
  <c r="N391" i="5"/>
  <c r="D391" i="6" s="1"/>
  <c r="J390" i="12" a="1"/>
  <c r="J390" i="12" s="1"/>
  <c r="L390" i="12" a="1"/>
  <c r="L390" i="12" s="1"/>
  <c r="G390" i="6"/>
  <c r="H390" i="6"/>
  <c r="G389" i="12"/>
  <c r="M390" i="6" l="1"/>
  <c r="AU390" i="6" s="1"/>
  <c r="AN389" i="6"/>
  <c r="AR389" i="6"/>
  <c r="AK389" i="6"/>
  <c r="AB389" i="6"/>
  <c r="AI389" i="6"/>
  <c r="BF389" i="6"/>
  <c r="AJ389" i="6"/>
  <c r="BC389" i="6"/>
  <c r="AU389" i="6"/>
  <c r="BA389" i="6"/>
  <c r="AT389" i="6"/>
  <c r="AH389" i="6"/>
  <c r="AM389" i="6"/>
  <c r="AE389" i="6"/>
  <c r="AC389" i="6"/>
  <c r="BE389" i="6"/>
  <c r="AY389" i="6"/>
  <c r="AX389" i="6"/>
  <c r="AG389" i="6"/>
  <c r="AS389" i="6"/>
  <c r="AP389" i="6"/>
  <c r="AF389" i="6"/>
  <c r="BG389" i="6"/>
  <c r="AD389" i="6"/>
  <c r="AV389" i="6"/>
  <c r="BB389" i="6"/>
  <c r="AQ389" i="6"/>
  <c r="AO389" i="6"/>
  <c r="BD389" i="6"/>
  <c r="A391" i="6"/>
  <c r="N391" i="6" s="1"/>
  <c r="H391" i="6"/>
  <c r="T391" i="5" s="1"/>
  <c r="H392" i="5"/>
  <c r="F392" i="5"/>
  <c r="C393" i="5"/>
  <c r="W392" i="5"/>
  <c r="H392" i="12" s="1"/>
  <c r="B392" i="5"/>
  <c r="I392" i="5"/>
  <c r="E392" i="5"/>
  <c r="A392" i="12"/>
  <c r="G392" i="5"/>
  <c r="AD392" i="5"/>
  <c r="B392" i="6"/>
  <c r="AE392" i="5"/>
  <c r="N392" i="5"/>
  <c r="D392" i="6" s="1"/>
  <c r="M392" i="6" s="1"/>
  <c r="K390" i="12"/>
  <c r="T390" i="5"/>
  <c r="G390" i="12" s="1"/>
  <c r="G391" i="6"/>
  <c r="J391" i="12" a="1"/>
  <c r="J391" i="12" s="1"/>
  <c r="L391" i="12" a="1"/>
  <c r="L391" i="12" s="1"/>
  <c r="AO390" i="6" l="1"/>
  <c r="BG390" i="6"/>
  <c r="AC390" i="6"/>
  <c r="AQ390" i="6"/>
  <c r="BB390" i="6"/>
  <c r="AF390" i="6"/>
  <c r="BC390" i="6"/>
  <c r="AK390" i="6"/>
  <c r="AY390" i="6"/>
  <c r="BF390" i="6"/>
  <c r="AT390" i="6"/>
  <c r="AD390" i="6"/>
  <c r="AH390" i="6"/>
  <c r="AG390" i="6"/>
  <c r="AV390" i="6"/>
  <c r="AR390" i="6"/>
  <c r="AZ390" i="6"/>
  <c r="AS390" i="6"/>
  <c r="AE390" i="6"/>
  <c r="AP390" i="6"/>
  <c r="AN390" i="6"/>
  <c r="AI390" i="6"/>
  <c r="AM390" i="6"/>
  <c r="AX390" i="6"/>
  <c r="BE390" i="6"/>
  <c r="AB390" i="6"/>
  <c r="BD390" i="6"/>
  <c r="AJ390" i="6"/>
  <c r="BA390" i="6"/>
  <c r="M391" i="6"/>
  <c r="AG391" i="6" s="1"/>
  <c r="H392" i="6"/>
  <c r="T392" i="5" s="1"/>
  <c r="G392" i="12" s="1"/>
  <c r="G392" i="6"/>
  <c r="N392" i="6"/>
  <c r="BD392" i="6"/>
  <c r="AP392" i="6"/>
  <c r="AZ392" i="6"/>
  <c r="AU392" i="6"/>
  <c r="AV392" i="6"/>
  <c r="K391" i="12"/>
  <c r="J392" i="6" a="1"/>
  <c r="J392" i="6" s="1"/>
  <c r="A392" i="6"/>
  <c r="AN392" i="6"/>
  <c r="BB392" i="6"/>
  <c r="AT392" i="6"/>
  <c r="AD393" i="5"/>
  <c r="K393" i="5"/>
  <c r="F393" i="5"/>
  <c r="N393" i="5"/>
  <c r="D393" i="6" s="1"/>
  <c r="H393" i="6" s="1"/>
  <c r="B393" i="5"/>
  <c r="AE393" i="5"/>
  <c r="J393" i="5"/>
  <c r="H393" i="5"/>
  <c r="C394" i="5"/>
  <c r="A393" i="12"/>
  <c r="D393" i="5"/>
  <c r="B393" i="12" s="1"/>
  <c r="E393" i="5"/>
  <c r="B393" i="6"/>
  <c r="G393" i="5"/>
  <c r="AY392" i="6"/>
  <c r="BE392" i="6"/>
  <c r="BF392" i="6"/>
  <c r="AQ392" i="6"/>
  <c r="BG392" i="6"/>
  <c r="AX392" i="6"/>
  <c r="AM392" i="6"/>
  <c r="BA392" i="6"/>
  <c r="AO392" i="6"/>
  <c r="AS392" i="6"/>
  <c r="BC392" i="6"/>
  <c r="G391" i="12"/>
  <c r="AR392" i="6"/>
  <c r="AH392" i="6" l="1"/>
  <c r="AF392" i="6"/>
  <c r="AD392" i="6"/>
  <c r="AE392" i="6"/>
  <c r="AG392" i="6"/>
  <c r="AJ392" i="6"/>
  <c r="AB392" i="6"/>
  <c r="AI392" i="6"/>
  <c r="AK392" i="6"/>
  <c r="AC392" i="6"/>
  <c r="BB391" i="6"/>
  <c r="AM391" i="6"/>
  <c r="BF391" i="6"/>
  <c r="AT391" i="6"/>
  <c r="AE391" i="6"/>
  <c r="BG391" i="6"/>
  <c r="AI391" i="6"/>
  <c r="AR391" i="6"/>
  <c r="AY391" i="6"/>
  <c r="AF391" i="6"/>
  <c r="AO391" i="6"/>
  <c r="BE391" i="6"/>
  <c r="AK391" i="6"/>
  <c r="AB391" i="6"/>
  <c r="BA391" i="6"/>
  <c r="AU391" i="6"/>
  <c r="AN391" i="6"/>
  <c r="AV391" i="6"/>
  <c r="BC391" i="6"/>
  <c r="AQ391" i="6"/>
  <c r="AJ391" i="6"/>
  <c r="AP391" i="6"/>
  <c r="AC391" i="6"/>
  <c r="AS391" i="6"/>
  <c r="BD391" i="6"/>
  <c r="AH391" i="6"/>
  <c r="AZ391" i="6"/>
  <c r="AX391" i="6"/>
  <c r="AD391" i="6"/>
  <c r="A393" i="6"/>
  <c r="N393" i="6" s="1"/>
  <c r="G393" i="6"/>
  <c r="L393" i="12" a="1"/>
  <c r="L393" i="12" s="1"/>
  <c r="J393" i="12" a="1"/>
  <c r="J393" i="12" s="1"/>
  <c r="B394" i="6"/>
  <c r="J394" i="5"/>
  <c r="B394" i="5"/>
  <c r="AE394" i="5"/>
  <c r="K394" i="5"/>
  <c r="AD394" i="5"/>
  <c r="F394" i="5"/>
  <c r="G394" i="5"/>
  <c r="H394" i="5"/>
  <c r="E394" i="5"/>
  <c r="D394" i="5"/>
  <c r="B394" i="12" s="1"/>
  <c r="N394" i="5"/>
  <c r="D394" i="6" s="1"/>
  <c r="G394" i="6" s="1"/>
  <c r="A394" i="12"/>
  <c r="C395" i="5"/>
  <c r="T393" i="5"/>
  <c r="H394" i="6" l="1"/>
  <c r="T394" i="5" s="1"/>
  <c r="A394" i="6"/>
  <c r="N394" i="6" s="1"/>
  <c r="M393" i="6"/>
  <c r="AY393" i="6" s="1"/>
  <c r="G395" i="5"/>
  <c r="C396" i="5"/>
  <c r="F395" i="5"/>
  <c r="N395" i="5"/>
  <c r="D395" i="6" s="1"/>
  <c r="K395" i="5"/>
  <c r="J395" i="5"/>
  <c r="D395" i="5"/>
  <c r="B395" i="12" s="1"/>
  <c r="AE395" i="5"/>
  <c r="AD395" i="5"/>
  <c r="B395" i="6"/>
  <c r="H395" i="5"/>
  <c r="A395" i="12"/>
  <c r="E395" i="5"/>
  <c r="B395" i="5"/>
  <c r="L394" i="12" a="1"/>
  <c r="L394" i="12" s="1"/>
  <c r="J394" i="12" a="1"/>
  <c r="J394" i="12" s="1"/>
  <c r="K393" i="12"/>
  <c r="G393" i="12"/>
  <c r="BB393" i="6" l="1"/>
  <c r="AT393" i="6"/>
  <c r="BD393" i="6"/>
  <c r="AV393" i="6"/>
  <c r="BE393" i="6"/>
  <c r="AQ393" i="6"/>
  <c r="AN393" i="6"/>
  <c r="AS393" i="6"/>
  <c r="AH393" i="6"/>
  <c r="AG393" i="6"/>
  <c r="AD393" i="6"/>
  <c r="AC393" i="6"/>
  <c r="BF393" i="6"/>
  <c r="AB393" i="6"/>
  <c r="AF393" i="6"/>
  <c r="AO393" i="6"/>
  <c r="BA393" i="6"/>
  <c r="BC393" i="6"/>
  <c r="AU393" i="6"/>
  <c r="AX393" i="6"/>
  <c r="AE393" i="6"/>
  <c r="AM393" i="6"/>
  <c r="AJ393" i="6"/>
  <c r="AR393" i="6"/>
  <c r="AP393" i="6"/>
  <c r="AK393" i="6"/>
  <c r="M394" i="6"/>
  <c r="AV394" i="6" s="1"/>
  <c r="AI393" i="6"/>
  <c r="AZ393" i="6"/>
  <c r="BG393" i="6"/>
  <c r="K394" i="12"/>
  <c r="J395" i="12" a="1"/>
  <c r="J395" i="12" s="1"/>
  <c r="L395" i="12" a="1"/>
  <c r="L395" i="12" s="1"/>
  <c r="G395" i="6"/>
  <c r="A395" i="6"/>
  <c r="N395" i="6" s="1"/>
  <c r="H395" i="6"/>
  <c r="T395" i="5" s="1"/>
  <c r="F396" i="5"/>
  <c r="J396" i="5"/>
  <c r="B396" i="6"/>
  <c r="K396" i="5"/>
  <c r="B396" i="5"/>
  <c r="AD396" i="5"/>
  <c r="E396" i="5"/>
  <c r="G396" i="5"/>
  <c r="A396" i="12"/>
  <c r="D396" i="5"/>
  <c r="B396" i="12" s="1"/>
  <c r="H396" i="5"/>
  <c r="N396" i="5"/>
  <c r="D396" i="6" s="1"/>
  <c r="H396" i="6" s="1"/>
  <c r="C397" i="5"/>
  <c r="AE396" i="5"/>
  <c r="G394" i="12"/>
  <c r="AQ394" i="6" l="1"/>
  <c r="AF394" i="6"/>
  <c r="AM394" i="6"/>
  <c r="AZ394" i="6"/>
  <c r="AR394" i="6"/>
  <c r="BC394" i="6"/>
  <c r="BF394" i="6"/>
  <c r="BB394" i="6"/>
  <c r="AU394" i="6"/>
  <c r="AB394" i="6"/>
  <c r="BG394" i="6"/>
  <c r="AD394" i="6"/>
  <c r="BE394" i="6"/>
  <c r="AN394" i="6"/>
  <c r="AS394" i="6"/>
  <c r="AE394" i="6"/>
  <c r="AX394" i="6"/>
  <c r="BA394" i="6"/>
  <c r="AH394" i="6"/>
  <c r="AP394" i="6"/>
  <c r="AO394" i="6"/>
  <c r="AG394" i="6"/>
  <c r="AJ394" i="6"/>
  <c r="BD394" i="6"/>
  <c r="AT394" i="6"/>
  <c r="AI394" i="6"/>
  <c r="AK394" i="6"/>
  <c r="AY394" i="6"/>
  <c r="AC394" i="6"/>
  <c r="K395" i="12"/>
  <c r="G396" i="6"/>
  <c r="A396" i="6"/>
  <c r="B397" i="5"/>
  <c r="C398" i="5"/>
  <c r="J397" i="5"/>
  <c r="G397" i="5"/>
  <c r="F397" i="5"/>
  <c r="A397" i="12"/>
  <c r="E397" i="5"/>
  <c r="AE397" i="5"/>
  <c r="B397" i="6"/>
  <c r="D397" i="5"/>
  <c r="B397" i="12" s="1"/>
  <c r="K397" i="5"/>
  <c r="AD397" i="5"/>
  <c r="H397" i="5"/>
  <c r="N397" i="5"/>
  <c r="D397" i="6" s="1"/>
  <c r="J396" i="12" a="1"/>
  <c r="J396" i="12" s="1"/>
  <c r="L396" i="12" a="1"/>
  <c r="L396" i="12" s="1"/>
  <c r="M395" i="6"/>
  <c r="T396" i="5"/>
  <c r="G395" i="12"/>
  <c r="A397" i="6" l="1"/>
  <c r="N397" i="6" s="1"/>
  <c r="G397" i="6"/>
  <c r="J397" i="12" a="1"/>
  <c r="J397" i="12" s="1"/>
  <c r="L397" i="12" a="1"/>
  <c r="L397" i="12" s="1"/>
  <c r="AQ395" i="6"/>
  <c r="AO395" i="6"/>
  <c r="AY395" i="6"/>
  <c r="BE395" i="6"/>
  <c r="AR395" i="6"/>
  <c r="AB395" i="6"/>
  <c r="AV395" i="6"/>
  <c r="AI395" i="6"/>
  <c r="AS395" i="6"/>
  <c r="AC395" i="6"/>
  <c r="AT395" i="6"/>
  <c r="AZ395" i="6"/>
  <c r="AX395" i="6"/>
  <c r="AF395" i="6"/>
  <c r="AU395" i="6"/>
  <c r="AK395" i="6"/>
  <c r="AP395" i="6"/>
  <c r="BB395" i="6"/>
  <c r="BA395" i="6"/>
  <c r="AD395" i="6"/>
  <c r="AM395" i="6"/>
  <c r="BG395" i="6"/>
  <c r="BD395" i="6"/>
  <c r="BC395" i="6"/>
  <c r="AN395" i="6"/>
  <c r="BF395" i="6"/>
  <c r="AJ395" i="6"/>
  <c r="AH395" i="6"/>
  <c r="H397" i="6"/>
  <c r="AG395" i="6"/>
  <c r="K396" i="12"/>
  <c r="K398" i="5"/>
  <c r="H398" i="5"/>
  <c r="E398" i="5"/>
  <c r="AE398" i="5"/>
  <c r="B398" i="5"/>
  <c r="AD398" i="5"/>
  <c r="N398" i="5"/>
  <c r="D398" i="6" s="1"/>
  <c r="H398" i="6" s="1"/>
  <c r="F398" i="5"/>
  <c r="B398" i="6"/>
  <c r="A398" i="12"/>
  <c r="C399" i="5"/>
  <c r="J398" i="5"/>
  <c r="G398" i="5"/>
  <c r="D398" i="5"/>
  <c r="B398" i="12" s="1"/>
  <c r="M396" i="6"/>
  <c r="N396" i="6"/>
  <c r="AE395" i="6"/>
  <c r="G396" i="12"/>
  <c r="A398" i="6" l="1"/>
  <c r="N398" i="6" s="1"/>
  <c r="M397" i="6"/>
  <c r="AZ397" i="6" s="1"/>
  <c r="G398" i="6"/>
  <c r="T397" i="5"/>
  <c r="G397" i="12" s="1"/>
  <c r="K397" i="12"/>
  <c r="J398" i="12" a="1"/>
  <c r="J398" i="12" s="1"/>
  <c r="L398" i="12" a="1"/>
  <c r="L398" i="12" s="1"/>
  <c r="AE399" i="5"/>
  <c r="G399" i="5"/>
  <c r="F399" i="5"/>
  <c r="AD399" i="5"/>
  <c r="D399" i="5"/>
  <c r="B399" i="12" s="1"/>
  <c r="B399" i="6"/>
  <c r="H399" i="5"/>
  <c r="A399" i="12"/>
  <c r="B399" i="5"/>
  <c r="C400" i="5" s="1"/>
  <c r="N399" i="5"/>
  <c r="D399" i="6" s="1"/>
  <c r="H399" i="6" s="1"/>
  <c r="K399" i="5"/>
  <c r="E399" i="5"/>
  <c r="J399" i="5"/>
  <c r="AQ396" i="6"/>
  <c r="AR396" i="6"/>
  <c r="AN396" i="6"/>
  <c r="AG396" i="6"/>
  <c r="AB396" i="6"/>
  <c r="AJ396" i="6"/>
  <c r="AE396" i="6"/>
  <c r="BF396" i="6"/>
  <c r="AT396" i="6"/>
  <c r="AI396" i="6"/>
  <c r="AF396" i="6"/>
  <c r="AH396" i="6"/>
  <c r="AO396" i="6"/>
  <c r="AZ396" i="6"/>
  <c r="BD396" i="6"/>
  <c r="AS396" i="6"/>
  <c r="BA396" i="6"/>
  <c r="AC396" i="6"/>
  <c r="AM396" i="6"/>
  <c r="AK396" i="6"/>
  <c r="BB396" i="6"/>
  <c r="AY396" i="6"/>
  <c r="AU396" i="6"/>
  <c r="BE396" i="6"/>
  <c r="BC396" i="6"/>
  <c r="AP396" i="6"/>
  <c r="AV396" i="6"/>
  <c r="AD396" i="6"/>
  <c r="BG396" i="6"/>
  <c r="AX396" i="6"/>
  <c r="T398" i="5"/>
  <c r="M398" i="6" l="1"/>
  <c r="AR398" i="6" s="1"/>
  <c r="AK397" i="6"/>
  <c r="AY397" i="6"/>
  <c r="BF397" i="6"/>
  <c r="AJ397" i="6"/>
  <c r="AO397" i="6"/>
  <c r="AB397" i="6"/>
  <c r="BC397" i="6"/>
  <c r="AH397" i="6"/>
  <c r="AI397" i="6"/>
  <c r="AF397" i="6"/>
  <c r="BA397" i="6"/>
  <c r="AM397" i="6"/>
  <c r="AT397" i="6"/>
  <c r="AR397" i="6"/>
  <c r="BB397" i="6"/>
  <c r="AP397" i="6"/>
  <c r="AU397" i="6"/>
  <c r="AS397" i="6"/>
  <c r="AV397" i="6"/>
  <c r="BE397" i="6"/>
  <c r="BG397" i="6"/>
  <c r="BD397" i="6"/>
  <c r="AE397" i="6"/>
  <c r="AD397" i="6"/>
  <c r="AN397" i="6"/>
  <c r="AG397" i="6"/>
  <c r="AC397" i="6"/>
  <c r="AX397" i="6"/>
  <c r="AQ397" i="6"/>
  <c r="K398" i="12"/>
  <c r="A399" i="6"/>
  <c r="N399" i="6" s="1"/>
  <c r="G399" i="6"/>
  <c r="N400" i="5"/>
  <c r="D400" i="6" s="1"/>
  <c r="G400" i="6" s="1"/>
  <c r="G400" i="5"/>
  <c r="AD400" i="5"/>
  <c r="W400" i="5"/>
  <c r="H400" i="12" s="1"/>
  <c r="H400" i="5"/>
  <c r="A400" i="12"/>
  <c r="B400" i="5"/>
  <c r="B400" i="6"/>
  <c r="C401" i="5"/>
  <c r="I400" i="5"/>
  <c r="E400" i="5"/>
  <c r="F400" i="5"/>
  <c r="AE400" i="5"/>
  <c r="L399" i="12" a="1"/>
  <c r="L399" i="12" s="1"/>
  <c r="J399" i="12" a="1"/>
  <c r="J399" i="12" s="1"/>
  <c r="G398" i="12"/>
  <c r="T399" i="5"/>
  <c r="AJ398" i="6" l="1"/>
  <c r="BE398" i="6"/>
  <c r="BC398" i="6"/>
  <c r="BB398" i="6"/>
  <c r="AQ398" i="6"/>
  <c r="BA398" i="6"/>
  <c r="AD398" i="6"/>
  <c r="AE398" i="6"/>
  <c r="AB398" i="6"/>
  <c r="AH398" i="6"/>
  <c r="AU398" i="6"/>
  <c r="AT398" i="6"/>
  <c r="AP398" i="6"/>
  <c r="AX398" i="6"/>
  <c r="BG398" i="6"/>
  <c r="AV398" i="6"/>
  <c r="AG398" i="6"/>
  <c r="AS398" i="6"/>
  <c r="AN398" i="6"/>
  <c r="BF398" i="6"/>
  <c r="AK398" i="6"/>
  <c r="AC398" i="6"/>
  <c r="AI398" i="6"/>
  <c r="AO398" i="6"/>
  <c r="BD398" i="6"/>
  <c r="AM398" i="6"/>
  <c r="AZ398" i="6"/>
  <c r="AY398" i="6"/>
  <c r="AF398" i="6"/>
  <c r="M399" i="6"/>
  <c r="AE399" i="6" s="1"/>
  <c r="N400" i="6"/>
  <c r="M400" i="6"/>
  <c r="AX400" i="6" s="1"/>
  <c r="H400" i="6"/>
  <c r="T400" i="5" s="1"/>
  <c r="G400" i="12" s="1"/>
  <c r="F401" i="5"/>
  <c r="AD401" i="5"/>
  <c r="E401" i="5"/>
  <c r="N401" i="5"/>
  <c r="D401" i="6" s="1"/>
  <c r="H401" i="6" s="1"/>
  <c r="C402" i="5"/>
  <c r="H401" i="5"/>
  <c r="A401" i="12"/>
  <c r="K401" i="5"/>
  <c r="D401" i="5"/>
  <c r="B401" i="12" s="1"/>
  <c r="B401" i="6"/>
  <c r="J401" i="5"/>
  <c r="AE401" i="5"/>
  <c r="B401" i="5"/>
  <c r="G401" i="5"/>
  <c r="J400" i="6" a="1"/>
  <c r="J400" i="6" s="1"/>
  <c r="A400" i="6"/>
  <c r="K399" i="12"/>
  <c r="G399" i="12"/>
  <c r="BE400" i="6" l="1"/>
  <c r="AQ400" i="6"/>
  <c r="AO400" i="6"/>
  <c r="AP400" i="6"/>
  <c r="AB400" i="6"/>
  <c r="BG400" i="6"/>
  <c r="AY400" i="6"/>
  <c r="AM400" i="6"/>
  <c r="AH400" i="6"/>
  <c r="AR400" i="6"/>
  <c r="BA400" i="6"/>
  <c r="AZ400" i="6"/>
  <c r="BF400" i="6"/>
  <c r="AU400" i="6"/>
  <c r="AD400" i="6"/>
  <c r="BC400" i="6"/>
  <c r="AT400" i="6"/>
  <c r="AN400" i="6"/>
  <c r="BD400" i="6"/>
  <c r="AF400" i="6"/>
  <c r="BB400" i="6"/>
  <c r="BF399" i="6"/>
  <c r="AB399" i="6"/>
  <c r="BD399" i="6"/>
  <c r="BA399" i="6"/>
  <c r="AX399" i="6"/>
  <c r="AV399" i="6"/>
  <c r="AC399" i="6"/>
  <c r="AG399" i="6"/>
  <c r="AJ399" i="6"/>
  <c r="AN399" i="6"/>
  <c r="BC399" i="6"/>
  <c r="AU399" i="6"/>
  <c r="AQ399" i="6"/>
  <c r="AO399" i="6"/>
  <c r="AS399" i="6"/>
  <c r="BG399" i="6"/>
  <c r="AY399" i="6"/>
  <c r="AZ399" i="6"/>
  <c r="AI399" i="6"/>
  <c r="AP399" i="6"/>
  <c r="AD399" i="6"/>
  <c r="G401" i="6"/>
  <c r="AM399" i="6"/>
  <c r="BE399" i="6"/>
  <c r="AF399" i="6"/>
  <c r="AK399" i="6"/>
  <c r="BB399" i="6"/>
  <c r="AH399" i="6"/>
  <c r="AR399" i="6"/>
  <c r="AT399" i="6"/>
  <c r="AJ400" i="6"/>
  <c r="AS400" i="6"/>
  <c r="AV400" i="6"/>
  <c r="AI400" i="6"/>
  <c r="AC400" i="6"/>
  <c r="AK400" i="6"/>
  <c r="AG400" i="6"/>
  <c r="AE400" i="6"/>
  <c r="A401" i="6"/>
  <c r="N401" i="6" s="1"/>
  <c r="L401" i="12" a="1"/>
  <c r="L401" i="12" s="1"/>
  <c r="J401" i="12" a="1"/>
  <c r="J401" i="12" s="1"/>
  <c r="E402" i="5"/>
  <c r="F402" i="5"/>
  <c r="D402" i="5"/>
  <c r="B402" i="12" s="1"/>
  <c r="AD402" i="5"/>
  <c r="A402" i="12"/>
  <c r="AE402" i="5"/>
  <c r="B402" i="6"/>
  <c r="K402" i="5"/>
  <c r="J402" i="5"/>
  <c r="H402" i="5"/>
  <c r="B402" i="5"/>
  <c r="C403" i="5" s="1"/>
  <c r="N402" i="5"/>
  <c r="D402" i="6" s="1"/>
  <c r="G402" i="6" s="1"/>
  <c r="G402" i="5"/>
  <c r="T401" i="5"/>
  <c r="K401" i="12" l="1"/>
  <c r="M401" i="6"/>
  <c r="AE401" i="6" s="1"/>
  <c r="A402" i="6"/>
  <c r="N402" i="6" s="1"/>
  <c r="H402" i="6"/>
  <c r="T402" i="5" s="1"/>
  <c r="L402" i="12" a="1"/>
  <c r="L402" i="12" s="1"/>
  <c r="J402" i="12" a="1"/>
  <c r="J402" i="12" s="1"/>
  <c r="I403" i="5"/>
  <c r="F403" i="5"/>
  <c r="G403" i="5"/>
  <c r="AE403" i="5"/>
  <c r="AD403" i="5"/>
  <c r="C404" i="5"/>
  <c r="H403" i="5"/>
  <c r="B403" i="6"/>
  <c r="W403" i="5"/>
  <c r="H403" i="12" s="1"/>
  <c r="E403" i="5"/>
  <c r="N403" i="5"/>
  <c r="D403" i="6" s="1"/>
  <c r="N403" i="6" s="1"/>
  <c r="A403" i="12"/>
  <c r="B403" i="5"/>
  <c r="K130" i="5"/>
  <c r="J130" i="5"/>
  <c r="K168" i="5"/>
  <c r="J168" i="5"/>
  <c r="K269" i="5"/>
  <c r="J269" i="5"/>
  <c r="J272" i="5"/>
  <c r="D272" i="5" s="1"/>
  <c r="J275" i="5"/>
  <c r="K275" i="5"/>
  <c r="J286" i="5"/>
  <c r="D286" i="5" s="1"/>
  <c r="J289" i="5"/>
  <c r="K289" i="5"/>
  <c r="J303" i="5"/>
  <c r="K17" i="5"/>
  <c r="K21" i="5"/>
  <c r="K28" i="5"/>
  <c r="K34" i="5"/>
  <c r="K41" i="5"/>
  <c r="K47" i="5"/>
  <c r="K54" i="5"/>
  <c r="K115" i="5"/>
  <c r="K129" i="5"/>
  <c r="K218" i="5"/>
  <c r="K225" i="5"/>
  <c r="K247" i="5"/>
  <c r="K254" i="5"/>
  <c r="K268" i="5"/>
  <c r="K325" i="5"/>
  <c r="K342" i="5"/>
  <c r="K346" i="5"/>
  <c r="K370" i="5"/>
  <c r="K380" i="5"/>
  <c r="K392" i="5"/>
  <c r="G401" i="12"/>
  <c r="G403" i="6" l="1"/>
  <c r="H403" i="6"/>
  <c r="T403" i="5" s="1"/>
  <c r="D275" i="5"/>
  <c r="B275" i="12" s="1"/>
  <c r="AO401" i="6"/>
  <c r="AK401" i="6"/>
  <c r="AV401" i="6"/>
  <c r="AU401" i="6"/>
  <c r="BF401" i="6"/>
  <c r="BE401" i="6"/>
  <c r="BC401" i="6"/>
  <c r="AB401" i="6"/>
  <c r="AD401" i="6"/>
  <c r="AX401" i="6"/>
  <c r="AN401" i="6"/>
  <c r="AP401" i="6"/>
  <c r="AS401" i="6"/>
  <c r="BD401" i="6"/>
  <c r="AT401" i="6"/>
  <c r="AJ401" i="6"/>
  <c r="AZ401" i="6"/>
  <c r="BG401" i="6"/>
  <c r="AC401" i="6"/>
  <c r="AG401" i="6"/>
  <c r="AH401" i="6"/>
  <c r="AM401" i="6"/>
  <c r="AF401" i="6"/>
  <c r="AI401" i="6"/>
  <c r="AY401" i="6"/>
  <c r="BB401" i="6"/>
  <c r="AQ401" i="6"/>
  <c r="AR401" i="6"/>
  <c r="BA401" i="6"/>
  <c r="M403" i="6"/>
  <c r="AI403" i="6" s="1"/>
  <c r="D130" i="5"/>
  <c r="B130" i="12" s="1"/>
  <c r="M402" i="6"/>
  <c r="AB402" i="6" s="1"/>
  <c r="J403" i="6" a="1"/>
  <c r="J403" i="6" s="1"/>
  <c r="A403" i="6"/>
  <c r="K404" i="5"/>
  <c r="AD404" i="5"/>
  <c r="H404" i="5"/>
  <c r="B404" i="5"/>
  <c r="E404" i="5"/>
  <c r="F404" i="5"/>
  <c r="J400" i="5" s="1"/>
  <c r="AE404" i="5"/>
  <c r="A404" i="12"/>
  <c r="G404" i="5"/>
  <c r="K303" i="5" s="1"/>
  <c r="D303" i="5" s="1"/>
  <c r="A5" i="5"/>
  <c r="B404" i="6"/>
  <c r="N404" i="5"/>
  <c r="D404" i="6" s="1"/>
  <c r="J404" i="5"/>
  <c r="D404" i="5"/>
  <c r="B404" i="12" s="1"/>
  <c r="K400" i="5"/>
  <c r="K402" i="12"/>
  <c r="D168" i="5"/>
  <c r="B168" i="12" s="1"/>
  <c r="D289" i="5"/>
  <c r="B289" i="12" s="1"/>
  <c r="G403" i="12"/>
  <c r="B286" i="12"/>
  <c r="B272" i="12"/>
  <c r="D269" i="5"/>
  <c r="G402" i="12"/>
  <c r="A404" i="6" l="1"/>
  <c r="M404" i="6" s="1"/>
  <c r="AN403" i="6"/>
  <c r="AG403" i="6"/>
  <c r="AC403" i="6"/>
  <c r="BG403" i="6"/>
  <c r="AS403" i="6"/>
  <c r="AF403" i="6"/>
  <c r="AB403" i="6"/>
  <c r="BF403" i="6"/>
  <c r="AD403" i="6"/>
  <c r="AZ403" i="6"/>
  <c r="BB403" i="6"/>
  <c r="AT403" i="6"/>
  <c r="AJ403" i="6"/>
  <c r="BE403" i="6"/>
  <c r="AP403" i="6"/>
  <c r="AR403" i="6"/>
  <c r="BD403" i="6"/>
  <c r="AU403" i="6"/>
  <c r="AH403" i="6"/>
  <c r="AX403" i="6"/>
  <c r="AY403" i="6"/>
  <c r="AK403" i="6"/>
  <c r="AQ403" i="6"/>
  <c r="AO403" i="6"/>
  <c r="AV403" i="6"/>
  <c r="AM403" i="6"/>
  <c r="AE403" i="6"/>
  <c r="BA403" i="6"/>
  <c r="BC403" i="6"/>
  <c r="G404" i="6"/>
  <c r="AF402" i="6"/>
  <c r="AS402" i="6"/>
  <c r="BD402" i="6"/>
  <c r="AH402" i="6"/>
  <c r="AJ402" i="6"/>
  <c r="AK402" i="6"/>
  <c r="BF402" i="6"/>
  <c r="AU402" i="6"/>
  <c r="AD402" i="6"/>
  <c r="AY402" i="6"/>
  <c r="AC402" i="6"/>
  <c r="BB402" i="6"/>
  <c r="AN402" i="6"/>
  <c r="AM402" i="6"/>
  <c r="AE402" i="6"/>
  <c r="AQ402" i="6"/>
  <c r="AG402" i="6"/>
  <c r="AR402" i="6"/>
  <c r="H404" i="6"/>
  <c r="AP402" i="6"/>
  <c r="AT402" i="6"/>
  <c r="AV402" i="6"/>
  <c r="AO402" i="6"/>
  <c r="BE402" i="6"/>
  <c r="AZ402" i="6"/>
  <c r="AI402" i="6"/>
  <c r="AX402" i="6"/>
  <c r="BC402" i="6"/>
  <c r="BA402" i="6"/>
  <c r="BG402" i="6"/>
  <c r="B19" i="11"/>
  <c r="J16" i="5"/>
  <c r="A16" i="13"/>
  <c r="B15" i="11"/>
  <c r="B22" i="11"/>
  <c r="K16" i="5"/>
  <c r="A20" i="13"/>
  <c r="A23" i="13"/>
  <c r="A19" i="13"/>
  <c r="A12" i="13"/>
  <c r="B20" i="11"/>
  <c r="B12" i="11"/>
  <c r="B23" i="11"/>
  <c r="B16" i="11"/>
  <c r="B18" i="11"/>
  <c r="A18" i="13"/>
  <c r="B21" i="11"/>
  <c r="A15" i="13"/>
  <c r="B17" i="11"/>
  <c r="A22" i="13"/>
  <c r="A17" i="13"/>
  <c r="A21" i="13"/>
  <c r="F38" i="8"/>
  <c r="F39" i="8" s="1"/>
  <c r="F71" i="8"/>
  <c r="F72" i="8" s="1"/>
  <c r="F47" i="8"/>
  <c r="F48" i="8" s="1"/>
  <c r="F80" i="8"/>
  <c r="F81" i="8" s="1"/>
  <c r="F41" i="8"/>
  <c r="F42" i="8" s="1"/>
  <c r="F86" i="8"/>
  <c r="F87" i="8" s="1"/>
  <c r="F17" i="8"/>
  <c r="F18" i="8" s="1"/>
  <c r="F56" i="8"/>
  <c r="F57" i="8" s="1"/>
  <c r="F83" i="8"/>
  <c r="F84" i="8" s="1"/>
  <c r="F14" i="8"/>
  <c r="F15" i="8" s="1"/>
  <c r="F50" i="8"/>
  <c r="F51" i="8" s="1"/>
  <c r="F1" i="8"/>
  <c r="F2" i="8" s="1"/>
  <c r="F35" i="8"/>
  <c r="F36" i="8" s="1"/>
  <c r="F23" i="8"/>
  <c r="F24" i="8" s="1"/>
  <c r="F59" i="8"/>
  <c r="F60" i="8" s="1"/>
  <c r="F20" i="8"/>
  <c r="F21" i="8" s="1"/>
  <c r="F53" i="8"/>
  <c r="F54" i="8" s="1"/>
  <c r="F29" i="8"/>
  <c r="F30" i="8" s="1"/>
  <c r="F26" i="8"/>
  <c r="F27" i="8" s="1"/>
  <c r="F62" i="8"/>
  <c r="F63" i="8" s="1"/>
  <c r="F65" i="8"/>
  <c r="F66" i="8" s="1"/>
  <c r="F74" i="8"/>
  <c r="F75" i="8" s="1"/>
  <c r="F44" i="8"/>
  <c r="F45" i="8" s="1"/>
  <c r="F77" i="8"/>
  <c r="F78" i="8" s="1"/>
  <c r="F32" i="8"/>
  <c r="F33" i="8" s="1"/>
  <c r="F68" i="8"/>
  <c r="F69" i="8" s="1"/>
  <c r="J404" i="12" a="1"/>
  <c r="J404" i="12" s="1"/>
  <c r="L404" i="12" a="1"/>
  <c r="L404" i="12" s="1"/>
  <c r="D400" i="5"/>
  <c r="B400" i="12" s="1"/>
  <c r="J115" i="5"/>
  <c r="D115" i="5" s="1"/>
  <c r="B115" i="12" s="1"/>
  <c r="J268" i="5"/>
  <c r="D268" i="5" s="1"/>
  <c r="B268" i="12" s="1"/>
  <c r="J392" i="5"/>
  <c r="D392" i="5" s="1"/>
  <c r="B392" i="12" s="1"/>
  <c r="J254" i="5"/>
  <c r="D254" i="5" s="1"/>
  <c r="B254" i="12" s="1"/>
  <c r="K403" i="5"/>
  <c r="J34" i="5"/>
  <c r="D34" i="5" s="1"/>
  <c r="B34" i="12" s="1"/>
  <c r="J129" i="5"/>
  <c r="D129" i="5" s="1"/>
  <c r="B129" i="12" s="1"/>
  <c r="J325" i="5"/>
  <c r="D325" i="5" s="1"/>
  <c r="B325" i="12" s="1"/>
  <c r="J403" i="5"/>
  <c r="J37" i="5"/>
  <c r="D37" i="5" s="1"/>
  <c r="B37" i="12" s="1"/>
  <c r="J218" i="5"/>
  <c r="D218" i="5" s="1"/>
  <c r="B218" i="12" s="1"/>
  <c r="J342" i="5"/>
  <c r="D342" i="5" s="1"/>
  <c r="B342" i="12" s="1"/>
  <c r="J41" i="5"/>
  <c r="D41" i="5" s="1"/>
  <c r="B41" i="12" s="1"/>
  <c r="J225" i="5"/>
  <c r="D225" i="5" s="1"/>
  <c r="B225" i="12" s="1"/>
  <c r="J346" i="5"/>
  <c r="D346" i="5" s="1"/>
  <c r="B346" i="12" s="1"/>
  <c r="J17" i="5"/>
  <c r="D17" i="5" s="1"/>
  <c r="B17" i="12" s="1"/>
  <c r="J47" i="5"/>
  <c r="D47" i="5" s="1"/>
  <c r="B47" i="12" s="1"/>
  <c r="J52" i="5"/>
  <c r="D52" i="5" s="1"/>
  <c r="B52" i="12" s="1"/>
  <c r="J247" i="5"/>
  <c r="D247" i="5" s="1"/>
  <c r="B247" i="12" s="1"/>
  <c r="J370" i="5"/>
  <c r="D370" i="5" s="1"/>
  <c r="B370" i="12" s="1"/>
  <c r="J21" i="5"/>
  <c r="D21" i="5" s="1"/>
  <c r="B21" i="12" s="1"/>
  <c r="J54" i="5"/>
  <c r="D54" i="5" s="1"/>
  <c r="B54" i="12" s="1"/>
  <c r="J28" i="5"/>
  <c r="D28" i="5" s="1"/>
  <c r="B28" i="12" s="1"/>
  <c r="J380" i="5"/>
  <c r="D380" i="5" s="1"/>
  <c r="B380" i="12" s="1"/>
  <c r="B303" i="12"/>
  <c r="B269" i="12"/>
  <c r="N404" i="6" l="1"/>
  <c r="AX404" i="6"/>
  <c r="A19" i="9"/>
  <c r="A33" i="9"/>
  <c r="A43" i="9"/>
  <c r="A55" i="10"/>
  <c r="C18" i="10"/>
  <c r="C16" i="10"/>
  <c r="A56" i="9"/>
  <c r="A21" i="9"/>
  <c r="C33" i="9"/>
  <c r="F33" i="9" s="1"/>
  <c r="A47" i="9"/>
  <c r="C57" i="9"/>
  <c r="F57" i="9" s="1"/>
  <c r="A46" i="9"/>
  <c r="C47" i="10"/>
  <c r="A17" i="9"/>
  <c r="C23" i="10"/>
  <c r="A35" i="10"/>
  <c r="C1" i="9"/>
  <c r="F1" i="9" s="1"/>
  <c r="A64" i="10"/>
  <c r="A23" i="9"/>
  <c r="C35" i="9"/>
  <c r="F35" i="9" s="1"/>
  <c r="A58" i="10"/>
  <c r="C53" i="10"/>
  <c r="C31" i="10"/>
  <c r="A19" i="10"/>
  <c r="A22" i="10"/>
  <c r="A35" i="9"/>
  <c r="A47" i="10"/>
  <c r="A15" i="9"/>
  <c r="A31" i="10"/>
  <c r="A41" i="9"/>
  <c r="A31" i="9"/>
  <c r="A25" i="10"/>
  <c r="C36" i="9"/>
  <c r="F36" i="9" s="1"/>
  <c r="A50" i="10"/>
  <c r="C61" i="10"/>
  <c r="C61" i="9"/>
  <c r="F61" i="9" s="1"/>
  <c r="C42" i="9"/>
  <c r="F42" i="9" s="1"/>
  <c r="A60" i="9"/>
  <c r="A27" i="10"/>
  <c r="A64" i="9"/>
  <c r="C42" i="10"/>
  <c r="C64" i="10"/>
  <c r="A45" i="9"/>
  <c r="AZ404" i="6"/>
  <c r="A26" i="9"/>
  <c r="A38" i="10"/>
  <c r="A50" i="9"/>
  <c r="AT404" i="6"/>
  <c r="C26" i="9"/>
  <c r="F26" i="9" s="1"/>
  <c r="C50" i="10"/>
  <c r="A40" i="10"/>
  <c r="A52" i="10"/>
  <c r="C53" i="9"/>
  <c r="F53" i="9" s="1"/>
  <c r="AF404" i="6"/>
  <c r="AF15" i="6" s="1"/>
  <c r="U15" i="6" s="1"/>
  <c r="U11" i="6" s="1"/>
  <c r="A53" i="9"/>
  <c r="C43" i="10"/>
  <c r="A30" i="10"/>
  <c r="A23" i="10"/>
  <c r="BE404" i="6"/>
  <c r="A63" i="10"/>
  <c r="C56" i="10"/>
  <c r="C49" i="10"/>
  <c r="C40" i="9"/>
  <c r="F40" i="9" s="1"/>
  <c r="C34" i="10"/>
  <c r="C25" i="10"/>
  <c r="A16" i="10"/>
  <c r="A61" i="10"/>
  <c r="A60" i="10"/>
  <c r="A57" i="10"/>
  <c r="A54" i="9"/>
  <c r="A53" i="10"/>
  <c r="C49" i="9"/>
  <c r="F49" i="9" s="1"/>
  <c r="C46" i="10"/>
  <c r="C43" i="9"/>
  <c r="F43" i="9" s="1"/>
  <c r="A39" i="10"/>
  <c r="A37" i="10"/>
  <c r="A34" i="9"/>
  <c r="C32" i="10"/>
  <c r="A28" i="9"/>
  <c r="C25" i="9"/>
  <c r="F25" i="9" s="1"/>
  <c r="C23" i="9"/>
  <c r="F23" i="9" s="1"/>
  <c r="C20" i="9"/>
  <c r="F20" i="9" s="1"/>
  <c r="A18" i="9"/>
  <c r="BD404" i="6"/>
  <c r="C55" i="10"/>
  <c r="C27" i="10"/>
  <c r="A59" i="9"/>
  <c r="A44" i="10"/>
  <c r="C21" i="9"/>
  <c r="F21" i="9" s="1"/>
  <c r="C63" i="10"/>
  <c r="A57" i="9"/>
  <c r="C45" i="10"/>
  <c r="C38" i="9"/>
  <c r="F38" i="9" s="1"/>
  <c r="C30" i="10"/>
  <c r="A29" i="10"/>
  <c r="C24" i="10"/>
  <c r="C22" i="10"/>
  <c r="C19" i="9"/>
  <c r="F19" i="9" s="1"/>
  <c r="A16" i="9"/>
  <c r="AS404" i="6"/>
  <c r="A1" i="10"/>
  <c r="A46" i="10"/>
  <c r="A34" i="10"/>
  <c r="A28" i="10"/>
  <c r="A62" i="10"/>
  <c r="C52" i="9"/>
  <c r="F52" i="9" s="1"/>
  <c r="C47" i="9"/>
  <c r="F47" i="9" s="1"/>
  <c r="A37" i="9"/>
  <c r="C30" i="9"/>
  <c r="F30" i="9" s="1"/>
  <c r="C27" i="9"/>
  <c r="F27" i="9" s="1"/>
  <c r="A20" i="9"/>
  <c r="BG404" i="6"/>
  <c r="C60" i="9"/>
  <c r="F60" i="9" s="1"/>
  <c r="C58" i="10"/>
  <c r="A52" i="9"/>
  <c r="A49" i="9"/>
  <c r="A40" i="9"/>
  <c r="A38" i="9"/>
  <c r="C34" i="9"/>
  <c r="F34" i="9" s="1"/>
  <c r="A63" i="9"/>
  <c r="C60" i="10"/>
  <c r="C56" i="9"/>
  <c r="F56" i="9" s="1"/>
  <c r="C54" i="9"/>
  <c r="F54" i="9" s="1"/>
  <c r="C54" i="10"/>
  <c r="A49" i="10"/>
  <c r="C44" i="10"/>
  <c r="C41" i="10"/>
  <c r="A42" i="10"/>
  <c r="C37" i="9"/>
  <c r="F37" i="9" s="1"/>
  <c r="A32" i="9"/>
  <c r="C31" i="9"/>
  <c r="F31" i="9" s="1"/>
  <c r="C29" i="10"/>
  <c r="A25" i="9"/>
  <c r="C20" i="10"/>
  <c r="A18" i="10"/>
  <c r="C17" i="9"/>
  <c r="F17" i="9" s="1"/>
  <c r="A62" i="9"/>
  <c r="C38" i="10"/>
  <c r="C18" i="9"/>
  <c r="F18" i="9" s="1"/>
  <c r="BA404" i="6"/>
  <c r="C59" i="10"/>
  <c r="C1" i="10"/>
  <c r="C55" i="9"/>
  <c r="F55" i="9" s="1"/>
  <c r="A51" i="10"/>
  <c r="A48" i="9"/>
  <c r="C44" i="9"/>
  <c r="F44" i="9" s="1"/>
  <c r="A41" i="10"/>
  <c r="A39" i="9"/>
  <c r="A36" i="10"/>
  <c r="A32" i="10"/>
  <c r="A33" i="10"/>
  <c r="C28" i="9"/>
  <c r="F28" i="9" s="1"/>
  <c r="C24" i="9"/>
  <c r="F24" i="9" s="1"/>
  <c r="A24" i="9"/>
  <c r="A20" i="10"/>
  <c r="AR404" i="6"/>
  <c r="C50" i="9"/>
  <c r="F50" i="9" s="1"/>
  <c r="C63" i="9"/>
  <c r="F63" i="9" s="1"/>
  <c r="A55" i="9"/>
  <c r="C57" i="10"/>
  <c r="C51" i="10"/>
  <c r="A48" i="10"/>
  <c r="C45" i="9"/>
  <c r="F45" i="9" s="1"/>
  <c r="A45" i="10"/>
  <c r="A42" i="9"/>
  <c r="C37" i="10"/>
  <c r="C35" i="10"/>
  <c r="C29" i="9"/>
  <c r="F29" i="9" s="1"/>
  <c r="A27" i="9"/>
  <c r="A26" i="10"/>
  <c r="A22" i="9"/>
  <c r="C17" i="10"/>
  <c r="AN404" i="6"/>
  <c r="AP404" i="6"/>
  <c r="AU404" i="6"/>
  <c r="C59" i="9"/>
  <c r="F59" i="9" s="1"/>
  <c r="A1" i="9"/>
  <c r="BF404" i="6"/>
  <c r="A59" i="10"/>
  <c r="A54" i="10"/>
  <c r="C51" i="9"/>
  <c r="F51" i="9" s="1"/>
  <c r="C48" i="10"/>
  <c r="A44" i="9"/>
  <c r="C41" i="9"/>
  <c r="F41" i="9" s="1"/>
  <c r="C40" i="10"/>
  <c r="A36" i="9"/>
  <c r="C33" i="10"/>
  <c r="A29" i="9"/>
  <c r="C28" i="10"/>
  <c r="C22" i="9"/>
  <c r="F22" i="9" s="1"/>
  <c r="A21" i="10"/>
  <c r="A17" i="10"/>
  <c r="BC404" i="6"/>
  <c r="AM404" i="6"/>
  <c r="AQ404" i="6"/>
  <c r="C39" i="9"/>
  <c r="F39" i="9" s="1"/>
  <c r="C19" i="10"/>
  <c r="C62" i="10"/>
  <c r="AY404" i="6"/>
  <c r="A61" i="9"/>
  <c r="C58" i="9"/>
  <c r="F58" i="9" s="1"/>
  <c r="C64" i="9"/>
  <c r="F64" i="9" s="1"/>
  <c r="C62" i="9"/>
  <c r="F62" i="9" s="1"/>
  <c r="A58" i="9"/>
  <c r="A56" i="10"/>
  <c r="C52" i="10"/>
  <c r="A51" i="9"/>
  <c r="C48" i="9"/>
  <c r="F48" i="9" s="1"/>
  <c r="C46" i="9"/>
  <c r="F46" i="9" s="1"/>
  <c r="A43" i="10"/>
  <c r="C39" i="10"/>
  <c r="C36" i="10"/>
  <c r="C32" i="9"/>
  <c r="F32" i="9" s="1"/>
  <c r="A30" i="9"/>
  <c r="C26" i="10"/>
  <c r="A24" i="10"/>
  <c r="C21" i="10"/>
  <c r="C16" i="9"/>
  <c r="F16" i="9" s="1"/>
  <c r="BB404" i="6"/>
  <c r="AO404" i="6"/>
  <c r="AV404" i="6"/>
  <c r="AJ404" i="6"/>
  <c r="AJ15" i="6" s="1"/>
  <c r="Y15" i="6" s="1"/>
  <c r="Y11" i="6" s="1"/>
  <c r="AI404" i="6"/>
  <c r="AI15" i="6" s="1"/>
  <c r="X15" i="6" s="1"/>
  <c r="X11" i="6" s="1"/>
  <c r="AD404" i="6"/>
  <c r="AD15" i="6" s="1"/>
  <c r="S15" i="6" s="1"/>
  <c r="S11" i="6" s="1"/>
  <c r="T404" i="5"/>
  <c r="G404" i="12" s="1"/>
  <c r="AH404" i="6"/>
  <c r="AH15" i="6" s="1"/>
  <c r="W15" i="6" s="1"/>
  <c r="W11" i="6" s="1"/>
  <c r="AC404" i="6"/>
  <c r="AC15" i="6" s="1"/>
  <c r="R15" i="6" s="1"/>
  <c r="R11" i="6" s="1"/>
  <c r="AE404" i="6"/>
  <c r="AE15" i="6" s="1"/>
  <c r="T15" i="6" s="1"/>
  <c r="T11" i="6" s="1"/>
  <c r="AK404" i="6"/>
  <c r="AK15" i="6" s="1"/>
  <c r="Z15" i="6" s="1"/>
  <c r="Z11" i="6" s="1"/>
  <c r="AG404" i="6"/>
  <c r="AG15" i="6" s="1"/>
  <c r="V15" i="6" s="1"/>
  <c r="V11" i="6" s="1"/>
  <c r="D16" i="5"/>
  <c r="B16" i="12" s="1"/>
  <c r="AB404" i="6"/>
  <c r="AB15" i="6" s="1"/>
  <c r="Q15" i="6" s="1"/>
  <c r="Q11" i="6" s="1"/>
  <c r="D403" i="5"/>
  <c r="B403" i="12" s="1"/>
  <c r="M32" i="8"/>
  <c r="J32" i="8"/>
  <c r="M35" i="8"/>
  <c r="Q35" i="8" s="1"/>
  <c r="J35" i="8"/>
  <c r="M38" i="8"/>
  <c r="J38" i="8"/>
  <c r="AA20" i="11"/>
  <c r="O20" i="11"/>
  <c r="AB20" i="11"/>
  <c r="N20" i="11" s="1"/>
  <c r="C20" i="13"/>
  <c r="K20" i="11"/>
  <c r="J20" i="13" s="1"/>
  <c r="G20" i="11"/>
  <c r="F20" i="13" s="1"/>
  <c r="M77" i="8"/>
  <c r="Q77" i="8" s="1"/>
  <c r="J77" i="8"/>
  <c r="N1" i="8"/>
  <c r="J1" i="8"/>
  <c r="S1" i="8"/>
  <c r="P1" i="8"/>
  <c r="Q1" i="8"/>
  <c r="O1" i="8"/>
  <c r="I1" i="8"/>
  <c r="M1" i="8"/>
  <c r="B21" i="13"/>
  <c r="AL21" i="13"/>
  <c r="AO21" i="13"/>
  <c r="AO12" i="13"/>
  <c r="AL12" i="13"/>
  <c r="B12" i="13"/>
  <c r="J44" i="8"/>
  <c r="M44" i="8"/>
  <c r="P44" i="8" s="1"/>
  <c r="B17" i="13"/>
  <c r="AJ17" i="13" s="1"/>
  <c r="AO17" i="13"/>
  <c r="AL17" i="13"/>
  <c r="J74" i="8"/>
  <c r="M74" i="8"/>
  <c r="M14" i="8"/>
  <c r="Q14" i="8" s="1"/>
  <c r="J14" i="8"/>
  <c r="B22" i="13"/>
  <c r="AO22" i="13"/>
  <c r="AL22" i="13"/>
  <c r="B23" i="13"/>
  <c r="AL23" i="13"/>
  <c r="AO23" i="13"/>
  <c r="M50" i="8"/>
  <c r="J50" i="8"/>
  <c r="M65" i="8"/>
  <c r="Q65" i="8" s="1"/>
  <c r="J65" i="8"/>
  <c r="J83" i="8"/>
  <c r="M83" i="8"/>
  <c r="AA17" i="11"/>
  <c r="C17" i="13"/>
  <c r="O17" i="11"/>
  <c r="K17" i="11"/>
  <c r="J17" i="13" s="1"/>
  <c r="G17" i="11"/>
  <c r="F17" i="13" s="1"/>
  <c r="AB17" i="11"/>
  <c r="N17" i="11" s="1"/>
  <c r="B20" i="13"/>
  <c r="AK20" i="13" s="1"/>
  <c r="AO20" i="13"/>
  <c r="AL20" i="13"/>
  <c r="AO19" i="13"/>
  <c r="B19" i="13"/>
  <c r="AK19" i="13" s="1"/>
  <c r="AL19" i="13"/>
  <c r="M62" i="8"/>
  <c r="P62" i="8" s="1"/>
  <c r="J62" i="8"/>
  <c r="J56" i="8"/>
  <c r="M56" i="8"/>
  <c r="B15" i="13"/>
  <c r="AO15" i="13"/>
  <c r="AL15" i="13"/>
  <c r="K404" i="12"/>
  <c r="J26" i="8"/>
  <c r="M26" i="8"/>
  <c r="M17" i="8"/>
  <c r="J17" i="8"/>
  <c r="G21" i="11"/>
  <c r="F21" i="13" s="1"/>
  <c r="C21" i="13"/>
  <c r="AA21" i="11"/>
  <c r="AB21" i="11"/>
  <c r="N21" i="11" s="1"/>
  <c r="O21" i="11"/>
  <c r="K21" i="11"/>
  <c r="J21" i="13" s="1"/>
  <c r="G22" i="11"/>
  <c r="F22" i="13" s="1"/>
  <c r="AB22" i="11"/>
  <c r="N22" i="11" s="1"/>
  <c r="C22" i="13"/>
  <c r="AA22" i="11"/>
  <c r="K22" i="11"/>
  <c r="J22" i="13" s="1"/>
  <c r="O22" i="11"/>
  <c r="J29" i="8"/>
  <c r="M29" i="8"/>
  <c r="Q29" i="8" s="1"/>
  <c r="M86" i="8"/>
  <c r="O86" i="8" s="1"/>
  <c r="J86" i="8"/>
  <c r="AO18" i="13"/>
  <c r="AL18" i="13"/>
  <c r="B18" i="13"/>
  <c r="K15" i="11"/>
  <c r="J15" i="13" s="1"/>
  <c r="AB15" i="11"/>
  <c r="N15" i="11" s="1"/>
  <c r="C15" i="13"/>
  <c r="AA15" i="11"/>
  <c r="G15" i="11"/>
  <c r="F15" i="13" s="1"/>
  <c r="O15" i="11"/>
  <c r="F10" i="8" a="1"/>
  <c r="F10" i="8" s="1"/>
  <c r="M53" i="8"/>
  <c r="Q53" i="8" s="1"/>
  <c r="J53" i="8"/>
  <c r="J41" i="8"/>
  <c r="M41" i="8"/>
  <c r="K18" i="11"/>
  <c r="J18" i="13" s="1"/>
  <c r="G18" i="11"/>
  <c r="F18" i="13" s="1"/>
  <c r="AA18" i="11"/>
  <c r="O18" i="11"/>
  <c r="AB18" i="11"/>
  <c r="N18" i="11" s="1"/>
  <c r="C18" i="13"/>
  <c r="AO16" i="13"/>
  <c r="AL16" i="13"/>
  <c r="B16" i="13"/>
  <c r="M20" i="8"/>
  <c r="P20" i="8" s="1"/>
  <c r="J20" i="8"/>
  <c r="M80" i="8"/>
  <c r="J80" i="8"/>
  <c r="G16" i="11"/>
  <c r="F16" i="13" s="1"/>
  <c r="AA16" i="11"/>
  <c r="C16" i="13"/>
  <c r="O16" i="11"/>
  <c r="AB16" i="11"/>
  <c r="N16" i="11" s="1"/>
  <c r="K16" i="11"/>
  <c r="J16" i="13" s="1"/>
  <c r="J59" i="8"/>
  <c r="M59" i="8"/>
  <c r="M47" i="8"/>
  <c r="J47" i="8"/>
  <c r="K23" i="11"/>
  <c r="J23" i="13" s="1"/>
  <c r="C23" i="13"/>
  <c r="G23" i="11"/>
  <c r="F23" i="13" s="1"/>
  <c r="AB23" i="11"/>
  <c r="N23" i="11" s="1"/>
  <c r="AA23" i="11"/>
  <c r="O23" i="11"/>
  <c r="G19" i="11"/>
  <c r="F19" i="13" s="1"/>
  <c r="O19" i="11"/>
  <c r="K19" i="11"/>
  <c r="J19" i="13" s="1"/>
  <c r="C19" i="13"/>
  <c r="AB19" i="11"/>
  <c r="N19" i="11" s="1"/>
  <c r="AA19" i="11"/>
  <c r="M68" i="8"/>
  <c r="J68" i="8"/>
  <c r="J23" i="8"/>
  <c r="M23" i="8"/>
  <c r="M71" i="8"/>
  <c r="J71" i="8"/>
  <c r="AB12" i="11"/>
  <c r="N12" i="11" s="1"/>
  <c r="AA12" i="11"/>
  <c r="C12" i="13"/>
  <c r="G12" i="11"/>
  <c r="F12" i="13" s="1"/>
  <c r="K12" i="11"/>
  <c r="J12" i="13" s="1"/>
  <c r="O12" i="11"/>
  <c r="AE73" i="10" l="1" a="1"/>
  <c r="AE73" i="10" s="1"/>
  <c r="U73" i="10" a="1"/>
  <c r="U73" i="10" s="1"/>
  <c r="I73" i="10" a="1"/>
  <c r="I73" i="10" s="1"/>
  <c r="I71" i="10" s="1" a="1"/>
  <c r="I71" i="10" s="1"/>
  <c r="W73" i="10" a="1"/>
  <c r="W73" i="10" s="1"/>
  <c r="B14" i="13"/>
  <c r="K73" i="10" a="1"/>
  <c r="K73" i="10" s="1"/>
  <c r="M73" i="10" a="1"/>
  <c r="M73" i="10" s="1"/>
  <c r="Y73" i="10" a="1"/>
  <c r="Y73" i="10" s="1"/>
  <c r="AA73" i="10" a="1"/>
  <c r="AA73" i="10" s="1"/>
  <c r="O73" i="10" a="1"/>
  <c r="O73" i="10" s="1"/>
  <c r="Q73" i="10" a="1"/>
  <c r="Q73" i="10" s="1"/>
  <c r="S73" i="10" a="1"/>
  <c r="S73" i="10" s="1"/>
  <c r="AC73" i="10" a="1"/>
  <c r="AC73" i="10" s="1"/>
  <c r="AE71" i="10" s="1"/>
  <c r="O35" i="8"/>
  <c r="P35" i="8"/>
  <c r="AM20" i="13"/>
  <c r="AJ20" i="13"/>
  <c r="Q38" i="8"/>
  <c r="AN20" i="13"/>
  <c r="L17" i="13"/>
  <c r="D17" i="13" s="1"/>
  <c r="P17" i="11"/>
  <c r="Z17" i="11"/>
  <c r="C17" i="11"/>
  <c r="S61" i="8"/>
  <c r="O59" i="8"/>
  <c r="N59" i="8"/>
  <c r="P59" i="8"/>
  <c r="Q59" i="8"/>
  <c r="O18" i="13"/>
  <c r="M18" i="13"/>
  <c r="K18" i="13"/>
  <c r="S18" i="13"/>
  <c r="R18" i="13"/>
  <c r="U18" i="13"/>
  <c r="T18" i="13"/>
  <c r="Q74" i="8"/>
  <c r="O74" i="8"/>
  <c r="P74" i="8"/>
  <c r="N74" i="8"/>
  <c r="S76" i="8"/>
  <c r="S73" i="8"/>
  <c r="O71" i="8"/>
  <c r="N71" i="8"/>
  <c r="Q71" i="8"/>
  <c r="P71" i="8"/>
  <c r="O68" i="8"/>
  <c r="O47" i="8"/>
  <c r="Q50" i="8"/>
  <c r="S52" i="8"/>
  <c r="N50" i="8"/>
  <c r="O50" i="8"/>
  <c r="P50" i="8"/>
  <c r="N44" i="8"/>
  <c r="O23" i="8"/>
  <c r="S25" i="8"/>
  <c r="N23" i="8"/>
  <c r="P23" i="8"/>
  <c r="L19" i="13"/>
  <c r="D19" i="13" s="1"/>
  <c r="Z19" i="11"/>
  <c r="C19" i="11"/>
  <c r="P19" i="11"/>
  <c r="N80" i="8"/>
  <c r="O80" i="8"/>
  <c r="S82" i="8"/>
  <c r="P15" i="11"/>
  <c r="L15" i="13"/>
  <c r="D15" i="13" s="1"/>
  <c r="C15" i="11"/>
  <c r="Z15" i="11"/>
  <c r="R17" i="13"/>
  <c r="O17" i="13"/>
  <c r="M17" i="13"/>
  <c r="T17" i="13"/>
  <c r="K17" i="13"/>
  <c r="U17" i="13"/>
  <c r="S17" i="13"/>
  <c r="O77" i="8"/>
  <c r="S79" i="8"/>
  <c r="N77" i="8"/>
  <c r="P77" i="8"/>
  <c r="L18" i="13"/>
  <c r="D18" i="13" s="1"/>
  <c r="C18" i="11"/>
  <c r="Z18" i="11"/>
  <c r="P18" i="11"/>
  <c r="Q86" i="8"/>
  <c r="N86" i="8"/>
  <c r="R86" i="8" s="1"/>
  <c r="P86" i="8"/>
  <c r="S88" i="8"/>
  <c r="L21" i="13"/>
  <c r="D21" i="13" s="1"/>
  <c r="Z21" i="11"/>
  <c r="P21" i="11"/>
  <c r="C21" i="11"/>
  <c r="AN21" i="13"/>
  <c r="AM21" i="13"/>
  <c r="AJ21" i="13"/>
  <c r="AK21" i="13"/>
  <c r="AJ19" i="13"/>
  <c r="L12" i="13"/>
  <c r="C12" i="11"/>
  <c r="Z12" i="11"/>
  <c r="P12" i="11"/>
  <c r="Q23" i="8"/>
  <c r="L23" i="13"/>
  <c r="D23" i="13" s="1"/>
  <c r="P23" i="11"/>
  <c r="Z23" i="11"/>
  <c r="C23" i="11"/>
  <c r="P29" i="8"/>
  <c r="O29" i="8"/>
  <c r="S31" i="8"/>
  <c r="N29" i="8"/>
  <c r="N83" i="8"/>
  <c r="P83" i="8"/>
  <c r="S85" i="8"/>
  <c r="O83" i="8"/>
  <c r="AK23" i="13"/>
  <c r="AM23" i="13"/>
  <c r="AN23" i="13"/>
  <c r="R1" i="8"/>
  <c r="A1" i="8"/>
  <c r="S3" i="8"/>
  <c r="N20" i="8"/>
  <c r="S22" i="8"/>
  <c r="Q20" i="8"/>
  <c r="U15" i="13"/>
  <c r="R15" i="13"/>
  <c r="S15" i="13"/>
  <c r="O15" i="13"/>
  <c r="K15" i="13"/>
  <c r="T15" i="13"/>
  <c r="M15" i="13"/>
  <c r="AK15" i="13"/>
  <c r="AM15" i="13"/>
  <c r="AJ15" i="13"/>
  <c r="AN15" i="13"/>
  <c r="Q83" i="8"/>
  <c r="AJ23" i="13"/>
  <c r="AN17" i="13"/>
  <c r="AM17" i="13"/>
  <c r="N68" i="8"/>
  <c r="Q68" i="8"/>
  <c r="S70" i="8"/>
  <c r="O20" i="8"/>
  <c r="M21" i="13"/>
  <c r="K21" i="13"/>
  <c r="U21" i="13"/>
  <c r="O21" i="13"/>
  <c r="T21" i="13"/>
  <c r="S21" i="13"/>
  <c r="R21" i="13"/>
  <c r="S58" i="8"/>
  <c r="N56" i="8"/>
  <c r="P56" i="8"/>
  <c r="O56" i="8"/>
  <c r="Q56" i="8"/>
  <c r="N32" i="8"/>
  <c r="S46" i="8"/>
  <c r="K20" i="13"/>
  <c r="M20" i="13"/>
  <c r="U20" i="13"/>
  <c r="T20" i="13"/>
  <c r="S20" i="13"/>
  <c r="R20" i="13"/>
  <c r="O20" i="13"/>
  <c r="S37" i="8"/>
  <c r="N35" i="8"/>
  <c r="K12" i="13"/>
  <c r="O12" i="13"/>
  <c r="T12" i="13"/>
  <c r="S12" i="13"/>
  <c r="U12" i="13"/>
  <c r="M12" i="13"/>
  <c r="R12" i="13"/>
  <c r="C16" i="11"/>
  <c r="Z16" i="11"/>
  <c r="P16" i="11"/>
  <c r="L16" i="13"/>
  <c r="D16" i="13" s="1"/>
  <c r="S43" i="8"/>
  <c r="Q41" i="8"/>
  <c r="N41" i="8"/>
  <c r="O41" i="8"/>
  <c r="P41" i="8"/>
  <c r="AN19" i="13"/>
  <c r="P68" i="8"/>
  <c r="R23" i="13"/>
  <c r="O23" i="13"/>
  <c r="U23" i="13"/>
  <c r="M23" i="13"/>
  <c r="K23" i="13"/>
  <c r="S23" i="13"/>
  <c r="T23" i="13"/>
  <c r="K16" i="13"/>
  <c r="O16" i="13"/>
  <c r="S16" i="13"/>
  <c r="U16" i="13"/>
  <c r="T16" i="13"/>
  <c r="R16" i="13"/>
  <c r="M16" i="13"/>
  <c r="AM18" i="13"/>
  <c r="AK18" i="13"/>
  <c r="C22" i="11"/>
  <c r="Z22" i="11"/>
  <c r="L22" i="13"/>
  <c r="D22" i="13" s="1"/>
  <c r="P22" i="11"/>
  <c r="AK22" i="13"/>
  <c r="AN22" i="13"/>
  <c r="AM22" i="13"/>
  <c r="AJ22" i="13"/>
  <c r="Z20" i="11"/>
  <c r="C20" i="11"/>
  <c r="P20" i="11"/>
  <c r="L20" i="13"/>
  <c r="D20" i="13" s="1"/>
  <c r="Q32" i="8"/>
  <c r="P32" i="8"/>
  <c r="S34" i="8"/>
  <c r="O32" i="8"/>
  <c r="AN16" i="13"/>
  <c r="AJ16" i="13"/>
  <c r="AM16" i="13"/>
  <c r="Q17" i="8"/>
  <c r="N17" i="8"/>
  <c r="P17" i="8"/>
  <c r="O17" i="8"/>
  <c r="S19" i="8"/>
  <c r="P65" i="8"/>
  <c r="O65" i="8"/>
  <c r="N65" i="8"/>
  <c r="S67" i="8"/>
  <c r="AJ12" i="13"/>
  <c r="AM12" i="13"/>
  <c r="AK12" i="13"/>
  <c r="G1" i="8"/>
  <c r="G2" i="8" s="1" a="1"/>
  <c r="G2" i="8" s="1"/>
  <c r="H1" i="8" a="1"/>
  <c r="H1" i="8" s="1"/>
  <c r="J2" i="8" s="1"/>
  <c r="H2" i="8" a="1"/>
  <c r="H2" i="8" s="1"/>
  <c r="P53" i="8"/>
  <c r="N53" i="8"/>
  <c r="S55" i="8"/>
  <c r="O53" i="8"/>
  <c r="Q26" i="8"/>
  <c r="N26" i="8"/>
  <c r="O26" i="8"/>
  <c r="P26" i="8"/>
  <c r="S28" i="8"/>
  <c r="N62" i="8"/>
  <c r="S64" i="8"/>
  <c r="O44" i="8"/>
  <c r="AM19" i="13"/>
  <c r="S49" i="8"/>
  <c r="N47" i="8"/>
  <c r="P47" i="8"/>
  <c r="P80" i="8"/>
  <c r="AK16" i="13"/>
  <c r="AN18" i="13"/>
  <c r="K22" i="13"/>
  <c r="T22" i="13"/>
  <c r="S22" i="13"/>
  <c r="R22" i="13"/>
  <c r="U22" i="13"/>
  <c r="M22" i="13"/>
  <c r="O22" i="13"/>
  <c r="Q62" i="8"/>
  <c r="AK17" i="13"/>
  <c r="P14" i="8"/>
  <c r="S16" i="8"/>
  <c r="N14" i="8"/>
  <c r="R14" i="8" s="1"/>
  <c r="A14" i="8"/>
  <c r="AN12" i="13"/>
  <c r="O38" i="8"/>
  <c r="S40" i="8"/>
  <c r="N38" i="8"/>
  <c r="Q44" i="8"/>
  <c r="S19" i="13"/>
  <c r="O19" i="13"/>
  <c r="K19" i="13"/>
  <c r="U19" i="13"/>
  <c r="T19" i="13"/>
  <c r="R19" i="13"/>
  <c r="M19" i="13"/>
  <c r="Q47" i="8"/>
  <c r="Q80" i="8"/>
  <c r="AJ18" i="13"/>
  <c r="O62" i="8"/>
  <c r="O14" i="8"/>
  <c r="P38" i="8"/>
  <c r="D15" i="5"/>
  <c r="R32" i="8" l="1"/>
  <c r="Y71" i="10"/>
  <c r="O71" i="10"/>
  <c r="S71" i="10"/>
  <c r="AA71" i="10"/>
  <c r="W71" i="10"/>
  <c r="M71" i="10"/>
  <c r="K71" i="10"/>
  <c r="R77" i="8"/>
  <c r="W77" i="8" s="1" a="1"/>
  <c r="W77" i="8" s="1"/>
  <c r="R71" i="8"/>
  <c r="W71" i="8" s="1" a="1"/>
  <c r="W71" i="8" s="1"/>
  <c r="U71" i="10"/>
  <c r="Q71" i="10"/>
  <c r="R68" i="8"/>
  <c r="Z68" i="8" s="1" a="1"/>
  <c r="Z68" i="8" s="1"/>
  <c r="AC71" i="10"/>
  <c r="R35" i="8"/>
  <c r="AC35" i="8" s="1" a="1"/>
  <c r="AC35" i="8" s="1"/>
  <c r="R80" i="8"/>
  <c r="X80" i="8" s="1" a="1"/>
  <c r="X80" i="8" s="1"/>
  <c r="R38" i="8"/>
  <c r="Y38" i="8" s="1" a="1"/>
  <c r="Y38" i="8" s="1"/>
  <c r="R50" i="8"/>
  <c r="AC50" i="8" s="1" a="1"/>
  <c r="AC50" i="8" s="1"/>
  <c r="R23" i="8"/>
  <c r="Z23" i="8" s="1" a="1"/>
  <c r="Z23" i="8" s="1"/>
  <c r="R26" i="8"/>
  <c r="E26" i="8" s="1" a="1"/>
  <c r="E26" i="8" s="1"/>
  <c r="R41" i="8"/>
  <c r="X41" i="8" s="1" a="1"/>
  <c r="X41" i="8" s="1"/>
  <c r="R47" i="8"/>
  <c r="U47" i="8" s="1" a="1"/>
  <c r="U47" i="8" s="1"/>
  <c r="R20" i="8"/>
  <c r="X20" i="8" s="1" a="1"/>
  <c r="X20" i="8" s="1"/>
  <c r="R74" i="8"/>
  <c r="AE74" i="8" s="1" a="1"/>
  <c r="AE74" i="8" s="1"/>
  <c r="R53" i="8"/>
  <c r="V53" i="8" s="1" a="1"/>
  <c r="V53" i="8" s="1"/>
  <c r="C14" i="8"/>
  <c r="F16" i="8"/>
  <c r="D14" i="8"/>
  <c r="U86" i="8" a="1"/>
  <c r="U86" i="8" s="1"/>
  <c r="Z86" i="8" a="1"/>
  <c r="Z86" i="8" s="1"/>
  <c r="Y86" i="8" a="1"/>
  <c r="Y86" i="8" s="1"/>
  <c r="AD86" i="8" a="1"/>
  <c r="AD86" i="8" s="1"/>
  <c r="E86" i="8" a="1"/>
  <c r="E86" i="8" s="1"/>
  <c r="AF86" i="8" a="1"/>
  <c r="AF86" i="8" s="1"/>
  <c r="AC86" i="8" a="1"/>
  <c r="AC86" i="8" s="1"/>
  <c r="X86" i="8" a="1"/>
  <c r="X86" i="8" s="1"/>
  <c r="W86" i="8" a="1"/>
  <c r="W86" i="8" s="1"/>
  <c r="AA86" i="8" a="1"/>
  <c r="AA86" i="8" s="1"/>
  <c r="AE86" i="8" a="1"/>
  <c r="AE86" i="8" s="1"/>
  <c r="V86" i="8" a="1"/>
  <c r="V86" i="8" s="1"/>
  <c r="F88" i="8"/>
  <c r="AB86" i="8" a="1"/>
  <c r="AB86" i="8" s="1"/>
  <c r="P19" i="13"/>
  <c r="N19" i="13"/>
  <c r="P12" i="13"/>
  <c r="N12" i="13"/>
  <c r="R29" i="8"/>
  <c r="D12" i="13"/>
  <c r="V12" i="13"/>
  <c r="R65" i="8"/>
  <c r="U32" i="8" a="1"/>
  <c r="U32" i="8" s="1"/>
  <c r="F34" i="8"/>
  <c r="E32" i="8" a="1"/>
  <c r="E32" i="8" s="1"/>
  <c r="AE32" i="8" a="1"/>
  <c r="AE32" i="8" s="1"/>
  <c r="AA32" i="8" a="1"/>
  <c r="AA32" i="8" s="1"/>
  <c r="AD32" i="8" a="1"/>
  <c r="AD32" i="8" s="1"/>
  <c r="X32" i="8" a="1"/>
  <c r="X32" i="8" s="1"/>
  <c r="AF32" i="8" a="1"/>
  <c r="AF32" i="8" s="1"/>
  <c r="AC32" i="8" a="1"/>
  <c r="AC32" i="8" s="1"/>
  <c r="W32" i="8" a="1"/>
  <c r="W32" i="8" s="1"/>
  <c r="Y32" i="8" a="1"/>
  <c r="Y32" i="8" s="1"/>
  <c r="Z32" i="8" a="1"/>
  <c r="Z32" i="8" s="1"/>
  <c r="AB32" i="8" a="1"/>
  <c r="AB32" i="8" s="1"/>
  <c r="V32" i="8" a="1"/>
  <c r="V32" i="8" s="1"/>
  <c r="P18" i="13"/>
  <c r="N18" i="13"/>
  <c r="AB3" i="8" a="1"/>
  <c r="AB3" i="8" s="1"/>
  <c r="X3" i="8" a="1"/>
  <c r="X3" i="8" s="1"/>
  <c r="D1" i="8"/>
  <c r="AF3" i="8" a="1"/>
  <c r="AF3" i="8" s="1"/>
  <c r="V3" i="8" a="1"/>
  <c r="V3" i="8" s="1"/>
  <c r="Y1" i="8" a="1"/>
  <c r="Y1" i="8" s="1"/>
  <c r="C1" i="8"/>
  <c r="AC1" i="8" a="1"/>
  <c r="AC1" i="8" s="1"/>
  <c r="AA3" i="8" a="1"/>
  <c r="AA3" i="8" s="1"/>
  <c r="W1" i="8" a="1"/>
  <c r="W1" i="8" s="1"/>
  <c r="V1" i="8" a="1"/>
  <c r="V1" i="8" s="1"/>
  <c r="AA1" i="8" a="1"/>
  <c r="AA1" i="8" s="1"/>
  <c r="AD1" i="8" a="1"/>
  <c r="AD1" i="8" s="1"/>
  <c r="U3" i="8" a="1"/>
  <c r="U3" i="8" s="1"/>
  <c r="X1" i="8" a="1"/>
  <c r="X1" i="8" s="1"/>
  <c r="AF1" i="8" a="1"/>
  <c r="AF1" i="8" s="1"/>
  <c r="Y3" i="8" a="1"/>
  <c r="Y3" i="8" s="1"/>
  <c r="Z1" i="8" a="1"/>
  <c r="Z1" i="8" s="1"/>
  <c r="F3" i="8"/>
  <c r="E3" i="8" a="1"/>
  <c r="E3" i="8" s="1"/>
  <c r="Z3" i="8" a="1"/>
  <c r="Z3" i="8" s="1"/>
  <c r="AB1" i="8" a="1"/>
  <c r="AB1" i="8" s="1"/>
  <c r="AE3" i="8" a="1"/>
  <c r="AE3" i="8" s="1"/>
  <c r="E1" i="8" a="1"/>
  <c r="E1" i="8" s="1"/>
  <c r="AE1" i="8" a="1"/>
  <c r="AE1" i="8" s="1"/>
  <c r="AC3" i="8" a="1"/>
  <c r="AC3" i="8" s="1"/>
  <c r="W3" i="8" a="1"/>
  <c r="W3" i="8" s="1"/>
  <c r="AD3" i="8" a="1"/>
  <c r="AD3" i="8" s="1"/>
  <c r="U1" i="8" a="1"/>
  <c r="U1" i="8" s="1"/>
  <c r="P17" i="13"/>
  <c r="N17" i="13"/>
  <c r="R59" i="8"/>
  <c r="R56" i="8"/>
  <c r="R62" i="8"/>
  <c r="R17" i="8"/>
  <c r="N23" i="13"/>
  <c r="P23" i="13"/>
  <c r="P15" i="13"/>
  <c r="N15" i="13"/>
  <c r="X71" i="8" a="1"/>
  <c r="X71" i="8" s="1"/>
  <c r="P20" i="13"/>
  <c r="N20" i="13"/>
  <c r="P21" i="13"/>
  <c r="N21" i="13"/>
  <c r="N22" i="13"/>
  <c r="P22" i="13"/>
  <c r="P16" i="13"/>
  <c r="N16" i="13"/>
  <c r="R83" i="8"/>
  <c r="R44" i="8"/>
  <c r="Y50" i="8" l="1" a="1"/>
  <c r="Y50" i="8" s="1"/>
  <c r="E38" i="8" a="1"/>
  <c r="E38" i="8" s="1"/>
  <c r="Y71" i="8" a="1"/>
  <c r="Y71" i="8" s="1"/>
  <c r="AC77" i="8" a="1"/>
  <c r="AC77" i="8" s="1"/>
  <c r="AB77" i="8" a="1"/>
  <c r="AB77" i="8" s="1"/>
  <c r="E77" i="8" a="1"/>
  <c r="E77" i="8" s="1"/>
  <c r="AA77" i="8" a="1"/>
  <c r="AA77" i="8" s="1"/>
  <c r="Z77" i="8" a="1"/>
  <c r="Z77" i="8" s="1"/>
  <c r="Y77" i="8" a="1"/>
  <c r="Y77" i="8" s="1"/>
  <c r="AF77" i="8" a="1"/>
  <c r="AF77" i="8" s="1"/>
  <c r="U77" i="8" a="1"/>
  <c r="U77" i="8" s="1"/>
  <c r="W35" i="8" a="1"/>
  <c r="W35" i="8" s="1"/>
  <c r="AE77" i="8" a="1"/>
  <c r="AE77" i="8" s="1"/>
  <c r="V77" i="8" a="1"/>
  <c r="V77" i="8" s="1"/>
  <c r="AD77" i="8" a="1"/>
  <c r="AD77" i="8" s="1"/>
  <c r="F79" i="8"/>
  <c r="X77" i="8" a="1"/>
  <c r="X77" i="8" s="1"/>
  <c r="X68" i="8" a="1"/>
  <c r="X68" i="8" s="1"/>
  <c r="AF35" i="8" a="1"/>
  <c r="AF35" i="8" s="1"/>
  <c r="W68" i="8" a="1"/>
  <c r="W68" i="8" s="1"/>
  <c r="Z20" i="8" a="1"/>
  <c r="Z20" i="8" s="1"/>
  <c r="AA71" i="8" a="1"/>
  <c r="AA71" i="8" s="1"/>
  <c r="E20" i="8" a="1"/>
  <c r="E20" i="8" s="1"/>
  <c r="AF20" i="8" a="1"/>
  <c r="AF20" i="8" s="1"/>
  <c r="AE71" i="8" a="1"/>
  <c r="AE71" i="8" s="1"/>
  <c r="V20" i="8" a="1"/>
  <c r="V20" i="8" s="1"/>
  <c r="E68" i="8" a="1"/>
  <c r="E68" i="8" s="1"/>
  <c r="AB71" i="8" a="1"/>
  <c r="AB71" i="8" s="1"/>
  <c r="U71" i="8" a="1"/>
  <c r="U71" i="8" s="1"/>
  <c r="AF68" i="8" a="1"/>
  <c r="AF68" i="8" s="1"/>
  <c r="AD71" i="8" a="1"/>
  <c r="AD71" i="8" s="1"/>
  <c r="AC68" i="8" a="1"/>
  <c r="AC68" i="8" s="1"/>
  <c r="X35" i="8" a="1"/>
  <c r="X35" i="8" s="1"/>
  <c r="AD68" i="8" a="1"/>
  <c r="AD68" i="8" s="1"/>
  <c r="AA68" i="8" a="1"/>
  <c r="AA68" i="8" s="1"/>
  <c r="F70" i="8"/>
  <c r="V68" i="8" a="1"/>
  <c r="V68" i="8" s="1"/>
  <c r="V71" i="8" a="1"/>
  <c r="V71" i="8" s="1"/>
  <c r="U68" i="8" a="1"/>
  <c r="U68" i="8" s="1"/>
  <c r="AE68" i="8" a="1"/>
  <c r="AE68" i="8" s="1"/>
  <c r="AB68" i="8" a="1"/>
  <c r="AB68" i="8" s="1"/>
  <c r="AC71" i="8" a="1"/>
  <c r="AC71" i="8" s="1"/>
  <c r="Z71" i="8" a="1"/>
  <c r="Z71" i="8" s="1"/>
  <c r="F73" i="8"/>
  <c r="Y68" i="8" a="1"/>
  <c r="Y68" i="8" s="1"/>
  <c r="AF71" i="8" a="1"/>
  <c r="AF71" i="8" s="1"/>
  <c r="E71" i="8" a="1"/>
  <c r="E71" i="8" s="1"/>
  <c r="F37" i="8"/>
  <c r="AD35" i="8" a="1"/>
  <c r="AD35" i="8" s="1"/>
  <c r="F82" i="8"/>
  <c r="Z35" i="8" a="1"/>
  <c r="Z35" i="8" s="1"/>
  <c r="U80" i="8" a="1"/>
  <c r="U80" i="8" s="1"/>
  <c r="Z38" i="8" a="1"/>
  <c r="Z38" i="8" s="1"/>
  <c r="AD80" i="8" a="1"/>
  <c r="AD80" i="8" s="1"/>
  <c r="AB47" i="8" a="1"/>
  <c r="AB47" i="8" s="1"/>
  <c r="W50" i="8" a="1"/>
  <c r="W50" i="8" s="1"/>
  <c r="Z50" i="8" a="1"/>
  <c r="Z50" i="8" s="1"/>
  <c r="F52" i="8"/>
  <c r="U38" i="8" a="1"/>
  <c r="U38" i="8" s="1"/>
  <c r="U50" i="8" a="1"/>
  <c r="U50" i="8" s="1"/>
  <c r="AF50" i="8" a="1"/>
  <c r="AF50" i="8" s="1"/>
  <c r="AD38" i="8" a="1"/>
  <c r="AD38" i="8" s="1"/>
  <c r="AC80" i="8" a="1"/>
  <c r="AC80" i="8" s="1"/>
  <c r="AB35" i="8" a="1"/>
  <c r="AB35" i="8" s="1"/>
  <c r="W38" i="8" a="1"/>
  <c r="W38" i="8" s="1"/>
  <c r="V38" i="8" a="1"/>
  <c r="V38" i="8" s="1"/>
  <c r="AE50" i="8" a="1"/>
  <c r="AE50" i="8" s="1"/>
  <c r="F40" i="8"/>
  <c r="AF80" i="8" a="1"/>
  <c r="AF80" i="8" s="1"/>
  <c r="E35" i="8" a="1"/>
  <c r="E35" i="8" s="1"/>
  <c r="AD50" i="8" a="1"/>
  <c r="AD50" i="8" s="1"/>
  <c r="AF38" i="8" a="1"/>
  <c r="AF38" i="8" s="1"/>
  <c r="AA80" i="8" a="1"/>
  <c r="AA80" i="8" s="1"/>
  <c r="V80" i="8" a="1"/>
  <c r="V80" i="8" s="1"/>
  <c r="Y35" i="8" a="1"/>
  <c r="Y35" i="8" s="1"/>
  <c r="AB50" i="8" a="1"/>
  <c r="AB50" i="8" s="1"/>
  <c r="AB38" i="8" a="1"/>
  <c r="AB38" i="8" s="1"/>
  <c r="AB80" i="8" a="1"/>
  <c r="AB80" i="8" s="1"/>
  <c r="AA35" i="8" a="1"/>
  <c r="AA35" i="8" s="1"/>
  <c r="AA38" i="8" a="1"/>
  <c r="AA38" i="8" s="1"/>
  <c r="AE80" i="8" a="1"/>
  <c r="AE80" i="8" s="1"/>
  <c r="AE35" i="8" a="1"/>
  <c r="AE35" i="8" s="1"/>
  <c r="AA50" i="8" a="1"/>
  <c r="AA50" i="8" s="1"/>
  <c r="AC38" i="8" a="1"/>
  <c r="AC38" i="8" s="1"/>
  <c r="AE38" i="8" a="1"/>
  <c r="AE38" i="8" s="1"/>
  <c r="W80" i="8" a="1"/>
  <c r="W80" i="8" s="1"/>
  <c r="V35" i="8" a="1"/>
  <c r="V35" i="8" s="1"/>
  <c r="V50" i="8" a="1"/>
  <c r="V50" i="8" s="1"/>
  <c r="E80" i="8" a="1"/>
  <c r="E80" i="8" s="1"/>
  <c r="X50" i="8" a="1"/>
  <c r="X50" i="8" s="1"/>
  <c r="X38" i="8" a="1"/>
  <c r="X38" i="8" s="1"/>
  <c r="Y26" i="8" a="1"/>
  <c r="Y26" i="8" s="1"/>
  <c r="Z80" i="8" a="1"/>
  <c r="Z80" i="8" s="1"/>
  <c r="U35" i="8" a="1"/>
  <c r="U35" i="8" s="1"/>
  <c r="Y80" i="8" a="1"/>
  <c r="Y80" i="8" s="1"/>
  <c r="E50" i="8" a="1"/>
  <c r="E50" i="8" s="1"/>
  <c r="AA20" i="8" a="1"/>
  <c r="AA20" i="8" s="1"/>
  <c r="AD20" i="8" a="1"/>
  <c r="AD20" i="8" s="1"/>
  <c r="AB20" i="8" a="1"/>
  <c r="AB20" i="8" s="1"/>
  <c r="F22" i="8"/>
  <c r="AF53" i="8" a="1"/>
  <c r="AF53" i="8" s="1"/>
  <c r="U20" i="8" a="1"/>
  <c r="U20" i="8" s="1"/>
  <c r="AF26" i="8" a="1"/>
  <c r="AF26" i="8" s="1"/>
  <c r="W20" i="8" a="1"/>
  <c r="W20" i="8" s="1"/>
  <c r="AB26" i="8" a="1"/>
  <c r="AB26" i="8" s="1"/>
  <c r="W26" i="8" a="1"/>
  <c r="W26" i="8" s="1"/>
  <c r="E23" i="8" a="1"/>
  <c r="E23" i="8" s="1"/>
  <c r="AC26" i="8" a="1"/>
  <c r="AC26" i="8" s="1"/>
  <c r="AF41" i="8" a="1"/>
  <c r="AF41" i="8" s="1"/>
  <c r="AA23" i="8" a="1"/>
  <c r="AA23" i="8" s="1"/>
  <c r="AE20" i="8" a="1"/>
  <c r="AE20" i="8" s="1"/>
  <c r="AE41" i="8" a="1"/>
  <c r="AE41" i="8" s="1"/>
  <c r="U23" i="8" a="1"/>
  <c r="U23" i="8" s="1"/>
  <c r="AB23" i="8" a="1"/>
  <c r="AB23" i="8" s="1"/>
  <c r="AE26" i="8" a="1"/>
  <c r="AE26" i="8" s="1"/>
  <c r="AC20" i="8" a="1"/>
  <c r="AC20" i="8" s="1"/>
  <c r="V74" i="8" a="1"/>
  <c r="V74" i="8" s="1"/>
  <c r="V23" i="8" a="1"/>
  <c r="V23" i="8" s="1"/>
  <c r="AF23" i="8" a="1"/>
  <c r="AF23" i="8" s="1"/>
  <c r="Y41" i="8" a="1"/>
  <c r="Y41" i="8" s="1"/>
  <c r="X23" i="8" a="1"/>
  <c r="X23" i="8" s="1"/>
  <c r="AC47" i="8" a="1"/>
  <c r="AC47" i="8" s="1"/>
  <c r="Y20" i="8" a="1"/>
  <c r="Y20" i="8" s="1"/>
  <c r="AB74" i="8" a="1"/>
  <c r="AB74" i="8" s="1"/>
  <c r="Z47" i="8" a="1"/>
  <c r="Z47" i="8" s="1"/>
  <c r="AD41" i="8" a="1"/>
  <c r="AD41" i="8" s="1"/>
  <c r="V26" i="8" a="1"/>
  <c r="V26" i="8" s="1"/>
  <c r="E47" i="8" a="1"/>
  <c r="E47" i="8" s="1"/>
  <c r="W41" i="8" a="1"/>
  <c r="W41" i="8" s="1"/>
  <c r="AA47" i="8" a="1"/>
  <c r="AA47" i="8" s="1"/>
  <c r="AA41" i="8" a="1"/>
  <c r="AA41" i="8" s="1"/>
  <c r="AD47" i="8" a="1"/>
  <c r="AD47" i="8" s="1"/>
  <c r="V41" i="8" a="1"/>
  <c r="V41" i="8" s="1"/>
  <c r="AB41" i="8" a="1"/>
  <c r="AB41" i="8" s="1"/>
  <c r="F25" i="8"/>
  <c r="F28" i="8"/>
  <c r="F49" i="8"/>
  <c r="E41" i="8" a="1"/>
  <c r="E41" i="8" s="1"/>
  <c r="X47" i="8" a="1"/>
  <c r="X47" i="8" s="1"/>
  <c r="AD23" i="8" a="1"/>
  <c r="AD23" i="8" s="1"/>
  <c r="X26" i="8" a="1"/>
  <c r="X26" i="8" s="1"/>
  <c r="Y47" i="8" a="1"/>
  <c r="Y47" i="8" s="1"/>
  <c r="AC41" i="8" a="1"/>
  <c r="AC41" i="8" s="1"/>
  <c r="V47" i="8" a="1"/>
  <c r="V47" i="8" s="1"/>
  <c r="Y23" i="8" a="1"/>
  <c r="Y23" i="8" s="1"/>
  <c r="AA26" i="8" a="1"/>
  <c r="AA26" i="8" s="1"/>
  <c r="W23" i="8" a="1"/>
  <c r="W23" i="8" s="1"/>
  <c r="AC23" i="8" a="1"/>
  <c r="AC23" i="8" s="1"/>
  <c r="U26" i="8" a="1"/>
  <c r="U26" i="8" s="1"/>
  <c r="AF47" i="8" a="1"/>
  <c r="AF47" i="8" s="1"/>
  <c r="AE47" i="8" a="1"/>
  <c r="AE47" i="8" s="1"/>
  <c r="W47" i="8" a="1"/>
  <c r="W47" i="8" s="1"/>
  <c r="U41" i="8" a="1"/>
  <c r="U41" i="8" s="1"/>
  <c r="AD26" i="8" a="1"/>
  <c r="AD26" i="8" s="1"/>
  <c r="AE23" i="8" a="1"/>
  <c r="AE23" i="8" s="1"/>
  <c r="Z26" i="8" a="1"/>
  <c r="Z26" i="8" s="1"/>
  <c r="Y53" i="8" a="1"/>
  <c r="Y53" i="8" s="1"/>
  <c r="AE53" i="8" a="1"/>
  <c r="AE53" i="8" s="1"/>
  <c r="AA53" i="8" a="1"/>
  <c r="AA53" i="8" s="1"/>
  <c r="Z53" i="8" a="1"/>
  <c r="Z53" i="8" s="1"/>
  <c r="X53" i="8" a="1"/>
  <c r="X53" i="8" s="1"/>
  <c r="U53" i="8" a="1"/>
  <c r="U53" i="8" s="1"/>
  <c r="Z74" i="8" a="1"/>
  <c r="Z74" i="8" s="1"/>
  <c r="AB53" i="8" a="1"/>
  <c r="AB53" i="8" s="1"/>
  <c r="AF74" i="8" a="1"/>
  <c r="AF74" i="8" s="1"/>
  <c r="E53" i="8" a="1"/>
  <c r="E53" i="8" s="1"/>
  <c r="X74" i="8" a="1"/>
  <c r="X74" i="8" s="1"/>
  <c r="AC53" i="8" a="1"/>
  <c r="AC53" i="8" s="1"/>
  <c r="U74" i="8" a="1"/>
  <c r="U74" i="8" s="1"/>
  <c r="W53" i="8" a="1"/>
  <c r="W53" i="8" s="1"/>
  <c r="Y74" i="8" a="1"/>
  <c r="Y74" i="8" s="1"/>
  <c r="F55" i="8"/>
  <c r="W74" i="8" a="1"/>
  <c r="W74" i="8" s="1"/>
  <c r="AD53" i="8" a="1"/>
  <c r="AD53" i="8" s="1"/>
  <c r="F43" i="8"/>
  <c r="Z41" i="8" a="1"/>
  <c r="Z41" i="8" s="1"/>
  <c r="AA74" i="8" a="1"/>
  <c r="AA74" i="8" s="1"/>
  <c r="F76" i="8"/>
  <c r="E74" i="8" a="1"/>
  <c r="E74" i="8" s="1"/>
  <c r="AD74" i="8" a="1"/>
  <c r="AD74" i="8" s="1"/>
  <c r="AC74" i="8" a="1"/>
  <c r="AC74" i="8" s="1"/>
  <c r="V83" i="8" a="1"/>
  <c r="V83" i="8" s="1"/>
  <c r="Y83" i="8" a="1"/>
  <c r="Y83" i="8" s="1"/>
  <c r="X83" i="8" a="1"/>
  <c r="X83" i="8" s="1"/>
  <c r="AA83" i="8" a="1"/>
  <c r="AA83" i="8" s="1"/>
  <c r="AC83" i="8" a="1"/>
  <c r="AC83" i="8" s="1"/>
  <c r="AF83" i="8" a="1"/>
  <c r="AF83" i="8" s="1"/>
  <c r="W83" i="8" a="1"/>
  <c r="W83" i="8" s="1"/>
  <c r="Z83" i="8" a="1"/>
  <c r="Z83" i="8" s="1"/>
  <c r="F85" i="8"/>
  <c r="AB83" i="8" a="1"/>
  <c r="AB83" i="8" s="1"/>
  <c r="E83" i="8" a="1"/>
  <c r="E83" i="8" s="1"/>
  <c r="AE83" i="8" a="1"/>
  <c r="AE83" i="8" s="1"/>
  <c r="U83" i="8" a="1"/>
  <c r="U83" i="8" s="1"/>
  <c r="AD83" i="8" a="1"/>
  <c r="AD83" i="8" s="1"/>
  <c r="V59" i="8" a="1"/>
  <c r="V59" i="8" s="1"/>
  <c r="Y59" i="8" a="1"/>
  <c r="Y59" i="8" s="1"/>
  <c r="AA59" i="8" a="1"/>
  <c r="AA59" i="8" s="1"/>
  <c r="AC59" i="8" a="1"/>
  <c r="AC59" i="8" s="1"/>
  <c r="Z59" i="8" a="1"/>
  <c r="Z59" i="8" s="1"/>
  <c r="W59" i="8" a="1"/>
  <c r="W59" i="8" s="1"/>
  <c r="AB59" i="8" a="1"/>
  <c r="AB59" i="8" s="1"/>
  <c r="AD59" i="8" a="1"/>
  <c r="AD59" i="8" s="1"/>
  <c r="E59" i="8" a="1"/>
  <c r="E59" i="8" s="1"/>
  <c r="X59" i="8" a="1"/>
  <c r="X59" i="8" s="1"/>
  <c r="AF59" i="8" a="1"/>
  <c r="AF59" i="8" s="1"/>
  <c r="AE59" i="8" a="1"/>
  <c r="AE59" i="8" s="1"/>
  <c r="U59" i="8" a="1"/>
  <c r="U59" i="8" s="1"/>
  <c r="F61" i="8"/>
  <c r="Y44" i="8" a="1"/>
  <c r="Y44" i="8" s="1"/>
  <c r="X44" i="8" a="1"/>
  <c r="X44" i="8" s="1"/>
  <c r="W44" i="8" a="1"/>
  <c r="W44" i="8" s="1"/>
  <c r="AA44" i="8" a="1"/>
  <c r="AA44" i="8" s="1"/>
  <c r="AC44" i="8" a="1"/>
  <c r="AC44" i="8" s="1"/>
  <c r="U44" i="8" a="1"/>
  <c r="U44" i="8" s="1"/>
  <c r="AD44" i="8" a="1"/>
  <c r="AD44" i="8" s="1"/>
  <c r="AF44" i="8" a="1"/>
  <c r="AF44" i="8" s="1"/>
  <c r="Z44" i="8" a="1"/>
  <c r="Z44" i="8" s="1"/>
  <c r="E44" i="8" a="1"/>
  <c r="E44" i="8" s="1"/>
  <c r="F46" i="8"/>
  <c r="AB44" i="8" a="1"/>
  <c r="AB44" i="8" s="1"/>
  <c r="AE44" i="8" a="1"/>
  <c r="AE44" i="8" s="1"/>
  <c r="V44" i="8" a="1"/>
  <c r="V44" i="8" s="1"/>
  <c r="U65" i="8" a="1"/>
  <c r="U65" i="8" s="1"/>
  <c r="AC65" i="8" a="1"/>
  <c r="AC65" i="8" s="1"/>
  <c r="W65" i="8" a="1"/>
  <c r="W65" i="8" s="1"/>
  <c r="AB65" i="8" a="1"/>
  <c r="AB65" i="8" s="1"/>
  <c r="V65" i="8" a="1"/>
  <c r="V65" i="8" s="1"/>
  <c r="F67" i="8"/>
  <c r="AF65" i="8" a="1"/>
  <c r="AF65" i="8" s="1"/>
  <c r="AE65" i="8" a="1"/>
  <c r="AE65" i="8" s="1"/>
  <c r="Y65" i="8" a="1"/>
  <c r="Y65" i="8" s="1"/>
  <c r="E65" i="8" a="1"/>
  <c r="E65" i="8" s="1"/>
  <c r="Z65" i="8" a="1"/>
  <c r="Z65" i="8" s="1"/>
  <c r="AA65" i="8" a="1"/>
  <c r="AA65" i="8" s="1"/>
  <c r="AD65" i="8" a="1"/>
  <c r="AD65" i="8" s="1"/>
  <c r="X65" i="8" a="1"/>
  <c r="X65" i="8" s="1"/>
  <c r="AA17" i="8" a="1"/>
  <c r="AA17" i="8" s="1"/>
  <c r="AC17" i="8" a="1"/>
  <c r="AC17" i="8" s="1"/>
  <c r="Z17" i="8" a="1"/>
  <c r="Z17" i="8" s="1"/>
  <c r="W17" i="8" a="1"/>
  <c r="W17" i="8" s="1"/>
  <c r="AD17" i="8" a="1"/>
  <c r="AD17" i="8" s="1"/>
  <c r="AB17" i="8" a="1"/>
  <c r="AB17" i="8" s="1"/>
  <c r="Y17" i="8" a="1"/>
  <c r="Y17" i="8" s="1"/>
  <c r="X17" i="8" a="1"/>
  <c r="X17" i="8" s="1"/>
  <c r="AF17" i="8" a="1"/>
  <c r="AF17" i="8" s="1"/>
  <c r="V17" i="8" a="1"/>
  <c r="V17" i="8" s="1"/>
  <c r="U17" i="8" a="1"/>
  <c r="U17" i="8" s="1"/>
  <c r="AE17" i="8" a="1"/>
  <c r="AE17" i="8" s="1"/>
  <c r="E17" i="8" a="1"/>
  <c r="E17" i="8" s="1"/>
  <c r="F19" i="8"/>
  <c r="AD62" i="8" a="1"/>
  <c r="AD62" i="8" s="1"/>
  <c r="E62" i="8" a="1"/>
  <c r="E62" i="8" s="1"/>
  <c r="AF62" i="8" a="1"/>
  <c r="AF62" i="8" s="1"/>
  <c r="V62" i="8" a="1"/>
  <c r="V62" i="8" s="1"/>
  <c r="U62" i="8" a="1"/>
  <c r="U62" i="8" s="1"/>
  <c r="AC62" i="8" a="1"/>
  <c r="AC62" i="8" s="1"/>
  <c r="AE62" i="8" a="1"/>
  <c r="AE62" i="8" s="1"/>
  <c r="AA62" i="8" a="1"/>
  <c r="AA62" i="8" s="1"/>
  <c r="Z62" i="8" a="1"/>
  <c r="Z62" i="8" s="1"/>
  <c r="F64" i="8"/>
  <c r="AB62" i="8" a="1"/>
  <c r="AB62" i="8" s="1"/>
  <c r="Y62" i="8" a="1"/>
  <c r="Y62" i="8" s="1"/>
  <c r="X62" i="8" a="1"/>
  <c r="X62" i="8" s="1"/>
  <c r="W62" i="8" a="1"/>
  <c r="W62" i="8" s="1"/>
  <c r="AF29" i="8" a="1"/>
  <c r="AF29" i="8" s="1"/>
  <c r="F31" i="8"/>
  <c r="AE29" i="8" a="1"/>
  <c r="AE29" i="8" s="1"/>
  <c r="Y29" i="8" a="1"/>
  <c r="Y29" i="8" s="1"/>
  <c r="V29" i="8" a="1"/>
  <c r="V29" i="8" s="1"/>
  <c r="AD29" i="8" a="1"/>
  <c r="AD29" i="8" s="1"/>
  <c r="AC29" i="8" a="1"/>
  <c r="AC29" i="8" s="1"/>
  <c r="W29" i="8" a="1"/>
  <c r="W29" i="8" s="1"/>
  <c r="AA29" i="8" a="1"/>
  <c r="AA29" i="8" s="1"/>
  <c r="X29" i="8" a="1"/>
  <c r="X29" i="8" s="1"/>
  <c r="AB29" i="8" a="1"/>
  <c r="AB29" i="8" s="1"/>
  <c r="U29" i="8" a="1"/>
  <c r="U29" i="8" s="1"/>
  <c r="Z29" i="8" a="1"/>
  <c r="Z29" i="8" s="1"/>
  <c r="E29" i="8" a="1"/>
  <c r="E29" i="8" s="1"/>
  <c r="E56" i="8" a="1"/>
  <c r="E56" i="8" s="1"/>
  <c r="W56" i="8" a="1"/>
  <c r="W56" i="8" s="1"/>
  <c r="Y56" i="8" a="1"/>
  <c r="Y56" i="8" s="1"/>
  <c r="AF56" i="8" a="1"/>
  <c r="AF56" i="8" s="1"/>
  <c r="AE56" i="8" a="1"/>
  <c r="AE56" i="8" s="1"/>
  <c r="X56" i="8" a="1"/>
  <c r="X56" i="8" s="1"/>
  <c r="Z56" i="8" a="1"/>
  <c r="Z56" i="8" s="1"/>
  <c r="AA56" i="8" a="1"/>
  <c r="AA56" i="8" s="1"/>
  <c r="U56" i="8" a="1"/>
  <c r="U56" i="8" s="1"/>
  <c r="AB56" i="8" a="1"/>
  <c r="AB56" i="8" s="1"/>
  <c r="V56" i="8" a="1"/>
  <c r="V56" i="8" s="1"/>
  <c r="AD56" i="8" a="1"/>
  <c r="AD56" i="8" s="1"/>
  <c r="F58" i="8"/>
  <c r="AC56" i="8" a="1"/>
  <c r="AC56" i="8" s="1"/>
  <c r="AF403" i="5"/>
  <c r="AF392" i="5"/>
  <c r="AF269" i="5"/>
  <c r="AF268" i="5"/>
  <c r="AF289" i="5"/>
  <c r="AF272" i="5"/>
  <c r="AF325" i="5"/>
  <c r="AF346" i="5"/>
  <c r="AF247" i="5"/>
  <c r="AF370" i="5"/>
  <c r="AF400" i="5"/>
  <c r="AF254" i="5"/>
  <c r="AF303" i="5"/>
  <c r="AF342" i="5"/>
  <c r="AF218" i="5"/>
  <c r="AF286" i="5"/>
  <c r="AF275" i="5"/>
  <c r="AF380" i="5"/>
  <c r="AF225" i="5"/>
  <c r="AG272" i="5" l="1"/>
  <c r="AG247" i="5"/>
  <c r="AG286" i="5"/>
  <c r="AG225" i="5"/>
  <c r="AG342" i="5"/>
  <c r="AG400" i="5"/>
  <c r="AG403" i="5"/>
  <c r="AG370" i="5"/>
  <c r="AG254" i="5"/>
  <c r="AG275" i="5"/>
  <c r="AG325" i="5"/>
  <c r="AG268" i="5"/>
  <c r="AG289" i="5"/>
  <c r="AG392" i="5"/>
  <c r="AG269" i="5"/>
  <c r="AG380" i="5"/>
  <c r="AG303" i="5"/>
  <c r="AG346" i="5"/>
  <c r="AG218" i="5"/>
  <c r="AN254" i="5" l="1"/>
  <c r="AN380" i="5"/>
  <c r="AN268" i="5"/>
  <c r="AN370" i="5"/>
  <c r="AN225" i="5"/>
  <c r="AN289" i="5"/>
  <c r="AN272" i="5"/>
  <c r="AN218" i="5"/>
  <c r="AN269" i="5"/>
  <c r="AN325" i="5"/>
  <c r="AN403" i="5"/>
  <c r="AN286" i="5"/>
  <c r="AN303" i="5"/>
  <c r="AN342" i="5"/>
  <c r="AN346" i="5"/>
  <c r="AN392" i="5"/>
  <c r="AN275" i="5"/>
  <c r="AN247" i="5"/>
  <c r="AN115" i="5" l="1"/>
  <c r="AN130" i="5"/>
  <c r="AN47" i="5"/>
  <c r="AN21" i="5"/>
  <c r="AN41" i="5"/>
  <c r="AN54" i="5"/>
  <c r="AN37" i="5"/>
  <c r="AN28" i="5"/>
  <c r="AN129" i="5"/>
  <c r="AN34" i="5"/>
  <c r="AN168" i="5"/>
  <c r="AN52" i="5"/>
  <c r="AF26" i="5"/>
  <c r="AF153" i="5"/>
  <c r="AF173" i="5"/>
  <c r="AF250" i="5"/>
  <c r="AF210" i="5"/>
  <c r="AF369" i="5"/>
  <c r="AF393" i="5"/>
  <c r="AF189" i="5"/>
  <c r="AF316" i="5"/>
  <c r="AF350" i="5"/>
  <c r="AF231" i="5"/>
  <c r="AF195" i="5"/>
  <c r="AF220" i="5"/>
  <c r="AF201" i="5"/>
  <c r="AF235" i="5"/>
  <c r="AF312" i="5"/>
  <c r="AF102" i="5"/>
  <c r="AF40" i="5"/>
  <c r="AF78" i="5"/>
  <c r="AF154" i="5"/>
  <c r="AF120" i="5"/>
  <c r="AF52" i="5"/>
  <c r="AF109" i="5"/>
  <c r="AF81" i="5"/>
  <c r="AF203" i="5"/>
  <c r="AF295" i="5"/>
  <c r="AF184" i="5"/>
  <c r="AF396" i="5"/>
  <c r="AF16" i="5"/>
  <c r="AF113" i="5"/>
  <c r="AF43" i="5"/>
  <c r="AF404" i="5"/>
  <c r="AF90" i="5"/>
  <c r="AF92" i="5"/>
  <c r="AF155" i="5"/>
  <c r="AF198" i="5"/>
  <c r="AF361" i="5"/>
  <c r="AF251" i="5"/>
  <c r="AF59" i="5"/>
  <c r="AF30" i="5"/>
  <c r="AF107" i="5"/>
  <c r="AF99" i="5"/>
  <c r="AF41" i="5"/>
  <c r="AF65" i="5"/>
  <c r="AF67" i="5"/>
  <c r="AF363" i="5"/>
  <c r="AF202" i="5"/>
  <c r="AF221" i="5"/>
  <c r="AF300" i="5"/>
  <c r="AF337" i="5"/>
  <c r="AF332" i="5"/>
  <c r="AF266" i="5"/>
  <c r="AF345" i="5"/>
  <c r="AF258" i="5"/>
  <c r="AF236" i="5"/>
  <c r="AF379" i="5"/>
  <c r="AF381" i="5"/>
  <c r="AF401" i="5"/>
  <c r="AF123" i="5"/>
  <c r="AF53" i="5"/>
  <c r="AF103" i="5"/>
  <c r="AF104" i="5"/>
  <c r="AF163" i="5"/>
  <c r="AF165" i="5"/>
  <c r="AF171" i="5"/>
  <c r="AF206" i="5"/>
  <c r="AF326" i="5"/>
  <c r="AF319" i="5"/>
  <c r="AF224" i="5"/>
  <c r="AF64" i="5"/>
  <c r="AF122" i="5"/>
  <c r="AF62" i="5"/>
  <c r="AF39" i="5"/>
  <c r="AF365" i="5"/>
  <c r="AF329" i="5"/>
  <c r="AF299" i="5"/>
  <c r="AF179" i="5"/>
  <c r="AF372" i="5"/>
  <c r="AF375" i="5"/>
  <c r="AF242" i="5"/>
  <c r="AF314" i="5"/>
  <c r="AF68" i="5"/>
  <c r="AF34" i="5"/>
  <c r="AF58" i="5"/>
  <c r="AF140" i="5"/>
  <c r="AF373" i="5"/>
  <c r="AF343" i="5"/>
  <c r="AF226" i="5"/>
  <c r="AF334" i="5"/>
  <c r="AF388" i="5"/>
  <c r="AF243" i="5"/>
  <c r="AF182" i="5"/>
  <c r="AF246" i="5"/>
  <c r="AF239" i="5"/>
  <c r="AF194" i="5"/>
  <c r="AF402" i="5"/>
  <c r="AF287" i="5"/>
  <c r="AF245" i="5"/>
  <c r="AF111" i="5"/>
  <c r="AF157" i="5"/>
  <c r="AF93" i="5"/>
  <c r="AF170" i="5"/>
  <c r="AF38" i="5"/>
  <c r="AF71" i="5"/>
  <c r="AF138" i="5"/>
  <c r="AF164" i="5"/>
  <c r="AF315" i="5"/>
  <c r="AF389" i="5"/>
  <c r="AF383" i="5"/>
  <c r="AF255" i="5"/>
  <c r="AF352" i="5"/>
  <c r="AF212" i="5"/>
  <c r="AF215" i="5"/>
  <c r="AF132" i="5"/>
  <c r="AF134" i="5"/>
  <c r="AF147" i="5"/>
  <c r="AF112" i="5"/>
  <c r="AF156" i="5"/>
  <c r="AF89" i="5"/>
  <c r="AF106" i="5"/>
  <c r="AF318" i="5"/>
  <c r="AF180" i="5"/>
  <c r="AF390" i="5"/>
  <c r="AF354" i="5"/>
  <c r="AF371" i="5"/>
  <c r="AF360" i="5"/>
  <c r="AF256" i="5"/>
  <c r="AF135" i="5"/>
  <c r="AF69" i="5"/>
  <c r="AF61" i="5"/>
  <c r="AF382" i="5"/>
  <c r="AF249" i="5"/>
  <c r="AF322" i="5"/>
  <c r="AF204" i="5"/>
  <c r="AF265" i="5"/>
  <c r="AF207" i="5"/>
  <c r="AF281" i="5"/>
  <c r="AF386" i="5"/>
  <c r="AF330" i="5"/>
  <c r="AF294" i="5"/>
  <c r="AF232" i="5"/>
  <c r="AF222" i="5"/>
  <c r="AF296" i="5"/>
  <c r="AF116" i="5"/>
  <c r="AF143" i="5"/>
  <c r="AF14" i="5"/>
  <c r="AF17" i="5"/>
  <c r="AF141" i="5"/>
  <c r="AF175" i="5"/>
  <c r="AF82" i="5"/>
  <c r="AF336" i="5"/>
  <c r="AF341" i="5"/>
  <c r="AF278" i="5"/>
  <c r="AF385" i="5"/>
  <c r="AF238" i="5"/>
  <c r="AF162" i="5"/>
  <c r="AF159" i="5"/>
  <c r="AF94" i="5"/>
  <c r="AF125" i="5"/>
  <c r="AF129" i="5"/>
  <c r="AF139" i="5"/>
  <c r="AF76" i="5"/>
  <c r="AF339" i="5"/>
  <c r="AF355" i="5"/>
  <c r="AF193" i="5"/>
  <c r="AF33" i="5"/>
  <c r="AF284" i="5"/>
  <c r="AF126" i="5"/>
  <c r="AF32" i="5"/>
  <c r="AF48" i="5"/>
  <c r="AF124" i="5"/>
  <c r="AF288" i="5"/>
  <c r="AF364" i="5"/>
  <c r="AF276" i="5"/>
  <c r="AF347" i="5"/>
  <c r="AF297" i="5"/>
  <c r="AF282" i="5"/>
  <c r="AF356" i="5"/>
  <c r="AF301" i="5"/>
  <c r="AF307" i="5"/>
  <c r="AF267" i="5"/>
  <c r="AF310" i="5"/>
  <c r="AF192" i="5"/>
  <c r="AF305" i="5"/>
  <c r="AF110" i="5"/>
  <c r="AF44" i="5"/>
  <c r="AF87" i="5"/>
  <c r="AF50" i="5"/>
  <c r="AF35" i="5"/>
  <c r="AF54" i="5"/>
  <c r="AF118" i="5"/>
  <c r="AF176" i="5"/>
  <c r="AF270" i="5"/>
  <c r="AF233" i="5"/>
  <c r="AF327" i="5"/>
  <c r="AF105" i="5"/>
  <c r="AF18" i="5"/>
  <c r="AF75" i="5"/>
  <c r="AF172" i="5"/>
  <c r="AF88" i="5"/>
  <c r="AF219" i="5"/>
  <c r="AF185" i="5"/>
  <c r="AF293" i="5"/>
  <c r="AF196" i="5"/>
  <c r="AF358" i="5"/>
  <c r="AF359" i="5"/>
  <c r="AF191" i="5"/>
  <c r="AF57" i="5"/>
  <c r="AF108" i="5"/>
  <c r="AF60" i="5"/>
  <c r="AF167" i="5"/>
  <c r="AF168" i="5"/>
  <c r="AF262" i="5"/>
  <c r="AF298" i="5"/>
  <c r="AF181" i="5"/>
  <c r="AF197" i="5"/>
  <c r="AF234" i="5"/>
  <c r="AF237" i="5"/>
  <c r="AF374" i="5"/>
  <c r="AF257" i="5"/>
  <c r="AF292" i="5"/>
  <c r="AF260" i="5"/>
  <c r="AF333" i="5"/>
  <c r="AF186" i="5"/>
  <c r="AF397" i="5"/>
  <c r="AF128" i="5"/>
  <c r="AF56" i="5"/>
  <c r="AF121" i="5"/>
  <c r="AF23" i="5"/>
  <c r="AF51" i="5"/>
  <c r="AF86" i="5"/>
  <c r="AF174" i="5"/>
  <c r="AF98" i="5"/>
  <c r="AF348" i="5"/>
  <c r="AF244" i="5"/>
  <c r="AF264" i="5"/>
  <c r="AF344" i="5"/>
  <c r="AF241" i="5"/>
  <c r="AF321" i="5"/>
  <c r="AF313" i="5"/>
  <c r="AF77" i="5"/>
  <c r="AF22" i="5"/>
  <c r="AF96" i="5"/>
  <c r="AF127" i="5"/>
  <c r="AF55" i="5"/>
  <c r="AF160" i="5"/>
  <c r="AF362" i="5"/>
  <c r="AF366" i="5"/>
  <c r="AF291" i="5"/>
  <c r="AF228" i="5"/>
  <c r="AF271" i="5"/>
  <c r="AF302" i="5"/>
  <c r="AF391" i="5"/>
  <c r="AF188" i="5"/>
  <c r="AF331" i="5"/>
  <c r="AF252" i="5"/>
  <c r="AF394" i="5"/>
  <c r="AF263" i="5"/>
  <c r="AF335" i="5"/>
  <c r="AF376" i="5"/>
  <c r="AF37" i="5"/>
  <c r="AF70" i="5"/>
  <c r="AF130" i="5"/>
  <c r="AF24" i="5"/>
  <c r="AF145" i="5"/>
  <c r="AF84" i="5"/>
  <c r="AF21" i="5"/>
  <c r="AF73" i="5"/>
  <c r="AF338" i="5"/>
  <c r="AF213" i="5"/>
  <c r="AF205" i="5"/>
  <c r="AF328" i="5"/>
  <c r="AF349" i="5"/>
  <c r="AF384" i="5"/>
  <c r="AF200" i="5"/>
  <c r="AF151" i="5"/>
  <c r="AF100" i="5"/>
  <c r="AF74" i="5"/>
  <c r="AF114" i="5"/>
  <c r="AF149" i="5"/>
  <c r="AF97" i="5"/>
  <c r="AF248" i="5"/>
  <c r="AF240" i="5"/>
  <c r="AF273" i="5"/>
  <c r="AF183" i="5"/>
  <c r="AF308" i="5"/>
  <c r="AF223" i="5"/>
  <c r="AF306" i="5"/>
  <c r="AF351" i="5"/>
  <c r="AF259" i="5"/>
  <c r="AF217" i="5"/>
  <c r="AF261" i="5"/>
  <c r="AF214" i="5"/>
  <c r="AF367" i="5"/>
  <c r="AF253" i="5"/>
  <c r="AF136" i="5"/>
  <c r="AF66" i="5"/>
  <c r="AF42" i="5"/>
  <c r="AF117" i="5"/>
  <c r="AF150" i="5"/>
  <c r="AF25" i="5"/>
  <c r="AF115" i="5"/>
  <c r="AF387" i="5"/>
  <c r="AF280" i="5"/>
  <c r="AF208" i="5"/>
  <c r="AF283" i="5"/>
  <c r="AF304" i="5"/>
  <c r="AF190" i="5"/>
  <c r="AF83" i="5"/>
  <c r="AF47" i="5"/>
  <c r="AF227" i="5"/>
  <c r="AF31" i="5"/>
  <c r="AF85" i="5"/>
  <c r="AF357" i="5"/>
  <c r="AF279" i="5"/>
  <c r="AF285" i="5"/>
  <c r="AF211" i="5"/>
  <c r="AF277" i="5"/>
  <c r="AF19" i="5"/>
  <c r="AF144" i="5"/>
  <c r="AF95" i="5"/>
  <c r="AF91" i="5"/>
  <c r="AF133" i="5"/>
  <c r="AF63" i="5"/>
  <c r="AF45" i="5"/>
  <c r="AF36" i="5"/>
  <c r="AF161" i="5"/>
  <c r="AF199" i="5"/>
  <c r="AF368" i="5"/>
  <c r="AF216" i="5"/>
  <c r="AF398" i="5"/>
  <c r="AF178" i="5"/>
  <c r="AF353" i="5"/>
  <c r="AF27" i="5"/>
  <c r="AF169" i="5"/>
  <c r="AF137" i="5"/>
  <c r="AF146" i="5"/>
  <c r="AF131" i="5"/>
  <c r="AF79" i="5"/>
  <c r="AF148" i="5"/>
  <c r="AF340" i="5"/>
  <c r="AF320" i="5"/>
  <c r="AF317" i="5"/>
  <c r="AF323" i="5"/>
  <c r="AF378" i="5"/>
  <c r="AF274" i="5"/>
  <c r="AF395" i="5"/>
  <c r="AF177" i="5"/>
  <c r="AF229" i="5"/>
  <c r="AF187" i="5"/>
  <c r="AF377" i="5"/>
  <c r="AF290" i="5"/>
  <c r="AF209" i="5"/>
  <c r="AF29" i="5"/>
  <c r="AF152" i="5"/>
  <c r="AF166" i="5"/>
  <c r="AF28" i="5"/>
  <c r="AF142" i="5"/>
  <c r="AF72" i="5"/>
  <c r="AF49" i="5"/>
  <c r="AF20" i="5"/>
  <c r="AF309" i="5"/>
  <c r="AF399" i="5"/>
  <c r="AF230" i="5"/>
  <c r="AF324" i="5"/>
  <c r="AF311" i="5"/>
  <c r="AF119" i="5"/>
  <c r="AF101" i="5"/>
  <c r="AF80" i="5"/>
  <c r="AF46" i="5"/>
  <c r="AF158" i="5"/>
  <c r="AG158" i="5" l="1"/>
  <c r="AG46" i="5"/>
  <c r="AG80" i="5"/>
  <c r="AG101" i="5"/>
  <c r="AG119" i="5"/>
  <c r="AG311" i="5"/>
  <c r="AG324" i="5"/>
  <c r="AG230" i="5"/>
  <c r="AG399" i="5"/>
  <c r="AG309" i="5"/>
  <c r="AG20" i="5"/>
  <c r="AG72" i="5"/>
  <c r="AG142" i="5"/>
  <c r="AG28" i="5"/>
  <c r="AG166" i="5"/>
  <c r="AG152" i="5"/>
  <c r="AG29" i="5"/>
  <c r="AG209" i="5"/>
  <c r="AG290" i="5"/>
  <c r="AG377" i="5"/>
  <c r="AG187" i="5"/>
  <c r="AG229" i="5"/>
  <c r="AG177" i="5"/>
  <c r="AG395" i="5"/>
  <c r="AG274" i="5"/>
  <c r="AG378" i="5"/>
  <c r="AG323" i="5"/>
  <c r="AG317" i="5"/>
  <c r="AG320" i="5"/>
  <c r="AG340" i="5"/>
  <c r="AG79" i="5"/>
  <c r="AG131" i="5"/>
  <c r="AG146" i="5"/>
  <c r="AG137" i="5"/>
  <c r="AG169" i="5"/>
  <c r="AG27" i="5"/>
  <c r="AG353" i="5"/>
  <c r="AG178" i="5"/>
  <c r="AG398" i="5"/>
  <c r="AG216" i="5"/>
  <c r="AG368" i="5"/>
  <c r="AG199" i="5"/>
  <c r="AG161" i="5"/>
  <c r="AG45" i="5"/>
  <c r="AG63" i="5"/>
  <c r="AG95" i="5"/>
  <c r="AG144" i="5"/>
  <c r="AG19" i="5"/>
  <c r="AG277" i="5"/>
  <c r="AG211" i="5"/>
  <c r="AG285" i="5"/>
  <c r="AG279" i="5"/>
  <c r="AG357" i="5"/>
  <c r="AG85" i="5"/>
  <c r="AG31" i="5"/>
  <c r="AG227" i="5"/>
  <c r="AG47" i="5"/>
  <c r="AG83" i="5"/>
  <c r="AG190" i="5"/>
  <c r="AG304" i="5"/>
  <c r="AG283" i="5"/>
  <c r="AG208" i="5"/>
  <c r="AG280" i="5"/>
  <c r="AG115" i="5"/>
  <c r="AG25" i="5"/>
  <c r="AG150" i="5"/>
  <c r="AG117" i="5"/>
  <c r="AG42" i="5"/>
  <c r="AG66" i="5"/>
  <c r="AG136" i="5"/>
  <c r="AG253" i="5"/>
  <c r="S253" i="5"/>
  <c r="R253" i="5"/>
  <c r="AG367" i="5"/>
  <c r="AG214" i="5"/>
  <c r="AG261" i="5"/>
  <c r="AG217" i="5"/>
  <c r="AG259" i="5"/>
  <c r="AG351" i="5"/>
  <c r="AG306" i="5"/>
  <c r="AG223" i="5"/>
  <c r="AG308" i="5"/>
  <c r="AG183" i="5"/>
  <c r="AG273" i="5"/>
  <c r="AG240" i="5"/>
  <c r="AG248" i="5"/>
  <c r="AG97" i="5"/>
  <c r="AG149" i="5"/>
  <c r="AG114" i="5"/>
  <c r="AG74" i="5"/>
  <c r="AG100" i="5"/>
  <c r="AG151" i="5"/>
  <c r="AG200" i="5"/>
  <c r="AG349" i="5"/>
  <c r="AG328" i="5"/>
  <c r="AG205" i="5"/>
  <c r="AG213" i="5"/>
  <c r="AG338" i="5"/>
  <c r="AG73" i="5"/>
  <c r="AG21" i="5"/>
  <c r="AG84" i="5"/>
  <c r="AG145" i="5"/>
  <c r="AG24" i="5"/>
  <c r="AG130" i="5"/>
  <c r="AG70" i="5"/>
  <c r="AG37" i="5"/>
  <c r="AG376" i="5"/>
  <c r="AG335" i="5"/>
  <c r="AG263" i="5"/>
  <c r="AG394" i="5"/>
  <c r="AG252" i="5"/>
  <c r="AG331" i="5"/>
  <c r="AG188" i="5"/>
  <c r="AG391" i="5"/>
  <c r="AG228" i="5"/>
  <c r="AG291" i="5"/>
  <c r="AG366" i="5"/>
  <c r="AG362" i="5"/>
  <c r="AG160" i="5"/>
  <c r="AG55" i="5"/>
  <c r="AG127" i="5"/>
  <c r="AG96" i="5"/>
  <c r="AG22" i="5"/>
  <c r="AG77" i="5"/>
  <c r="AG313" i="5"/>
  <c r="AG321" i="5"/>
  <c r="AG241" i="5"/>
  <c r="AG344" i="5"/>
  <c r="AG264" i="5"/>
  <c r="AG348" i="5"/>
  <c r="AG98" i="5"/>
  <c r="AG174" i="5"/>
  <c r="AG86" i="5"/>
  <c r="AG23" i="5"/>
  <c r="AG121" i="5"/>
  <c r="AG56" i="5"/>
  <c r="AG128" i="5"/>
  <c r="AG397" i="5"/>
  <c r="AG186" i="5"/>
  <c r="AG333" i="5"/>
  <c r="AG260" i="5"/>
  <c r="AG292" i="5"/>
  <c r="AG257" i="5"/>
  <c r="AG374" i="5"/>
  <c r="AG237" i="5"/>
  <c r="AG234" i="5"/>
  <c r="AG197" i="5"/>
  <c r="AG181" i="5"/>
  <c r="AG298" i="5"/>
  <c r="AG262" i="5"/>
  <c r="AG168" i="5"/>
  <c r="AG167" i="5"/>
  <c r="AG60" i="5"/>
  <c r="AG108" i="5"/>
  <c r="AG57" i="5"/>
  <c r="AG191" i="5"/>
  <c r="AG359" i="5"/>
  <c r="AG358" i="5"/>
  <c r="AG196" i="5"/>
  <c r="AG293" i="5"/>
  <c r="AG185" i="5"/>
  <c r="AG219" i="5"/>
  <c r="AG88" i="5"/>
  <c r="AG172" i="5"/>
  <c r="AG75" i="5"/>
  <c r="AG18" i="5"/>
  <c r="AG105" i="5"/>
  <c r="AG327" i="5"/>
  <c r="AG270" i="5"/>
  <c r="AG176" i="5"/>
  <c r="AG118" i="5"/>
  <c r="AG54" i="5"/>
  <c r="AG87" i="5"/>
  <c r="AG44" i="5"/>
  <c r="AG110" i="5"/>
  <c r="AG305" i="5"/>
  <c r="AG192" i="5"/>
  <c r="AG310" i="5"/>
  <c r="AG267" i="5"/>
  <c r="AG307" i="5"/>
  <c r="AG356" i="5"/>
  <c r="AG282" i="5"/>
  <c r="AG297" i="5"/>
  <c r="AG347" i="5"/>
  <c r="AG276" i="5"/>
  <c r="AG364" i="5"/>
  <c r="AG288" i="5"/>
  <c r="AG124" i="5"/>
  <c r="AG32" i="5"/>
  <c r="AG126" i="5"/>
  <c r="AG284" i="5"/>
  <c r="AG33" i="5"/>
  <c r="AG193" i="5"/>
  <c r="AG355" i="5"/>
  <c r="AG339" i="5"/>
  <c r="AG76" i="5"/>
  <c r="AG139" i="5"/>
  <c r="AG129" i="5"/>
  <c r="AG125" i="5"/>
  <c r="AG159" i="5"/>
  <c r="AG162" i="5"/>
  <c r="AG278" i="5"/>
  <c r="AG341" i="5"/>
  <c r="AG336" i="5"/>
  <c r="AG82" i="5"/>
  <c r="AG175" i="5"/>
  <c r="AG141" i="5"/>
  <c r="AG17" i="5"/>
  <c r="R14" i="5"/>
  <c r="S14" i="5"/>
  <c r="AG14" i="5"/>
  <c r="AG143" i="5"/>
  <c r="AG116" i="5"/>
  <c r="AG296" i="5"/>
  <c r="AG222" i="5"/>
  <c r="AG294" i="5"/>
  <c r="AG330" i="5"/>
  <c r="AG281" i="5"/>
  <c r="AG207" i="5"/>
  <c r="AG265" i="5"/>
  <c r="AG204" i="5"/>
  <c r="AG322" i="5"/>
  <c r="AG249" i="5"/>
  <c r="AG61" i="5"/>
  <c r="AG135" i="5"/>
  <c r="AG256" i="5"/>
  <c r="AG360" i="5"/>
  <c r="AG371" i="5"/>
  <c r="AG354" i="5"/>
  <c r="AG180" i="5"/>
  <c r="AG318" i="5"/>
  <c r="AG106" i="5"/>
  <c r="AG89" i="5"/>
  <c r="AG156" i="5"/>
  <c r="AG112" i="5"/>
  <c r="AG134" i="5"/>
  <c r="AG215" i="5"/>
  <c r="AG212" i="5"/>
  <c r="AG352" i="5"/>
  <c r="AG315" i="5"/>
  <c r="AG164" i="5"/>
  <c r="AG138" i="5"/>
  <c r="AG71" i="5"/>
  <c r="AG38" i="5"/>
  <c r="AG170" i="5"/>
  <c r="AG93" i="5"/>
  <c r="AG157" i="5"/>
  <c r="AG245" i="5"/>
  <c r="AG194" i="5"/>
  <c r="AG246" i="5"/>
  <c r="AG182" i="5"/>
  <c r="AG334" i="5"/>
  <c r="AG226" i="5"/>
  <c r="AG343" i="5"/>
  <c r="AG373" i="5"/>
  <c r="AG140" i="5"/>
  <c r="AG58" i="5"/>
  <c r="AG34" i="5"/>
  <c r="AG68" i="5"/>
  <c r="AG314" i="5"/>
  <c r="AG242" i="5"/>
  <c r="AG375" i="5"/>
  <c r="AG372" i="5"/>
  <c r="AG179" i="5"/>
  <c r="AG299" i="5"/>
  <c r="AG329" i="5"/>
  <c r="AG365" i="5"/>
  <c r="AG39" i="5"/>
  <c r="AG62" i="5"/>
  <c r="AG122" i="5"/>
  <c r="AG64" i="5"/>
  <c r="AG224" i="5"/>
  <c r="AG319" i="5"/>
  <c r="AG326" i="5"/>
  <c r="AG206" i="5"/>
  <c r="AG171" i="5"/>
  <c r="AG165" i="5"/>
  <c r="AG163" i="5"/>
  <c r="AG104" i="5"/>
  <c r="AG103" i="5"/>
  <c r="AG53" i="5"/>
  <c r="AG123" i="5"/>
  <c r="AG236" i="5"/>
  <c r="AG258" i="5"/>
  <c r="AG345" i="5"/>
  <c r="AG266" i="5"/>
  <c r="AG332" i="5"/>
  <c r="AG337" i="5"/>
  <c r="AG300" i="5"/>
  <c r="AG221" i="5"/>
  <c r="AG202" i="5"/>
  <c r="AG363" i="5"/>
  <c r="AG67" i="5"/>
  <c r="AG65" i="5"/>
  <c r="AG41" i="5"/>
  <c r="AG99" i="5"/>
  <c r="AG107" i="5"/>
  <c r="AG30" i="5"/>
  <c r="AG59" i="5"/>
  <c r="AG251" i="5"/>
  <c r="AG361" i="5"/>
  <c r="AG198" i="5"/>
  <c r="AG404" i="5"/>
  <c r="AG43" i="5"/>
  <c r="AG113" i="5"/>
  <c r="AG16" i="5"/>
  <c r="AG396" i="5"/>
  <c r="AG184" i="5"/>
  <c r="AG295" i="5"/>
  <c r="AG203" i="5"/>
  <c r="AG81" i="5"/>
  <c r="AG109" i="5"/>
  <c r="AG52" i="5"/>
  <c r="AG120" i="5"/>
  <c r="AG154" i="5"/>
  <c r="AG78" i="5"/>
  <c r="AG40" i="5"/>
  <c r="AC40" i="5" s="1"/>
  <c r="J40" i="6" s="1" a="1"/>
  <c r="J40" i="6" s="1"/>
  <c r="AG102" i="5"/>
  <c r="AG312" i="5"/>
  <c r="AG235" i="5"/>
  <c r="AG201" i="5"/>
  <c r="AG220" i="5"/>
  <c r="AG195" i="5"/>
  <c r="AG350" i="5"/>
  <c r="AG316" i="5"/>
  <c r="AG189" i="5"/>
  <c r="AG393" i="5"/>
  <c r="AG369" i="5"/>
  <c r="AG210" i="5"/>
  <c r="AG250" i="5"/>
  <c r="AG173" i="5"/>
  <c r="AG153" i="5"/>
  <c r="AG26" i="5"/>
  <c r="AC26" i="5" s="1"/>
  <c r="J26" i="6" s="1" a="1"/>
  <c r="J26" i="6" s="1"/>
  <c r="W156" i="5"/>
  <c r="AN156" i="5"/>
  <c r="W82" i="5"/>
  <c r="AN82" i="5"/>
  <c r="AN175" i="5"/>
  <c r="W175" i="5"/>
  <c r="AN120" i="5"/>
  <c r="W120" i="5"/>
  <c r="AN121" i="5"/>
  <c r="W121" i="5"/>
  <c r="W53" i="5"/>
  <c r="AN53" i="5"/>
  <c r="AN27" i="5"/>
  <c r="W27" i="5"/>
  <c r="AN296" i="5"/>
  <c r="W296" i="5"/>
  <c r="AN222" i="5"/>
  <c r="W222" i="5"/>
  <c r="W260" i="5"/>
  <c r="AN260" i="5"/>
  <c r="AN292" i="5"/>
  <c r="W292" i="5"/>
  <c r="AN350" i="5"/>
  <c r="W350" i="5"/>
  <c r="AN204" i="5"/>
  <c r="W204" i="5"/>
  <c r="W322" i="5"/>
  <c r="AN322" i="5"/>
  <c r="AN249" i="5"/>
  <c r="W249" i="5"/>
  <c r="AN373" i="5"/>
  <c r="W373" i="5"/>
  <c r="W173" i="5"/>
  <c r="AN173" i="5"/>
  <c r="AN60" i="5"/>
  <c r="W60" i="5"/>
  <c r="AN126" i="5"/>
  <c r="W126" i="5"/>
  <c r="W150" i="5"/>
  <c r="AN150" i="5"/>
  <c r="AN107" i="5"/>
  <c r="W107" i="5"/>
  <c r="AN95" i="5"/>
  <c r="W95" i="5"/>
  <c r="W144" i="5"/>
  <c r="AN144" i="5"/>
  <c r="AN314" i="5"/>
  <c r="W314" i="5"/>
  <c r="W404" i="5"/>
  <c r="AN404" i="5"/>
  <c r="AN191" i="5"/>
  <c r="W191" i="5"/>
  <c r="AN242" i="5"/>
  <c r="W242" i="5"/>
  <c r="AN359" i="5"/>
  <c r="W359" i="5"/>
  <c r="W351" i="5"/>
  <c r="AN351" i="5"/>
  <c r="W306" i="5"/>
  <c r="AN306" i="5"/>
  <c r="W223" i="5"/>
  <c r="AN223" i="5"/>
  <c r="W308" i="5"/>
  <c r="AN308" i="5"/>
  <c r="W183" i="5"/>
  <c r="AN183" i="5"/>
  <c r="W273" i="5"/>
  <c r="AN273" i="5"/>
  <c r="AN240" i="5"/>
  <c r="W240" i="5"/>
  <c r="AN248" i="5"/>
  <c r="W248" i="5"/>
  <c r="AN172" i="5"/>
  <c r="W172" i="5"/>
  <c r="AN75" i="5"/>
  <c r="W75" i="5"/>
  <c r="AN18" i="5"/>
  <c r="W18" i="5"/>
  <c r="W96" i="5"/>
  <c r="AN96" i="5"/>
  <c r="AN137" i="5"/>
  <c r="W137" i="5"/>
  <c r="AN134" i="5"/>
  <c r="W134" i="5"/>
  <c r="AN56" i="5"/>
  <c r="W56" i="5"/>
  <c r="W116" i="5"/>
  <c r="AN116" i="5"/>
  <c r="AN305" i="5"/>
  <c r="W305" i="5"/>
  <c r="AN321" i="5"/>
  <c r="W321" i="5"/>
  <c r="AN178" i="5"/>
  <c r="W178" i="5"/>
  <c r="W349" i="5"/>
  <c r="AN349" i="5"/>
  <c r="W398" i="5"/>
  <c r="AN398" i="5"/>
  <c r="W356" i="5"/>
  <c r="AN356" i="5"/>
  <c r="AN264" i="5"/>
  <c r="W264" i="5"/>
  <c r="AN300" i="5"/>
  <c r="W300" i="5"/>
  <c r="W213" i="5"/>
  <c r="AN213" i="5"/>
  <c r="AN364" i="5"/>
  <c r="W364" i="5"/>
  <c r="AN288" i="5"/>
  <c r="W288" i="5"/>
  <c r="W124" i="5"/>
  <c r="AN124" i="5"/>
  <c r="AN164" i="5"/>
  <c r="W164" i="5"/>
  <c r="AN45" i="5"/>
  <c r="W45" i="5"/>
  <c r="W145" i="5"/>
  <c r="AN145" i="5"/>
  <c r="AN101" i="5"/>
  <c r="W101" i="5"/>
  <c r="AN66" i="5"/>
  <c r="W66" i="5"/>
  <c r="AN136" i="5"/>
  <c r="W136" i="5"/>
  <c r="AN190" i="5"/>
  <c r="W190" i="5"/>
  <c r="AN211" i="5"/>
  <c r="W211" i="5"/>
  <c r="AN285" i="5"/>
  <c r="W285" i="5"/>
  <c r="AN279" i="5"/>
  <c r="W279" i="5"/>
  <c r="AN184" i="5"/>
  <c r="W184" i="5"/>
  <c r="AN355" i="5"/>
  <c r="W355" i="5"/>
  <c r="AN230" i="5"/>
  <c r="W230" i="5"/>
  <c r="AN371" i="5"/>
  <c r="W371" i="5"/>
  <c r="W341" i="5"/>
  <c r="AN341" i="5"/>
  <c r="W291" i="5"/>
  <c r="AN291" i="5"/>
  <c r="AN366" i="5"/>
  <c r="W366" i="5"/>
  <c r="AN198" i="5"/>
  <c r="W198" i="5"/>
  <c r="W20" i="5"/>
  <c r="AN20" i="5"/>
  <c r="W138" i="5"/>
  <c r="AN138" i="5"/>
  <c r="W71" i="5"/>
  <c r="AN71" i="5"/>
  <c r="AN23" i="5"/>
  <c r="W23" i="5"/>
  <c r="AN169" i="5"/>
  <c r="W169" i="5"/>
  <c r="AN151" i="5"/>
  <c r="W151" i="5"/>
  <c r="AN110" i="5"/>
  <c r="W110" i="5"/>
  <c r="W245" i="5"/>
  <c r="AN245" i="5"/>
  <c r="AN235" i="5"/>
  <c r="W235" i="5"/>
  <c r="W294" i="5"/>
  <c r="AN294" i="5"/>
  <c r="AN330" i="5"/>
  <c r="W330" i="5"/>
  <c r="AN374" i="5"/>
  <c r="W374" i="5"/>
  <c r="AN237" i="5"/>
  <c r="W237" i="5"/>
  <c r="AN265" i="5"/>
  <c r="W265" i="5"/>
  <c r="AN334" i="5"/>
  <c r="W334" i="5"/>
  <c r="AN226" i="5"/>
  <c r="W226" i="5"/>
  <c r="W343" i="5"/>
  <c r="AN343" i="5"/>
  <c r="AN250" i="5"/>
  <c r="W250" i="5"/>
  <c r="W167" i="5"/>
  <c r="AN167" i="5"/>
  <c r="W135" i="5"/>
  <c r="AN135" i="5"/>
  <c r="W25" i="5"/>
  <c r="AN25" i="5"/>
  <c r="AN158" i="5"/>
  <c r="W158" i="5"/>
  <c r="AN64" i="5"/>
  <c r="W64" i="5"/>
  <c r="AN83" i="5"/>
  <c r="W83" i="5"/>
  <c r="AN162" i="5"/>
  <c r="W162" i="5"/>
  <c r="AN367" i="5"/>
  <c r="W367" i="5"/>
  <c r="AN214" i="5"/>
  <c r="W214" i="5"/>
  <c r="W261" i="5"/>
  <c r="AN261" i="5"/>
  <c r="AN217" i="5"/>
  <c r="W217" i="5"/>
  <c r="W259" i="5"/>
  <c r="AN259" i="5"/>
  <c r="AN358" i="5"/>
  <c r="W358" i="5"/>
  <c r="AN372" i="5"/>
  <c r="W372" i="5"/>
  <c r="AN196" i="5"/>
  <c r="W196" i="5"/>
  <c r="AN206" i="5"/>
  <c r="W206" i="5"/>
  <c r="AN299" i="5"/>
  <c r="W299" i="5"/>
  <c r="AN329" i="5"/>
  <c r="W329" i="5"/>
  <c r="AN365" i="5"/>
  <c r="W365" i="5"/>
  <c r="W88" i="5"/>
  <c r="AN88" i="5"/>
  <c r="AN79" i="5"/>
  <c r="W79" i="5"/>
  <c r="AN131" i="5"/>
  <c r="W131" i="5"/>
  <c r="AN171" i="5"/>
  <c r="W171" i="5"/>
  <c r="W165" i="5"/>
  <c r="AN165" i="5"/>
  <c r="AN22" i="5"/>
  <c r="W22" i="5"/>
  <c r="W103" i="5"/>
  <c r="AN103" i="5"/>
  <c r="AN143" i="5"/>
  <c r="W143" i="5"/>
  <c r="AN102" i="5"/>
  <c r="W102" i="5"/>
  <c r="W215" i="5"/>
  <c r="AN215" i="5"/>
  <c r="W310" i="5"/>
  <c r="AN310" i="5"/>
  <c r="AN267" i="5"/>
  <c r="W267" i="5"/>
  <c r="AN307" i="5"/>
  <c r="W307" i="5"/>
  <c r="W344" i="5"/>
  <c r="AN344" i="5"/>
  <c r="AN332" i="5"/>
  <c r="W332" i="5"/>
  <c r="W337" i="5"/>
  <c r="AN337" i="5"/>
  <c r="AN368" i="5"/>
  <c r="W368" i="5"/>
  <c r="AN276" i="5"/>
  <c r="W276" i="5"/>
  <c r="AN348" i="5"/>
  <c r="W348" i="5"/>
  <c r="W315" i="5"/>
  <c r="AN315" i="5"/>
  <c r="AN98" i="5"/>
  <c r="W98" i="5"/>
  <c r="W32" i="5"/>
  <c r="AN32" i="5"/>
  <c r="W30" i="5"/>
  <c r="AN30" i="5"/>
  <c r="AN43" i="5"/>
  <c r="W43" i="5"/>
  <c r="W159" i="5"/>
  <c r="AN159" i="5"/>
  <c r="AN57" i="5"/>
  <c r="W57" i="5"/>
  <c r="AN125" i="5"/>
  <c r="W125" i="5"/>
  <c r="AN277" i="5"/>
  <c r="W277" i="5"/>
  <c r="W311" i="5"/>
  <c r="AN311" i="5"/>
  <c r="W304" i="5"/>
  <c r="AN304" i="5"/>
  <c r="AN252" i="5"/>
  <c r="W252" i="5"/>
  <c r="W331" i="5"/>
  <c r="AN331" i="5"/>
  <c r="W256" i="5"/>
  <c r="AN256" i="5"/>
  <c r="AN360" i="5"/>
  <c r="W360" i="5"/>
  <c r="AN361" i="5"/>
  <c r="W361" i="5"/>
  <c r="AN228" i="5"/>
  <c r="W228" i="5"/>
  <c r="W339" i="5"/>
  <c r="AN339" i="5"/>
  <c r="AN336" i="5"/>
  <c r="W336" i="5"/>
  <c r="W106" i="5"/>
  <c r="AN106" i="5"/>
  <c r="AN89" i="5"/>
  <c r="W89" i="5"/>
  <c r="AN139" i="5"/>
  <c r="W139" i="5"/>
  <c r="AN246" i="5"/>
  <c r="W246" i="5"/>
  <c r="AN109" i="5"/>
  <c r="W109" i="5"/>
  <c r="AN141" i="5"/>
  <c r="W141" i="5"/>
  <c r="AN170" i="5"/>
  <c r="W170" i="5"/>
  <c r="AN87" i="5"/>
  <c r="W87" i="5"/>
  <c r="W44" i="5"/>
  <c r="AN44" i="5"/>
  <c r="AN253" i="5"/>
  <c r="W253" i="5"/>
  <c r="W312" i="5"/>
  <c r="AN312" i="5"/>
  <c r="W333" i="5"/>
  <c r="AN333" i="5"/>
  <c r="AN194" i="5"/>
  <c r="W194" i="5"/>
  <c r="W195" i="5"/>
  <c r="AN195" i="5"/>
  <c r="AN281" i="5"/>
  <c r="W281" i="5"/>
  <c r="AN207" i="5"/>
  <c r="W207" i="5"/>
  <c r="AN189" i="5"/>
  <c r="W189" i="5"/>
  <c r="AN393" i="5"/>
  <c r="W393" i="5"/>
  <c r="AN369" i="5"/>
  <c r="W369" i="5"/>
  <c r="AN210" i="5"/>
  <c r="W210" i="5"/>
  <c r="W61" i="5"/>
  <c r="AN61" i="5"/>
  <c r="AN58" i="5"/>
  <c r="W58" i="5"/>
  <c r="W108" i="5"/>
  <c r="AN108" i="5"/>
  <c r="W72" i="5"/>
  <c r="AN72" i="5"/>
  <c r="AN142" i="5"/>
  <c r="W142" i="5"/>
  <c r="W42" i="5"/>
  <c r="AN42" i="5"/>
  <c r="AN70" i="5"/>
  <c r="W70" i="5"/>
  <c r="AN119" i="5"/>
  <c r="W119" i="5"/>
  <c r="W284" i="5"/>
  <c r="AN284" i="5"/>
  <c r="AN227" i="5"/>
  <c r="W227" i="5"/>
  <c r="W224" i="5"/>
  <c r="AN224" i="5"/>
  <c r="AN327" i="5"/>
  <c r="W327" i="5"/>
  <c r="AN319" i="5"/>
  <c r="W319" i="5"/>
  <c r="W375" i="5"/>
  <c r="AN375" i="5"/>
  <c r="AN395" i="5"/>
  <c r="W395" i="5"/>
  <c r="W274" i="5"/>
  <c r="AN274" i="5"/>
  <c r="AN378" i="5"/>
  <c r="W378" i="5"/>
  <c r="W323" i="5"/>
  <c r="AN323" i="5"/>
  <c r="W317" i="5"/>
  <c r="AN317" i="5"/>
  <c r="W320" i="5"/>
  <c r="AN320" i="5"/>
  <c r="W340" i="5"/>
  <c r="AN340" i="5"/>
  <c r="AN39" i="5"/>
  <c r="W39" i="5"/>
  <c r="AN62" i="5"/>
  <c r="W62" i="5"/>
  <c r="W122" i="5"/>
  <c r="AN122" i="5"/>
  <c r="AN146" i="5"/>
  <c r="W146" i="5"/>
  <c r="W74" i="5"/>
  <c r="AN74" i="5"/>
  <c r="W104" i="5"/>
  <c r="AN104" i="5"/>
  <c r="W93" i="5"/>
  <c r="AN93" i="5"/>
  <c r="AN157" i="5"/>
  <c r="W157" i="5"/>
  <c r="AN313" i="5"/>
  <c r="W313" i="5"/>
  <c r="W353" i="5"/>
  <c r="AN353" i="5"/>
  <c r="W212" i="5"/>
  <c r="AN212" i="5"/>
  <c r="W241" i="5"/>
  <c r="AN241" i="5"/>
  <c r="AN352" i="5"/>
  <c r="W352" i="5"/>
  <c r="AN266" i="5"/>
  <c r="W266" i="5"/>
  <c r="AN216" i="5"/>
  <c r="W216" i="5"/>
  <c r="AN205" i="5"/>
  <c r="W205" i="5"/>
  <c r="AN347" i="5"/>
  <c r="W347" i="5"/>
  <c r="AN202" i="5"/>
  <c r="W202" i="5"/>
  <c r="AN363" i="5"/>
  <c r="W363" i="5"/>
  <c r="AN67" i="5"/>
  <c r="W67" i="5"/>
  <c r="AN65" i="5"/>
  <c r="W65" i="5"/>
  <c r="W99" i="5"/>
  <c r="AN99" i="5"/>
  <c r="AN84" i="5"/>
  <c r="W84" i="5"/>
  <c r="AN33" i="5"/>
  <c r="W33" i="5"/>
  <c r="AN113" i="5"/>
  <c r="W113" i="5"/>
  <c r="AN152" i="5"/>
  <c r="W152" i="5"/>
  <c r="W29" i="5"/>
  <c r="AN29" i="5"/>
  <c r="W193" i="5"/>
  <c r="AN193" i="5"/>
  <c r="W263" i="5"/>
  <c r="AN263" i="5"/>
  <c r="W394" i="5"/>
  <c r="AN394" i="5"/>
  <c r="AN324" i="5"/>
  <c r="W324" i="5"/>
  <c r="W283" i="5"/>
  <c r="AN283" i="5"/>
  <c r="W278" i="5"/>
  <c r="AN278" i="5"/>
  <c r="AN208" i="5"/>
  <c r="W208" i="5"/>
  <c r="AN399" i="5"/>
  <c r="W399" i="5"/>
  <c r="W280" i="5"/>
  <c r="AN280" i="5"/>
  <c r="W180" i="5"/>
  <c r="AN180" i="5"/>
  <c r="AN318" i="5"/>
  <c r="W318" i="5"/>
  <c r="AN81" i="5"/>
  <c r="W81" i="5"/>
  <c r="W76" i="5"/>
  <c r="AN76" i="5"/>
  <c r="AN127" i="5"/>
  <c r="W127" i="5"/>
  <c r="W234" i="5"/>
  <c r="AN234" i="5"/>
  <c r="AN174" i="5"/>
  <c r="W174" i="5"/>
  <c r="AN86" i="5"/>
  <c r="W86" i="5"/>
  <c r="W38" i="5"/>
  <c r="AN38" i="5"/>
  <c r="AN154" i="5"/>
  <c r="W154" i="5"/>
  <c r="W77" i="5"/>
  <c r="AN77" i="5"/>
  <c r="AN123" i="5"/>
  <c r="W123" i="5"/>
  <c r="W397" i="5"/>
  <c r="AN397" i="5"/>
  <c r="W186" i="5"/>
  <c r="AN186" i="5"/>
  <c r="AN201" i="5"/>
  <c r="W201" i="5"/>
  <c r="W220" i="5"/>
  <c r="AN220" i="5"/>
  <c r="AN257" i="5"/>
  <c r="W257" i="5"/>
  <c r="AN182" i="5"/>
  <c r="W182" i="5"/>
  <c r="AN316" i="5"/>
  <c r="W316" i="5"/>
  <c r="AN197" i="5"/>
  <c r="W197" i="5"/>
  <c r="AN181" i="5"/>
  <c r="W181" i="5"/>
  <c r="AN298" i="5"/>
  <c r="W298" i="5"/>
  <c r="AN262" i="5"/>
  <c r="W262" i="5"/>
  <c r="AN140" i="5"/>
  <c r="W140" i="5"/>
  <c r="AN153" i="5"/>
  <c r="W153" i="5"/>
  <c r="AN85" i="5"/>
  <c r="W85" i="5"/>
  <c r="AN68" i="5"/>
  <c r="W68" i="5"/>
  <c r="AN117" i="5"/>
  <c r="W117" i="5"/>
  <c r="AN31" i="5"/>
  <c r="W31" i="5"/>
  <c r="AN59" i="5"/>
  <c r="W59" i="5"/>
  <c r="AN19" i="5"/>
  <c r="W19" i="5"/>
  <c r="AN209" i="5"/>
  <c r="W209" i="5"/>
  <c r="AN290" i="5"/>
  <c r="W290" i="5"/>
  <c r="W377" i="5"/>
  <c r="AN377" i="5"/>
  <c r="W187" i="5"/>
  <c r="AN187" i="5"/>
  <c r="AN229" i="5"/>
  <c r="W229" i="5"/>
  <c r="AN177" i="5"/>
  <c r="W177" i="5"/>
  <c r="AN326" i="5"/>
  <c r="W326" i="5"/>
  <c r="W270" i="5"/>
  <c r="AN270" i="5"/>
  <c r="AN179" i="5"/>
  <c r="W179" i="5"/>
  <c r="AN293" i="5"/>
  <c r="W293" i="5"/>
  <c r="AN185" i="5"/>
  <c r="W185" i="5"/>
  <c r="AN219" i="5"/>
  <c r="W219" i="5"/>
  <c r="W176" i="5"/>
  <c r="AN176" i="5"/>
  <c r="AN97" i="5"/>
  <c r="W97" i="5"/>
  <c r="W149" i="5"/>
  <c r="AN149" i="5"/>
  <c r="AN114" i="5"/>
  <c r="W114" i="5"/>
  <c r="AN118" i="5"/>
  <c r="W118" i="5"/>
  <c r="W163" i="5"/>
  <c r="AN163" i="5"/>
  <c r="W100" i="5"/>
  <c r="AN100" i="5"/>
  <c r="W78" i="5"/>
  <c r="AN78" i="5"/>
  <c r="W128" i="5"/>
  <c r="AN128" i="5"/>
  <c r="AN200" i="5"/>
  <c r="W200" i="5"/>
  <c r="AN192" i="5"/>
  <c r="W192" i="5"/>
  <c r="AN236" i="5"/>
  <c r="W236" i="5"/>
  <c r="AN258" i="5"/>
  <c r="W258" i="5"/>
  <c r="AN345" i="5"/>
  <c r="W345" i="5"/>
  <c r="AN328" i="5"/>
  <c r="W328" i="5"/>
  <c r="AN282" i="5"/>
  <c r="W282" i="5"/>
  <c r="W297" i="5"/>
  <c r="AN297" i="5"/>
  <c r="AN221" i="5"/>
  <c r="W221" i="5"/>
  <c r="W199" i="5"/>
  <c r="AN199" i="5"/>
  <c r="AN338" i="5"/>
  <c r="W338" i="5"/>
  <c r="AN161" i="5"/>
  <c r="W161" i="5"/>
  <c r="AN73" i="5"/>
  <c r="W73" i="5"/>
  <c r="W80" i="5"/>
  <c r="AN80" i="5"/>
  <c r="AN63" i="5"/>
  <c r="W63" i="5"/>
  <c r="AN24" i="5"/>
  <c r="W24" i="5"/>
  <c r="AN166" i="5"/>
  <c r="W166" i="5"/>
  <c r="AN46" i="5"/>
  <c r="W46" i="5"/>
  <c r="AN105" i="5"/>
  <c r="W105" i="5"/>
  <c r="W376" i="5"/>
  <c r="AN376" i="5"/>
  <c r="W335" i="5"/>
  <c r="AN335" i="5"/>
  <c r="AN396" i="5"/>
  <c r="W396" i="5"/>
  <c r="AN251" i="5"/>
  <c r="W251" i="5"/>
  <c r="AN357" i="5"/>
  <c r="W357" i="5"/>
  <c r="AN188" i="5"/>
  <c r="W188" i="5"/>
  <c r="AN391" i="5"/>
  <c r="W391" i="5"/>
  <c r="AN295" i="5"/>
  <c r="W295" i="5"/>
  <c r="W354" i="5"/>
  <c r="AN354" i="5"/>
  <c r="AN203" i="5"/>
  <c r="W203" i="5"/>
  <c r="W309" i="5"/>
  <c r="AN309" i="5"/>
  <c r="AN362" i="5"/>
  <c r="W362" i="5"/>
  <c r="W160" i="5"/>
  <c r="AN160" i="5"/>
  <c r="W55" i="5"/>
  <c r="AN55" i="5"/>
  <c r="AN112" i="5"/>
  <c r="W112" i="5"/>
  <c r="G14" i="6" l="1"/>
  <c r="F14" i="12"/>
  <c r="F253" i="12"/>
  <c r="G253" i="6"/>
  <c r="E14" i="12"/>
  <c r="F14" i="6"/>
  <c r="AC14" i="5"/>
  <c r="J14" i="6" s="1" a="1"/>
  <c r="J14" i="6" s="1"/>
  <c r="E253" i="12"/>
  <c r="F253" i="6"/>
  <c r="H55" i="12"/>
  <c r="X55" i="5" a="1"/>
  <c r="X55" i="5" s="1"/>
  <c r="H391" i="12"/>
  <c r="X391" i="5" a="1"/>
  <c r="X391" i="5" s="1"/>
  <c r="H46" i="12"/>
  <c r="X46" i="5" a="1"/>
  <c r="X46" i="5" s="1"/>
  <c r="H282" i="12"/>
  <c r="X282" i="5" a="1"/>
  <c r="X282" i="5" s="1"/>
  <c r="X328" i="5" a="1"/>
  <c r="X328" i="5" s="1"/>
  <c r="H328" i="12"/>
  <c r="H326" i="12"/>
  <c r="X326" i="5" a="1"/>
  <c r="X326" i="5" s="1"/>
  <c r="H62" i="12"/>
  <c r="X62" i="5" a="1"/>
  <c r="X62" i="5" s="1"/>
  <c r="H323" i="12"/>
  <c r="X323" i="5" a="1"/>
  <c r="X323" i="5" s="1"/>
  <c r="X210" i="5" a="1"/>
  <c r="X210" i="5" s="1"/>
  <c r="H210" i="12"/>
  <c r="X207" i="5" a="1"/>
  <c r="X207" i="5" s="1"/>
  <c r="H207" i="12"/>
  <c r="X195" i="5" a="1"/>
  <c r="X195" i="5" s="1"/>
  <c r="H195" i="12"/>
  <c r="X109" i="5" a="1"/>
  <c r="X109" i="5" s="1"/>
  <c r="H109" i="12"/>
  <c r="X252" i="5" a="1"/>
  <c r="X252" i="5" s="1"/>
  <c r="H252" i="12"/>
  <c r="H311" i="12"/>
  <c r="X311" i="5" a="1"/>
  <c r="X311" i="5" s="1"/>
  <c r="H57" i="12"/>
  <c r="X57" i="5" a="1"/>
  <c r="X57" i="5" s="1"/>
  <c r="X348" i="5" a="1"/>
  <c r="X348" i="5" s="1"/>
  <c r="H348" i="12"/>
  <c r="X88" i="5" a="1"/>
  <c r="X88" i="5" s="1"/>
  <c r="H88" i="12"/>
  <c r="X329" i="5" a="1"/>
  <c r="X329" i="5" s="1"/>
  <c r="H329" i="12"/>
  <c r="H372" i="12"/>
  <c r="X372" i="5" a="1"/>
  <c r="X372" i="5" s="1"/>
  <c r="H23" i="12"/>
  <c r="X23" i="5" a="1"/>
  <c r="X23" i="5" s="1"/>
  <c r="X198" i="5" a="1"/>
  <c r="X198" i="5" s="1"/>
  <c r="H198" i="12"/>
  <c r="H230" i="12"/>
  <c r="X230" i="5" a="1"/>
  <c r="X230" i="5" s="1"/>
  <c r="X136" i="5" a="1"/>
  <c r="X136" i="5" s="1"/>
  <c r="H136" i="12"/>
  <c r="H45" i="12"/>
  <c r="X45" i="5" a="1"/>
  <c r="X45" i="5" s="1"/>
  <c r="H164" i="12"/>
  <c r="X164" i="5" a="1"/>
  <c r="X164" i="5" s="1"/>
  <c r="H124" i="12"/>
  <c r="X124" i="5" a="1"/>
  <c r="X124" i="5" s="1"/>
  <c r="H349" i="12"/>
  <c r="X349" i="5" a="1"/>
  <c r="X349" i="5" s="1"/>
  <c r="X305" i="5" a="1"/>
  <c r="X305" i="5" s="1"/>
  <c r="H305" i="12"/>
  <c r="X134" i="5" a="1"/>
  <c r="X134" i="5" s="1"/>
  <c r="H134" i="12"/>
  <c r="X96" i="5" a="1"/>
  <c r="X96" i="5" s="1"/>
  <c r="H96" i="12"/>
  <c r="H75" i="12"/>
  <c r="X75" i="5" a="1"/>
  <c r="X75" i="5" s="1"/>
  <c r="H308" i="12"/>
  <c r="X308" i="5" a="1"/>
  <c r="X308" i="5" s="1"/>
  <c r="H191" i="12"/>
  <c r="X191" i="5" a="1"/>
  <c r="X191" i="5" s="1"/>
  <c r="X404" i="5" a="1"/>
  <c r="X404" i="5" s="1"/>
  <c r="H404" i="12"/>
  <c r="X95" i="5" a="1"/>
  <c r="X95" i="5" s="1"/>
  <c r="H95" i="12"/>
  <c r="X107" i="5" a="1"/>
  <c r="X107" i="5" s="1"/>
  <c r="H107" i="12"/>
  <c r="H150" i="12"/>
  <c r="X150" i="5" a="1"/>
  <c r="X150" i="5" s="1"/>
  <c r="X60" i="5" a="1"/>
  <c r="X60" i="5" s="1"/>
  <c r="H60" i="12"/>
  <c r="X204" i="5" a="1"/>
  <c r="X204" i="5" s="1"/>
  <c r="H204" i="12"/>
  <c r="X121" i="5" a="1"/>
  <c r="X121" i="5" s="1"/>
  <c r="H121" i="12"/>
  <c r="H309" i="12"/>
  <c r="X309" i="5" a="1"/>
  <c r="X309" i="5" s="1"/>
  <c r="H295" i="12"/>
  <c r="X295" i="5" a="1"/>
  <c r="X295" i="5" s="1"/>
  <c r="X251" i="5" a="1"/>
  <c r="X251" i="5" s="1"/>
  <c r="H251" i="12"/>
  <c r="H105" i="12"/>
  <c r="X105" i="5" a="1"/>
  <c r="X105" i="5" s="1"/>
  <c r="H63" i="12"/>
  <c r="X63" i="5" a="1"/>
  <c r="X63" i="5" s="1"/>
  <c r="X80" i="5" a="1"/>
  <c r="X80" i="5" s="1"/>
  <c r="H80" i="12"/>
  <c r="H338" i="12"/>
  <c r="X338" i="5" a="1"/>
  <c r="X338" i="5" s="1"/>
  <c r="X199" i="5" a="1"/>
  <c r="X199" i="5" s="1"/>
  <c r="H199" i="12"/>
  <c r="H236" i="12"/>
  <c r="X236" i="5" a="1"/>
  <c r="X236" i="5" s="1"/>
  <c r="H100" i="12"/>
  <c r="X100" i="5" a="1"/>
  <c r="X100" i="5" s="1"/>
  <c r="H114" i="12"/>
  <c r="X114" i="5" a="1"/>
  <c r="X114" i="5" s="1"/>
  <c r="H149" i="12"/>
  <c r="X149" i="5" a="1"/>
  <c r="X149" i="5" s="1"/>
  <c r="H219" i="12"/>
  <c r="X219" i="5" a="1"/>
  <c r="X219" i="5" s="1"/>
  <c r="H270" i="12"/>
  <c r="X270" i="5" a="1"/>
  <c r="X270" i="5" s="1"/>
  <c r="X377" i="5" a="1"/>
  <c r="X377" i="5" s="1"/>
  <c r="H377" i="12"/>
  <c r="H209" i="12"/>
  <c r="X209" i="5" a="1"/>
  <c r="X209" i="5" s="1"/>
  <c r="H19" i="12"/>
  <c r="X19" i="5" a="1"/>
  <c r="X19" i="5" s="1"/>
  <c r="H262" i="12"/>
  <c r="X262" i="5" a="1"/>
  <c r="X262" i="5" s="1"/>
  <c r="X197" i="5" a="1"/>
  <c r="X197" i="5" s="1"/>
  <c r="H197" i="12"/>
  <c r="H316" i="12"/>
  <c r="X316" i="5" a="1"/>
  <c r="X316" i="5" s="1"/>
  <c r="H201" i="12"/>
  <c r="X201" i="5" a="1"/>
  <c r="X201" i="5" s="1"/>
  <c r="X186" i="5" a="1"/>
  <c r="X186" i="5" s="1"/>
  <c r="H186" i="12"/>
  <c r="H123" i="12"/>
  <c r="X123" i="5" a="1"/>
  <c r="X123" i="5" s="1"/>
  <c r="X86" i="5" a="1"/>
  <c r="X86" i="5" s="1"/>
  <c r="H86" i="12"/>
  <c r="H174" i="12"/>
  <c r="X174" i="5" a="1"/>
  <c r="X174" i="5" s="1"/>
  <c r="H234" i="12"/>
  <c r="X234" i="5" a="1"/>
  <c r="X234" i="5" s="1"/>
  <c r="X81" i="5" a="1"/>
  <c r="X81" i="5" s="1"/>
  <c r="H81" i="12"/>
  <c r="H324" i="12"/>
  <c r="X324" i="5" a="1"/>
  <c r="X324" i="5" s="1"/>
  <c r="H394" i="12"/>
  <c r="X394" i="5" a="1"/>
  <c r="X394" i="5" s="1"/>
  <c r="H29" i="12"/>
  <c r="X29" i="5" a="1"/>
  <c r="X29" i="5" s="1"/>
  <c r="H33" i="12"/>
  <c r="X33" i="5" a="1"/>
  <c r="X33" i="5" s="1"/>
  <c r="X84" i="5" a="1"/>
  <c r="X84" i="5" s="1"/>
  <c r="H84" i="12"/>
  <c r="X99" i="5" a="1"/>
  <c r="X99" i="5" s="1"/>
  <c r="H99" i="12"/>
  <c r="H353" i="12"/>
  <c r="X353" i="5" a="1"/>
  <c r="X353" i="5" s="1"/>
  <c r="X157" i="5" a="1"/>
  <c r="X157" i="5" s="1"/>
  <c r="H157" i="12"/>
  <c r="H317" i="12"/>
  <c r="X317" i="5" a="1"/>
  <c r="X317" i="5" s="1"/>
  <c r="H378" i="12"/>
  <c r="X378" i="5" a="1"/>
  <c r="X378" i="5" s="1"/>
  <c r="H327" i="12"/>
  <c r="X327" i="5" a="1"/>
  <c r="X327" i="5" s="1"/>
  <c r="H224" i="12"/>
  <c r="X224" i="5" a="1"/>
  <c r="X224" i="5" s="1"/>
  <c r="H119" i="12"/>
  <c r="X119" i="5" a="1"/>
  <c r="X119" i="5" s="1"/>
  <c r="H142" i="12"/>
  <c r="X142" i="5" a="1"/>
  <c r="X142" i="5" s="1"/>
  <c r="H108" i="12"/>
  <c r="X108" i="5" a="1"/>
  <c r="X108" i="5" s="1"/>
  <c r="H312" i="12"/>
  <c r="X312" i="5" a="1"/>
  <c r="X312" i="5" s="1"/>
  <c r="X361" i="5" a="1"/>
  <c r="X361" i="5" s="1"/>
  <c r="H361" i="12"/>
  <c r="X304" i="5" a="1"/>
  <c r="X304" i="5" s="1"/>
  <c r="H304" i="12"/>
  <c r="X125" i="5" a="1"/>
  <c r="X125" i="5" s="1"/>
  <c r="H125" i="12"/>
  <c r="H43" i="12"/>
  <c r="X43" i="5" a="1"/>
  <c r="X43" i="5" s="1"/>
  <c r="H32" i="12"/>
  <c r="X32" i="5" a="1"/>
  <c r="X32" i="5" s="1"/>
  <c r="H332" i="12"/>
  <c r="X332" i="5" a="1"/>
  <c r="X332" i="5" s="1"/>
  <c r="H143" i="12"/>
  <c r="X143" i="5" a="1"/>
  <c r="X143" i="5" s="1"/>
  <c r="H171" i="12"/>
  <c r="X171" i="5" a="1"/>
  <c r="X171" i="5" s="1"/>
  <c r="H131" i="12"/>
  <c r="X131" i="5" a="1"/>
  <c r="X131" i="5" s="1"/>
  <c r="X83" i="5" a="1"/>
  <c r="X83" i="5" s="1"/>
  <c r="H83" i="12"/>
  <c r="X135" i="5" a="1"/>
  <c r="X135" i="5" s="1"/>
  <c r="H135" i="12"/>
  <c r="H167" i="12"/>
  <c r="X167" i="5" a="1"/>
  <c r="X167" i="5" s="1"/>
  <c r="H226" i="12"/>
  <c r="X226" i="5" a="1"/>
  <c r="X226" i="5" s="1"/>
  <c r="H237" i="12"/>
  <c r="X237" i="5" a="1"/>
  <c r="X237" i="5" s="1"/>
  <c r="H169" i="12"/>
  <c r="X169" i="5" a="1"/>
  <c r="X169" i="5" s="1"/>
  <c r="H71" i="12"/>
  <c r="X71" i="5" a="1"/>
  <c r="X71" i="5" s="1"/>
  <c r="X371" i="5" a="1"/>
  <c r="X371" i="5" s="1"/>
  <c r="H371" i="12"/>
  <c r="X279" i="5" a="1"/>
  <c r="X279" i="5" s="1"/>
  <c r="H279" i="12"/>
  <c r="H190" i="12"/>
  <c r="X190" i="5" a="1"/>
  <c r="X190" i="5" s="1"/>
  <c r="H364" i="12"/>
  <c r="X364" i="5" a="1"/>
  <c r="X364" i="5" s="1"/>
  <c r="H213" i="12"/>
  <c r="X213" i="5" a="1"/>
  <c r="X213" i="5" s="1"/>
  <c r="X398" i="5" a="1"/>
  <c r="X398" i="5" s="1"/>
  <c r="H398" i="12"/>
  <c r="H178" i="12"/>
  <c r="X178" i="5" a="1"/>
  <c r="X178" i="5" s="1"/>
  <c r="X321" i="5" a="1"/>
  <c r="X321" i="5" s="1"/>
  <c r="H321" i="12"/>
  <c r="H56" i="12"/>
  <c r="X56" i="5" a="1"/>
  <c r="X56" i="5" s="1"/>
  <c r="X240" i="5" a="1"/>
  <c r="X240" i="5" s="1"/>
  <c r="H240" i="12"/>
  <c r="X183" i="5" a="1"/>
  <c r="X183" i="5" s="1"/>
  <c r="H183" i="12"/>
  <c r="H351" i="12"/>
  <c r="X351" i="5" a="1"/>
  <c r="X351" i="5" s="1"/>
  <c r="X242" i="5" a="1"/>
  <c r="X242" i="5" s="1"/>
  <c r="H242" i="12"/>
  <c r="H173" i="12"/>
  <c r="X173" i="5" a="1"/>
  <c r="X173" i="5" s="1"/>
  <c r="X249" i="5" a="1"/>
  <c r="X249" i="5" s="1"/>
  <c r="H249" i="12"/>
  <c r="X292" i="5" a="1"/>
  <c r="X292" i="5" s="1"/>
  <c r="H292" i="12"/>
  <c r="X27" i="5" a="1"/>
  <c r="X27" i="5" s="1"/>
  <c r="H27" i="12"/>
  <c r="H175" i="12"/>
  <c r="X175" i="5" a="1"/>
  <c r="X175" i="5" s="1"/>
  <c r="H156" i="12"/>
  <c r="X156" i="5" a="1"/>
  <c r="X156" i="5" s="1"/>
  <c r="X185" i="5" a="1"/>
  <c r="X185" i="5" s="1"/>
  <c r="H185" i="12"/>
  <c r="H182" i="12"/>
  <c r="X182" i="5" a="1"/>
  <c r="X182" i="5" s="1"/>
  <c r="H318" i="12"/>
  <c r="X318" i="5" a="1"/>
  <c r="X318" i="5" s="1"/>
  <c r="H399" i="12"/>
  <c r="X399" i="5" a="1"/>
  <c r="X399" i="5" s="1"/>
  <c r="H208" i="12"/>
  <c r="X208" i="5" a="1"/>
  <c r="X208" i="5" s="1"/>
  <c r="X278" i="5" a="1"/>
  <c r="X278" i="5" s="1"/>
  <c r="H278" i="12"/>
  <c r="H263" i="12"/>
  <c r="X263" i="5" a="1"/>
  <c r="X263" i="5" s="1"/>
  <c r="H216" i="12"/>
  <c r="X216" i="5" a="1"/>
  <c r="X216" i="5" s="1"/>
  <c r="X395" i="5" a="1"/>
  <c r="X395" i="5" s="1"/>
  <c r="H395" i="12"/>
  <c r="X344" i="5" a="1"/>
  <c r="X344" i="5" s="1"/>
  <c r="H344" i="12"/>
  <c r="H215" i="12"/>
  <c r="X215" i="5" a="1"/>
  <c r="X215" i="5" s="1"/>
  <c r="H22" i="12"/>
  <c r="X22" i="5" a="1"/>
  <c r="X22" i="5" s="1"/>
  <c r="X165" i="5" a="1"/>
  <c r="X165" i="5" s="1"/>
  <c r="H165" i="12"/>
  <c r="X259" i="5" a="1"/>
  <c r="X259" i="5" s="1"/>
  <c r="H259" i="12"/>
  <c r="X294" i="5" a="1"/>
  <c r="X294" i="5" s="1"/>
  <c r="H294" i="12"/>
  <c r="H354" i="12"/>
  <c r="X354" i="5" a="1"/>
  <c r="X354" i="5" s="1"/>
  <c r="H166" i="12"/>
  <c r="X166" i="5" a="1"/>
  <c r="X166" i="5" s="1"/>
  <c r="H78" i="12"/>
  <c r="X78" i="5" a="1"/>
  <c r="X78" i="5" s="1"/>
  <c r="X118" i="5" a="1"/>
  <c r="X118" i="5" s="1"/>
  <c r="H118" i="12"/>
  <c r="H31" i="12"/>
  <c r="X31" i="5" a="1"/>
  <c r="X31" i="5" s="1"/>
  <c r="H117" i="12"/>
  <c r="X117" i="5" a="1"/>
  <c r="X117" i="5" s="1"/>
  <c r="H220" i="12"/>
  <c r="X220" i="5" a="1"/>
  <c r="X220" i="5" s="1"/>
  <c r="H113" i="12"/>
  <c r="X113" i="5" a="1"/>
  <c r="X113" i="5" s="1"/>
  <c r="X65" i="5" a="1"/>
  <c r="X65" i="5" s="1"/>
  <c r="H65" i="12"/>
  <c r="H67" i="12"/>
  <c r="X67" i="5" a="1"/>
  <c r="X67" i="5" s="1"/>
  <c r="H205" i="12"/>
  <c r="X205" i="5" a="1"/>
  <c r="X205" i="5" s="1"/>
  <c r="H212" i="12"/>
  <c r="X212" i="5" a="1"/>
  <c r="X212" i="5" s="1"/>
  <c r="X93" i="5" a="1"/>
  <c r="X93" i="5" s="1"/>
  <c r="H93" i="12"/>
  <c r="H146" i="12"/>
  <c r="X146" i="5" a="1"/>
  <c r="X146" i="5" s="1"/>
  <c r="H122" i="12"/>
  <c r="X122" i="5" a="1"/>
  <c r="X122" i="5" s="1"/>
  <c r="X320" i="5" a="1"/>
  <c r="X320" i="5" s="1"/>
  <c r="H320" i="12"/>
  <c r="X274" i="5" a="1"/>
  <c r="X274" i="5" s="1"/>
  <c r="H274" i="12"/>
  <c r="X319" i="5" a="1"/>
  <c r="X319" i="5" s="1"/>
  <c r="H319" i="12"/>
  <c r="H72" i="12"/>
  <c r="X72" i="5" a="1"/>
  <c r="X72" i="5" s="1"/>
  <c r="X58" i="5" a="1"/>
  <c r="X58" i="5" s="1"/>
  <c r="H58" i="12"/>
  <c r="H189" i="12"/>
  <c r="X189" i="5" a="1"/>
  <c r="X189" i="5" s="1"/>
  <c r="H194" i="12"/>
  <c r="X194" i="5" a="1"/>
  <c r="X194" i="5" s="1"/>
  <c r="H333" i="12"/>
  <c r="X333" i="5" a="1"/>
  <c r="X333" i="5" s="1"/>
  <c r="H253" i="12"/>
  <c r="X253" i="5" a="1"/>
  <c r="X253" i="5" s="1"/>
  <c r="H44" i="12"/>
  <c r="X44" i="5" a="1"/>
  <c r="X44" i="5" s="1"/>
  <c r="X141" i="5" a="1"/>
  <c r="X141" i="5" s="1"/>
  <c r="H141" i="12"/>
  <c r="H89" i="12"/>
  <c r="X89" i="5" a="1"/>
  <c r="X89" i="5" s="1"/>
  <c r="H106" i="12"/>
  <c r="X106" i="5" a="1"/>
  <c r="X106" i="5" s="1"/>
  <c r="H228" i="12"/>
  <c r="X228" i="5" a="1"/>
  <c r="X228" i="5" s="1"/>
  <c r="H277" i="12"/>
  <c r="X277" i="5" a="1"/>
  <c r="X277" i="5" s="1"/>
  <c r="X30" i="5" a="1"/>
  <c r="X30" i="5" s="1"/>
  <c r="H30" i="12"/>
  <c r="H98" i="12"/>
  <c r="X98" i="5" a="1"/>
  <c r="X98" i="5" s="1"/>
  <c r="H307" i="12"/>
  <c r="X307" i="5" a="1"/>
  <c r="X307" i="5" s="1"/>
  <c r="H267" i="12"/>
  <c r="X267" i="5" a="1"/>
  <c r="X267" i="5" s="1"/>
  <c r="H310" i="12"/>
  <c r="X310" i="5" a="1"/>
  <c r="X310" i="5" s="1"/>
  <c r="H103" i="12"/>
  <c r="X103" i="5" a="1"/>
  <c r="X103" i="5" s="1"/>
  <c r="H365" i="12"/>
  <c r="X365" i="5" a="1"/>
  <c r="X365" i="5" s="1"/>
  <c r="H206" i="12"/>
  <c r="X206" i="5" a="1"/>
  <c r="X206" i="5" s="1"/>
  <c r="X196" i="5" a="1"/>
  <c r="X196" i="5" s="1"/>
  <c r="H196" i="12"/>
  <c r="H217" i="12"/>
  <c r="X217" i="5" a="1"/>
  <c r="X217" i="5" s="1"/>
  <c r="H261" i="12"/>
  <c r="X261" i="5" a="1"/>
  <c r="X261" i="5" s="1"/>
  <c r="H162" i="12"/>
  <c r="X162" i="5" a="1"/>
  <c r="X162" i="5" s="1"/>
  <c r="H158" i="12"/>
  <c r="X158" i="5" a="1"/>
  <c r="X158" i="5" s="1"/>
  <c r="H250" i="12"/>
  <c r="X250" i="5" a="1"/>
  <c r="X250" i="5" s="1"/>
  <c r="H343" i="12"/>
  <c r="X343" i="5" a="1"/>
  <c r="X343" i="5" s="1"/>
  <c r="H265" i="12"/>
  <c r="X265" i="5" a="1"/>
  <c r="X265" i="5" s="1"/>
  <c r="X235" i="5" a="1"/>
  <c r="X235" i="5" s="1"/>
  <c r="H235" i="12"/>
  <c r="X245" i="5" a="1"/>
  <c r="X245" i="5" s="1"/>
  <c r="H245" i="12"/>
  <c r="H355" i="12"/>
  <c r="X355" i="5" a="1"/>
  <c r="X355" i="5" s="1"/>
  <c r="H184" i="12"/>
  <c r="X184" i="5" a="1"/>
  <c r="X184" i="5" s="1"/>
  <c r="X288" i="5" a="1"/>
  <c r="X288" i="5" s="1"/>
  <c r="H288" i="12"/>
  <c r="H300" i="12"/>
  <c r="X300" i="5" a="1"/>
  <c r="X300" i="5" s="1"/>
  <c r="X264" i="5" a="1"/>
  <c r="X264" i="5" s="1"/>
  <c r="H264" i="12"/>
  <c r="X356" i="5" a="1"/>
  <c r="X356" i="5" s="1"/>
  <c r="H356" i="12"/>
  <c r="H18" i="12"/>
  <c r="X18" i="5" a="1"/>
  <c r="X18" i="5" s="1"/>
  <c r="X248" i="5" a="1"/>
  <c r="X248" i="5" s="1"/>
  <c r="H248" i="12"/>
  <c r="H273" i="12"/>
  <c r="X273" i="5" a="1"/>
  <c r="X273" i="5" s="1"/>
  <c r="X306" i="5" a="1"/>
  <c r="X306" i="5" s="1"/>
  <c r="H306" i="12"/>
  <c r="H314" i="12"/>
  <c r="X314" i="5" a="1"/>
  <c r="X314" i="5" s="1"/>
  <c r="H126" i="12"/>
  <c r="X126" i="5" a="1"/>
  <c r="X126" i="5" s="1"/>
  <c r="H322" i="12"/>
  <c r="X322" i="5" a="1"/>
  <c r="X322" i="5" s="1"/>
  <c r="X260" i="5" a="1"/>
  <c r="X260" i="5" s="1"/>
  <c r="H260" i="12"/>
  <c r="H296" i="12"/>
  <c r="X296" i="5" a="1"/>
  <c r="X296" i="5" s="1"/>
  <c r="X53" i="5" a="1"/>
  <c r="X53" i="5" s="1"/>
  <c r="H53" i="12"/>
  <c r="X82" i="5" a="1"/>
  <c r="X82" i="5" s="1"/>
  <c r="H82" i="12"/>
  <c r="H362" i="12"/>
  <c r="X362" i="5" a="1"/>
  <c r="X362" i="5" s="1"/>
  <c r="H335" i="12"/>
  <c r="X335" i="5" a="1"/>
  <c r="X335" i="5" s="1"/>
  <c r="H192" i="12"/>
  <c r="X192" i="5" a="1"/>
  <c r="X192" i="5" s="1"/>
  <c r="H163" i="12"/>
  <c r="X163" i="5" a="1"/>
  <c r="X163" i="5" s="1"/>
  <c r="H68" i="12"/>
  <c r="X68" i="5" a="1"/>
  <c r="X68" i="5" s="1"/>
  <c r="H85" i="12"/>
  <c r="X85" i="5" a="1"/>
  <c r="X85" i="5" s="1"/>
  <c r="H397" i="12"/>
  <c r="X397" i="5" a="1"/>
  <c r="X397" i="5" s="1"/>
  <c r="H363" i="12"/>
  <c r="X363" i="5" a="1"/>
  <c r="X363" i="5" s="1"/>
  <c r="X104" i="5" a="1"/>
  <c r="X104" i="5" s="1"/>
  <c r="H104" i="12"/>
  <c r="X42" i="5" a="1"/>
  <c r="X42" i="5" s="1"/>
  <c r="H42" i="12"/>
  <c r="X87" i="5" a="1"/>
  <c r="X87" i="5" s="1"/>
  <c r="H87" i="12"/>
  <c r="X246" i="5" a="1"/>
  <c r="X246" i="5" s="1"/>
  <c r="H246" i="12"/>
  <c r="H339" i="12"/>
  <c r="X339" i="5" a="1"/>
  <c r="X339" i="5" s="1"/>
  <c r="X159" i="5" a="1"/>
  <c r="X159" i="5" s="1"/>
  <c r="H159" i="12"/>
  <c r="X276" i="5" a="1"/>
  <c r="X276" i="5" s="1"/>
  <c r="H276" i="12"/>
  <c r="X214" i="5" a="1"/>
  <c r="X214" i="5" s="1"/>
  <c r="H214" i="12"/>
  <c r="H334" i="12"/>
  <c r="X334" i="5" a="1"/>
  <c r="X334" i="5" s="1"/>
  <c r="H374" i="12"/>
  <c r="X374" i="5" a="1"/>
  <c r="X374" i="5" s="1"/>
  <c r="X110" i="5" a="1"/>
  <c r="X110" i="5" s="1"/>
  <c r="H110" i="12"/>
  <c r="X138" i="5" a="1"/>
  <c r="X138" i="5" s="1"/>
  <c r="H138" i="12"/>
  <c r="H366" i="12"/>
  <c r="X366" i="5" a="1"/>
  <c r="X366" i="5" s="1"/>
  <c r="X291" i="5" a="1"/>
  <c r="X291" i="5" s="1"/>
  <c r="H291" i="12"/>
  <c r="H285" i="12"/>
  <c r="X285" i="5" a="1"/>
  <c r="X285" i="5" s="1"/>
  <c r="X203" i="5" a="1"/>
  <c r="X203" i="5" s="1"/>
  <c r="H203" i="12"/>
  <c r="H357" i="12"/>
  <c r="X357" i="5" a="1"/>
  <c r="X357" i="5" s="1"/>
  <c r="H24" i="12"/>
  <c r="X24" i="5" a="1"/>
  <c r="X24" i="5" s="1"/>
  <c r="H73" i="12"/>
  <c r="X73" i="5" a="1"/>
  <c r="X73" i="5" s="1"/>
  <c r="H161" i="12"/>
  <c r="X161" i="5" a="1"/>
  <c r="X161" i="5" s="1"/>
  <c r="H221" i="12"/>
  <c r="X221" i="5" a="1"/>
  <c r="X221" i="5" s="1"/>
  <c r="H258" i="12"/>
  <c r="X258" i="5" a="1"/>
  <c r="X258" i="5" s="1"/>
  <c r="H200" i="12"/>
  <c r="X200" i="5" a="1"/>
  <c r="X200" i="5" s="1"/>
  <c r="H179" i="12"/>
  <c r="X179" i="5" a="1"/>
  <c r="X179" i="5" s="1"/>
  <c r="H229" i="12"/>
  <c r="X229" i="5" a="1"/>
  <c r="X229" i="5" s="1"/>
  <c r="H187" i="12"/>
  <c r="X187" i="5" a="1"/>
  <c r="X187" i="5" s="1"/>
  <c r="H290" i="12"/>
  <c r="X290" i="5" a="1"/>
  <c r="X290" i="5" s="1"/>
  <c r="H153" i="12"/>
  <c r="X153" i="5" a="1"/>
  <c r="X153" i="5" s="1"/>
  <c r="X140" i="5" a="1"/>
  <c r="X140" i="5" s="1"/>
  <c r="H140" i="12"/>
  <c r="H257" i="12"/>
  <c r="X257" i="5" a="1"/>
  <c r="X257" i="5" s="1"/>
  <c r="H77" i="12"/>
  <c r="X77" i="5" a="1"/>
  <c r="X77" i="5" s="1"/>
  <c r="H112" i="12"/>
  <c r="X112" i="5" a="1"/>
  <c r="X112" i="5" s="1"/>
  <c r="X160" i="5" a="1"/>
  <c r="X160" i="5" s="1"/>
  <c r="H160" i="12"/>
  <c r="X188" i="5" a="1"/>
  <c r="X188" i="5" s="1"/>
  <c r="H188" i="12"/>
  <c r="H396" i="12"/>
  <c r="X396" i="5" a="1"/>
  <c r="X396" i="5" s="1"/>
  <c r="H376" i="12"/>
  <c r="X376" i="5" a="1"/>
  <c r="X376" i="5" s="1"/>
  <c r="H297" i="12"/>
  <c r="X297" i="5" a="1"/>
  <c r="X297" i="5" s="1"/>
  <c r="X345" i="5" a="1"/>
  <c r="X345" i="5" s="1"/>
  <c r="H345" i="12"/>
  <c r="H128" i="12"/>
  <c r="X128" i="5" a="1"/>
  <c r="X128" i="5" s="1"/>
  <c r="X97" i="5" a="1"/>
  <c r="X97" i="5" s="1"/>
  <c r="H97" i="12"/>
  <c r="H176" i="12"/>
  <c r="X176" i="5" a="1"/>
  <c r="X176" i="5" s="1"/>
  <c r="H293" i="12"/>
  <c r="X293" i="5" a="1"/>
  <c r="X293" i="5" s="1"/>
  <c r="X177" i="5" a="1"/>
  <c r="X177" i="5" s="1"/>
  <c r="H177" i="12"/>
  <c r="H59" i="12"/>
  <c r="X59" i="5" a="1"/>
  <c r="X59" i="5" s="1"/>
  <c r="H298" i="12"/>
  <c r="X298" i="5" a="1"/>
  <c r="X298" i="5" s="1"/>
  <c r="H181" i="12"/>
  <c r="X181" i="5" a="1"/>
  <c r="X181" i="5" s="1"/>
  <c r="H154" i="12"/>
  <c r="X154" i="5" a="1"/>
  <c r="X154" i="5" s="1"/>
  <c r="X38" i="5" a="1"/>
  <c r="X38" i="5" s="1"/>
  <c r="H38" i="12"/>
  <c r="H127" i="12"/>
  <c r="X127" i="5" a="1"/>
  <c r="X127" i="5" s="1"/>
  <c r="H76" i="12"/>
  <c r="X76" i="5" a="1"/>
  <c r="X76" i="5" s="1"/>
  <c r="H180" i="12"/>
  <c r="X180" i="5" a="1"/>
  <c r="X180" i="5" s="1"/>
  <c r="H280" i="12"/>
  <c r="X280" i="5" a="1"/>
  <c r="X280" i="5" s="1"/>
  <c r="X283" i="5" a="1"/>
  <c r="X283" i="5" s="1"/>
  <c r="H283" i="12"/>
  <c r="H193" i="12"/>
  <c r="X193" i="5" a="1"/>
  <c r="X193" i="5" s="1"/>
  <c r="H152" i="12"/>
  <c r="X152" i="5" a="1"/>
  <c r="X152" i="5" s="1"/>
  <c r="X202" i="5" a="1"/>
  <c r="X202" i="5" s="1"/>
  <c r="H202" i="12"/>
  <c r="X347" i="5" a="1"/>
  <c r="X347" i="5" s="1"/>
  <c r="H347" i="12"/>
  <c r="H266" i="12"/>
  <c r="X266" i="5" a="1"/>
  <c r="X266" i="5" s="1"/>
  <c r="H352" i="12"/>
  <c r="X352" i="5" a="1"/>
  <c r="X352" i="5" s="1"/>
  <c r="H241" i="12"/>
  <c r="X241" i="5" a="1"/>
  <c r="X241" i="5" s="1"/>
  <c r="H313" i="12"/>
  <c r="X313" i="5" a="1"/>
  <c r="X313" i="5" s="1"/>
  <c r="H74" i="12"/>
  <c r="X74" i="5" a="1"/>
  <c r="X74" i="5" s="1"/>
  <c r="H39" i="12"/>
  <c r="X39" i="5" a="1"/>
  <c r="X39" i="5" s="1"/>
  <c r="X340" i="5" a="1"/>
  <c r="X340" i="5" s="1"/>
  <c r="H340" i="12"/>
  <c r="H375" i="12"/>
  <c r="X375" i="5" a="1"/>
  <c r="X375" i="5" s="1"/>
  <c r="H227" i="12"/>
  <c r="X227" i="5" a="1"/>
  <c r="X227" i="5" s="1"/>
  <c r="H284" i="12"/>
  <c r="X284" i="5" a="1"/>
  <c r="X284" i="5" s="1"/>
  <c r="X70" i="5" a="1"/>
  <c r="X70" i="5" s="1"/>
  <c r="H70" i="12"/>
  <c r="H61" i="12"/>
  <c r="X61" i="5" a="1"/>
  <c r="X61" i="5" s="1"/>
  <c r="X369" i="5" a="1"/>
  <c r="X369" i="5" s="1"/>
  <c r="H369" i="12"/>
  <c r="X393" i="5" a="1"/>
  <c r="X393" i="5" s="1"/>
  <c r="H393" i="12"/>
  <c r="X281" i="5" a="1"/>
  <c r="X281" i="5" s="1"/>
  <c r="H281" i="12"/>
  <c r="X170" i="5" a="1"/>
  <c r="X170" i="5" s="1"/>
  <c r="H170" i="12"/>
  <c r="H139" i="12"/>
  <c r="X139" i="5" a="1"/>
  <c r="X139" i="5" s="1"/>
  <c r="H336" i="12"/>
  <c r="X336" i="5" a="1"/>
  <c r="X336" i="5" s="1"/>
  <c r="X360" i="5" a="1"/>
  <c r="X360" i="5" s="1"/>
  <c r="H360" i="12"/>
  <c r="H256" i="12"/>
  <c r="X256" i="5" a="1"/>
  <c r="X256" i="5" s="1"/>
  <c r="H331" i="12"/>
  <c r="X331" i="5" a="1"/>
  <c r="X331" i="5" s="1"/>
  <c r="X315" i="5" a="1"/>
  <c r="X315" i="5" s="1"/>
  <c r="H315" i="12"/>
  <c r="H368" i="12"/>
  <c r="X368" i="5" a="1"/>
  <c r="X368" i="5" s="1"/>
  <c r="H337" i="12"/>
  <c r="X337" i="5" a="1"/>
  <c r="X337" i="5" s="1"/>
  <c r="H102" i="12"/>
  <c r="X102" i="5" a="1"/>
  <c r="X102" i="5" s="1"/>
  <c r="H79" i="12"/>
  <c r="X79" i="5" a="1"/>
  <c r="X79" i="5" s="1"/>
  <c r="X299" i="5" a="1"/>
  <c r="X299" i="5" s="1"/>
  <c r="H299" i="12"/>
  <c r="H358" i="12"/>
  <c r="X358" i="5" a="1"/>
  <c r="X358" i="5" s="1"/>
  <c r="X367" i="5" a="1"/>
  <c r="X367" i="5" s="1"/>
  <c r="H367" i="12"/>
  <c r="H64" i="12"/>
  <c r="X64" i="5" a="1"/>
  <c r="X64" i="5" s="1"/>
  <c r="H25" i="12"/>
  <c r="X25" i="5" a="1"/>
  <c r="X25" i="5" s="1"/>
  <c r="X330" i="5" a="1"/>
  <c r="X330" i="5" s="1"/>
  <c r="H330" i="12"/>
  <c r="H151" i="12"/>
  <c r="X151" i="5" a="1"/>
  <c r="X151" i="5" s="1"/>
  <c r="H20" i="12"/>
  <c r="X20" i="5" a="1"/>
  <c r="X20" i="5" s="1"/>
  <c r="H341" i="12"/>
  <c r="X341" i="5" a="1"/>
  <c r="X341" i="5" s="1"/>
  <c r="H211" i="12"/>
  <c r="X211" i="5" a="1"/>
  <c r="X211" i="5" s="1"/>
  <c r="H66" i="12"/>
  <c r="X66" i="5" a="1"/>
  <c r="X66" i="5" s="1"/>
  <c r="H101" i="12"/>
  <c r="X101" i="5" a="1"/>
  <c r="X101" i="5" s="1"/>
  <c r="X145" i="5" a="1"/>
  <c r="X145" i="5" s="1"/>
  <c r="H145" i="12"/>
  <c r="H116" i="12"/>
  <c r="X116" i="5" a="1"/>
  <c r="X116" i="5" s="1"/>
  <c r="H137" i="12"/>
  <c r="X137" i="5" a="1"/>
  <c r="X137" i="5" s="1"/>
  <c r="H172" i="12"/>
  <c r="X172" i="5" a="1"/>
  <c r="X172" i="5" s="1"/>
  <c r="H223" i="12"/>
  <c r="X223" i="5" a="1"/>
  <c r="X223" i="5" s="1"/>
  <c r="X359" i="5" a="1"/>
  <c r="X359" i="5" s="1"/>
  <c r="H359" i="12"/>
  <c r="H144" i="12"/>
  <c r="X144" i="5" a="1"/>
  <c r="X144" i="5" s="1"/>
  <c r="H373" i="12"/>
  <c r="X373" i="5" a="1"/>
  <c r="X373" i="5" s="1"/>
  <c r="H350" i="12"/>
  <c r="X350" i="5" a="1"/>
  <c r="X350" i="5" s="1"/>
  <c r="X222" i="5" a="1"/>
  <c r="X222" i="5" s="1"/>
  <c r="H222" i="12"/>
  <c r="H120" i="12"/>
  <c r="X120" i="5" a="1"/>
  <c r="X120" i="5" s="1"/>
  <c r="AG48" i="5"/>
  <c r="AG255" i="5"/>
  <c r="AG402" i="5"/>
  <c r="AG133" i="5"/>
  <c r="AG389" i="5"/>
  <c r="AG385" i="5"/>
  <c r="AG382" i="5"/>
  <c r="AG302" i="5"/>
  <c r="AG384" i="5"/>
  <c r="AG386" i="5"/>
  <c r="AG69" i="5"/>
  <c r="AG92" i="5"/>
  <c r="AG132" i="5"/>
  <c r="AG49" i="5"/>
  <c r="AG301" i="5"/>
  <c r="AG271" i="5"/>
  <c r="AG90" i="5"/>
  <c r="AG231" i="5"/>
  <c r="AG35" i="5"/>
  <c r="AG94" i="5"/>
  <c r="AG388" i="5"/>
  <c r="AG390" i="5"/>
  <c r="AG401" i="5"/>
  <c r="AG381" i="5"/>
  <c r="AG243" i="5"/>
  <c r="AG50" i="5"/>
  <c r="AG51" i="5"/>
  <c r="AG91" i="5"/>
  <c r="AG244" i="5"/>
  <c r="AG383" i="5"/>
  <c r="AG387" i="5"/>
  <c r="AM284" i="5" l="1"/>
  <c r="I284" i="12"/>
  <c r="L284" i="5"/>
  <c r="Z284" i="5"/>
  <c r="AM127" i="5"/>
  <c r="I127" i="12"/>
  <c r="L127" i="5"/>
  <c r="Z127" i="5"/>
  <c r="L128" i="5"/>
  <c r="Z128" i="5"/>
  <c r="AM128" i="5"/>
  <c r="I128" i="12"/>
  <c r="AM77" i="5"/>
  <c r="Z77" i="5"/>
  <c r="I77" i="12"/>
  <c r="L77" i="5"/>
  <c r="L200" i="5"/>
  <c r="Z200" i="5"/>
  <c r="I200" i="12"/>
  <c r="AM200" i="5"/>
  <c r="L366" i="5"/>
  <c r="I366" i="12"/>
  <c r="AM366" i="5"/>
  <c r="Z366" i="5"/>
  <c r="L68" i="5"/>
  <c r="Z68" i="5"/>
  <c r="I68" i="12"/>
  <c r="AM68" i="5"/>
  <c r="L162" i="5"/>
  <c r="Z162" i="5"/>
  <c r="AM162" i="5"/>
  <c r="I162" i="12"/>
  <c r="L267" i="5"/>
  <c r="Z267" i="5"/>
  <c r="I267" i="12"/>
  <c r="AM267" i="5"/>
  <c r="L106" i="5"/>
  <c r="I106" i="12"/>
  <c r="Z106" i="5"/>
  <c r="AM106" i="5"/>
  <c r="L212" i="5"/>
  <c r="Z212" i="5"/>
  <c r="AM212" i="5"/>
  <c r="I212" i="12"/>
  <c r="I167" i="12"/>
  <c r="L167" i="5"/>
  <c r="Z167" i="5"/>
  <c r="AM167" i="5"/>
  <c r="Z33" i="5"/>
  <c r="L33" i="5"/>
  <c r="I33" i="12"/>
  <c r="AM33" i="5"/>
  <c r="L219" i="5"/>
  <c r="I219" i="12"/>
  <c r="X218" i="5" a="1"/>
  <c r="X218" i="5" s="1"/>
  <c r="Z219" i="5"/>
  <c r="I219" i="5"/>
  <c r="I220" i="5" s="1"/>
  <c r="I221" i="5" s="1"/>
  <c r="I222" i="5" s="1"/>
  <c r="I223" i="5" s="1"/>
  <c r="I224" i="5" s="1"/>
  <c r="AM219" i="5"/>
  <c r="AM309" i="5"/>
  <c r="Z309" i="5"/>
  <c r="I309" i="12"/>
  <c r="L309" i="5"/>
  <c r="L349" i="5"/>
  <c r="AM349" i="5"/>
  <c r="Z349" i="5"/>
  <c r="I349" i="12"/>
  <c r="I55" i="5"/>
  <c r="I56" i="5" s="1"/>
  <c r="I57" i="5" s="1"/>
  <c r="I58" i="5" s="1"/>
  <c r="I59" i="5" s="1"/>
  <c r="I60" i="5" s="1"/>
  <c r="I61" i="5" s="1"/>
  <c r="I62" i="5" s="1"/>
  <c r="I63" i="5" s="1"/>
  <c r="I64" i="5" s="1"/>
  <c r="I65" i="5" s="1"/>
  <c r="I66" i="5" s="1"/>
  <c r="I67" i="5" s="1"/>
  <c r="I68" i="5" s="1"/>
  <c r="L55" i="5"/>
  <c r="Z55" i="5"/>
  <c r="AM55" i="5"/>
  <c r="I55" i="12"/>
  <c r="AM330" i="5"/>
  <c r="I330" i="12"/>
  <c r="Z330" i="5"/>
  <c r="L330" i="5"/>
  <c r="L39" i="5"/>
  <c r="AM39" i="5"/>
  <c r="Z39" i="5"/>
  <c r="I39" i="12"/>
  <c r="AM152" i="5"/>
  <c r="Z152" i="5"/>
  <c r="I152" i="12"/>
  <c r="L152" i="5"/>
  <c r="AM221" i="5"/>
  <c r="L221" i="5"/>
  <c r="Z221" i="5"/>
  <c r="I221" i="12"/>
  <c r="L113" i="5"/>
  <c r="AM113" i="5"/>
  <c r="Z113" i="5"/>
  <c r="I113" i="12"/>
  <c r="L208" i="5"/>
  <c r="Z208" i="5"/>
  <c r="I208" i="12"/>
  <c r="AM208" i="5"/>
  <c r="L173" i="5"/>
  <c r="AM173" i="5"/>
  <c r="I173" i="12"/>
  <c r="Z173" i="5"/>
  <c r="Z237" i="5"/>
  <c r="I237" i="12"/>
  <c r="AM237" i="5"/>
  <c r="L237" i="5"/>
  <c r="Z332" i="5"/>
  <c r="AM332" i="5"/>
  <c r="I332" i="12"/>
  <c r="L332" i="5"/>
  <c r="L312" i="5"/>
  <c r="Z312" i="5"/>
  <c r="I312" i="12"/>
  <c r="AM312" i="5"/>
  <c r="L394" i="5"/>
  <c r="AM394" i="5"/>
  <c r="Z394" i="5"/>
  <c r="I394" i="12"/>
  <c r="I201" i="12"/>
  <c r="AM201" i="5"/>
  <c r="L201" i="5"/>
  <c r="Z201" i="5"/>
  <c r="Z114" i="5"/>
  <c r="I114" i="12"/>
  <c r="L114" i="5"/>
  <c r="AM114" i="5"/>
  <c r="Z75" i="5"/>
  <c r="I75" i="12"/>
  <c r="L75" i="5"/>
  <c r="AM75" i="5"/>
  <c r="Z57" i="5"/>
  <c r="L57" i="5"/>
  <c r="AM57" i="5"/>
  <c r="I57" i="12"/>
  <c r="AM120" i="5"/>
  <c r="L120" i="5"/>
  <c r="Z120" i="5"/>
  <c r="I120" i="12"/>
  <c r="AM350" i="5"/>
  <c r="Z350" i="5"/>
  <c r="I350" i="12"/>
  <c r="L350" i="5"/>
  <c r="AM144" i="5"/>
  <c r="L144" i="5"/>
  <c r="Z144" i="5"/>
  <c r="I144" i="12"/>
  <c r="L223" i="5"/>
  <c r="Z223" i="5"/>
  <c r="AM223" i="5"/>
  <c r="I223" i="12"/>
  <c r="AM137" i="5"/>
  <c r="L137" i="5"/>
  <c r="I137" i="12"/>
  <c r="Z137" i="5"/>
  <c r="I66" i="12"/>
  <c r="Z66" i="5"/>
  <c r="AM66" i="5"/>
  <c r="L66" i="5"/>
  <c r="I341" i="12"/>
  <c r="L341" i="5"/>
  <c r="AM341" i="5"/>
  <c r="Z341" i="5"/>
  <c r="Z151" i="5"/>
  <c r="I151" i="12"/>
  <c r="L151" i="5"/>
  <c r="AM151" i="5"/>
  <c r="I25" i="12"/>
  <c r="L25" i="5"/>
  <c r="AM25" i="5"/>
  <c r="Z25" i="5"/>
  <c r="L102" i="5"/>
  <c r="Z102" i="5"/>
  <c r="I102" i="12"/>
  <c r="AM102" i="5"/>
  <c r="AM368" i="5"/>
  <c r="Z368" i="5"/>
  <c r="L368" i="5"/>
  <c r="I368" i="12"/>
  <c r="AM331" i="5"/>
  <c r="Z331" i="5"/>
  <c r="I331" i="12"/>
  <c r="L331" i="5"/>
  <c r="L139" i="5"/>
  <c r="Z139" i="5"/>
  <c r="I139" i="12"/>
  <c r="AM139" i="5"/>
  <c r="Z393" i="5"/>
  <c r="I393" i="5"/>
  <c r="I394" i="5" s="1"/>
  <c r="I395" i="5" s="1"/>
  <c r="I396" i="5" s="1"/>
  <c r="I397" i="5" s="1"/>
  <c r="I398" i="5" s="1"/>
  <c r="I399" i="5" s="1"/>
  <c r="X392" i="5" a="1"/>
  <c r="X392" i="5" s="1"/>
  <c r="AM393" i="5"/>
  <c r="I393" i="12"/>
  <c r="L393" i="5"/>
  <c r="I347" i="12"/>
  <c r="AM347" i="5"/>
  <c r="L347" i="5"/>
  <c r="I347" i="5"/>
  <c r="I348" i="5" s="1"/>
  <c r="I349" i="5" s="1"/>
  <c r="I350" i="5" s="1"/>
  <c r="I351" i="5" s="1"/>
  <c r="I352" i="5" s="1"/>
  <c r="I353" i="5" s="1"/>
  <c r="I354" i="5" s="1"/>
  <c r="I355" i="5" s="1"/>
  <c r="I356" i="5" s="1"/>
  <c r="I357" i="5" s="1"/>
  <c r="I358" i="5" s="1"/>
  <c r="I359" i="5" s="1"/>
  <c r="I360" i="5" s="1"/>
  <c r="I361" i="5" s="1"/>
  <c r="I362" i="5" s="1"/>
  <c r="I363" i="5" s="1"/>
  <c r="I364" i="5" s="1"/>
  <c r="I365" i="5" s="1"/>
  <c r="I366" i="5" s="1"/>
  <c r="I367" i="5" s="1"/>
  <c r="I368" i="5" s="1"/>
  <c r="I369" i="5" s="1"/>
  <c r="X346" i="5" a="1"/>
  <c r="X346" i="5" s="1"/>
  <c r="Z347" i="5"/>
  <c r="L283" i="5"/>
  <c r="Z283" i="5"/>
  <c r="I283" i="12"/>
  <c r="AM283" i="5"/>
  <c r="AM177" i="5"/>
  <c r="I177" i="12"/>
  <c r="L177" i="5"/>
  <c r="Z177" i="5"/>
  <c r="Z160" i="5"/>
  <c r="I160" i="12"/>
  <c r="AM160" i="5"/>
  <c r="L160" i="5"/>
  <c r="L140" i="5"/>
  <c r="Z140" i="5"/>
  <c r="AM140" i="5"/>
  <c r="I140" i="12"/>
  <c r="L110" i="5"/>
  <c r="Z110" i="5"/>
  <c r="AM110" i="5"/>
  <c r="I110" i="12"/>
  <c r="AM276" i="5"/>
  <c r="I276" i="12"/>
  <c r="I276" i="5"/>
  <c r="I277" i="5" s="1"/>
  <c r="I278" i="5" s="1"/>
  <c r="I279" i="5" s="1"/>
  <c r="I280" i="5" s="1"/>
  <c r="I281" i="5" s="1"/>
  <c r="I282" i="5" s="1"/>
  <c r="I283" i="5" s="1"/>
  <c r="I284" i="5" s="1"/>
  <c r="I285" i="5" s="1"/>
  <c r="Z276" i="5"/>
  <c r="X275" i="5" a="1"/>
  <c r="X275" i="5" s="1"/>
  <c r="L276" i="5"/>
  <c r="AM87" i="5"/>
  <c r="L87" i="5"/>
  <c r="I87" i="12"/>
  <c r="Z87" i="5"/>
  <c r="L104" i="5"/>
  <c r="Z104" i="5"/>
  <c r="I104" i="12"/>
  <c r="AM104" i="5"/>
  <c r="X52" i="5" a="1"/>
  <c r="X52" i="5" s="1"/>
  <c r="I53" i="5"/>
  <c r="I53" i="12"/>
  <c r="Z53" i="5"/>
  <c r="AM53" i="5"/>
  <c r="L53" i="5"/>
  <c r="AM260" i="5"/>
  <c r="Z260" i="5"/>
  <c r="I260" i="12"/>
  <c r="L260" i="5"/>
  <c r="I306" i="12"/>
  <c r="AM306" i="5"/>
  <c r="Z306" i="5"/>
  <c r="L306" i="5"/>
  <c r="I248" i="12"/>
  <c r="Z248" i="5"/>
  <c r="I248" i="5"/>
  <c r="I249" i="5" s="1"/>
  <c r="I250" i="5" s="1"/>
  <c r="I251" i="5" s="1"/>
  <c r="I252" i="5" s="1"/>
  <c r="I253" i="5" s="1"/>
  <c r="L248" i="5"/>
  <c r="AM248" i="5"/>
  <c r="X247" i="5" a="1"/>
  <c r="X247" i="5" s="1"/>
  <c r="L356" i="5"/>
  <c r="Z356" i="5"/>
  <c r="I356" i="12"/>
  <c r="AM356" i="5"/>
  <c r="Z245" i="5"/>
  <c r="L245" i="5"/>
  <c r="I245" i="12"/>
  <c r="AM245" i="5"/>
  <c r="L141" i="5"/>
  <c r="Z141" i="5"/>
  <c r="I141" i="12"/>
  <c r="AM141" i="5"/>
  <c r="L58" i="5"/>
  <c r="AM58" i="5"/>
  <c r="Z58" i="5"/>
  <c r="I58" i="12"/>
  <c r="I319" i="12"/>
  <c r="L319" i="5"/>
  <c r="AM319" i="5"/>
  <c r="Z319" i="5"/>
  <c r="L320" i="5"/>
  <c r="AM320" i="5"/>
  <c r="Z320" i="5"/>
  <c r="I320" i="12"/>
  <c r="L118" i="5"/>
  <c r="I118" i="12"/>
  <c r="AM118" i="5"/>
  <c r="Z118" i="5"/>
  <c r="Z294" i="5"/>
  <c r="AM294" i="5"/>
  <c r="L294" i="5"/>
  <c r="I294" i="12"/>
  <c r="Z165" i="5"/>
  <c r="L165" i="5"/>
  <c r="I165" i="12"/>
  <c r="AM165" i="5"/>
  <c r="I395" i="12"/>
  <c r="L395" i="5"/>
  <c r="AM395" i="5"/>
  <c r="Z395" i="5"/>
  <c r="I185" i="12"/>
  <c r="L185" i="5"/>
  <c r="Z185" i="5"/>
  <c r="AM185" i="5"/>
  <c r="Z292" i="5"/>
  <c r="AM292" i="5"/>
  <c r="I292" i="12"/>
  <c r="L292" i="5"/>
  <c r="Z240" i="5"/>
  <c r="L240" i="5"/>
  <c r="AM240" i="5"/>
  <c r="I240" i="12"/>
  <c r="I321" i="12"/>
  <c r="Z321" i="5"/>
  <c r="L321" i="5"/>
  <c r="AM321" i="5"/>
  <c r="Z398" i="5"/>
  <c r="I398" i="12"/>
  <c r="AM398" i="5"/>
  <c r="L398" i="5"/>
  <c r="Z279" i="5"/>
  <c r="I279" i="12"/>
  <c r="AM279" i="5"/>
  <c r="L279" i="5"/>
  <c r="I83" i="12"/>
  <c r="L83" i="5"/>
  <c r="Z83" i="5"/>
  <c r="AM83" i="5"/>
  <c r="I304" i="12"/>
  <c r="Z304" i="5"/>
  <c r="X303" i="5" a="1"/>
  <c r="X303" i="5" s="1"/>
  <c r="I304" i="5"/>
  <c r="I305" i="5" s="1"/>
  <c r="I306" i="5" s="1"/>
  <c r="I307" i="5" s="1"/>
  <c r="I308" i="5" s="1"/>
  <c r="I309" i="5" s="1"/>
  <c r="I310" i="5" s="1"/>
  <c r="I311" i="5" s="1"/>
  <c r="I312" i="5" s="1"/>
  <c r="I313" i="5" s="1"/>
  <c r="I314" i="5" s="1"/>
  <c r="I315" i="5" s="1"/>
  <c r="I316" i="5" s="1"/>
  <c r="I317" i="5" s="1"/>
  <c r="I318" i="5" s="1"/>
  <c r="I319" i="5" s="1"/>
  <c r="I320" i="5" s="1"/>
  <c r="I321" i="5" s="1"/>
  <c r="I322" i="5" s="1"/>
  <c r="I323" i="5" s="1"/>
  <c r="I324" i="5" s="1"/>
  <c r="AM304" i="5"/>
  <c r="L304" i="5"/>
  <c r="L157" i="5"/>
  <c r="AM157" i="5"/>
  <c r="Z157" i="5"/>
  <c r="I157" i="12"/>
  <c r="Z99" i="5"/>
  <c r="L99" i="5"/>
  <c r="AM99" i="5"/>
  <c r="I99" i="12"/>
  <c r="Z81" i="5"/>
  <c r="AM81" i="5"/>
  <c r="L81" i="5"/>
  <c r="I81" i="12"/>
  <c r="AM197" i="5"/>
  <c r="L197" i="5"/>
  <c r="Z197" i="5"/>
  <c r="I197" i="12"/>
  <c r="Z377" i="5"/>
  <c r="I377" i="12"/>
  <c r="L377" i="5"/>
  <c r="AM377" i="5"/>
  <c r="L251" i="5"/>
  <c r="AM251" i="5"/>
  <c r="I251" i="12"/>
  <c r="Z251" i="5"/>
  <c r="L204" i="5"/>
  <c r="AM204" i="5"/>
  <c r="I204" i="12"/>
  <c r="Z204" i="5"/>
  <c r="Z95" i="5"/>
  <c r="L95" i="5"/>
  <c r="AM95" i="5"/>
  <c r="I95" i="12"/>
  <c r="L134" i="5"/>
  <c r="AM134" i="5"/>
  <c r="Z134" i="5"/>
  <c r="I134" i="12"/>
  <c r="L136" i="5"/>
  <c r="Z136" i="5"/>
  <c r="AM136" i="5"/>
  <c r="I136" i="12"/>
  <c r="L198" i="5"/>
  <c r="I198" i="12"/>
  <c r="Z198" i="5"/>
  <c r="AM198" i="5"/>
  <c r="I88" i="12"/>
  <c r="AM88" i="5"/>
  <c r="L88" i="5"/>
  <c r="Z88" i="5"/>
  <c r="I252" i="12"/>
  <c r="L252" i="5"/>
  <c r="AM252" i="5"/>
  <c r="Z252" i="5"/>
  <c r="AM195" i="5"/>
  <c r="Z195" i="5"/>
  <c r="L195" i="5"/>
  <c r="I195" i="12"/>
  <c r="Z210" i="5"/>
  <c r="AM210" i="5"/>
  <c r="I210" i="12"/>
  <c r="L210" i="5"/>
  <c r="Z328" i="5"/>
  <c r="L328" i="5"/>
  <c r="I328" i="12"/>
  <c r="AM328" i="5"/>
  <c r="AM222" i="5"/>
  <c r="Z222" i="5"/>
  <c r="I222" i="12"/>
  <c r="L222" i="5"/>
  <c r="L61" i="5"/>
  <c r="I61" i="12"/>
  <c r="Z61" i="5"/>
  <c r="AM61" i="5"/>
  <c r="I313" i="12"/>
  <c r="Z313" i="5"/>
  <c r="L313" i="5"/>
  <c r="AM313" i="5"/>
  <c r="I154" i="12"/>
  <c r="AM154" i="5"/>
  <c r="L154" i="5"/>
  <c r="Z154" i="5"/>
  <c r="I297" i="12"/>
  <c r="Z297" i="5"/>
  <c r="L297" i="5"/>
  <c r="AM297" i="5"/>
  <c r="Z229" i="5"/>
  <c r="AM229" i="5"/>
  <c r="I229" i="12"/>
  <c r="L229" i="5"/>
  <c r="AM357" i="5"/>
  <c r="Z357" i="5"/>
  <c r="I357" i="12"/>
  <c r="L357" i="5"/>
  <c r="Z192" i="5"/>
  <c r="I192" i="12"/>
  <c r="AM192" i="5"/>
  <c r="L192" i="5"/>
  <c r="L300" i="5"/>
  <c r="I300" i="12"/>
  <c r="AM300" i="5"/>
  <c r="Z300" i="5"/>
  <c r="I265" i="12"/>
  <c r="AM265" i="5"/>
  <c r="Z265" i="5"/>
  <c r="L265" i="5"/>
  <c r="I217" i="12"/>
  <c r="L217" i="5"/>
  <c r="AM217" i="5"/>
  <c r="Z217" i="5"/>
  <c r="I103" i="12"/>
  <c r="AM103" i="5"/>
  <c r="L103" i="5"/>
  <c r="Z103" i="5"/>
  <c r="I277" i="12"/>
  <c r="L277" i="5"/>
  <c r="AM277" i="5"/>
  <c r="Z277" i="5"/>
  <c r="I253" i="12"/>
  <c r="Z253" i="5"/>
  <c r="L253" i="5"/>
  <c r="AM253" i="5"/>
  <c r="I146" i="12"/>
  <c r="AM146" i="5"/>
  <c r="L146" i="5"/>
  <c r="Z146" i="5"/>
  <c r="Z117" i="5"/>
  <c r="AM117" i="5"/>
  <c r="L117" i="5"/>
  <c r="I117" i="12"/>
  <c r="Z263" i="5"/>
  <c r="AM263" i="5"/>
  <c r="I263" i="12"/>
  <c r="L263" i="5"/>
  <c r="I224" i="12"/>
  <c r="AM224" i="5"/>
  <c r="L224" i="5"/>
  <c r="Z224" i="5"/>
  <c r="I174" i="12"/>
  <c r="Z174" i="5"/>
  <c r="L174" i="5"/>
  <c r="AM174" i="5"/>
  <c r="Z236" i="5"/>
  <c r="AM236" i="5"/>
  <c r="I236" i="12"/>
  <c r="L236" i="5"/>
  <c r="L63" i="5"/>
  <c r="Z63" i="5"/>
  <c r="I63" i="12"/>
  <c r="AM63" i="5"/>
  <c r="I150" i="12"/>
  <c r="Z150" i="5"/>
  <c r="L150" i="5"/>
  <c r="AM150" i="5"/>
  <c r="Z191" i="5"/>
  <c r="I191" i="12"/>
  <c r="AM191" i="5"/>
  <c r="L191" i="5"/>
  <c r="Z164" i="5"/>
  <c r="L164" i="5"/>
  <c r="I164" i="12"/>
  <c r="AM164" i="5"/>
  <c r="I372" i="12"/>
  <c r="AM372" i="5"/>
  <c r="L372" i="5"/>
  <c r="Z372" i="5"/>
  <c r="I62" i="12"/>
  <c r="AM62" i="5"/>
  <c r="L62" i="5"/>
  <c r="Z62" i="5"/>
  <c r="AM145" i="5"/>
  <c r="I145" i="12"/>
  <c r="Z145" i="5"/>
  <c r="L145" i="5"/>
  <c r="I367" i="12"/>
  <c r="AM367" i="5"/>
  <c r="L367" i="5"/>
  <c r="Z367" i="5"/>
  <c r="I299" i="12"/>
  <c r="Z299" i="5"/>
  <c r="AM299" i="5"/>
  <c r="L299" i="5"/>
  <c r="L360" i="5"/>
  <c r="Z360" i="5"/>
  <c r="AM360" i="5"/>
  <c r="I360" i="12"/>
  <c r="AM227" i="5"/>
  <c r="L227" i="5"/>
  <c r="Z227" i="5"/>
  <c r="I227" i="12"/>
  <c r="AM74" i="5"/>
  <c r="I74" i="12"/>
  <c r="L74" i="5"/>
  <c r="Z74" i="5"/>
  <c r="I241" i="12"/>
  <c r="AM241" i="5"/>
  <c r="L241" i="5"/>
  <c r="Z241" i="5"/>
  <c r="Z266" i="5"/>
  <c r="I266" i="12"/>
  <c r="L266" i="5"/>
  <c r="AM266" i="5"/>
  <c r="I193" i="12"/>
  <c r="Z193" i="5"/>
  <c r="AM193" i="5"/>
  <c r="L193" i="5"/>
  <c r="Z280" i="5"/>
  <c r="I280" i="12"/>
  <c r="L280" i="5"/>
  <c r="AM280" i="5"/>
  <c r="AM76" i="5"/>
  <c r="Z76" i="5"/>
  <c r="I76" i="12"/>
  <c r="L76" i="5"/>
  <c r="I181" i="12"/>
  <c r="AM181" i="5"/>
  <c r="L181" i="5"/>
  <c r="Z181" i="5"/>
  <c r="L59" i="5"/>
  <c r="Z59" i="5"/>
  <c r="I59" i="12"/>
  <c r="AM59" i="5"/>
  <c r="AM293" i="5"/>
  <c r="Z293" i="5"/>
  <c r="I293" i="12"/>
  <c r="L293" i="5"/>
  <c r="L376" i="5"/>
  <c r="AM376" i="5"/>
  <c r="Z376" i="5"/>
  <c r="I376" i="12"/>
  <c r="I112" i="12"/>
  <c r="L112" i="5"/>
  <c r="AM112" i="5"/>
  <c r="Z112" i="5"/>
  <c r="L257" i="5"/>
  <c r="AM257" i="5"/>
  <c r="I257" i="12"/>
  <c r="Z257" i="5"/>
  <c r="I153" i="12"/>
  <c r="L153" i="5"/>
  <c r="AM153" i="5"/>
  <c r="Z153" i="5"/>
  <c r="L187" i="5"/>
  <c r="Z187" i="5"/>
  <c r="I187" i="12"/>
  <c r="AM187" i="5"/>
  <c r="L179" i="5"/>
  <c r="I179" i="12"/>
  <c r="AM179" i="5"/>
  <c r="Z179" i="5"/>
  <c r="I258" i="12"/>
  <c r="AM258" i="5"/>
  <c r="L258" i="5"/>
  <c r="Z258" i="5"/>
  <c r="L161" i="5"/>
  <c r="Z161" i="5"/>
  <c r="AM161" i="5"/>
  <c r="I161" i="12"/>
  <c r="L24" i="5"/>
  <c r="Z24" i="5"/>
  <c r="I24" i="12"/>
  <c r="AM24" i="5"/>
  <c r="AM374" i="5"/>
  <c r="L374" i="5"/>
  <c r="Z374" i="5"/>
  <c r="I374" i="12"/>
  <c r="I363" i="12"/>
  <c r="AM363" i="5"/>
  <c r="L363" i="5"/>
  <c r="Z363" i="5"/>
  <c r="I85" i="12"/>
  <c r="L85" i="5"/>
  <c r="Z85" i="5"/>
  <c r="AM85" i="5"/>
  <c r="L163" i="5"/>
  <c r="Z163" i="5"/>
  <c r="AM163" i="5"/>
  <c r="I163" i="12"/>
  <c r="I335" i="12"/>
  <c r="AM335" i="5"/>
  <c r="L335" i="5"/>
  <c r="Z335" i="5"/>
  <c r="Z296" i="5"/>
  <c r="AM296" i="5"/>
  <c r="L296" i="5"/>
  <c r="I296" i="12"/>
  <c r="L322" i="5"/>
  <c r="AM322" i="5"/>
  <c r="Z322" i="5"/>
  <c r="I322" i="12"/>
  <c r="L314" i="5"/>
  <c r="AM314" i="5"/>
  <c r="I314" i="12"/>
  <c r="Z314" i="5"/>
  <c r="I273" i="5"/>
  <c r="I274" i="5" s="1"/>
  <c r="Z273" i="5"/>
  <c r="X272" i="5" a="1"/>
  <c r="X272" i="5" s="1"/>
  <c r="I273" i="12"/>
  <c r="AM273" i="5"/>
  <c r="L273" i="5"/>
  <c r="X17" i="5" a="1"/>
  <c r="X17" i="5" s="1"/>
  <c r="I18" i="5"/>
  <c r="I19" i="5" s="1"/>
  <c r="I20" i="5" s="1"/>
  <c r="AM18" i="5"/>
  <c r="Z18" i="5"/>
  <c r="L18" i="5"/>
  <c r="I18" i="12"/>
  <c r="L355" i="5"/>
  <c r="AM355" i="5"/>
  <c r="I355" i="12"/>
  <c r="Z355" i="5"/>
  <c r="Z343" i="5"/>
  <c r="L343" i="5"/>
  <c r="I343" i="12"/>
  <c r="I343" i="5"/>
  <c r="I344" i="5" s="1"/>
  <c r="I345" i="5" s="1"/>
  <c r="AM343" i="5"/>
  <c r="X342" i="5" a="1"/>
  <c r="X342" i="5" s="1"/>
  <c r="AM158" i="5"/>
  <c r="Z158" i="5"/>
  <c r="L158" i="5"/>
  <c r="I158" i="12"/>
  <c r="L261" i="5"/>
  <c r="Z261" i="5"/>
  <c r="AM261" i="5"/>
  <c r="I261" i="12"/>
  <c r="Z365" i="5"/>
  <c r="L365" i="5"/>
  <c r="I365" i="12"/>
  <c r="AM365" i="5"/>
  <c r="Z310" i="5"/>
  <c r="I310" i="12"/>
  <c r="L310" i="5"/>
  <c r="AM310" i="5"/>
  <c r="I307" i="12"/>
  <c r="L307" i="5"/>
  <c r="AM307" i="5"/>
  <c r="Z307" i="5"/>
  <c r="AM228" i="5"/>
  <c r="L228" i="5"/>
  <c r="Z228" i="5"/>
  <c r="I228" i="12"/>
  <c r="AM89" i="5"/>
  <c r="I89" i="12"/>
  <c r="L89" i="5"/>
  <c r="Z89" i="5"/>
  <c r="Z44" i="5"/>
  <c r="AM44" i="5"/>
  <c r="I44" i="12"/>
  <c r="L44" i="5"/>
  <c r="AM333" i="5"/>
  <c r="L333" i="5"/>
  <c r="Z333" i="5"/>
  <c r="I333" i="12"/>
  <c r="Z189" i="5"/>
  <c r="I189" i="12"/>
  <c r="L189" i="5"/>
  <c r="AM189" i="5"/>
  <c r="Z72" i="5"/>
  <c r="I72" i="12"/>
  <c r="AM72" i="5"/>
  <c r="L72" i="5"/>
  <c r="AM122" i="5"/>
  <c r="L122" i="5"/>
  <c r="Z122" i="5"/>
  <c r="I122" i="12"/>
  <c r="AM205" i="5"/>
  <c r="I205" i="12"/>
  <c r="Z205" i="5"/>
  <c r="L205" i="5"/>
  <c r="Z220" i="5"/>
  <c r="I220" i="12"/>
  <c r="L220" i="5"/>
  <c r="AM220" i="5"/>
  <c r="AM31" i="5"/>
  <c r="Z31" i="5"/>
  <c r="I31" i="12"/>
  <c r="L31" i="5"/>
  <c r="L78" i="5"/>
  <c r="AM78" i="5"/>
  <c r="I78" i="12"/>
  <c r="Z78" i="5"/>
  <c r="AM354" i="5"/>
  <c r="Z354" i="5"/>
  <c r="I354" i="12"/>
  <c r="L354" i="5"/>
  <c r="L22" i="5"/>
  <c r="I22" i="5"/>
  <c r="I23" i="5" s="1"/>
  <c r="I24" i="5" s="1"/>
  <c r="I25" i="5" s="1"/>
  <c r="I26" i="5" s="1"/>
  <c r="O26" i="5" s="1"/>
  <c r="Z22" i="5"/>
  <c r="AM22" i="5"/>
  <c r="X21" i="5" a="1"/>
  <c r="X21" i="5" s="1"/>
  <c r="I22" i="12"/>
  <c r="Z216" i="5"/>
  <c r="AM216" i="5"/>
  <c r="I216" i="12"/>
  <c r="L216" i="5"/>
  <c r="Z399" i="5"/>
  <c r="L399" i="5"/>
  <c r="I399" i="12"/>
  <c r="AM399" i="5"/>
  <c r="AM182" i="5"/>
  <c r="Z182" i="5"/>
  <c r="L182" i="5"/>
  <c r="I182" i="12"/>
  <c r="L156" i="5"/>
  <c r="AM156" i="5"/>
  <c r="Z156" i="5"/>
  <c r="I156" i="12"/>
  <c r="AM56" i="5"/>
  <c r="L56" i="5"/>
  <c r="Z56" i="5"/>
  <c r="I56" i="12"/>
  <c r="Z178" i="5"/>
  <c r="I178" i="12"/>
  <c r="L178" i="5"/>
  <c r="AM178" i="5"/>
  <c r="Z213" i="5"/>
  <c r="AM213" i="5"/>
  <c r="I213" i="12"/>
  <c r="L213" i="5"/>
  <c r="I190" i="12"/>
  <c r="AM190" i="5"/>
  <c r="Z190" i="5"/>
  <c r="L190" i="5"/>
  <c r="L169" i="5"/>
  <c r="I169" i="12"/>
  <c r="I169" i="5"/>
  <c r="I170" i="5" s="1"/>
  <c r="I171" i="5" s="1"/>
  <c r="I172" i="5" s="1"/>
  <c r="I173" i="5" s="1"/>
  <c r="I174" i="5" s="1"/>
  <c r="I175" i="5" s="1"/>
  <c r="I176" i="5" s="1"/>
  <c r="I177" i="5" s="1"/>
  <c r="I178" i="5" s="1"/>
  <c r="I179" i="5" s="1"/>
  <c r="I180" i="5" s="1"/>
  <c r="I181" i="5" s="1"/>
  <c r="I182" i="5" s="1"/>
  <c r="I183" i="5" s="1"/>
  <c r="I184" i="5" s="1"/>
  <c r="I185" i="5" s="1"/>
  <c r="I186" i="5" s="1"/>
  <c r="I187" i="5" s="1"/>
  <c r="I188" i="5" s="1"/>
  <c r="I189" i="5" s="1"/>
  <c r="I190" i="5" s="1"/>
  <c r="I191" i="5" s="1"/>
  <c r="I192" i="5" s="1"/>
  <c r="I193" i="5" s="1"/>
  <c r="I194" i="5" s="1"/>
  <c r="I195" i="5" s="1"/>
  <c r="I196" i="5" s="1"/>
  <c r="I197" i="5" s="1"/>
  <c r="I198" i="5" s="1"/>
  <c r="I199" i="5" s="1"/>
  <c r="I200" i="5" s="1"/>
  <c r="I201" i="5" s="1"/>
  <c r="I202" i="5" s="1"/>
  <c r="I203" i="5" s="1"/>
  <c r="I204" i="5" s="1"/>
  <c r="I205" i="5" s="1"/>
  <c r="I206" i="5" s="1"/>
  <c r="I207" i="5" s="1"/>
  <c r="I208" i="5" s="1"/>
  <c r="I209" i="5" s="1"/>
  <c r="I210" i="5" s="1"/>
  <c r="I211" i="5" s="1"/>
  <c r="I212" i="5" s="1"/>
  <c r="I213" i="5" s="1"/>
  <c r="I214" i="5" s="1"/>
  <c r="I215" i="5" s="1"/>
  <c r="I216" i="5" s="1"/>
  <c r="I217" i="5" s="1"/>
  <c r="X168" i="5" a="1"/>
  <c r="X168" i="5" s="1"/>
  <c r="AM169" i="5"/>
  <c r="Z169" i="5"/>
  <c r="I226" i="5"/>
  <c r="I227" i="5" s="1"/>
  <c r="I228" i="5" s="1"/>
  <c r="I229" i="5" s="1"/>
  <c r="I230" i="5" s="1"/>
  <c r="Z226" i="5"/>
  <c r="L226" i="5"/>
  <c r="AM226" i="5"/>
  <c r="I226" i="12"/>
  <c r="L131" i="5"/>
  <c r="I131" i="5"/>
  <c r="AM131" i="5"/>
  <c r="Z131" i="5"/>
  <c r="I131" i="12"/>
  <c r="Z143" i="5"/>
  <c r="L143" i="5"/>
  <c r="AM143" i="5"/>
  <c r="I143" i="12"/>
  <c r="AM32" i="5"/>
  <c r="Z32" i="5"/>
  <c r="I32" i="12"/>
  <c r="L32" i="5"/>
  <c r="Z108" i="5"/>
  <c r="I108" i="12"/>
  <c r="AM108" i="5"/>
  <c r="L108" i="5"/>
  <c r="Z119" i="5"/>
  <c r="AM119" i="5"/>
  <c r="I119" i="12"/>
  <c r="L119" i="5"/>
  <c r="L327" i="5"/>
  <c r="I327" i="12"/>
  <c r="AM327" i="5"/>
  <c r="Z327" i="5"/>
  <c r="AM317" i="5"/>
  <c r="Z317" i="5"/>
  <c r="L317" i="5"/>
  <c r="I317" i="12"/>
  <c r="L353" i="5"/>
  <c r="AM353" i="5"/>
  <c r="I353" i="12"/>
  <c r="Z353" i="5"/>
  <c r="X28" i="5" a="1"/>
  <c r="X28" i="5" s="1"/>
  <c r="I29" i="12"/>
  <c r="AM29" i="5"/>
  <c r="Z29" i="5"/>
  <c r="I29" i="5"/>
  <c r="I30" i="5" s="1"/>
  <c r="I31" i="5" s="1"/>
  <c r="I32" i="5" s="1"/>
  <c r="I33" i="5" s="1"/>
  <c r="L29" i="5"/>
  <c r="AM324" i="5"/>
  <c r="L324" i="5"/>
  <c r="I324" i="12"/>
  <c r="Z324" i="5"/>
  <c r="Z234" i="5"/>
  <c r="I234" i="12"/>
  <c r="L234" i="5"/>
  <c r="AM234" i="5"/>
  <c r="I316" i="12"/>
  <c r="L316" i="5"/>
  <c r="AM316" i="5"/>
  <c r="Z316" i="5"/>
  <c r="L262" i="5"/>
  <c r="AM262" i="5"/>
  <c r="Z262" i="5"/>
  <c r="I262" i="12"/>
  <c r="I209" i="12"/>
  <c r="L209" i="5"/>
  <c r="Z209" i="5"/>
  <c r="AM209" i="5"/>
  <c r="I270" i="12"/>
  <c r="Z270" i="5"/>
  <c r="AM270" i="5"/>
  <c r="L270" i="5"/>
  <c r="I270" i="5"/>
  <c r="L149" i="5"/>
  <c r="Z149" i="5"/>
  <c r="AM149" i="5"/>
  <c r="I149" i="12"/>
  <c r="L100" i="5"/>
  <c r="AM100" i="5"/>
  <c r="Z100" i="5"/>
  <c r="I100" i="12"/>
  <c r="L105" i="5"/>
  <c r="AM105" i="5"/>
  <c r="Z105" i="5"/>
  <c r="I105" i="12"/>
  <c r="Z295" i="5"/>
  <c r="I295" i="12"/>
  <c r="L295" i="5"/>
  <c r="AM295" i="5"/>
  <c r="Z308" i="5"/>
  <c r="I308" i="12"/>
  <c r="AM308" i="5"/>
  <c r="L308" i="5"/>
  <c r="L124" i="5"/>
  <c r="Z124" i="5"/>
  <c r="AM124" i="5"/>
  <c r="I124" i="12"/>
  <c r="Z45" i="5"/>
  <c r="I45" i="12"/>
  <c r="AM45" i="5"/>
  <c r="L45" i="5"/>
  <c r="I230" i="12"/>
  <c r="AM230" i="5"/>
  <c r="L230" i="5"/>
  <c r="Z230" i="5"/>
  <c r="L23" i="5"/>
  <c r="AM23" i="5"/>
  <c r="Z23" i="5"/>
  <c r="I23" i="12"/>
  <c r="L311" i="5"/>
  <c r="I311" i="12"/>
  <c r="AM311" i="5"/>
  <c r="Z311" i="5"/>
  <c r="L323" i="5"/>
  <c r="Z323" i="5"/>
  <c r="I323" i="12"/>
  <c r="AM323" i="5"/>
  <c r="I326" i="12"/>
  <c r="AM326" i="5"/>
  <c r="L326" i="5"/>
  <c r="Z326" i="5"/>
  <c r="I326" i="5"/>
  <c r="I327" i="5" s="1"/>
  <c r="I328" i="5" s="1"/>
  <c r="I329" i="5" s="1"/>
  <c r="I330" i="5" s="1"/>
  <c r="I331" i="5" s="1"/>
  <c r="I332" i="5" s="1"/>
  <c r="I333" i="5" s="1"/>
  <c r="I334" i="5" s="1"/>
  <c r="I335" i="5" s="1"/>
  <c r="I336" i="5" s="1"/>
  <c r="I337" i="5" s="1"/>
  <c r="I338" i="5" s="1"/>
  <c r="I339" i="5" s="1"/>
  <c r="I340" i="5" s="1"/>
  <c r="I341" i="5" s="1"/>
  <c r="X325" i="5" a="1"/>
  <c r="X325" i="5" s="1"/>
  <c r="L282" i="5"/>
  <c r="Z282" i="5"/>
  <c r="I282" i="12"/>
  <c r="AM282" i="5"/>
  <c r="AM391" i="5"/>
  <c r="I391" i="12"/>
  <c r="L391" i="5"/>
  <c r="Z391" i="5"/>
  <c r="I359" i="12"/>
  <c r="AM359" i="5"/>
  <c r="Z359" i="5"/>
  <c r="L359" i="5"/>
  <c r="Z315" i="5"/>
  <c r="AM315" i="5"/>
  <c r="L315" i="5"/>
  <c r="I315" i="12"/>
  <c r="I170" i="12"/>
  <c r="AM170" i="5"/>
  <c r="Z170" i="5"/>
  <c r="L170" i="5"/>
  <c r="I375" i="12"/>
  <c r="Z375" i="5"/>
  <c r="L375" i="5"/>
  <c r="AM375" i="5"/>
  <c r="Z352" i="5"/>
  <c r="AM352" i="5"/>
  <c r="L352" i="5"/>
  <c r="I352" i="12"/>
  <c r="AM180" i="5"/>
  <c r="I180" i="12"/>
  <c r="L180" i="5"/>
  <c r="Z180" i="5"/>
  <c r="L298" i="5"/>
  <c r="AM298" i="5"/>
  <c r="Z298" i="5"/>
  <c r="I298" i="12"/>
  <c r="L176" i="5"/>
  <c r="Z176" i="5"/>
  <c r="I176" i="12"/>
  <c r="AM176" i="5"/>
  <c r="L396" i="5"/>
  <c r="Z396" i="5"/>
  <c r="I396" i="12"/>
  <c r="AM396" i="5"/>
  <c r="Z290" i="5"/>
  <c r="AM290" i="5"/>
  <c r="L290" i="5"/>
  <c r="I290" i="5"/>
  <c r="I291" i="5" s="1"/>
  <c r="I292" i="5" s="1"/>
  <c r="I293" i="5" s="1"/>
  <c r="I294" i="5" s="1"/>
  <c r="I295" i="5" s="1"/>
  <c r="I296" i="5" s="1"/>
  <c r="I297" i="5" s="1"/>
  <c r="I298" i="5" s="1"/>
  <c r="I299" i="5" s="1"/>
  <c r="I300" i="5" s="1"/>
  <c r="I290" i="12"/>
  <c r="I73" i="12"/>
  <c r="L73" i="5"/>
  <c r="AM73" i="5"/>
  <c r="Z73" i="5"/>
  <c r="I285" i="12"/>
  <c r="Z285" i="5"/>
  <c r="AM285" i="5"/>
  <c r="L285" i="5"/>
  <c r="L334" i="5"/>
  <c r="I334" i="12"/>
  <c r="AM334" i="5"/>
  <c r="Z334" i="5"/>
  <c r="AM339" i="5"/>
  <c r="I339" i="12"/>
  <c r="L339" i="5"/>
  <c r="Z339" i="5"/>
  <c r="AM397" i="5"/>
  <c r="Z397" i="5"/>
  <c r="I397" i="12"/>
  <c r="L397" i="5"/>
  <c r="Z362" i="5"/>
  <c r="I362" i="12"/>
  <c r="L362" i="5"/>
  <c r="AM362" i="5"/>
  <c r="L126" i="5"/>
  <c r="AM126" i="5"/>
  <c r="Z126" i="5"/>
  <c r="I126" i="12"/>
  <c r="L184" i="5"/>
  <c r="Z184" i="5"/>
  <c r="I184" i="12"/>
  <c r="AM184" i="5"/>
  <c r="Z250" i="5"/>
  <c r="L250" i="5"/>
  <c r="AM250" i="5"/>
  <c r="I250" i="12"/>
  <c r="AM206" i="5"/>
  <c r="L206" i="5"/>
  <c r="Z206" i="5"/>
  <c r="I206" i="12"/>
  <c r="Z98" i="5"/>
  <c r="L98" i="5"/>
  <c r="AM98" i="5"/>
  <c r="I98" i="12"/>
  <c r="I194" i="12"/>
  <c r="AM194" i="5"/>
  <c r="L194" i="5"/>
  <c r="Z194" i="5"/>
  <c r="AM67" i="5"/>
  <c r="I67" i="12"/>
  <c r="Z67" i="5"/>
  <c r="L67" i="5"/>
  <c r="I166" i="12"/>
  <c r="L166" i="5"/>
  <c r="AM166" i="5"/>
  <c r="Z166" i="5"/>
  <c r="Z215" i="5"/>
  <c r="I215" i="12"/>
  <c r="AM215" i="5"/>
  <c r="L215" i="5"/>
  <c r="AM318" i="5"/>
  <c r="L318" i="5"/>
  <c r="Z318" i="5"/>
  <c r="I318" i="12"/>
  <c r="AM175" i="5"/>
  <c r="Z175" i="5"/>
  <c r="L175" i="5"/>
  <c r="I175" i="12"/>
  <c r="Z351" i="5"/>
  <c r="L351" i="5"/>
  <c r="I351" i="12"/>
  <c r="AM351" i="5"/>
  <c r="I364" i="12"/>
  <c r="AM364" i="5"/>
  <c r="L364" i="5"/>
  <c r="Z364" i="5"/>
  <c r="L71" i="5"/>
  <c r="Z71" i="5"/>
  <c r="AM71" i="5"/>
  <c r="I71" i="12"/>
  <c r="L171" i="5"/>
  <c r="I171" i="12"/>
  <c r="AM171" i="5"/>
  <c r="Z171" i="5"/>
  <c r="I43" i="12"/>
  <c r="AM43" i="5"/>
  <c r="L43" i="5"/>
  <c r="Z43" i="5"/>
  <c r="L142" i="5"/>
  <c r="AM142" i="5"/>
  <c r="Z142" i="5"/>
  <c r="I142" i="12"/>
  <c r="Z378" i="5"/>
  <c r="I378" i="12"/>
  <c r="AM378" i="5"/>
  <c r="L378" i="5"/>
  <c r="AM123" i="5"/>
  <c r="L123" i="5"/>
  <c r="I123" i="12"/>
  <c r="Z123" i="5"/>
  <c r="AM19" i="5"/>
  <c r="I19" i="12"/>
  <c r="Z19" i="5"/>
  <c r="L19" i="5"/>
  <c r="I338" i="12"/>
  <c r="L338" i="5"/>
  <c r="AM338" i="5"/>
  <c r="Z338" i="5"/>
  <c r="AM46" i="5"/>
  <c r="I46" i="12"/>
  <c r="L46" i="5"/>
  <c r="Z46" i="5"/>
  <c r="Z373" i="5"/>
  <c r="AM373" i="5"/>
  <c r="L373" i="5"/>
  <c r="I373" i="12"/>
  <c r="AM172" i="5"/>
  <c r="Z172" i="5"/>
  <c r="I172" i="12"/>
  <c r="L172" i="5"/>
  <c r="I116" i="5"/>
  <c r="I117" i="5" s="1"/>
  <c r="I118" i="5" s="1"/>
  <c r="I119" i="5" s="1"/>
  <c r="I120" i="5" s="1"/>
  <c r="I121" i="5" s="1"/>
  <c r="I122" i="5" s="1"/>
  <c r="I123" i="5" s="1"/>
  <c r="I124" i="5" s="1"/>
  <c r="I125" i="5" s="1"/>
  <c r="I126" i="5" s="1"/>
  <c r="I127" i="5" s="1"/>
  <c r="I128" i="5" s="1"/>
  <c r="AM116" i="5"/>
  <c r="X115" i="5" a="1"/>
  <c r="X115" i="5" s="1"/>
  <c r="L116" i="5"/>
  <c r="Z116" i="5"/>
  <c r="I116" i="12"/>
  <c r="I101" i="12"/>
  <c r="Z101" i="5"/>
  <c r="L101" i="5"/>
  <c r="AM101" i="5"/>
  <c r="AM211" i="5"/>
  <c r="Z211" i="5"/>
  <c r="I211" i="12"/>
  <c r="L211" i="5"/>
  <c r="I20" i="12"/>
  <c r="Z20" i="5"/>
  <c r="AM20" i="5"/>
  <c r="L20" i="5"/>
  <c r="Z64" i="5"/>
  <c r="I64" i="12"/>
  <c r="L64" i="5"/>
  <c r="AM64" i="5"/>
  <c r="Z358" i="5"/>
  <c r="I358" i="12"/>
  <c r="L358" i="5"/>
  <c r="AM358" i="5"/>
  <c r="Z79" i="5"/>
  <c r="I79" i="12"/>
  <c r="L79" i="5"/>
  <c r="AM79" i="5"/>
  <c r="I337" i="12"/>
  <c r="AM337" i="5"/>
  <c r="L337" i="5"/>
  <c r="Z337" i="5"/>
  <c r="L256" i="5"/>
  <c r="Z256" i="5"/>
  <c r="I256" i="12"/>
  <c r="AM256" i="5"/>
  <c r="I336" i="12"/>
  <c r="L336" i="5"/>
  <c r="Z336" i="5"/>
  <c r="AM336" i="5"/>
  <c r="L281" i="5"/>
  <c r="I281" i="12"/>
  <c r="AM281" i="5"/>
  <c r="Z281" i="5"/>
  <c r="AM369" i="5"/>
  <c r="L369" i="5"/>
  <c r="Z369" i="5"/>
  <c r="I369" i="12"/>
  <c r="AM70" i="5"/>
  <c r="L70" i="5"/>
  <c r="Z70" i="5"/>
  <c r="I70" i="12"/>
  <c r="L340" i="5"/>
  <c r="AM340" i="5"/>
  <c r="I340" i="12"/>
  <c r="Z340" i="5"/>
  <c r="L202" i="5"/>
  <c r="Z202" i="5"/>
  <c r="I202" i="12"/>
  <c r="AM202" i="5"/>
  <c r="I38" i="5"/>
  <c r="I39" i="5" s="1"/>
  <c r="I40" i="5" s="1"/>
  <c r="O40" i="5" s="1"/>
  <c r="X37" i="5" a="1"/>
  <c r="X37" i="5" s="1"/>
  <c r="Z38" i="5"/>
  <c r="I38" i="12"/>
  <c r="L38" i="5"/>
  <c r="AM38" i="5"/>
  <c r="I97" i="12"/>
  <c r="Z97" i="5"/>
  <c r="L97" i="5"/>
  <c r="AM97" i="5"/>
  <c r="I345" i="12"/>
  <c r="L345" i="5"/>
  <c r="AM345" i="5"/>
  <c r="Z345" i="5"/>
  <c r="L188" i="5"/>
  <c r="Z188" i="5"/>
  <c r="I188" i="12"/>
  <c r="AM188" i="5"/>
  <c r="L203" i="5"/>
  <c r="Z203" i="5"/>
  <c r="I203" i="12"/>
  <c r="AM203" i="5"/>
  <c r="Z291" i="5"/>
  <c r="I291" i="12"/>
  <c r="AM291" i="5"/>
  <c r="L291" i="5"/>
  <c r="Z138" i="5"/>
  <c r="L138" i="5"/>
  <c r="I138" i="12"/>
  <c r="AM138" i="5"/>
  <c r="Z214" i="5"/>
  <c r="AM214" i="5"/>
  <c r="I214" i="12"/>
  <c r="L214" i="5"/>
  <c r="I159" i="12"/>
  <c r="AM159" i="5"/>
  <c r="L159" i="5"/>
  <c r="Z159" i="5"/>
  <c r="L246" i="5"/>
  <c r="AM246" i="5"/>
  <c r="Z246" i="5"/>
  <c r="I246" i="12"/>
  <c r="I42" i="12"/>
  <c r="L42" i="5"/>
  <c r="Z42" i="5"/>
  <c r="AM42" i="5"/>
  <c r="X41" i="5" a="1"/>
  <c r="X41" i="5" s="1"/>
  <c r="I42" i="5"/>
  <c r="I43" i="5" s="1"/>
  <c r="I44" i="5" s="1"/>
  <c r="I45" i="5" s="1"/>
  <c r="I46" i="5" s="1"/>
  <c r="I82" i="12"/>
  <c r="Z82" i="5"/>
  <c r="L82" i="5"/>
  <c r="AM82" i="5"/>
  <c r="Z264" i="5"/>
  <c r="AM264" i="5"/>
  <c r="I264" i="12"/>
  <c r="L264" i="5"/>
  <c r="Z288" i="5"/>
  <c r="AM288" i="5"/>
  <c r="I288" i="12"/>
  <c r="L288" i="5"/>
  <c r="AM235" i="5"/>
  <c r="L235" i="5"/>
  <c r="Z235" i="5"/>
  <c r="I235" i="12"/>
  <c r="I196" i="12"/>
  <c r="L196" i="5"/>
  <c r="AM196" i="5"/>
  <c r="Z196" i="5"/>
  <c r="I30" i="12"/>
  <c r="Z30" i="5"/>
  <c r="AM30" i="5"/>
  <c r="L30" i="5"/>
  <c r="I274" i="12"/>
  <c r="L274" i="5"/>
  <c r="AM274" i="5"/>
  <c r="Z274" i="5"/>
  <c r="AM93" i="5"/>
  <c r="L93" i="5"/>
  <c r="I93" i="12"/>
  <c r="Z93" i="5"/>
  <c r="Z65" i="5"/>
  <c r="AM65" i="5"/>
  <c r="L65" i="5"/>
  <c r="I65" i="12"/>
  <c r="AM259" i="5"/>
  <c r="Z259" i="5"/>
  <c r="I259" i="12"/>
  <c r="L259" i="5"/>
  <c r="I344" i="12"/>
  <c r="L344" i="5"/>
  <c r="AM344" i="5"/>
  <c r="Z344" i="5"/>
  <c r="Z278" i="5"/>
  <c r="I278" i="12"/>
  <c r="AM278" i="5"/>
  <c r="L278" i="5"/>
  <c r="AM27" i="5"/>
  <c r="Z27" i="5"/>
  <c r="I27" i="5"/>
  <c r="I27" i="12"/>
  <c r="L27" i="5"/>
  <c r="AM249" i="5"/>
  <c r="I249" i="12"/>
  <c r="Z249" i="5"/>
  <c r="L249" i="5"/>
  <c r="Z242" i="5"/>
  <c r="I242" i="12"/>
  <c r="AM242" i="5"/>
  <c r="L242" i="5"/>
  <c r="I183" i="12"/>
  <c r="AM183" i="5"/>
  <c r="L183" i="5"/>
  <c r="Z183" i="5"/>
  <c r="I371" i="12"/>
  <c r="Z371" i="5"/>
  <c r="I371" i="5"/>
  <c r="I372" i="5" s="1"/>
  <c r="I373" i="5" s="1"/>
  <c r="I374" i="5" s="1"/>
  <c r="I375" i="5" s="1"/>
  <c r="I376" i="5" s="1"/>
  <c r="I377" i="5" s="1"/>
  <c r="I378" i="5" s="1"/>
  <c r="AM371" i="5"/>
  <c r="L371" i="5"/>
  <c r="AM135" i="5"/>
  <c r="I135" i="12"/>
  <c r="L135" i="5"/>
  <c r="Z135" i="5"/>
  <c r="AM125" i="5"/>
  <c r="L125" i="5"/>
  <c r="Z125" i="5"/>
  <c r="I125" i="12"/>
  <c r="Z361" i="5"/>
  <c r="I361" i="12"/>
  <c r="L361" i="5"/>
  <c r="AM361" i="5"/>
  <c r="I84" i="12"/>
  <c r="L84" i="5"/>
  <c r="AM84" i="5"/>
  <c r="Z84" i="5"/>
  <c r="I86" i="12"/>
  <c r="L86" i="5"/>
  <c r="AM86" i="5"/>
  <c r="Z86" i="5"/>
  <c r="Z186" i="5"/>
  <c r="L186" i="5"/>
  <c r="I186" i="12"/>
  <c r="AM186" i="5"/>
  <c r="L199" i="5"/>
  <c r="AM199" i="5"/>
  <c r="Z199" i="5"/>
  <c r="I199" i="12"/>
  <c r="L80" i="5"/>
  <c r="I80" i="12"/>
  <c r="Z80" i="5"/>
  <c r="AM80" i="5"/>
  <c r="Z121" i="5"/>
  <c r="I121" i="12"/>
  <c r="AM121" i="5"/>
  <c r="L121" i="5"/>
  <c r="Z60" i="5"/>
  <c r="L60" i="5"/>
  <c r="I60" i="12"/>
  <c r="AM60" i="5"/>
  <c r="L107" i="5"/>
  <c r="AM107" i="5"/>
  <c r="Z107" i="5"/>
  <c r="I107" i="12"/>
  <c r="I404" i="12"/>
  <c r="Z404" i="5"/>
  <c r="I404" i="5"/>
  <c r="AM404" i="5"/>
  <c r="X403" i="5" a="1"/>
  <c r="X403" i="5" s="1"/>
  <c r="L404" i="5"/>
  <c r="L96" i="5"/>
  <c r="Z96" i="5"/>
  <c r="I96" i="12"/>
  <c r="AM96" i="5"/>
  <c r="L305" i="5"/>
  <c r="AM305" i="5"/>
  <c r="Z305" i="5"/>
  <c r="I305" i="12"/>
  <c r="I329" i="12"/>
  <c r="AM329" i="5"/>
  <c r="L329" i="5"/>
  <c r="Z329" i="5"/>
  <c r="AM348" i="5"/>
  <c r="L348" i="5"/>
  <c r="Z348" i="5"/>
  <c r="I348" i="12"/>
  <c r="AM109" i="5"/>
  <c r="L109" i="5"/>
  <c r="Z109" i="5"/>
  <c r="I109" i="12"/>
  <c r="AM207" i="5"/>
  <c r="Z207" i="5"/>
  <c r="L207" i="5"/>
  <c r="I207" i="12"/>
  <c r="O207" i="5" l="1"/>
  <c r="C207" i="6"/>
  <c r="AC207" i="5"/>
  <c r="J207" i="6" s="1" a="1"/>
  <c r="J207" i="6" s="1"/>
  <c r="AB109" i="5"/>
  <c r="O348" i="12"/>
  <c r="C348" i="12"/>
  <c r="AO348" i="12"/>
  <c r="M348" i="12"/>
  <c r="AB329" i="5"/>
  <c r="O305" i="12"/>
  <c r="M305" i="12"/>
  <c r="C305" i="12"/>
  <c r="AO305" i="12"/>
  <c r="C96" i="6"/>
  <c r="AC96" i="5"/>
  <c r="J96" i="6" s="1" a="1"/>
  <c r="J96" i="6" s="1"/>
  <c r="C121" i="6"/>
  <c r="O121" i="5"/>
  <c r="AC121" i="5"/>
  <c r="J121" i="6" s="1" a="1"/>
  <c r="J121" i="6" s="1"/>
  <c r="C80" i="6"/>
  <c r="AC80" i="5"/>
  <c r="J80" i="6" s="1" a="1"/>
  <c r="J80" i="6" s="1"/>
  <c r="O199" i="5"/>
  <c r="C199" i="6"/>
  <c r="AC199" i="5"/>
  <c r="J199" i="6" s="1" a="1"/>
  <c r="J199" i="6" s="1"/>
  <c r="AB186" i="5"/>
  <c r="C84" i="6"/>
  <c r="AC84" i="5"/>
  <c r="J84" i="6" s="1" a="1"/>
  <c r="J84" i="6" s="1"/>
  <c r="C361" i="6"/>
  <c r="O361" i="5"/>
  <c r="AC361" i="5"/>
  <c r="J361" i="6" s="1" a="1"/>
  <c r="J361" i="6" s="1"/>
  <c r="AB125" i="5"/>
  <c r="C135" i="6"/>
  <c r="AC135" i="5"/>
  <c r="J135" i="6" s="1" a="1"/>
  <c r="J135" i="6" s="1"/>
  <c r="O371" i="5"/>
  <c r="C371" i="6"/>
  <c r="AC371" i="5"/>
  <c r="J371" i="6" s="1" a="1"/>
  <c r="J371" i="6" s="1"/>
  <c r="AB249" i="5"/>
  <c r="O27" i="12"/>
  <c r="C27" i="12"/>
  <c r="M27" i="12"/>
  <c r="AO27" i="12"/>
  <c r="O278" i="5"/>
  <c r="C278" i="6"/>
  <c r="AC278" i="5"/>
  <c r="J278" i="6" s="1" a="1"/>
  <c r="J278" i="6" s="1"/>
  <c r="AB344" i="5"/>
  <c r="AB65" i="5"/>
  <c r="C93" i="6"/>
  <c r="AC93" i="5"/>
  <c r="J93" i="6" s="1" a="1"/>
  <c r="J93" i="6" s="1"/>
  <c r="O274" i="5"/>
  <c r="C274" i="6"/>
  <c r="AC274" i="5"/>
  <c r="J274" i="6" s="1" a="1"/>
  <c r="J274" i="6" s="1"/>
  <c r="AB30" i="5"/>
  <c r="C196" i="6"/>
  <c r="O196" i="5"/>
  <c r="AC196" i="5"/>
  <c r="J196" i="6" s="1" a="1"/>
  <c r="J196" i="6" s="1"/>
  <c r="AB235" i="5"/>
  <c r="C288" i="12"/>
  <c r="M288" i="12"/>
  <c r="O288" i="12"/>
  <c r="AO288" i="12"/>
  <c r="M82" i="12"/>
  <c r="C82" i="12"/>
  <c r="AO82" i="12"/>
  <c r="O82" i="12"/>
  <c r="AB42" i="5"/>
  <c r="AB246" i="5"/>
  <c r="AB159" i="5"/>
  <c r="M159" i="12"/>
  <c r="AO159" i="12"/>
  <c r="C159" i="12"/>
  <c r="O159" i="12"/>
  <c r="AB214" i="5"/>
  <c r="C138" i="6"/>
  <c r="AC138" i="5"/>
  <c r="J138" i="6" s="1" a="1"/>
  <c r="J138" i="6" s="1"/>
  <c r="AO291" i="12"/>
  <c r="C291" i="12"/>
  <c r="O291" i="12"/>
  <c r="M291" i="12"/>
  <c r="AB203" i="5"/>
  <c r="AB188" i="5"/>
  <c r="C345" i="6"/>
  <c r="O345" i="5"/>
  <c r="AC345" i="5"/>
  <c r="J345" i="6" s="1" a="1"/>
  <c r="J345" i="6" s="1"/>
  <c r="AB97" i="5"/>
  <c r="C38" i="6"/>
  <c r="O38" i="5"/>
  <c r="AC38" i="5"/>
  <c r="J38" i="6" s="1" a="1"/>
  <c r="J38" i="6" s="1"/>
  <c r="D40" i="12"/>
  <c r="E40" i="6"/>
  <c r="C202" i="6"/>
  <c r="O202" i="5"/>
  <c r="AC202" i="5"/>
  <c r="J202" i="6" s="1" a="1"/>
  <c r="J202" i="6" s="1"/>
  <c r="C340" i="6"/>
  <c r="O340" i="5"/>
  <c r="AC340" i="5"/>
  <c r="J340" i="6" s="1" a="1"/>
  <c r="J340" i="6" s="1"/>
  <c r="C281" i="6"/>
  <c r="O281" i="5"/>
  <c r="AC281" i="5"/>
  <c r="J281" i="6" s="1" a="1"/>
  <c r="J281" i="6" s="1"/>
  <c r="O336" i="12"/>
  <c r="AO336" i="12"/>
  <c r="M336" i="12"/>
  <c r="C336" i="12"/>
  <c r="C256" i="6"/>
  <c r="AC256" i="5"/>
  <c r="J256" i="6" s="1" a="1"/>
  <c r="J256" i="6" s="1"/>
  <c r="C337" i="12"/>
  <c r="AO337" i="12"/>
  <c r="O337" i="12"/>
  <c r="M337" i="12"/>
  <c r="M79" i="12"/>
  <c r="O79" i="12"/>
  <c r="AO79" i="12"/>
  <c r="C79" i="12"/>
  <c r="O358" i="12"/>
  <c r="AO358" i="12"/>
  <c r="M358" i="12"/>
  <c r="C358" i="12"/>
  <c r="C64" i="12"/>
  <c r="O64" i="12"/>
  <c r="M64" i="12"/>
  <c r="AO64" i="12"/>
  <c r="AB20" i="5"/>
  <c r="AB211" i="5"/>
  <c r="C101" i="6"/>
  <c r="AC101" i="5"/>
  <c r="J101" i="6" s="1" a="1"/>
  <c r="J101" i="6" s="1"/>
  <c r="AB116" i="5"/>
  <c r="AB373" i="5"/>
  <c r="O338" i="12"/>
  <c r="M338" i="12"/>
  <c r="AO338" i="12"/>
  <c r="C338" i="12"/>
  <c r="AB378" i="5"/>
  <c r="AO171" i="12"/>
  <c r="O171" i="12"/>
  <c r="C171" i="12"/>
  <c r="M171" i="12"/>
  <c r="C364" i="6"/>
  <c r="O364" i="5"/>
  <c r="AC364" i="5"/>
  <c r="J364" i="6" s="1" a="1"/>
  <c r="J364" i="6" s="1"/>
  <c r="M351" i="12"/>
  <c r="O351" i="12"/>
  <c r="C351" i="12"/>
  <c r="AO351" i="12"/>
  <c r="C175" i="6"/>
  <c r="O175" i="5"/>
  <c r="AC175" i="5"/>
  <c r="J175" i="6" s="1" a="1"/>
  <c r="J175" i="6" s="1"/>
  <c r="AB318" i="5"/>
  <c r="C67" i="6"/>
  <c r="O67" i="5"/>
  <c r="AC67" i="5"/>
  <c r="J67" i="6" s="1" a="1"/>
  <c r="J67" i="6" s="1"/>
  <c r="AB194" i="5"/>
  <c r="O98" i="12"/>
  <c r="M98" i="12"/>
  <c r="C98" i="12"/>
  <c r="AO98" i="12"/>
  <c r="AB98" i="5"/>
  <c r="AB250" i="5"/>
  <c r="O184" i="5"/>
  <c r="C184" i="6"/>
  <c r="AC184" i="5"/>
  <c r="J184" i="6" s="1" a="1"/>
  <c r="J184" i="6" s="1"/>
  <c r="C126" i="6"/>
  <c r="O126" i="5"/>
  <c r="AC126" i="5"/>
  <c r="J126" i="6" s="1" a="1"/>
  <c r="J126" i="6" s="1"/>
  <c r="AB362" i="5"/>
  <c r="C334" i="6"/>
  <c r="O334" i="5"/>
  <c r="AC334" i="5"/>
  <c r="J334" i="6" s="1" a="1"/>
  <c r="J334" i="6" s="1"/>
  <c r="M285" i="12"/>
  <c r="AO285" i="12"/>
  <c r="C285" i="12"/>
  <c r="O285" i="12"/>
  <c r="C73" i="6"/>
  <c r="AC73" i="5"/>
  <c r="J73" i="6" s="1" a="1"/>
  <c r="J73" i="6" s="1"/>
  <c r="AO298" i="12"/>
  <c r="O298" i="12"/>
  <c r="M298" i="12"/>
  <c r="C298" i="12"/>
  <c r="AB180" i="5"/>
  <c r="M352" i="12"/>
  <c r="O352" i="12"/>
  <c r="C352" i="12"/>
  <c r="AO352" i="12"/>
  <c r="C170" i="6"/>
  <c r="O170" i="5"/>
  <c r="AC170" i="5"/>
  <c r="J170" i="6" s="1" a="1"/>
  <c r="J170" i="6" s="1"/>
  <c r="M315" i="12"/>
  <c r="C315" i="12"/>
  <c r="O315" i="12"/>
  <c r="AO315" i="12"/>
  <c r="O359" i="5"/>
  <c r="C359" i="6"/>
  <c r="AC359" i="5"/>
  <c r="J359" i="6" s="1" a="1"/>
  <c r="J359" i="6" s="1"/>
  <c r="AB391" i="5"/>
  <c r="I325" i="12"/>
  <c r="AM325" i="5"/>
  <c r="S65" i="8"/>
  <c r="Z325" i="5"/>
  <c r="L325" i="5"/>
  <c r="AB323" i="5"/>
  <c r="M311" i="12"/>
  <c r="C311" i="12"/>
  <c r="AO311" i="12"/>
  <c r="O311" i="12"/>
  <c r="C45" i="12"/>
  <c r="AO45" i="12"/>
  <c r="O45" i="12"/>
  <c r="M45" i="12"/>
  <c r="AB124" i="5"/>
  <c r="C308" i="12"/>
  <c r="M308" i="12"/>
  <c r="AO308" i="12"/>
  <c r="O308" i="12"/>
  <c r="O295" i="12"/>
  <c r="C295" i="12"/>
  <c r="M295" i="12"/>
  <c r="AO295" i="12"/>
  <c r="AB105" i="5"/>
  <c r="AB100" i="5"/>
  <c r="AO149" i="12"/>
  <c r="O149" i="12"/>
  <c r="C149" i="12"/>
  <c r="M149" i="12"/>
  <c r="C149" i="6"/>
  <c r="AC149" i="5"/>
  <c r="J149" i="6" s="1" a="1"/>
  <c r="J149" i="6" s="1"/>
  <c r="C262" i="12"/>
  <c r="AO262" i="12"/>
  <c r="O262" i="12"/>
  <c r="M262" i="12"/>
  <c r="C262" i="6"/>
  <c r="AC262" i="5"/>
  <c r="J262" i="6" s="1" a="1"/>
  <c r="J262" i="6" s="1"/>
  <c r="C316" i="12"/>
  <c r="AO316" i="12"/>
  <c r="O316" i="12"/>
  <c r="M316" i="12"/>
  <c r="AB234" i="5"/>
  <c r="M353" i="12"/>
  <c r="O353" i="12"/>
  <c r="AO353" i="12"/>
  <c r="C353" i="12"/>
  <c r="O317" i="5"/>
  <c r="C317" i="6"/>
  <c r="AC317" i="5"/>
  <c r="J317" i="6" s="1" a="1"/>
  <c r="J317" i="6" s="1"/>
  <c r="O119" i="12"/>
  <c r="C119" i="12"/>
  <c r="AO119" i="12"/>
  <c r="M119" i="12"/>
  <c r="C32" i="6"/>
  <c r="O32" i="5"/>
  <c r="AC32" i="5"/>
  <c r="J32" i="6" s="1" a="1"/>
  <c r="J32" i="6" s="1"/>
  <c r="AB143" i="5"/>
  <c r="M226" i="12"/>
  <c r="C226" i="12"/>
  <c r="AO226" i="12"/>
  <c r="O226" i="12"/>
  <c r="AB226" i="5"/>
  <c r="I168" i="12"/>
  <c r="AM168" i="5"/>
  <c r="Z168" i="5"/>
  <c r="L168" i="5"/>
  <c r="C190" i="6"/>
  <c r="O190" i="5"/>
  <c r="AC190" i="5"/>
  <c r="J190" i="6" s="1" a="1"/>
  <c r="J190" i="6" s="1"/>
  <c r="O213" i="5"/>
  <c r="C213" i="6"/>
  <c r="AC213" i="5"/>
  <c r="J213" i="6" s="1" a="1"/>
  <c r="J213" i="6" s="1"/>
  <c r="O56" i="12"/>
  <c r="M56" i="12"/>
  <c r="C56" i="12"/>
  <c r="AO56" i="12"/>
  <c r="C156" i="12"/>
  <c r="O156" i="12"/>
  <c r="M156" i="12"/>
  <c r="AO156" i="12"/>
  <c r="C156" i="6"/>
  <c r="AC156" i="5"/>
  <c r="J156" i="6" s="1" a="1"/>
  <c r="J156" i="6" s="1"/>
  <c r="AB399" i="5"/>
  <c r="AB216" i="5"/>
  <c r="AB22" i="5"/>
  <c r="O354" i="12"/>
  <c r="AO354" i="12"/>
  <c r="C354" i="12"/>
  <c r="M354" i="12"/>
  <c r="C31" i="6"/>
  <c r="O31" i="5"/>
  <c r="AC31" i="5"/>
  <c r="J31" i="6" s="1" a="1"/>
  <c r="J31" i="6" s="1"/>
  <c r="C205" i="6"/>
  <c r="O205" i="5"/>
  <c r="AC205" i="5"/>
  <c r="J205" i="6" s="1" a="1"/>
  <c r="J205" i="6" s="1"/>
  <c r="AO122" i="12"/>
  <c r="O122" i="12"/>
  <c r="C122" i="12"/>
  <c r="M122" i="12"/>
  <c r="C72" i="6"/>
  <c r="AC72" i="5"/>
  <c r="J72" i="6" s="1" a="1"/>
  <c r="J72" i="6" s="1"/>
  <c r="AB72" i="5"/>
  <c r="AB189" i="5"/>
  <c r="AB44" i="5"/>
  <c r="C89" i="12"/>
  <c r="AO89" i="12"/>
  <c r="O89" i="12"/>
  <c r="M89" i="12"/>
  <c r="C228" i="6"/>
  <c r="O228" i="5"/>
  <c r="AC228" i="5"/>
  <c r="J228" i="6" s="1" a="1"/>
  <c r="J228" i="6" s="1"/>
  <c r="O307" i="5"/>
  <c r="C307" i="6"/>
  <c r="AC307" i="5"/>
  <c r="J307" i="6" s="1" a="1"/>
  <c r="J307" i="6" s="1"/>
  <c r="M310" i="12"/>
  <c r="C310" i="12"/>
  <c r="O310" i="12"/>
  <c r="AO310" i="12"/>
  <c r="C365" i="6"/>
  <c r="O365" i="5"/>
  <c r="AC365" i="5"/>
  <c r="J365" i="6" s="1" a="1"/>
  <c r="J365" i="6" s="1"/>
  <c r="C158" i="6"/>
  <c r="AC158" i="5"/>
  <c r="J158" i="6" s="1" a="1"/>
  <c r="J158" i="6" s="1"/>
  <c r="I342" i="12"/>
  <c r="Z342" i="5"/>
  <c r="AM342" i="5"/>
  <c r="S68" i="8"/>
  <c r="L342" i="5"/>
  <c r="C343" i="6"/>
  <c r="O343" i="5"/>
  <c r="AC343" i="5"/>
  <c r="J343" i="6" s="1" a="1"/>
  <c r="J343" i="6" s="1"/>
  <c r="O18" i="5"/>
  <c r="C18" i="6"/>
  <c r="AC18" i="5"/>
  <c r="J18" i="6" s="1" a="1"/>
  <c r="J18" i="6" s="1"/>
  <c r="M273" i="12"/>
  <c r="AO273" i="12"/>
  <c r="O273" i="12"/>
  <c r="C273" i="12"/>
  <c r="AB314" i="5"/>
  <c r="AO322" i="12"/>
  <c r="C322" i="12"/>
  <c r="O322" i="12"/>
  <c r="M322" i="12"/>
  <c r="C296" i="12"/>
  <c r="M296" i="12"/>
  <c r="O296" i="12"/>
  <c r="AO296" i="12"/>
  <c r="AB335" i="5"/>
  <c r="M163" i="12"/>
  <c r="C163" i="12"/>
  <c r="O163" i="12"/>
  <c r="AO163" i="12"/>
  <c r="C163" i="6"/>
  <c r="AC163" i="5"/>
  <c r="J163" i="6" s="1" a="1"/>
  <c r="J163" i="6" s="1"/>
  <c r="O374" i="5"/>
  <c r="C374" i="6"/>
  <c r="AC374" i="5"/>
  <c r="J374" i="6" s="1" a="1"/>
  <c r="J374" i="6" s="1"/>
  <c r="AB24" i="5"/>
  <c r="C258" i="6"/>
  <c r="AC258" i="5"/>
  <c r="J258" i="6" s="1" a="1"/>
  <c r="J258" i="6" s="1"/>
  <c r="AB179" i="5"/>
  <c r="AB153" i="5"/>
  <c r="M153" i="12"/>
  <c r="O153" i="12"/>
  <c r="C153" i="12"/>
  <c r="AO153" i="12"/>
  <c r="AB376" i="5"/>
  <c r="M293" i="12"/>
  <c r="AO293" i="12"/>
  <c r="O293" i="12"/>
  <c r="C293" i="12"/>
  <c r="O59" i="12"/>
  <c r="C59" i="12"/>
  <c r="M59" i="12"/>
  <c r="AO59" i="12"/>
  <c r="C181" i="6"/>
  <c r="O181" i="5"/>
  <c r="AC181" i="5"/>
  <c r="J181" i="6" s="1" a="1"/>
  <c r="J181" i="6" s="1"/>
  <c r="C193" i="6"/>
  <c r="O193" i="5"/>
  <c r="AC193" i="5"/>
  <c r="J193" i="6" s="1" a="1"/>
  <c r="J193" i="6" s="1"/>
  <c r="AB266" i="5"/>
  <c r="AB227" i="5"/>
  <c r="O367" i="5"/>
  <c r="C367" i="6"/>
  <c r="AC367" i="5"/>
  <c r="J367" i="6" s="1" a="1"/>
  <c r="J367" i="6" s="1"/>
  <c r="AB145" i="5"/>
  <c r="AB62" i="5"/>
  <c r="AB372" i="5"/>
  <c r="AB164" i="5"/>
  <c r="AB191" i="5"/>
  <c r="AB63" i="5"/>
  <c r="C174" i="6"/>
  <c r="O174" i="5"/>
  <c r="AC174" i="5"/>
  <c r="J174" i="6" s="1" a="1"/>
  <c r="J174" i="6" s="1"/>
  <c r="C224" i="6"/>
  <c r="O224" i="5"/>
  <c r="AC224" i="5"/>
  <c r="J224" i="6" s="1" a="1"/>
  <c r="J224" i="6" s="1"/>
  <c r="O117" i="12"/>
  <c r="C117" i="12"/>
  <c r="M117" i="12"/>
  <c r="AO117" i="12"/>
  <c r="AB146" i="5"/>
  <c r="M146" i="12"/>
  <c r="O146" i="12"/>
  <c r="AO146" i="12"/>
  <c r="C146" i="12"/>
  <c r="AB253" i="5"/>
  <c r="C277" i="6"/>
  <c r="O277" i="5"/>
  <c r="AC277" i="5"/>
  <c r="J277" i="6" s="1" a="1"/>
  <c r="J277" i="6" s="1"/>
  <c r="AB265" i="5"/>
  <c r="AB300" i="5"/>
  <c r="C192" i="6"/>
  <c r="O192" i="5"/>
  <c r="AC192" i="5"/>
  <c r="J192" i="6" s="1" a="1"/>
  <c r="J192" i="6" s="1"/>
  <c r="O357" i="5"/>
  <c r="C357" i="6"/>
  <c r="AC357" i="5"/>
  <c r="J357" i="6" s="1" a="1"/>
  <c r="J357" i="6" s="1"/>
  <c r="C229" i="6"/>
  <c r="O229" i="5"/>
  <c r="AC229" i="5"/>
  <c r="J229" i="6" s="1" a="1"/>
  <c r="J229" i="6" s="1"/>
  <c r="AB154" i="5"/>
  <c r="M154" i="12"/>
  <c r="C154" i="12"/>
  <c r="AO154" i="12"/>
  <c r="O154" i="12"/>
  <c r="M313" i="12"/>
  <c r="C313" i="12"/>
  <c r="O313" i="12"/>
  <c r="AO313" i="12"/>
  <c r="C61" i="6"/>
  <c r="O61" i="5"/>
  <c r="AC61" i="5"/>
  <c r="J61" i="6" s="1" a="1"/>
  <c r="J61" i="6" s="1"/>
  <c r="AB328" i="5"/>
  <c r="AB210" i="5"/>
  <c r="O252" i="12"/>
  <c r="AO252" i="12"/>
  <c r="C252" i="12"/>
  <c r="M252" i="12"/>
  <c r="M198" i="12"/>
  <c r="O198" i="12"/>
  <c r="AO198" i="12"/>
  <c r="C198" i="12"/>
  <c r="AB136" i="5"/>
  <c r="AB134" i="5"/>
  <c r="AB204" i="5"/>
  <c r="AB251" i="5"/>
  <c r="AO197" i="12"/>
  <c r="C197" i="12"/>
  <c r="O197" i="12"/>
  <c r="M197" i="12"/>
  <c r="M81" i="12"/>
  <c r="AO81" i="12"/>
  <c r="C81" i="12"/>
  <c r="O81" i="12"/>
  <c r="AB81" i="5"/>
  <c r="C99" i="6"/>
  <c r="AC99" i="5"/>
  <c r="J99" i="6" s="1" a="1"/>
  <c r="J99" i="6" s="1"/>
  <c r="AB157" i="5"/>
  <c r="M304" i="12"/>
  <c r="AO304" i="12"/>
  <c r="O304" i="12"/>
  <c r="C304" i="12"/>
  <c r="C83" i="6"/>
  <c r="AC83" i="5"/>
  <c r="J83" i="6" s="1" a="1"/>
  <c r="J83" i="6" s="1"/>
  <c r="C279" i="12"/>
  <c r="M279" i="12"/>
  <c r="AO279" i="12"/>
  <c r="O279" i="12"/>
  <c r="C398" i="12"/>
  <c r="AO398" i="12"/>
  <c r="O398" i="12"/>
  <c r="M398" i="12"/>
  <c r="AB321" i="5"/>
  <c r="C240" i="6"/>
  <c r="AC240" i="5"/>
  <c r="J240" i="6" s="1" a="1"/>
  <c r="J240" i="6" s="1"/>
  <c r="AO292" i="12"/>
  <c r="C292" i="12"/>
  <c r="O292" i="12"/>
  <c r="M292" i="12"/>
  <c r="AB185" i="5"/>
  <c r="O294" i="12"/>
  <c r="M294" i="12"/>
  <c r="AO294" i="12"/>
  <c r="C294" i="12"/>
  <c r="AB118" i="5"/>
  <c r="O320" i="12"/>
  <c r="M320" i="12"/>
  <c r="C320" i="12"/>
  <c r="AO320" i="12"/>
  <c r="AB319" i="5"/>
  <c r="O58" i="12"/>
  <c r="C58" i="12"/>
  <c r="AO58" i="12"/>
  <c r="M58" i="12"/>
  <c r="C141" i="6"/>
  <c r="AC141" i="5"/>
  <c r="J141" i="6" s="1" a="1"/>
  <c r="J141" i="6" s="1"/>
  <c r="C245" i="6"/>
  <c r="AC245" i="5"/>
  <c r="J245" i="6" s="1" a="1"/>
  <c r="J245" i="6" s="1"/>
  <c r="AB356" i="5"/>
  <c r="O248" i="5"/>
  <c r="C248" i="6"/>
  <c r="AC248" i="5"/>
  <c r="J248" i="6" s="1" a="1"/>
  <c r="J248" i="6" s="1"/>
  <c r="C306" i="6"/>
  <c r="O306" i="5"/>
  <c r="AC306" i="5"/>
  <c r="J306" i="6" s="1" a="1"/>
  <c r="J306" i="6" s="1"/>
  <c r="C260" i="6"/>
  <c r="AC260" i="5"/>
  <c r="J260" i="6" s="1" a="1"/>
  <c r="J260" i="6" s="1"/>
  <c r="M53" i="12"/>
  <c r="M52" i="12" s="1"/>
  <c r="C53" i="12"/>
  <c r="O53" i="12"/>
  <c r="AO53" i="12"/>
  <c r="AB87" i="5"/>
  <c r="C140" i="6"/>
  <c r="AC140" i="5"/>
  <c r="J140" i="6" s="1" a="1"/>
  <c r="J140" i="6" s="1"/>
  <c r="AO160" i="12"/>
  <c r="O160" i="12"/>
  <c r="M160" i="12"/>
  <c r="C160" i="12"/>
  <c r="AO177" i="12"/>
  <c r="M177" i="12"/>
  <c r="O177" i="12"/>
  <c r="C177" i="12"/>
  <c r="AB283" i="5"/>
  <c r="O393" i="5"/>
  <c r="C393" i="6"/>
  <c r="AC393" i="5"/>
  <c r="J393" i="6" s="1" a="1"/>
  <c r="J393" i="6" s="1"/>
  <c r="M331" i="12"/>
  <c r="AO331" i="12"/>
  <c r="C331" i="12"/>
  <c r="O331" i="12"/>
  <c r="C368" i="6"/>
  <c r="O368" i="5"/>
  <c r="AC368" i="5"/>
  <c r="J368" i="6" s="1" a="1"/>
  <c r="J368" i="6" s="1"/>
  <c r="AB25" i="5"/>
  <c r="AB151" i="5"/>
  <c r="M341" i="12"/>
  <c r="O341" i="12"/>
  <c r="AO341" i="12"/>
  <c r="C341" i="12"/>
  <c r="C66" i="12"/>
  <c r="AO66" i="12"/>
  <c r="M66" i="12"/>
  <c r="O66" i="12"/>
  <c r="C137" i="6"/>
  <c r="AC137" i="5"/>
  <c r="J137" i="6" s="1" a="1"/>
  <c r="J137" i="6" s="1"/>
  <c r="AB223" i="5"/>
  <c r="AB144" i="5"/>
  <c r="C350" i="12"/>
  <c r="O350" i="12"/>
  <c r="M350" i="12"/>
  <c r="AO350" i="12"/>
  <c r="AB120" i="5"/>
  <c r="C75" i="6"/>
  <c r="AC75" i="5"/>
  <c r="J75" i="6" s="1" a="1"/>
  <c r="J75" i="6" s="1"/>
  <c r="AB114" i="5"/>
  <c r="O201" i="12"/>
  <c r="AO201" i="12"/>
  <c r="M201" i="12"/>
  <c r="C201" i="12"/>
  <c r="O394" i="5"/>
  <c r="C394" i="6"/>
  <c r="AC394" i="5"/>
  <c r="J394" i="6" s="1" a="1"/>
  <c r="J394" i="6" s="1"/>
  <c r="C312" i="6"/>
  <c r="O312" i="5"/>
  <c r="AC312" i="5"/>
  <c r="J312" i="6" s="1" a="1"/>
  <c r="J312" i="6" s="1"/>
  <c r="AB332" i="5"/>
  <c r="AO237" i="12"/>
  <c r="M237" i="12"/>
  <c r="O237" i="12"/>
  <c r="C237" i="12"/>
  <c r="AB208" i="5"/>
  <c r="AB113" i="5"/>
  <c r="AB221" i="5"/>
  <c r="M152" i="12"/>
  <c r="O152" i="12"/>
  <c r="C152" i="12"/>
  <c r="AO152" i="12"/>
  <c r="AO39" i="12"/>
  <c r="C39" i="12"/>
  <c r="O39" i="12"/>
  <c r="M39" i="12"/>
  <c r="O330" i="5"/>
  <c r="C330" i="6"/>
  <c r="AC330" i="5"/>
  <c r="J330" i="6" s="1" a="1"/>
  <c r="J330" i="6" s="1"/>
  <c r="AO55" i="12"/>
  <c r="C55" i="12"/>
  <c r="O55" i="12"/>
  <c r="M55" i="12"/>
  <c r="AB309" i="5"/>
  <c r="AB219" i="5"/>
  <c r="AO167" i="12"/>
  <c r="C167" i="12"/>
  <c r="M167" i="12"/>
  <c r="O167" i="12"/>
  <c r="O212" i="5"/>
  <c r="C212" i="6"/>
  <c r="AC212" i="5"/>
  <c r="J212" i="6" s="1" a="1"/>
  <c r="J212" i="6" s="1"/>
  <c r="M267" i="12"/>
  <c r="C267" i="12"/>
  <c r="AO267" i="12"/>
  <c r="O267" i="12"/>
  <c r="AO162" i="12"/>
  <c r="C162" i="12"/>
  <c r="O162" i="12"/>
  <c r="M162" i="12"/>
  <c r="AB366" i="5"/>
  <c r="C77" i="6"/>
  <c r="AC77" i="5"/>
  <c r="J77" i="6" s="1" a="1"/>
  <c r="J77" i="6" s="1"/>
  <c r="C128" i="6"/>
  <c r="O128" i="5"/>
  <c r="AC128" i="5"/>
  <c r="J128" i="6" s="1" a="1"/>
  <c r="J128" i="6" s="1"/>
  <c r="W133" i="5"/>
  <c r="AN133" i="5"/>
  <c r="W302" i="5"/>
  <c r="AN302" i="5"/>
  <c r="AN92" i="5"/>
  <c r="W92" i="5"/>
  <c r="AN271" i="5"/>
  <c r="W271" i="5"/>
  <c r="W94" i="5"/>
  <c r="AN94" i="5"/>
  <c r="AN381" i="5"/>
  <c r="W381" i="5"/>
  <c r="AN91" i="5"/>
  <c r="W91" i="5"/>
  <c r="AB207" i="5"/>
  <c r="C109" i="6"/>
  <c r="AC109" i="5"/>
  <c r="J109" i="6" s="1" a="1"/>
  <c r="J109" i="6" s="1"/>
  <c r="AB348" i="5"/>
  <c r="C329" i="6"/>
  <c r="O329" i="5"/>
  <c r="AC329" i="5"/>
  <c r="J329" i="6" s="1" a="1"/>
  <c r="J329" i="6" s="1"/>
  <c r="AB305" i="5"/>
  <c r="C404" i="6"/>
  <c r="O404" i="5"/>
  <c r="AC404" i="5"/>
  <c r="J404" i="6" s="1" a="1"/>
  <c r="J404" i="6" s="1"/>
  <c r="AB404" i="5"/>
  <c r="AB403" i="5" s="1"/>
  <c r="AB107" i="5"/>
  <c r="C60" i="12"/>
  <c r="M60" i="12"/>
  <c r="O60" i="12"/>
  <c r="AO60" i="12"/>
  <c r="O199" i="12"/>
  <c r="C199" i="12"/>
  <c r="M199" i="12"/>
  <c r="AO199" i="12"/>
  <c r="AB86" i="5"/>
  <c r="C86" i="12"/>
  <c r="O86" i="12"/>
  <c r="AO86" i="12"/>
  <c r="M86" i="12"/>
  <c r="AO361" i="12"/>
  <c r="M361" i="12"/>
  <c r="C361" i="12"/>
  <c r="O361" i="12"/>
  <c r="C125" i="6"/>
  <c r="O125" i="5"/>
  <c r="AC125" i="5"/>
  <c r="J125" i="6" s="1" a="1"/>
  <c r="J125" i="6" s="1"/>
  <c r="O135" i="12"/>
  <c r="AO135" i="12"/>
  <c r="C135" i="12"/>
  <c r="M135" i="12"/>
  <c r="AO371" i="12"/>
  <c r="M371" i="12"/>
  <c r="C371" i="12"/>
  <c r="O371" i="12"/>
  <c r="O183" i="12"/>
  <c r="M183" i="12"/>
  <c r="C183" i="12"/>
  <c r="AO183" i="12"/>
  <c r="C242" i="12"/>
  <c r="AO242" i="12"/>
  <c r="O242" i="12"/>
  <c r="M242" i="12"/>
  <c r="C249" i="12"/>
  <c r="AO249" i="12"/>
  <c r="M249" i="12"/>
  <c r="O249" i="12"/>
  <c r="C259" i="6"/>
  <c r="AC259" i="5"/>
  <c r="J259" i="6" s="1" a="1"/>
  <c r="J259" i="6" s="1"/>
  <c r="C65" i="12"/>
  <c r="M65" i="12"/>
  <c r="AO65" i="12"/>
  <c r="O65" i="12"/>
  <c r="AB93" i="5"/>
  <c r="AO274" i="12"/>
  <c r="C274" i="12"/>
  <c r="M274" i="12"/>
  <c r="O274" i="12"/>
  <c r="C30" i="12"/>
  <c r="M30" i="12"/>
  <c r="O30" i="12"/>
  <c r="AO30" i="12"/>
  <c r="C196" i="12"/>
  <c r="M196" i="12"/>
  <c r="AO196" i="12"/>
  <c r="O196" i="12"/>
  <c r="C235" i="6"/>
  <c r="AC235" i="5"/>
  <c r="J235" i="6" s="1" a="1"/>
  <c r="J235" i="6" s="1"/>
  <c r="O264" i="12"/>
  <c r="AO264" i="12"/>
  <c r="C264" i="12"/>
  <c r="M264" i="12"/>
  <c r="C42" i="6"/>
  <c r="O42" i="5"/>
  <c r="AC42" i="5"/>
  <c r="J42" i="6" s="1" a="1"/>
  <c r="J42" i="6" s="1"/>
  <c r="C159" i="6"/>
  <c r="AC159" i="5"/>
  <c r="J159" i="6" s="1" a="1"/>
  <c r="J159" i="6" s="1"/>
  <c r="O214" i="5"/>
  <c r="C214" i="6"/>
  <c r="AC214" i="5"/>
  <c r="J214" i="6" s="1" a="1"/>
  <c r="J214" i="6" s="1"/>
  <c r="AB138" i="5"/>
  <c r="AB291" i="5"/>
  <c r="O203" i="5"/>
  <c r="C203" i="6"/>
  <c r="AC203" i="5"/>
  <c r="J203" i="6" s="1" a="1"/>
  <c r="J203" i="6" s="1"/>
  <c r="C188" i="6"/>
  <c r="O188" i="5"/>
  <c r="AC188" i="5"/>
  <c r="J188" i="6" s="1" a="1"/>
  <c r="J188" i="6" s="1"/>
  <c r="M345" i="12"/>
  <c r="AO345" i="12"/>
  <c r="O345" i="12"/>
  <c r="C345" i="12"/>
  <c r="AO38" i="12"/>
  <c r="O38" i="12"/>
  <c r="M38" i="12"/>
  <c r="C38" i="12"/>
  <c r="AB340" i="5"/>
  <c r="M70" i="12"/>
  <c r="O70" i="12"/>
  <c r="C70" i="12"/>
  <c r="AO70" i="12"/>
  <c r="O369" i="12"/>
  <c r="AO369" i="12"/>
  <c r="M369" i="12"/>
  <c r="C369" i="12"/>
  <c r="AB281" i="5"/>
  <c r="AB337" i="5"/>
  <c r="AB79" i="5"/>
  <c r="AB358" i="5"/>
  <c r="AB64" i="5"/>
  <c r="AO20" i="12"/>
  <c r="O20" i="12"/>
  <c r="M20" i="12"/>
  <c r="C20" i="12"/>
  <c r="AB101" i="5"/>
  <c r="C116" i="6"/>
  <c r="O116" i="5"/>
  <c r="AC116" i="5"/>
  <c r="J116" i="6" s="1" a="1"/>
  <c r="J116" i="6" s="1"/>
  <c r="O172" i="5"/>
  <c r="C172" i="6"/>
  <c r="AC172" i="5"/>
  <c r="J172" i="6" s="1" a="1"/>
  <c r="J172" i="6" s="1"/>
  <c r="M373" i="12"/>
  <c r="C373" i="12"/>
  <c r="AO373" i="12"/>
  <c r="O373" i="12"/>
  <c r="AB46" i="5"/>
  <c r="AB338" i="5"/>
  <c r="C19" i="6"/>
  <c r="O19" i="5"/>
  <c r="AC19" i="5"/>
  <c r="J19" i="6" s="1" a="1"/>
  <c r="J19" i="6" s="1"/>
  <c r="AB123" i="5"/>
  <c r="C378" i="6"/>
  <c r="O378" i="5"/>
  <c r="AC378" i="5"/>
  <c r="J378" i="6" s="1" a="1"/>
  <c r="J378" i="6" s="1"/>
  <c r="M142" i="12"/>
  <c r="AO142" i="12"/>
  <c r="C142" i="12"/>
  <c r="O142" i="12"/>
  <c r="C142" i="6"/>
  <c r="AC142" i="5"/>
  <c r="J142" i="6" s="1" a="1"/>
  <c r="J142" i="6" s="1"/>
  <c r="O43" i="12"/>
  <c r="C43" i="12"/>
  <c r="M43" i="12"/>
  <c r="AO43" i="12"/>
  <c r="C171" i="6"/>
  <c r="O171" i="5"/>
  <c r="AC171" i="5"/>
  <c r="J171" i="6" s="1" a="1"/>
  <c r="J171" i="6" s="1"/>
  <c r="AB71" i="5"/>
  <c r="O351" i="5"/>
  <c r="C351" i="6"/>
  <c r="AC351" i="5"/>
  <c r="J351" i="6" s="1" a="1"/>
  <c r="J351" i="6" s="1"/>
  <c r="AB175" i="5"/>
  <c r="O318" i="5"/>
  <c r="C318" i="6"/>
  <c r="AC318" i="5"/>
  <c r="J318" i="6" s="1" a="1"/>
  <c r="J318" i="6" s="1"/>
  <c r="O215" i="12"/>
  <c r="AO215" i="12"/>
  <c r="M215" i="12"/>
  <c r="C215" i="12"/>
  <c r="AB67" i="5"/>
  <c r="C194" i="6"/>
  <c r="O194" i="5"/>
  <c r="AC194" i="5"/>
  <c r="J194" i="6" s="1" a="1"/>
  <c r="J194" i="6" s="1"/>
  <c r="O206" i="12"/>
  <c r="C206" i="12"/>
  <c r="AO206" i="12"/>
  <c r="M206" i="12"/>
  <c r="C250" i="12"/>
  <c r="M250" i="12"/>
  <c r="AO250" i="12"/>
  <c r="O250" i="12"/>
  <c r="AO126" i="12"/>
  <c r="C126" i="12"/>
  <c r="O126" i="12"/>
  <c r="M126" i="12"/>
  <c r="C397" i="6"/>
  <c r="O397" i="5"/>
  <c r="AC397" i="5"/>
  <c r="J397" i="6" s="1" a="1"/>
  <c r="J397" i="6" s="1"/>
  <c r="AB339" i="5"/>
  <c r="AB334" i="5"/>
  <c r="O285" i="5"/>
  <c r="C285" i="6"/>
  <c r="AC285" i="5"/>
  <c r="J285" i="6" s="1" a="1"/>
  <c r="J285" i="6" s="1"/>
  <c r="AB73" i="5"/>
  <c r="AO73" i="12"/>
  <c r="C73" i="12"/>
  <c r="O73" i="12"/>
  <c r="M73" i="12"/>
  <c r="C290" i="6"/>
  <c r="O290" i="5"/>
  <c r="AC290" i="5"/>
  <c r="J290" i="6" s="1" a="1"/>
  <c r="J290" i="6" s="1"/>
  <c r="AO396" i="12"/>
  <c r="M396" i="12"/>
  <c r="C396" i="12"/>
  <c r="O396" i="12"/>
  <c r="O176" i="12"/>
  <c r="M176" i="12"/>
  <c r="C176" i="12"/>
  <c r="AO176" i="12"/>
  <c r="AB298" i="5"/>
  <c r="O180" i="5"/>
  <c r="C180" i="6"/>
  <c r="AC180" i="5"/>
  <c r="J180" i="6" s="1" a="1"/>
  <c r="J180" i="6" s="1"/>
  <c r="C352" i="6"/>
  <c r="O352" i="5"/>
  <c r="AC352" i="5"/>
  <c r="J352" i="6" s="1" a="1"/>
  <c r="J352" i="6" s="1"/>
  <c r="O375" i="5"/>
  <c r="C375" i="6"/>
  <c r="AC375" i="5"/>
  <c r="J375" i="6" s="1" a="1"/>
  <c r="J375" i="6" s="1"/>
  <c r="AB170" i="5"/>
  <c r="O315" i="5"/>
  <c r="C315" i="6"/>
  <c r="AC315" i="5"/>
  <c r="J315" i="6" s="1" a="1"/>
  <c r="J315" i="6" s="1"/>
  <c r="AB359" i="5"/>
  <c r="C391" i="6"/>
  <c r="AC391" i="5"/>
  <c r="J391" i="6" s="1" a="1"/>
  <c r="J391" i="6" s="1"/>
  <c r="C282" i="12"/>
  <c r="AO282" i="12"/>
  <c r="M282" i="12"/>
  <c r="O282" i="12"/>
  <c r="C326" i="12"/>
  <c r="O326" i="12"/>
  <c r="M326" i="12"/>
  <c r="AO326" i="12"/>
  <c r="C323" i="6"/>
  <c r="O323" i="5"/>
  <c r="AC323" i="5"/>
  <c r="J323" i="6" s="1" a="1"/>
  <c r="J323" i="6" s="1"/>
  <c r="C311" i="6"/>
  <c r="O311" i="5"/>
  <c r="AC311" i="5"/>
  <c r="J311" i="6" s="1" a="1"/>
  <c r="J311" i="6" s="1"/>
  <c r="C23" i="6"/>
  <c r="O23" i="5"/>
  <c r="AC23" i="5"/>
  <c r="J23" i="6" s="1" a="1"/>
  <c r="J23" i="6" s="1"/>
  <c r="AO230" i="12"/>
  <c r="M230" i="12"/>
  <c r="C230" i="12"/>
  <c r="O230" i="12"/>
  <c r="AB45" i="5"/>
  <c r="C124" i="6"/>
  <c r="O124" i="5"/>
  <c r="AC124" i="5"/>
  <c r="J124" i="6" s="1" a="1"/>
  <c r="J124" i="6" s="1"/>
  <c r="AB308" i="5"/>
  <c r="AB295" i="5"/>
  <c r="AB270" i="5"/>
  <c r="AB209" i="5"/>
  <c r="AB262" i="5"/>
  <c r="AB316" i="5"/>
  <c r="AB324" i="5"/>
  <c r="O29" i="5"/>
  <c r="C29" i="6"/>
  <c r="AC29" i="5"/>
  <c r="J29" i="6" s="1" a="1"/>
  <c r="J29" i="6" s="1"/>
  <c r="O29" i="12"/>
  <c r="AO29" i="12"/>
  <c r="M29" i="12"/>
  <c r="C29" i="12"/>
  <c r="AB317" i="5"/>
  <c r="AO327" i="12"/>
  <c r="M327" i="12"/>
  <c r="C327" i="12"/>
  <c r="O327" i="12"/>
  <c r="AO32" i="12"/>
  <c r="O32" i="12"/>
  <c r="C32" i="12"/>
  <c r="M32" i="12"/>
  <c r="M143" i="12"/>
  <c r="C143" i="12"/>
  <c r="AO143" i="12"/>
  <c r="O143" i="12"/>
  <c r="O131" i="12"/>
  <c r="AO131" i="12"/>
  <c r="C131" i="12"/>
  <c r="M131" i="12"/>
  <c r="AB190" i="5"/>
  <c r="O213" i="12"/>
  <c r="AO213" i="12"/>
  <c r="M213" i="12"/>
  <c r="C213" i="12"/>
  <c r="O178" i="5"/>
  <c r="C178" i="6"/>
  <c r="AC178" i="5"/>
  <c r="J178" i="6" s="1" a="1"/>
  <c r="J178" i="6" s="1"/>
  <c r="AB56" i="5"/>
  <c r="M182" i="12"/>
  <c r="C182" i="12"/>
  <c r="AO182" i="12"/>
  <c r="O182" i="12"/>
  <c r="C216" i="6"/>
  <c r="O216" i="5"/>
  <c r="AC216" i="5"/>
  <c r="J216" i="6" s="1" a="1"/>
  <c r="J216" i="6" s="1"/>
  <c r="O22" i="12"/>
  <c r="C22" i="12"/>
  <c r="AO22" i="12"/>
  <c r="M22" i="12"/>
  <c r="D26" i="12"/>
  <c r="E26" i="6"/>
  <c r="AB354" i="5"/>
  <c r="M78" i="12"/>
  <c r="C78" i="12"/>
  <c r="O78" i="12"/>
  <c r="AO78" i="12"/>
  <c r="AO31" i="12"/>
  <c r="O31" i="12"/>
  <c r="M31" i="12"/>
  <c r="C31" i="12"/>
  <c r="O220" i="5"/>
  <c r="C220" i="6"/>
  <c r="AC220" i="5"/>
  <c r="J220" i="6" s="1" a="1"/>
  <c r="J220" i="6" s="1"/>
  <c r="AB205" i="5"/>
  <c r="AB122" i="5"/>
  <c r="AO333" i="12"/>
  <c r="C333" i="12"/>
  <c r="M333" i="12"/>
  <c r="O333" i="12"/>
  <c r="O44" i="5"/>
  <c r="C44" i="6"/>
  <c r="AC44" i="5"/>
  <c r="J44" i="6" s="1" a="1"/>
  <c r="J44" i="6" s="1"/>
  <c r="AB89" i="5"/>
  <c r="C307" i="12"/>
  <c r="O307" i="12"/>
  <c r="AO307" i="12"/>
  <c r="M307" i="12"/>
  <c r="AB310" i="5"/>
  <c r="AB365" i="5"/>
  <c r="AB261" i="5"/>
  <c r="AB158" i="5"/>
  <c r="AB343" i="5"/>
  <c r="C355" i="6"/>
  <c r="O355" i="5"/>
  <c r="AC355" i="5"/>
  <c r="J355" i="6" s="1" a="1"/>
  <c r="J355" i="6" s="1"/>
  <c r="AB18" i="5"/>
  <c r="L17" i="5"/>
  <c r="I17" i="12"/>
  <c r="S17" i="8"/>
  <c r="Z17" i="5"/>
  <c r="AM17" i="5"/>
  <c r="AM272" i="5"/>
  <c r="Z272" i="5"/>
  <c r="I272" i="12"/>
  <c r="L272" i="5"/>
  <c r="M314" i="12"/>
  <c r="AO314" i="12"/>
  <c r="O314" i="12"/>
  <c r="C314" i="12"/>
  <c r="AB322" i="5"/>
  <c r="C296" i="6"/>
  <c r="O296" i="5"/>
  <c r="AC296" i="5"/>
  <c r="J296" i="6" s="1" a="1"/>
  <c r="J296" i="6" s="1"/>
  <c r="C335" i="6"/>
  <c r="O335" i="5"/>
  <c r="AC335" i="5"/>
  <c r="J335" i="6" s="1" a="1"/>
  <c r="J335" i="6" s="1"/>
  <c r="M85" i="12"/>
  <c r="O85" i="12"/>
  <c r="C85" i="12"/>
  <c r="AO85" i="12"/>
  <c r="M363" i="12"/>
  <c r="O363" i="12"/>
  <c r="AO363" i="12"/>
  <c r="C363" i="12"/>
  <c r="O24" i="5"/>
  <c r="C24" i="6"/>
  <c r="AC24" i="5"/>
  <c r="J24" i="6" s="1" a="1"/>
  <c r="J24" i="6" s="1"/>
  <c r="AB161" i="5"/>
  <c r="AO187" i="12"/>
  <c r="C187" i="12"/>
  <c r="O187" i="12"/>
  <c r="M187" i="12"/>
  <c r="AB257" i="5"/>
  <c r="C257" i="6"/>
  <c r="AC257" i="5"/>
  <c r="J257" i="6" s="1" a="1"/>
  <c r="J257" i="6" s="1"/>
  <c r="C112" i="6"/>
  <c r="AC112" i="5"/>
  <c r="J112" i="6" s="1" a="1"/>
  <c r="J112" i="6" s="1"/>
  <c r="AB293" i="5"/>
  <c r="AB59" i="5"/>
  <c r="M76" i="12"/>
  <c r="AO76" i="12"/>
  <c r="O76" i="12"/>
  <c r="C76" i="12"/>
  <c r="C280" i="6"/>
  <c r="O280" i="5"/>
  <c r="AC280" i="5"/>
  <c r="J280" i="6" s="1" a="1"/>
  <c r="J280" i="6" s="1"/>
  <c r="AB241" i="5"/>
  <c r="AO241" i="12"/>
  <c r="M241" i="12"/>
  <c r="O241" i="12"/>
  <c r="C241" i="12"/>
  <c r="AO74" i="12"/>
  <c r="M74" i="12"/>
  <c r="O74" i="12"/>
  <c r="C74" i="12"/>
  <c r="O227" i="5"/>
  <c r="C227" i="6"/>
  <c r="AC227" i="5"/>
  <c r="J227" i="6" s="1" a="1"/>
  <c r="J227" i="6" s="1"/>
  <c r="AB360" i="5"/>
  <c r="AB299" i="5"/>
  <c r="O62" i="5"/>
  <c r="C62" i="6"/>
  <c r="AC62" i="5"/>
  <c r="J62" i="6" s="1" a="1"/>
  <c r="J62" i="6" s="1"/>
  <c r="O372" i="5"/>
  <c r="C372" i="6"/>
  <c r="AC372" i="5"/>
  <c r="J372" i="6" s="1" a="1"/>
  <c r="J372" i="6" s="1"/>
  <c r="C191" i="6"/>
  <c r="O191" i="5"/>
  <c r="AC191" i="5"/>
  <c r="J191" i="6" s="1" a="1"/>
  <c r="J191" i="6" s="1"/>
  <c r="AO150" i="12"/>
  <c r="M150" i="12"/>
  <c r="O150" i="12"/>
  <c r="C150" i="12"/>
  <c r="O63" i="5"/>
  <c r="C63" i="6"/>
  <c r="AC63" i="5"/>
  <c r="J63" i="6" s="1" a="1"/>
  <c r="J63" i="6" s="1"/>
  <c r="AB174" i="5"/>
  <c r="M263" i="12"/>
  <c r="C263" i="12"/>
  <c r="AO263" i="12"/>
  <c r="O263" i="12"/>
  <c r="C117" i="6"/>
  <c r="O117" i="5"/>
  <c r="AC117" i="5"/>
  <c r="J117" i="6" s="1" a="1"/>
  <c r="J117" i="6" s="1"/>
  <c r="C146" i="6"/>
  <c r="AC146" i="5"/>
  <c r="J146" i="6" s="1" a="1"/>
  <c r="J146" i="6" s="1"/>
  <c r="AO253" i="12"/>
  <c r="O253" i="12"/>
  <c r="C253" i="12"/>
  <c r="M253" i="12"/>
  <c r="M277" i="12"/>
  <c r="AO277" i="12"/>
  <c r="C277" i="12"/>
  <c r="O277" i="12"/>
  <c r="C217" i="6"/>
  <c r="O217" i="5"/>
  <c r="AC217" i="5"/>
  <c r="J217" i="6" s="1" a="1"/>
  <c r="J217" i="6" s="1"/>
  <c r="C357" i="12"/>
  <c r="M357" i="12"/>
  <c r="O357" i="12"/>
  <c r="AO357" i="12"/>
  <c r="AO229" i="12"/>
  <c r="O229" i="12"/>
  <c r="M229" i="12"/>
  <c r="C229" i="12"/>
  <c r="O297" i="5"/>
  <c r="C297" i="6"/>
  <c r="AC297" i="5"/>
  <c r="J297" i="6" s="1" a="1"/>
  <c r="J297" i="6" s="1"/>
  <c r="C154" i="6"/>
  <c r="AC154" i="5"/>
  <c r="J154" i="6" s="1" a="1"/>
  <c r="J154" i="6" s="1"/>
  <c r="C222" i="6"/>
  <c r="O222" i="5"/>
  <c r="AC222" i="5"/>
  <c r="J222" i="6" s="1" a="1"/>
  <c r="J222" i="6" s="1"/>
  <c r="C210" i="6"/>
  <c r="O210" i="5"/>
  <c r="AC210" i="5"/>
  <c r="J210" i="6" s="1" a="1"/>
  <c r="J210" i="6" s="1"/>
  <c r="AO195" i="12"/>
  <c r="O195" i="12"/>
  <c r="C195" i="12"/>
  <c r="M195" i="12"/>
  <c r="AB252" i="5"/>
  <c r="C88" i="12"/>
  <c r="M88" i="12"/>
  <c r="AO88" i="12"/>
  <c r="O88" i="12"/>
  <c r="O198" i="5"/>
  <c r="C198" i="6"/>
  <c r="AC198" i="5"/>
  <c r="J198" i="6" s="1" a="1"/>
  <c r="J198" i="6" s="1"/>
  <c r="C204" i="12"/>
  <c r="O204" i="12"/>
  <c r="M204" i="12"/>
  <c r="AO204" i="12"/>
  <c r="M251" i="12"/>
  <c r="O251" i="12"/>
  <c r="C251" i="12"/>
  <c r="AO251" i="12"/>
  <c r="O377" i="5"/>
  <c r="C377" i="6"/>
  <c r="AC377" i="5"/>
  <c r="J377" i="6" s="1" a="1"/>
  <c r="J377" i="6" s="1"/>
  <c r="AB197" i="5"/>
  <c r="AB99" i="5"/>
  <c r="AO83" i="12"/>
  <c r="O83" i="12"/>
  <c r="M83" i="12"/>
  <c r="C83" i="12"/>
  <c r="AB279" i="5"/>
  <c r="AB398" i="5"/>
  <c r="M321" i="12"/>
  <c r="C321" i="12"/>
  <c r="O321" i="12"/>
  <c r="AO321" i="12"/>
  <c r="O185" i="5"/>
  <c r="C185" i="6"/>
  <c r="AC185" i="5"/>
  <c r="J185" i="6" s="1" a="1"/>
  <c r="J185" i="6" s="1"/>
  <c r="C395" i="6"/>
  <c r="O395" i="5"/>
  <c r="AC395" i="5"/>
  <c r="J395" i="6" s="1" a="1"/>
  <c r="J395" i="6" s="1"/>
  <c r="M165" i="12"/>
  <c r="C165" i="12"/>
  <c r="O165" i="12"/>
  <c r="AO165" i="12"/>
  <c r="C294" i="6"/>
  <c r="O294" i="5"/>
  <c r="AC294" i="5"/>
  <c r="J294" i="6" s="1" a="1"/>
  <c r="J294" i="6" s="1"/>
  <c r="AB320" i="5"/>
  <c r="AB58" i="5"/>
  <c r="AO141" i="12"/>
  <c r="O141" i="12"/>
  <c r="C141" i="12"/>
  <c r="M141" i="12"/>
  <c r="AB245" i="5"/>
  <c r="O356" i="5"/>
  <c r="C356" i="6"/>
  <c r="AC356" i="5"/>
  <c r="J356" i="6" s="1" a="1"/>
  <c r="J356" i="6" s="1"/>
  <c r="AB306" i="5"/>
  <c r="C260" i="12"/>
  <c r="O260" i="12"/>
  <c r="M260" i="12"/>
  <c r="AO260" i="12"/>
  <c r="O53" i="5"/>
  <c r="C53" i="6"/>
  <c r="AC53" i="5"/>
  <c r="J53" i="6" s="1" a="1"/>
  <c r="J53" i="6" s="1"/>
  <c r="C104" i="12"/>
  <c r="AO104" i="12"/>
  <c r="M104" i="12"/>
  <c r="O104" i="12"/>
  <c r="AO87" i="12"/>
  <c r="O87" i="12"/>
  <c r="M87" i="12"/>
  <c r="C87" i="12"/>
  <c r="C276" i="6"/>
  <c r="O276" i="5"/>
  <c r="AC276" i="5"/>
  <c r="J276" i="6" s="1" a="1"/>
  <c r="J276" i="6" s="1"/>
  <c r="AO276" i="12"/>
  <c r="O276" i="12"/>
  <c r="C276" i="12"/>
  <c r="M276" i="12"/>
  <c r="C140" i="12"/>
  <c r="O140" i="12"/>
  <c r="AO140" i="12"/>
  <c r="M140" i="12"/>
  <c r="C160" i="6"/>
  <c r="AC160" i="5"/>
  <c r="J160" i="6" s="1" a="1"/>
  <c r="J160" i="6" s="1"/>
  <c r="AB160" i="5"/>
  <c r="O283" i="5"/>
  <c r="C283" i="6"/>
  <c r="AC283" i="5"/>
  <c r="J283" i="6" s="1" a="1"/>
  <c r="J283" i="6" s="1"/>
  <c r="O347" i="5"/>
  <c r="C347" i="6"/>
  <c r="AC347" i="5"/>
  <c r="J347" i="6" s="1" a="1"/>
  <c r="J347" i="6" s="1"/>
  <c r="AO393" i="12"/>
  <c r="O393" i="12"/>
  <c r="M393" i="12"/>
  <c r="C393" i="12"/>
  <c r="AB393" i="5"/>
  <c r="AB139" i="5"/>
  <c r="AB331" i="5"/>
  <c r="AB368" i="5"/>
  <c r="C102" i="12"/>
  <c r="M102" i="12"/>
  <c r="AO102" i="12"/>
  <c r="O102" i="12"/>
  <c r="C151" i="6"/>
  <c r="AC151" i="5"/>
  <c r="J151" i="6" s="1" a="1"/>
  <c r="J151" i="6" s="1"/>
  <c r="AB341" i="5"/>
  <c r="O66" i="5"/>
  <c r="C66" i="6"/>
  <c r="AC66" i="5"/>
  <c r="J66" i="6" s="1" a="1"/>
  <c r="J66" i="6" s="1"/>
  <c r="O223" i="5"/>
  <c r="C223" i="6"/>
  <c r="AC223" i="5"/>
  <c r="J223" i="6" s="1" a="1"/>
  <c r="J223" i="6" s="1"/>
  <c r="C144" i="6"/>
  <c r="AC144" i="5"/>
  <c r="J144" i="6" s="1" a="1"/>
  <c r="J144" i="6" s="1"/>
  <c r="AB350" i="5"/>
  <c r="C120" i="6"/>
  <c r="O120" i="5"/>
  <c r="AC120" i="5"/>
  <c r="J120" i="6" s="1" a="1"/>
  <c r="J120" i="6" s="1"/>
  <c r="O57" i="5"/>
  <c r="C57" i="6"/>
  <c r="AC57" i="5"/>
  <c r="J57" i="6" s="1" a="1"/>
  <c r="J57" i="6" s="1"/>
  <c r="C75" i="12"/>
  <c r="O75" i="12"/>
  <c r="M75" i="12"/>
  <c r="AO75" i="12"/>
  <c r="AB201" i="5"/>
  <c r="C394" i="12"/>
  <c r="AO394" i="12"/>
  <c r="M394" i="12"/>
  <c r="O394" i="12"/>
  <c r="C332" i="6"/>
  <c r="O332" i="5"/>
  <c r="AC332" i="5"/>
  <c r="J332" i="6" s="1" a="1"/>
  <c r="J332" i="6" s="1"/>
  <c r="C237" i="6"/>
  <c r="AC237" i="5"/>
  <c r="J237" i="6" s="1" a="1"/>
  <c r="J237" i="6" s="1"/>
  <c r="AB237" i="5"/>
  <c r="O173" i="5"/>
  <c r="C173" i="6"/>
  <c r="AC173" i="5"/>
  <c r="J173" i="6" s="1" a="1"/>
  <c r="J173" i="6" s="1"/>
  <c r="C208" i="6"/>
  <c r="O208" i="5"/>
  <c r="AC208" i="5"/>
  <c r="J208" i="6" s="1" a="1"/>
  <c r="J208" i="6" s="1"/>
  <c r="O221" i="5"/>
  <c r="C221" i="6"/>
  <c r="AC221" i="5"/>
  <c r="J221" i="6" s="1" a="1"/>
  <c r="J221" i="6" s="1"/>
  <c r="AB39" i="5"/>
  <c r="AB330" i="5"/>
  <c r="O349" i="5"/>
  <c r="C349" i="6"/>
  <c r="AC349" i="5"/>
  <c r="J349" i="6" s="1" a="1"/>
  <c r="J349" i="6" s="1"/>
  <c r="S50" i="8"/>
  <c r="Z218" i="5"/>
  <c r="AM218" i="5"/>
  <c r="L218" i="5"/>
  <c r="I218" i="12"/>
  <c r="C33" i="12"/>
  <c r="AO33" i="12"/>
  <c r="O33" i="12"/>
  <c r="M33" i="12"/>
  <c r="AB167" i="5"/>
  <c r="C212" i="12"/>
  <c r="M212" i="12"/>
  <c r="AO212" i="12"/>
  <c r="O212" i="12"/>
  <c r="C106" i="6"/>
  <c r="AC106" i="5"/>
  <c r="J106" i="6" s="1" a="1"/>
  <c r="J106" i="6" s="1"/>
  <c r="AB267" i="5"/>
  <c r="AO68" i="12"/>
  <c r="O68" i="12"/>
  <c r="C68" i="12"/>
  <c r="M68" i="12"/>
  <c r="AO200" i="12"/>
  <c r="O200" i="12"/>
  <c r="C200" i="12"/>
  <c r="M200" i="12"/>
  <c r="M128" i="12"/>
  <c r="O128" i="12"/>
  <c r="C128" i="12"/>
  <c r="AO128" i="12"/>
  <c r="AB127" i="5"/>
  <c r="AB284" i="5"/>
  <c r="W48" i="5"/>
  <c r="AN48" i="5"/>
  <c r="W389" i="5"/>
  <c r="AN389" i="5"/>
  <c r="W384" i="5"/>
  <c r="AN384" i="5"/>
  <c r="AN132" i="5"/>
  <c r="W132" i="5"/>
  <c r="AN90" i="5"/>
  <c r="W90" i="5"/>
  <c r="AN388" i="5"/>
  <c r="W388" i="5"/>
  <c r="W243" i="5"/>
  <c r="AN243" i="5"/>
  <c r="AN244" i="5"/>
  <c r="W244" i="5"/>
  <c r="C348" i="6"/>
  <c r="O348" i="5"/>
  <c r="AC348" i="5"/>
  <c r="J348" i="6" s="1" a="1"/>
  <c r="J348" i="6" s="1"/>
  <c r="C96" i="12"/>
  <c r="O96" i="12"/>
  <c r="AO96" i="12"/>
  <c r="M96" i="12"/>
  <c r="L403" i="5"/>
  <c r="S86" i="8"/>
  <c r="I403" i="12"/>
  <c r="AM403" i="5"/>
  <c r="Z403" i="5"/>
  <c r="AO404" i="12"/>
  <c r="O404" i="12"/>
  <c r="M404" i="12"/>
  <c r="M403" i="12" s="1"/>
  <c r="C404" i="12"/>
  <c r="O60" i="5"/>
  <c r="C60" i="6"/>
  <c r="AC60" i="5"/>
  <c r="J60" i="6" s="1" a="1"/>
  <c r="J60" i="6" s="1"/>
  <c r="O121" i="12"/>
  <c r="C121" i="12"/>
  <c r="M121" i="12"/>
  <c r="AO121" i="12"/>
  <c r="AB80" i="5"/>
  <c r="AB199" i="5"/>
  <c r="O186" i="12"/>
  <c r="M186" i="12"/>
  <c r="AO186" i="12"/>
  <c r="C186" i="12"/>
  <c r="AB84" i="5"/>
  <c r="AO84" i="12"/>
  <c r="M84" i="12"/>
  <c r="C84" i="12"/>
  <c r="O84" i="12"/>
  <c r="AB361" i="5"/>
  <c r="AB183" i="5"/>
  <c r="C242" i="6"/>
  <c r="AC242" i="5"/>
  <c r="J242" i="6" s="1" a="1"/>
  <c r="J242" i="6" s="1"/>
  <c r="AB242" i="5"/>
  <c r="AB27" i="5"/>
  <c r="O278" i="12"/>
  <c r="AO278" i="12"/>
  <c r="C278" i="12"/>
  <c r="M278" i="12"/>
  <c r="C344" i="6"/>
  <c r="O344" i="5"/>
  <c r="AC344" i="5"/>
  <c r="J344" i="6" s="1" a="1"/>
  <c r="J344" i="6" s="1"/>
  <c r="O259" i="12"/>
  <c r="M259" i="12"/>
  <c r="C259" i="12"/>
  <c r="AO259" i="12"/>
  <c r="O65" i="5"/>
  <c r="C65" i="6"/>
  <c r="AC65" i="5"/>
  <c r="J65" i="6" s="1" a="1"/>
  <c r="J65" i="6" s="1"/>
  <c r="AO93" i="12"/>
  <c r="O93" i="12"/>
  <c r="M93" i="12"/>
  <c r="C93" i="12"/>
  <c r="AB274" i="5"/>
  <c r="O30" i="5"/>
  <c r="C30" i="6"/>
  <c r="AC30" i="5"/>
  <c r="J30" i="6" s="1" a="1"/>
  <c r="J30" i="6" s="1"/>
  <c r="AB196" i="5"/>
  <c r="O235" i="12"/>
  <c r="M235" i="12"/>
  <c r="AO235" i="12"/>
  <c r="C235" i="12"/>
  <c r="AB288" i="5"/>
  <c r="C82" i="6"/>
  <c r="AC82" i="5"/>
  <c r="J82" i="6" s="1" a="1"/>
  <c r="J82" i="6" s="1"/>
  <c r="I41" i="12"/>
  <c r="Z41" i="5"/>
  <c r="L41" i="5"/>
  <c r="S32" i="8"/>
  <c r="AM41" i="5"/>
  <c r="M42" i="12"/>
  <c r="C42" i="12"/>
  <c r="O42" i="12"/>
  <c r="AO42" i="12"/>
  <c r="AO214" i="12"/>
  <c r="C214" i="12"/>
  <c r="M214" i="12"/>
  <c r="O214" i="12"/>
  <c r="C291" i="6"/>
  <c r="O291" i="5"/>
  <c r="AC291" i="5"/>
  <c r="J291" i="6" s="1" a="1"/>
  <c r="J291" i="6" s="1"/>
  <c r="AB345" i="5"/>
  <c r="M97" i="12"/>
  <c r="O97" i="12"/>
  <c r="C97" i="12"/>
  <c r="AO97" i="12"/>
  <c r="AB38" i="5"/>
  <c r="M202" i="12"/>
  <c r="O202" i="12"/>
  <c r="AO202" i="12"/>
  <c r="C202" i="12"/>
  <c r="O340" i="12"/>
  <c r="C340" i="12"/>
  <c r="AO340" i="12"/>
  <c r="M340" i="12"/>
  <c r="AB70" i="5"/>
  <c r="AB369" i="5"/>
  <c r="AB336" i="5"/>
  <c r="M256" i="12"/>
  <c r="AO256" i="12"/>
  <c r="C256" i="12"/>
  <c r="O256" i="12"/>
  <c r="O337" i="5"/>
  <c r="C337" i="6"/>
  <c r="AC337" i="5"/>
  <c r="J337" i="6" s="1" a="1"/>
  <c r="J337" i="6" s="1"/>
  <c r="C20" i="6"/>
  <c r="O20" i="5"/>
  <c r="AC20" i="5"/>
  <c r="J20" i="6" s="1" a="1"/>
  <c r="J20" i="6" s="1"/>
  <c r="O211" i="5"/>
  <c r="C211" i="6"/>
  <c r="AC211" i="5"/>
  <c r="J211" i="6" s="1" a="1"/>
  <c r="J211" i="6" s="1"/>
  <c r="AO101" i="12"/>
  <c r="O101" i="12"/>
  <c r="M101" i="12"/>
  <c r="C101" i="12"/>
  <c r="I115" i="12"/>
  <c r="AM115" i="5"/>
  <c r="Z115" i="5"/>
  <c r="S44" i="8"/>
  <c r="L115" i="5"/>
  <c r="AO172" i="12"/>
  <c r="O172" i="12"/>
  <c r="C172" i="12"/>
  <c r="M172" i="12"/>
  <c r="C373" i="6"/>
  <c r="O373" i="5"/>
  <c r="AC373" i="5"/>
  <c r="J373" i="6" s="1" a="1"/>
  <c r="J373" i="6" s="1"/>
  <c r="O46" i="5"/>
  <c r="C46" i="6"/>
  <c r="AC46" i="5"/>
  <c r="J46" i="6" s="1" a="1"/>
  <c r="J46" i="6" s="1"/>
  <c r="AB19" i="5"/>
  <c r="O123" i="12"/>
  <c r="C123" i="12"/>
  <c r="AO123" i="12"/>
  <c r="M123" i="12"/>
  <c r="AB43" i="5"/>
  <c r="AB171" i="5"/>
  <c r="C71" i="12"/>
  <c r="AO71" i="12"/>
  <c r="M71" i="12"/>
  <c r="O71" i="12"/>
  <c r="C71" i="6"/>
  <c r="AC71" i="5"/>
  <c r="J71" i="6" s="1" a="1"/>
  <c r="J71" i="6" s="1"/>
  <c r="M364" i="12"/>
  <c r="C364" i="12"/>
  <c r="O364" i="12"/>
  <c r="AO364" i="12"/>
  <c r="AB351" i="5"/>
  <c r="AB215" i="5"/>
  <c r="C166" i="6"/>
  <c r="AC166" i="5"/>
  <c r="J166" i="6" s="1" a="1"/>
  <c r="J166" i="6" s="1"/>
  <c r="O67" i="12"/>
  <c r="AO67" i="12"/>
  <c r="M67" i="12"/>
  <c r="C67" i="12"/>
  <c r="C98" i="6"/>
  <c r="AC98" i="5"/>
  <c r="J98" i="6" s="1" a="1"/>
  <c r="J98" i="6" s="1"/>
  <c r="AB206" i="5"/>
  <c r="O184" i="12"/>
  <c r="C184" i="12"/>
  <c r="M184" i="12"/>
  <c r="AO184" i="12"/>
  <c r="AB126" i="5"/>
  <c r="O362" i="5"/>
  <c r="C362" i="6"/>
  <c r="AC362" i="5"/>
  <c r="J362" i="6" s="1" a="1"/>
  <c r="J362" i="6" s="1"/>
  <c r="C397" i="12"/>
  <c r="AO397" i="12"/>
  <c r="M397" i="12"/>
  <c r="O397" i="12"/>
  <c r="O339" i="5"/>
  <c r="C339" i="6"/>
  <c r="AC339" i="5"/>
  <c r="J339" i="6" s="1" a="1"/>
  <c r="J339" i="6" s="1"/>
  <c r="O290" i="12"/>
  <c r="M290" i="12"/>
  <c r="C290" i="12"/>
  <c r="AO290" i="12"/>
  <c r="AB396" i="5"/>
  <c r="AB176" i="5"/>
  <c r="C180" i="12"/>
  <c r="O180" i="12"/>
  <c r="AO180" i="12"/>
  <c r="M180" i="12"/>
  <c r="AB375" i="5"/>
  <c r="AO391" i="12"/>
  <c r="M391" i="12"/>
  <c r="O391" i="12"/>
  <c r="C391" i="12"/>
  <c r="AB282" i="5"/>
  <c r="AB326" i="5"/>
  <c r="AB311" i="5"/>
  <c r="AO23" i="12"/>
  <c r="C23" i="12"/>
  <c r="M23" i="12"/>
  <c r="O23" i="12"/>
  <c r="AB230" i="5"/>
  <c r="O45" i="5"/>
  <c r="C45" i="6"/>
  <c r="AC45" i="5"/>
  <c r="J45" i="6" s="1" a="1"/>
  <c r="J45" i="6" s="1"/>
  <c r="O124" i="12"/>
  <c r="AO124" i="12"/>
  <c r="C124" i="12"/>
  <c r="M124" i="12"/>
  <c r="O308" i="5"/>
  <c r="C308" i="6"/>
  <c r="AC308" i="5"/>
  <c r="J308" i="6" s="1" a="1"/>
  <c r="J308" i="6" s="1"/>
  <c r="M105" i="12"/>
  <c r="C105" i="12"/>
  <c r="AO105" i="12"/>
  <c r="O105" i="12"/>
  <c r="C105" i="6"/>
  <c r="AC105" i="5"/>
  <c r="J105" i="6" s="1" a="1"/>
  <c r="J105" i="6" s="1"/>
  <c r="AB149" i="5"/>
  <c r="O270" i="5"/>
  <c r="C270" i="6"/>
  <c r="AC270" i="5"/>
  <c r="J270" i="6" s="1" a="1"/>
  <c r="J270" i="6" s="1"/>
  <c r="C209" i="6"/>
  <c r="O209" i="5"/>
  <c r="AC209" i="5"/>
  <c r="J209" i="6" s="1" a="1"/>
  <c r="J209" i="6" s="1"/>
  <c r="C234" i="6"/>
  <c r="AC234" i="5"/>
  <c r="J234" i="6" s="1" a="1"/>
  <c r="J234" i="6" s="1"/>
  <c r="C324" i="12"/>
  <c r="M324" i="12"/>
  <c r="O324" i="12"/>
  <c r="AO324" i="12"/>
  <c r="Y324" i="12" s="1"/>
  <c r="AM28" i="5"/>
  <c r="L28" i="5"/>
  <c r="I28" i="12"/>
  <c r="Z28" i="5"/>
  <c r="S23" i="8"/>
  <c r="C353" i="6"/>
  <c r="O353" i="5"/>
  <c r="AC353" i="5"/>
  <c r="J353" i="6" s="1" a="1"/>
  <c r="J353" i="6" s="1"/>
  <c r="C327" i="6"/>
  <c r="O327" i="5"/>
  <c r="AC327" i="5"/>
  <c r="J327" i="6" s="1" a="1"/>
  <c r="J327" i="6" s="1"/>
  <c r="AB119" i="5"/>
  <c r="O108" i="12"/>
  <c r="C108" i="12"/>
  <c r="AO108" i="12"/>
  <c r="M108" i="12"/>
  <c r="AB32" i="5"/>
  <c r="AB131" i="5"/>
  <c r="AB169" i="5"/>
  <c r="C169" i="12"/>
  <c r="O169" i="12"/>
  <c r="M169" i="12"/>
  <c r="AO169" i="12"/>
  <c r="O178" i="12"/>
  <c r="C178" i="12"/>
  <c r="AO178" i="12"/>
  <c r="M178" i="12"/>
  <c r="O56" i="5"/>
  <c r="C56" i="6"/>
  <c r="AC56" i="5"/>
  <c r="J56" i="6" s="1" a="1"/>
  <c r="J56" i="6" s="1"/>
  <c r="AB156" i="5"/>
  <c r="C182" i="6"/>
  <c r="O182" i="5"/>
  <c r="AC182" i="5"/>
  <c r="J182" i="6" s="1" a="1"/>
  <c r="J182" i="6" s="1"/>
  <c r="AO399" i="12"/>
  <c r="O399" i="12"/>
  <c r="M399" i="12"/>
  <c r="C399" i="12"/>
  <c r="C216" i="12"/>
  <c r="AO216" i="12"/>
  <c r="M216" i="12"/>
  <c r="O216" i="12"/>
  <c r="AM21" i="5"/>
  <c r="S20" i="8"/>
  <c r="I21" i="12"/>
  <c r="L21" i="5"/>
  <c r="Z21" i="5"/>
  <c r="C22" i="6"/>
  <c r="O22" i="5"/>
  <c r="AC22" i="5"/>
  <c r="J22" i="6" s="1" a="1"/>
  <c r="J22" i="6" s="1"/>
  <c r="AB31" i="5"/>
  <c r="C220" i="12"/>
  <c r="AO220" i="12"/>
  <c r="M220" i="12"/>
  <c r="O220" i="12"/>
  <c r="M205" i="12"/>
  <c r="O205" i="12"/>
  <c r="C205" i="12"/>
  <c r="AO205" i="12"/>
  <c r="O122" i="5"/>
  <c r="C122" i="6"/>
  <c r="AC122" i="5"/>
  <c r="J122" i="6" s="1" a="1"/>
  <c r="J122" i="6" s="1"/>
  <c r="C72" i="12"/>
  <c r="AO72" i="12"/>
  <c r="O72" i="12"/>
  <c r="M72" i="12"/>
  <c r="C189" i="6"/>
  <c r="O189" i="5"/>
  <c r="AC189" i="5"/>
  <c r="J189" i="6" s="1" a="1"/>
  <c r="J189" i="6" s="1"/>
  <c r="AB333" i="5"/>
  <c r="O44" i="12"/>
  <c r="M44" i="12"/>
  <c r="C44" i="12"/>
  <c r="AO44" i="12"/>
  <c r="O228" i="12"/>
  <c r="C228" i="12"/>
  <c r="AO228" i="12"/>
  <c r="M228" i="12"/>
  <c r="AB307" i="5"/>
  <c r="M261" i="12"/>
  <c r="C261" i="12"/>
  <c r="AO261" i="12"/>
  <c r="O261" i="12"/>
  <c r="C261" i="6"/>
  <c r="AC261" i="5"/>
  <c r="J261" i="6" s="1" a="1"/>
  <c r="J261" i="6" s="1"/>
  <c r="AB355" i="5"/>
  <c r="O273" i="5"/>
  <c r="C273" i="6"/>
  <c r="AC273" i="5"/>
  <c r="J273" i="6" s="1" a="1"/>
  <c r="J273" i="6" s="1"/>
  <c r="AB273" i="5"/>
  <c r="AB85" i="5"/>
  <c r="AB363" i="5"/>
  <c r="C374" i="12"/>
  <c r="O374" i="12"/>
  <c r="AO374" i="12"/>
  <c r="M374" i="12"/>
  <c r="O161" i="12"/>
  <c r="M161" i="12"/>
  <c r="C161" i="12"/>
  <c r="AO161" i="12"/>
  <c r="C161" i="6"/>
  <c r="AC161" i="5"/>
  <c r="J161" i="6" s="1" a="1"/>
  <c r="J161" i="6" s="1"/>
  <c r="C179" i="12"/>
  <c r="AO179" i="12"/>
  <c r="M179" i="12"/>
  <c r="O179" i="12"/>
  <c r="AB187" i="5"/>
  <c r="C257" i="12"/>
  <c r="M257" i="12"/>
  <c r="O257" i="12"/>
  <c r="AO257" i="12"/>
  <c r="C112" i="12"/>
  <c r="O112" i="12"/>
  <c r="M112" i="12"/>
  <c r="AO112" i="12"/>
  <c r="O376" i="5"/>
  <c r="C376" i="6"/>
  <c r="AC376" i="5"/>
  <c r="J376" i="6" s="1" a="1"/>
  <c r="J376" i="6" s="1"/>
  <c r="C59" i="6"/>
  <c r="O59" i="5"/>
  <c r="AC59" i="5"/>
  <c r="J59" i="6" s="1" a="1"/>
  <c r="J59" i="6" s="1"/>
  <c r="C181" i="12"/>
  <c r="AO181" i="12"/>
  <c r="M181" i="12"/>
  <c r="O181" i="12"/>
  <c r="AB76" i="5"/>
  <c r="M280" i="12"/>
  <c r="C280" i="12"/>
  <c r="O280" i="12"/>
  <c r="AO280" i="12"/>
  <c r="AB193" i="5"/>
  <c r="C266" i="6"/>
  <c r="AC266" i="5"/>
  <c r="J266" i="6" s="1" a="1"/>
  <c r="J266" i="6" s="1"/>
  <c r="C241" i="6"/>
  <c r="AC241" i="5"/>
  <c r="J241" i="6" s="1" a="1"/>
  <c r="J241" i="6" s="1"/>
  <c r="AB74" i="5"/>
  <c r="C360" i="6"/>
  <c r="O360" i="5"/>
  <c r="AC360" i="5"/>
  <c r="J360" i="6" s="1" a="1"/>
  <c r="J360" i="6" s="1"/>
  <c r="O299" i="12"/>
  <c r="C299" i="12"/>
  <c r="M299" i="12"/>
  <c r="AO299" i="12"/>
  <c r="AO367" i="12"/>
  <c r="M367" i="12"/>
  <c r="C367" i="12"/>
  <c r="O367" i="12"/>
  <c r="AO145" i="12"/>
  <c r="M145" i="12"/>
  <c r="O145" i="12"/>
  <c r="C145" i="12"/>
  <c r="M164" i="12"/>
  <c r="C164" i="12"/>
  <c r="AO164" i="12"/>
  <c r="O164" i="12"/>
  <c r="C150" i="6"/>
  <c r="AC150" i="5"/>
  <c r="J150" i="6" s="1" a="1"/>
  <c r="J150" i="6" s="1"/>
  <c r="C236" i="6"/>
  <c r="AC236" i="5"/>
  <c r="J236" i="6" s="1" a="1"/>
  <c r="J236" i="6" s="1"/>
  <c r="AB236" i="5"/>
  <c r="C174" i="12"/>
  <c r="O174" i="12"/>
  <c r="M174" i="12"/>
  <c r="AO174" i="12"/>
  <c r="C224" i="12"/>
  <c r="AO224" i="12"/>
  <c r="O224" i="12"/>
  <c r="M224" i="12"/>
  <c r="AB277" i="5"/>
  <c r="AB103" i="5"/>
  <c r="M103" i="12"/>
  <c r="AO103" i="12"/>
  <c r="O103" i="12"/>
  <c r="C103" i="12"/>
  <c r="O217" i="12"/>
  <c r="C217" i="12"/>
  <c r="AO217" i="12"/>
  <c r="M217" i="12"/>
  <c r="O300" i="12"/>
  <c r="C300" i="12"/>
  <c r="M300" i="12"/>
  <c r="AO300" i="12"/>
  <c r="M192" i="12"/>
  <c r="C192" i="12"/>
  <c r="O192" i="12"/>
  <c r="AO192" i="12"/>
  <c r="AB357" i="5"/>
  <c r="AB297" i="5"/>
  <c r="C313" i="6"/>
  <c r="O313" i="5"/>
  <c r="AC313" i="5"/>
  <c r="J313" i="6" s="1" a="1"/>
  <c r="J313" i="6" s="1"/>
  <c r="AB61" i="5"/>
  <c r="AO222" i="12"/>
  <c r="O222" i="12"/>
  <c r="C222" i="12"/>
  <c r="M222" i="12"/>
  <c r="M328" i="12"/>
  <c r="O328" i="12"/>
  <c r="C328" i="12"/>
  <c r="AO328" i="12"/>
  <c r="M210" i="12"/>
  <c r="O210" i="12"/>
  <c r="C210" i="12"/>
  <c r="AO210" i="12"/>
  <c r="O195" i="5"/>
  <c r="C195" i="6"/>
  <c r="AC195" i="5"/>
  <c r="J195" i="6" s="1" a="1"/>
  <c r="J195" i="6" s="1"/>
  <c r="AB88" i="5"/>
  <c r="AO136" i="12"/>
  <c r="M136" i="12"/>
  <c r="O136" i="12"/>
  <c r="C136" i="12"/>
  <c r="C136" i="6"/>
  <c r="AC136" i="5"/>
  <c r="J136" i="6" s="1" a="1"/>
  <c r="J136" i="6" s="1"/>
  <c r="C134" i="6"/>
  <c r="AC134" i="5"/>
  <c r="J134" i="6" s="1" a="1"/>
  <c r="J134" i="6" s="1"/>
  <c r="C95" i="6"/>
  <c r="AC95" i="5"/>
  <c r="J95" i="6" s="1" a="1"/>
  <c r="J95" i="6" s="1"/>
  <c r="C377" i="12"/>
  <c r="AO377" i="12"/>
  <c r="M377" i="12"/>
  <c r="O377" i="12"/>
  <c r="O197" i="5"/>
  <c r="C197" i="6"/>
  <c r="AC197" i="5"/>
  <c r="J197" i="6" s="1" a="1"/>
  <c r="J197" i="6" s="1"/>
  <c r="C81" i="6"/>
  <c r="AC81" i="5"/>
  <c r="J81" i="6" s="1" a="1"/>
  <c r="J81" i="6" s="1"/>
  <c r="M99" i="12"/>
  <c r="C99" i="12"/>
  <c r="AO99" i="12"/>
  <c r="O99" i="12"/>
  <c r="C157" i="12"/>
  <c r="M157" i="12"/>
  <c r="O157" i="12"/>
  <c r="AO157" i="12"/>
  <c r="C157" i="6"/>
  <c r="AC157" i="5"/>
  <c r="J157" i="6" s="1" a="1"/>
  <c r="J157" i="6" s="1"/>
  <c r="I303" i="12"/>
  <c r="AM303" i="5"/>
  <c r="L303" i="5"/>
  <c r="Z303" i="5"/>
  <c r="C279" i="6"/>
  <c r="O279" i="5"/>
  <c r="AC279" i="5"/>
  <c r="J279" i="6" s="1" a="1"/>
  <c r="J279" i="6" s="1"/>
  <c r="O398" i="5"/>
  <c r="C398" i="6"/>
  <c r="AC398" i="5"/>
  <c r="J398" i="6" s="1" a="1"/>
  <c r="J398" i="6" s="1"/>
  <c r="AO240" i="12"/>
  <c r="O240" i="12"/>
  <c r="M240" i="12"/>
  <c r="C240" i="12"/>
  <c r="AB240" i="5"/>
  <c r="AB292" i="5"/>
  <c r="AO185" i="12"/>
  <c r="M185" i="12"/>
  <c r="O185" i="12"/>
  <c r="C185" i="12"/>
  <c r="M395" i="12"/>
  <c r="C395" i="12"/>
  <c r="O395" i="12"/>
  <c r="AO395" i="12"/>
  <c r="C165" i="6"/>
  <c r="AC165" i="5"/>
  <c r="J165" i="6" s="1" a="1"/>
  <c r="J165" i="6" s="1"/>
  <c r="M118" i="12"/>
  <c r="C118" i="12"/>
  <c r="O118" i="12"/>
  <c r="AO118" i="12"/>
  <c r="O319" i="5"/>
  <c r="C319" i="6"/>
  <c r="AC319" i="5"/>
  <c r="J319" i="6" s="1" a="1"/>
  <c r="J319" i="6" s="1"/>
  <c r="AM247" i="5"/>
  <c r="Z247" i="5"/>
  <c r="S56" i="8"/>
  <c r="L247" i="5"/>
  <c r="I247" i="12"/>
  <c r="AB248" i="5"/>
  <c r="AM52" i="5"/>
  <c r="I52" i="12"/>
  <c r="L52" i="5"/>
  <c r="Z52" i="5"/>
  <c r="S38" i="8"/>
  <c r="AB104" i="5"/>
  <c r="AM275" i="5"/>
  <c r="Z275" i="5"/>
  <c r="L275" i="5"/>
  <c r="I275" i="12"/>
  <c r="AB110" i="5"/>
  <c r="AB177" i="5"/>
  <c r="AB347" i="5"/>
  <c r="C139" i="6"/>
  <c r="AC139" i="5"/>
  <c r="J139" i="6" s="1" a="1"/>
  <c r="J139" i="6" s="1"/>
  <c r="AB102" i="5"/>
  <c r="C25" i="6"/>
  <c r="O25" i="5"/>
  <c r="AC25" i="5"/>
  <c r="J25" i="6" s="1" a="1"/>
  <c r="J25" i="6" s="1"/>
  <c r="AB137" i="5"/>
  <c r="M223" i="12"/>
  <c r="C223" i="12"/>
  <c r="AO223" i="12"/>
  <c r="O223" i="12"/>
  <c r="M144" i="12"/>
  <c r="C144" i="12"/>
  <c r="AO144" i="12"/>
  <c r="O144" i="12"/>
  <c r="AB57" i="5"/>
  <c r="C114" i="6"/>
  <c r="AC114" i="5"/>
  <c r="J114" i="6" s="1" a="1"/>
  <c r="J114" i="6" s="1"/>
  <c r="C201" i="6"/>
  <c r="O201" i="5"/>
  <c r="AC201" i="5"/>
  <c r="J201" i="6" s="1" a="1"/>
  <c r="J201" i="6" s="1"/>
  <c r="AB394" i="5"/>
  <c r="M312" i="12"/>
  <c r="AO312" i="12"/>
  <c r="C312" i="12"/>
  <c r="O312" i="12"/>
  <c r="C332" i="12"/>
  <c r="O332" i="12"/>
  <c r="M332" i="12"/>
  <c r="AO332" i="12"/>
  <c r="AB173" i="5"/>
  <c r="C113" i="6"/>
  <c r="AC113" i="5"/>
  <c r="J113" i="6" s="1" a="1"/>
  <c r="J113" i="6" s="1"/>
  <c r="AB152" i="5"/>
  <c r="C330" i="12"/>
  <c r="AO330" i="12"/>
  <c r="M330" i="12"/>
  <c r="O330" i="12"/>
  <c r="AB55" i="5"/>
  <c r="C349" i="12"/>
  <c r="M349" i="12"/>
  <c r="AO349" i="12"/>
  <c r="O349" i="12"/>
  <c r="C309" i="6"/>
  <c r="O309" i="5"/>
  <c r="AC309" i="5"/>
  <c r="J309" i="6" s="1" a="1"/>
  <c r="J309" i="6" s="1"/>
  <c r="AO219" i="12"/>
  <c r="C219" i="12"/>
  <c r="M219" i="12"/>
  <c r="O219" i="12"/>
  <c r="O33" i="5"/>
  <c r="C33" i="6"/>
  <c r="AC33" i="5"/>
  <c r="J33" i="6" s="1" a="1"/>
  <c r="J33" i="6" s="1"/>
  <c r="AB106" i="5"/>
  <c r="C267" i="6"/>
  <c r="AC267" i="5"/>
  <c r="J267" i="6" s="1" a="1"/>
  <c r="J267" i="6" s="1"/>
  <c r="AB162" i="5"/>
  <c r="AB68" i="5"/>
  <c r="O366" i="12"/>
  <c r="M366" i="12"/>
  <c r="AO366" i="12"/>
  <c r="C366" i="12"/>
  <c r="AB200" i="5"/>
  <c r="AO77" i="12"/>
  <c r="O77" i="12"/>
  <c r="M77" i="12"/>
  <c r="C77" i="12"/>
  <c r="C127" i="6"/>
  <c r="O127" i="5"/>
  <c r="AC127" i="5"/>
  <c r="J127" i="6" s="1" a="1"/>
  <c r="J127" i="6" s="1"/>
  <c r="C284" i="6"/>
  <c r="O284" i="5"/>
  <c r="AC284" i="5"/>
  <c r="J284" i="6" s="1" a="1"/>
  <c r="J284" i="6" s="1"/>
  <c r="AN255" i="5"/>
  <c r="W255" i="5"/>
  <c r="AN385" i="5"/>
  <c r="W385" i="5"/>
  <c r="AN386" i="5"/>
  <c r="W386" i="5"/>
  <c r="AN49" i="5"/>
  <c r="W49" i="5"/>
  <c r="W231" i="5"/>
  <c r="AN231" i="5"/>
  <c r="AN390" i="5"/>
  <c r="W390" i="5"/>
  <c r="AN50" i="5"/>
  <c r="W50" i="5"/>
  <c r="W383" i="5"/>
  <c r="AN383" i="5"/>
  <c r="C207" i="12"/>
  <c r="M207" i="12"/>
  <c r="O207" i="12"/>
  <c r="AO207" i="12"/>
  <c r="AO109" i="12"/>
  <c r="M109" i="12"/>
  <c r="O109" i="12"/>
  <c r="C109" i="12"/>
  <c r="O329" i="12"/>
  <c r="C329" i="12"/>
  <c r="AO329" i="12"/>
  <c r="M329" i="12"/>
  <c r="C305" i="6"/>
  <c r="O305" i="5"/>
  <c r="AC305" i="5"/>
  <c r="J305" i="6" s="1" a="1"/>
  <c r="J305" i="6" s="1"/>
  <c r="AB96" i="5"/>
  <c r="O107" i="12"/>
  <c r="C107" i="12"/>
  <c r="M107" i="12"/>
  <c r="AO107" i="12"/>
  <c r="C107" i="6"/>
  <c r="AC107" i="5"/>
  <c r="J107" i="6" s="1" a="1"/>
  <c r="J107" i="6" s="1"/>
  <c r="AB60" i="5"/>
  <c r="AB121" i="5"/>
  <c r="AO80" i="12"/>
  <c r="O80" i="12"/>
  <c r="M80" i="12"/>
  <c r="C80" i="12"/>
  <c r="C186" i="6"/>
  <c r="O186" i="5"/>
  <c r="AC186" i="5"/>
  <c r="J186" i="6" s="1" a="1"/>
  <c r="J186" i="6" s="1"/>
  <c r="C86" i="6"/>
  <c r="AC86" i="5"/>
  <c r="J86" i="6" s="1" a="1"/>
  <c r="J86" i="6" s="1"/>
  <c r="M125" i="12"/>
  <c r="AO125" i="12"/>
  <c r="C125" i="12"/>
  <c r="O125" i="12"/>
  <c r="AB135" i="5"/>
  <c r="AB371" i="5"/>
  <c r="C183" i="6"/>
  <c r="O183" i="5"/>
  <c r="AC183" i="5"/>
  <c r="J183" i="6" s="1" a="1"/>
  <c r="J183" i="6" s="1"/>
  <c r="O249" i="5"/>
  <c r="C249" i="6"/>
  <c r="AC249" i="5"/>
  <c r="J249" i="6" s="1" a="1"/>
  <c r="J249" i="6" s="1"/>
  <c r="C27" i="6"/>
  <c r="O27" i="5"/>
  <c r="AC27" i="5"/>
  <c r="J27" i="6" s="1" a="1"/>
  <c r="J27" i="6" s="1"/>
  <c r="AB278" i="5"/>
  <c r="O344" i="12"/>
  <c r="C344" i="12"/>
  <c r="AO344" i="12"/>
  <c r="M344" i="12"/>
  <c r="AB259" i="5"/>
  <c r="C288" i="6"/>
  <c r="AC288" i="5"/>
  <c r="J288" i="6" s="1" a="1"/>
  <c r="J288" i="6" s="1"/>
  <c r="C264" i="6"/>
  <c r="AC264" i="5"/>
  <c r="J264" i="6" s="1" a="1"/>
  <c r="J264" i="6" s="1"/>
  <c r="AB264" i="5"/>
  <c r="AB82" i="5"/>
  <c r="AO246" i="12"/>
  <c r="M246" i="12"/>
  <c r="C246" i="12"/>
  <c r="O246" i="12"/>
  <c r="C246" i="6"/>
  <c r="AC246" i="5"/>
  <c r="J246" i="6" s="1" a="1"/>
  <c r="J246" i="6" s="1"/>
  <c r="O138" i="12"/>
  <c r="C138" i="12"/>
  <c r="AO138" i="12"/>
  <c r="M138" i="12"/>
  <c r="AO203" i="12"/>
  <c r="C203" i="12"/>
  <c r="O203" i="12"/>
  <c r="M203" i="12"/>
  <c r="AO188" i="12"/>
  <c r="O188" i="12"/>
  <c r="C188" i="12"/>
  <c r="M188" i="12"/>
  <c r="C97" i="6"/>
  <c r="AC97" i="5"/>
  <c r="J97" i="6" s="1" a="1"/>
  <c r="J97" i="6" s="1"/>
  <c r="I37" i="12"/>
  <c r="L37" i="5"/>
  <c r="Z37" i="5"/>
  <c r="S29" i="8"/>
  <c r="AM37" i="5"/>
  <c r="AB202" i="5"/>
  <c r="C70" i="6"/>
  <c r="AC70" i="5"/>
  <c r="J70" i="6" s="1" a="1"/>
  <c r="J70" i="6" s="1"/>
  <c r="O369" i="5"/>
  <c r="C369" i="6"/>
  <c r="AC369" i="5"/>
  <c r="J369" i="6" s="1" a="1"/>
  <c r="J369" i="6" s="1"/>
  <c r="C281" i="12"/>
  <c r="O281" i="12"/>
  <c r="M281" i="12"/>
  <c r="AO281" i="12"/>
  <c r="O336" i="5"/>
  <c r="C336" i="6"/>
  <c r="AC336" i="5"/>
  <c r="J336" i="6" s="1" a="1"/>
  <c r="J336" i="6" s="1"/>
  <c r="AB256" i="5"/>
  <c r="C79" i="6"/>
  <c r="AC79" i="5"/>
  <c r="J79" i="6" s="1" a="1"/>
  <c r="J79" i="6" s="1"/>
  <c r="O358" i="5"/>
  <c r="C358" i="6"/>
  <c r="AC358" i="5"/>
  <c r="J358" i="6" s="1" a="1"/>
  <c r="J358" i="6" s="1"/>
  <c r="O64" i="5"/>
  <c r="C64" i="6"/>
  <c r="AC64" i="5"/>
  <c r="J64" i="6" s="1" a="1"/>
  <c r="J64" i="6" s="1"/>
  <c r="AO211" i="12"/>
  <c r="M211" i="12"/>
  <c r="O211" i="12"/>
  <c r="C211" i="12"/>
  <c r="C116" i="12"/>
  <c r="M116" i="12"/>
  <c r="AO116" i="12"/>
  <c r="O116" i="12"/>
  <c r="AB172" i="5"/>
  <c r="O46" i="12"/>
  <c r="AO46" i="12"/>
  <c r="M46" i="12"/>
  <c r="C46" i="12"/>
  <c r="O338" i="5"/>
  <c r="C338" i="6"/>
  <c r="AC338" i="5"/>
  <c r="J338" i="6" s="1" a="1"/>
  <c r="J338" i="6" s="1"/>
  <c r="C19" i="12"/>
  <c r="M19" i="12"/>
  <c r="O19" i="12"/>
  <c r="AO19" i="12"/>
  <c r="C123" i="6"/>
  <c r="O123" i="5"/>
  <c r="AC123" i="5"/>
  <c r="J123" i="6" s="1" a="1"/>
  <c r="J123" i="6" s="1"/>
  <c r="C378" i="12"/>
  <c r="O378" i="12"/>
  <c r="AO378" i="12"/>
  <c r="M378" i="12"/>
  <c r="AB142" i="5"/>
  <c r="C43" i="6"/>
  <c r="O43" i="5"/>
  <c r="AC43" i="5"/>
  <c r="J43" i="6" s="1" a="1"/>
  <c r="J43" i="6" s="1"/>
  <c r="AB364" i="5"/>
  <c r="M175" i="12"/>
  <c r="C175" i="12"/>
  <c r="AO175" i="12"/>
  <c r="O175" i="12"/>
  <c r="O318" i="12"/>
  <c r="C318" i="12"/>
  <c r="AO318" i="12"/>
  <c r="M318" i="12"/>
  <c r="C215" i="6"/>
  <c r="O215" i="5"/>
  <c r="AC215" i="5"/>
  <c r="J215" i="6" s="1" a="1"/>
  <c r="J215" i="6" s="1"/>
  <c r="AB166" i="5"/>
  <c r="M166" i="12"/>
  <c r="O166" i="12"/>
  <c r="C166" i="12"/>
  <c r="AO166" i="12"/>
  <c r="AO194" i="12"/>
  <c r="C194" i="12"/>
  <c r="O194" i="12"/>
  <c r="M194" i="12"/>
  <c r="C206" i="6"/>
  <c r="O206" i="5"/>
  <c r="AC206" i="5"/>
  <c r="J206" i="6" s="1" a="1"/>
  <c r="J206" i="6" s="1"/>
  <c r="C250" i="6"/>
  <c r="O250" i="5"/>
  <c r="AC250" i="5"/>
  <c r="J250" i="6" s="1" a="1"/>
  <c r="J250" i="6" s="1"/>
  <c r="AB184" i="5"/>
  <c r="C362" i="12"/>
  <c r="AO362" i="12"/>
  <c r="O362" i="12"/>
  <c r="M362" i="12"/>
  <c r="AB397" i="5"/>
  <c r="O339" i="12"/>
  <c r="AO339" i="12"/>
  <c r="C339" i="12"/>
  <c r="M339" i="12"/>
  <c r="O334" i="12"/>
  <c r="M334" i="12"/>
  <c r="C334" i="12"/>
  <c r="AO334" i="12"/>
  <c r="AB285" i="5"/>
  <c r="AB290" i="5"/>
  <c r="O396" i="5"/>
  <c r="C396" i="6"/>
  <c r="AC396" i="5"/>
  <c r="J396" i="6" s="1" a="1"/>
  <c r="J396" i="6" s="1"/>
  <c r="C176" i="6"/>
  <c r="O176" i="5"/>
  <c r="AC176" i="5"/>
  <c r="J176" i="6" s="1" a="1"/>
  <c r="J176" i="6" s="1"/>
  <c r="O298" i="5"/>
  <c r="C298" i="6"/>
  <c r="AC298" i="5"/>
  <c r="J298" i="6" s="1" a="1"/>
  <c r="J298" i="6" s="1"/>
  <c r="AB352" i="5"/>
  <c r="M375" i="12"/>
  <c r="AO375" i="12"/>
  <c r="C375" i="12"/>
  <c r="O375" i="12"/>
  <c r="O170" i="12"/>
  <c r="C170" i="12"/>
  <c r="AO170" i="12"/>
  <c r="M170" i="12"/>
  <c r="AB315" i="5"/>
  <c r="M359" i="12"/>
  <c r="AO359" i="12"/>
  <c r="C359" i="12"/>
  <c r="O359" i="12"/>
  <c r="C282" i="6"/>
  <c r="O282" i="5"/>
  <c r="AC282" i="5"/>
  <c r="J282" i="6" s="1" a="1"/>
  <c r="J282" i="6" s="1"/>
  <c r="C326" i="6"/>
  <c r="O326" i="5"/>
  <c r="AC326" i="5"/>
  <c r="J326" i="6" s="1" a="1"/>
  <c r="J326" i="6" s="1"/>
  <c r="C323" i="12"/>
  <c r="O323" i="12"/>
  <c r="AO323" i="12"/>
  <c r="M323" i="12"/>
  <c r="AB23" i="5"/>
  <c r="C230" i="6"/>
  <c r="O230" i="5"/>
  <c r="AC230" i="5"/>
  <c r="J230" i="6" s="1" a="1"/>
  <c r="J230" i="6" s="1"/>
  <c r="C295" i="6"/>
  <c r="O295" i="5"/>
  <c r="AC295" i="5"/>
  <c r="J295" i="6" s="1" a="1"/>
  <c r="J295" i="6" s="1"/>
  <c r="C100" i="12"/>
  <c r="AO100" i="12"/>
  <c r="O100" i="12"/>
  <c r="M100" i="12"/>
  <c r="C100" i="6"/>
  <c r="AC100" i="5"/>
  <c r="J100" i="6" s="1" a="1"/>
  <c r="J100" i="6" s="1"/>
  <c r="O270" i="12"/>
  <c r="C270" i="12"/>
  <c r="AO270" i="12"/>
  <c r="M270" i="12"/>
  <c r="O209" i="12"/>
  <c r="M209" i="12"/>
  <c r="C209" i="12"/>
  <c r="AO209" i="12"/>
  <c r="O316" i="5"/>
  <c r="C316" i="6"/>
  <c r="AC316" i="5"/>
  <c r="J316" i="6" s="1" a="1"/>
  <c r="J316" i="6" s="1"/>
  <c r="O234" i="12"/>
  <c r="M234" i="12"/>
  <c r="C234" i="12"/>
  <c r="AO234" i="12"/>
  <c r="C324" i="6"/>
  <c r="O324" i="5"/>
  <c r="AC324" i="5"/>
  <c r="J324" i="6" s="1" a="1"/>
  <c r="J324" i="6" s="1"/>
  <c r="AB29" i="5"/>
  <c r="AB353" i="5"/>
  <c r="M317" i="12"/>
  <c r="AO317" i="12"/>
  <c r="C317" i="12"/>
  <c r="O317" i="12"/>
  <c r="AB327" i="5"/>
  <c r="C119" i="6"/>
  <c r="O119" i="5"/>
  <c r="AC119" i="5"/>
  <c r="J119" i="6" s="1" a="1"/>
  <c r="J119" i="6" s="1"/>
  <c r="C108" i="6"/>
  <c r="AC108" i="5"/>
  <c r="J108" i="6" s="1" a="1"/>
  <c r="J108" i="6" s="1"/>
  <c r="AB108" i="5"/>
  <c r="C143" i="6"/>
  <c r="AC143" i="5"/>
  <c r="J143" i="6" s="1" a="1"/>
  <c r="J143" i="6" s="1"/>
  <c r="C131" i="6"/>
  <c r="O131" i="5"/>
  <c r="AC131" i="5"/>
  <c r="J131" i="6" s="1" a="1"/>
  <c r="J131" i="6" s="1"/>
  <c r="C226" i="6"/>
  <c r="O226" i="5"/>
  <c r="AC226" i="5"/>
  <c r="J226" i="6" s="1" a="1"/>
  <c r="J226" i="6" s="1"/>
  <c r="O169" i="5"/>
  <c r="C169" i="6"/>
  <c r="AC169" i="5"/>
  <c r="J169" i="6" s="1" a="1"/>
  <c r="J169" i="6" s="1"/>
  <c r="O190" i="12"/>
  <c r="M190" i="12"/>
  <c r="C190" i="12"/>
  <c r="AO190" i="12"/>
  <c r="AB213" i="5"/>
  <c r="AB178" i="5"/>
  <c r="AB182" i="5"/>
  <c r="C399" i="6"/>
  <c r="O399" i="5"/>
  <c r="AC399" i="5"/>
  <c r="J399" i="6" s="1" a="1"/>
  <c r="J399" i="6" s="1"/>
  <c r="O354" i="5"/>
  <c r="C354" i="6"/>
  <c r="AC354" i="5"/>
  <c r="J354" i="6" s="1" a="1"/>
  <c r="J354" i="6" s="1"/>
  <c r="AB78" i="5"/>
  <c r="C78" i="6"/>
  <c r="AC78" i="5"/>
  <c r="J78" i="6" s="1" a="1"/>
  <c r="J78" i="6" s="1"/>
  <c r="AB220" i="5"/>
  <c r="M189" i="12"/>
  <c r="O189" i="12"/>
  <c r="AO189" i="12"/>
  <c r="C189" i="12"/>
  <c r="O333" i="5"/>
  <c r="C333" i="6"/>
  <c r="AC333" i="5"/>
  <c r="J333" i="6" s="1" a="1"/>
  <c r="J333" i="6" s="1"/>
  <c r="C89" i="6"/>
  <c r="AC89" i="5"/>
  <c r="J89" i="6" s="1" a="1"/>
  <c r="J89" i="6" s="1"/>
  <c r="AB228" i="5"/>
  <c r="C310" i="6"/>
  <c r="O310" i="5"/>
  <c r="AC310" i="5"/>
  <c r="J310" i="6" s="1" a="1"/>
  <c r="J310" i="6" s="1"/>
  <c r="C365" i="12"/>
  <c r="AO365" i="12"/>
  <c r="M365" i="12"/>
  <c r="O365" i="12"/>
  <c r="M158" i="12"/>
  <c r="AO158" i="12"/>
  <c r="O158" i="12"/>
  <c r="C158" i="12"/>
  <c r="M343" i="12"/>
  <c r="C343" i="12"/>
  <c r="AO343" i="12"/>
  <c r="O343" i="12"/>
  <c r="O355" i="12"/>
  <c r="AO355" i="12"/>
  <c r="C355" i="12"/>
  <c r="M355" i="12"/>
  <c r="O18" i="12"/>
  <c r="AO18" i="12"/>
  <c r="C18" i="12"/>
  <c r="M18" i="12"/>
  <c r="C314" i="6"/>
  <c r="O314" i="5"/>
  <c r="AC314" i="5"/>
  <c r="J314" i="6" s="1" a="1"/>
  <c r="J314" i="6" s="1"/>
  <c r="O322" i="5"/>
  <c r="C322" i="6"/>
  <c r="AC322" i="5"/>
  <c r="J322" i="6" s="1" a="1"/>
  <c r="J322" i="6" s="1"/>
  <c r="AB296" i="5"/>
  <c r="C335" i="12"/>
  <c r="M335" i="12"/>
  <c r="O335" i="12"/>
  <c r="AO335" i="12"/>
  <c r="AB163" i="5"/>
  <c r="C85" i="6"/>
  <c r="AC85" i="5"/>
  <c r="J85" i="6" s="1" a="1"/>
  <c r="J85" i="6" s="1"/>
  <c r="O363" i="5"/>
  <c r="C363" i="6"/>
  <c r="AC363" i="5"/>
  <c r="J363" i="6" s="1" a="1"/>
  <c r="J363" i="6" s="1"/>
  <c r="AB374" i="5"/>
  <c r="M24" i="12"/>
  <c r="O24" i="12"/>
  <c r="AO24" i="12"/>
  <c r="C24" i="12"/>
  <c r="AB258" i="5"/>
  <c r="AO258" i="12"/>
  <c r="C258" i="12"/>
  <c r="O258" i="12"/>
  <c r="M258" i="12"/>
  <c r="O179" i="5"/>
  <c r="C179" i="6"/>
  <c r="AC179" i="5"/>
  <c r="J179" i="6" s="1" a="1"/>
  <c r="J179" i="6" s="1"/>
  <c r="C187" i="6"/>
  <c r="O187" i="5"/>
  <c r="AC187" i="5"/>
  <c r="J187" i="6" s="1" a="1"/>
  <c r="J187" i="6" s="1"/>
  <c r="C153" i="6"/>
  <c r="AC153" i="5"/>
  <c r="J153" i="6" s="1" a="1"/>
  <c r="J153" i="6" s="1"/>
  <c r="AB112" i="5"/>
  <c r="O376" i="12"/>
  <c r="M376" i="12"/>
  <c r="C376" i="12"/>
  <c r="AO376" i="12"/>
  <c r="C293" i="6"/>
  <c r="O293" i="5"/>
  <c r="AC293" i="5"/>
  <c r="J293" i="6" s="1" a="1"/>
  <c r="J293" i="6" s="1"/>
  <c r="AB181" i="5"/>
  <c r="C76" i="6"/>
  <c r="AC76" i="5"/>
  <c r="J76" i="6" s="1" a="1"/>
  <c r="J76" i="6" s="1"/>
  <c r="AB280" i="5"/>
  <c r="C193" i="12"/>
  <c r="O193" i="12"/>
  <c r="M193" i="12"/>
  <c r="AO193" i="12"/>
  <c r="AO266" i="12"/>
  <c r="M266" i="12"/>
  <c r="C266" i="12"/>
  <c r="O266" i="12"/>
  <c r="C74" i="6"/>
  <c r="AC74" i="5"/>
  <c r="J74" i="6" s="1" a="1"/>
  <c r="J74" i="6" s="1"/>
  <c r="M227" i="12"/>
  <c r="O227" i="12"/>
  <c r="AO227" i="12"/>
  <c r="C227" i="12"/>
  <c r="C360" i="12"/>
  <c r="O360" i="12"/>
  <c r="AO360" i="12"/>
  <c r="M360" i="12"/>
  <c r="C299" i="6"/>
  <c r="O299" i="5"/>
  <c r="AC299" i="5"/>
  <c r="J299" i="6" s="1" a="1"/>
  <c r="J299" i="6" s="1"/>
  <c r="AB367" i="5"/>
  <c r="C145" i="6"/>
  <c r="AC145" i="5"/>
  <c r="J145" i="6" s="1" a="1"/>
  <c r="J145" i="6" s="1"/>
  <c r="O62" i="12"/>
  <c r="AO62" i="12"/>
  <c r="C62" i="12"/>
  <c r="M62" i="12"/>
  <c r="O372" i="12"/>
  <c r="M372" i="12"/>
  <c r="AO372" i="12"/>
  <c r="C372" i="12"/>
  <c r="C164" i="6"/>
  <c r="AC164" i="5"/>
  <c r="J164" i="6" s="1" a="1"/>
  <c r="J164" i="6" s="1"/>
  <c r="O191" i="12"/>
  <c r="C191" i="12"/>
  <c r="M191" i="12"/>
  <c r="AO191" i="12"/>
  <c r="AB150" i="5"/>
  <c r="AO63" i="12"/>
  <c r="O63" i="12"/>
  <c r="M63" i="12"/>
  <c r="C63" i="12"/>
  <c r="AO236" i="12"/>
  <c r="O236" i="12"/>
  <c r="M236" i="12"/>
  <c r="C236" i="12"/>
  <c r="AB224" i="5"/>
  <c r="C263" i="6"/>
  <c r="AC263" i="5"/>
  <c r="J263" i="6" s="1" a="1"/>
  <c r="J263" i="6" s="1"/>
  <c r="AB263" i="5"/>
  <c r="AB117" i="5"/>
  <c r="O253" i="5"/>
  <c r="C253" i="6"/>
  <c r="AC253" i="5"/>
  <c r="J253" i="6" s="1" a="1"/>
  <c r="J253" i="6" s="1"/>
  <c r="C103" i="6"/>
  <c r="AC103" i="5"/>
  <c r="J103" i="6" s="1" a="1"/>
  <c r="J103" i="6" s="1"/>
  <c r="AB217" i="5"/>
  <c r="C265" i="6"/>
  <c r="AC265" i="5"/>
  <c r="J265" i="6" s="1" a="1"/>
  <c r="J265" i="6" s="1"/>
  <c r="C265" i="12"/>
  <c r="O265" i="12"/>
  <c r="M265" i="12"/>
  <c r="AO265" i="12"/>
  <c r="C300" i="6"/>
  <c r="O300" i="5"/>
  <c r="AC300" i="5"/>
  <c r="J300" i="6" s="1" a="1"/>
  <c r="J300" i="6" s="1"/>
  <c r="AB192" i="5"/>
  <c r="AB229" i="5"/>
  <c r="O297" i="12"/>
  <c r="AO297" i="12"/>
  <c r="M297" i="12"/>
  <c r="C297" i="12"/>
  <c r="AB313" i="5"/>
  <c r="C61" i="12"/>
  <c r="M61" i="12"/>
  <c r="AO61" i="12"/>
  <c r="O61" i="12"/>
  <c r="AB222" i="5"/>
  <c r="C328" i="6"/>
  <c r="O328" i="5"/>
  <c r="AC328" i="5"/>
  <c r="J328" i="6" s="1" a="1"/>
  <c r="J328" i="6" s="1"/>
  <c r="AB195" i="5"/>
  <c r="C252" i="6"/>
  <c r="O252" i="5"/>
  <c r="AC252" i="5"/>
  <c r="J252" i="6" s="1" a="1"/>
  <c r="J252" i="6" s="1"/>
  <c r="C88" i="6"/>
  <c r="AC88" i="5"/>
  <c r="J88" i="6" s="1" a="1"/>
  <c r="J88" i="6" s="1"/>
  <c r="AB198" i="5"/>
  <c r="AO134" i="12"/>
  <c r="O134" i="12"/>
  <c r="M134" i="12"/>
  <c r="C134" i="12"/>
  <c r="M95" i="12"/>
  <c r="AO95" i="12"/>
  <c r="C95" i="12"/>
  <c r="O95" i="12"/>
  <c r="AB95" i="5"/>
  <c r="O204" i="5"/>
  <c r="C204" i="6"/>
  <c r="AC204" i="5"/>
  <c r="J204" i="6" s="1" a="1"/>
  <c r="J204" i="6" s="1"/>
  <c r="O251" i="5"/>
  <c r="C251" i="6"/>
  <c r="AC251" i="5"/>
  <c r="J251" i="6" s="1" a="1"/>
  <c r="J251" i="6" s="1"/>
  <c r="AB377" i="5"/>
  <c r="C304" i="6"/>
  <c r="O304" i="5"/>
  <c r="AC304" i="5"/>
  <c r="J304" i="6" s="1" a="1"/>
  <c r="J304" i="6" s="1"/>
  <c r="AB304" i="5"/>
  <c r="AB83" i="5"/>
  <c r="O321" i="5"/>
  <c r="C321" i="6"/>
  <c r="AC321" i="5"/>
  <c r="J321" i="6" s="1" a="1"/>
  <c r="J321" i="6" s="1"/>
  <c r="O292" i="5"/>
  <c r="C292" i="6"/>
  <c r="AC292" i="5"/>
  <c r="J292" i="6" s="1" a="1"/>
  <c r="J292" i="6" s="1"/>
  <c r="AB395" i="5"/>
  <c r="AB165" i="5"/>
  <c r="AB294" i="5"/>
  <c r="C118" i="6"/>
  <c r="O118" i="5"/>
  <c r="AC118" i="5"/>
  <c r="J118" i="6" s="1" a="1"/>
  <c r="J118" i="6" s="1"/>
  <c r="O320" i="5"/>
  <c r="C320" i="6"/>
  <c r="AC320" i="5"/>
  <c r="J320" i="6" s="1" a="1"/>
  <c r="J320" i="6" s="1"/>
  <c r="O319" i="12"/>
  <c r="C319" i="12"/>
  <c r="AO319" i="12"/>
  <c r="M319" i="12"/>
  <c r="O58" i="5"/>
  <c r="C58" i="6"/>
  <c r="AC58" i="5"/>
  <c r="J58" i="6" s="1" a="1"/>
  <c r="J58" i="6" s="1"/>
  <c r="AB141" i="5"/>
  <c r="AO245" i="12"/>
  <c r="C245" i="12"/>
  <c r="O245" i="12"/>
  <c r="M245" i="12"/>
  <c r="C356" i="12"/>
  <c r="M356" i="12"/>
  <c r="AO356" i="12"/>
  <c r="O356" i="12"/>
  <c r="AO248" i="12"/>
  <c r="M248" i="12"/>
  <c r="C248" i="12"/>
  <c r="O248" i="12"/>
  <c r="AO306" i="12"/>
  <c r="O306" i="12"/>
  <c r="C306" i="12"/>
  <c r="M306" i="12"/>
  <c r="AB260" i="5"/>
  <c r="AB53" i="5"/>
  <c r="AB52" i="5" s="1"/>
  <c r="C104" i="6"/>
  <c r="AC104" i="5"/>
  <c r="J104" i="6" s="1" a="1"/>
  <c r="J104" i="6" s="1"/>
  <c r="C87" i="6"/>
  <c r="AC87" i="5"/>
  <c r="J87" i="6" s="1" a="1"/>
  <c r="J87" i="6" s="1"/>
  <c r="AB276" i="5"/>
  <c r="M110" i="12"/>
  <c r="C110" i="12"/>
  <c r="O110" i="12"/>
  <c r="AO110" i="12"/>
  <c r="C110" i="6"/>
  <c r="AC110" i="5"/>
  <c r="J110" i="6" s="1" a="1"/>
  <c r="J110" i="6" s="1"/>
  <c r="AB140" i="5"/>
  <c r="O177" i="5"/>
  <c r="C177" i="6"/>
  <c r="AC177" i="5"/>
  <c r="J177" i="6" s="1" a="1"/>
  <c r="J177" i="6" s="1"/>
  <c r="O283" i="12"/>
  <c r="M283" i="12"/>
  <c r="C283" i="12"/>
  <c r="AO283" i="12"/>
  <c r="Z346" i="5"/>
  <c r="S71" i="8"/>
  <c r="I346" i="12"/>
  <c r="AM346" i="5"/>
  <c r="L346" i="5"/>
  <c r="AO347" i="12"/>
  <c r="O347" i="12"/>
  <c r="M347" i="12"/>
  <c r="C347" i="12"/>
  <c r="L392" i="5"/>
  <c r="Z392" i="5"/>
  <c r="AM392" i="5"/>
  <c r="S80" i="8"/>
  <c r="I392" i="12"/>
  <c r="AO139" i="12"/>
  <c r="M139" i="12"/>
  <c r="O139" i="12"/>
  <c r="C139" i="12"/>
  <c r="C331" i="6"/>
  <c r="O331" i="5"/>
  <c r="AC331" i="5"/>
  <c r="J331" i="6" s="1" a="1"/>
  <c r="J331" i="6" s="1"/>
  <c r="O368" i="12"/>
  <c r="AO368" i="12"/>
  <c r="M368" i="12"/>
  <c r="C368" i="12"/>
  <c r="C102" i="6"/>
  <c r="AC102" i="5"/>
  <c r="J102" i="6" s="1" a="1"/>
  <c r="J102" i="6" s="1"/>
  <c r="C25" i="12"/>
  <c r="M25" i="12"/>
  <c r="AO25" i="12"/>
  <c r="O25" i="12"/>
  <c r="C151" i="12"/>
  <c r="M151" i="12"/>
  <c r="AO151" i="12"/>
  <c r="O151" i="12"/>
  <c r="C341" i="6"/>
  <c r="O341" i="5"/>
  <c r="AC341" i="5"/>
  <c r="J341" i="6" s="1" a="1"/>
  <c r="J341" i="6" s="1"/>
  <c r="AB66" i="5"/>
  <c r="O137" i="12"/>
  <c r="C137" i="12"/>
  <c r="M137" i="12"/>
  <c r="AO137" i="12"/>
  <c r="O350" i="5"/>
  <c r="C350" i="6"/>
  <c r="AC350" i="5"/>
  <c r="J350" i="6" s="1" a="1"/>
  <c r="J350" i="6" s="1"/>
  <c r="O120" i="12"/>
  <c r="M120" i="12"/>
  <c r="C120" i="12"/>
  <c r="AO120" i="12"/>
  <c r="AO57" i="12"/>
  <c r="O57" i="12"/>
  <c r="M57" i="12"/>
  <c r="C57" i="12"/>
  <c r="AB75" i="5"/>
  <c r="C114" i="12"/>
  <c r="M114" i="12"/>
  <c r="AO114" i="12"/>
  <c r="O114" i="12"/>
  <c r="AB312" i="5"/>
  <c r="M173" i="12"/>
  <c r="C173" i="12"/>
  <c r="AO173" i="12"/>
  <c r="O173" i="12"/>
  <c r="C208" i="12"/>
  <c r="M208" i="12"/>
  <c r="O208" i="12"/>
  <c r="AO208" i="12"/>
  <c r="M113" i="12"/>
  <c r="O113" i="12"/>
  <c r="C113" i="12"/>
  <c r="AO113" i="12"/>
  <c r="C221" i="12"/>
  <c r="O221" i="12"/>
  <c r="M221" i="12"/>
  <c r="AO221" i="12"/>
  <c r="C152" i="6"/>
  <c r="AC152" i="5"/>
  <c r="J152" i="6" s="1" a="1"/>
  <c r="J152" i="6" s="1"/>
  <c r="O39" i="5"/>
  <c r="C39" i="6"/>
  <c r="AC39" i="5"/>
  <c r="J39" i="6" s="1" a="1"/>
  <c r="J39" i="6" s="1"/>
  <c r="O55" i="5"/>
  <c r="C55" i="6"/>
  <c r="AC55" i="5"/>
  <c r="J55" i="6" s="1" a="1"/>
  <c r="J55" i="6" s="1"/>
  <c r="AB349" i="5"/>
  <c r="AO309" i="12"/>
  <c r="O309" i="12"/>
  <c r="C309" i="12"/>
  <c r="M309" i="12"/>
  <c r="C219" i="6"/>
  <c r="O219" i="5"/>
  <c r="AC219" i="5"/>
  <c r="J219" i="6" s="1" a="1"/>
  <c r="J219" i="6" s="1"/>
  <c r="AB33" i="5"/>
  <c r="C167" i="6"/>
  <c r="AC167" i="5"/>
  <c r="J167" i="6" s="1" a="1"/>
  <c r="J167" i="6" s="1"/>
  <c r="AB212" i="5"/>
  <c r="AO106" i="12"/>
  <c r="O106" i="12"/>
  <c r="M106" i="12"/>
  <c r="C106" i="12"/>
  <c r="C162" i="6"/>
  <c r="AC162" i="5"/>
  <c r="J162" i="6" s="1" a="1"/>
  <c r="J162" i="6" s="1"/>
  <c r="C68" i="6"/>
  <c r="O68" i="5"/>
  <c r="AC68" i="5"/>
  <c r="J68" i="6" s="1" a="1"/>
  <c r="J68" i="6" s="1"/>
  <c r="C366" i="6"/>
  <c r="O366" i="5"/>
  <c r="AC366" i="5"/>
  <c r="J366" i="6" s="1" a="1"/>
  <c r="J366" i="6" s="1"/>
  <c r="O200" i="5"/>
  <c r="C200" i="6"/>
  <c r="AC200" i="5"/>
  <c r="J200" i="6" s="1" a="1"/>
  <c r="J200" i="6" s="1"/>
  <c r="AB77" i="5"/>
  <c r="AB128" i="5"/>
  <c r="M127" i="12"/>
  <c r="AO127" i="12"/>
  <c r="O127" i="12"/>
  <c r="C127" i="12"/>
  <c r="AO284" i="12"/>
  <c r="O284" i="12"/>
  <c r="M284" i="12"/>
  <c r="C284" i="12"/>
  <c r="AN402" i="5"/>
  <c r="W402" i="5"/>
  <c r="AN382" i="5"/>
  <c r="W382" i="5"/>
  <c r="W69" i="5"/>
  <c r="AN69" i="5"/>
  <c r="AN301" i="5"/>
  <c r="W301" i="5"/>
  <c r="AN35" i="5"/>
  <c r="W35" i="5"/>
  <c r="AN401" i="5"/>
  <c r="W401" i="5"/>
  <c r="AN51" i="5"/>
  <c r="W51" i="5"/>
  <c r="AN387" i="5"/>
  <c r="W387" i="5"/>
  <c r="Y322" i="12" l="1"/>
  <c r="N295" i="12"/>
  <c r="Y348" i="12"/>
  <c r="N209" i="12"/>
  <c r="Y362" i="12"/>
  <c r="W362" i="12" s="1"/>
  <c r="Y261" i="12"/>
  <c r="W261" i="12" s="1"/>
  <c r="Y33" i="12"/>
  <c r="Y313" i="12"/>
  <c r="W313" i="12" s="1"/>
  <c r="N246" i="12"/>
  <c r="Y119" i="12"/>
  <c r="W119" i="12" s="1"/>
  <c r="N294" i="12"/>
  <c r="N197" i="12"/>
  <c r="N185" i="12"/>
  <c r="M37" i="12"/>
  <c r="N353" i="12"/>
  <c r="Y315" i="12"/>
  <c r="W315" i="12" s="1"/>
  <c r="Y27" i="12"/>
  <c r="Y320" i="12"/>
  <c r="W320" i="12" s="1"/>
  <c r="Y164" i="12"/>
  <c r="W164" i="12" s="1"/>
  <c r="N118" i="12"/>
  <c r="N178" i="12"/>
  <c r="M342" i="12"/>
  <c r="Y211" i="12"/>
  <c r="W211" i="12" s="1"/>
  <c r="Y296" i="12"/>
  <c r="X296" i="12" s="1"/>
  <c r="N352" i="12"/>
  <c r="N113" i="12"/>
  <c r="Y367" i="12"/>
  <c r="X367" i="12" s="1"/>
  <c r="N350" i="12"/>
  <c r="N57" i="12"/>
  <c r="N265" i="12"/>
  <c r="Y191" i="12"/>
  <c r="X191" i="12" s="1"/>
  <c r="Y194" i="12"/>
  <c r="W194" i="12" s="1"/>
  <c r="N188" i="12"/>
  <c r="Y344" i="12"/>
  <c r="X344" i="12" s="1"/>
  <c r="Y107" i="12"/>
  <c r="X107" i="12" s="1"/>
  <c r="AB37" i="5"/>
  <c r="Y70" i="12"/>
  <c r="N279" i="12"/>
  <c r="N203" i="12"/>
  <c r="Y80" i="12"/>
  <c r="X80" i="12" s="1"/>
  <c r="Y293" i="12"/>
  <c r="AB275" i="5"/>
  <c r="Y356" i="12"/>
  <c r="W356" i="12" s="1"/>
  <c r="N245" i="12"/>
  <c r="Y175" i="12"/>
  <c r="X175" i="12" s="1"/>
  <c r="AB247" i="5"/>
  <c r="Y240" i="12"/>
  <c r="W240" i="12" s="1"/>
  <c r="Y72" i="12"/>
  <c r="W72" i="12" s="1"/>
  <c r="Y216" i="12"/>
  <c r="Y391" i="12"/>
  <c r="X391" i="12" s="1"/>
  <c r="N180" i="12"/>
  <c r="Y172" i="12"/>
  <c r="W172" i="12" s="1"/>
  <c r="N101" i="12"/>
  <c r="Y235" i="12"/>
  <c r="W235" i="12" s="1"/>
  <c r="N102" i="12"/>
  <c r="Y150" i="12"/>
  <c r="W150" i="12" s="1"/>
  <c r="N250" i="12"/>
  <c r="Y20" i="12"/>
  <c r="W20" i="12" s="1"/>
  <c r="Y183" i="12"/>
  <c r="W183" i="12" s="1"/>
  <c r="Y162" i="12"/>
  <c r="W162" i="12" s="1"/>
  <c r="N331" i="12"/>
  <c r="Y171" i="12"/>
  <c r="X171" i="12" s="1"/>
  <c r="Y95" i="12"/>
  <c r="X95" i="12" s="1"/>
  <c r="Y138" i="12"/>
  <c r="W138" i="12" s="1"/>
  <c r="Y109" i="12"/>
  <c r="Y332" i="12"/>
  <c r="X332" i="12" s="1"/>
  <c r="N367" i="12"/>
  <c r="Y108" i="12"/>
  <c r="W108" i="12" s="1"/>
  <c r="Y397" i="12"/>
  <c r="Y357" i="12"/>
  <c r="X357" i="12" s="1"/>
  <c r="Y187" i="12"/>
  <c r="X187" i="12" s="1"/>
  <c r="N307" i="12"/>
  <c r="N78" i="12"/>
  <c r="N196" i="12"/>
  <c r="Y152" i="12"/>
  <c r="W152" i="12" s="1"/>
  <c r="N177" i="12"/>
  <c r="N163" i="12"/>
  <c r="N149" i="12"/>
  <c r="N336" i="12"/>
  <c r="Y62" i="12"/>
  <c r="X62" i="12" s="1"/>
  <c r="N189" i="12"/>
  <c r="N318" i="12"/>
  <c r="Y207" i="12"/>
  <c r="W207" i="12" s="1"/>
  <c r="N377" i="12"/>
  <c r="N210" i="12"/>
  <c r="N328" i="12"/>
  <c r="N145" i="12"/>
  <c r="Y280" i="12"/>
  <c r="X280" i="12" s="1"/>
  <c r="N179" i="12"/>
  <c r="N23" i="12"/>
  <c r="Y364" i="12"/>
  <c r="W364" i="12" s="1"/>
  <c r="N30" i="12"/>
  <c r="N198" i="12"/>
  <c r="Y252" i="12"/>
  <c r="W252" i="12" s="1"/>
  <c r="N137" i="12"/>
  <c r="N114" i="12"/>
  <c r="Y139" i="12"/>
  <c r="W139" i="12" s="1"/>
  <c r="Y360" i="12"/>
  <c r="W360" i="12" s="1"/>
  <c r="Y227" i="12"/>
  <c r="X227" i="12" s="1"/>
  <c r="Y266" i="12"/>
  <c r="X266" i="12" s="1"/>
  <c r="Y19" i="12"/>
  <c r="N192" i="12"/>
  <c r="Y217" i="12"/>
  <c r="W217" i="12" s="1"/>
  <c r="Y314" i="12"/>
  <c r="X314" i="12" s="1"/>
  <c r="Y160" i="12"/>
  <c r="N58" i="12"/>
  <c r="N291" i="12"/>
  <c r="Y341" i="12"/>
  <c r="X341" i="12" s="1"/>
  <c r="N134" i="12"/>
  <c r="N258" i="12"/>
  <c r="N312" i="12"/>
  <c r="Y144" i="12"/>
  <c r="X144" i="12" s="1"/>
  <c r="Y223" i="12"/>
  <c r="N278" i="12"/>
  <c r="Y165" i="12"/>
  <c r="X165" i="12" s="1"/>
  <c r="Y76" i="12"/>
  <c r="X76" i="12" s="1"/>
  <c r="Y345" i="12"/>
  <c r="N127" i="12"/>
  <c r="N193" i="12"/>
  <c r="N376" i="12"/>
  <c r="N374" i="12"/>
  <c r="N121" i="12"/>
  <c r="Y251" i="12"/>
  <c r="W251" i="12" s="1"/>
  <c r="Y81" i="12"/>
  <c r="W81" i="12" s="1"/>
  <c r="Y305" i="12"/>
  <c r="Y173" i="12"/>
  <c r="X173" i="12" s="1"/>
  <c r="N236" i="12"/>
  <c r="N63" i="12"/>
  <c r="Y376" i="12"/>
  <c r="W376" i="12" s="1"/>
  <c r="N317" i="12"/>
  <c r="N375" i="12"/>
  <c r="Y334" i="12"/>
  <c r="X334" i="12" s="1"/>
  <c r="Y166" i="12"/>
  <c r="X166" i="12" s="1"/>
  <c r="Y125" i="12"/>
  <c r="W125" i="12" s="1"/>
  <c r="Y77" i="12"/>
  <c r="W77" i="12" s="1"/>
  <c r="Y330" i="12"/>
  <c r="X330" i="12" s="1"/>
  <c r="N332" i="12"/>
  <c r="N103" i="12"/>
  <c r="N181" i="12"/>
  <c r="N112" i="12"/>
  <c r="N161" i="12"/>
  <c r="Y228" i="12"/>
  <c r="W228" i="12" s="1"/>
  <c r="Y220" i="12"/>
  <c r="W220" i="12" s="1"/>
  <c r="N108" i="12"/>
  <c r="N105" i="12"/>
  <c r="Y184" i="12"/>
  <c r="X184" i="12" s="1"/>
  <c r="N364" i="12"/>
  <c r="Y202" i="12"/>
  <c r="W202" i="12" s="1"/>
  <c r="Y97" i="12"/>
  <c r="W97" i="12" s="1"/>
  <c r="N214" i="12"/>
  <c r="Y93" i="12"/>
  <c r="X93" i="12" s="1"/>
  <c r="Y259" i="12"/>
  <c r="W259" i="12" s="1"/>
  <c r="Y121" i="12"/>
  <c r="W121" i="12" s="1"/>
  <c r="Y200" i="12"/>
  <c r="X200" i="12" s="1"/>
  <c r="Y68" i="12"/>
  <c r="X68" i="12" s="1"/>
  <c r="N212" i="12"/>
  <c r="N140" i="12"/>
  <c r="Y87" i="12"/>
  <c r="X87" i="12" s="1"/>
  <c r="Y260" i="12"/>
  <c r="W260" i="12" s="1"/>
  <c r="Y141" i="12"/>
  <c r="X141" i="12" s="1"/>
  <c r="Y321" i="12"/>
  <c r="W321" i="12" s="1"/>
  <c r="N83" i="12"/>
  <c r="N229" i="12"/>
  <c r="Y253" i="12"/>
  <c r="W253" i="12" s="1"/>
  <c r="N143" i="12"/>
  <c r="N327" i="12"/>
  <c r="N282" i="12"/>
  <c r="N176" i="12"/>
  <c r="Y396" i="12"/>
  <c r="X396" i="12" s="1"/>
  <c r="Y126" i="12"/>
  <c r="X126" i="12" s="1"/>
  <c r="N215" i="12"/>
  <c r="Y142" i="12"/>
  <c r="W142" i="12" s="1"/>
  <c r="N20" i="12"/>
  <c r="N183" i="12"/>
  <c r="N361" i="12"/>
  <c r="N199" i="12"/>
  <c r="Y237" i="12"/>
  <c r="W237" i="12" s="1"/>
  <c r="Y350" i="12"/>
  <c r="X350" i="12" s="1"/>
  <c r="N252" i="12"/>
  <c r="Y352" i="12"/>
  <c r="W352" i="12" s="1"/>
  <c r="Y298" i="12"/>
  <c r="W298" i="12" s="1"/>
  <c r="Y338" i="12"/>
  <c r="X338" i="12" s="1"/>
  <c r="N358" i="12"/>
  <c r="N221" i="12"/>
  <c r="Y151" i="12"/>
  <c r="X151" i="12" s="1"/>
  <c r="Y25" i="12"/>
  <c r="W25" i="12" s="1"/>
  <c r="N368" i="12"/>
  <c r="Y319" i="12"/>
  <c r="X319" i="12" s="1"/>
  <c r="N227" i="12"/>
  <c r="N158" i="12"/>
  <c r="N190" i="12"/>
  <c r="Y359" i="12"/>
  <c r="W359" i="12" s="1"/>
  <c r="Y170" i="12"/>
  <c r="X170" i="12" s="1"/>
  <c r="N19" i="12"/>
  <c r="Y46" i="12"/>
  <c r="W46" i="12" s="1"/>
  <c r="N366" i="12"/>
  <c r="N349" i="12"/>
  <c r="N395" i="12"/>
  <c r="Y210" i="12"/>
  <c r="W210" i="12" s="1"/>
  <c r="Y328" i="12"/>
  <c r="X328" i="12" s="1"/>
  <c r="Y174" i="12"/>
  <c r="X174" i="12" s="1"/>
  <c r="Y145" i="12"/>
  <c r="W145" i="12" s="1"/>
  <c r="N299" i="12"/>
  <c r="Y128" i="12"/>
  <c r="X128" i="12" s="1"/>
  <c r="N363" i="12"/>
  <c r="N85" i="12"/>
  <c r="Y213" i="12"/>
  <c r="X213" i="12" s="1"/>
  <c r="Y369" i="12"/>
  <c r="W369" i="12" s="1"/>
  <c r="N70" i="12"/>
  <c r="N249" i="12"/>
  <c r="Y86" i="12"/>
  <c r="X86" i="12" s="1"/>
  <c r="Y60" i="12"/>
  <c r="W60" i="12" s="1"/>
  <c r="N167" i="12"/>
  <c r="N292" i="12"/>
  <c r="N139" i="12"/>
  <c r="N110" i="12"/>
  <c r="N306" i="12"/>
  <c r="Y297" i="12"/>
  <c r="X297" i="12" s="1"/>
  <c r="N191" i="12"/>
  <c r="Y372" i="12"/>
  <c r="X372" i="12" s="1"/>
  <c r="N335" i="12"/>
  <c r="Y355" i="12"/>
  <c r="X355" i="12" s="1"/>
  <c r="Y317" i="12"/>
  <c r="W317" i="12" s="1"/>
  <c r="Y323" i="12"/>
  <c r="W323" i="12" s="1"/>
  <c r="Y339" i="12"/>
  <c r="W339" i="12" s="1"/>
  <c r="Y246" i="12"/>
  <c r="X246" i="12" s="1"/>
  <c r="N329" i="12"/>
  <c r="Y118" i="12"/>
  <c r="X118" i="12" s="1"/>
  <c r="Y157" i="12"/>
  <c r="X157" i="12" s="1"/>
  <c r="N99" i="12"/>
  <c r="N136" i="12"/>
  <c r="N217" i="12"/>
  <c r="N224" i="12"/>
  <c r="Y257" i="12"/>
  <c r="W257" i="12" s="1"/>
  <c r="Y374" i="12"/>
  <c r="X374" i="12" s="1"/>
  <c r="N228" i="12"/>
  <c r="N44" i="12"/>
  <c r="Y399" i="12"/>
  <c r="X399" i="12" s="1"/>
  <c r="N124" i="12"/>
  <c r="N123" i="12"/>
  <c r="N340" i="12"/>
  <c r="Y102" i="12"/>
  <c r="W102" i="12" s="1"/>
  <c r="N260" i="12"/>
  <c r="N89" i="12"/>
  <c r="N159" i="12"/>
  <c r="Y82" i="12"/>
  <c r="X82" i="12" s="1"/>
  <c r="N305" i="12"/>
  <c r="Y71" i="12"/>
  <c r="X71" i="12" s="1"/>
  <c r="Y104" i="12"/>
  <c r="X104" i="12" s="1"/>
  <c r="N165" i="12"/>
  <c r="Y204" i="12"/>
  <c r="W204" i="12" s="1"/>
  <c r="Y263" i="12"/>
  <c r="W263" i="12" s="1"/>
  <c r="Y74" i="12"/>
  <c r="W74" i="12" s="1"/>
  <c r="Y241" i="12"/>
  <c r="W241" i="12" s="1"/>
  <c r="N314" i="12"/>
  <c r="N31" i="12"/>
  <c r="Y32" i="12"/>
  <c r="W32" i="12" s="1"/>
  <c r="N230" i="12"/>
  <c r="Y73" i="12"/>
  <c r="X73" i="12" s="1"/>
  <c r="Y196" i="12"/>
  <c r="X196" i="12" s="1"/>
  <c r="Y242" i="12"/>
  <c r="W242" i="12" s="1"/>
  <c r="N162" i="12"/>
  <c r="Y267" i="12"/>
  <c r="X267" i="12" s="1"/>
  <c r="N39" i="12"/>
  <c r="N201" i="12"/>
  <c r="Y331" i="12"/>
  <c r="X331" i="12" s="1"/>
  <c r="Y117" i="12"/>
  <c r="X117" i="12" s="1"/>
  <c r="N293" i="12"/>
  <c r="Y153" i="12"/>
  <c r="X153" i="12" s="1"/>
  <c r="Y310" i="12"/>
  <c r="X310" i="12" s="1"/>
  <c r="Y89" i="12"/>
  <c r="W89" i="12" s="1"/>
  <c r="N354" i="12"/>
  <c r="N156" i="12"/>
  <c r="N262" i="12"/>
  <c r="Y308" i="12"/>
  <c r="W308" i="12" s="1"/>
  <c r="N311" i="12"/>
  <c r="N298" i="12"/>
  <c r="N285" i="12"/>
  <c r="Y98" i="12"/>
  <c r="X98" i="12" s="1"/>
  <c r="N64" i="12"/>
  <c r="Y337" i="12"/>
  <c r="X337" i="12" s="1"/>
  <c r="X35" i="5" a="1"/>
  <c r="X35" i="5" s="1"/>
  <c r="H35" i="12"/>
  <c r="N208" i="12"/>
  <c r="Y368" i="12"/>
  <c r="X139" i="12"/>
  <c r="O346" i="12"/>
  <c r="N347" i="12"/>
  <c r="C346" i="12"/>
  <c r="J346" i="12" a="1"/>
  <c r="J346" i="12" s="1"/>
  <c r="L346" i="12" a="1"/>
  <c r="L346" i="12" s="1"/>
  <c r="D118" i="12"/>
  <c r="E118" i="6"/>
  <c r="E204" i="6"/>
  <c r="D204" i="12"/>
  <c r="N24" i="12"/>
  <c r="Y335" i="12"/>
  <c r="E322" i="6"/>
  <c r="D322" i="12"/>
  <c r="M17" i="12"/>
  <c r="N343" i="12"/>
  <c r="O342" i="12"/>
  <c r="N365" i="12"/>
  <c r="Y189" i="12"/>
  <c r="E354" i="6"/>
  <c r="D354" i="12"/>
  <c r="E169" i="6"/>
  <c r="D169" i="12"/>
  <c r="E119" i="6"/>
  <c r="D119" i="12"/>
  <c r="N170" i="12"/>
  <c r="E206" i="6"/>
  <c r="D206" i="12"/>
  <c r="N166" i="12"/>
  <c r="Y318" i="12"/>
  <c r="W175" i="12"/>
  <c r="N378" i="12"/>
  <c r="M115" i="12"/>
  <c r="D64" i="12"/>
  <c r="E64" i="6"/>
  <c r="Y281" i="12"/>
  <c r="J37" i="12" a="1"/>
  <c r="J37" i="12" s="1"/>
  <c r="L37" i="12" a="1"/>
  <c r="L37" i="12" s="1"/>
  <c r="C37" i="12"/>
  <c r="N344" i="12"/>
  <c r="E27" i="6"/>
  <c r="D27" i="12"/>
  <c r="D249" i="12"/>
  <c r="E249" i="6"/>
  <c r="N125" i="12"/>
  <c r="D186" i="12"/>
  <c r="E186" i="6"/>
  <c r="N80" i="12"/>
  <c r="N107" i="12"/>
  <c r="E305" i="6"/>
  <c r="D305" i="12"/>
  <c r="H383" i="12"/>
  <c r="X383" i="5" a="1"/>
  <c r="X383" i="5" s="1"/>
  <c r="H390" i="12"/>
  <c r="X390" i="5" a="1"/>
  <c r="X390" i="5" s="1"/>
  <c r="H385" i="12"/>
  <c r="X385" i="5" a="1"/>
  <c r="X385" i="5" s="1"/>
  <c r="E201" i="6"/>
  <c r="D201" i="12"/>
  <c r="E25" i="6"/>
  <c r="D25" i="12"/>
  <c r="C303" i="6"/>
  <c r="O303" i="5"/>
  <c r="AC303" i="5"/>
  <c r="W328" i="12"/>
  <c r="E56" i="6"/>
  <c r="D56" i="12"/>
  <c r="E209" i="6"/>
  <c r="D209" i="12"/>
  <c r="E270" i="6"/>
  <c r="D270" i="12"/>
  <c r="D211" i="12"/>
  <c r="E211" i="6"/>
  <c r="X259" i="12"/>
  <c r="X132" i="5" a="1"/>
  <c r="X132" i="5" s="1"/>
  <c r="H132" i="12"/>
  <c r="N276" i="12"/>
  <c r="O275" i="12"/>
  <c r="E356" i="6"/>
  <c r="D356" i="12"/>
  <c r="Y127" i="12"/>
  <c r="E350" i="6"/>
  <c r="D350" i="12"/>
  <c r="D341" i="12"/>
  <c r="E341" i="6"/>
  <c r="C392" i="12"/>
  <c r="L392" i="12" a="1"/>
  <c r="L392" i="12" s="1"/>
  <c r="J392" i="12" a="1"/>
  <c r="J392" i="12" s="1"/>
  <c r="O392" i="5"/>
  <c r="C392" i="6"/>
  <c r="AC392" i="5"/>
  <c r="AO346" i="12"/>
  <c r="Y347" i="12"/>
  <c r="AE73" i="8" a="1"/>
  <c r="AE73" i="8" s="1"/>
  <c r="V73" i="8" a="1"/>
  <c r="V73" i="8" s="1"/>
  <c r="AF73" i="8" a="1"/>
  <c r="AF73" i="8" s="1"/>
  <c r="H71" i="8" a="1"/>
  <c r="H71" i="8" s="1"/>
  <c r="J72" i="8" s="1"/>
  <c r="AC73" i="8" a="1"/>
  <c r="AC73" i="8" s="1"/>
  <c r="E73" i="8" a="1"/>
  <c r="E73" i="8" s="1"/>
  <c r="Z73" i="8" a="1"/>
  <c r="Z73" i="8" s="1"/>
  <c r="AD73" i="8" a="1"/>
  <c r="AD73" i="8" s="1"/>
  <c r="Y73" i="8" a="1"/>
  <c r="Y73" i="8" s="1"/>
  <c r="AA73" i="8" a="1"/>
  <c r="AA73" i="8" s="1"/>
  <c r="U73" i="8" a="1"/>
  <c r="U73" i="8" s="1"/>
  <c r="W73" i="8" a="1"/>
  <c r="W73" i="8" s="1"/>
  <c r="G71" i="8"/>
  <c r="G72" i="8" s="1" a="1"/>
  <c r="G72" i="8" s="1"/>
  <c r="H72" i="8" a="1"/>
  <c r="H72" i="8" s="1"/>
  <c r="AB73" i="8" a="1"/>
  <c r="AB73" i="8" s="1"/>
  <c r="X73" i="8" a="1"/>
  <c r="X73" i="8" s="1"/>
  <c r="D177" i="12"/>
  <c r="E177" i="6"/>
  <c r="W319" i="12"/>
  <c r="E321" i="6"/>
  <c r="D321" i="12"/>
  <c r="AB303" i="5"/>
  <c r="E251" i="6"/>
  <c r="D251" i="12"/>
  <c r="W95" i="12"/>
  <c r="E252" i="6"/>
  <c r="D252" i="12"/>
  <c r="D300" i="12"/>
  <c r="E300" i="6"/>
  <c r="D253" i="12"/>
  <c r="E253" i="6"/>
  <c r="W191" i="12"/>
  <c r="X376" i="12"/>
  <c r="Y343" i="12"/>
  <c r="AO342" i="12"/>
  <c r="D310" i="12"/>
  <c r="E310" i="6"/>
  <c r="E131" i="6"/>
  <c r="D131" i="12"/>
  <c r="E324" i="6"/>
  <c r="D324" i="12"/>
  <c r="E316" i="6"/>
  <c r="D316" i="12"/>
  <c r="N270" i="12"/>
  <c r="E230" i="6"/>
  <c r="D230" i="12"/>
  <c r="E282" i="6"/>
  <c r="D282" i="12"/>
  <c r="X359" i="12"/>
  <c r="D298" i="12"/>
  <c r="E298" i="6"/>
  <c r="D250" i="12"/>
  <c r="E250" i="6"/>
  <c r="X194" i="12"/>
  <c r="E215" i="6"/>
  <c r="D215" i="12"/>
  <c r="W19" i="12"/>
  <c r="X19" i="12"/>
  <c r="AC31" i="8" a="1"/>
  <c r="AC31" i="8" s="1"/>
  <c r="H29" i="8" a="1"/>
  <c r="H29" i="8" s="1"/>
  <c r="J30" i="8" s="1"/>
  <c r="V31" i="8" a="1"/>
  <c r="V31" i="8" s="1"/>
  <c r="AE31" i="8" a="1"/>
  <c r="AE31" i="8" s="1"/>
  <c r="AF31" i="8" a="1"/>
  <c r="AF31" i="8" s="1"/>
  <c r="G29" i="8"/>
  <c r="G30" i="8" s="1" a="1"/>
  <c r="G30" i="8" s="1"/>
  <c r="Y31" i="8" a="1"/>
  <c r="Y31" i="8" s="1"/>
  <c r="H30" i="8" a="1"/>
  <c r="H30" i="8" s="1"/>
  <c r="W31" i="8" a="1"/>
  <c r="W31" i="8" s="1"/>
  <c r="AB31" i="8" a="1"/>
  <c r="AB31" i="8" s="1"/>
  <c r="Z31" i="8" a="1"/>
  <c r="Z31" i="8" s="1"/>
  <c r="AA31" i="8" a="1"/>
  <c r="AA31" i="8" s="1"/>
  <c r="X31" i="8" a="1"/>
  <c r="X31" i="8" s="1"/>
  <c r="E31" i="8" a="1"/>
  <c r="E31" i="8" s="1"/>
  <c r="AD31" i="8" a="1"/>
  <c r="AD31" i="8" s="1"/>
  <c r="U31" i="8" a="1"/>
  <c r="U31" i="8" s="1"/>
  <c r="X138" i="12"/>
  <c r="W80" i="12"/>
  <c r="W107" i="12"/>
  <c r="W109" i="12"/>
  <c r="X109" i="12"/>
  <c r="H231" i="12"/>
  <c r="X231" i="5" a="1"/>
  <c r="X231" i="5" s="1"/>
  <c r="H386" i="12"/>
  <c r="X386" i="5" a="1"/>
  <c r="X386" i="5" s="1"/>
  <c r="E33" i="6"/>
  <c r="D33" i="12"/>
  <c r="AO218" i="12"/>
  <c r="Y219" i="12"/>
  <c r="W330" i="12"/>
  <c r="J247" i="12" a="1"/>
  <c r="J247" i="12" s="1"/>
  <c r="C247" i="12"/>
  <c r="L247" i="12" a="1"/>
  <c r="L247" i="12" s="1"/>
  <c r="W118" i="12"/>
  <c r="X228" i="12"/>
  <c r="X108" i="12"/>
  <c r="W324" i="12"/>
  <c r="X324" i="12"/>
  <c r="D221" i="12"/>
  <c r="E221" i="6"/>
  <c r="M392" i="12"/>
  <c r="D283" i="12"/>
  <c r="E283" i="6"/>
  <c r="D294" i="12"/>
  <c r="E294" i="6"/>
  <c r="E222" i="6"/>
  <c r="D222" i="12"/>
  <c r="X69" i="5" a="1"/>
  <c r="X69" i="5" s="1"/>
  <c r="H69" i="12"/>
  <c r="H51" i="12"/>
  <c r="X51" i="5" a="1"/>
  <c r="X51" i="5" s="1"/>
  <c r="Y284" i="12"/>
  <c r="D68" i="12"/>
  <c r="E68" i="6"/>
  <c r="Y106" i="12"/>
  <c r="D219" i="12"/>
  <c r="E219" i="6"/>
  <c r="N309" i="12"/>
  <c r="Y114" i="12"/>
  <c r="Y57" i="12"/>
  <c r="N120" i="12"/>
  <c r="Y137" i="12"/>
  <c r="AE82" i="8" a="1"/>
  <c r="AE82" i="8" s="1"/>
  <c r="H80" i="8" a="1"/>
  <c r="H80" i="8" s="1"/>
  <c r="J81" i="8" s="1"/>
  <c r="X82" i="8" a="1"/>
  <c r="X82" i="8" s="1"/>
  <c r="V82" i="8" a="1"/>
  <c r="V82" i="8" s="1"/>
  <c r="H81" i="8" a="1"/>
  <c r="H81" i="8" s="1"/>
  <c r="U82" i="8" a="1"/>
  <c r="U82" i="8" s="1"/>
  <c r="Y82" i="8" a="1"/>
  <c r="Y82" i="8" s="1"/>
  <c r="AA82" i="8" a="1"/>
  <c r="AA82" i="8" s="1"/>
  <c r="W82" i="8" a="1"/>
  <c r="W82" i="8" s="1"/>
  <c r="AC82" i="8" a="1"/>
  <c r="AC82" i="8" s="1"/>
  <c r="E82" i="8" a="1"/>
  <c r="E82" i="8" s="1"/>
  <c r="Z82" i="8" a="1"/>
  <c r="Z82" i="8" s="1"/>
  <c r="G80" i="8"/>
  <c r="G81" i="8" s="1" a="1"/>
  <c r="G81" i="8" s="1"/>
  <c r="AF82" i="8" a="1"/>
  <c r="AF82" i="8" s="1"/>
  <c r="AD82" i="8" a="1"/>
  <c r="AD82" i="8" s="1"/>
  <c r="AB82" i="8" a="1"/>
  <c r="AB82" i="8" s="1"/>
  <c r="O346" i="5"/>
  <c r="AC346" i="5"/>
  <c r="C346" i="6"/>
  <c r="N283" i="12"/>
  <c r="Y306" i="12"/>
  <c r="AO247" i="12"/>
  <c r="Y248" i="12"/>
  <c r="Y245" i="12"/>
  <c r="E320" i="6"/>
  <c r="D320" i="12"/>
  <c r="D292" i="12"/>
  <c r="E292" i="6"/>
  <c r="Y134" i="12"/>
  <c r="D328" i="12"/>
  <c r="E328" i="6"/>
  <c r="N61" i="12"/>
  <c r="W297" i="12"/>
  <c r="Y236" i="12"/>
  <c r="Y63" i="12"/>
  <c r="W62" i="12"/>
  <c r="E299" i="6"/>
  <c r="D299" i="12"/>
  <c r="N360" i="12"/>
  <c r="W266" i="12"/>
  <c r="E363" i="6"/>
  <c r="D363" i="12"/>
  <c r="D314" i="12"/>
  <c r="E314" i="6"/>
  <c r="Y18" i="12"/>
  <c r="AO17" i="12"/>
  <c r="W355" i="12"/>
  <c r="Y158" i="12"/>
  <c r="Y365" i="12"/>
  <c r="E333" i="6"/>
  <c r="D333" i="12"/>
  <c r="E399" i="6"/>
  <c r="D399" i="12"/>
  <c r="Y190" i="12"/>
  <c r="D226" i="12"/>
  <c r="E226" i="6"/>
  <c r="X317" i="12"/>
  <c r="N234" i="12"/>
  <c r="Y209" i="12"/>
  <c r="N100" i="12"/>
  <c r="E295" i="6"/>
  <c r="D295" i="12"/>
  <c r="X323" i="12"/>
  <c r="D326" i="12"/>
  <c r="E326" i="6"/>
  <c r="W170" i="12"/>
  <c r="W166" i="12"/>
  <c r="D43" i="12"/>
  <c r="E43" i="6"/>
  <c r="O115" i="12"/>
  <c r="N116" i="12"/>
  <c r="N281" i="12"/>
  <c r="E369" i="6"/>
  <c r="D369" i="12"/>
  <c r="W344" i="12"/>
  <c r="E183" i="6"/>
  <c r="D183" i="12"/>
  <c r="X125" i="12"/>
  <c r="X50" i="5" a="1"/>
  <c r="X50" i="5" s="1"/>
  <c r="H50" i="12"/>
  <c r="D127" i="12"/>
  <c r="E127" i="6"/>
  <c r="N77" i="12"/>
  <c r="O218" i="12"/>
  <c r="N219" i="12"/>
  <c r="Y349" i="12"/>
  <c r="C52" i="12"/>
  <c r="L52" i="12" a="1"/>
  <c r="L52" i="12" s="1"/>
  <c r="J52" i="12" a="1"/>
  <c r="J52" i="12" s="1"/>
  <c r="Y185" i="12"/>
  <c r="C303" i="12"/>
  <c r="J303" i="12" a="1"/>
  <c r="J303" i="12" s="1"/>
  <c r="L303" i="12" a="1"/>
  <c r="L303" i="12" s="1"/>
  <c r="Y377" i="12"/>
  <c r="N222" i="12"/>
  <c r="N300" i="12"/>
  <c r="X145" i="12"/>
  <c r="W367" i="12"/>
  <c r="H243" i="12"/>
  <c r="X243" i="5" a="1"/>
  <c r="X243" i="5" s="1"/>
  <c r="X33" i="12"/>
  <c r="W33" i="12"/>
  <c r="E55" i="6"/>
  <c r="D55" i="12"/>
  <c r="H401" i="12"/>
  <c r="X401" i="5" a="1"/>
  <c r="X401" i="5" s="1"/>
  <c r="X402" i="5" a="1"/>
  <c r="X402" i="5" s="1"/>
  <c r="H402" i="12"/>
  <c r="N284" i="12"/>
  <c r="D200" i="12"/>
  <c r="E200" i="6"/>
  <c r="N106" i="12"/>
  <c r="H382" i="12"/>
  <c r="X382" i="5" a="1"/>
  <c r="X382" i="5" s="1"/>
  <c r="H387" i="12"/>
  <c r="X387" i="5" a="1"/>
  <c r="X387" i="5" s="1"/>
  <c r="X301" i="5" a="1"/>
  <c r="X301" i="5" s="1"/>
  <c r="H301" i="12"/>
  <c r="D366" i="12"/>
  <c r="E366" i="6"/>
  <c r="Y309" i="12"/>
  <c r="D39" i="12"/>
  <c r="E39" i="6"/>
  <c r="Y221" i="12"/>
  <c r="Y113" i="12"/>
  <c r="Y208" i="12"/>
  <c r="N173" i="12"/>
  <c r="Y120" i="12"/>
  <c r="N151" i="12"/>
  <c r="N25" i="12"/>
  <c r="D331" i="12"/>
  <c r="E331" i="6"/>
  <c r="M346" i="12"/>
  <c r="Y283" i="12"/>
  <c r="Y110" i="12"/>
  <c r="N248" i="12"/>
  <c r="O247" i="12"/>
  <c r="N356" i="12"/>
  <c r="D58" i="12"/>
  <c r="E58" i="6"/>
  <c r="N319" i="12"/>
  <c r="E304" i="6"/>
  <c r="D304" i="12"/>
  <c r="N95" i="12"/>
  <c r="Y61" i="12"/>
  <c r="N297" i="12"/>
  <c r="Y265" i="12"/>
  <c r="N372" i="12"/>
  <c r="N62" i="12"/>
  <c r="N266" i="12"/>
  <c r="Y193" i="12"/>
  <c r="E293" i="6"/>
  <c r="D293" i="12"/>
  <c r="E187" i="6"/>
  <c r="D187" i="12"/>
  <c r="D179" i="12"/>
  <c r="E179" i="6"/>
  <c r="Y258" i="12"/>
  <c r="Y24" i="12"/>
  <c r="O17" i="12"/>
  <c r="N17" i="12" s="1"/>
  <c r="N18" i="12"/>
  <c r="N355" i="12"/>
  <c r="AB28" i="5"/>
  <c r="Y234" i="12"/>
  <c r="Y270" i="12"/>
  <c r="Y100" i="12"/>
  <c r="N323" i="12"/>
  <c r="N359" i="12"/>
  <c r="Y375" i="12"/>
  <c r="E176" i="6"/>
  <c r="D176" i="12"/>
  <c r="D396" i="12"/>
  <c r="E396" i="6"/>
  <c r="N334" i="12"/>
  <c r="N339" i="12"/>
  <c r="N362" i="12"/>
  <c r="N194" i="12"/>
  <c r="N175" i="12"/>
  <c r="Y378" i="12"/>
  <c r="D123" i="12"/>
  <c r="E123" i="6"/>
  <c r="D338" i="12"/>
  <c r="E338" i="6"/>
  <c r="N46" i="12"/>
  <c r="Y116" i="12"/>
  <c r="AO115" i="12"/>
  <c r="N211" i="12"/>
  <c r="E358" i="6"/>
  <c r="D358" i="12"/>
  <c r="D336" i="12"/>
  <c r="E336" i="6"/>
  <c r="O37" i="5"/>
  <c r="C37" i="6"/>
  <c r="AC37" i="5"/>
  <c r="Y188" i="12"/>
  <c r="Y203" i="12"/>
  <c r="N138" i="12"/>
  <c r="Y329" i="12"/>
  <c r="N109" i="12"/>
  <c r="N207" i="12"/>
  <c r="X49" i="5" a="1"/>
  <c r="X49" i="5" s="1"/>
  <c r="H49" i="12"/>
  <c r="H255" i="12"/>
  <c r="X255" i="5" a="1"/>
  <c r="X255" i="5" s="1"/>
  <c r="E284" i="6"/>
  <c r="D284" i="12"/>
  <c r="Y366" i="12"/>
  <c r="Y312" i="12"/>
  <c r="W144" i="12"/>
  <c r="W223" i="12"/>
  <c r="X223" i="12"/>
  <c r="C275" i="6"/>
  <c r="AC275" i="5"/>
  <c r="O275" i="5"/>
  <c r="U58" i="8" a="1"/>
  <c r="U58" i="8" s="1"/>
  <c r="AA58" i="8" a="1"/>
  <c r="AA58" i="8" s="1"/>
  <c r="Y58" i="8" a="1"/>
  <c r="Y58" i="8" s="1"/>
  <c r="V58" i="8" a="1"/>
  <c r="V58" i="8" s="1"/>
  <c r="AC58" i="8" a="1"/>
  <c r="AC58" i="8" s="1"/>
  <c r="H57" i="8" a="1"/>
  <c r="H57" i="8" s="1"/>
  <c r="E58" i="8" a="1"/>
  <c r="E58" i="8" s="1"/>
  <c r="Z58" i="8" a="1"/>
  <c r="Z58" i="8" s="1"/>
  <c r="D56" i="8"/>
  <c r="X58" i="8" a="1"/>
  <c r="X58" i="8" s="1"/>
  <c r="W58" i="8" a="1"/>
  <c r="W58" i="8" s="1"/>
  <c r="H56" i="8" a="1"/>
  <c r="H56" i="8" s="1"/>
  <c r="J57" i="8" s="1"/>
  <c r="G56" i="8"/>
  <c r="G57" i="8" s="1" a="1"/>
  <c r="G57" i="8" s="1"/>
  <c r="AE58" i="8" a="1"/>
  <c r="AE58" i="8" s="1"/>
  <c r="AD58" i="8" a="1"/>
  <c r="AD58" i="8" s="1"/>
  <c r="AF58" i="8" a="1"/>
  <c r="AF58" i="8" s="1"/>
  <c r="AB58" i="8" a="1"/>
  <c r="AB58" i="8" s="1"/>
  <c r="Y136" i="12"/>
  <c r="D308" i="12"/>
  <c r="E308" i="6"/>
  <c r="D339" i="12"/>
  <c r="E339" i="6"/>
  <c r="Y42" i="12"/>
  <c r="AO41" i="12"/>
  <c r="J41" i="12" a="1"/>
  <c r="J41" i="12" s="1"/>
  <c r="C41" i="12"/>
  <c r="L41" i="12" a="1"/>
  <c r="L41" i="12" s="1"/>
  <c r="H384" i="12"/>
  <c r="X384" i="5" a="1"/>
  <c r="X384" i="5" s="1"/>
  <c r="X102" i="12"/>
  <c r="AB346" i="5"/>
  <c r="D71" i="8" s="1"/>
  <c r="H38" i="8" a="1"/>
  <c r="H38" i="8" s="1"/>
  <c r="J39" i="8" s="1"/>
  <c r="G38" i="8"/>
  <c r="G39" i="8" s="1" a="1"/>
  <c r="G39" i="8" s="1"/>
  <c r="Y40" i="8" a="1"/>
  <c r="Y40" i="8" s="1"/>
  <c r="AF40" i="8" a="1"/>
  <c r="AF40" i="8" s="1"/>
  <c r="X40" i="8" a="1"/>
  <c r="X40" i="8" s="1"/>
  <c r="AB40" i="8" a="1"/>
  <c r="AB40" i="8" s="1"/>
  <c r="E40" i="8" a="1"/>
  <c r="E40" i="8" s="1"/>
  <c r="U40" i="8" a="1"/>
  <c r="U40" i="8" s="1"/>
  <c r="AD40" i="8" a="1"/>
  <c r="AD40" i="8" s="1"/>
  <c r="D38" i="8"/>
  <c r="W40" i="8" a="1"/>
  <c r="W40" i="8" s="1"/>
  <c r="AA40" i="8" a="1"/>
  <c r="AA40" i="8" s="1"/>
  <c r="AE40" i="8" a="1"/>
  <c r="AE40" i="8" s="1"/>
  <c r="V40" i="8" a="1"/>
  <c r="V40" i="8" s="1"/>
  <c r="Z40" i="8" a="1"/>
  <c r="Z40" i="8" s="1"/>
  <c r="H39" i="8" a="1"/>
  <c r="H39" i="8" s="1"/>
  <c r="AC40" i="8" a="1"/>
  <c r="AC40" i="8" s="1"/>
  <c r="O247" i="5"/>
  <c r="AC247" i="5"/>
  <c r="C247" i="6"/>
  <c r="N240" i="12"/>
  <c r="D398" i="12"/>
  <c r="E398" i="6"/>
  <c r="N157" i="12"/>
  <c r="Y99" i="12"/>
  <c r="E197" i="6"/>
  <c r="D197" i="12"/>
  <c r="Y192" i="12"/>
  <c r="Y300" i="12"/>
  <c r="N164" i="12"/>
  <c r="Y299" i="12"/>
  <c r="E59" i="6"/>
  <c r="D59" i="12"/>
  <c r="D376" i="12"/>
  <c r="E376" i="6"/>
  <c r="N261" i="12"/>
  <c r="N72" i="12"/>
  <c r="N205" i="12"/>
  <c r="C21" i="6"/>
  <c r="O21" i="5"/>
  <c r="AC21" i="5"/>
  <c r="N216" i="12"/>
  <c r="Y169" i="12"/>
  <c r="AO168" i="12"/>
  <c r="E353" i="6"/>
  <c r="D353" i="12"/>
  <c r="J28" i="12" a="1"/>
  <c r="J28" i="12" s="1"/>
  <c r="L28" i="12" a="1"/>
  <c r="L28" i="12" s="1"/>
  <c r="C28" i="12"/>
  <c r="N324" i="12"/>
  <c r="Y23" i="12"/>
  <c r="AB325" i="5"/>
  <c r="N391" i="12"/>
  <c r="N290" i="12"/>
  <c r="N397" i="12"/>
  <c r="N184" i="12"/>
  <c r="Y67" i="12"/>
  <c r="N71" i="12"/>
  <c r="E46" i="6"/>
  <c r="D46" i="12"/>
  <c r="O115" i="5"/>
  <c r="C115" i="6"/>
  <c r="AC115" i="5"/>
  <c r="L115" i="12" a="1"/>
  <c r="L115" i="12" s="1"/>
  <c r="J115" i="12" a="1"/>
  <c r="J115" i="12" s="1"/>
  <c r="C115" i="12"/>
  <c r="Y101" i="12"/>
  <c r="Y256" i="12"/>
  <c r="N97" i="12"/>
  <c r="N42" i="12"/>
  <c r="O41" i="12"/>
  <c r="AF34" i="8" a="1"/>
  <c r="AF34" i="8" s="1"/>
  <c r="Z34" i="8" a="1"/>
  <c r="Z34" i="8" s="1"/>
  <c r="H33" i="8" a="1"/>
  <c r="H33" i="8" s="1"/>
  <c r="E34" i="8" a="1"/>
  <c r="E34" i="8" s="1"/>
  <c r="G32" i="8"/>
  <c r="G33" i="8" s="1" a="1"/>
  <c r="G33" i="8" s="1"/>
  <c r="V34" i="8" a="1"/>
  <c r="V34" i="8" s="1"/>
  <c r="W34" i="8" a="1"/>
  <c r="W34" i="8" s="1"/>
  <c r="AB34" i="8" a="1"/>
  <c r="AB34" i="8" s="1"/>
  <c r="AC34" i="8" a="1"/>
  <c r="AC34" i="8" s="1"/>
  <c r="AE34" i="8" a="1"/>
  <c r="AE34" i="8" s="1"/>
  <c r="AD34" i="8" a="1"/>
  <c r="AD34" i="8" s="1"/>
  <c r="X34" i="8" a="1"/>
  <c r="X34" i="8" s="1"/>
  <c r="U34" i="8" a="1"/>
  <c r="U34" i="8" s="1"/>
  <c r="AA34" i="8" a="1"/>
  <c r="AA34" i="8" s="1"/>
  <c r="H32" i="8" a="1"/>
  <c r="H32" i="8" s="1"/>
  <c r="J33" i="8" s="1"/>
  <c r="Y34" i="8" a="1"/>
  <c r="Y34" i="8" s="1"/>
  <c r="N235" i="12"/>
  <c r="E344" i="6"/>
  <c r="D344" i="12"/>
  <c r="Y278" i="12"/>
  <c r="Y84" i="12"/>
  <c r="Y186" i="12"/>
  <c r="N404" i="12"/>
  <c r="O403" i="12"/>
  <c r="N403" i="12" s="1"/>
  <c r="C403" i="12"/>
  <c r="L403" i="12" a="1"/>
  <c r="L403" i="12" s="1"/>
  <c r="J403" i="12" a="1"/>
  <c r="J403" i="12" s="1"/>
  <c r="Y96" i="12"/>
  <c r="D348" i="12"/>
  <c r="E348" i="6"/>
  <c r="H388" i="12"/>
  <c r="X388" i="5" a="1"/>
  <c r="X388" i="5" s="1"/>
  <c r="X90" i="5" a="1"/>
  <c r="X90" i="5" s="1"/>
  <c r="H90" i="12"/>
  <c r="N128" i="12"/>
  <c r="N200" i="12"/>
  <c r="N68" i="12"/>
  <c r="Y212" i="12"/>
  <c r="E349" i="6"/>
  <c r="D349" i="12"/>
  <c r="D332" i="12"/>
  <c r="E332" i="6"/>
  <c r="Y394" i="12"/>
  <c r="Y75" i="12"/>
  <c r="D120" i="12"/>
  <c r="E120" i="6"/>
  <c r="E66" i="6"/>
  <c r="D66" i="12"/>
  <c r="O392" i="12"/>
  <c r="N392" i="12" s="1"/>
  <c r="N393" i="12"/>
  <c r="E347" i="6"/>
  <c r="D347" i="12"/>
  <c r="Y276" i="12"/>
  <c r="AO275" i="12"/>
  <c r="Y275" i="12" s="1"/>
  <c r="N104" i="12"/>
  <c r="N141" i="12"/>
  <c r="N321" i="12"/>
  <c r="N251" i="12"/>
  <c r="N204" i="12"/>
  <c r="D198" i="12"/>
  <c r="E198" i="6"/>
  <c r="E210" i="6"/>
  <c r="D210" i="12"/>
  <c r="N357" i="12"/>
  <c r="E217" i="6"/>
  <c r="D217" i="12"/>
  <c r="Y277" i="12"/>
  <c r="N253" i="12"/>
  <c r="N263" i="12"/>
  <c r="E63" i="6"/>
  <c r="D63" i="12"/>
  <c r="X150" i="12"/>
  <c r="E227" i="6"/>
  <c r="D227" i="12"/>
  <c r="X241" i="12"/>
  <c r="D280" i="12"/>
  <c r="E280" i="6"/>
  <c r="W76" i="12"/>
  <c r="Y363" i="12"/>
  <c r="D335" i="12"/>
  <c r="E335" i="6"/>
  <c r="C272" i="12"/>
  <c r="L272" i="12" a="1"/>
  <c r="L272" i="12" s="1"/>
  <c r="J272" i="12" a="1"/>
  <c r="J272" i="12" s="1"/>
  <c r="Y307" i="12"/>
  <c r="N333" i="12"/>
  <c r="Y22" i="12"/>
  <c r="AO21" i="12"/>
  <c r="D216" i="12"/>
  <c r="E216" i="6"/>
  <c r="N131" i="12"/>
  <c r="X32" i="12"/>
  <c r="Y327" i="12"/>
  <c r="M28" i="12"/>
  <c r="Y230" i="12"/>
  <c r="D323" i="12"/>
  <c r="E323" i="6"/>
  <c r="O325" i="12"/>
  <c r="N326" i="12"/>
  <c r="Y282" i="12"/>
  <c r="E315" i="6"/>
  <c r="D315" i="12"/>
  <c r="W126" i="12"/>
  <c r="N206" i="12"/>
  <c r="Y215" i="12"/>
  <c r="E318" i="6"/>
  <c r="D318" i="12"/>
  <c r="X142" i="12"/>
  <c r="D19" i="12"/>
  <c r="E19" i="6"/>
  <c r="E172" i="6"/>
  <c r="D172" i="12"/>
  <c r="X70" i="12"/>
  <c r="W70" i="12"/>
  <c r="O37" i="12"/>
  <c r="N37" i="12" s="1"/>
  <c r="N38" i="12"/>
  <c r="W345" i="12"/>
  <c r="X345" i="12"/>
  <c r="N264" i="12"/>
  <c r="Y30" i="12"/>
  <c r="N274" i="12"/>
  <c r="Y371" i="12"/>
  <c r="N135" i="12"/>
  <c r="D329" i="12"/>
  <c r="E329" i="6"/>
  <c r="E212" i="6"/>
  <c r="D212" i="12"/>
  <c r="Y167" i="12"/>
  <c r="Y55" i="12"/>
  <c r="Y201" i="12"/>
  <c r="N66" i="12"/>
  <c r="X320" i="12"/>
  <c r="Y198" i="12"/>
  <c r="D61" i="12"/>
  <c r="E61" i="6"/>
  <c r="N146" i="12"/>
  <c r="E174" i="6"/>
  <c r="D174" i="12"/>
  <c r="E367" i="6"/>
  <c r="D367" i="12"/>
  <c r="E374" i="6"/>
  <c r="D374" i="12"/>
  <c r="Y163" i="12"/>
  <c r="D343" i="12"/>
  <c r="E343" i="6"/>
  <c r="D31" i="12"/>
  <c r="E31" i="6"/>
  <c r="Y354" i="12"/>
  <c r="J168" i="12" a="1"/>
  <c r="J168" i="12" s="1"/>
  <c r="L168" i="12" a="1"/>
  <c r="L168" i="12" s="1"/>
  <c r="C168" i="12"/>
  <c r="Y226" i="12"/>
  <c r="Y353" i="12"/>
  <c r="X308" i="12"/>
  <c r="D359" i="12"/>
  <c r="E359" i="6"/>
  <c r="X352" i="12"/>
  <c r="D175" i="12"/>
  <c r="E175" i="6"/>
  <c r="N351" i="12"/>
  <c r="W171" i="12"/>
  <c r="W338" i="12"/>
  <c r="Y358" i="12"/>
  <c r="N79" i="12"/>
  <c r="W337" i="12"/>
  <c r="D202" i="12"/>
  <c r="E202" i="6"/>
  <c r="W82" i="12"/>
  <c r="N288" i="12"/>
  <c r="E274" i="6"/>
  <c r="D274" i="12"/>
  <c r="D121" i="12"/>
  <c r="E121" i="6"/>
  <c r="X348" i="12"/>
  <c r="W348" i="12"/>
  <c r="E360" i="6"/>
  <c r="D360" i="12"/>
  <c r="W280" i="12"/>
  <c r="Y181" i="12"/>
  <c r="Y112" i="12"/>
  <c r="X257" i="12"/>
  <c r="Y179" i="12"/>
  <c r="X261" i="12"/>
  <c r="D189" i="12"/>
  <c r="E189" i="6"/>
  <c r="X72" i="12"/>
  <c r="E122" i="6"/>
  <c r="D122" i="12"/>
  <c r="E22" i="6"/>
  <c r="D22" i="12"/>
  <c r="J21" i="12" a="1"/>
  <c r="J21" i="12" s="1"/>
  <c r="C21" i="12"/>
  <c r="L21" i="12" a="1"/>
  <c r="L21" i="12" s="1"/>
  <c r="E182" i="6"/>
  <c r="D182" i="12"/>
  <c r="Y178" i="12"/>
  <c r="M168" i="12"/>
  <c r="AB168" i="5"/>
  <c r="D327" i="12"/>
  <c r="E327" i="6"/>
  <c r="C28" i="6"/>
  <c r="O28" i="5"/>
  <c r="AC28" i="5"/>
  <c r="Y290" i="12"/>
  <c r="W184" i="12"/>
  <c r="N67" i="12"/>
  <c r="Y123" i="12"/>
  <c r="X46" i="8" a="1"/>
  <c r="X46" i="8" s="1"/>
  <c r="AD46" i="8" a="1"/>
  <c r="AD46" i="8" s="1"/>
  <c r="V46" i="8" a="1"/>
  <c r="V46" i="8" s="1"/>
  <c r="U46" i="8" a="1"/>
  <c r="U46" i="8" s="1"/>
  <c r="H45" i="8" a="1"/>
  <c r="H45" i="8" s="1"/>
  <c r="Y46" i="8" a="1"/>
  <c r="Y46" i="8" s="1"/>
  <c r="G44" i="8"/>
  <c r="G45" i="8" s="1" a="1"/>
  <c r="G45" i="8" s="1"/>
  <c r="AF46" i="8" a="1"/>
  <c r="AF46" i="8" s="1"/>
  <c r="Z46" i="8" a="1"/>
  <c r="Z46" i="8" s="1"/>
  <c r="AB46" i="8" a="1"/>
  <c r="AB46" i="8" s="1"/>
  <c r="AC46" i="8" a="1"/>
  <c r="AC46" i="8" s="1"/>
  <c r="H44" i="8" a="1"/>
  <c r="H44" i="8" s="1"/>
  <c r="J45" i="8" s="1"/>
  <c r="AE46" i="8" a="1"/>
  <c r="AE46" i="8" s="1"/>
  <c r="E46" i="8" a="1"/>
  <c r="E46" i="8" s="1"/>
  <c r="AA46" i="8" a="1"/>
  <c r="AA46" i="8" s="1"/>
  <c r="W46" i="8" a="1"/>
  <c r="W46" i="8" s="1"/>
  <c r="D20" i="12"/>
  <c r="E20" i="6"/>
  <c r="E337" i="6"/>
  <c r="D337" i="12"/>
  <c r="Y340" i="12"/>
  <c r="X202" i="12"/>
  <c r="D29" i="8"/>
  <c r="E291" i="6"/>
  <c r="D291" i="12"/>
  <c r="C41" i="6"/>
  <c r="O41" i="5"/>
  <c r="AC41" i="5"/>
  <c r="D30" i="12"/>
  <c r="E30" i="6"/>
  <c r="N84" i="12"/>
  <c r="D60" i="12"/>
  <c r="E60" i="6"/>
  <c r="Y404" i="12"/>
  <c r="AO403" i="12"/>
  <c r="X88" i="8" a="1"/>
  <c r="X88" i="8" s="1"/>
  <c r="W88" i="8" a="1"/>
  <c r="W88" i="8" s="1"/>
  <c r="AF88" i="8" a="1"/>
  <c r="AF88" i="8" s="1"/>
  <c r="V88" i="8" a="1"/>
  <c r="V88" i="8" s="1"/>
  <c r="Y88" i="8" a="1"/>
  <c r="Y88" i="8" s="1"/>
  <c r="E88" i="8" a="1"/>
  <c r="E88" i="8" s="1"/>
  <c r="Z88" i="8" a="1"/>
  <c r="Z88" i="8" s="1"/>
  <c r="G86" i="8"/>
  <c r="G87" i="8" s="1" a="1"/>
  <c r="G87" i="8" s="1"/>
  <c r="AC88" i="8" a="1"/>
  <c r="AC88" i="8" s="1"/>
  <c r="U88" i="8" a="1"/>
  <c r="U88" i="8" s="1"/>
  <c r="H86" i="8" a="1"/>
  <c r="H86" i="8" s="1"/>
  <c r="J87" i="8" s="1"/>
  <c r="AB88" i="8" a="1"/>
  <c r="AB88" i="8" s="1"/>
  <c r="AE88" i="8" a="1"/>
  <c r="AE88" i="8" s="1"/>
  <c r="AA88" i="8" a="1"/>
  <c r="AA88" i="8" s="1"/>
  <c r="AD88" i="8" a="1"/>
  <c r="AD88" i="8" s="1"/>
  <c r="H87" i="8" a="1"/>
  <c r="H87" i="8" s="1"/>
  <c r="D86" i="8"/>
  <c r="N96" i="12"/>
  <c r="H48" i="12"/>
  <c r="X48" i="5" a="1"/>
  <c r="X48" i="5" s="1"/>
  <c r="W200" i="12"/>
  <c r="W68" i="12"/>
  <c r="L218" i="12" a="1"/>
  <c r="L218" i="12" s="1"/>
  <c r="J218" i="12" a="1"/>
  <c r="J218" i="12" s="1"/>
  <c r="C218" i="12"/>
  <c r="U52" i="8" a="1"/>
  <c r="U52" i="8" s="1"/>
  <c r="AC52" i="8" a="1"/>
  <c r="AC52" i="8" s="1"/>
  <c r="AB52" i="8" a="1"/>
  <c r="AB52" i="8" s="1"/>
  <c r="X52" i="8" a="1"/>
  <c r="X52" i="8" s="1"/>
  <c r="AD52" i="8" a="1"/>
  <c r="AD52" i="8" s="1"/>
  <c r="W52" i="8" a="1"/>
  <c r="W52" i="8" s="1"/>
  <c r="H50" i="8" a="1"/>
  <c r="H50" i="8" s="1"/>
  <c r="J51" i="8" s="1"/>
  <c r="E52" i="8" a="1"/>
  <c r="E52" i="8" s="1"/>
  <c r="AE52" i="8" a="1"/>
  <c r="AE52" i="8" s="1"/>
  <c r="V52" i="8" a="1"/>
  <c r="V52" i="8" s="1"/>
  <c r="AF52" i="8" a="1"/>
  <c r="AF52" i="8" s="1"/>
  <c r="G50" i="8"/>
  <c r="G51" i="8" s="1" a="1"/>
  <c r="G51" i="8" s="1"/>
  <c r="H51" i="8" a="1"/>
  <c r="H51" i="8" s="1"/>
  <c r="AA52" i="8" a="1"/>
  <c r="AA52" i="8" s="1"/>
  <c r="Z52" i="8" a="1"/>
  <c r="Z52" i="8" s="1"/>
  <c r="Y52" i="8" a="1"/>
  <c r="Y52" i="8" s="1"/>
  <c r="D208" i="12"/>
  <c r="E208" i="6"/>
  <c r="D173" i="12"/>
  <c r="E173" i="6"/>
  <c r="D223" i="12"/>
  <c r="E223" i="6"/>
  <c r="AB392" i="5"/>
  <c r="D80" i="8" s="1"/>
  <c r="Y393" i="12"/>
  <c r="AO392" i="12"/>
  <c r="M275" i="12"/>
  <c r="W141" i="12"/>
  <c r="W165" i="12"/>
  <c r="D377" i="12"/>
  <c r="E377" i="6"/>
  <c r="N88" i="12"/>
  <c r="N195" i="12"/>
  <c r="X253" i="12"/>
  <c r="X263" i="12"/>
  <c r="E62" i="6"/>
  <c r="D62" i="12"/>
  <c r="W314" i="12"/>
  <c r="U19" i="8" a="1"/>
  <c r="U19" i="8" s="1"/>
  <c r="V19" i="8" a="1"/>
  <c r="V19" i="8" s="1"/>
  <c r="E19" i="8" a="1"/>
  <c r="E19" i="8" s="1"/>
  <c r="Z19" i="8" a="1"/>
  <c r="Z19" i="8" s="1"/>
  <c r="W19" i="8" a="1"/>
  <c r="W19" i="8" s="1"/>
  <c r="AF19" i="8" a="1"/>
  <c r="AF19" i="8" s="1"/>
  <c r="AB19" i="8" a="1"/>
  <c r="AB19" i="8" s="1"/>
  <c r="H18" i="8" a="1"/>
  <c r="H18" i="8" s="1"/>
  <c r="AE19" i="8" a="1"/>
  <c r="AE19" i="8" s="1"/>
  <c r="AC19" i="8" a="1"/>
  <c r="AC19" i="8" s="1"/>
  <c r="X19" i="8" a="1"/>
  <c r="X19" i="8" s="1"/>
  <c r="AA19" i="8" a="1"/>
  <c r="AA19" i="8" s="1"/>
  <c r="H17" i="8" a="1"/>
  <c r="H17" i="8" s="1"/>
  <c r="J18" i="8" s="1"/>
  <c r="Y19" i="8" a="1"/>
  <c r="Y19" i="8" s="1"/>
  <c r="G17" i="8"/>
  <c r="G18" i="8" s="1" a="1"/>
  <c r="G18" i="8" s="1"/>
  <c r="AD19" i="8" a="1"/>
  <c r="AD19" i="8" s="1"/>
  <c r="AB17" i="5"/>
  <c r="D17" i="8" s="1"/>
  <c r="AB342" i="5"/>
  <c r="D68" i="8" s="1"/>
  <c r="AO28" i="12"/>
  <c r="Y29" i="12"/>
  <c r="D29" i="12"/>
  <c r="E29" i="6"/>
  <c r="D124" i="12"/>
  <c r="E124" i="6"/>
  <c r="D311" i="12"/>
  <c r="E311" i="6"/>
  <c r="E375" i="6"/>
  <c r="D375" i="12"/>
  <c r="W396" i="12"/>
  <c r="D285" i="12"/>
  <c r="E285" i="6"/>
  <c r="D351" i="12"/>
  <c r="E351" i="6"/>
  <c r="E171" i="6"/>
  <c r="D171" i="12"/>
  <c r="X20" i="12"/>
  <c r="Y38" i="12"/>
  <c r="AO37" i="12"/>
  <c r="W196" i="12"/>
  <c r="N371" i="12"/>
  <c r="H91" i="12"/>
  <c r="X91" i="5" a="1"/>
  <c r="X91" i="5" s="1"/>
  <c r="X381" i="5" a="1"/>
  <c r="X381" i="5" s="1"/>
  <c r="H381" i="12"/>
  <c r="X94" i="5" a="1"/>
  <c r="X94" i="5" s="1"/>
  <c r="H94" i="12"/>
  <c r="H92" i="12"/>
  <c r="X92" i="5" a="1"/>
  <c r="X92" i="5" s="1"/>
  <c r="X133" i="5" a="1"/>
  <c r="X133" i="5" s="1"/>
  <c r="H133" i="12"/>
  <c r="X162" i="12"/>
  <c r="AB218" i="5"/>
  <c r="D50" i="8" s="1"/>
  <c r="X237" i="12"/>
  <c r="E312" i="6"/>
  <c r="D312" i="12"/>
  <c r="D394" i="12"/>
  <c r="E394" i="6"/>
  <c r="W350" i="12"/>
  <c r="W341" i="12"/>
  <c r="D368" i="12"/>
  <c r="E368" i="6"/>
  <c r="W331" i="12"/>
  <c r="E393" i="6"/>
  <c r="D393" i="12"/>
  <c r="Y53" i="12"/>
  <c r="AO52" i="12"/>
  <c r="E306" i="6"/>
  <c r="D306" i="12"/>
  <c r="E248" i="6"/>
  <c r="D248" i="12"/>
  <c r="O303" i="12"/>
  <c r="N304" i="12"/>
  <c r="X81" i="12"/>
  <c r="X252" i="12"/>
  <c r="D229" i="12"/>
  <c r="E229" i="6"/>
  <c r="E357" i="6"/>
  <c r="D357" i="12"/>
  <c r="E224" i="6"/>
  <c r="D224" i="12"/>
  <c r="E181" i="6"/>
  <c r="D181" i="12"/>
  <c r="X293" i="12"/>
  <c r="W293" i="12"/>
  <c r="X322" i="12"/>
  <c r="W322" i="12"/>
  <c r="N273" i="12"/>
  <c r="O272" i="12"/>
  <c r="W310" i="12"/>
  <c r="E228" i="6"/>
  <c r="D228" i="12"/>
  <c r="E205" i="6"/>
  <c r="D205" i="12"/>
  <c r="D213" i="12"/>
  <c r="E213" i="6"/>
  <c r="O168" i="5"/>
  <c r="C168" i="6"/>
  <c r="AC168" i="5"/>
  <c r="X119" i="12"/>
  <c r="Z67" i="8" a="1"/>
  <c r="Z67" i="8" s="1"/>
  <c r="Y67" i="8" a="1"/>
  <c r="Y67" i="8" s="1"/>
  <c r="AF67" i="8" a="1"/>
  <c r="AF67" i="8" s="1"/>
  <c r="AE67" i="8" a="1"/>
  <c r="AE67" i="8" s="1"/>
  <c r="H66" i="8" a="1"/>
  <c r="H66" i="8" s="1"/>
  <c r="X67" i="8" a="1"/>
  <c r="X67" i="8" s="1"/>
  <c r="W67" i="8" a="1"/>
  <c r="W67" i="8" s="1"/>
  <c r="V67" i="8" a="1"/>
  <c r="V67" i="8" s="1"/>
  <c r="D65" i="8"/>
  <c r="AD67" i="8" a="1"/>
  <c r="AD67" i="8" s="1"/>
  <c r="E67" i="8" a="1"/>
  <c r="E67" i="8" s="1"/>
  <c r="G65" i="8"/>
  <c r="G66" i="8" s="1" a="1"/>
  <c r="G66" i="8" s="1"/>
  <c r="H65" i="8" a="1"/>
  <c r="H65" i="8" s="1"/>
  <c r="J66" i="8" s="1"/>
  <c r="AB67" i="8" a="1"/>
  <c r="AB67" i="8" s="1"/>
  <c r="AC67" i="8" a="1"/>
  <c r="AC67" i="8" s="1"/>
  <c r="AA67" i="8" a="1"/>
  <c r="AA67" i="8" s="1"/>
  <c r="U67" i="8" a="1"/>
  <c r="U67" i="8" s="1"/>
  <c r="X315" i="12"/>
  <c r="D340" i="12"/>
  <c r="E340" i="6"/>
  <c r="D38" i="12"/>
  <c r="E38" i="6"/>
  <c r="W305" i="12"/>
  <c r="X305" i="12"/>
  <c r="M218" i="12"/>
  <c r="D309" i="12"/>
  <c r="E309" i="6"/>
  <c r="N330" i="12"/>
  <c r="N144" i="12"/>
  <c r="N223" i="12"/>
  <c r="J275" i="12" a="1"/>
  <c r="J275" i="12" s="1"/>
  <c r="C275" i="12"/>
  <c r="L275" i="12" a="1"/>
  <c r="L275" i="12" s="1"/>
  <c r="O52" i="5"/>
  <c r="C52" i="6"/>
  <c r="AC52" i="5"/>
  <c r="D319" i="12"/>
  <c r="E319" i="6"/>
  <c r="Y395" i="12"/>
  <c r="E279" i="6"/>
  <c r="D279" i="12"/>
  <c r="D195" i="12"/>
  <c r="E195" i="6"/>
  <c r="Y222" i="12"/>
  <c r="E313" i="6"/>
  <c r="D313" i="12"/>
  <c r="Y103" i="12"/>
  <c r="Y224" i="12"/>
  <c r="N174" i="12"/>
  <c r="N280" i="12"/>
  <c r="N257" i="12"/>
  <c r="Y161" i="12"/>
  <c r="AB272" i="5"/>
  <c r="D273" i="12"/>
  <c r="E273" i="6"/>
  <c r="Y44" i="12"/>
  <c r="Y205" i="12"/>
  <c r="N220" i="12"/>
  <c r="X22" i="8" a="1"/>
  <c r="X22" i="8" s="1"/>
  <c r="AC22" i="8" a="1"/>
  <c r="AC22" i="8" s="1"/>
  <c r="AD22" i="8" a="1"/>
  <c r="AD22" i="8" s="1"/>
  <c r="W22" i="8" a="1"/>
  <c r="W22" i="8" s="1"/>
  <c r="Y22" i="8" a="1"/>
  <c r="Y22" i="8" s="1"/>
  <c r="AB22" i="8" a="1"/>
  <c r="AB22" i="8" s="1"/>
  <c r="AA22" i="8" a="1"/>
  <c r="AA22" i="8" s="1"/>
  <c r="G20" i="8"/>
  <c r="G21" i="8" s="1" a="1"/>
  <c r="G21" i="8" s="1"/>
  <c r="V22" i="8" a="1"/>
  <c r="V22" i="8" s="1"/>
  <c r="U22" i="8" a="1"/>
  <c r="U22" i="8" s="1"/>
  <c r="Z22" i="8" a="1"/>
  <c r="Z22" i="8" s="1"/>
  <c r="E22" i="8" a="1"/>
  <c r="E22" i="8" s="1"/>
  <c r="H21" i="8" a="1"/>
  <c r="H21" i="8" s="1"/>
  <c r="AF22" i="8" a="1"/>
  <c r="AF22" i="8" s="1"/>
  <c r="H20" i="8" a="1"/>
  <c r="H20" i="8" s="1"/>
  <c r="J21" i="8" s="1"/>
  <c r="AE22" i="8" a="1"/>
  <c r="AE22" i="8" s="1"/>
  <c r="X216" i="12"/>
  <c r="W216" i="12"/>
  <c r="N399" i="12"/>
  <c r="O168" i="12"/>
  <c r="N169" i="12"/>
  <c r="Z25" i="8" a="1"/>
  <c r="Z25" i="8" s="1"/>
  <c r="X25" i="8" a="1"/>
  <c r="X25" i="8" s="1"/>
  <c r="W25" i="8" a="1"/>
  <c r="W25" i="8" s="1"/>
  <c r="AC25" i="8" a="1"/>
  <c r="AC25" i="8" s="1"/>
  <c r="U25" i="8" a="1"/>
  <c r="U25" i="8" s="1"/>
  <c r="H23" i="8" a="1"/>
  <c r="H23" i="8" s="1"/>
  <c r="J24" i="8" s="1"/>
  <c r="V25" i="8" a="1"/>
  <c r="V25" i="8" s="1"/>
  <c r="AA25" i="8" a="1"/>
  <c r="AA25" i="8" s="1"/>
  <c r="AF25" i="8" a="1"/>
  <c r="AF25" i="8" s="1"/>
  <c r="AD25" i="8" a="1"/>
  <c r="AD25" i="8" s="1"/>
  <c r="AB25" i="8" a="1"/>
  <c r="AB25" i="8" s="1"/>
  <c r="AE25" i="8" a="1"/>
  <c r="AE25" i="8" s="1"/>
  <c r="D23" i="8"/>
  <c r="E25" i="8" a="1"/>
  <c r="E25" i="8" s="1"/>
  <c r="Y25" i="8" a="1"/>
  <c r="Y25" i="8" s="1"/>
  <c r="G23" i="8"/>
  <c r="G24" i="8" s="1" a="1"/>
  <c r="G24" i="8" s="1"/>
  <c r="H24" i="8" a="1"/>
  <c r="H24" i="8" s="1"/>
  <c r="Y105" i="12"/>
  <c r="Y124" i="12"/>
  <c r="E45" i="6"/>
  <c r="D45" i="12"/>
  <c r="W391" i="12"/>
  <c r="Y180" i="12"/>
  <c r="W397" i="12"/>
  <c r="X397" i="12"/>
  <c r="E362" i="6"/>
  <c r="D362" i="12"/>
  <c r="W71" i="12"/>
  <c r="D373" i="12"/>
  <c r="E373" i="6"/>
  <c r="N172" i="12"/>
  <c r="N256" i="12"/>
  <c r="N202" i="12"/>
  <c r="X97" i="12"/>
  <c r="Y214" i="12"/>
  <c r="M41" i="12"/>
  <c r="X235" i="12"/>
  <c r="N93" i="12"/>
  <c r="D65" i="12"/>
  <c r="E65" i="6"/>
  <c r="N259" i="12"/>
  <c r="N186" i="12"/>
  <c r="O403" i="5"/>
  <c r="C403" i="6"/>
  <c r="AC403" i="5"/>
  <c r="X244" i="5" a="1"/>
  <c r="X244" i="5" s="1"/>
  <c r="H244" i="12"/>
  <c r="X389" i="5" a="1"/>
  <c r="X389" i="5" s="1"/>
  <c r="H389" i="12"/>
  <c r="W128" i="12"/>
  <c r="N33" i="12"/>
  <c r="C218" i="6"/>
  <c r="O218" i="5"/>
  <c r="AC218" i="5"/>
  <c r="N394" i="12"/>
  <c r="N75" i="12"/>
  <c r="D57" i="12"/>
  <c r="E57" i="6"/>
  <c r="Y140" i="12"/>
  <c r="E276" i="6"/>
  <c r="D276" i="12"/>
  <c r="N87" i="12"/>
  <c r="W104" i="12"/>
  <c r="D53" i="12"/>
  <c r="E53" i="6"/>
  <c r="E395" i="6"/>
  <c r="D395" i="12"/>
  <c r="E185" i="6"/>
  <c r="D185" i="12"/>
  <c r="Y83" i="12"/>
  <c r="X251" i="12"/>
  <c r="Y88" i="12"/>
  <c r="Y195" i="12"/>
  <c r="D297" i="12"/>
  <c r="E297" i="6"/>
  <c r="Y229" i="12"/>
  <c r="N277" i="12"/>
  <c r="M247" i="12"/>
  <c r="D117" i="12"/>
  <c r="E117" i="6"/>
  <c r="N150" i="12"/>
  <c r="E191" i="6"/>
  <c r="D191" i="12"/>
  <c r="D372" i="12"/>
  <c r="E372" i="6"/>
  <c r="N74" i="12"/>
  <c r="N241" i="12"/>
  <c r="D24" i="12"/>
  <c r="E24" i="6"/>
  <c r="C17" i="12"/>
  <c r="L17" i="12" a="1"/>
  <c r="L17" i="12" s="1"/>
  <c r="J17" i="12" a="1"/>
  <c r="J17" i="12" s="1"/>
  <c r="E220" i="6"/>
  <c r="D220" i="12"/>
  <c r="Y31" i="12"/>
  <c r="N22" i="12"/>
  <c r="O21" i="12"/>
  <c r="N182" i="12"/>
  <c r="E178" i="6"/>
  <c r="D178" i="12"/>
  <c r="N213" i="12"/>
  <c r="Y143" i="12"/>
  <c r="O28" i="12"/>
  <c r="N28" i="12" s="1"/>
  <c r="N29" i="12"/>
  <c r="E23" i="6"/>
  <c r="D23" i="12"/>
  <c r="AO325" i="12"/>
  <c r="Y325" i="12" s="1"/>
  <c r="Y326" i="12"/>
  <c r="Y176" i="12"/>
  <c r="N396" i="12"/>
  <c r="N73" i="12"/>
  <c r="N126" i="12"/>
  <c r="Y250" i="12"/>
  <c r="Y206" i="12"/>
  <c r="D194" i="12"/>
  <c r="E194" i="6"/>
  <c r="N43" i="12"/>
  <c r="N142" i="12"/>
  <c r="N373" i="12"/>
  <c r="D116" i="12"/>
  <c r="E116" i="6"/>
  <c r="X369" i="12"/>
  <c r="D214" i="12"/>
  <c r="E214" i="6"/>
  <c r="N65" i="12"/>
  <c r="N242" i="12"/>
  <c r="E125" i="6"/>
  <c r="D125" i="12"/>
  <c r="N86" i="12"/>
  <c r="Y199" i="12"/>
  <c r="X60" i="12"/>
  <c r="X302" i="5" a="1"/>
  <c r="X302" i="5" s="1"/>
  <c r="H302" i="12"/>
  <c r="N267" i="12"/>
  <c r="N55" i="12"/>
  <c r="N152" i="12"/>
  <c r="Y66" i="12"/>
  <c r="N341" i="12"/>
  <c r="N160" i="12"/>
  <c r="O52" i="12"/>
  <c r="N52" i="12" s="1"/>
  <c r="N53" i="12"/>
  <c r="N398" i="12"/>
  <c r="Y279" i="12"/>
  <c r="Y304" i="12"/>
  <c r="AO303" i="12"/>
  <c r="Y197" i="12"/>
  <c r="X313" i="12"/>
  <c r="N154" i="12"/>
  <c r="D277" i="12"/>
  <c r="E277" i="6"/>
  <c r="E193" i="6"/>
  <c r="D193" i="12"/>
  <c r="N59" i="12"/>
  <c r="W296" i="12"/>
  <c r="Y273" i="12"/>
  <c r="AO272" i="12"/>
  <c r="D18" i="12"/>
  <c r="E18" i="6"/>
  <c r="AC342" i="5"/>
  <c r="C342" i="6"/>
  <c r="O342" i="5"/>
  <c r="C342" i="12"/>
  <c r="L342" i="12" a="1"/>
  <c r="L342" i="12" s="1"/>
  <c r="J342" i="12" a="1"/>
  <c r="J342" i="12" s="1"/>
  <c r="N310" i="12"/>
  <c r="N122" i="12"/>
  <c r="N56" i="12"/>
  <c r="D32" i="12"/>
  <c r="E32" i="6"/>
  <c r="D317" i="12"/>
  <c r="E317" i="6"/>
  <c r="N316" i="12"/>
  <c r="Y262" i="12"/>
  <c r="Y149" i="12"/>
  <c r="N45" i="12"/>
  <c r="Y311" i="12"/>
  <c r="N315" i="12"/>
  <c r="D170" i="12"/>
  <c r="E170" i="6"/>
  <c r="D334" i="12"/>
  <c r="E334" i="6"/>
  <c r="Y351" i="12"/>
  <c r="N338" i="12"/>
  <c r="AB115" i="5"/>
  <c r="D44" i="8" s="1"/>
  <c r="Y64" i="12"/>
  <c r="D281" i="12"/>
  <c r="E281" i="6"/>
  <c r="E345" i="6"/>
  <c r="D345" i="12"/>
  <c r="AB41" i="5"/>
  <c r="D32" i="8" s="1"/>
  <c r="D196" i="12"/>
  <c r="E196" i="6"/>
  <c r="E278" i="6"/>
  <c r="D278" i="12"/>
  <c r="N27" i="12"/>
  <c r="E361" i="6"/>
  <c r="D361" i="12"/>
  <c r="N348" i="12"/>
  <c r="N76" i="12"/>
  <c r="N187" i="12"/>
  <c r="Y85" i="12"/>
  <c r="D296" i="12"/>
  <c r="E296" i="6"/>
  <c r="C272" i="6"/>
  <c r="O272" i="5"/>
  <c r="AC272" i="5"/>
  <c r="C17" i="6"/>
  <c r="O17" i="5"/>
  <c r="AC17" i="5"/>
  <c r="D355" i="12"/>
  <c r="E355" i="6"/>
  <c r="D44" i="12"/>
  <c r="E44" i="6"/>
  <c r="Y333" i="12"/>
  <c r="Y78" i="12"/>
  <c r="M21" i="12"/>
  <c r="Y182" i="12"/>
  <c r="Y131" i="12"/>
  <c r="N32" i="12"/>
  <c r="M325" i="12"/>
  <c r="D352" i="12"/>
  <c r="E352" i="6"/>
  <c r="E180" i="6"/>
  <c r="D180" i="12"/>
  <c r="D290" i="12"/>
  <c r="E290" i="6"/>
  <c r="D397" i="12"/>
  <c r="E397" i="6"/>
  <c r="Y43" i="12"/>
  <c r="D378" i="12"/>
  <c r="E378" i="6"/>
  <c r="Y373" i="12"/>
  <c r="N369" i="12"/>
  <c r="N345" i="12"/>
  <c r="D188" i="12"/>
  <c r="E188" i="6"/>
  <c r="D203" i="12"/>
  <c r="E203" i="6"/>
  <c r="D42" i="12"/>
  <c r="E42" i="6"/>
  <c r="Y264" i="12"/>
  <c r="Y274" i="12"/>
  <c r="Y65" i="12"/>
  <c r="Y249" i="12"/>
  <c r="Y135" i="12"/>
  <c r="Y361" i="12"/>
  <c r="N60" i="12"/>
  <c r="D404" i="12"/>
  <c r="E404" i="6"/>
  <c r="H271" i="12"/>
  <c r="X271" i="5" a="1"/>
  <c r="X271" i="5" s="1"/>
  <c r="D128" i="12"/>
  <c r="E128" i="6"/>
  <c r="W267" i="12"/>
  <c r="E330" i="6"/>
  <c r="D330" i="12"/>
  <c r="Y39" i="12"/>
  <c r="N237" i="12"/>
  <c r="Y177" i="12"/>
  <c r="W160" i="12"/>
  <c r="X160" i="12"/>
  <c r="Y58" i="12"/>
  <c r="N320" i="12"/>
  <c r="Y294" i="12"/>
  <c r="Y292" i="12"/>
  <c r="Y398" i="12"/>
  <c r="M303" i="12"/>
  <c r="N81" i="12"/>
  <c r="N313" i="12"/>
  <c r="Y154" i="12"/>
  <c r="D192" i="12"/>
  <c r="E192" i="6"/>
  <c r="Y146" i="12"/>
  <c r="N117" i="12"/>
  <c r="Y59" i="12"/>
  <c r="N153" i="12"/>
  <c r="N296" i="12"/>
  <c r="N322" i="12"/>
  <c r="M272" i="12"/>
  <c r="AE70" i="8" a="1"/>
  <c r="AE70" i="8" s="1"/>
  <c r="AF70" i="8" a="1"/>
  <c r="AF70" i="8" s="1"/>
  <c r="X70" i="8" a="1"/>
  <c r="X70" i="8" s="1"/>
  <c r="AA70" i="8" a="1"/>
  <c r="AA70" i="8" s="1"/>
  <c r="V70" i="8" a="1"/>
  <c r="V70" i="8" s="1"/>
  <c r="H69" i="8" a="1"/>
  <c r="H69" i="8" s="1"/>
  <c r="U70" i="8" a="1"/>
  <c r="U70" i="8" s="1"/>
  <c r="E70" i="8" a="1"/>
  <c r="E70" i="8" s="1"/>
  <c r="AD70" i="8" a="1"/>
  <c r="AD70" i="8" s="1"/>
  <c r="Z70" i="8" a="1"/>
  <c r="Z70" i="8" s="1"/>
  <c r="AB70" i="8" a="1"/>
  <c r="AB70" i="8" s="1"/>
  <c r="Y70" i="8" a="1"/>
  <c r="Y70" i="8" s="1"/>
  <c r="H68" i="8" a="1"/>
  <c r="H68" i="8" s="1"/>
  <c r="J69" i="8" s="1"/>
  <c r="W70" i="8" a="1"/>
  <c r="W70" i="8" s="1"/>
  <c r="AC70" i="8" a="1"/>
  <c r="AC70" i="8" s="1"/>
  <c r="G68" i="8"/>
  <c r="G69" i="8" s="1" a="1"/>
  <c r="G69" i="8" s="1"/>
  <c r="E365" i="6"/>
  <c r="D365" i="12"/>
  <c r="D307" i="12"/>
  <c r="E307" i="6"/>
  <c r="Y122" i="12"/>
  <c r="AB21" i="5"/>
  <c r="D20" i="8" s="1"/>
  <c r="Y156" i="12"/>
  <c r="Y56" i="12"/>
  <c r="D190" i="12"/>
  <c r="E190" i="6"/>
  <c r="N226" i="12"/>
  <c r="N119" i="12"/>
  <c r="Y316" i="12"/>
  <c r="Y295" i="12"/>
  <c r="N308" i="12"/>
  <c r="Y45" i="12"/>
  <c r="C325" i="6"/>
  <c r="AC325" i="5"/>
  <c r="O325" i="5"/>
  <c r="L325" i="12" a="1"/>
  <c r="L325" i="12" s="1"/>
  <c r="C325" i="12"/>
  <c r="J325" i="12" a="1"/>
  <c r="J325" i="12" s="1"/>
  <c r="Y285" i="12"/>
  <c r="D126" i="12"/>
  <c r="E126" i="6"/>
  <c r="E184" i="6"/>
  <c r="D184" i="12"/>
  <c r="N98" i="12"/>
  <c r="D67" i="12"/>
  <c r="E67" i="6"/>
  <c r="E364" i="6"/>
  <c r="D364" i="12"/>
  <c r="N171" i="12"/>
  <c r="Y79" i="12"/>
  <c r="N337" i="12"/>
  <c r="Y336" i="12"/>
  <c r="Y291" i="12"/>
  <c r="Y159" i="12"/>
  <c r="N82" i="12"/>
  <c r="Y288" i="12"/>
  <c r="X27" i="12"/>
  <c r="W27" i="12"/>
  <c r="E371" i="6"/>
  <c r="D371" i="12"/>
  <c r="E199" i="6"/>
  <c r="D199" i="12"/>
  <c r="D207" i="12"/>
  <c r="E207" i="6"/>
  <c r="AG36" i="5"/>
  <c r="N115" i="12" l="1"/>
  <c r="W332" i="12"/>
  <c r="X360" i="12"/>
  <c r="W357" i="12"/>
  <c r="X362" i="12"/>
  <c r="W246" i="12"/>
  <c r="W372" i="12"/>
  <c r="W213" i="12"/>
  <c r="U213" i="12" s="1"/>
  <c r="X211" i="12"/>
  <c r="X240" i="12"/>
  <c r="X89" i="12"/>
  <c r="X260" i="12"/>
  <c r="W93" i="12"/>
  <c r="X217" i="12"/>
  <c r="W187" i="12"/>
  <c r="V187" i="12" s="1"/>
  <c r="X220" i="12"/>
  <c r="Y272" i="12"/>
  <c r="W98" i="12"/>
  <c r="X77" i="12"/>
  <c r="X210" i="12"/>
  <c r="Y346" i="12"/>
  <c r="W87" i="12"/>
  <c r="T87" i="12" s="1"/>
  <c r="X204" i="12"/>
  <c r="W86" i="12"/>
  <c r="X46" i="12"/>
  <c r="X164" i="12"/>
  <c r="W117" i="12"/>
  <c r="W334" i="12"/>
  <c r="U334" i="12" s="1"/>
  <c r="X183" i="12"/>
  <c r="W73" i="12"/>
  <c r="V73" i="12" s="1"/>
  <c r="X364" i="12"/>
  <c r="X152" i="12"/>
  <c r="X207" i="12"/>
  <c r="W227" i="12"/>
  <c r="K218" i="12"/>
  <c r="W374" i="12"/>
  <c r="V374" i="12" s="1"/>
  <c r="Y342" i="12"/>
  <c r="W342" i="12" s="1"/>
  <c r="Y392" i="12"/>
  <c r="X392" i="12" s="1"/>
  <c r="K52" i="12"/>
  <c r="X172" i="12"/>
  <c r="N342" i="12"/>
  <c r="X25" i="12"/>
  <c r="Y403" i="12"/>
  <c r="W399" i="12"/>
  <c r="V399" i="12" s="1"/>
  <c r="X356" i="12"/>
  <c r="K21" i="12"/>
  <c r="W173" i="12"/>
  <c r="U173" i="12" s="1"/>
  <c r="Y37" i="12"/>
  <c r="Y115" i="12"/>
  <c r="W115" i="12" s="1"/>
  <c r="K342" i="12"/>
  <c r="X74" i="12"/>
  <c r="K115" i="12"/>
  <c r="W157" i="12"/>
  <c r="V157" i="12" s="1"/>
  <c r="X339" i="12"/>
  <c r="X321" i="12"/>
  <c r="K392" i="12"/>
  <c r="W151" i="12"/>
  <c r="X242" i="12"/>
  <c r="N168" i="12"/>
  <c r="X298" i="12"/>
  <c r="W153" i="12"/>
  <c r="T153" i="12" s="1"/>
  <c r="W174" i="12"/>
  <c r="T174" i="12" s="1"/>
  <c r="X121" i="12"/>
  <c r="Y247" i="12"/>
  <c r="K247" i="12"/>
  <c r="K325" i="12"/>
  <c r="K275" i="12"/>
  <c r="W291" i="12"/>
  <c r="X291" i="12"/>
  <c r="W316" i="12"/>
  <c r="X316" i="12"/>
  <c r="X146" i="12"/>
  <c r="W146" i="12"/>
  <c r="V267" i="12"/>
  <c r="U267" i="12"/>
  <c r="T267" i="12"/>
  <c r="W361" i="12"/>
  <c r="X361" i="12"/>
  <c r="W78" i="12"/>
  <c r="X78" i="12"/>
  <c r="D342" i="12"/>
  <c r="E342" i="6"/>
  <c r="I68" i="8"/>
  <c r="A68" i="8" s="1"/>
  <c r="D325" i="12"/>
  <c r="E325" i="6"/>
  <c r="I65" i="8"/>
  <c r="A65" i="8" s="1"/>
  <c r="W56" i="12"/>
  <c r="X56" i="12"/>
  <c r="X59" i="12"/>
  <c r="W59" i="12"/>
  <c r="X177" i="12"/>
  <c r="W177" i="12"/>
  <c r="X65" i="12"/>
  <c r="W65" i="12"/>
  <c r="X182" i="12"/>
  <c r="W182" i="12"/>
  <c r="D272" i="12"/>
  <c r="E272" i="6"/>
  <c r="W85" i="12"/>
  <c r="X85" i="12"/>
  <c r="W64" i="12"/>
  <c r="X64" i="12"/>
  <c r="W262" i="12"/>
  <c r="X262" i="12"/>
  <c r="X273" i="12"/>
  <c r="W273" i="12"/>
  <c r="Y303" i="12"/>
  <c r="W66" i="12"/>
  <c r="X66" i="12"/>
  <c r="X326" i="12"/>
  <c r="W326" i="12"/>
  <c r="W143" i="12"/>
  <c r="X143" i="12"/>
  <c r="U128" i="12"/>
  <c r="V128" i="12"/>
  <c r="T128" i="12"/>
  <c r="E403" i="6"/>
  <c r="I86" i="8"/>
  <c r="A86" i="8" s="1"/>
  <c r="D403" i="12"/>
  <c r="X124" i="12"/>
  <c r="W124" i="12"/>
  <c r="D52" i="12"/>
  <c r="E52" i="6"/>
  <c r="I38" i="8"/>
  <c r="A38" i="8" s="1"/>
  <c r="T89" i="12"/>
  <c r="V89" i="12"/>
  <c r="U89" i="12"/>
  <c r="V310" i="12"/>
  <c r="T310" i="12"/>
  <c r="U310" i="12"/>
  <c r="X53" i="12"/>
  <c r="W53" i="12"/>
  <c r="U331" i="12"/>
  <c r="V331" i="12"/>
  <c r="T331" i="12"/>
  <c r="U341" i="12"/>
  <c r="V341" i="12"/>
  <c r="T341" i="12"/>
  <c r="V237" i="12"/>
  <c r="T237" i="12"/>
  <c r="U237" i="12"/>
  <c r="L381" i="5"/>
  <c r="I381" i="12"/>
  <c r="AM381" i="5"/>
  <c r="X380" i="5" a="1"/>
  <c r="X380" i="5" s="1"/>
  <c r="Z381" i="5"/>
  <c r="I381" i="5"/>
  <c r="I382" i="5" s="1"/>
  <c r="I383" i="5" s="1"/>
  <c r="I384" i="5" s="1"/>
  <c r="I385" i="5" s="1"/>
  <c r="I386" i="5" s="1"/>
  <c r="I387" i="5" s="1"/>
  <c r="I388" i="5" s="1"/>
  <c r="I389" i="5" s="1"/>
  <c r="I390" i="5" s="1"/>
  <c r="I391" i="5" s="1"/>
  <c r="O391" i="5" s="1"/>
  <c r="U183" i="12"/>
  <c r="V183" i="12"/>
  <c r="T183" i="12"/>
  <c r="W38" i="12"/>
  <c r="X38" i="12"/>
  <c r="Y28" i="12"/>
  <c r="U187" i="12"/>
  <c r="U263" i="12"/>
  <c r="T263" i="12"/>
  <c r="V263" i="12"/>
  <c r="V200" i="12"/>
  <c r="U200" i="12"/>
  <c r="T200" i="12"/>
  <c r="X404" i="12"/>
  <c r="W404" i="12"/>
  <c r="T202" i="12"/>
  <c r="U202" i="12"/>
  <c r="V202" i="12"/>
  <c r="W178" i="12"/>
  <c r="X178" i="12"/>
  <c r="W179" i="12"/>
  <c r="X179" i="12"/>
  <c r="W181" i="12"/>
  <c r="X181" i="12"/>
  <c r="U352" i="12"/>
  <c r="T352" i="12"/>
  <c r="V352" i="12"/>
  <c r="T308" i="12"/>
  <c r="U308" i="12"/>
  <c r="V308" i="12"/>
  <c r="W167" i="12"/>
  <c r="X167" i="12"/>
  <c r="V345" i="12"/>
  <c r="T345" i="12"/>
  <c r="U345" i="12"/>
  <c r="V126" i="12"/>
  <c r="U126" i="12"/>
  <c r="T126" i="12"/>
  <c r="W327" i="12"/>
  <c r="X327" i="12"/>
  <c r="Y21" i="12"/>
  <c r="U150" i="12"/>
  <c r="V150" i="12"/>
  <c r="T150" i="12"/>
  <c r="X276" i="12"/>
  <c r="W276" i="12"/>
  <c r="Z90" i="5"/>
  <c r="L90" i="5"/>
  <c r="I90" i="12"/>
  <c r="AM90" i="5"/>
  <c r="X84" i="12"/>
  <c r="W84" i="12"/>
  <c r="X23" i="12"/>
  <c r="W23" i="12"/>
  <c r="X169" i="12"/>
  <c r="W169" i="12"/>
  <c r="AM384" i="5"/>
  <c r="L384" i="5"/>
  <c r="I384" i="12"/>
  <c r="Z384" i="5"/>
  <c r="K41" i="12"/>
  <c r="X42" i="12"/>
  <c r="W42" i="12"/>
  <c r="W312" i="12"/>
  <c r="X312" i="12"/>
  <c r="W329" i="12"/>
  <c r="X329" i="12"/>
  <c r="X100" i="12"/>
  <c r="W100" i="12"/>
  <c r="X234" i="12"/>
  <c r="W234" i="12"/>
  <c r="X61" i="12"/>
  <c r="W61" i="12"/>
  <c r="N247" i="12"/>
  <c r="W113" i="12"/>
  <c r="X113" i="12"/>
  <c r="X309" i="12"/>
  <c r="W309" i="12"/>
  <c r="Z301" i="5"/>
  <c r="L301" i="5"/>
  <c r="I301" i="12"/>
  <c r="AM301" i="5"/>
  <c r="I301" i="5"/>
  <c r="I302" i="5" s="1"/>
  <c r="X289" i="5" a="1"/>
  <c r="X289" i="5" s="1"/>
  <c r="V33" i="12"/>
  <c r="U33" i="12"/>
  <c r="T33" i="12"/>
  <c r="T145" i="12"/>
  <c r="U145" i="12"/>
  <c r="V145" i="12"/>
  <c r="X377" i="12"/>
  <c r="W377" i="12"/>
  <c r="T207" i="12"/>
  <c r="U207" i="12"/>
  <c r="V207" i="12"/>
  <c r="W18" i="12"/>
  <c r="X18" i="12"/>
  <c r="X63" i="12"/>
  <c r="W63" i="12"/>
  <c r="W245" i="12"/>
  <c r="X245" i="12"/>
  <c r="X57" i="12"/>
  <c r="W57" i="12"/>
  <c r="X284" i="12"/>
  <c r="W284" i="12"/>
  <c r="I69" i="5"/>
  <c r="I70" i="5" s="1"/>
  <c r="Z69" i="5"/>
  <c r="I69" i="12"/>
  <c r="AM69" i="5"/>
  <c r="L69" i="5"/>
  <c r="T108" i="12"/>
  <c r="V108" i="12"/>
  <c r="U108" i="12"/>
  <c r="W219" i="12"/>
  <c r="X219" i="12"/>
  <c r="I386" i="12"/>
  <c r="L386" i="5"/>
  <c r="Z386" i="5"/>
  <c r="AM386" i="5"/>
  <c r="T359" i="12"/>
  <c r="U359" i="12"/>
  <c r="V359" i="12"/>
  <c r="T376" i="12"/>
  <c r="V376" i="12"/>
  <c r="U376" i="12"/>
  <c r="T360" i="12"/>
  <c r="V360" i="12"/>
  <c r="U360" i="12"/>
  <c r="U191" i="12"/>
  <c r="V191" i="12"/>
  <c r="T191" i="12"/>
  <c r="V95" i="12"/>
  <c r="U95" i="12"/>
  <c r="T95" i="12"/>
  <c r="N275" i="12"/>
  <c r="T93" i="12"/>
  <c r="U93" i="12"/>
  <c r="V93" i="12"/>
  <c r="U399" i="12"/>
  <c r="T399" i="12"/>
  <c r="L390" i="5"/>
  <c r="Z390" i="5"/>
  <c r="I390" i="12"/>
  <c r="AM390" i="5"/>
  <c r="U356" i="12"/>
  <c r="V356" i="12"/>
  <c r="T356" i="12"/>
  <c r="X368" i="12"/>
  <c r="W368" i="12"/>
  <c r="W264" i="12"/>
  <c r="X264" i="12"/>
  <c r="U313" i="12"/>
  <c r="T313" i="12"/>
  <c r="V313" i="12"/>
  <c r="W279" i="12"/>
  <c r="X279" i="12"/>
  <c r="W206" i="12"/>
  <c r="X206" i="12"/>
  <c r="W285" i="12"/>
  <c r="X285" i="12"/>
  <c r="V27" i="12"/>
  <c r="U27" i="12"/>
  <c r="T27" i="12"/>
  <c r="W159" i="12"/>
  <c r="X159" i="12"/>
  <c r="X79" i="12"/>
  <c r="W79" i="12"/>
  <c r="W295" i="12"/>
  <c r="X295" i="12"/>
  <c r="X156" i="12"/>
  <c r="W156" i="12"/>
  <c r="X154" i="12"/>
  <c r="W154" i="12"/>
  <c r="X398" i="12"/>
  <c r="W398" i="12"/>
  <c r="W58" i="12"/>
  <c r="X58" i="12"/>
  <c r="L271" i="5"/>
  <c r="I271" i="5"/>
  <c r="AM271" i="5"/>
  <c r="Z271" i="5"/>
  <c r="I271" i="12"/>
  <c r="X269" i="5" a="1"/>
  <c r="X269" i="5" s="1"/>
  <c r="X274" i="12"/>
  <c r="W274" i="12"/>
  <c r="X131" i="12"/>
  <c r="W131" i="12"/>
  <c r="D17" i="12"/>
  <c r="E17" i="6"/>
  <c r="I17" i="8"/>
  <c r="A17" i="8" s="1"/>
  <c r="W311" i="12"/>
  <c r="X311" i="12"/>
  <c r="T296" i="12"/>
  <c r="V296" i="12"/>
  <c r="U296" i="12"/>
  <c r="X304" i="12"/>
  <c r="W304" i="12"/>
  <c r="X199" i="12"/>
  <c r="W199" i="12"/>
  <c r="T369" i="12"/>
  <c r="V369" i="12"/>
  <c r="U369" i="12"/>
  <c r="X325" i="12"/>
  <c r="W325" i="12"/>
  <c r="N21" i="12"/>
  <c r="X195" i="12"/>
  <c r="W195" i="12"/>
  <c r="E218" i="6"/>
  <c r="I50" i="8"/>
  <c r="A50" i="8" s="1"/>
  <c r="D218" i="12"/>
  <c r="Z244" i="5"/>
  <c r="L244" i="5"/>
  <c r="AM244" i="5"/>
  <c r="I244" i="12"/>
  <c r="X214" i="12"/>
  <c r="W214" i="12"/>
  <c r="T71" i="12"/>
  <c r="V71" i="12"/>
  <c r="U71" i="12"/>
  <c r="V391" i="12"/>
  <c r="U391" i="12"/>
  <c r="T391" i="12"/>
  <c r="W105" i="12"/>
  <c r="X105" i="12"/>
  <c r="W205" i="12"/>
  <c r="X205" i="12"/>
  <c r="T298" i="12"/>
  <c r="U298" i="12"/>
  <c r="V298" i="12"/>
  <c r="N272" i="12"/>
  <c r="T252" i="12"/>
  <c r="U252" i="12"/>
  <c r="V252" i="12"/>
  <c r="Z91" i="5"/>
  <c r="L91" i="5"/>
  <c r="I91" i="12"/>
  <c r="AM91" i="5"/>
  <c r="U196" i="12"/>
  <c r="T196" i="12"/>
  <c r="V196" i="12"/>
  <c r="T396" i="12"/>
  <c r="V396" i="12"/>
  <c r="U396" i="12"/>
  <c r="U165" i="12"/>
  <c r="V165" i="12"/>
  <c r="T165" i="12"/>
  <c r="W123" i="12"/>
  <c r="X123" i="12"/>
  <c r="U184" i="12"/>
  <c r="V184" i="12"/>
  <c r="T184" i="12"/>
  <c r="U257" i="12"/>
  <c r="T257" i="12"/>
  <c r="V257" i="12"/>
  <c r="W358" i="12"/>
  <c r="X358" i="12"/>
  <c r="T171" i="12"/>
  <c r="V171" i="12"/>
  <c r="U171" i="12"/>
  <c r="V98" i="12"/>
  <c r="U98" i="12"/>
  <c r="T98" i="12"/>
  <c r="X353" i="12"/>
  <c r="W353" i="12"/>
  <c r="K168" i="12"/>
  <c r="V320" i="12"/>
  <c r="U320" i="12"/>
  <c r="T320" i="12"/>
  <c r="V152" i="12"/>
  <c r="T152" i="12"/>
  <c r="U152" i="12"/>
  <c r="W30" i="12"/>
  <c r="X30" i="12"/>
  <c r="U142" i="12"/>
  <c r="T142" i="12"/>
  <c r="V142" i="12"/>
  <c r="X215" i="12"/>
  <c r="W215" i="12"/>
  <c r="W282" i="12"/>
  <c r="X282" i="12"/>
  <c r="X22" i="12"/>
  <c r="W22" i="12"/>
  <c r="K272" i="12"/>
  <c r="X363" i="12"/>
  <c r="W363" i="12"/>
  <c r="T74" i="12"/>
  <c r="V74" i="12"/>
  <c r="U74" i="12"/>
  <c r="X75" i="12"/>
  <c r="W75" i="12"/>
  <c r="I388" i="12"/>
  <c r="Z388" i="5"/>
  <c r="L388" i="5"/>
  <c r="AM388" i="5"/>
  <c r="X96" i="12"/>
  <c r="W96" i="12"/>
  <c r="X278" i="12"/>
  <c r="W278" i="12"/>
  <c r="D115" i="12"/>
  <c r="I44" i="8"/>
  <c r="A44" i="8" s="1"/>
  <c r="E115" i="6"/>
  <c r="W67" i="12"/>
  <c r="X67" i="12"/>
  <c r="D247" i="12"/>
  <c r="E247" i="6"/>
  <c r="I56" i="8"/>
  <c r="A56" i="8" s="1"/>
  <c r="D275" i="12"/>
  <c r="E275" i="6"/>
  <c r="U223" i="12"/>
  <c r="V223" i="12"/>
  <c r="T223" i="12"/>
  <c r="W366" i="12"/>
  <c r="X366" i="12"/>
  <c r="AM49" i="5"/>
  <c r="Z49" i="5"/>
  <c r="I49" i="12"/>
  <c r="L49" i="5"/>
  <c r="X116" i="12"/>
  <c r="W116" i="12"/>
  <c r="X375" i="12"/>
  <c r="W375" i="12"/>
  <c r="X120" i="12"/>
  <c r="W120" i="12"/>
  <c r="X221" i="12"/>
  <c r="W221" i="12"/>
  <c r="I387" i="12"/>
  <c r="AM387" i="5"/>
  <c r="Z387" i="5"/>
  <c r="L387" i="5"/>
  <c r="T157" i="12"/>
  <c r="N218" i="12"/>
  <c r="U125" i="12"/>
  <c r="T125" i="12"/>
  <c r="V125" i="12"/>
  <c r="U46" i="12"/>
  <c r="V46" i="12"/>
  <c r="T46" i="12"/>
  <c r="U166" i="12"/>
  <c r="T166" i="12"/>
  <c r="V166" i="12"/>
  <c r="V170" i="12"/>
  <c r="T170" i="12"/>
  <c r="U170" i="12"/>
  <c r="T323" i="12"/>
  <c r="V323" i="12"/>
  <c r="U323" i="12"/>
  <c r="W190" i="12"/>
  <c r="X190" i="12"/>
  <c r="V355" i="12"/>
  <c r="U355" i="12"/>
  <c r="T355" i="12"/>
  <c r="X236" i="12"/>
  <c r="W236" i="12"/>
  <c r="X248" i="12"/>
  <c r="W248" i="12"/>
  <c r="X114" i="12"/>
  <c r="W114" i="12"/>
  <c r="X106" i="12"/>
  <c r="W106" i="12"/>
  <c r="I51" i="12"/>
  <c r="AM51" i="5"/>
  <c r="L51" i="5"/>
  <c r="Z51" i="5"/>
  <c r="T321" i="12"/>
  <c r="U321" i="12"/>
  <c r="V321" i="12"/>
  <c r="U332" i="12"/>
  <c r="T332" i="12"/>
  <c r="V332" i="12"/>
  <c r="Y218" i="12"/>
  <c r="T109" i="12"/>
  <c r="V109" i="12"/>
  <c r="U109" i="12"/>
  <c r="T80" i="12"/>
  <c r="U80" i="12"/>
  <c r="V80" i="12"/>
  <c r="T138" i="12"/>
  <c r="V138" i="12"/>
  <c r="U138" i="12"/>
  <c r="V194" i="12"/>
  <c r="T194" i="12"/>
  <c r="U194" i="12"/>
  <c r="T227" i="12"/>
  <c r="V227" i="12"/>
  <c r="U227" i="12"/>
  <c r="V357" i="12"/>
  <c r="U357" i="12"/>
  <c r="T357" i="12"/>
  <c r="U260" i="12"/>
  <c r="T260" i="12"/>
  <c r="V260" i="12"/>
  <c r="U240" i="12"/>
  <c r="T240" i="12"/>
  <c r="V240" i="12"/>
  <c r="K37" i="12"/>
  <c r="T175" i="12"/>
  <c r="U175" i="12"/>
  <c r="V175" i="12"/>
  <c r="X189" i="12"/>
  <c r="W189" i="12"/>
  <c r="W335" i="12"/>
  <c r="X335" i="12"/>
  <c r="K346" i="12"/>
  <c r="N346" i="12"/>
  <c r="V25" i="12"/>
  <c r="T25" i="12"/>
  <c r="U25" i="12"/>
  <c r="V173" i="12"/>
  <c r="L35" i="5"/>
  <c r="AM35" i="5"/>
  <c r="Z35" i="5"/>
  <c r="I35" i="5"/>
  <c r="I35" i="12"/>
  <c r="W292" i="12"/>
  <c r="X292" i="12"/>
  <c r="X39" i="12"/>
  <c r="W39" i="12"/>
  <c r="V242" i="12"/>
  <c r="T242" i="12"/>
  <c r="U242" i="12"/>
  <c r="X43" i="12"/>
  <c r="W43" i="12"/>
  <c r="Z302" i="5"/>
  <c r="I302" i="12"/>
  <c r="L302" i="5"/>
  <c r="AM302" i="5"/>
  <c r="X229" i="12"/>
  <c r="W229" i="12"/>
  <c r="X88" i="12"/>
  <c r="W88" i="12"/>
  <c r="U251" i="12"/>
  <c r="V251" i="12"/>
  <c r="T251" i="12"/>
  <c r="T104" i="12"/>
  <c r="U104" i="12"/>
  <c r="V104" i="12"/>
  <c r="D168" i="12"/>
  <c r="E168" i="6"/>
  <c r="N303" i="12"/>
  <c r="T350" i="12"/>
  <c r="V350" i="12"/>
  <c r="U350" i="12"/>
  <c r="L133" i="5"/>
  <c r="AM133" i="5"/>
  <c r="I133" i="12"/>
  <c r="Z133" i="5"/>
  <c r="I94" i="12"/>
  <c r="AM94" i="5"/>
  <c r="Z94" i="5"/>
  <c r="L94" i="5"/>
  <c r="U20" i="12"/>
  <c r="T20" i="12"/>
  <c r="V20" i="12"/>
  <c r="T253" i="12"/>
  <c r="V253" i="12"/>
  <c r="U253" i="12"/>
  <c r="T141" i="12"/>
  <c r="V141" i="12"/>
  <c r="U141" i="12"/>
  <c r="W393" i="12"/>
  <c r="X393" i="12"/>
  <c r="V68" i="12"/>
  <c r="T68" i="12"/>
  <c r="U68" i="12"/>
  <c r="I48" i="5"/>
  <c r="I49" i="5" s="1"/>
  <c r="I50" i="5" s="1"/>
  <c r="I51" i="5" s="1"/>
  <c r="X47" i="5" a="1"/>
  <c r="X47" i="5" s="1"/>
  <c r="Z48" i="5"/>
  <c r="I48" i="12"/>
  <c r="L48" i="5"/>
  <c r="AM48" i="5"/>
  <c r="W340" i="12"/>
  <c r="X340" i="12"/>
  <c r="D28" i="12"/>
  <c r="I23" i="8"/>
  <c r="A23" i="8" s="1"/>
  <c r="E28" i="6"/>
  <c r="V280" i="12"/>
  <c r="U280" i="12"/>
  <c r="T280" i="12"/>
  <c r="U164" i="12"/>
  <c r="T164" i="12"/>
  <c r="V164" i="12"/>
  <c r="U82" i="12"/>
  <c r="T82" i="12"/>
  <c r="V82" i="12"/>
  <c r="T117" i="12"/>
  <c r="U117" i="12"/>
  <c r="V117" i="12"/>
  <c r="X55" i="12"/>
  <c r="W55" i="12"/>
  <c r="X230" i="12"/>
  <c r="W230" i="12"/>
  <c r="V32" i="12"/>
  <c r="U32" i="12"/>
  <c r="T32" i="12"/>
  <c r="V241" i="12"/>
  <c r="U241" i="12"/>
  <c r="T241" i="12"/>
  <c r="X277" i="12"/>
  <c r="W277" i="12"/>
  <c r="W394" i="12"/>
  <c r="X394" i="12"/>
  <c r="X256" i="12"/>
  <c r="W256" i="12"/>
  <c r="V220" i="12"/>
  <c r="T220" i="12"/>
  <c r="U220" i="12"/>
  <c r="X299" i="12"/>
  <c r="W299" i="12"/>
  <c r="W300" i="12"/>
  <c r="X300" i="12"/>
  <c r="X99" i="12"/>
  <c r="W99" i="12"/>
  <c r="W136" i="12"/>
  <c r="X136" i="12"/>
  <c r="T144" i="12"/>
  <c r="U144" i="12"/>
  <c r="V144" i="12"/>
  <c r="L255" i="5"/>
  <c r="I255" i="12"/>
  <c r="X254" i="5" a="1"/>
  <c r="X254" i="5" s="1"/>
  <c r="AM255" i="5"/>
  <c r="I255" i="5"/>
  <c r="I256" i="5" s="1"/>
  <c r="Z255" i="5"/>
  <c r="X203" i="12"/>
  <c r="W203" i="12"/>
  <c r="E37" i="6"/>
  <c r="I29" i="8"/>
  <c r="A29" i="8" s="1"/>
  <c r="D37" i="12"/>
  <c r="X24" i="12"/>
  <c r="W24" i="12"/>
  <c r="W193" i="12"/>
  <c r="X193" i="12"/>
  <c r="X265" i="12"/>
  <c r="W265" i="12"/>
  <c r="X110" i="12"/>
  <c r="W110" i="12"/>
  <c r="L402" i="5"/>
  <c r="Z402" i="5"/>
  <c r="AM402" i="5"/>
  <c r="I402" i="12"/>
  <c r="AM243" i="5"/>
  <c r="Z243" i="5"/>
  <c r="I243" i="12"/>
  <c r="L243" i="5"/>
  <c r="W185" i="12"/>
  <c r="X185" i="12"/>
  <c r="Z50" i="5"/>
  <c r="AM50" i="5"/>
  <c r="L50" i="5"/>
  <c r="I50" i="12"/>
  <c r="U344" i="12"/>
  <c r="T344" i="12"/>
  <c r="V344" i="12"/>
  <c r="U317" i="12"/>
  <c r="V317" i="12"/>
  <c r="T317" i="12"/>
  <c r="W365" i="12"/>
  <c r="X365" i="12"/>
  <c r="T266" i="12"/>
  <c r="V266" i="12"/>
  <c r="U266" i="12"/>
  <c r="U62" i="12"/>
  <c r="T62" i="12"/>
  <c r="V62" i="12"/>
  <c r="T297" i="12"/>
  <c r="U297" i="12"/>
  <c r="V297" i="12"/>
  <c r="X247" i="12"/>
  <c r="W247" i="12"/>
  <c r="W137" i="12"/>
  <c r="X137" i="12"/>
  <c r="V324" i="12"/>
  <c r="U324" i="12"/>
  <c r="T324" i="12"/>
  <c r="V228" i="12"/>
  <c r="U228" i="12"/>
  <c r="T228" i="12"/>
  <c r="U330" i="12"/>
  <c r="V330" i="12"/>
  <c r="T330" i="12"/>
  <c r="I231" i="12"/>
  <c r="AM231" i="5"/>
  <c r="Z231" i="5"/>
  <c r="I231" i="5"/>
  <c r="L231" i="5"/>
  <c r="V19" i="12"/>
  <c r="T19" i="12"/>
  <c r="U19" i="12"/>
  <c r="X343" i="12"/>
  <c r="W343" i="12"/>
  <c r="V372" i="12"/>
  <c r="U372" i="12"/>
  <c r="T372" i="12"/>
  <c r="X347" i="12"/>
  <c r="W347" i="12"/>
  <c r="D392" i="12"/>
  <c r="E392" i="6"/>
  <c r="I80" i="8"/>
  <c r="A80" i="8" s="1"/>
  <c r="X127" i="12"/>
  <c r="W127" i="12"/>
  <c r="U259" i="12"/>
  <c r="V259" i="12"/>
  <c r="T259" i="12"/>
  <c r="U328" i="12"/>
  <c r="V328" i="12"/>
  <c r="T328" i="12"/>
  <c r="D303" i="12"/>
  <c r="E303" i="6"/>
  <c r="I385" i="12"/>
  <c r="AM385" i="5"/>
  <c r="Z385" i="5"/>
  <c r="L385" i="5"/>
  <c r="AM383" i="5"/>
  <c r="Z383" i="5"/>
  <c r="I383" i="12"/>
  <c r="L383" i="5"/>
  <c r="W318" i="12"/>
  <c r="X318" i="12"/>
  <c r="T139" i="12"/>
  <c r="V139" i="12"/>
  <c r="U139" i="12"/>
  <c r="V397" i="12"/>
  <c r="T397" i="12"/>
  <c r="U397" i="12"/>
  <c r="T216" i="12"/>
  <c r="V216" i="12"/>
  <c r="U216" i="12"/>
  <c r="X44" i="12"/>
  <c r="W44" i="12"/>
  <c r="W161" i="12"/>
  <c r="X161" i="12"/>
  <c r="X224" i="12"/>
  <c r="W224" i="12"/>
  <c r="W222" i="12"/>
  <c r="X222" i="12"/>
  <c r="U315" i="12"/>
  <c r="T315" i="12"/>
  <c r="V315" i="12"/>
  <c r="W288" i="12"/>
  <c r="X288" i="12"/>
  <c r="X336" i="12"/>
  <c r="W336" i="12"/>
  <c r="W45" i="12"/>
  <c r="X45" i="12"/>
  <c r="W122" i="12"/>
  <c r="X122" i="12"/>
  <c r="X294" i="12"/>
  <c r="W294" i="12"/>
  <c r="V160" i="12"/>
  <c r="T160" i="12"/>
  <c r="U160" i="12"/>
  <c r="X135" i="12"/>
  <c r="W135" i="12"/>
  <c r="W249" i="12"/>
  <c r="X249" i="12"/>
  <c r="X373" i="12"/>
  <c r="W373" i="12"/>
  <c r="X333" i="12"/>
  <c r="W333" i="12"/>
  <c r="X351" i="12"/>
  <c r="W351" i="12"/>
  <c r="W149" i="12"/>
  <c r="X149" i="12"/>
  <c r="W272" i="12"/>
  <c r="X272" i="12"/>
  <c r="W197" i="12"/>
  <c r="X197" i="12"/>
  <c r="U60" i="12"/>
  <c r="V60" i="12"/>
  <c r="T60" i="12"/>
  <c r="W250" i="12"/>
  <c r="X250" i="12"/>
  <c r="W176" i="12"/>
  <c r="X176" i="12"/>
  <c r="W31" i="12"/>
  <c r="X31" i="12"/>
  <c r="K17" i="12"/>
  <c r="T204" i="12"/>
  <c r="U204" i="12"/>
  <c r="V204" i="12"/>
  <c r="X83" i="12"/>
  <c r="W83" i="12"/>
  <c r="X140" i="12"/>
  <c r="W140" i="12"/>
  <c r="Z389" i="5"/>
  <c r="I389" i="12"/>
  <c r="AM389" i="5"/>
  <c r="L389" i="5"/>
  <c r="V235" i="12"/>
  <c r="U235" i="12"/>
  <c r="T235" i="12"/>
  <c r="T97" i="12"/>
  <c r="V97" i="12"/>
  <c r="U97" i="12"/>
  <c r="W180" i="12"/>
  <c r="X180" i="12"/>
  <c r="W103" i="12"/>
  <c r="X103" i="12"/>
  <c r="W395" i="12"/>
  <c r="X395" i="12"/>
  <c r="U305" i="12"/>
  <c r="T305" i="12"/>
  <c r="V305" i="12"/>
  <c r="T119" i="12"/>
  <c r="U119" i="12"/>
  <c r="V119" i="12"/>
  <c r="T322" i="12"/>
  <c r="V322" i="12"/>
  <c r="U322" i="12"/>
  <c r="T293" i="12"/>
  <c r="U293" i="12"/>
  <c r="V293" i="12"/>
  <c r="V81" i="12"/>
  <c r="U81" i="12"/>
  <c r="T81" i="12"/>
  <c r="Y52" i="12"/>
  <c r="T162" i="12"/>
  <c r="U162" i="12"/>
  <c r="V162" i="12"/>
  <c r="Z92" i="5"/>
  <c r="I92" i="12"/>
  <c r="AM92" i="5"/>
  <c r="L92" i="5"/>
  <c r="V86" i="12"/>
  <c r="T86" i="12"/>
  <c r="U86" i="12"/>
  <c r="W37" i="12"/>
  <c r="X37" i="12"/>
  <c r="X29" i="12"/>
  <c r="W29" i="12"/>
  <c r="U314" i="12"/>
  <c r="T314" i="12"/>
  <c r="V314" i="12"/>
  <c r="X403" i="12"/>
  <c r="W403" i="12"/>
  <c r="I32" i="8"/>
  <c r="A32" i="8" s="1"/>
  <c r="D41" i="12"/>
  <c r="E41" i="6"/>
  <c r="T364" i="12"/>
  <c r="U364" i="12"/>
  <c r="V364" i="12"/>
  <c r="X290" i="12"/>
  <c r="W290" i="12"/>
  <c r="T72" i="12"/>
  <c r="V72" i="12"/>
  <c r="U72" i="12"/>
  <c r="U261" i="12"/>
  <c r="V261" i="12"/>
  <c r="T261" i="12"/>
  <c r="W112" i="12"/>
  <c r="X112" i="12"/>
  <c r="V348" i="12"/>
  <c r="U348" i="12"/>
  <c r="T348" i="12"/>
  <c r="T337" i="12"/>
  <c r="V337" i="12"/>
  <c r="U337" i="12"/>
  <c r="T338" i="12"/>
  <c r="U338" i="12"/>
  <c r="V338" i="12"/>
  <c r="W226" i="12"/>
  <c r="X226" i="12"/>
  <c r="W354" i="12"/>
  <c r="X354" i="12"/>
  <c r="W163" i="12"/>
  <c r="X163" i="12"/>
  <c r="X198" i="12"/>
  <c r="W198" i="12"/>
  <c r="W201" i="12"/>
  <c r="X201" i="12"/>
  <c r="X371" i="12"/>
  <c r="W371" i="12"/>
  <c r="U70" i="12"/>
  <c r="V70" i="12"/>
  <c r="T70" i="12"/>
  <c r="N325" i="12"/>
  <c r="X307" i="12"/>
  <c r="W307" i="12"/>
  <c r="U76" i="12"/>
  <c r="T76" i="12"/>
  <c r="V76" i="12"/>
  <c r="W275" i="12"/>
  <c r="X275" i="12"/>
  <c r="W212" i="12"/>
  <c r="X212" i="12"/>
  <c r="K403" i="12"/>
  <c r="X186" i="12"/>
  <c r="W186" i="12"/>
  <c r="N41" i="12"/>
  <c r="X101" i="12"/>
  <c r="W101" i="12"/>
  <c r="K28" i="12"/>
  <c r="Y168" i="12"/>
  <c r="I20" i="8"/>
  <c r="A20" i="8" s="1"/>
  <c r="E21" i="6"/>
  <c r="D21" i="12"/>
  <c r="W192" i="12"/>
  <c r="X192" i="12"/>
  <c r="V102" i="12"/>
  <c r="U102" i="12"/>
  <c r="T102" i="12"/>
  <c r="U121" i="12"/>
  <c r="T121" i="12"/>
  <c r="V121" i="12"/>
  <c r="Y41" i="12"/>
  <c r="T77" i="12"/>
  <c r="V77" i="12"/>
  <c r="U77" i="12"/>
  <c r="X188" i="12"/>
  <c r="W188" i="12"/>
  <c r="W378" i="12"/>
  <c r="X378" i="12"/>
  <c r="X270" i="12"/>
  <c r="W270" i="12"/>
  <c r="X258" i="12"/>
  <c r="W258" i="12"/>
  <c r="X283" i="12"/>
  <c r="W283" i="12"/>
  <c r="W208" i="12"/>
  <c r="X208" i="12"/>
  <c r="Z382" i="5"/>
  <c r="I382" i="12"/>
  <c r="L382" i="5"/>
  <c r="AM382" i="5"/>
  <c r="I401" i="5"/>
  <c r="I402" i="5" s="1"/>
  <c r="Z401" i="5"/>
  <c r="X400" i="5" a="1"/>
  <c r="X400" i="5" s="1"/>
  <c r="L401" i="5"/>
  <c r="AM401" i="5"/>
  <c r="I401" i="12"/>
  <c r="U367" i="12"/>
  <c r="T367" i="12"/>
  <c r="V367" i="12"/>
  <c r="K303" i="12"/>
  <c r="W349" i="12"/>
  <c r="X349" i="12"/>
  <c r="V339" i="12"/>
  <c r="U339" i="12"/>
  <c r="T339" i="12"/>
  <c r="X209" i="12"/>
  <c r="W209" i="12"/>
  <c r="W158" i="12"/>
  <c r="X158" i="12"/>
  <c r="Y17" i="12"/>
  <c r="W134" i="12"/>
  <c r="X134" i="12"/>
  <c r="W306" i="12"/>
  <c r="X306" i="12"/>
  <c r="D346" i="12"/>
  <c r="I71" i="8"/>
  <c r="A71" i="8" s="1"/>
  <c r="E346" i="6"/>
  <c r="V118" i="12"/>
  <c r="U118" i="12"/>
  <c r="T118" i="12"/>
  <c r="T107" i="12"/>
  <c r="V107" i="12"/>
  <c r="U107" i="12"/>
  <c r="V246" i="12"/>
  <c r="U246" i="12"/>
  <c r="T246" i="12"/>
  <c r="V211" i="12"/>
  <c r="T211" i="12"/>
  <c r="U211" i="12"/>
  <c r="T319" i="12"/>
  <c r="U319" i="12"/>
  <c r="V319" i="12"/>
  <c r="W346" i="12"/>
  <c r="X346" i="12"/>
  <c r="V87" i="12"/>
  <c r="U87" i="12"/>
  <c r="Z132" i="5"/>
  <c r="I132" i="5"/>
  <c r="I133" i="5" s="1"/>
  <c r="I134" i="5" s="1"/>
  <c r="I132" i="12"/>
  <c r="AM132" i="5"/>
  <c r="L132" i="5"/>
  <c r="U172" i="12"/>
  <c r="V172" i="12"/>
  <c r="T172" i="12"/>
  <c r="U217" i="12"/>
  <c r="T217" i="12"/>
  <c r="V217" i="12"/>
  <c r="V210" i="12"/>
  <c r="T210" i="12"/>
  <c r="U210" i="12"/>
  <c r="W281" i="12"/>
  <c r="X281" i="12"/>
  <c r="T362" i="12"/>
  <c r="V362" i="12"/>
  <c r="U362" i="12"/>
  <c r="V151" i="12"/>
  <c r="T151" i="12"/>
  <c r="U151" i="12"/>
  <c r="AG232" i="5"/>
  <c r="AG155" i="5"/>
  <c r="AG239" i="5"/>
  <c r="AG147" i="5"/>
  <c r="AG148" i="5"/>
  <c r="AG233" i="5"/>
  <c r="AG111" i="5"/>
  <c r="AG238" i="5"/>
  <c r="AG287" i="5"/>
  <c r="AG379" i="5"/>
  <c r="V213" i="12" l="1"/>
  <c r="T213" i="12"/>
  <c r="T187" i="12"/>
  <c r="T73" i="12"/>
  <c r="T173" i="12"/>
  <c r="U73" i="12"/>
  <c r="W392" i="12"/>
  <c r="V392" i="12" s="1"/>
  <c r="U374" i="12"/>
  <c r="U157" i="12"/>
  <c r="X342" i="12"/>
  <c r="U153" i="12"/>
  <c r="T334" i="12"/>
  <c r="V153" i="12"/>
  <c r="V334" i="12"/>
  <c r="T374" i="12"/>
  <c r="U174" i="12"/>
  <c r="V174" i="12"/>
  <c r="X115" i="12"/>
  <c r="O132" i="12"/>
  <c r="AO132" i="12"/>
  <c r="M132" i="12"/>
  <c r="C132" i="12"/>
  <c r="T158" i="12"/>
  <c r="U158" i="12"/>
  <c r="V158" i="12"/>
  <c r="O401" i="12"/>
  <c r="AO401" i="12"/>
  <c r="C401" i="12"/>
  <c r="M401" i="12"/>
  <c r="AB401" i="5"/>
  <c r="C382" i="12"/>
  <c r="AO382" i="12"/>
  <c r="O382" i="12"/>
  <c r="M382" i="12"/>
  <c r="V283" i="12"/>
  <c r="U283" i="12"/>
  <c r="T283" i="12"/>
  <c r="T270" i="12"/>
  <c r="V270" i="12"/>
  <c r="U270" i="12"/>
  <c r="U188" i="12"/>
  <c r="V188" i="12"/>
  <c r="T188" i="12"/>
  <c r="T275" i="12"/>
  <c r="V275" i="12"/>
  <c r="U275" i="12"/>
  <c r="T307" i="12"/>
  <c r="U307" i="12"/>
  <c r="V307" i="12"/>
  <c r="T112" i="12"/>
  <c r="V112" i="12"/>
  <c r="U112" i="12"/>
  <c r="U29" i="12"/>
  <c r="V29" i="12"/>
  <c r="T29" i="12"/>
  <c r="V395" i="12"/>
  <c r="U395" i="12"/>
  <c r="T395" i="12"/>
  <c r="T180" i="12"/>
  <c r="V180" i="12"/>
  <c r="U180" i="12"/>
  <c r="V31" i="12"/>
  <c r="U31" i="12"/>
  <c r="T31" i="12"/>
  <c r="U250" i="12"/>
  <c r="T250" i="12"/>
  <c r="V250" i="12"/>
  <c r="V333" i="12"/>
  <c r="U333" i="12"/>
  <c r="T333" i="12"/>
  <c r="U45" i="12"/>
  <c r="T45" i="12"/>
  <c r="V45" i="12"/>
  <c r="U288" i="12"/>
  <c r="V288" i="12"/>
  <c r="T288" i="12"/>
  <c r="O383" i="12"/>
  <c r="AO383" i="12"/>
  <c r="M383" i="12"/>
  <c r="C383" i="12"/>
  <c r="AB385" i="5"/>
  <c r="T347" i="12"/>
  <c r="U347" i="12"/>
  <c r="V347" i="12"/>
  <c r="O50" i="5"/>
  <c r="C50" i="6"/>
  <c r="AC50" i="5"/>
  <c r="J50" i="6" s="1" a="1"/>
  <c r="J50" i="6" s="1"/>
  <c r="U185" i="12"/>
  <c r="T185" i="12"/>
  <c r="V185" i="12"/>
  <c r="AB243" i="5"/>
  <c r="AB402" i="5"/>
  <c r="U265" i="12"/>
  <c r="T265" i="12"/>
  <c r="V265" i="12"/>
  <c r="V24" i="12"/>
  <c r="U24" i="12"/>
  <c r="T24" i="12"/>
  <c r="I257" i="5"/>
  <c r="O256" i="5"/>
  <c r="C255" i="6"/>
  <c r="O255" i="5"/>
  <c r="AC255" i="5"/>
  <c r="J255" i="6" s="1" a="1"/>
  <c r="J255" i="6" s="1"/>
  <c r="L47" i="5"/>
  <c r="AM47" i="5"/>
  <c r="I47" i="12"/>
  <c r="S35" i="8"/>
  <c r="Z47" i="5"/>
  <c r="C94" i="6"/>
  <c r="AC94" i="5"/>
  <c r="J94" i="6" s="1" a="1"/>
  <c r="J94" i="6" s="1"/>
  <c r="AO94" i="12"/>
  <c r="C94" i="12"/>
  <c r="M94" i="12"/>
  <c r="O94" i="12"/>
  <c r="C133" i="6"/>
  <c r="O133" i="5"/>
  <c r="AC133" i="5"/>
  <c r="J133" i="6" s="1" a="1"/>
  <c r="J133" i="6" s="1"/>
  <c r="AB302" i="5"/>
  <c r="C35" i="12"/>
  <c r="AO35" i="12"/>
  <c r="M35" i="12"/>
  <c r="O35" i="12"/>
  <c r="U189" i="12"/>
  <c r="T189" i="12"/>
  <c r="V189" i="12"/>
  <c r="T342" i="12"/>
  <c r="V342" i="12"/>
  <c r="U342" i="12"/>
  <c r="T114" i="12"/>
  <c r="V114" i="12"/>
  <c r="U114" i="12"/>
  <c r="V236" i="12"/>
  <c r="U236" i="12"/>
  <c r="T236" i="12"/>
  <c r="T120" i="12"/>
  <c r="U120" i="12"/>
  <c r="V120" i="12"/>
  <c r="U116" i="12"/>
  <c r="T116" i="12"/>
  <c r="V116" i="12"/>
  <c r="AB49" i="5"/>
  <c r="C388" i="12"/>
  <c r="AO388" i="12"/>
  <c r="M388" i="12"/>
  <c r="O388" i="12"/>
  <c r="U282" i="12"/>
  <c r="V282" i="12"/>
  <c r="T282" i="12"/>
  <c r="U215" i="12"/>
  <c r="T215" i="12"/>
  <c r="V215" i="12"/>
  <c r="AO91" i="12"/>
  <c r="O91" i="12"/>
  <c r="M91" i="12"/>
  <c r="C91" i="12"/>
  <c r="T214" i="12"/>
  <c r="U214" i="12"/>
  <c r="V214" i="12"/>
  <c r="C244" i="6"/>
  <c r="AC244" i="5"/>
  <c r="J244" i="6" s="1" a="1"/>
  <c r="J244" i="6" s="1"/>
  <c r="U304" i="12"/>
  <c r="T304" i="12"/>
  <c r="V304" i="12"/>
  <c r="T274" i="12"/>
  <c r="V274" i="12"/>
  <c r="U274" i="12"/>
  <c r="M271" i="12"/>
  <c r="O271" i="12"/>
  <c r="AO271" i="12"/>
  <c r="C271" i="12"/>
  <c r="O271" i="5"/>
  <c r="C271" i="6"/>
  <c r="AC271" i="5"/>
  <c r="J271" i="6" s="1" a="1"/>
  <c r="J271" i="6" s="1"/>
  <c r="T264" i="12"/>
  <c r="V264" i="12"/>
  <c r="U264" i="12"/>
  <c r="AB390" i="5"/>
  <c r="C69" i="12"/>
  <c r="AO69" i="12"/>
  <c r="O69" i="12"/>
  <c r="M69" i="12"/>
  <c r="U245" i="12"/>
  <c r="V245" i="12"/>
  <c r="T245" i="12"/>
  <c r="V18" i="12"/>
  <c r="U18" i="12"/>
  <c r="T18" i="12"/>
  <c r="T377" i="12"/>
  <c r="U377" i="12"/>
  <c r="V377" i="12"/>
  <c r="Z289" i="5"/>
  <c r="L289" i="5"/>
  <c r="I289" i="12"/>
  <c r="AM289" i="5"/>
  <c r="C301" i="6"/>
  <c r="O301" i="5"/>
  <c r="AC301" i="5"/>
  <c r="J301" i="6" s="1" a="1"/>
  <c r="J301" i="6" s="1"/>
  <c r="T329" i="12"/>
  <c r="V329" i="12"/>
  <c r="U329" i="12"/>
  <c r="O384" i="5"/>
  <c r="C384" i="6"/>
  <c r="AC384" i="5"/>
  <c r="J384" i="6" s="1" a="1"/>
  <c r="J384" i="6" s="1"/>
  <c r="AO90" i="12"/>
  <c r="M90" i="12"/>
  <c r="O90" i="12"/>
  <c r="C90" i="12"/>
  <c r="U276" i="12"/>
  <c r="T276" i="12"/>
  <c r="V276" i="12"/>
  <c r="AB381" i="5"/>
  <c r="C381" i="6"/>
  <c r="O381" i="5"/>
  <c r="AC381" i="5"/>
  <c r="J381" i="6" s="1" a="1"/>
  <c r="J381" i="6" s="1"/>
  <c r="V273" i="12"/>
  <c r="U273" i="12"/>
  <c r="T273" i="12"/>
  <c r="T65" i="12"/>
  <c r="U65" i="12"/>
  <c r="V65" i="12"/>
  <c r="T59" i="12"/>
  <c r="V59" i="12"/>
  <c r="U59" i="12"/>
  <c r="U316" i="12"/>
  <c r="T316" i="12"/>
  <c r="V316" i="12"/>
  <c r="I135" i="5"/>
  <c r="O134" i="5"/>
  <c r="V134" i="12"/>
  <c r="U134" i="12"/>
  <c r="T134" i="12"/>
  <c r="V209" i="12"/>
  <c r="T209" i="12"/>
  <c r="U209" i="12"/>
  <c r="AB382" i="5"/>
  <c r="W41" i="12"/>
  <c r="X41" i="12"/>
  <c r="V192" i="12"/>
  <c r="T192" i="12"/>
  <c r="U192" i="12"/>
  <c r="W168" i="12"/>
  <c r="X168" i="12"/>
  <c r="U201" i="12"/>
  <c r="V201" i="12"/>
  <c r="T201" i="12"/>
  <c r="V163" i="12"/>
  <c r="T163" i="12"/>
  <c r="U163" i="12"/>
  <c r="T226" i="12"/>
  <c r="V226" i="12"/>
  <c r="U226" i="12"/>
  <c r="M389" i="12"/>
  <c r="O389" i="12"/>
  <c r="AO389" i="12"/>
  <c r="C389" i="12"/>
  <c r="T83" i="12"/>
  <c r="V83" i="12"/>
  <c r="U83" i="12"/>
  <c r="U197" i="12"/>
  <c r="V197" i="12"/>
  <c r="T197" i="12"/>
  <c r="V149" i="12"/>
  <c r="T149" i="12"/>
  <c r="U149" i="12"/>
  <c r="V249" i="12"/>
  <c r="U249" i="12"/>
  <c r="T249" i="12"/>
  <c r="T336" i="12"/>
  <c r="U336" i="12"/>
  <c r="V336" i="12"/>
  <c r="T222" i="12"/>
  <c r="U222" i="12"/>
  <c r="V222" i="12"/>
  <c r="V161" i="12"/>
  <c r="T161" i="12"/>
  <c r="U161" i="12"/>
  <c r="AB383" i="5"/>
  <c r="T343" i="12"/>
  <c r="V343" i="12"/>
  <c r="U343" i="12"/>
  <c r="AB231" i="5"/>
  <c r="C243" i="6"/>
  <c r="AC243" i="5"/>
  <c r="J243" i="6" s="1" a="1"/>
  <c r="J243" i="6" s="1"/>
  <c r="C402" i="6"/>
  <c r="O402" i="5"/>
  <c r="AC402" i="5"/>
  <c r="J402" i="6" s="1" a="1"/>
  <c r="J402" i="6" s="1"/>
  <c r="U203" i="12"/>
  <c r="T203" i="12"/>
  <c r="V203" i="12"/>
  <c r="T136" i="12"/>
  <c r="V136" i="12"/>
  <c r="U136" i="12"/>
  <c r="V300" i="12"/>
  <c r="U300" i="12"/>
  <c r="T300" i="12"/>
  <c r="U55" i="12"/>
  <c r="V55" i="12"/>
  <c r="T55" i="12"/>
  <c r="O48" i="5"/>
  <c r="C48" i="6"/>
  <c r="AC48" i="5"/>
  <c r="J48" i="6" s="1" a="1"/>
  <c r="J48" i="6" s="1"/>
  <c r="AB94" i="5"/>
  <c r="AB133" i="5"/>
  <c r="T88" i="12"/>
  <c r="U88" i="12"/>
  <c r="V88" i="12"/>
  <c r="U43" i="12"/>
  <c r="T43" i="12"/>
  <c r="V43" i="12"/>
  <c r="V292" i="12"/>
  <c r="T292" i="12"/>
  <c r="U292" i="12"/>
  <c r="C35" i="6"/>
  <c r="O35" i="5"/>
  <c r="AC35" i="5"/>
  <c r="J35" i="6" s="1" a="1"/>
  <c r="J35" i="6" s="1"/>
  <c r="M51" i="12"/>
  <c r="AO51" i="12"/>
  <c r="O51" i="12"/>
  <c r="C51" i="12"/>
  <c r="M387" i="12"/>
  <c r="C387" i="12"/>
  <c r="O387" i="12"/>
  <c r="AO387" i="12"/>
  <c r="V67" i="12"/>
  <c r="T67" i="12"/>
  <c r="U67" i="12"/>
  <c r="U278" i="12"/>
  <c r="T278" i="12"/>
  <c r="V278" i="12"/>
  <c r="U75" i="12"/>
  <c r="V75" i="12"/>
  <c r="T75" i="12"/>
  <c r="U22" i="12"/>
  <c r="T22" i="12"/>
  <c r="V22" i="12"/>
  <c r="C91" i="6"/>
  <c r="AC91" i="5"/>
  <c r="J91" i="6" s="1" a="1"/>
  <c r="J91" i="6" s="1"/>
  <c r="T105" i="12"/>
  <c r="U105" i="12"/>
  <c r="V105" i="12"/>
  <c r="V325" i="12"/>
  <c r="T325" i="12"/>
  <c r="U325" i="12"/>
  <c r="AB271" i="5"/>
  <c r="U154" i="12"/>
  <c r="V154" i="12"/>
  <c r="T154" i="12"/>
  <c r="T206" i="12"/>
  <c r="U206" i="12"/>
  <c r="V206" i="12"/>
  <c r="T368" i="12"/>
  <c r="U368" i="12"/>
  <c r="V368" i="12"/>
  <c r="C390" i="6"/>
  <c r="O390" i="5"/>
  <c r="AC390" i="5"/>
  <c r="J390" i="6" s="1" a="1"/>
  <c r="J390" i="6" s="1"/>
  <c r="AB386" i="5"/>
  <c r="V219" i="12"/>
  <c r="T219" i="12"/>
  <c r="U219" i="12"/>
  <c r="AB69" i="5"/>
  <c r="V57" i="12"/>
  <c r="U57" i="12"/>
  <c r="T57" i="12"/>
  <c r="T63" i="12"/>
  <c r="V63" i="12"/>
  <c r="U63" i="12"/>
  <c r="AB301" i="5"/>
  <c r="T113" i="12"/>
  <c r="U113" i="12"/>
  <c r="V113" i="12"/>
  <c r="V234" i="12"/>
  <c r="U234" i="12"/>
  <c r="T234" i="12"/>
  <c r="U169" i="12"/>
  <c r="V169" i="12"/>
  <c r="T169" i="12"/>
  <c r="T84" i="12"/>
  <c r="U84" i="12"/>
  <c r="V84" i="12"/>
  <c r="C90" i="6"/>
  <c r="AC90" i="5"/>
  <c r="J90" i="6" s="1" a="1"/>
  <c r="J90" i="6" s="1"/>
  <c r="X21" i="12"/>
  <c r="W21" i="12"/>
  <c r="V179" i="12"/>
  <c r="U179" i="12"/>
  <c r="T179" i="12"/>
  <c r="W28" i="12"/>
  <c r="X28" i="12"/>
  <c r="L380" i="5"/>
  <c r="Z380" i="5"/>
  <c r="AM380" i="5"/>
  <c r="S77" i="8"/>
  <c r="I380" i="12"/>
  <c r="U124" i="12"/>
  <c r="V124" i="12"/>
  <c r="T124" i="12"/>
  <c r="T64" i="12"/>
  <c r="V64" i="12"/>
  <c r="U64" i="12"/>
  <c r="V361" i="12"/>
  <c r="U361" i="12"/>
  <c r="T361" i="12"/>
  <c r="V146" i="12"/>
  <c r="U146" i="12"/>
  <c r="T146" i="12"/>
  <c r="V281" i="12"/>
  <c r="U281" i="12"/>
  <c r="T281" i="12"/>
  <c r="O132" i="5"/>
  <c r="C132" i="6"/>
  <c r="AC132" i="5"/>
  <c r="J132" i="6" s="1" a="1"/>
  <c r="J132" i="6" s="1"/>
  <c r="AB132" i="5"/>
  <c r="X17" i="12"/>
  <c r="W17" i="12"/>
  <c r="O401" i="5"/>
  <c r="C401" i="6"/>
  <c r="AC401" i="5"/>
  <c r="J401" i="6" s="1" a="1"/>
  <c r="J401" i="6" s="1"/>
  <c r="V258" i="12"/>
  <c r="U258" i="12"/>
  <c r="T258" i="12"/>
  <c r="V186" i="12"/>
  <c r="T186" i="12"/>
  <c r="U186" i="12"/>
  <c r="V212" i="12"/>
  <c r="T212" i="12"/>
  <c r="U212" i="12"/>
  <c r="T371" i="12"/>
  <c r="V371" i="12"/>
  <c r="U371" i="12"/>
  <c r="V198" i="12"/>
  <c r="U198" i="12"/>
  <c r="T198" i="12"/>
  <c r="M92" i="12"/>
  <c r="C92" i="12"/>
  <c r="O92" i="12"/>
  <c r="AO92" i="12"/>
  <c r="U103" i="12"/>
  <c r="V103" i="12"/>
  <c r="T103" i="12"/>
  <c r="AB389" i="5"/>
  <c r="T176" i="12"/>
  <c r="U176" i="12"/>
  <c r="V176" i="12"/>
  <c r="V351" i="12"/>
  <c r="U351" i="12"/>
  <c r="T351" i="12"/>
  <c r="V373" i="12"/>
  <c r="T373" i="12"/>
  <c r="U373" i="12"/>
  <c r="T135" i="12"/>
  <c r="V135" i="12"/>
  <c r="U135" i="12"/>
  <c r="U122" i="12"/>
  <c r="V122" i="12"/>
  <c r="T122" i="12"/>
  <c r="V224" i="12"/>
  <c r="T224" i="12"/>
  <c r="U224" i="12"/>
  <c r="U44" i="12"/>
  <c r="V44" i="12"/>
  <c r="T44" i="12"/>
  <c r="U318" i="12"/>
  <c r="T318" i="12"/>
  <c r="V318" i="12"/>
  <c r="O385" i="12"/>
  <c r="M385" i="12"/>
  <c r="C385" i="12"/>
  <c r="AO385" i="12"/>
  <c r="U137" i="12"/>
  <c r="V137" i="12"/>
  <c r="T137" i="12"/>
  <c r="M50" i="12"/>
  <c r="C50" i="12"/>
  <c r="O50" i="12"/>
  <c r="AO50" i="12"/>
  <c r="AB50" i="5"/>
  <c r="M243" i="12"/>
  <c r="O243" i="12"/>
  <c r="AO243" i="12"/>
  <c r="C243" i="12"/>
  <c r="O402" i="12"/>
  <c r="AO402" i="12"/>
  <c r="M402" i="12"/>
  <c r="C402" i="12"/>
  <c r="T110" i="12"/>
  <c r="U110" i="12"/>
  <c r="V110" i="12"/>
  <c r="S59" i="8"/>
  <c r="I254" i="12"/>
  <c r="Z254" i="5"/>
  <c r="AM254" i="5"/>
  <c r="L254" i="5"/>
  <c r="V99" i="12"/>
  <c r="T99" i="12"/>
  <c r="U99" i="12"/>
  <c r="U299" i="12"/>
  <c r="T299" i="12"/>
  <c r="V299" i="12"/>
  <c r="V394" i="12"/>
  <c r="U394" i="12"/>
  <c r="T394" i="12"/>
  <c r="AO48" i="12"/>
  <c r="C48" i="12"/>
  <c r="M48" i="12"/>
  <c r="O48" i="12"/>
  <c r="U393" i="12"/>
  <c r="T393" i="12"/>
  <c r="V393" i="12"/>
  <c r="M133" i="12"/>
  <c r="C133" i="12"/>
  <c r="O133" i="12"/>
  <c r="AO133" i="12"/>
  <c r="O302" i="5"/>
  <c r="C302" i="6"/>
  <c r="AC302" i="5"/>
  <c r="J302" i="6" s="1" a="1"/>
  <c r="J302" i="6" s="1"/>
  <c r="T39" i="12"/>
  <c r="U39" i="12"/>
  <c r="V39" i="12"/>
  <c r="AB35" i="5"/>
  <c r="W218" i="12"/>
  <c r="X218" i="12"/>
  <c r="AB51" i="5"/>
  <c r="U106" i="12"/>
  <c r="V106" i="12"/>
  <c r="T106" i="12"/>
  <c r="V248" i="12"/>
  <c r="U248" i="12"/>
  <c r="T248" i="12"/>
  <c r="V190" i="12"/>
  <c r="T190" i="12"/>
  <c r="U190" i="12"/>
  <c r="O387" i="5"/>
  <c r="C387" i="6"/>
  <c r="AC387" i="5"/>
  <c r="J387" i="6" s="1" a="1"/>
  <c r="J387" i="6" s="1"/>
  <c r="T221" i="12"/>
  <c r="V221" i="12"/>
  <c r="U221" i="12"/>
  <c r="V375" i="12"/>
  <c r="T375" i="12"/>
  <c r="U375" i="12"/>
  <c r="C49" i="6"/>
  <c r="O49" i="5"/>
  <c r="AC49" i="5"/>
  <c r="J49" i="6" s="1" a="1"/>
  <c r="J49" i="6" s="1"/>
  <c r="O388" i="5"/>
  <c r="C388" i="6"/>
  <c r="AC388" i="5"/>
  <c r="J388" i="6" s="1" a="1"/>
  <c r="J388" i="6" s="1"/>
  <c r="U363" i="12"/>
  <c r="T363" i="12"/>
  <c r="V363" i="12"/>
  <c r="T30" i="12"/>
  <c r="V30" i="12"/>
  <c r="U30" i="12"/>
  <c r="U353" i="12"/>
  <c r="V353" i="12"/>
  <c r="T353" i="12"/>
  <c r="M244" i="12"/>
  <c r="O244" i="12"/>
  <c r="C244" i="12"/>
  <c r="AO244" i="12"/>
  <c r="AB244" i="5"/>
  <c r="V195" i="12"/>
  <c r="T195" i="12"/>
  <c r="U195" i="12"/>
  <c r="T199" i="12"/>
  <c r="U199" i="12"/>
  <c r="V199" i="12"/>
  <c r="V311" i="12"/>
  <c r="U311" i="12"/>
  <c r="T311" i="12"/>
  <c r="U131" i="12"/>
  <c r="V131" i="12"/>
  <c r="T131" i="12"/>
  <c r="T58" i="12"/>
  <c r="V58" i="12"/>
  <c r="U58" i="12"/>
  <c r="U295" i="12"/>
  <c r="V295" i="12"/>
  <c r="T295" i="12"/>
  <c r="U159" i="12"/>
  <c r="V159" i="12"/>
  <c r="T159" i="12"/>
  <c r="C386" i="6"/>
  <c r="O386" i="5"/>
  <c r="AC386" i="5"/>
  <c r="J386" i="6" s="1" a="1"/>
  <c r="J386" i="6" s="1"/>
  <c r="C69" i="6"/>
  <c r="O69" i="5"/>
  <c r="AC69" i="5"/>
  <c r="J69" i="6" s="1" a="1"/>
  <c r="J69" i="6" s="1"/>
  <c r="I71" i="5"/>
  <c r="O70" i="5"/>
  <c r="V309" i="12"/>
  <c r="T309" i="12"/>
  <c r="U309" i="12"/>
  <c r="U115" i="12"/>
  <c r="T115" i="12"/>
  <c r="V115" i="12"/>
  <c r="V312" i="12"/>
  <c r="U312" i="12"/>
  <c r="T312" i="12"/>
  <c r="AB384" i="5"/>
  <c r="U53" i="12"/>
  <c r="V53" i="12"/>
  <c r="T53" i="12"/>
  <c r="T143" i="12"/>
  <c r="U143" i="12"/>
  <c r="V143" i="12"/>
  <c r="U66" i="12"/>
  <c r="T66" i="12"/>
  <c r="V66" i="12"/>
  <c r="V182" i="12"/>
  <c r="U182" i="12"/>
  <c r="T182" i="12"/>
  <c r="V177" i="12"/>
  <c r="U177" i="12"/>
  <c r="T177" i="12"/>
  <c r="T291" i="12"/>
  <c r="V291" i="12"/>
  <c r="U291" i="12"/>
  <c r="U346" i="12"/>
  <c r="V346" i="12"/>
  <c r="T346" i="12"/>
  <c r="T306" i="12"/>
  <c r="V306" i="12"/>
  <c r="U306" i="12"/>
  <c r="V349" i="12"/>
  <c r="U349" i="12"/>
  <c r="T349" i="12"/>
  <c r="L400" i="5"/>
  <c r="I400" i="12"/>
  <c r="S83" i="8"/>
  <c r="Z400" i="5"/>
  <c r="AM400" i="5"/>
  <c r="C382" i="6"/>
  <c r="O382" i="5"/>
  <c r="AC382" i="5"/>
  <c r="J382" i="6" s="1" a="1"/>
  <c r="J382" i="6" s="1"/>
  <c r="T208" i="12"/>
  <c r="U208" i="12"/>
  <c r="V208" i="12"/>
  <c r="V378" i="12"/>
  <c r="U378" i="12"/>
  <c r="T378" i="12"/>
  <c r="V101" i="12"/>
  <c r="U101" i="12"/>
  <c r="T101" i="12"/>
  <c r="U354" i="12"/>
  <c r="V354" i="12"/>
  <c r="T354" i="12"/>
  <c r="T290" i="12"/>
  <c r="U290" i="12"/>
  <c r="V290" i="12"/>
  <c r="T403" i="12"/>
  <c r="V403" i="12"/>
  <c r="U403" i="12"/>
  <c r="V37" i="12"/>
  <c r="T37" i="12"/>
  <c r="U37" i="12"/>
  <c r="C92" i="6"/>
  <c r="AC92" i="5"/>
  <c r="J92" i="6" s="1" a="1"/>
  <c r="J92" i="6" s="1"/>
  <c r="AB92" i="5"/>
  <c r="X52" i="12"/>
  <c r="W52" i="12"/>
  <c r="C389" i="6"/>
  <c r="O389" i="5"/>
  <c r="AC389" i="5"/>
  <c r="J389" i="6" s="1" a="1"/>
  <c r="J389" i="6" s="1"/>
  <c r="U140" i="12"/>
  <c r="V140" i="12"/>
  <c r="T140" i="12"/>
  <c r="T272" i="12"/>
  <c r="V272" i="12"/>
  <c r="U272" i="12"/>
  <c r="T294" i="12"/>
  <c r="V294" i="12"/>
  <c r="U294" i="12"/>
  <c r="C383" i="6"/>
  <c r="O383" i="5"/>
  <c r="AC383" i="5"/>
  <c r="J383" i="6" s="1" a="1"/>
  <c r="J383" i="6" s="1"/>
  <c r="O385" i="5"/>
  <c r="C385" i="6"/>
  <c r="AC385" i="5"/>
  <c r="J385" i="6" s="1" a="1"/>
  <c r="J385" i="6" s="1"/>
  <c r="T127" i="12"/>
  <c r="V127" i="12"/>
  <c r="U127" i="12"/>
  <c r="C231" i="6"/>
  <c r="O231" i="5"/>
  <c r="AC231" i="5"/>
  <c r="J231" i="6" s="1" a="1"/>
  <c r="J231" i="6" s="1"/>
  <c r="C231" i="12"/>
  <c r="AO231" i="12"/>
  <c r="O231" i="12"/>
  <c r="M231" i="12"/>
  <c r="T247" i="12"/>
  <c r="V247" i="12"/>
  <c r="U247" i="12"/>
  <c r="T365" i="12"/>
  <c r="V365" i="12"/>
  <c r="U365" i="12"/>
  <c r="U193" i="12"/>
  <c r="T193" i="12"/>
  <c r="V193" i="12"/>
  <c r="AB255" i="5"/>
  <c r="AB254" i="5" s="1"/>
  <c r="M255" i="12"/>
  <c r="M254" i="12" s="1"/>
  <c r="AO255" i="12"/>
  <c r="C255" i="12"/>
  <c r="O255" i="12"/>
  <c r="T256" i="12"/>
  <c r="V256" i="12"/>
  <c r="U256" i="12"/>
  <c r="T277" i="12"/>
  <c r="V277" i="12"/>
  <c r="U277" i="12"/>
  <c r="T230" i="12"/>
  <c r="V230" i="12"/>
  <c r="U230" i="12"/>
  <c r="U340" i="12"/>
  <c r="T340" i="12"/>
  <c r="V340" i="12"/>
  <c r="AB48" i="5"/>
  <c r="U229" i="12"/>
  <c r="T229" i="12"/>
  <c r="V229" i="12"/>
  <c r="C302" i="12"/>
  <c r="M302" i="12"/>
  <c r="AO302" i="12"/>
  <c r="O302" i="12"/>
  <c r="V335" i="12"/>
  <c r="T335" i="12"/>
  <c r="U335" i="12"/>
  <c r="O51" i="5"/>
  <c r="C51" i="6"/>
  <c r="AC51" i="5"/>
  <c r="J51" i="6" s="1" a="1"/>
  <c r="J51" i="6" s="1"/>
  <c r="AB387" i="5"/>
  <c r="AO49" i="12"/>
  <c r="C49" i="12"/>
  <c r="M49" i="12"/>
  <c r="O49" i="12"/>
  <c r="T366" i="12"/>
  <c r="V366" i="12"/>
  <c r="U366" i="12"/>
  <c r="V96" i="12"/>
  <c r="T96" i="12"/>
  <c r="U96" i="12"/>
  <c r="AB388" i="5"/>
  <c r="T358" i="12"/>
  <c r="V358" i="12"/>
  <c r="U358" i="12"/>
  <c r="T123" i="12"/>
  <c r="U123" i="12"/>
  <c r="V123" i="12"/>
  <c r="AB91" i="5"/>
  <c r="T205" i="12"/>
  <c r="U205" i="12"/>
  <c r="V205" i="12"/>
  <c r="L269" i="5"/>
  <c r="AM269" i="5"/>
  <c r="I269" i="12"/>
  <c r="Z269" i="5"/>
  <c r="T398" i="12"/>
  <c r="U398" i="12"/>
  <c r="V398" i="12"/>
  <c r="T156" i="12"/>
  <c r="U156" i="12"/>
  <c r="V156" i="12"/>
  <c r="U79" i="12"/>
  <c r="V79" i="12"/>
  <c r="T79" i="12"/>
  <c r="U285" i="12"/>
  <c r="T285" i="12"/>
  <c r="V285" i="12"/>
  <c r="T279" i="12"/>
  <c r="V279" i="12"/>
  <c r="U279" i="12"/>
  <c r="C390" i="12"/>
  <c r="O390" i="12"/>
  <c r="AO390" i="12"/>
  <c r="M390" i="12"/>
  <c r="M386" i="12"/>
  <c r="C386" i="12"/>
  <c r="O386" i="12"/>
  <c r="AO386" i="12"/>
  <c r="V284" i="12"/>
  <c r="U284" i="12"/>
  <c r="T284" i="12"/>
  <c r="AO301" i="12"/>
  <c r="O301" i="12"/>
  <c r="M301" i="12"/>
  <c r="C301" i="12"/>
  <c r="V61" i="12"/>
  <c r="T61" i="12"/>
  <c r="U61" i="12"/>
  <c r="T100" i="12"/>
  <c r="U100" i="12"/>
  <c r="V100" i="12"/>
  <c r="V42" i="12"/>
  <c r="T42" i="12"/>
  <c r="U42" i="12"/>
  <c r="AO384" i="12"/>
  <c r="O384" i="12"/>
  <c r="C384" i="12"/>
  <c r="M384" i="12"/>
  <c r="U23" i="12"/>
  <c r="V23" i="12"/>
  <c r="T23" i="12"/>
  <c r="AB90" i="5"/>
  <c r="U327" i="12"/>
  <c r="T327" i="12"/>
  <c r="V327" i="12"/>
  <c r="V167" i="12"/>
  <c r="U167" i="12"/>
  <c r="T167" i="12"/>
  <c r="T181" i="12"/>
  <c r="U181" i="12"/>
  <c r="V181" i="12"/>
  <c r="U178" i="12"/>
  <c r="V178" i="12"/>
  <c r="T178" i="12"/>
  <c r="T404" i="12"/>
  <c r="V404" i="12"/>
  <c r="U404" i="12"/>
  <c r="U38" i="12"/>
  <c r="V38" i="12"/>
  <c r="T38" i="12"/>
  <c r="E391" i="6"/>
  <c r="D391" i="12"/>
  <c r="C381" i="12"/>
  <c r="AO381" i="12"/>
  <c r="O381" i="12"/>
  <c r="M381" i="12"/>
  <c r="U326" i="12"/>
  <c r="T326" i="12"/>
  <c r="V326" i="12"/>
  <c r="X303" i="12"/>
  <c r="W303" i="12"/>
  <c r="T262" i="12"/>
  <c r="V262" i="12"/>
  <c r="U262" i="12"/>
  <c r="V85" i="12"/>
  <c r="T85" i="12"/>
  <c r="U85" i="12"/>
  <c r="T56" i="12"/>
  <c r="U56" i="12"/>
  <c r="V56" i="12"/>
  <c r="U78" i="12"/>
  <c r="T78" i="12"/>
  <c r="V78" i="12"/>
  <c r="AN36" i="5"/>
  <c r="W36" i="5"/>
  <c r="T392" i="12" l="1"/>
  <c r="U392" i="12"/>
  <c r="N384" i="12"/>
  <c r="N390" i="12"/>
  <c r="Y90" i="12"/>
  <c r="X90" i="12" s="1"/>
  <c r="Y388" i="12"/>
  <c r="Y387" i="12"/>
  <c r="AB47" i="5"/>
  <c r="Y49" i="12"/>
  <c r="X49" i="12" s="1"/>
  <c r="N94" i="12"/>
  <c r="Y50" i="12"/>
  <c r="X50" i="12" s="1"/>
  <c r="M289" i="12"/>
  <c r="AB289" i="5"/>
  <c r="N133" i="12"/>
  <c r="Y383" i="12"/>
  <c r="X383" i="12" s="1"/>
  <c r="N386" i="12"/>
  <c r="Y390" i="12"/>
  <c r="W390" i="12" s="1"/>
  <c r="Y385" i="12"/>
  <c r="W385" i="12" s="1"/>
  <c r="Y92" i="12"/>
  <c r="Y51" i="12"/>
  <c r="W51" i="12" s="1"/>
  <c r="Y382" i="12"/>
  <c r="X382" i="12" s="1"/>
  <c r="N385" i="12"/>
  <c r="N389" i="12"/>
  <c r="N91" i="12"/>
  <c r="N302" i="12"/>
  <c r="Y402" i="12"/>
  <c r="W402" i="12" s="1"/>
  <c r="N243" i="12"/>
  <c r="N49" i="12"/>
  <c r="N383" i="12"/>
  <c r="Y255" i="12"/>
  <c r="AO254" i="12"/>
  <c r="O400" i="5"/>
  <c r="C400" i="6"/>
  <c r="AC400" i="5"/>
  <c r="I72" i="5"/>
  <c r="O71" i="5"/>
  <c r="N244" i="12"/>
  <c r="Y243" i="12"/>
  <c r="E390" i="6"/>
  <c r="D390" i="12"/>
  <c r="AB269" i="5"/>
  <c r="E48" i="6"/>
  <c r="D48" i="12"/>
  <c r="Y389" i="12"/>
  <c r="I136" i="5"/>
  <c r="O135" i="5"/>
  <c r="W90" i="12"/>
  <c r="E301" i="6"/>
  <c r="D301" i="12"/>
  <c r="O289" i="5"/>
  <c r="C289" i="6"/>
  <c r="AC289" i="5"/>
  <c r="N69" i="12"/>
  <c r="Y271" i="12"/>
  <c r="AO269" i="12"/>
  <c r="N388" i="12"/>
  <c r="N35" i="12"/>
  <c r="Y94" i="12"/>
  <c r="C47" i="6"/>
  <c r="O47" i="5"/>
  <c r="AC47" i="5"/>
  <c r="E256" i="6"/>
  <c r="D256" i="12"/>
  <c r="Y132" i="12"/>
  <c r="W239" i="5"/>
  <c r="AN239" i="5"/>
  <c r="W111" i="5"/>
  <c r="AN111" i="5"/>
  <c r="V303" i="12"/>
  <c r="U303" i="12"/>
  <c r="T303" i="12"/>
  <c r="C269" i="6"/>
  <c r="O269" i="5"/>
  <c r="AC269" i="5"/>
  <c r="E51" i="6"/>
  <c r="D51" i="12"/>
  <c r="D386" i="12"/>
  <c r="E386" i="6"/>
  <c r="E388" i="6"/>
  <c r="D388" i="12"/>
  <c r="E387" i="6"/>
  <c r="D387" i="12"/>
  <c r="Y48" i="12"/>
  <c r="AO47" i="12"/>
  <c r="W50" i="12"/>
  <c r="W92" i="12"/>
  <c r="X92" i="12"/>
  <c r="D132" i="12"/>
  <c r="E132" i="6"/>
  <c r="J380" i="12" a="1"/>
  <c r="J380" i="12" s="1"/>
  <c r="L380" i="12" a="1"/>
  <c r="L380" i="12" s="1"/>
  <c r="C380" i="12"/>
  <c r="AC380" i="5"/>
  <c r="O380" i="5"/>
  <c r="C380" i="6"/>
  <c r="V168" i="12"/>
  <c r="U168" i="12"/>
  <c r="T168" i="12"/>
  <c r="AB380" i="5"/>
  <c r="D77" i="8" s="1"/>
  <c r="Y69" i="12"/>
  <c r="N271" i="12"/>
  <c r="O269" i="12"/>
  <c r="X37" i="8" a="1"/>
  <c r="X37" i="8" s="1"/>
  <c r="AA37" i="8" a="1"/>
  <c r="AA37" i="8" s="1"/>
  <c r="H35" i="8" a="1"/>
  <c r="H35" i="8" s="1"/>
  <c r="J36" i="8" s="1"/>
  <c r="U37" i="8" a="1"/>
  <c r="U37" i="8" s="1"/>
  <c r="Z37" i="8" a="1"/>
  <c r="Z37" i="8" s="1"/>
  <c r="AB37" i="8" a="1"/>
  <c r="AB37" i="8" s="1"/>
  <c r="D35" i="8"/>
  <c r="Y37" i="8" a="1"/>
  <c r="Y37" i="8" s="1"/>
  <c r="AD37" i="8" a="1"/>
  <c r="AD37" i="8" s="1"/>
  <c r="V37" i="8" a="1"/>
  <c r="V37" i="8" s="1"/>
  <c r="AE37" i="8" a="1"/>
  <c r="AE37" i="8" s="1"/>
  <c r="AF37" i="8" a="1"/>
  <c r="AF37" i="8" s="1"/>
  <c r="AC37" i="8" a="1"/>
  <c r="AC37" i="8" s="1"/>
  <c r="H36" i="8" a="1"/>
  <c r="H36" i="8" s="1"/>
  <c r="G35" i="8"/>
  <c r="G36" i="8" s="1" a="1"/>
  <c r="G36" i="8" s="1"/>
  <c r="E37" i="8" a="1"/>
  <c r="E37" i="8" s="1"/>
  <c r="W37" i="8" a="1"/>
  <c r="W37" i="8" s="1"/>
  <c r="I258" i="5"/>
  <c r="O257" i="5"/>
  <c r="D50" i="12"/>
  <c r="E50" i="6"/>
  <c r="Y401" i="12"/>
  <c r="AO400" i="12"/>
  <c r="N132" i="12"/>
  <c r="AN147" i="5"/>
  <c r="W147" i="5"/>
  <c r="AN238" i="5"/>
  <c r="W238" i="5"/>
  <c r="AO380" i="12"/>
  <c r="Y381" i="12"/>
  <c r="D385" i="12"/>
  <c r="E385" i="6"/>
  <c r="V52" i="12"/>
  <c r="T52" i="12"/>
  <c r="U52" i="12"/>
  <c r="H36" i="12"/>
  <c r="X36" i="5" a="1"/>
  <c r="X36" i="5" s="1"/>
  <c r="M380" i="12"/>
  <c r="Y384" i="12"/>
  <c r="N301" i="12"/>
  <c r="O289" i="12"/>
  <c r="Y302" i="12"/>
  <c r="N255" i="12"/>
  <c r="O254" i="12"/>
  <c r="N254" i="12" s="1"/>
  <c r="N231" i="12"/>
  <c r="E231" i="6"/>
  <c r="D231" i="12"/>
  <c r="D382" i="12"/>
  <c r="E382" i="6"/>
  <c r="AE85" i="8" a="1"/>
  <c r="AE85" i="8" s="1"/>
  <c r="AD85" i="8" a="1"/>
  <c r="AD85" i="8" s="1"/>
  <c r="V85" i="8" a="1"/>
  <c r="V85" i="8" s="1"/>
  <c r="AA85" i="8" a="1"/>
  <c r="AA85" i="8" s="1"/>
  <c r="Z85" i="8" a="1"/>
  <c r="Z85" i="8" s="1"/>
  <c r="G83" i="8"/>
  <c r="G84" i="8" s="1" a="1"/>
  <c r="G84" i="8" s="1"/>
  <c r="AB85" i="8" a="1"/>
  <c r="AB85" i="8" s="1"/>
  <c r="AC85" i="8" a="1"/>
  <c r="AC85" i="8" s="1"/>
  <c r="E85" i="8" a="1"/>
  <c r="E85" i="8" s="1"/>
  <c r="X85" i="8" a="1"/>
  <c r="X85" i="8" s="1"/>
  <c r="W85" i="8" a="1"/>
  <c r="W85" i="8" s="1"/>
  <c r="U85" i="8" a="1"/>
  <c r="U85" i="8" s="1"/>
  <c r="Y85" i="8" a="1"/>
  <c r="Y85" i="8" s="1"/>
  <c r="AF85" i="8" a="1"/>
  <c r="AF85" i="8" s="1"/>
  <c r="H84" i="8" a="1"/>
  <c r="H84" i="8" s="1"/>
  <c r="H83" i="8" a="1"/>
  <c r="H83" i="8" s="1"/>
  <c r="J84" i="8" s="1"/>
  <c r="D69" i="12"/>
  <c r="E69" i="6"/>
  <c r="Y244" i="12"/>
  <c r="V218" i="12"/>
  <c r="U218" i="12"/>
  <c r="T218" i="12"/>
  <c r="E302" i="6"/>
  <c r="D302" i="12"/>
  <c r="O47" i="12"/>
  <c r="N48" i="12"/>
  <c r="J254" i="12" a="1"/>
  <c r="J254" i="12" s="1"/>
  <c r="C254" i="12"/>
  <c r="L254" i="12" a="1"/>
  <c r="L254" i="12" s="1"/>
  <c r="N402" i="12"/>
  <c r="N50" i="12"/>
  <c r="N92" i="12"/>
  <c r="D401" i="12"/>
  <c r="E401" i="6"/>
  <c r="AB79" i="8" a="1"/>
  <c r="AB79" i="8" s="1"/>
  <c r="Z79" i="8" a="1"/>
  <c r="Z79" i="8" s="1"/>
  <c r="AA79" i="8" a="1"/>
  <c r="AA79" i="8" s="1"/>
  <c r="V79" i="8" a="1"/>
  <c r="V79" i="8" s="1"/>
  <c r="U79" i="8" a="1"/>
  <c r="U79" i="8" s="1"/>
  <c r="W79" i="8" a="1"/>
  <c r="W79" i="8" s="1"/>
  <c r="E79" i="8" a="1"/>
  <c r="E79" i="8" s="1"/>
  <c r="G77" i="8"/>
  <c r="G78" i="8" s="1" a="1"/>
  <c r="G78" i="8" s="1"/>
  <c r="Y79" i="8" a="1"/>
  <c r="Y79" i="8" s="1"/>
  <c r="H77" i="8" a="1"/>
  <c r="H77" i="8" s="1"/>
  <c r="J78" i="8" s="1"/>
  <c r="H78" i="8" a="1"/>
  <c r="H78" i="8" s="1"/>
  <c r="AE79" i="8" a="1"/>
  <c r="AE79" i="8" s="1"/>
  <c r="X79" i="8" a="1"/>
  <c r="X79" i="8" s="1"/>
  <c r="AC79" i="8" a="1"/>
  <c r="AC79" i="8" s="1"/>
  <c r="AF79" i="8" a="1"/>
  <c r="AF79" i="8" s="1"/>
  <c r="AD79" i="8" a="1"/>
  <c r="AD79" i="8" s="1"/>
  <c r="X387" i="12"/>
  <c r="W387" i="12"/>
  <c r="E402" i="6"/>
  <c r="D402" i="12"/>
  <c r="U41" i="12"/>
  <c r="V41" i="12"/>
  <c r="T41" i="12"/>
  <c r="E381" i="6"/>
  <c r="D381" i="12"/>
  <c r="N90" i="12"/>
  <c r="E271" i="6"/>
  <c r="D271" i="12"/>
  <c r="M269" i="12"/>
  <c r="Y91" i="12"/>
  <c r="W388" i="12"/>
  <c r="X388" i="12"/>
  <c r="Y35" i="12"/>
  <c r="L47" i="12" a="1"/>
  <c r="L47" i="12" s="1"/>
  <c r="J47" i="12" a="1"/>
  <c r="J47" i="12" s="1"/>
  <c r="C47" i="12"/>
  <c r="E255" i="6"/>
  <c r="D255" i="12"/>
  <c r="N382" i="12"/>
  <c r="AB400" i="5"/>
  <c r="D83" i="8" s="1"/>
  <c r="N401" i="12"/>
  <c r="O400" i="12"/>
  <c r="W232" i="5"/>
  <c r="AN232" i="5"/>
  <c r="AN148" i="5"/>
  <c r="W148" i="5"/>
  <c r="W287" i="5"/>
  <c r="AN287" i="5"/>
  <c r="O380" i="12"/>
  <c r="N381" i="12"/>
  <c r="Y301" i="12"/>
  <c r="AO289" i="12"/>
  <c r="Y386" i="12"/>
  <c r="C269" i="12"/>
  <c r="L269" i="12" a="1"/>
  <c r="L269" i="12" s="1"/>
  <c r="J269" i="12" a="1"/>
  <c r="J269" i="12" s="1"/>
  <c r="Y231" i="12"/>
  <c r="D383" i="12"/>
  <c r="E383" i="6"/>
  <c r="E389" i="6"/>
  <c r="D389" i="12"/>
  <c r="L400" i="12" a="1"/>
  <c r="L400" i="12" s="1"/>
  <c r="C400" i="12"/>
  <c r="J400" i="12" a="1"/>
  <c r="J400" i="12" s="1"/>
  <c r="E70" i="6"/>
  <c r="D70" i="12"/>
  <c r="D49" i="12"/>
  <c r="E49" i="6"/>
  <c r="Y133" i="12"/>
  <c r="M47" i="12"/>
  <c r="O254" i="5"/>
  <c r="C254" i="6"/>
  <c r="AC254" i="5"/>
  <c r="Y61" i="8" a="1"/>
  <c r="Y61" i="8" s="1"/>
  <c r="H59" i="8" a="1"/>
  <c r="H59" i="8" s="1"/>
  <c r="J60" i="8" s="1"/>
  <c r="D59" i="8"/>
  <c r="H60" i="8" a="1"/>
  <c r="H60" i="8" s="1"/>
  <c r="E61" i="8" a="1"/>
  <c r="E61" i="8" s="1"/>
  <c r="AE61" i="8" a="1"/>
  <c r="AE61" i="8" s="1"/>
  <c r="G59" i="8"/>
  <c r="G60" i="8" s="1" a="1"/>
  <c r="G60" i="8" s="1"/>
  <c r="W61" i="8" a="1"/>
  <c r="W61" i="8" s="1"/>
  <c r="AC61" i="8" a="1"/>
  <c r="AC61" i="8" s="1"/>
  <c r="AA61" i="8" a="1"/>
  <c r="AA61" i="8" s="1"/>
  <c r="AD61" i="8" a="1"/>
  <c r="AD61" i="8" s="1"/>
  <c r="U61" i="8" a="1"/>
  <c r="U61" i="8" s="1"/>
  <c r="AB61" i="8" a="1"/>
  <c r="AB61" i="8" s="1"/>
  <c r="Z61" i="8" a="1"/>
  <c r="Z61" i="8" s="1"/>
  <c r="X61" i="8" a="1"/>
  <c r="X61" i="8" s="1"/>
  <c r="V61" i="8" a="1"/>
  <c r="V61" i="8" s="1"/>
  <c r="AF61" i="8" a="1"/>
  <c r="AF61" i="8" s="1"/>
  <c r="V17" i="12"/>
  <c r="T17" i="12"/>
  <c r="U17" i="12"/>
  <c r="V28" i="12"/>
  <c r="T28" i="12"/>
  <c r="U28" i="12"/>
  <c r="V21" i="12"/>
  <c r="T21" i="12"/>
  <c r="U21" i="12"/>
  <c r="N387" i="12"/>
  <c r="N51" i="12"/>
  <c r="D35" i="12"/>
  <c r="E35" i="6"/>
  <c r="E134" i="6"/>
  <c r="D134" i="12"/>
  <c r="E384" i="6"/>
  <c r="D384" i="12"/>
  <c r="J289" i="12" a="1"/>
  <c r="J289" i="12" s="1"/>
  <c r="L289" i="12" a="1"/>
  <c r="L289" i="12" s="1"/>
  <c r="C289" i="12"/>
  <c r="E133" i="6"/>
  <c r="D133" i="12"/>
  <c r="W382" i="12"/>
  <c r="M400" i="12"/>
  <c r="AN155" i="5"/>
  <c r="W155" i="5"/>
  <c r="AN233" i="5"/>
  <c r="W233" i="5"/>
  <c r="AN379" i="5"/>
  <c r="W379" i="5"/>
  <c r="X390" i="12" l="1"/>
  <c r="X385" i="12"/>
  <c r="N289" i="12"/>
  <c r="W49" i="12"/>
  <c r="V49" i="12" s="1"/>
  <c r="W383" i="12"/>
  <c r="T383" i="12" s="1"/>
  <c r="X51" i="12"/>
  <c r="X402" i="12"/>
  <c r="N380" i="12"/>
  <c r="Y289" i="12"/>
  <c r="W289" i="12" s="1"/>
  <c r="K289" i="12"/>
  <c r="X155" i="5" a="1"/>
  <c r="X155" i="5" s="1"/>
  <c r="H155" i="12"/>
  <c r="AM36" i="5"/>
  <c r="I36" i="5"/>
  <c r="L36" i="5"/>
  <c r="Z36" i="5"/>
  <c r="I36" i="12"/>
  <c r="X34" i="5" a="1"/>
  <c r="X34" i="5" s="1"/>
  <c r="Y380" i="12"/>
  <c r="H147" i="12"/>
  <c r="X147" i="5" a="1"/>
  <c r="X147" i="5" s="1"/>
  <c r="D257" i="12"/>
  <c r="E257" i="6"/>
  <c r="X69" i="12"/>
  <c r="W69" i="12"/>
  <c r="Y47" i="12"/>
  <c r="E269" i="6"/>
  <c r="D269" i="12"/>
  <c r="E135" i="6"/>
  <c r="D135" i="12"/>
  <c r="V385" i="12"/>
  <c r="U385" i="12"/>
  <c r="T385" i="12"/>
  <c r="E71" i="6"/>
  <c r="D71" i="12"/>
  <c r="E400" i="6"/>
  <c r="D400" i="12"/>
  <c r="I83" i="8"/>
  <c r="A83" i="8" s="1"/>
  <c r="W133" i="12"/>
  <c r="X133" i="12"/>
  <c r="X231" i="12"/>
  <c r="W231" i="12"/>
  <c r="X386" i="12"/>
  <c r="W386" i="12"/>
  <c r="H148" i="12"/>
  <c r="X148" i="5" a="1"/>
  <c r="X148" i="5" s="1"/>
  <c r="W35" i="12"/>
  <c r="X35" i="12"/>
  <c r="U387" i="12"/>
  <c r="T387" i="12"/>
  <c r="V387" i="12"/>
  <c r="X244" i="12"/>
  <c r="W244" i="12"/>
  <c r="X401" i="12"/>
  <c r="W401" i="12"/>
  <c r="I77" i="8"/>
  <c r="A77" i="8" s="1"/>
  <c r="D380" i="12"/>
  <c r="E380" i="6"/>
  <c r="T92" i="12"/>
  <c r="V92" i="12"/>
  <c r="U92" i="12"/>
  <c r="X111" i="5" a="1"/>
  <c r="X111" i="5" s="1"/>
  <c r="H111" i="12"/>
  <c r="W94" i="12"/>
  <c r="X94" i="12"/>
  <c r="E289" i="6"/>
  <c r="D289" i="12"/>
  <c r="U90" i="12"/>
  <c r="T90" i="12"/>
  <c r="V90" i="12"/>
  <c r="H379" i="12"/>
  <c r="X379" i="5" a="1"/>
  <c r="X379" i="5" s="1"/>
  <c r="X233" i="5" a="1"/>
  <c r="X233" i="5" s="1"/>
  <c r="H233" i="12"/>
  <c r="D254" i="12"/>
  <c r="E254" i="6"/>
  <c r="I59" i="8"/>
  <c r="A59" i="8" s="1"/>
  <c r="K400" i="12"/>
  <c r="K269" i="12"/>
  <c r="W301" i="12"/>
  <c r="X301" i="12"/>
  <c r="N400" i="12"/>
  <c r="K47" i="12"/>
  <c r="K254" i="12"/>
  <c r="N47" i="12"/>
  <c r="X238" i="5" a="1"/>
  <c r="X238" i="5" s="1"/>
  <c r="H238" i="12"/>
  <c r="I259" i="5"/>
  <c r="O258" i="5"/>
  <c r="N269" i="12"/>
  <c r="V50" i="12"/>
  <c r="T50" i="12"/>
  <c r="U50" i="12"/>
  <c r="X48" i="12"/>
  <c r="W48" i="12"/>
  <c r="X132" i="12"/>
  <c r="W132" i="12"/>
  <c r="E47" i="6"/>
  <c r="I35" i="8"/>
  <c r="A35" i="8" s="1"/>
  <c r="D47" i="12"/>
  <c r="Y269" i="12"/>
  <c r="I137" i="5"/>
  <c r="O136" i="5"/>
  <c r="I73" i="5"/>
  <c r="O72" i="5"/>
  <c r="Y254" i="12"/>
  <c r="H232" i="12"/>
  <c r="X232" i="5" a="1"/>
  <c r="X232" i="5" s="1"/>
  <c r="W91" i="12"/>
  <c r="X91" i="12"/>
  <c r="X302" i="12"/>
  <c r="W302" i="12"/>
  <c r="X381" i="12"/>
  <c r="W381" i="12"/>
  <c r="U390" i="12"/>
  <c r="V390" i="12"/>
  <c r="T390" i="12"/>
  <c r="V382" i="12"/>
  <c r="U382" i="12"/>
  <c r="T382" i="12"/>
  <c r="H287" i="12"/>
  <c r="X287" i="5" a="1"/>
  <c r="X287" i="5" s="1"/>
  <c r="V388" i="12"/>
  <c r="U388" i="12"/>
  <c r="T388" i="12"/>
  <c r="X384" i="12"/>
  <c r="W384" i="12"/>
  <c r="Y400" i="12"/>
  <c r="K380" i="12"/>
  <c r="V402" i="12"/>
  <c r="U402" i="12"/>
  <c r="T402" i="12"/>
  <c r="H239" i="12"/>
  <c r="X239" i="5" a="1"/>
  <c r="X239" i="5" s="1"/>
  <c r="X271" i="12"/>
  <c r="W271" i="12"/>
  <c r="X389" i="12"/>
  <c r="W389" i="12"/>
  <c r="T51" i="12"/>
  <c r="U51" i="12"/>
  <c r="V51" i="12"/>
  <c r="X243" i="12"/>
  <c r="W243" i="12"/>
  <c r="W255" i="12"/>
  <c r="X255" i="12"/>
  <c r="U49" i="12" l="1"/>
  <c r="T49" i="12"/>
  <c r="V383" i="12"/>
  <c r="U383" i="12"/>
  <c r="X289" i="12"/>
  <c r="X16" i="5" a="1"/>
  <c r="X16" i="5" s="1"/>
  <c r="Z16" i="5" s="1"/>
  <c r="U381" i="12"/>
  <c r="T381" i="12"/>
  <c r="V381" i="12"/>
  <c r="X254" i="12"/>
  <c r="W254" i="12"/>
  <c r="D258" i="12"/>
  <c r="E258" i="6"/>
  <c r="L233" i="5"/>
  <c r="I233" i="12"/>
  <c r="Z233" i="5"/>
  <c r="AM233" i="5"/>
  <c r="T244" i="12"/>
  <c r="V244" i="12"/>
  <c r="U244" i="12"/>
  <c r="U91" i="12"/>
  <c r="T91" i="12"/>
  <c r="V91" i="12"/>
  <c r="E72" i="6"/>
  <c r="D72" i="12"/>
  <c r="W269" i="12"/>
  <c r="X269" i="12"/>
  <c r="V132" i="12"/>
  <c r="T132" i="12"/>
  <c r="U132" i="12"/>
  <c r="I260" i="5"/>
  <c r="O259" i="5"/>
  <c r="U301" i="12"/>
  <c r="T301" i="12"/>
  <c r="V301" i="12"/>
  <c r="Z379" i="5"/>
  <c r="I379" i="5"/>
  <c r="AM379" i="5"/>
  <c r="L379" i="5"/>
  <c r="I379" i="12"/>
  <c r="X370" i="5" a="1"/>
  <c r="X370" i="5" s="1"/>
  <c r="V94" i="12"/>
  <c r="U94" i="12"/>
  <c r="T94" i="12"/>
  <c r="T386" i="12"/>
  <c r="U386" i="12"/>
  <c r="V386" i="12"/>
  <c r="X380" i="12"/>
  <c r="W380" i="12"/>
  <c r="O36" i="12"/>
  <c r="C36" i="12"/>
  <c r="AO36" i="12"/>
  <c r="M36" i="12"/>
  <c r="I155" i="12"/>
  <c r="AM155" i="5"/>
  <c r="L155" i="5"/>
  <c r="Z155" i="5"/>
  <c r="U255" i="12"/>
  <c r="T255" i="12"/>
  <c r="V255" i="12"/>
  <c r="V271" i="12"/>
  <c r="U271" i="12"/>
  <c r="T271" i="12"/>
  <c r="X400" i="12"/>
  <c r="W400" i="12"/>
  <c r="U302" i="12"/>
  <c r="T302" i="12"/>
  <c r="V302" i="12"/>
  <c r="Z232" i="5"/>
  <c r="L232" i="5"/>
  <c r="I232" i="5"/>
  <c r="I233" i="5" s="1"/>
  <c r="I234" i="5" s="1"/>
  <c r="I232" i="12"/>
  <c r="AM232" i="5"/>
  <c r="X225" i="5" a="1"/>
  <c r="X225" i="5" s="1"/>
  <c r="I74" i="5"/>
  <c r="O73" i="5"/>
  <c r="T48" i="12"/>
  <c r="U48" i="12"/>
  <c r="V48" i="12"/>
  <c r="U401" i="12"/>
  <c r="V401" i="12"/>
  <c r="T401" i="12"/>
  <c r="V35" i="12"/>
  <c r="T35" i="12"/>
  <c r="U35" i="12"/>
  <c r="V133" i="12"/>
  <c r="U133" i="12"/>
  <c r="T133" i="12"/>
  <c r="AM34" i="5"/>
  <c r="L34" i="5"/>
  <c r="Z34" i="5"/>
  <c r="I34" i="12"/>
  <c r="S26" i="8"/>
  <c r="AB36" i="5"/>
  <c r="T389" i="12"/>
  <c r="U389" i="12"/>
  <c r="V389" i="12"/>
  <c r="L239" i="5"/>
  <c r="Z239" i="5"/>
  <c r="AM239" i="5"/>
  <c r="I239" i="12"/>
  <c r="I287" i="5"/>
  <c r="I288" i="5" s="1"/>
  <c r="O288" i="5" s="1"/>
  <c r="L287" i="5"/>
  <c r="I287" i="12"/>
  <c r="AM287" i="5"/>
  <c r="Z287" i="5"/>
  <c r="X286" i="5" a="1"/>
  <c r="X286" i="5" s="1"/>
  <c r="X268" i="5" a="1"/>
  <c r="X268" i="5" s="1"/>
  <c r="I138" i="5"/>
  <c r="O137" i="5"/>
  <c r="U69" i="12"/>
  <c r="T69" i="12"/>
  <c r="V69" i="12"/>
  <c r="U243" i="12"/>
  <c r="V243" i="12"/>
  <c r="T243" i="12"/>
  <c r="U384" i="12"/>
  <c r="V384" i="12"/>
  <c r="T384" i="12"/>
  <c r="E136" i="6"/>
  <c r="D136" i="12"/>
  <c r="I238" i="12"/>
  <c r="L238" i="5"/>
  <c r="Z238" i="5"/>
  <c r="AM238" i="5"/>
  <c r="L111" i="5"/>
  <c r="AM111" i="5"/>
  <c r="I111" i="12"/>
  <c r="Z111" i="5"/>
  <c r="X54" i="5" a="1"/>
  <c r="X54" i="5" s="1"/>
  <c r="Z148" i="5"/>
  <c r="I148" i="12"/>
  <c r="L148" i="5"/>
  <c r="AM148" i="5"/>
  <c r="T231" i="12"/>
  <c r="V231" i="12"/>
  <c r="U231" i="12"/>
  <c r="W47" i="12"/>
  <c r="X47" i="12"/>
  <c r="Z147" i="5"/>
  <c r="AM147" i="5"/>
  <c r="I147" i="12"/>
  <c r="L147" i="5"/>
  <c r="X130" i="5" a="1"/>
  <c r="X130" i="5" s="1"/>
  <c r="X129" i="5" a="1"/>
  <c r="X129" i="5" s="1"/>
  <c r="X15" i="5"/>
  <c r="C36" i="6"/>
  <c r="O36" i="5"/>
  <c r="AC36" i="5"/>
  <c r="J36" i="6" s="1" a="1"/>
  <c r="J36" i="6" s="1"/>
  <c r="U289" i="12"/>
  <c r="V289" i="12"/>
  <c r="T289" i="12"/>
  <c r="I16" i="12" l="1"/>
  <c r="J16" i="12" s="1" a="1"/>
  <c r="J16" i="12" s="1"/>
  <c r="AM16" i="5"/>
  <c r="S14" i="8"/>
  <c r="G14" i="8" s="1"/>
  <c r="G15" i="8" s="1" a="1"/>
  <c r="G15" i="8" s="1"/>
  <c r="L16" i="5"/>
  <c r="O14" i="11"/>
  <c r="P14" i="11" s="1"/>
  <c r="G11" i="11" s="1"/>
  <c r="AM129" i="5"/>
  <c r="S47" i="8"/>
  <c r="I129" i="12"/>
  <c r="Z129" i="5"/>
  <c r="L129" i="5"/>
  <c r="O239" i="12"/>
  <c r="AO239" i="12"/>
  <c r="C239" i="12"/>
  <c r="M239" i="12"/>
  <c r="I235" i="5"/>
  <c r="O234" i="5"/>
  <c r="M155" i="12"/>
  <c r="C155" i="12"/>
  <c r="O155" i="12"/>
  <c r="AO155" i="12"/>
  <c r="C233" i="6"/>
  <c r="O233" i="5"/>
  <c r="AC233" i="5"/>
  <c r="J233" i="6" s="1" a="1"/>
  <c r="J233" i="6" s="1"/>
  <c r="Z130" i="5"/>
  <c r="AM130" i="5"/>
  <c r="L130" i="5"/>
  <c r="I130" i="12"/>
  <c r="C148" i="6"/>
  <c r="AC148" i="5"/>
  <c r="J148" i="6" s="1" a="1"/>
  <c r="J148" i="6" s="1"/>
  <c r="AB238" i="5"/>
  <c r="AM268" i="5"/>
  <c r="Z268" i="5"/>
  <c r="S62" i="8"/>
  <c r="L268" i="5"/>
  <c r="I268" i="12"/>
  <c r="O287" i="12"/>
  <c r="AO287" i="12"/>
  <c r="C287" i="12"/>
  <c r="M287" i="12"/>
  <c r="AB34" i="5"/>
  <c r="O34" i="5"/>
  <c r="C34" i="6"/>
  <c r="AC34" i="5"/>
  <c r="Z225" i="5"/>
  <c r="L225" i="5"/>
  <c r="S53" i="8"/>
  <c r="I225" i="12"/>
  <c r="AM225" i="5"/>
  <c r="C232" i="6"/>
  <c r="O232" i="5"/>
  <c r="AC232" i="5"/>
  <c r="J232" i="6" s="1" a="1"/>
  <c r="J232" i="6" s="1"/>
  <c r="AB155" i="5"/>
  <c r="M34" i="12"/>
  <c r="T380" i="12"/>
  <c r="U380" i="12"/>
  <c r="V380" i="12"/>
  <c r="S74" i="8"/>
  <c r="Z370" i="5"/>
  <c r="L370" i="5"/>
  <c r="AM370" i="5"/>
  <c r="I370" i="12"/>
  <c r="T47" i="12"/>
  <c r="U47" i="12"/>
  <c r="V47" i="12"/>
  <c r="I139" i="5"/>
  <c r="O138" i="5"/>
  <c r="C239" i="6"/>
  <c r="AC239" i="5"/>
  <c r="J239" i="6" s="1" a="1"/>
  <c r="J239" i="6" s="1"/>
  <c r="I75" i="5"/>
  <c r="O74" i="5"/>
  <c r="N36" i="12"/>
  <c r="O34" i="12"/>
  <c r="U269" i="12"/>
  <c r="V269" i="12"/>
  <c r="T269" i="12"/>
  <c r="D36" i="12"/>
  <c r="E36" i="6"/>
  <c r="I54" i="12"/>
  <c r="Z54" i="5"/>
  <c r="AM54" i="5"/>
  <c r="L54" i="5"/>
  <c r="S41" i="8"/>
  <c r="C147" i="6"/>
  <c r="AC147" i="5"/>
  <c r="J147" i="6" s="1" a="1"/>
  <c r="J147" i="6" s="1"/>
  <c r="AB147" i="5"/>
  <c r="AB111" i="5"/>
  <c r="AB54" i="5" s="1"/>
  <c r="C111" i="6"/>
  <c r="AC111" i="5"/>
  <c r="J111" i="6" s="1" a="1"/>
  <c r="J111" i="6" s="1"/>
  <c r="C238" i="6"/>
  <c r="AC238" i="5"/>
  <c r="J238" i="6" s="1" a="1"/>
  <c r="J238" i="6" s="1"/>
  <c r="L286" i="5"/>
  <c r="AM286" i="5"/>
  <c r="I286" i="12"/>
  <c r="Z286" i="5"/>
  <c r="O287" i="5"/>
  <c r="C287" i="6"/>
  <c r="AC287" i="5"/>
  <c r="J287" i="6" s="1" a="1"/>
  <c r="J287" i="6" s="1"/>
  <c r="AB239" i="5"/>
  <c r="H27" i="8" a="1"/>
  <c r="H27" i="8" s="1"/>
  <c r="AB28" i="8" a="1"/>
  <c r="AB28" i="8" s="1"/>
  <c r="W28" i="8" a="1"/>
  <c r="W28" i="8" s="1"/>
  <c r="G26" i="8"/>
  <c r="G27" i="8" s="1" a="1"/>
  <c r="G27" i="8" s="1"/>
  <c r="D26" i="8"/>
  <c r="V28" i="8" a="1"/>
  <c r="V28" i="8" s="1"/>
  <c r="U28" i="8" a="1"/>
  <c r="U28" i="8" s="1"/>
  <c r="AC28" i="8" a="1"/>
  <c r="AC28" i="8" s="1"/>
  <c r="AF28" i="8" a="1"/>
  <c r="AF28" i="8" s="1"/>
  <c r="AA28" i="8" a="1"/>
  <c r="AA28" i="8" s="1"/>
  <c r="Z28" i="8" a="1"/>
  <c r="Z28" i="8" s="1"/>
  <c r="AE28" i="8" a="1"/>
  <c r="AE28" i="8" s="1"/>
  <c r="E28" i="8" a="1"/>
  <c r="E28" i="8" s="1"/>
  <c r="X28" i="8" a="1"/>
  <c r="X28" i="8" s="1"/>
  <c r="AD28" i="8" a="1"/>
  <c r="AD28" i="8" s="1"/>
  <c r="Y28" i="8" a="1"/>
  <c r="Y28" i="8" s="1"/>
  <c r="H26" i="8" a="1"/>
  <c r="H26" i="8" s="1"/>
  <c r="J27" i="8" s="1"/>
  <c r="AB232" i="5"/>
  <c r="T400" i="12"/>
  <c r="U400" i="12"/>
  <c r="V400" i="12"/>
  <c r="C16" i="6"/>
  <c r="O16" i="5"/>
  <c r="AC16" i="5"/>
  <c r="C155" i="6"/>
  <c r="AC155" i="5"/>
  <c r="J155" i="6" s="1" a="1"/>
  <c r="J155" i="6" s="1"/>
  <c r="Y36" i="12"/>
  <c r="AO34" i="12"/>
  <c r="C379" i="12"/>
  <c r="M379" i="12"/>
  <c r="M370" i="12" s="1"/>
  <c r="AO379" i="12"/>
  <c r="O379" i="12"/>
  <c r="AB379" i="5"/>
  <c r="AB370" i="5" s="1"/>
  <c r="E259" i="6"/>
  <c r="D259" i="12"/>
  <c r="AB233" i="5"/>
  <c r="AB148" i="5"/>
  <c r="S70" i="10"/>
  <c r="K70" i="10"/>
  <c r="S72" i="10"/>
  <c r="S75" i="10" s="1"/>
  <c r="I70" i="10"/>
  <c r="Y9" i="10" s="1"/>
  <c r="AC70" i="10"/>
  <c r="O72" i="10"/>
  <c r="O75" i="10" s="1"/>
  <c r="AA72" i="10"/>
  <c r="AA75" i="10" s="1"/>
  <c r="M70" i="10"/>
  <c r="AE70" i="10"/>
  <c r="I72" i="10"/>
  <c r="Q72" i="10"/>
  <c r="Q75" i="10" s="1"/>
  <c r="AC72" i="10"/>
  <c r="AC75" i="10" s="1"/>
  <c r="O70" i="10"/>
  <c r="AE72" i="10"/>
  <c r="AE75" i="10" s="1"/>
  <c r="Q70" i="10"/>
  <c r="M72" i="10"/>
  <c r="M75" i="10" s="1"/>
  <c r="AM15" i="5"/>
  <c r="K72" i="10"/>
  <c r="K75" i="10" s="1"/>
  <c r="Y70" i="10"/>
  <c r="W70" i="10"/>
  <c r="W72" i="10"/>
  <c r="W75" i="10" s="1"/>
  <c r="U72" i="10"/>
  <c r="U75" i="10" s="1"/>
  <c r="Z15" i="5"/>
  <c r="U70" i="10"/>
  <c r="Y72" i="10"/>
  <c r="Y75" i="10" s="1"/>
  <c r="AA70" i="10"/>
  <c r="M147" i="12"/>
  <c r="O147" i="12"/>
  <c r="AO147" i="12"/>
  <c r="C147" i="12"/>
  <c r="AO148" i="12"/>
  <c r="O148" i="12"/>
  <c r="M148" i="12"/>
  <c r="C148" i="12"/>
  <c r="AO111" i="12"/>
  <c r="O111" i="12"/>
  <c r="M111" i="12"/>
  <c r="M54" i="12" s="1"/>
  <c r="C111" i="12"/>
  <c r="AO238" i="12"/>
  <c r="O238" i="12"/>
  <c r="C238" i="12"/>
  <c r="M238" i="12"/>
  <c r="D137" i="12"/>
  <c r="E137" i="6"/>
  <c r="AB287" i="5"/>
  <c r="E288" i="6"/>
  <c r="D288" i="12"/>
  <c r="L34" i="12" a="1"/>
  <c r="L34" i="12" s="1"/>
  <c r="J34" i="12" a="1"/>
  <c r="J34" i="12" s="1"/>
  <c r="C34" i="12"/>
  <c r="E73" i="6"/>
  <c r="D73" i="12"/>
  <c r="M232" i="12"/>
  <c r="AO232" i="12"/>
  <c r="C232" i="12"/>
  <c r="O232" i="12"/>
  <c r="L16" i="12" a="1"/>
  <c r="L16" i="12" s="1"/>
  <c r="C16" i="12"/>
  <c r="O379" i="5"/>
  <c r="C379" i="6"/>
  <c r="AC379" i="5"/>
  <c r="J379" i="6" s="1" a="1"/>
  <c r="J379" i="6" s="1"/>
  <c r="I261" i="5"/>
  <c r="O260" i="5"/>
  <c r="O233" i="12"/>
  <c r="C233" i="12"/>
  <c r="M233" i="12"/>
  <c r="AO233" i="12"/>
  <c r="V254" i="12"/>
  <c r="U254" i="12"/>
  <c r="T254" i="12"/>
  <c r="L14" i="13" l="1"/>
  <c r="R90" i="8"/>
  <c r="I90" i="8" s="1"/>
  <c r="H14" i="8" a="1"/>
  <c r="H14" i="8" s="1"/>
  <c r="J15" i="8" s="1"/>
  <c r="O24" i="11"/>
  <c r="AA7" i="11" s="1"/>
  <c r="C14" i="11"/>
  <c r="H15" i="8" a="1"/>
  <c r="H15" i="8" s="1"/>
  <c r="Y34" i="12"/>
  <c r="D41" i="8"/>
  <c r="Y155" i="12"/>
  <c r="X155" i="12" s="1"/>
  <c r="Y239" i="12"/>
  <c r="X239" i="12" s="1"/>
  <c r="O16" i="12"/>
  <c r="Y238" i="12"/>
  <c r="W238" i="12" s="1"/>
  <c r="Y148" i="12"/>
  <c r="W148" i="12" s="1"/>
  <c r="F11" i="6"/>
  <c r="K34" i="12"/>
  <c r="I262" i="5"/>
  <c r="O261" i="5"/>
  <c r="Y111" i="12"/>
  <c r="AO54" i="12"/>
  <c r="M129" i="12"/>
  <c r="M130" i="12"/>
  <c r="X36" i="12"/>
  <c r="W36" i="12"/>
  <c r="I76" i="5"/>
  <c r="O75" i="5"/>
  <c r="M225" i="12"/>
  <c r="I75" i="10"/>
  <c r="H75" i="10" s="1"/>
  <c r="AE9" i="10"/>
  <c r="N11" i="6"/>
  <c r="N34" i="12"/>
  <c r="I140" i="5"/>
  <c r="O139" i="5"/>
  <c r="J370" i="12" a="1"/>
  <c r="J370" i="12" s="1"/>
  <c r="L370" i="12" a="1"/>
  <c r="L370" i="12" s="1"/>
  <c r="C370" i="12"/>
  <c r="W76" i="8" a="1"/>
  <c r="W76" i="8" s="1"/>
  <c r="Z76" i="8" a="1"/>
  <c r="Z76" i="8" s="1"/>
  <c r="E76" i="8" a="1"/>
  <c r="E76" i="8" s="1"/>
  <c r="AA76" i="8" a="1"/>
  <c r="AA76" i="8" s="1"/>
  <c r="H74" i="8" a="1"/>
  <c r="H74" i="8" s="1"/>
  <c r="J75" i="8" s="1"/>
  <c r="AB76" i="8" a="1"/>
  <c r="AB76" i="8" s="1"/>
  <c r="Y76" i="8" a="1"/>
  <c r="Y76" i="8" s="1"/>
  <c r="G74" i="8"/>
  <c r="G75" i="8" s="1" a="1"/>
  <c r="G75" i="8" s="1"/>
  <c r="D74" i="8"/>
  <c r="AE76" i="8" a="1"/>
  <c r="AE76" i="8" s="1"/>
  <c r="H75" i="8" a="1"/>
  <c r="H75" i="8" s="1"/>
  <c r="U76" i="8" a="1"/>
  <c r="U76" i="8" s="1"/>
  <c r="AF76" i="8" a="1"/>
  <c r="AF76" i="8" s="1"/>
  <c r="X76" i="8" a="1"/>
  <c r="X76" i="8" s="1"/>
  <c r="AC76" i="8" a="1"/>
  <c r="AC76" i="8" s="1"/>
  <c r="V76" i="8" a="1"/>
  <c r="V76" i="8" s="1"/>
  <c r="AD76" i="8" a="1"/>
  <c r="AD76" i="8" s="1"/>
  <c r="M16" i="12"/>
  <c r="N16" i="12" s="1"/>
  <c r="AB16" i="5"/>
  <c r="AB14" i="11" s="1"/>
  <c r="O268" i="5"/>
  <c r="C268" i="6"/>
  <c r="AC268" i="5"/>
  <c r="D234" i="12"/>
  <c r="E234" i="6"/>
  <c r="J129" i="12" a="1"/>
  <c r="J129" i="12" s="1"/>
  <c r="L129" i="12" a="1"/>
  <c r="L129" i="12" s="1"/>
  <c r="C129" i="12"/>
  <c r="Y232" i="12"/>
  <c r="AO225" i="12"/>
  <c r="X238" i="12"/>
  <c r="X148" i="12"/>
  <c r="AO14" i="13"/>
  <c r="O14" i="13" s="1"/>
  <c r="E138" i="6"/>
  <c r="D138" i="12"/>
  <c r="M286" i="12"/>
  <c r="M268" i="12"/>
  <c r="K16" i="12"/>
  <c r="N232" i="12"/>
  <c r="O225" i="12"/>
  <c r="AB286" i="5"/>
  <c r="AB268" i="5"/>
  <c r="D62" i="8" s="1"/>
  <c r="Y147" i="12"/>
  <c r="AO130" i="12"/>
  <c r="AO129" i="12"/>
  <c r="I12" i="6"/>
  <c r="N379" i="12"/>
  <c r="O370" i="12"/>
  <c r="N370" i="12" s="1"/>
  <c r="X34" i="12"/>
  <c r="W34" i="12"/>
  <c r="D16" i="12"/>
  <c r="I14" i="8"/>
  <c r="E16" i="6"/>
  <c r="J286" i="12" a="1"/>
  <c r="J286" i="12" s="1"/>
  <c r="L286" i="12" a="1"/>
  <c r="L286" i="12" s="1"/>
  <c r="C286" i="12"/>
  <c r="AB129" i="5"/>
  <c r="D47" i="8" s="1"/>
  <c r="AB130" i="5"/>
  <c r="AE43" i="8" a="1"/>
  <c r="AE43" i="8" s="1"/>
  <c r="E43" i="8" a="1"/>
  <c r="E43" i="8" s="1"/>
  <c r="X43" i="8" a="1"/>
  <c r="X43" i="8" s="1"/>
  <c r="Z43" i="8" a="1"/>
  <c r="Z43" i="8" s="1"/>
  <c r="AB43" i="8" a="1"/>
  <c r="AB43" i="8" s="1"/>
  <c r="AD43" i="8" a="1"/>
  <c r="AD43" i="8" s="1"/>
  <c r="H42" i="8" a="1"/>
  <c r="H42" i="8" s="1"/>
  <c r="W43" i="8" a="1"/>
  <c r="W43" i="8" s="1"/>
  <c r="U43" i="8" a="1"/>
  <c r="U43" i="8" s="1"/>
  <c r="Y43" i="8" a="1"/>
  <c r="Y43" i="8" s="1"/>
  <c r="AC43" i="8" a="1"/>
  <c r="AC43" i="8" s="1"/>
  <c r="G41" i="8"/>
  <c r="G42" i="8" s="1" a="1"/>
  <c r="G42" i="8" s="1"/>
  <c r="V43" i="8" a="1"/>
  <c r="V43" i="8" s="1"/>
  <c r="AA43" i="8" a="1"/>
  <c r="AA43" i="8" s="1"/>
  <c r="AF43" i="8" a="1"/>
  <c r="AF43" i="8" s="1"/>
  <c r="H41" i="8" a="1"/>
  <c r="H41" i="8" s="1"/>
  <c r="J42" i="8" s="1"/>
  <c r="C54" i="12"/>
  <c r="J54" i="12" a="1"/>
  <c r="J54" i="12" s="1"/>
  <c r="L54" i="12" a="1"/>
  <c r="L54" i="12" s="1"/>
  <c r="J225" i="12" a="1"/>
  <c r="J225" i="12" s="1"/>
  <c r="L225" i="12" a="1"/>
  <c r="L225" i="12" s="1"/>
  <c r="C225" i="12"/>
  <c r="AB15" i="5"/>
  <c r="Y287" i="12"/>
  <c r="AO286" i="12"/>
  <c r="AO268" i="12"/>
  <c r="U64" i="8" a="1"/>
  <c r="U64" i="8" s="1"/>
  <c r="AF64" i="8" a="1"/>
  <c r="AF64" i="8" s="1"/>
  <c r="H63" i="8" a="1"/>
  <c r="H63" i="8" s="1"/>
  <c r="Y64" i="8" a="1"/>
  <c r="Y64" i="8" s="1"/>
  <c r="W64" i="8" a="1"/>
  <c r="W64" i="8" s="1"/>
  <c r="AE64" i="8" a="1"/>
  <c r="AE64" i="8" s="1"/>
  <c r="X64" i="8" a="1"/>
  <c r="X64" i="8" s="1"/>
  <c r="AD64" i="8" a="1"/>
  <c r="AD64" i="8" s="1"/>
  <c r="V64" i="8" a="1"/>
  <c r="V64" i="8" s="1"/>
  <c r="G62" i="8"/>
  <c r="G63" i="8" s="1" a="1"/>
  <c r="G63" i="8" s="1"/>
  <c r="AB64" i="8" a="1"/>
  <c r="AB64" i="8" s="1"/>
  <c r="H62" i="8" a="1"/>
  <c r="H62" i="8" s="1"/>
  <c r="J63" i="8" s="1"/>
  <c r="Z64" i="8" a="1"/>
  <c r="Z64" i="8" s="1"/>
  <c r="AA64" i="8" a="1"/>
  <c r="AA64" i="8" s="1"/>
  <c r="AC64" i="8" a="1"/>
  <c r="AC64" i="8" s="1"/>
  <c r="E64" i="8" a="1"/>
  <c r="E64" i="8" s="1"/>
  <c r="C130" i="12"/>
  <c r="J130" i="12" a="1"/>
  <c r="J130" i="12" s="1"/>
  <c r="L130" i="12" a="1"/>
  <c r="L130" i="12" s="1"/>
  <c r="N155" i="12"/>
  <c r="I236" i="5"/>
  <c r="O235" i="5"/>
  <c r="N239" i="12"/>
  <c r="AA49" i="8" a="1"/>
  <c r="AA49" i="8" s="1"/>
  <c r="AC49" i="8" a="1"/>
  <c r="AC49" i="8" s="1"/>
  <c r="Z49" i="8" a="1"/>
  <c r="Z49" i="8" s="1"/>
  <c r="X49" i="8" a="1"/>
  <c r="X49" i="8" s="1"/>
  <c r="AE49" i="8" a="1"/>
  <c r="AE49" i="8" s="1"/>
  <c r="E49" i="8" a="1"/>
  <c r="E49" i="8" s="1"/>
  <c r="H48" i="8" a="1"/>
  <c r="H48" i="8" s="1"/>
  <c r="AB49" i="8" a="1"/>
  <c r="AB49" i="8" s="1"/>
  <c r="AD49" i="8" a="1"/>
  <c r="AD49" i="8" s="1"/>
  <c r="H47" i="8" a="1"/>
  <c r="H47" i="8" s="1"/>
  <c r="J48" i="8" s="1"/>
  <c r="U49" i="8" a="1"/>
  <c r="U49" i="8" s="1"/>
  <c r="G47" i="8"/>
  <c r="G48" i="8" s="1" a="1"/>
  <c r="G48" i="8" s="1"/>
  <c r="Y49" i="8" a="1"/>
  <c r="Y49" i="8" s="1"/>
  <c r="W49" i="8" a="1"/>
  <c r="W49" i="8" s="1"/>
  <c r="V49" i="8" a="1"/>
  <c r="V49" i="8" s="1"/>
  <c r="AF49" i="8" a="1"/>
  <c r="AF49" i="8" s="1"/>
  <c r="E287" i="6"/>
  <c r="D287" i="12"/>
  <c r="AC286" i="5"/>
  <c r="C286" i="6"/>
  <c r="O286" i="5"/>
  <c r="O225" i="5"/>
  <c r="C225" i="6"/>
  <c r="AC225" i="5"/>
  <c r="I26" i="8"/>
  <c r="A26" i="8" s="1"/>
  <c r="D34" i="12"/>
  <c r="E34" i="6"/>
  <c r="C268" i="12"/>
  <c r="J268" i="12" a="1"/>
  <c r="J268" i="12" s="1"/>
  <c r="L268" i="12" a="1"/>
  <c r="L268" i="12" s="1"/>
  <c r="N233" i="12"/>
  <c r="Y233" i="12"/>
  <c r="E260" i="6"/>
  <c r="D260" i="12"/>
  <c r="E379" i="6"/>
  <c r="D379" i="12"/>
  <c r="V14" i="13"/>
  <c r="V15" i="13" s="1"/>
  <c r="V16" i="13" s="1"/>
  <c r="V17" i="13" s="1"/>
  <c r="V18" i="13" s="1"/>
  <c r="V19" i="13" s="1"/>
  <c r="V20" i="13" s="1"/>
  <c r="V21" i="13" s="1"/>
  <c r="V22" i="13" s="1"/>
  <c r="V23" i="13" s="1"/>
  <c r="L28" i="13"/>
  <c r="D14" i="13"/>
  <c r="N238" i="12"/>
  <c r="N111" i="12"/>
  <c r="O54" i="12"/>
  <c r="N54" i="12" s="1"/>
  <c r="N148" i="12"/>
  <c r="N147" i="12"/>
  <c r="O130" i="12"/>
  <c r="N130" i="12" s="1"/>
  <c r="O129" i="12"/>
  <c r="N129" i="12" s="1"/>
  <c r="Y379" i="12"/>
  <c r="AO370" i="12"/>
  <c r="AO16" i="12"/>
  <c r="AB225" i="5"/>
  <c r="D53" i="8" s="1"/>
  <c r="O54" i="5"/>
  <c r="C54" i="6"/>
  <c r="AC54" i="5"/>
  <c r="D74" i="12"/>
  <c r="E74" i="6"/>
  <c r="O370" i="5"/>
  <c r="C370" i="6"/>
  <c r="AC370" i="5"/>
  <c r="D232" i="12"/>
  <c r="E232" i="6"/>
  <c r="H54" i="8" a="1"/>
  <c r="H54" i="8" s="1"/>
  <c r="W55" i="8" a="1"/>
  <c r="W55" i="8" s="1"/>
  <c r="E55" i="8" a="1"/>
  <c r="E55" i="8" s="1"/>
  <c r="AD55" i="8" a="1"/>
  <c r="AD55" i="8" s="1"/>
  <c r="AE55" i="8" a="1"/>
  <c r="AE55" i="8" s="1"/>
  <c r="AF55" i="8" a="1"/>
  <c r="AF55" i="8" s="1"/>
  <c r="U55" i="8" a="1"/>
  <c r="U55" i="8" s="1"/>
  <c r="AC55" i="8" a="1"/>
  <c r="AC55" i="8" s="1"/>
  <c r="X55" i="8" a="1"/>
  <c r="X55" i="8" s="1"/>
  <c r="Y55" i="8" a="1"/>
  <c r="Y55" i="8" s="1"/>
  <c r="H53" i="8" a="1"/>
  <c r="H53" i="8" s="1"/>
  <c r="J54" i="8" s="1"/>
  <c r="G53" i="8"/>
  <c r="G54" i="8" s="1" a="1"/>
  <c r="G54" i="8" s="1"/>
  <c r="V55" i="8" a="1"/>
  <c r="V55" i="8" s="1"/>
  <c r="AB55" i="8" a="1"/>
  <c r="AB55" i="8" s="1"/>
  <c r="Z55" i="8" a="1"/>
  <c r="Z55" i="8" s="1"/>
  <c r="AA55" i="8" a="1"/>
  <c r="AA55" i="8" s="1"/>
  <c r="N287" i="12"/>
  <c r="O286" i="12"/>
  <c r="O268" i="12"/>
  <c r="C130" i="6"/>
  <c r="O130" i="5"/>
  <c r="AC130" i="5"/>
  <c r="D233" i="12"/>
  <c r="E233" i="6"/>
  <c r="O129" i="5"/>
  <c r="C129" i="6"/>
  <c r="AC129" i="5"/>
  <c r="N286" i="12" l="1"/>
  <c r="W239" i="12"/>
  <c r="U239" i="12" s="1"/>
  <c r="W155" i="12"/>
  <c r="O25" i="11"/>
  <c r="Y16" i="8" a="1"/>
  <c r="Y16" i="8" s="1"/>
  <c r="Y14" i="8" s="1" a="1"/>
  <c r="Y14" i="8" s="1"/>
  <c r="K54" i="12"/>
  <c r="N225" i="12"/>
  <c r="N268" i="12"/>
  <c r="Y16" i="12"/>
  <c r="AC11" i="5"/>
  <c r="Y225" i="12"/>
  <c r="W225" i="12" s="1"/>
  <c r="T148" i="12"/>
  <c r="V148" i="12"/>
  <c r="U148" i="12"/>
  <c r="AD16" i="8" a="1"/>
  <c r="AD16" i="8" s="1"/>
  <c r="AF16" i="8" a="1"/>
  <c r="AF16" i="8" s="1"/>
  <c r="W16" i="8" a="1"/>
  <c r="W16" i="8" s="1"/>
  <c r="D139" i="12"/>
  <c r="E139" i="6"/>
  <c r="W111" i="12"/>
  <c r="X111" i="12"/>
  <c r="E54" i="6"/>
  <c r="I41" i="8"/>
  <c r="A41" i="8" s="1"/>
  <c r="D54" i="12"/>
  <c r="Y370" i="12"/>
  <c r="W233" i="12"/>
  <c r="X233" i="12"/>
  <c r="O12" i="5" a="1"/>
  <c r="O12" i="5" s="1"/>
  <c r="Y268" i="12"/>
  <c r="X16" i="8" a="1"/>
  <c r="X16" i="8" s="1"/>
  <c r="Y129" i="12"/>
  <c r="W232" i="12"/>
  <c r="X232" i="12"/>
  <c r="I62" i="8"/>
  <c r="A62" i="8" s="1"/>
  <c r="D268" i="12"/>
  <c r="E268" i="6"/>
  <c r="V16" i="8" a="1"/>
  <c r="V16" i="8" s="1"/>
  <c r="U16" i="8" a="1"/>
  <c r="U16" i="8" s="1"/>
  <c r="AA16" i="8" a="1"/>
  <c r="AA16" i="8" s="1"/>
  <c r="I141" i="5"/>
  <c r="O140" i="5"/>
  <c r="E75" i="6"/>
  <c r="D75" i="12"/>
  <c r="D261" i="12"/>
  <c r="E261" i="6"/>
  <c r="D370" i="12"/>
  <c r="E370" i="6"/>
  <c r="I74" i="8"/>
  <c r="A74" i="8" s="1"/>
  <c r="E286" i="6"/>
  <c r="D286" i="12"/>
  <c r="I237" i="5"/>
  <c r="O236" i="5"/>
  <c r="T34" i="12"/>
  <c r="U34" i="12"/>
  <c r="V34" i="12"/>
  <c r="W379" i="12"/>
  <c r="X379" i="12"/>
  <c r="K130" i="12"/>
  <c r="Y286" i="12"/>
  <c r="K225" i="12"/>
  <c r="Y130" i="12"/>
  <c r="AN14" i="13"/>
  <c r="U14" i="13" s="1"/>
  <c r="AD4" i="13" s="1"/>
  <c r="V239" i="12"/>
  <c r="T155" i="12"/>
  <c r="U155" i="12"/>
  <c r="V155" i="12"/>
  <c r="AB24" i="11"/>
  <c r="AB7" i="11" s="1"/>
  <c r="Z3" i="11" s="1"/>
  <c r="AA3" i="11" s="1"/>
  <c r="N14" i="11"/>
  <c r="N24" i="11" s="1"/>
  <c r="AC16" i="8" a="1"/>
  <c r="AC16" i="8" s="1"/>
  <c r="E16" i="8" a="1"/>
  <c r="E16" i="8" s="1"/>
  <c r="K370" i="12"/>
  <c r="I77" i="5"/>
  <c r="O76" i="5"/>
  <c r="I263" i="5"/>
  <c r="O262" i="5"/>
  <c r="X16" i="12"/>
  <c r="W16" i="12"/>
  <c r="E129" i="6"/>
  <c r="I47" i="8"/>
  <c r="A47" i="8" s="1"/>
  <c r="D129" i="12"/>
  <c r="D130" i="12"/>
  <c r="E130" i="6"/>
  <c r="L24" i="13"/>
  <c r="D33" i="14"/>
  <c r="K268" i="12"/>
  <c r="I53" i="8"/>
  <c r="A53" i="8" s="1"/>
  <c r="E225" i="6"/>
  <c r="D225" i="12"/>
  <c r="E235" i="6"/>
  <c r="D235" i="12"/>
  <c r="X287" i="12"/>
  <c r="W287" i="12"/>
  <c r="K286" i="12"/>
  <c r="X147" i="12"/>
  <c r="W147" i="12"/>
  <c r="P14" i="13"/>
  <c r="O28" i="13"/>
  <c r="V238" i="12"/>
  <c r="U238" i="12"/>
  <c r="T238" i="12"/>
  <c r="K129" i="12"/>
  <c r="AL14" i="13"/>
  <c r="M14" i="13" s="1"/>
  <c r="M28" i="13" s="1"/>
  <c r="AK14" i="13"/>
  <c r="S14" i="13" s="1"/>
  <c r="M27" i="13" s="1"/>
  <c r="AE16" i="8" a="1"/>
  <c r="AE16" i="8" s="1"/>
  <c r="AB16" i="8" a="1"/>
  <c r="AB16" i="8" s="1"/>
  <c r="Z16" i="8" a="1"/>
  <c r="Z16" i="8" s="1"/>
  <c r="U36" i="12"/>
  <c r="T36" i="12"/>
  <c r="V36" i="12"/>
  <c r="Y54" i="12"/>
  <c r="T239" i="12" l="1"/>
  <c r="N14" i="13"/>
  <c r="X225" i="12"/>
  <c r="AB14" i="8" a="1"/>
  <c r="AB14" i="8" s="1"/>
  <c r="I264" i="5"/>
  <c r="O263" i="5"/>
  <c r="E236" i="6"/>
  <c r="D236" i="12"/>
  <c r="U232" i="12"/>
  <c r="T232" i="12"/>
  <c r="V232" i="12"/>
  <c r="AE14" i="8" a="1"/>
  <c r="AE14" i="8" s="1"/>
  <c r="D52" i="2"/>
  <c r="P24" i="13"/>
  <c r="O24" i="13"/>
  <c r="F33" i="14"/>
  <c r="D47" i="2"/>
  <c r="AD6" i="13"/>
  <c r="D51" i="2"/>
  <c r="D48" i="2"/>
  <c r="N28" i="13"/>
  <c r="D53" i="2"/>
  <c r="D54" i="2"/>
  <c r="U16" i="12"/>
  <c r="T16" i="12"/>
  <c r="V16" i="12"/>
  <c r="D76" i="12"/>
  <c r="E76" i="6"/>
  <c r="AC14" i="8" a="1"/>
  <c r="AC14" i="8" s="1"/>
  <c r="W286" i="12"/>
  <c r="X286" i="12"/>
  <c r="O237" i="5"/>
  <c r="I238" i="5"/>
  <c r="AA14" i="8" a="1"/>
  <c r="AA14" i="8" s="1"/>
  <c r="W129" i="12"/>
  <c r="X129" i="12"/>
  <c r="AD14" i="8" a="1"/>
  <c r="AD14" i="8" s="1"/>
  <c r="X54" i="12"/>
  <c r="W54" i="12"/>
  <c r="U98" i="8" a="1"/>
  <c r="U98" i="8" s="1"/>
  <c r="U14" i="8" a="1"/>
  <c r="U14" i="8" s="1"/>
  <c r="U99" i="8"/>
  <c r="V99" i="8" s="1"/>
  <c r="X14" i="8" a="1"/>
  <c r="X14" i="8" s="1"/>
  <c r="V233" i="12"/>
  <c r="U233" i="12"/>
  <c r="T233" i="12"/>
  <c r="U225" i="12"/>
  <c r="V225" i="12"/>
  <c r="T225" i="12"/>
  <c r="E14" i="8" a="1"/>
  <c r="E14" i="8" s="1"/>
  <c r="E98" i="8" a="1"/>
  <c r="E98" i="8" s="1"/>
  <c r="E93" i="8" s="1"/>
  <c r="E99" i="8"/>
  <c r="T379" i="12"/>
  <c r="V379" i="12"/>
  <c r="U379" i="12"/>
  <c r="I142" i="5"/>
  <c r="O141" i="5"/>
  <c r="AD21" i="11"/>
  <c r="AD17" i="11"/>
  <c r="AD22" i="11"/>
  <c r="AA26" i="5"/>
  <c r="AD14" i="11"/>
  <c r="AD19" i="11"/>
  <c r="AA40" i="5"/>
  <c r="AD18" i="11"/>
  <c r="AD16" i="11"/>
  <c r="AD23" i="11"/>
  <c r="AD20" i="11"/>
  <c r="AD12" i="11"/>
  <c r="AD15" i="11"/>
  <c r="AA186" i="5"/>
  <c r="AA125" i="5"/>
  <c r="AA235" i="5"/>
  <c r="AA214" i="5"/>
  <c r="AA97" i="5"/>
  <c r="AA373" i="5"/>
  <c r="AA100" i="5"/>
  <c r="AA234" i="5"/>
  <c r="AA143" i="5"/>
  <c r="AA72" i="5"/>
  <c r="AA314" i="5"/>
  <c r="AA179" i="5"/>
  <c r="AA376" i="5"/>
  <c r="AA266" i="5"/>
  <c r="AA265" i="5"/>
  <c r="AA210" i="5"/>
  <c r="AA251" i="5"/>
  <c r="AA321" i="5"/>
  <c r="AA283" i="5"/>
  <c r="AA120" i="5"/>
  <c r="AA309" i="5"/>
  <c r="AA207" i="5"/>
  <c r="AA138" i="5"/>
  <c r="AA45" i="5"/>
  <c r="AA270" i="5"/>
  <c r="AA354" i="5"/>
  <c r="AA89" i="5"/>
  <c r="AA365" i="5"/>
  <c r="AA158" i="5"/>
  <c r="AA161" i="5"/>
  <c r="AA344" i="5"/>
  <c r="AA203" i="5"/>
  <c r="AA211" i="5"/>
  <c r="AA318" i="5"/>
  <c r="AA98" i="5"/>
  <c r="AA323" i="5"/>
  <c r="AA105" i="5"/>
  <c r="AA399" i="5"/>
  <c r="AA22" i="5"/>
  <c r="AA227" i="5"/>
  <c r="AA62" i="5"/>
  <c r="AA164" i="5"/>
  <c r="AA63" i="5"/>
  <c r="AA146" i="5"/>
  <c r="AA154" i="5"/>
  <c r="AA204" i="5"/>
  <c r="AA185" i="5"/>
  <c r="AA319" i="5"/>
  <c r="AA356" i="5"/>
  <c r="AA25" i="5"/>
  <c r="AA114" i="5"/>
  <c r="AA332" i="5"/>
  <c r="AA113" i="5"/>
  <c r="AA219" i="5"/>
  <c r="AA348" i="5"/>
  <c r="AA107" i="5"/>
  <c r="AA281" i="5"/>
  <c r="AA79" i="5"/>
  <c r="AA64" i="5"/>
  <c r="AA338" i="5"/>
  <c r="AA71" i="5"/>
  <c r="AA175" i="5"/>
  <c r="AA334" i="5"/>
  <c r="AA73" i="5"/>
  <c r="AA170" i="5"/>
  <c r="AA308" i="5"/>
  <c r="AA262" i="5"/>
  <c r="AA324" i="5"/>
  <c r="AA56" i="5"/>
  <c r="AA205" i="5"/>
  <c r="AA261" i="5"/>
  <c r="AA343" i="5"/>
  <c r="AA322" i="5"/>
  <c r="AA59" i="5"/>
  <c r="AA58" i="5"/>
  <c r="AA350" i="5"/>
  <c r="AA237" i="5"/>
  <c r="AA267" i="5"/>
  <c r="AA284" i="5"/>
  <c r="AA183" i="5"/>
  <c r="AA27" i="5"/>
  <c r="AA274" i="5"/>
  <c r="AA345" i="5"/>
  <c r="AA70" i="5"/>
  <c r="AA336" i="5"/>
  <c r="AA43" i="5"/>
  <c r="AA131" i="5"/>
  <c r="AA31" i="5"/>
  <c r="AA363" i="5"/>
  <c r="AA76" i="5"/>
  <c r="AA277" i="5"/>
  <c r="AA88" i="5"/>
  <c r="AA292" i="5"/>
  <c r="AA248" i="5"/>
  <c r="AA104" i="5"/>
  <c r="AA177" i="5"/>
  <c r="AA137" i="5"/>
  <c r="AA152" i="5"/>
  <c r="AA329" i="5"/>
  <c r="AA30" i="5"/>
  <c r="AA42" i="5"/>
  <c r="AA159" i="5"/>
  <c r="AA20" i="5"/>
  <c r="AA116" i="5"/>
  <c r="AA378" i="5"/>
  <c r="AA180" i="5"/>
  <c r="AA226" i="5"/>
  <c r="AA189" i="5"/>
  <c r="AA335" i="5"/>
  <c r="AA24" i="5"/>
  <c r="AA153" i="5"/>
  <c r="AA300" i="5"/>
  <c r="AA328" i="5"/>
  <c r="AA136" i="5"/>
  <c r="AA81" i="5"/>
  <c r="AA157" i="5"/>
  <c r="AA144" i="5"/>
  <c r="AA208" i="5"/>
  <c r="AA366" i="5"/>
  <c r="AA305" i="5"/>
  <c r="AA291" i="5"/>
  <c r="AA101" i="5"/>
  <c r="AA123" i="5"/>
  <c r="AA295" i="5"/>
  <c r="AA317" i="5"/>
  <c r="AA310" i="5"/>
  <c r="AA257" i="5"/>
  <c r="AA293" i="5"/>
  <c r="AA241" i="5"/>
  <c r="AA360" i="5"/>
  <c r="AA174" i="5"/>
  <c r="AA252" i="5"/>
  <c r="AA197" i="5"/>
  <c r="AA279" i="5"/>
  <c r="AA331" i="5"/>
  <c r="AA341" i="5"/>
  <c r="AA330" i="5"/>
  <c r="AA80" i="5"/>
  <c r="AA84" i="5"/>
  <c r="AA196" i="5"/>
  <c r="AA215" i="5"/>
  <c r="AA206" i="5"/>
  <c r="AA176" i="5"/>
  <c r="AA282" i="5"/>
  <c r="AA311" i="5"/>
  <c r="AA187" i="5"/>
  <c r="AA109" i="5"/>
  <c r="AA249" i="5"/>
  <c r="AA65" i="5"/>
  <c r="AA246" i="5"/>
  <c r="AA188" i="5"/>
  <c r="AA194" i="5"/>
  <c r="AA250" i="5"/>
  <c r="AA362" i="5"/>
  <c r="AA391" i="5"/>
  <c r="AA124" i="5"/>
  <c r="AA216" i="5"/>
  <c r="AA44" i="5"/>
  <c r="AA145" i="5"/>
  <c r="AA372" i="5"/>
  <c r="AA191" i="5"/>
  <c r="AA253" i="5"/>
  <c r="AA134" i="5"/>
  <c r="AA118" i="5"/>
  <c r="AA87" i="5"/>
  <c r="AA151" i="5"/>
  <c r="AA223" i="5"/>
  <c r="AA221" i="5"/>
  <c r="AA404" i="5"/>
  <c r="AA403" i="5" s="1"/>
  <c r="C86" i="8" s="1"/>
  <c r="AA86" i="5"/>
  <c r="AA93" i="5"/>
  <c r="AA340" i="5"/>
  <c r="AA337" i="5"/>
  <c r="AA358" i="5"/>
  <c r="AA46" i="5"/>
  <c r="AA67" i="5"/>
  <c r="AA339" i="5"/>
  <c r="AA298" i="5"/>
  <c r="AA359" i="5"/>
  <c r="AA209" i="5"/>
  <c r="AA316" i="5"/>
  <c r="AA190" i="5"/>
  <c r="AA122" i="5"/>
  <c r="AA18" i="5"/>
  <c r="AA398" i="5"/>
  <c r="AA320" i="5"/>
  <c r="AA245" i="5"/>
  <c r="AA160" i="5"/>
  <c r="AA393" i="5"/>
  <c r="AA127" i="5"/>
  <c r="AA242" i="5"/>
  <c r="AA38" i="5"/>
  <c r="AA369" i="5"/>
  <c r="AA19" i="5"/>
  <c r="AA171" i="5"/>
  <c r="AA396" i="5"/>
  <c r="AA149" i="5"/>
  <c r="AA32" i="5"/>
  <c r="AA169" i="5"/>
  <c r="AA307" i="5"/>
  <c r="AA85" i="5"/>
  <c r="AA74" i="5"/>
  <c r="AA236" i="5"/>
  <c r="AA103" i="5"/>
  <c r="AA297" i="5"/>
  <c r="AA61" i="5"/>
  <c r="AA240" i="5"/>
  <c r="AA102" i="5"/>
  <c r="AA299" i="5"/>
  <c r="AA99" i="5"/>
  <c r="AA368" i="5"/>
  <c r="AA201" i="5"/>
  <c r="AA126" i="5"/>
  <c r="AA230" i="5"/>
  <c r="AA193" i="5"/>
  <c r="AA173" i="5"/>
  <c r="AA135" i="5"/>
  <c r="AA259" i="5"/>
  <c r="AA364" i="5"/>
  <c r="AA285" i="5"/>
  <c r="AA315" i="5"/>
  <c r="AA23" i="5"/>
  <c r="AA108" i="5"/>
  <c r="AA220" i="5"/>
  <c r="AA228" i="5"/>
  <c r="AA280" i="5"/>
  <c r="AA367" i="5"/>
  <c r="AA150" i="5"/>
  <c r="AA117" i="5"/>
  <c r="AA313" i="5"/>
  <c r="AA195" i="5"/>
  <c r="AA198" i="5"/>
  <c r="AA53" i="5"/>
  <c r="AA52" i="5" s="1"/>
  <c r="C38" i="8" s="1"/>
  <c r="AA140" i="5"/>
  <c r="AA312" i="5"/>
  <c r="AA33" i="5"/>
  <c r="AA139" i="5"/>
  <c r="AA167" i="5"/>
  <c r="AA288" i="5"/>
  <c r="AA326" i="5"/>
  <c r="AA355" i="5"/>
  <c r="AA273" i="5"/>
  <c r="AA272" i="5" s="1"/>
  <c r="AA357" i="5"/>
  <c r="AA347" i="5"/>
  <c r="AA68" i="5"/>
  <c r="AA121" i="5"/>
  <c r="AA278" i="5"/>
  <c r="AA82" i="5"/>
  <c r="AA202" i="5"/>
  <c r="AA166" i="5"/>
  <c r="AA184" i="5"/>
  <c r="AA29" i="5"/>
  <c r="AA327" i="5"/>
  <c r="AA178" i="5"/>
  <c r="AA163" i="5"/>
  <c r="AA374" i="5"/>
  <c r="AA217" i="5"/>
  <c r="AA192" i="5"/>
  <c r="AA83" i="5"/>
  <c r="AA395" i="5"/>
  <c r="AA294" i="5"/>
  <c r="AA66" i="5"/>
  <c r="AA349" i="5"/>
  <c r="AA212" i="5"/>
  <c r="AA39" i="5"/>
  <c r="AA361" i="5"/>
  <c r="AA375" i="5"/>
  <c r="AA119" i="5"/>
  <c r="AA333" i="5"/>
  <c r="AA110" i="5"/>
  <c r="AA394" i="5"/>
  <c r="AA55" i="5"/>
  <c r="AA106" i="5"/>
  <c r="AA200" i="5"/>
  <c r="AA96" i="5"/>
  <c r="AA142" i="5"/>
  <c r="AA397" i="5"/>
  <c r="AA352" i="5"/>
  <c r="AA353" i="5"/>
  <c r="AA182" i="5"/>
  <c r="AA112" i="5"/>
  <c r="AA224" i="5"/>
  <c r="AA263" i="5"/>
  <c r="AA229" i="5"/>
  <c r="AA222" i="5"/>
  <c r="AA95" i="5"/>
  <c r="AA377" i="5"/>
  <c r="AA165" i="5"/>
  <c r="AA260" i="5"/>
  <c r="AA75" i="5"/>
  <c r="AA77" i="5"/>
  <c r="AA128" i="5"/>
  <c r="AA306" i="5"/>
  <c r="AA199" i="5"/>
  <c r="AA351" i="5"/>
  <c r="AA156" i="5"/>
  <c r="AA57" i="5"/>
  <c r="AA162" i="5"/>
  <c r="AA60" i="5"/>
  <c r="AA371" i="5"/>
  <c r="AA264" i="5"/>
  <c r="AA256" i="5"/>
  <c r="AA172" i="5"/>
  <c r="AA290" i="5"/>
  <c r="AA213" i="5"/>
  <c r="AA78" i="5"/>
  <c r="AA296" i="5"/>
  <c r="AA258" i="5"/>
  <c r="AA181" i="5"/>
  <c r="AA304" i="5"/>
  <c r="AA141" i="5"/>
  <c r="AA276" i="5"/>
  <c r="AA390" i="5"/>
  <c r="AA382" i="5"/>
  <c r="AA231" i="5"/>
  <c r="AA271" i="5"/>
  <c r="AA50" i="5"/>
  <c r="AA92" i="5"/>
  <c r="AA91" i="5"/>
  <c r="AA243" i="5"/>
  <c r="AA133" i="5"/>
  <c r="AA255" i="5"/>
  <c r="AA388" i="5"/>
  <c r="AA90" i="5"/>
  <c r="AA387" i="5"/>
  <c r="AA401" i="5"/>
  <c r="AA385" i="5"/>
  <c r="AA386" i="5"/>
  <c r="AA132" i="5"/>
  <c r="AA48" i="5"/>
  <c r="AA402" i="5"/>
  <c r="AA302" i="5"/>
  <c r="AA49" i="5"/>
  <c r="AA381" i="5"/>
  <c r="AA383" i="5"/>
  <c r="AA94" i="5"/>
  <c r="AA69" i="5"/>
  <c r="AA301" i="5"/>
  <c r="AA389" i="5"/>
  <c r="AA35" i="5"/>
  <c r="AA51" i="5"/>
  <c r="AA244" i="5"/>
  <c r="AA384" i="5"/>
  <c r="AA36" i="5"/>
  <c r="AA155" i="5"/>
  <c r="AA111" i="5"/>
  <c r="AA148" i="5"/>
  <c r="AA238" i="5"/>
  <c r="AA379" i="5"/>
  <c r="AA233" i="5"/>
  <c r="AA147" i="5"/>
  <c r="AA239" i="5"/>
  <c r="AA287" i="5"/>
  <c r="AA286" i="5" s="1"/>
  <c r="AA232" i="5"/>
  <c r="U287" i="12"/>
  <c r="T287" i="12"/>
  <c r="V287" i="12"/>
  <c r="I78" i="5"/>
  <c r="O77" i="5"/>
  <c r="L27" i="13"/>
  <c r="D32" i="14" s="1"/>
  <c r="N25" i="11"/>
  <c r="Z14" i="8" a="1"/>
  <c r="Z14" i="8" s="1"/>
  <c r="M24" i="13"/>
  <c r="O29" i="13"/>
  <c r="V147" i="12"/>
  <c r="U147" i="12"/>
  <c r="T147" i="12"/>
  <c r="E262" i="6"/>
  <c r="D262" i="12"/>
  <c r="X130" i="12"/>
  <c r="W130" i="12"/>
  <c r="D140" i="12"/>
  <c r="E140" i="6"/>
  <c r="V14" i="8" a="1"/>
  <c r="V14" i="8" s="1"/>
  <c r="X268" i="12"/>
  <c r="W268" i="12"/>
  <c r="X370" i="12"/>
  <c r="W370" i="12"/>
  <c r="W14" i="8" a="1"/>
  <c r="W14" i="8" s="1"/>
  <c r="V111" i="12"/>
  <c r="T111" i="12"/>
  <c r="U111" i="12"/>
  <c r="AF14" i="8" a="1"/>
  <c r="AF14" i="8" s="1"/>
  <c r="AA400" i="5" l="1"/>
  <c r="C83" i="8" s="1"/>
  <c r="AA47" i="5"/>
  <c r="C35" i="8" s="1"/>
  <c r="AA380" i="5"/>
  <c r="C77" i="8" s="1"/>
  <c r="AA303" i="5"/>
  <c r="AA254" i="5"/>
  <c r="C59" i="8" s="1"/>
  <c r="AE19" i="11"/>
  <c r="M19" i="11" s="1"/>
  <c r="L19" i="11" s="1"/>
  <c r="AE21" i="11"/>
  <c r="M21" i="11" s="1"/>
  <c r="L21" i="11" s="1"/>
  <c r="V95" i="8"/>
  <c r="J70" i="9" s="1"/>
  <c r="J73" i="9" s="1"/>
  <c r="V94" i="8"/>
  <c r="J71" i="9"/>
  <c r="W99" i="8"/>
  <c r="AA218" i="5"/>
  <c r="C50" i="8" s="1"/>
  <c r="I143" i="5"/>
  <c r="O142" i="5"/>
  <c r="D263" i="12"/>
  <c r="E263" i="6"/>
  <c r="U370" i="12"/>
  <c r="T370" i="12"/>
  <c r="V370" i="12"/>
  <c r="U130" i="12"/>
  <c r="V130" i="12"/>
  <c r="T130" i="12"/>
  <c r="AA392" i="5"/>
  <c r="C80" i="8" s="1"/>
  <c r="AA41" i="5"/>
  <c r="C32" i="8" s="1"/>
  <c r="AA269" i="5"/>
  <c r="AA268" i="5"/>
  <c r="C62" i="8" s="1"/>
  <c r="AE23" i="11"/>
  <c r="M23" i="11" s="1"/>
  <c r="L23" i="11" s="1"/>
  <c r="AE22" i="11"/>
  <c r="M22" i="11" s="1"/>
  <c r="L22" i="11" s="1"/>
  <c r="AE18" i="11"/>
  <c r="M18" i="11" s="1"/>
  <c r="L18" i="11" s="1"/>
  <c r="AE16" i="11"/>
  <c r="M16" i="11" s="1"/>
  <c r="L16" i="11" s="1"/>
  <c r="V129" i="12"/>
  <c r="T129" i="12"/>
  <c r="U129" i="12"/>
  <c r="D237" i="12"/>
  <c r="E237" i="6"/>
  <c r="AD27" i="13"/>
  <c r="E33" i="14"/>
  <c r="E34" i="14"/>
  <c r="N24" i="13"/>
  <c r="AE6" i="13"/>
  <c r="AE4" i="13"/>
  <c r="O27" i="13" s="1"/>
  <c r="I265" i="5"/>
  <c r="O264" i="5"/>
  <c r="I79" i="5"/>
  <c r="O78" i="5"/>
  <c r="AA247" i="5"/>
  <c r="C56" i="8" s="1"/>
  <c r="E95" i="8"/>
  <c r="E94" i="8"/>
  <c r="E90" i="8" s="1"/>
  <c r="V54" i="12"/>
  <c r="T54" i="12"/>
  <c r="U54" i="12"/>
  <c r="AA34" i="5"/>
  <c r="C26" i="8" s="1"/>
  <c r="AA275" i="5"/>
  <c r="AA289" i="5"/>
  <c r="AA370" i="5"/>
  <c r="C74" i="8" s="1"/>
  <c r="AA54" i="5"/>
  <c r="C41" i="8" s="1"/>
  <c r="AA28" i="5"/>
  <c r="C23" i="8" s="1"/>
  <c r="AA346" i="5"/>
  <c r="C71" i="8" s="1"/>
  <c r="AA325" i="5"/>
  <c r="C65" i="8" s="1"/>
  <c r="AA37" i="5"/>
  <c r="C29" i="8" s="1"/>
  <c r="AA15" i="5"/>
  <c r="AA17" i="5"/>
  <c r="C17" i="8" s="1"/>
  <c r="AA16" i="5"/>
  <c r="AA115" i="5"/>
  <c r="C44" i="8" s="1"/>
  <c r="AA342" i="5"/>
  <c r="C68" i="8" s="1"/>
  <c r="AE14" i="11"/>
  <c r="AE15" i="11"/>
  <c r="M15" i="11" s="1"/>
  <c r="L15" i="11" s="1"/>
  <c r="AE12" i="11"/>
  <c r="M12" i="11" s="1"/>
  <c r="L12" i="11" s="1"/>
  <c r="AE20" i="11"/>
  <c r="M20" i="11" s="1"/>
  <c r="L20" i="11" s="1"/>
  <c r="U93" i="8"/>
  <c r="V98" i="8" a="1"/>
  <c r="V98" i="8" s="1"/>
  <c r="AC27" i="13"/>
  <c r="D46" i="2"/>
  <c r="U95" i="8"/>
  <c r="H71" i="9"/>
  <c r="U94" i="8"/>
  <c r="I239" i="5"/>
  <c r="O238" i="5"/>
  <c r="T268" i="12"/>
  <c r="V268" i="12"/>
  <c r="U268" i="12"/>
  <c r="E77" i="6"/>
  <c r="D77" i="12"/>
  <c r="AA168" i="5"/>
  <c r="AA225" i="5"/>
  <c r="C53" i="8" s="1"/>
  <c r="AA129" i="5"/>
  <c r="C47" i="8" s="1"/>
  <c r="AA130" i="5"/>
  <c r="AA21" i="5"/>
  <c r="C20" i="8" s="1"/>
  <c r="AE17" i="11"/>
  <c r="M17" i="11" s="1"/>
  <c r="L17" i="11" s="1"/>
  <c r="D141" i="12"/>
  <c r="E141" i="6"/>
  <c r="V286" i="12"/>
  <c r="U286" i="12"/>
  <c r="T286" i="12"/>
  <c r="D50" i="2"/>
  <c r="G10" i="13"/>
  <c r="F34" i="14"/>
  <c r="E238" i="6" l="1"/>
  <c r="D238" i="12"/>
  <c r="AM14" i="13"/>
  <c r="T14" i="13" s="1"/>
  <c r="AD3" i="13" s="1"/>
  <c r="AD2" i="13" s="1"/>
  <c r="AJ14" i="13"/>
  <c r="R14" i="13" s="1"/>
  <c r="M26" i="13" s="1"/>
  <c r="AA14" i="11"/>
  <c r="I80" i="5"/>
  <c r="O79" i="5"/>
  <c r="I144" i="5"/>
  <c r="O143" i="5"/>
  <c r="V90" i="8"/>
  <c r="J68" i="9" s="1"/>
  <c r="J69" i="9"/>
  <c r="J415" i="12"/>
  <c r="S77" i="10"/>
  <c r="C11" i="10" s="1"/>
  <c r="E78" i="6"/>
  <c r="D78" i="12"/>
  <c r="E142" i="6"/>
  <c r="D142" i="12"/>
  <c r="V93" i="8"/>
  <c r="W98" i="8" a="1"/>
  <c r="W98" i="8" s="1"/>
  <c r="I240" i="5"/>
  <c r="O239" i="5"/>
  <c r="H70" i="9"/>
  <c r="H73" i="9" s="1"/>
  <c r="U97" i="8" a="1"/>
  <c r="U97" i="8" s="1"/>
  <c r="E97" i="8" a="1"/>
  <c r="E97" i="8" s="1"/>
  <c r="E264" i="6"/>
  <c r="D264" i="12"/>
  <c r="F32" i="14"/>
  <c r="N27" i="13"/>
  <c r="E32" i="14" s="1"/>
  <c r="H69" i="9"/>
  <c r="U90" i="8"/>
  <c r="H68" i="9" s="1"/>
  <c r="I266" i="5"/>
  <c r="O265" i="5"/>
  <c r="W94" i="8"/>
  <c r="L71" i="9"/>
  <c r="W95" i="8"/>
  <c r="L70" i="9" s="1"/>
  <c r="L73" i="9" s="1"/>
  <c r="X99" i="8"/>
  <c r="AE3" i="13" l="1"/>
  <c r="M25" i="13"/>
  <c r="I267" i="5"/>
  <c r="O267" i="5" s="1"/>
  <c r="O266" i="5"/>
  <c r="D79" i="12"/>
  <c r="E79" i="6"/>
  <c r="E92" i="8"/>
  <c r="E96" i="8"/>
  <c r="E91" i="8" s="1"/>
  <c r="E239" i="6"/>
  <c r="D239" i="12"/>
  <c r="E143" i="6"/>
  <c r="D143" i="12"/>
  <c r="I81" i="5"/>
  <c r="O80" i="5"/>
  <c r="E265" i="6"/>
  <c r="D265" i="12"/>
  <c r="W93" i="8"/>
  <c r="X98" i="8" a="1"/>
  <c r="X98" i="8" s="1"/>
  <c r="X94" i="8"/>
  <c r="X95" i="8"/>
  <c r="N71" i="9"/>
  <c r="Y99" i="8"/>
  <c r="W90" i="8"/>
  <c r="L68" i="9" s="1"/>
  <c r="L69" i="9"/>
  <c r="V97" i="8" a="1"/>
  <c r="V97" i="8" s="1"/>
  <c r="U92" i="8"/>
  <c r="U96" i="8"/>
  <c r="U91" i="8" s="1"/>
  <c r="I241" i="5"/>
  <c r="O240" i="5"/>
  <c r="I145" i="5"/>
  <c r="O144" i="5"/>
  <c r="AA24" i="11"/>
  <c r="M14" i="11"/>
  <c r="Z14" i="11"/>
  <c r="Z24" i="11" s="1"/>
  <c r="I146" i="5" l="1"/>
  <c r="O145" i="5"/>
  <c r="N69" i="9"/>
  <c r="X90" i="8"/>
  <c r="N68" i="9" s="1"/>
  <c r="X93" i="8"/>
  <c r="Y98" i="8" a="1"/>
  <c r="Y98" i="8" s="1"/>
  <c r="D80" i="12"/>
  <c r="E80" i="6"/>
  <c r="E267" i="6"/>
  <c r="D267" i="12"/>
  <c r="W97" i="8" a="1"/>
  <c r="W97" i="8" s="1"/>
  <c r="V92" i="8"/>
  <c r="V96" i="8"/>
  <c r="V91" i="8" s="1"/>
  <c r="I242" i="5"/>
  <c r="O241" i="5"/>
  <c r="I82" i="5"/>
  <c r="O81" i="5"/>
  <c r="Y94" i="8"/>
  <c r="P71" i="9"/>
  <c r="Y95" i="8"/>
  <c r="P70" i="9" s="1"/>
  <c r="P73" i="9" s="1"/>
  <c r="Z99" i="8"/>
  <c r="D266" i="12"/>
  <c r="E266" i="6"/>
  <c r="M24" i="11"/>
  <c r="L14" i="11"/>
  <c r="L24" i="11" s="1"/>
  <c r="D240" i="12"/>
  <c r="E240" i="6"/>
  <c r="D144" i="12"/>
  <c r="E144" i="6"/>
  <c r="N70" i="9"/>
  <c r="N73" i="9" s="1"/>
  <c r="O26" i="13"/>
  <c r="AE2" i="13"/>
  <c r="R71" i="9" l="1"/>
  <c r="Z95" i="8"/>
  <c r="R70" i="9" s="1"/>
  <c r="R73" i="9" s="1"/>
  <c r="Z94" i="8"/>
  <c r="AA99" i="8"/>
  <c r="P69" i="9"/>
  <c r="Y90" i="8"/>
  <c r="P68" i="9" s="1"/>
  <c r="O242" i="5"/>
  <c r="I243" i="5"/>
  <c r="X97" i="8" a="1"/>
  <c r="X97" i="8" s="1"/>
  <c r="W92" i="8"/>
  <c r="W96" i="8"/>
  <c r="W91" i="8" s="1"/>
  <c r="D241" i="12"/>
  <c r="E241" i="6"/>
  <c r="Z98" i="8" a="1"/>
  <c r="Z98" i="8" s="1"/>
  <c r="Y93" i="8"/>
  <c r="E145" i="6"/>
  <c r="D145" i="12"/>
  <c r="L25" i="13"/>
  <c r="D30" i="14" s="1"/>
  <c r="L25" i="11"/>
  <c r="L10" i="11"/>
  <c r="M10" i="13" s="1"/>
  <c r="N26" i="13"/>
  <c r="E31" i="14" s="1"/>
  <c r="F31" i="14"/>
  <c r="O25" i="13"/>
  <c r="L26" i="13"/>
  <c r="M10" i="11"/>
  <c r="N10" i="13" s="1"/>
  <c r="M25" i="11"/>
  <c r="G9" i="11" s="1"/>
  <c r="E81" i="6"/>
  <c r="D81" i="12"/>
  <c r="I83" i="5"/>
  <c r="O82" i="5"/>
  <c r="O146" i="5"/>
  <c r="I147" i="5"/>
  <c r="I148" i="5" l="1"/>
  <c r="O147" i="5"/>
  <c r="X92" i="8"/>
  <c r="Y97" i="8" a="1"/>
  <c r="Y97" i="8" s="1"/>
  <c r="X96" i="8"/>
  <c r="X91" i="8" s="1"/>
  <c r="E146" i="6"/>
  <c r="D146" i="12"/>
  <c r="D31" i="14"/>
  <c r="AD26" i="13"/>
  <c r="AC26" i="13"/>
  <c r="I244" i="5"/>
  <c r="O243" i="5"/>
  <c r="AA94" i="8"/>
  <c r="AA95" i="8"/>
  <c r="T70" i="9" s="1"/>
  <c r="T73" i="9" s="1"/>
  <c r="T71" i="9"/>
  <c r="AB99" i="8"/>
  <c r="Z93" i="8"/>
  <c r="AA98" i="8" a="1"/>
  <c r="AA98" i="8" s="1"/>
  <c r="D82" i="12"/>
  <c r="E82" i="6"/>
  <c r="I84" i="5"/>
  <c r="O83" i="5"/>
  <c r="F30" i="14"/>
  <c r="N25" i="13"/>
  <c r="E30" i="14" s="1"/>
  <c r="D242" i="12"/>
  <c r="E242" i="6"/>
  <c r="R69" i="9"/>
  <c r="Z90" i="8"/>
  <c r="R68" i="9" s="1"/>
  <c r="D147" i="12" l="1"/>
  <c r="E147" i="6"/>
  <c r="AB94" i="8"/>
  <c r="V71" i="9"/>
  <c r="AB95" i="8"/>
  <c r="V70" i="9" s="1"/>
  <c r="V73" i="9" s="1"/>
  <c r="AC99" i="8"/>
  <c r="AA90" i="8"/>
  <c r="T68" i="9" s="1"/>
  <c r="T69" i="9"/>
  <c r="I149" i="5"/>
  <c r="O148" i="5"/>
  <c r="E83" i="6"/>
  <c r="D83" i="12"/>
  <c r="E243" i="6"/>
  <c r="D243" i="12"/>
  <c r="Z97" i="8" a="1"/>
  <c r="Z97" i="8" s="1"/>
  <c r="Y92" i="8"/>
  <c r="Y96" i="8"/>
  <c r="Y91" i="8" s="1"/>
  <c r="I85" i="5"/>
  <c r="O84" i="5"/>
  <c r="AB98" i="8" a="1"/>
  <c r="AB98" i="8" s="1"/>
  <c r="AA93" i="8"/>
  <c r="I245" i="5"/>
  <c r="O244" i="5"/>
  <c r="E84" i="6" l="1"/>
  <c r="D84" i="12"/>
  <c r="E148" i="6"/>
  <c r="D148" i="12"/>
  <c r="X71" i="9"/>
  <c r="AC94" i="8"/>
  <c r="AC95" i="8"/>
  <c r="AD99" i="8"/>
  <c r="AB90" i="8"/>
  <c r="V68" i="9" s="1"/>
  <c r="V69" i="9"/>
  <c r="AA97" i="8" a="1"/>
  <c r="AA97" i="8" s="1"/>
  <c r="Z92" i="8"/>
  <c r="Z96" i="8"/>
  <c r="Z91" i="8" s="1"/>
  <c r="I246" i="5"/>
  <c r="O246" i="5" s="1"/>
  <c r="O245" i="5"/>
  <c r="I86" i="5"/>
  <c r="O85" i="5"/>
  <c r="I150" i="5"/>
  <c r="O149" i="5"/>
  <c r="E244" i="6"/>
  <c r="D244" i="12"/>
  <c r="AC98" i="8" a="1"/>
  <c r="AC98" i="8" s="1"/>
  <c r="AB93" i="8"/>
  <c r="X70" i="9" l="1"/>
  <c r="X73" i="9" s="1"/>
  <c r="E149" i="6"/>
  <c r="D149" i="12"/>
  <c r="D245" i="12"/>
  <c r="E245" i="6"/>
  <c r="I151" i="5"/>
  <c r="O150" i="5"/>
  <c r="E246" i="6"/>
  <c r="D246" i="12"/>
  <c r="D85" i="12"/>
  <c r="E85" i="6"/>
  <c r="AC90" i="8"/>
  <c r="X68" i="9" s="1"/>
  <c r="X69" i="9"/>
  <c r="AD98" i="8" a="1"/>
  <c r="AD98" i="8" s="1"/>
  <c r="AC93" i="8"/>
  <c r="I87" i="5"/>
  <c r="O86" i="5"/>
  <c r="AD95" i="8"/>
  <c r="Z70" i="9" s="1"/>
  <c r="Z73" i="9" s="1"/>
  <c r="AD94" i="8"/>
  <c r="Z71" i="9"/>
  <c r="AE99" i="8"/>
  <c r="AB97" i="8" a="1"/>
  <c r="AB97" i="8" s="1"/>
  <c r="AA92" i="8"/>
  <c r="AA96" i="8"/>
  <c r="AA91" i="8" s="1"/>
  <c r="AD90" i="8" l="1"/>
  <c r="Z68" i="9" s="1"/>
  <c r="Z69" i="9"/>
  <c r="D150" i="12"/>
  <c r="E150" i="6"/>
  <c r="I88" i="5"/>
  <c r="O87" i="5"/>
  <c r="AE94" i="8"/>
  <c r="AE95" i="8"/>
  <c r="AB70" i="9" s="1"/>
  <c r="AB73" i="9" s="1"/>
  <c r="AB71" i="9"/>
  <c r="AF99" i="8"/>
  <c r="AE98" i="8" a="1"/>
  <c r="AE98" i="8" s="1"/>
  <c r="AD93" i="8"/>
  <c r="I152" i="5"/>
  <c r="O151" i="5"/>
  <c r="AB92" i="8"/>
  <c r="AC97" i="8" a="1"/>
  <c r="AC97" i="8" s="1"/>
  <c r="AB96" i="8"/>
  <c r="AB91" i="8" s="1"/>
  <c r="D86" i="12"/>
  <c r="E86" i="6"/>
  <c r="AF98" i="8" l="1" a="1"/>
  <c r="AF98" i="8" s="1"/>
  <c r="AF93" i="8" s="1"/>
  <c r="AE93" i="8"/>
  <c r="E151" i="6"/>
  <c r="D151" i="12"/>
  <c r="AF95" i="8"/>
  <c r="AD70" i="9" s="1"/>
  <c r="AD73" i="9" s="1"/>
  <c r="G73" i="9" s="1"/>
  <c r="K10" i="8" a="1"/>
  <c r="K10" i="8" s="1"/>
  <c r="AD71" i="9"/>
  <c r="AF94" i="8"/>
  <c r="AB69" i="9"/>
  <c r="AE90" i="8"/>
  <c r="AB68" i="9" s="1"/>
  <c r="I153" i="5"/>
  <c r="O152" i="5"/>
  <c r="E87" i="6"/>
  <c r="D87" i="12"/>
  <c r="AC92" i="8"/>
  <c r="AD97" i="8" a="1"/>
  <c r="AD97" i="8" s="1"/>
  <c r="AC96" i="8"/>
  <c r="AC91" i="8" s="1"/>
  <c r="I89" i="5"/>
  <c r="O88" i="5"/>
  <c r="F11" i="8" l="1" a="1"/>
  <c r="F11" i="8" s="1"/>
  <c r="O89" i="5"/>
  <c r="I90" i="5"/>
  <c r="I154" i="5"/>
  <c r="O153" i="5"/>
  <c r="AD92" i="8"/>
  <c r="AE97" i="8" a="1"/>
  <c r="AE97" i="8" s="1"/>
  <c r="AD96" i="8"/>
  <c r="AD91" i="8" s="1"/>
  <c r="D88" i="12"/>
  <c r="E88" i="6"/>
  <c r="E152" i="6"/>
  <c r="D152" i="12"/>
  <c r="AD69" i="9"/>
  <c r="AF90" i="8"/>
  <c r="AD68" i="9" s="1"/>
  <c r="D153" i="12" l="1"/>
  <c r="E153" i="6"/>
  <c r="O154" i="5"/>
  <c r="I155" i="5"/>
  <c r="I91" i="5"/>
  <c r="O90" i="5"/>
  <c r="AF97" i="8" a="1"/>
  <c r="AF97" i="8" s="1"/>
  <c r="AE92" i="8"/>
  <c r="AE96" i="8"/>
  <c r="AE91" i="8" s="1"/>
  <c r="D89" i="12"/>
  <c r="E89" i="6"/>
  <c r="AF92" i="8" l="1"/>
  <c r="AF96" i="8"/>
  <c r="AF91" i="8" s="1"/>
  <c r="D154" i="12"/>
  <c r="E154" i="6"/>
  <c r="E90" i="6"/>
  <c r="D90" i="12"/>
  <c r="I156" i="5"/>
  <c r="O155" i="5"/>
  <c r="I92" i="5"/>
  <c r="O91" i="5"/>
  <c r="E155" i="6" l="1"/>
  <c r="D155" i="12"/>
  <c r="D91" i="12"/>
  <c r="E91" i="6"/>
  <c r="I157" i="5"/>
  <c r="O156" i="5"/>
  <c r="I93" i="5"/>
  <c r="O92" i="5"/>
  <c r="D92" i="12" l="1"/>
  <c r="E92" i="6"/>
  <c r="O93" i="5"/>
  <c r="I94" i="5"/>
  <c r="D156" i="12"/>
  <c r="E156" i="6"/>
  <c r="I158" i="5"/>
  <c r="O157" i="5"/>
  <c r="E157" i="6" l="1"/>
  <c r="D157" i="12"/>
  <c r="I159" i="5"/>
  <c r="O158" i="5"/>
  <c r="E93" i="6"/>
  <c r="D93" i="12"/>
  <c r="I95" i="5"/>
  <c r="O94" i="5"/>
  <c r="D94" i="12" l="1"/>
  <c r="E94" i="6"/>
  <c r="I160" i="5"/>
  <c r="O159" i="5"/>
  <c r="E158" i="6"/>
  <c r="D158" i="12"/>
  <c r="I96" i="5"/>
  <c r="O95" i="5"/>
  <c r="I97" i="5" l="1"/>
  <c r="O96" i="5"/>
  <c r="I161" i="5"/>
  <c r="O160" i="5"/>
  <c r="E159" i="6"/>
  <c r="D159" i="12"/>
  <c r="D95" i="12"/>
  <c r="E95" i="6"/>
  <c r="I162" i="5" l="1"/>
  <c r="O161" i="5"/>
  <c r="E160" i="6"/>
  <c r="D160" i="12"/>
  <c r="D96" i="12"/>
  <c r="E96" i="6"/>
  <c r="I98" i="5"/>
  <c r="O97" i="5"/>
  <c r="D97" i="12" l="1"/>
  <c r="E97" i="6"/>
  <c r="I99" i="5"/>
  <c r="O98" i="5"/>
  <c r="D161" i="12"/>
  <c r="E161" i="6"/>
  <c r="I163" i="5"/>
  <c r="O162" i="5"/>
  <c r="E162" i="6" l="1"/>
  <c r="D162" i="12"/>
  <c r="I164" i="5"/>
  <c r="O163" i="5"/>
  <c r="I100" i="5"/>
  <c r="O99" i="5"/>
  <c r="E98" i="6"/>
  <c r="D98" i="12"/>
  <c r="I165" i="5" l="1"/>
  <c r="O164" i="5"/>
  <c r="D163" i="12"/>
  <c r="E163" i="6"/>
  <c r="E99" i="6"/>
  <c r="D99" i="12"/>
  <c r="I101" i="5"/>
  <c r="O100" i="5"/>
  <c r="D100" i="12" l="1"/>
  <c r="E100" i="6"/>
  <c r="I102" i="5"/>
  <c r="O101" i="5"/>
  <c r="E164" i="6"/>
  <c r="D164" i="12"/>
  <c r="I166" i="5"/>
  <c r="O165" i="5"/>
  <c r="E101" i="6" l="1"/>
  <c r="D101" i="12"/>
  <c r="I167" i="5"/>
  <c r="O167" i="5" s="1"/>
  <c r="O166" i="5"/>
  <c r="I103" i="5"/>
  <c r="O102" i="5"/>
  <c r="E165" i="6"/>
  <c r="D165" i="12"/>
  <c r="E166" i="6" l="1"/>
  <c r="D166" i="12"/>
  <c r="E167" i="6"/>
  <c r="D167" i="12"/>
  <c r="D102" i="12"/>
  <c r="E102" i="6"/>
  <c r="I104" i="5"/>
  <c r="O103" i="5"/>
  <c r="E103" i="6" l="1"/>
  <c r="D103" i="12"/>
  <c r="I105" i="5"/>
  <c r="O104" i="5"/>
  <c r="I106" i="5" l="1"/>
  <c r="O105" i="5"/>
  <c r="E104" i="6"/>
  <c r="D104" i="12"/>
  <c r="E105" i="6" l="1"/>
  <c r="D105" i="12"/>
  <c r="I107" i="5"/>
  <c r="O106" i="5"/>
  <c r="D106" i="12" l="1"/>
  <c r="E106" i="6"/>
  <c r="I108" i="5"/>
  <c r="O107" i="5"/>
  <c r="E107" i="6" l="1"/>
  <c r="D107" i="12"/>
  <c r="I109" i="5"/>
  <c r="O108" i="5"/>
  <c r="I110" i="5" l="1"/>
  <c r="O109" i="5"/>
  <c r="D108" i="12"/>
  <c r="E108" i="6"/>
  <c r="D109" i="12" l="1"/>
  <c r="E109" i="6"/>
  <c r="O110" i="5"/>
  <c r="I111" i="5"/>
  <c r="E110" i="6" l="1"/>
  <c r="D110" i="12"/>
  <c r="I112" i="5"/>
  <c r="O111" i="5"/>
  <c r="I113" i="5" l="1"/>
  <c r="O112" i="5"/>
  <c r="D111" i="12"/>
  <c r="E111" i="6"/>
  <c r="E112" i="6" l="1"/>
  <c r="D112" i="12"/>
  <c r="I114" i="5"/>
  <c r="O114" i="5" s="1"/>
  <c r="O113" i="5"/>
  <c r="E114" i="6" l="1"/>
  <c r="D114" i="12"/>
  <c r="E113" i="6"/>
  <c r="D113"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41" authorId="0" shapeId="0" xr:uid="{00000000-0006-0000-0100-000001000000}">
      <text>
        <r>
          <rPr>
            <sz val="9"/>
            <color indexed="8"/>
            <rFont val="Segoe UI"/>
            <family val="2"/>
          </rPr>
          <t>Informar a data-base do CTEF no formato mm-aaaa.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I6" authorId="0" shapeId="0" xr:uid="{00000000-0006-0000-0300-000001000000}">
      <text>
        <r>
          <rPr>
            <b/>
            <sz val="9"/>
            <color indexed="8"/>
            <rFont val="Tahoma"/>
            <family val="2"/>
          </rPr>
          <t xml:space="preserve">FILTRO:
</t>
        </r>
        <r>
          <rPr>
            <sz val="9"/>
            <color indexed="8"/>
            <rFont val="Tahoma"/>
            <family val="2"/>
          </rPr>
          <t>Após a conclusão do Orçamento, utilize o filtro nessa coluna com o valor "F" para ocultar linhas não utilizadas.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J7" authorId="0" shapeId="0" xr:uid="{00000000-0006-0000-0400-000001000000}">
      <text>
        <r>
          <rPr>
            <b/>
            <sz val="9"/>
            <color indexed="8"/>
            <rFont val="Tahoma"/>
            <family val="2"/>
          </rPr>
          <t xml:space="preserve">QUANTIDADES:
</t>
        </r>
        <r>
          <rPr>
            <sz val="9"/>
            <color indexed="8"/>
            <rFont val="Tahoma"/>
            <family val="2"/>
          </rPr>
          <t>PREENCHA AS QUANTIDADES AQUI PARA ACOMPANHAMENTOS POR BM.</t>
        </r>
      </text>
    </comment>
    <comment ref="AL7" authorId="0" shapeId="0" xr:uid="{00000000-0006-0000-0400-000002000000}">
      <text>
        <r>
          <rPr>
            <b/>
            <sz val="9"/>
            <color indexed="8"/>
            <rFont val="Tahoma"/>
            <family val="2"/>
          </rPr>
          <t xml:space="preserve">PREÇO UNITÁRIO LICITADO:
</t>
        </r>
        <r>
          <rPr>
            <sz val="9"/>
            <color indexed="8"/>
            <rFont val="Tahoma"/>
            <family val="2"/>
          </rPr>
          <t>PREENCHA AQUI O PREÇO UNITÁRIO DA LICITAÇÃO.</t>
        </r>
      </text>
    </comment>
    <comment ref="L8" authorId="0" shapeId="0" xr:uid="{00000000-0006-0000-0400-000003000000}">
      <text>
        <r>
          <rPr>
            <b/>
            <sz val="9"/>
            <color indexed="8"/>
            <rFont val="Tahoma"/>
            <family val="2"/>
          </rPr>
          <t xml:space="preserve">FILTRO:
</t>
        </r>
        <r>
          <rPr>
            <sz val="9"/>
            <color indexed="8"/>
            <rFont val="Tahoma"/>
            <family val="2"/>
          </rPr>
          <t>Após a conclusão do Orçamento, utilize o filtro nessa coluna com o valor "F" para ocultar linhas não utilizadas.</t>
        </r>
      </text>
    </comment>
    <comment ref="Y8" authorId="0" shapeId="0" xr:uid="{00000000-0006-0000-0400-000004000000}">
      <text>
        <r>
          <rPr>
            <b/>
            <sz val="9"/>
            <color indexed="8"/>
            <rFont val="Tahoma"/>
            <family val="2"/>
          </rPr>
          <t xml:space="preserve">RECURSO:
</t>
        </r>
        <r>
          <rPr>
            <sz val="9"/>
            <color indexed="8"/>
            <rFont val="Tahoma"/>
            <family val="2"/>
          </rPr>
          <t>Selecione a composição do item do Orçamento no Investimento.
RA: Rateio proporcional entre Repasse e Contrapartida.
RP: 100% valor de Repasse.
CP: 100%  valor de Contrapartida.
OU: 100% valor "Outros".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D15" authorId="0" shapeId="0" xr:uid="{00000000-0006-0000-0600-000001000000}">
      <text>
        <r>
          <rPr>
            <sz val="9"/>
            <color indexed="8"/>
            <rFont val="Segoe UI"/>
            <family val="2"/>
          </rPr>
          <t>O evento de administração local é fixo, de uso opcional.
Os serviços agrupados neste evento serão medidos proporcionalmente à execução dos demais eventos.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C7" authorId="0" shapeId="0" xr:uid="{00000000-0006-0000-0A00-000001000000}">
      <text>
        <r>
          <rPr>
            <b/>
            <sz val="9"/>
            <color indexed="8"/>
            <rFont val="Tahoma"/>
            <family val="2"/>
          </rPr>
          <t xml:space="preserve">FILTRO:
</t>
        </r>
        <r>
          <rPr>
            <sz val="9"/>
            <color indexed="8"/>
            <rFont val="Tahoma"/>
            <family val="2"/>
          </rPr>
          <t>Após a conclusão do Orçamento, utilize o filtro nessa coluna com o valor "F" para ocultar linhas não utilizadas.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C8" authorId="0" shapeId="0" xr:uid="{00000000-0006-0000-0B00-000001000000}">
      <text>
        <r>
          <rPr>
            <b/>
            <sz val="9"/>
            <color indexed="8"/>
            <rFont val="Tahoma"/>
            <family val="2"/>
          </rPr>
          <t xml:space="preserve">FILTRO:
</t>
        </r>
        <r>
          <rPr>
            <sz val="9"/>
            <color indexed="8"/>
            <rFont val="Tahoma"/>
            <family val="2"/>
          </rPr>
          <t>Após a conclusão do Orçamento, utilize o filtro nessa coluna com o valor "F" para ocultar linhas não utilizadas.</t>
        </r>
      </text>
    </comment>
    <comment ref="AB12" authorId="0" shapeId="0" xr:uid="{00000000-0006-0000-0B00-000002000000}">
      <text>
        <r>
          <rPr>
            <sz val="9"/>
            <color indexed="8"/>
            <rFont val="Segoe UI"/>
            <family val="2"/>
          </rPr>
          <t>Digite nestes campos as datas das medições</t>
        </r>
      </text>
    </comment>
    <comment ref="AB13" authorId="0" shapeId="0" xr:uid="{00000000-0006-0000-0B00-000003000000}">
      <text>
        <r>
          <rPr>
            <sz val="9"/>
            <color indexed="8"/>
            <rFont val="Tahoma"/>
            <family val="2"/>
          </rPr>
          <t xml:space="preserve">Para medições além da 12ª, preencha esta coluna com as </t>
        </r>
        <r>
          <rPr>
            <b/>
            <sz val="9"/>
            <color indexed="8"/>
            <rFont val="Tahoma"/>
            <family val="2"/>
          </rPr>
          <t>quantidades acumuladas.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D7" authorId="0" shapeId="0" xr:uid="{00000000-0006-0000-0C00-000001000000}">
      <text>
        <r>
          <rPr>
            <b/>
            <sz val="9"/>
            <color indexed="8"/>
            <rFont val="Tahoma"/>
            <family val="2"/>
          </rPr>
          <t xml:space="preserve">FILTRO:
</t>
        </r>
        <r>
          <rPr>
            <sz val="9"/>
            <color indexed="8"/>
            <rFont val="Tahoma"/>
            <family val="2"/>
          </rPr>
          <t>Após a conclusão do Orçamento, utilize o filtro nessa coluna com o valor "F" para ocultar linhas não utilizadas.</t>
        </r>
      </text>
    </comment>
    <comment ref="Z25" authorId="0" shapeId="0" xr:uid="{00000000-0006-0000-0C00-000002000000}">
      <text>
        <r>
          <rPr>
            <b/>
            <sz val="9"/>
            <color indexed="8"/>
            <rFont val="Segoe UI"/>
            <family val="2"/>
          </rPr>
          <t xml:space="preserve">Valores de Contrapartida e Outros:
</t>
        </r>
        <r>
          <rPr>
            <sz val="9"/>
            <color indexed="8"/>
            <rFont val="Segoe UI"/>
            <family val="2"/>
          </rPr>
          <t>Digite somente para desbloquear valores diferentes do previsto no RRE.</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<sst xmlns="http://schemas.openxmlformats.org/spreadsheetml/2006/main" count="4745" uniqueCount="1651">
  <si>
    <t>Novidades da Versão</t>
  </si>
  <si>
    <t>V3.00</t>
  </si>
  <si>
    <t>GERAL</t>
  </si>
  <si>
    <t>Lançamento: Adequação à Portaria 424/2016. Acompanhamento por Eventos.</t>
  </si>
  <si>
    <t>V3.01</t>
  </si>
  <si>
    <t>Ajustes de formatações.</t>
  </si>
  <si>
    <t>PO</t>
  </si>
  <si>
    <t>Correção da aplicação do BDI não desonerado.</t>
  </si>
  <si>
    <t>Inclusão de coluna exclusiva "Preço Unitário Edital", para o Modo 'Orçamento Licitado'.</t>
  </si>
  <si>
    <t>V3.02</t>
  </si>
  <si>
    <t>Correção do Problema de Guias ocultas no BROFFICE.</t>
  </si>
  <si>
    <t>ORÇAMENTO</t>
  </si>
  <si>
    <t>Ampliada obtenção de dados da Planilha Referência de 20.000 para 65.536 linhas.</t>
  </si>
  <si>
    <t>CRONOGRAMA</t>
  </si>
  <si>
    <t>Correção na formulação do total acumulado por Repasse, CP e Outros</t>
  </si>
  <si>
    <t>QCI</t>
  </si>
  <si>
    <t>Correção na formulação do arredondamento no rateio dos valores do QCI.</t>
  </si>
  <si>
    <t>RRE</t>
  </si>
  <si>
    <t>Correção na formulação do total por Repasse, CP e Outros.</t>
  </si>
  <si>
    <t>V3.03</t>
  </si>
  <si>
    <t>CÁLCULO</t>
  </si>
  <si>
    <t>Corrigida lentidão e travamento ao incluir e excluir frentes.</t>
  </si>
  <si>
    <t>V3.04</t>
  </si>
  <si>
    <t>BDI</t>
  </si>
  <si>
    <t>Correção da CPRB que exibia 4,5% mesmo quando não desonerado.</t>
  </si>
  <si>
    <t>Correção da distribuição de Repasse, CP e Outros para as metas manuais.</t>
  </si>
  <si>
    <t>Adicionado botão para adotar a CP do QCI como CP do contrato (zera saldo a reprogramar de CP).</t>
  </si>
  <si>
    <t>V3.05</t>
  </si>
  <si>
    <t>Corrigido modo de Cálculo da Planilha para Automático.</t>
  </si>
  <si>
    <t>V3.06</t>
  </si>
  <si>
    <t>Adicionado modo de arredondamento para compatibilidade com o TransfereGOV, altera na aba DADOS</t>
  </si>
  <si>
    <t>A planilha passará a ser disponibilizada com o formato .xlsm. Deve ser usado arquivo referência 1.9 ou superior, também no formato .xlsm</t>
  </si>
  <si>
    <t>V3.07</t>
  </si>
  <si>
    <t>Alterada a posição da aba NOVO para antes da aba MENU.</t>
  </si>
  <si>
    <t>Alterada a posição da aba CÁLCULO para depois da aba EVENTOS. Pois, no caso de acompanhamento por PLE, a lista supensa na coluna "Nº  Agrupador de Eventos" na aba CÁLCULO depende do preenchimento prévio da aba EVENTOS.</t>
  </si>
  <si>
    <t>Alterada a posição da aba CRONO para depois da aba CRONOPLE. Pois, no caso de acompanhamento por PLE, a aba CRONO tem o preenchimento automático a partir da aba CRONOPLE.</t>
  </si>
  <si>
    <t>Alterada a posição da aba PLE para depois da aba QCI. Com a finalidade de deixar agrupadas todas as abas de acompanhamento (PLE, BM, RRE, OFÍCIO).</t>
  </si>
  <si>
    <t>Acrescentados botões de navegação (cor azul claro) em várias abas. Em relação a esses botões, também foram ajustados os links, nomes e formatação.</t>
  </si>
  <si>
    <t>Criada macro para exibir apenas as abas pertinentes (exemplo: caso o acompanhamento seja por PLE, a aba BM fica oculta).</t>
  </si>
  <si>
    <t>Ajuste na macro para correção automática do Nº AGRUPADOR DE EVENTOS na aba CÁLCULO, quando se ADCIONAR ou EXCLUIR LINHAS na aba EVENTOS.</t>
  </si>
  <si>
    <t>MENU</t>
  </si>
  <si>
    <t>Acrescentado o botão "IMPORTAR DE OUTROS MODELOS CAIXA": PO (MO27476); PLE (MO27477); e QCI (MO41211).</t>
  </si>
  <si>
    <t xml:space="preserve">Acrescentado o botão de seleção "Importar Fórmulas para o Custo Unitário (aba ORÇAMENTO)". </t>
  </si>
  <si>
    <t>Caso selecionada, será importada a fórmula (se houver) do custo unitário; Caso desmarcada, será importado somente o valor.</t>
  </si>
  <si>
    <t xml:space="preserve">Acrescentado o botão de seleção "Importar Fórmulas para as Quantidades da PLQ (aba CÁLCULO)". </t>
  </si>
  <si>
    <t>Caso selecionada, será importada a fórmula (se houver) do quantitativo; Caso desmarcada, será importado somente o valor.</t>
  </si>
  <si>
    <t>Atualizada a macro de Importação para incluir a importar da coluna "Nº Agrupador de Eventos" da aba CÁLCULO.</t>
  </si>
  <si>
    <t>Atualizada a macro de Imprimir Documentos (para englobar as abas EVENTOS e CRONOPLE).</t>
  </si>
  <si>
    <t>Ajuste automático do valor da CPRB em função da data base do orçamento (para atendimento do Art. 9-A da Lei 12.546 de 14/12/2011).</t>
  </si>
  <si>
    <t>EVENTOS</t>
  </si>
  <si>
    <t>Acrescentados os dados de identificação do Contrato de Repasse.</t>
  </si>
  <si>
    <t>Acrescentadas as colunas dos totais dos Eventos por Frentes de Obra.</t>
  </si>
  <si>
    <t>Acrescentados os dados de Local, Data e Responsável Técnico.</t>
  </si>
  <si>
    <t>Acrescentado FILTRO para exibir apenas as linhas preenchidas.</t>
  </si>
  <si>
    <t>CRONOPLE</t>
  </si>
  <si>
    <t>Acrescentado o quadro "Cronograma" com percentual e valor da parcela e percentual e valor acumulado.</t>
  </si>
  <si>
    <t>Correção na fórmula da data, para replicar a “Data de fechamento do RRE” na aba DADOS.</t>
  </si>
  <si>
    <t>OFÍCIO</t>
  </si>
  <si>
    <t>Exclusão do quadro "Resumo de Valores por CTEF".</t>
  </si>
  <si>
    <t>V3.08</t>
  </si>
  <si>
    <t>Incluídos alertas de erro de preenchimento em todas as abas.</t>
  </si>
  <si>
    <t>Incluído botão de macro para gerar arquivo (em xlsx) para upload da PO e CFF no TransfereGOV.</t>
  </si>
  <si>
    <t>Ajustada a macro "Importar de outra Planilha Múltipla" para importar o Cronograma da aba CRONO. Também foram incluídas as importações dos campos: Data do preenchimento (DADOS), Data de fechamento do RRE (DADOS); nº da 1ª Parcela do Cronograma (CRONO), mês da 1ª Parcela do Cronograma (CRONO), nº da Medição (BM) e nº da Medição (PLE).</t>
  </si>
  <si>
    <t>Incluída a informação do progresso na macro "Importar de outra Planilha Múltipla", por meio de uma barra de progresso (janela que será exibida na tela) e da indicação das etapas de importação na barra de status do Excel (canto inferior esquerdo da janela do Excel).</t>
  </si>
  <si>
    <t>Incluídos botões de navegação para os formulários de BDI (BDI 1, BDI 2, BDI 3).</t>
  </si>
  <si>
    <t>Incluído botão de macro para padronizar as siglas de unidades, conforme lista de siglas válidas no TransfereGOV.</t>
  </si>
  <si>
    <t>O Título de Evento "Administração Local" com preenchimento automático proporcional agora é exibido apenas no modo Arredondamento de Frentes "Tradicional" e para a opção Agrupadores de Eventos "Definir Manualmente".</t>
  </si>
  <si>
    <t>Não é mais possível deixar Eventos em branco (sem nome ou sem valor).</t>
  </si>
  <si>
    <t>Não é mais possível deixar Frentes de Obra em branco (sem nome ou sem quantidades).</t>
  </si>
  <si>
    <t>Incluído campo para selecionar o Título do Evento referente à Administração Local (acompanhamento por PLE).</t>
  </si>
  <si>
    <t>Incluída linha com o percentual acumulado da Administração Local em cada período.</t>
  </si>
  <si>
    <t>CRONO</t>
  </si>
  <si>
    <t>Ajustada a fórmula do % acumulado a partir da parcela 13 (para manter o padrão da fórmula das parcelas 1 a 12).</t>
  </si>
  <si>
    <t>Incluído campo para selecionar o Macrosserviço referente à Administração Local (acompanhamento por BM).</t>
  </si>
  <si>
    <t>Incluída linha com o percentual acumulado da Administração Local em cada parcela.</t>
  </si>
  <si>
    <t>Corrigida a fórmula do % no quadro "Percentual previsto em:". Que estava limitada a buscar o % previsto até a parcela 12.</t>
  </si>
  <si>
    <t>PLE</t>
  </si>
  <si>
    <t>Incluída linha com o percentual acumulado da Administração Local em cada medição.</t>
  </si>
  <si>
    <t>BM</t>
  </si>
  <si>
    <t>Incluído campo com o percentual medido acumulado da Administração Local.</t>
  </si>
  <si>
    <t>V3.09</t>
  </si>
  <si>
    <t>Atualizada a macro "Gerar arquivo para upload no TransfereGOV" para ajustar os códigos de composições SINAPI (acrescentar zeros a esquerda até completar dez dígitos) para Data base igual ou superior a JAN/2025.</t>
  </si>
  <si>
    <t>Acrescentada formatação condicional na coluna "Descrição" para exibir os textos de alerta de erro, textos que começam com "(", na cor vermelha.</t>
  </si>
  <si>
    <t>Corrigida a macro dos botões de navegação para os formulários do BDI.</t>
  </si>
  <si>
    <t>PM</t>
  </si>
  <si>
    <t>Proposto</t>
  </si>
  <si>
    <t>DADOS DO CONTRATO</t>
  </si>
  <si>
    <t>NOVIDADES DA VERSÃO</t>
  </si>
  <si>
    <t>Licitado</t>
  </si>
  <si>
    <t>LEGENDA:</t>
  </si>
  <si>
    <r>
      <t xml:space="preserve">Cores das </t>
    </r>
    <r>
      <rPr>
        <b/>
        <sz val="10"/>
        <rFont val="Arial"/>
        <family val="2"/>
      </rPr>
      <t>células</t>
    </r>
    <r>
      <rPr>
        <sz val="10"/>
        <rFont val="Arial"/>
        <family val="2"/>
      </rPr>
      <t>:</t>
    </r>
  </si>
  <si>
    <t>Fundo amarelo: células para preencher</t>
  </si>
  <si>
    <t>Fundo azul: células para seleção de opções</t>
  </si>
  <si>
    <r>
      <t xml:space="preserve">Cores dos </t>
    </r>
    <r>
      <rPr>
        <b/>
        <sz val="10"/>
        <rFont val="Arial"/>
        <family val="2"/>
      </rPr>
      <t>botões</t>
    </r>
    <r>
      <rPr>
        <sz val="10"/>
        <rFont val="Arial"/>
        <family val="2"/>
      </rPr>
      <t>:</t>
    </r>
  </si>
  <si>
    <t>Fundo azul claro: navegação entre abas</t>
  </si>
  <si>
    <t>Fundo laranja: execução de macro</t>
  </si>
  <si>
    <t>A. DOCUMENTAÇÃO DA PROPOSTA</t>
  </si>
  <si>
    <t>Sub-Itens de Investimento</t>
  </si>
  <si>
    <t>Unidades válidas no Tgov</t>
  </si>
  <si>
    <t>Itens de Investimento</t>
  </si>
  <si>
    <t>Unidades habitacionais</t>
  </si>
  <si>
    <t>Equipamentos comunitários</t>
  </si>
  <si>
    <t>Pavimentação</t>
  </si>
  <si>
    <t xml:space="preserve">Drenagem </t>
  </si>
  <si>
    <t>Abastecimento de água</t>
  </si>
  <si>
    <t>Esgotamento sanitário</t>
  </si>
  <si>
    <t>Energia elétrica e iluminação pública</t>
  </si>
  <si>
    <t>Coleta e tratamento de resíduos sólidos</t>
  </si>
  <si>
    <t xml:space="preserve">Contenção e estabilização de encostas </t>
  </si>
  <si>
    <t>Regularização fundiária</t>
  </si>
  <si>
    <t>Aquisição de terreno</t>
  </si>
  <si>
    <t>Aquisição de equipamentos e insumos</t>
  </si>
  <si>
    <t>Elaboração de estudos e projetos</t>
  </si>
  <si>
    <t>Instrumentos e ações em planejamento e gestão pública</t>
  </si>
  <si>
    <t>Ações complementares às obras</t>
  </si>
  <si>
    <t>Gerenciamento</t>
  </si>
  <si>
    <t>Trabalho social</t>
  </si>
  <si>
    <t>Sigla</t>
  </si>
  <si>
    <t>Descrição</t>
  </si>
  <si>
    <t>Dados do Contrato (Inicial)</t>
  </si>
  <si>
    <t>Aquisição</t>
  </si>
  <si>
    <t>un</t>
  </si>
  <si>
    <t>Convivência comunitária, assistência social e/ou comunitária</t>
  </si>
  <si>
    <t>m²</t>
  </si>
  <si>
    <t>Capeamento de vias</t>
  </si>
  <si>
    <t xml:space="preserve">Obras de microdrenagem </t>
  </si>
  <si>
    <t>m</t>
  </si>
  <si>
    <t>Captação subterrânea</t>
  </si>
  <si>
    <t>m³/s</t>
  </si>
  <si>
    <t>Ligações domiciliares e/ou intradomiciliares</t>
  </si>
  <si>
    <t>Iluminação pública - luminárias</t>
  </si>
  <si>
    <t xml:space="preserve">Acondicionamento </t>
  </si>
  <si>
    <t>Estabilização de taludes</t>
  </si>
  <si>
    <t>Desapropriacões/Indenizações</t>
  </si>
  <si>
    <t>Avaliação pós intervenção</t>
  </si>
  <si>
    <t>%CT</t>
  </si>
  <si>
    <t>Projeto de Trabalho Social Preliminar</t>
  </si>
  <si>
    <t>nº fam</t>
  </si>
  <si>
    <t>Fonte de recursos:</t>
  </si>
  <si>
    <t>(SELECIONAR)</t>
  </si>
  <si>
    <t>Construção</t>
  </si>
  <si>
    <t>Educação e cultura</t>
  </si>
  <si>
    <t>Recapeamento de vias</t>
  </si>
  <si>
    <t>Desassoreamento de cursos de água</t>
  </si>
  <si>
    <t>Captação superficial</t>
  </si>
  <si>
    <t>Rede coletora e/ou condominial</t>
  </si>
  <si>
    <t>Ligações domiciliares</t>
  </si>
  <si>
    <t>Aterro sanitário e/ou disposição final</t>
  </si>
  <si>
    <t>m³</t>
  </si>
  <si>
    <t>Obras complementares a ações de redução de risco e/ou contenções</t>
  </si>
  <si>
    <t>Projeto de Regularização Fundiária</t>
  </si>
  <si>
    <t>Benfeitorias</t>
  </si>
  <si>
    <t>Demolições</t>
  </si>
  <si>
    <t>Projeto de Trabalho Social</t>
  </si>
  <si>
    <t>°C</t>
  </si>
  <si>
    <t>GRAU CELSIUS</t>
  </si>
  <si>
    <t>Proponente/Tomador:</t>
  </si>
  <si>
    <t>Reforma e/ou melhoria</t>
  </si>
  <si>
    <t>Esportes</t>
  </si>
  <si>
    <t>Obras de artes especiais</t>
  </si>
  <si>
    <t>Canalização de cursos de água</t>
  </si>
  <si>
    <t>Estação de bombeamento de água bruta</t>
  </si>
  <si>
    <t>Coletor tronco e/ou interceptores</t>
  </si>
  <si>
    <t xml:space="preserve">Linhas de distribuição - baixa tensão </t>
  </si>
  <si>
    <t>Erradicação de lixões</t>
  </si>
  <si>
    <t>Plano de Reassentamento e medidas compensatórias</t>
  </si>
  <si>
    <t>Plano de Desenvolvimento Socioterritorial</t>
  </si>
  <si>
    <t>°F</t>
  </si>
  <si>
    <t>GRAU FAHRENHEIT</t>
  </si>
  <si>
    <t>Município/UF:</t>
  </si>
  <si>
    <t>Lazer e turismo</t>
  </si>
  <si>
    <t>Pavimentação de calçadas</t>
  </si>
  <si>
    <t>Recomposição de vegetação ciliar, renaturalização de cursos de água ou restauração de margens</t>
  </si>
  <si>
    <t>Adução</t>
  </si>
  <si>
    <t>Emissário</t>
  </si>
  <si>
    <t xml:space="preserve">Linhas de transmissão - alta tensão </t>
  </si>
  <si>
    <t>Sistema de coleta seletiva tradicional, transporte e/ou equipamentos</t>
  </si>
  <si>
    <t>Plano de Gestão Condominial</t>
  </si>
  <si>
    <t>100M</t>
  </si>
  <si>
    <t>100 METROS</t>
  </si>
  <si>
    <t>Nº da Operação (0000000-00):</t>
  </si>
  <si>
    <t>Saúde</t>
  </si>
  <si>
    <t>Pavimentação de vias</t>
  </si>
  <si>
    <t>Reservatório de amortecimento de cheias</t>
  </si>
  <si>
    <t>Estação de Tratamento de Água (ETA)</t>
  </si>
  <si>
    <t>Estação Elevatória</t>
  </si>
  <si>
    <t xml:space="preserve">Tratamento local </t>
  </si>
  <si>
    <t>18L</t>
  </si>
  <si>
    <t>18 LITROS</t>
  </si>
  <si>
    <t>Nº do TransfereGOV (000000):</t>
  </si>
  <si>
    <t>Segurança pública</t>
  </si>
  <si>
    <t>Sinalização</t>
  </si>
  <si>
    <t>Estação de Bombeamento</t>
  </si>
  <si>
    <t>Estação de bombeamento de água tratada</t>
  </si>
  <si>
    <t>Estação de Tratamento de Esgoto (ETE)</t>
  </si>
  <si>
    <t xml:space="preserve">Usinas de reciclagem </t>
  </si>
  <si>
    <t>200KG</t>
  </si>
  <si>
    <t>200 QUILOS</t>
  </si>
  <si>
    <t>Linha de recalque</t>
  </si>
  <si>
    <t>Sistema simplificado de tratamento</t>
  </si>
  <si>
    <t>250G</t>
  </si>
  <si>
    <t>250 GRAMAS</t>
  </si>
  <si>
    <t>Valor de Contrapartida Contratada (R$):</t>
  </si>
  <si>
    <t>Reservação</t>
  </si>
  <si>
    <t>Unidades sanitárias</t>
  </si>
  <si>
    <t>310ML</t>
  </si>
  <si>
    <t>310 MILILITROS</t>
  </si>
  <si>
    <t>% mínimo de Contrapartida:</t>
  </si>
  <si>
    <t>Rede de distribuição</t>
  </si>
  <si>
    <t>50KG</t>
  </si>
  <si>
    <t>50 QUILOS</t>
  </si>
  <si>
    <t>R$ mínimo de Contrapartida (se houver):</t>
  </si>
  <si>
    <t>A</t>
  </si>
  <si>
    <t>AMPÈRE</t>
  </si>
  <si>
    <t>% máximo de Contrapartida:</t>
  </si>
  <si>
    <t>Sistema simplificado de abastecimento</t>
  </si>
  <si>
    <t>ACA/ACC</t>
  </si>
  <si>
    <t>A.CORR.ALTERN/CONT.</t>
  </si>
  <si>
    <t>AH</t>
  </si>
  <si>
    <t>AMPÈRE HORA</t>
  </si>
  <si>
    <t>Dados do Empreendimento e Orçamento</t>
  </si>
  <si>
    <t>AH/H/V</t>
  </si>
  <si>
    <t>AMPÉRE-H/H/VOLT</t>
  </si>
  <si>
    <t>Nome/apelido:</t>
  </si>
  <si>
    <t>AM</t>
  </si>
  <si>
    <t>AMPOLA</t>
  </si>
  <si>
    <t>Descrição do Objeto do Lote / CTEF:</t>
  </si>
  <si>
    <t>AM0/4ML</t>
  </si>
  <si>
    <t>AMPOLA COM 0,4 Ml</t>
  </si>
  <si>
    <t>Regime previdenciário previsto para a obra:</t>
  </si>
  <si>
    <t>AM0/5ML</t>
  </si>
  <si>
    <t>AMPOLA COM 0,5 mL</t>
  </si>
  <si>
    <t>Data base do Orçamento:</t>
  </si>
  <si>
    <t>AM1/5ML</t>
  </si>
  <si>
    <t>AMPOLA COM 1,5 mL</t>
  </si>
  <si>
    <t>AM10ML</t>
  </si>
  <si>
    <t>AMPOLA COM 10 mL</t>
  </si>
  <si>
    <t>Responsável pelo Orçamento</t>
  </si>
  <si>
    <t>AM1ML</t>
  </si>
  <si>
    <t>AMPOLA COM 1 mL</t>
  </si>
  <si>
    <t>Nome:</t>
  </si>
  <si>
    <t>AM2/5ML</t>
  </si>
  <si>
    <t>AMPOLA COM 2,5 mL</t>
  </si>
  <si>
    <t>CREA/CAU:</t>
  </si>
  <si>
    <t>AM2ML</t>
  </si>
  <si>
    <t>AMPOLA COM 2 mL</t>
  </si>
  <si>
    <t>ART/RRT:</t>
  </si>
  <si>
    <t>AM3ML</t>
  </si>
  <si>
    <t>AMPOLA COM 3 mL</t>
  </si>
  <si>
    <t>Data do preenchimento:</t>
  </si>
  <si>
    <t/>
  </si>
  <si>
    <t>AM4ML</t>
  </si>
  <si>
    <t>AMPOLA COM 4 mL</t>
  </si>
  <si>
    <t>AM5ML</t>
  </si>
  <si>
    <t>AMPOLA COM 5 mL</t>
  </si>
  <si>
    <t>Responsável pelo Tomador (Prefeito, no caso de Municípios)</t>
  </si>
  <si>
    <t>AM6ML</t>
  </si>
  <si>
    <t>AMPOLA COM 6 mL</t>
  </si>
  <si>
    <t>AM7ML</t>
  </si>
  <si>
    <t>AMPOLA COM 7 mL</t>
  </si>
  <si>
    <t>Cargo:</t>
  </si>
  <si>
    <t>ANO</t>
  </si>
  <si>
    <t>ANO/ANOS</t>
  </si>
  <si>
    <t>ANOS</t>
  </si>
  <si>
    <t>Arredondamento das frentes:</t>
  </si>
  <si>
    <t>ARR</t>
  </si>
  <si>
    <t>ARROBA</t>
  </si>
  <si>
    <t>AWG</t>
  </si>
  <si>
    <t>AMERICAN WIRE GAUGE</t>
  </si>
  <si>
    <t>B. RESULTADO DO PROCESSO LICITATÓRIO</t>
  </si>
  <si>
    <t>BAR</t>
  </si>
  <si>
    <t>BARRIL</t>
  </si>
  <si>
    <t>BAR.</t>
  </si>
  <si>
    <t>Licitação</t>
  </si>
  <si>
    <t>BD</t>
  </si>
  <si>
    <t>BALDE</t>
  </si>
  <si>
    <t>Data de emissão dos documentos de licitação:</t>
  </si>
  <si>
    <t>BIS</t>
  </si>
  <si>
    <t>BISNAGA</t>
  </si>
  <si>
    <t>Nº do CTEF (contrato com empresa):</t>
  </si>
  <si>
    <t>BIS/GL</t>
  </si>
  <si>
    <t>BISNAGA POR GALÃO</t>
  </si>
  <si>
    <t>Nome da empresa:</t>
  </si>
  <si>
    <t>BIS1/65G</t>
  </si>
  <si>
    <t>BISNAGA COM 1,65 g</t>
  </si>
  <si>
    <t>CNPJ da empresa:</t>
  </si>
  <si>
    <t>BIS1/8G</t>
  </si>
  <si>
    <t>BISNAGA COM 1,8 g</t>
  </si>
  <si>
    <t>Regime de execução do CTEF:</t>
  </si>
  <si>
    <t>BIS100G</t>
  </si>
  <si>
    <t>BISNAGA COM 100 g</t>
  </si>
  <si>
    <t>Data base do CTEF:</t>
  </si>
  <si>
    <t>BIS10G</t>
  </si>
  <si>
    <t>BISNAGA COM 10 g</t>
  </si>
  <si>
    <t>BIS135G</t>
  </si>
  <si>
    <t>BISNAGA COM 135 g</t>
  </si>
  <si>
    <t>BIS13G</t>
  </si>
  <si>
    <t>BISNAGA COM 13 g</t>
  </si>
  <si>
    <t>C. ACOMPANHAMENTO DO EMPREENDIMENTO</t>
  </si>
  <si>
    <t>BIS14G</t>
  </si>
  <si>
    <t>BISNAGA COM 14 g</t>
  </si>
  <si>
    <t>BIS15G</t>
  </si>
  <si>
    <t>BISNAGA COM 15 g</t>
  </si>
  <si>
    <t>Dados da obra</t>
  </si>
  <si>
    <t>BIS1G</t>
  </si>
  <si>
    <t>BISNAGA COM 1 g</t>
  </si>
  <si>
    <t>Data do Início da Obra:</t>
  </si>
  <si>
    <t>BIS20G</t>
  </si>
  <si>
    <t>BISNAGA COM 20 g</t>
  </si>
  <si>
    <t>Data de fechamento do RRE:</t>
  </si>
  <si>
    <t>BIS25G</t>
  </si>
  <si>
    <t>BISNAGA COM 25 g</t>
  </si>
  <si>
    <t>BIS28/8G</t>
  </si>
  <si>
    <t>BISNAGA COM 28,8 g</t>
  </si>
  <si>
    <t>Responsável pela Fiscalização</t>
  </si>
  <si>
    <t>BIS28G</t>
  </si>
  <si>
    <t>BISNAGA COM 28 g</t>
  </si>
  <si>
    <t>BIS2G</t>
  </si>
  <si>
    <t>BISNAGA COM 2 g</t>
  </si>
  <si>
    <t>Profissão:</t>
  </si>
  <si>
    <t>BIS3/5G</t>
  </si>
  <si>
    <t>BISNAGA COM 3,5 g</t>
  </si>
  <si>
    <t>CREA/CAU (para obras/projetos):</t>
  </si>
  <si>
    <t>BIS30G</t>
  </si>
  <si>
    <t>BISNAGA COM 30 g</t>
  </si>
  <si>
    <t>ART/RRT (para obras/projetos):</t>
  </si>
  <si>
    <t>BIS30ML</t>
  </si>
  <si>
    <t>BISNAGA COM 30 mL</t>
  </si>
  <si>
    <t>BIS40G</t>
  </si>
  <si>
    <t>BISNAGA COM 40 g</t>
  </si>
  <si>
    <t>BIS43G</t>
  </si>
  <si>
    <t>BISNAGA COM 43 g</t>
  </si>
  <si>
    <t>D. ACOMPANHAMENTO CAIXA</t>
  </si>
  <si>
    <t>BIS45G</t>
  </si>
  <si>
    <t>BISNAGA COM 45 g</t>
  </si>
  <si>
    <t>BIS47G</t>
  </si>
  <si>
    <t>BISNAGA COM 47 g</t>
  </si>
  <si>
    <t>Responsável Gerencial</t>
  </si>
  <si>
    <t>BIS4G</t>
  </si>
  <si>
    <t>BISNAGA COM 4 g</t>
  </si>
  <si>
    <t>BIS50G</t>
  </si>
  <si>
    <t>BISNAGA COM 50 g</t>
  </si>
  <si>
    <t>Função:</t>
  </si>
  <si>
    <t>BIS55G</t>
  </si>
  <si>
    <t>BISNAGA COM 55 g</t>
  </si>
  <si>
    <t>BIS56G</t>
  </si>
  <si>
    <t>BISNAGA COM 56 g</t>
  </si>
  <si>
    <t>BIS5G</t>
  </si>
  <si>
    <t>BISNAGA COM 5 g</t>
  </si>
  <si>
    <t>BIS60G</t>
  </si>
  <si>
    <t>BISNAGA COM 60 g</t>
  </si>
  <si>
    <t>BIS6G</t>
  </si>
  <si>
    <t>BISNAGA COM 6 g</t>
  </si>
  <si>
    <t>BIS7/5G</t>
  </si>
  <si>
    <t>BISNAGA COM 7,5 g</t>
  </si>
  <si>
    <t>BIS70G</t>
  </si>
  <si>
    <t>BISNAGA COM 70 g</t>
  </si>
  <si>
    <t>BIS80G</t>
  </si>
  <si>
    <t>BISNAGA COM 80 g</t>
  </si>
  <si>
    <t>BIS90G</t>
  </si>
  <si>
    <t>BISNAGA COM 90 g</t>
  </si>
  <si>
    <t>BIT</t>
  </si>
  <si>
    <t>BITS</t>
  </si>
  <si>
    <t>BL</t>
  </si>
  <si>
    <t>BLOCO</t>
  </si>
  <si>
    <t>BLIS</t>
  </si>
  <si>
    <t>BLISTER</t>
  </si>
  <si>
    <t>BLIS21CP</t>
  </si>
  <si>
    <t>BLISTER COM 21 COMPRIMIDOS</t>
  </si>
  <si>
    <t>BLIS35CP</t>
  </si>
  <si>
    <t>BLISTER COM 35 COMPRIMIDOS</t>
  </si>
  <si>
    <t>BOB</t>
  </si>
  <si>
    <t>BOBINA</t>
  </si>
  <si>
    <t>BOL</t>
  </si>
  <si>
    <t>BOLSA</t>
  </si>
  <si>
    <t>BOM</t>
  </si>
  <si>
    <t>BOMBONA</t>
  </si>
  <si>
    <t>BPM</t>
  </si>
  <si>
    <t>BATIDA POR MINUTO</t>
  </si>
  <si>
    <t>BPS</t>
  </si>
  <si>
    <t>BYTE POR SEGUNDO</t>
  </si>
  <si>
    <t>BR</t>
  </si>
  <si>
    <t>BARRA</t>
  </si>
  <si>
    <t>BRI</t>
  </si>
  <si>
    <t>BARRICA</t>
  </si>
  <si>
    <t>BTJ</t>
  </si>
  <si>
    <t>BOTIJÃO</t>
  </si>
  <si>
    <t>BTU</t>
  </si>
  <si>
    <t>BRITISH THERMAL UNIT</t>
  </si>
  <si>
    <t>BTU/H</t>
  </si>
  <si>
    <t>BTU POR HORA</t>
  </si>
  <si>
    <t>BWG</t>
  </si>
  <si>
    <t>FIEIRA DE BIRMINGHAN</t>
  </si>
  <si>
    <t>C</t>
  </si>
  <si>
    <t>CENTENA</t>
  </si>
  <si>
    <t>CA</t>
  </si>
  <si>
    <t>CARTUCHO</t>
  </si>
  <si>
    <t>CAD</t>
  </si>
  <si>
    <t>CADERNO</t>
  </si>
  <si>
    <t>CAL/G</t>
  </si>
  <si>
    <t>CALORIA/GRAMA</t>
  </si>
  <si>
    <t>CAPS</t>
  </si>
  <si>
    <t>CÁPSULA</t>
  </si>
  <si>
    <t>CAR</t>
  </si>
  <si>
    <t>CARACTER</t>
  </si>
  <si>
    <t>CC</t>
  </si>
  <si>
    <t>CILINDRADA</t>
  </si>
  <si>
    <t>CD</t>
  </si>
  <si>
    <t>CANDELA</t>
  </si>
  <si>
    <t>CD/M2</t>
  </si>
  <si>
    <t>CANDELA/METRO 2</t>
  </si>
  <si>
    <t>CENTO</t>
  </si>
  <si>
    <t>CG</t>
  </si>
  <si>
    <t>CENTIGRAMA</t>
  </si>
  <si>
    <t>CH</t>
  </si>
  <si>
    <t>CHAPA</t>
  </si>
  <si>
    <t>CHI</t>
  </si>
  <si>
    <t>CHP</t>
  </si>
  <si>
    <t>CI</t>
  </si>
  <si>
    <t>CURIE</t>
  </si>
  <si>
    <t>CIL</t>
  </si>
  <si>
    <t>CILINDRO</t>
  </si>
  <si>
    <t>CIN</t>
  </si>
  <si>
    <t>CINQUENTA</t>
  </si>
  <si>
    <t>CJ</t>
  </si>
  <si>
    <t>CONJUNTO</t>
  </si>
  <si>
    <t>CL</t>
  </si>
  <si>
    <t>CENTILITRO</t>
  </si>
  <si>
    <t>CM</t>
  </si>
  <si>
    <t>CENTÍMETRO</t>
  </si>
  <si>
    <t>CM/POL</t>
  </si>
  <si>
    <t>CENTÍMETRO/POLEGADA</t>
  </si>
  <si>
    <t>CM2</t>
  </si>
  <si>
    <t>CENTIMETRO QUADRADO</t>
  </si>
  <si>
    <t>CM2/H</t>
  </si>
  <si>
    <t>CENT.QUAD/HORA</t>
  </si>
  <si>
    <t>CM2/M</t>
  </si>
  <si>
    <t>CENT.QUADRADO/METRO</t>
  </si>
  <si>
    <t>CM3</t>
  </si>
  <si>
    <t>CENTÍMETRO CÚBICO</t>
  </si>
  <si>
    <t>CM³/H</t>
  </si>
  <si>
    <t>CENT.CÚBICO POR HORA</t>
  </si>
  <si>
    <t>CM³/MIN</t>
  </si>
  <si>
    <t>CM³/MINUTO</t>
  </si>
  <si>
    <t>CNT</t>
  </si>
  <si>
    <t>RECIPIENTE</t>
  </si>
  <si>
    <t>CO</t>
  </si>
  <si>
    <t>CONTEINER</t>
  </si>
  <si>
    <t>COL</t>
  </si>
  <si>
    <t>COLEÇÃO</t>
  </si>
  <si>
    <t>COMP</t>
  </si>
  <si>
    <t>COMPRIMENTO</t>
  </si>
  <si>
    <t>COMPR</t>
  </si>
  <si>
    <t>COMPRIMIDO</t>
  </si>
  <si>
    <t>CÓPIA</t>
  </si>
  <si>
    <t>COPO</t>
  </si>
  <si>
    <t>CP</t>
  </si>
  <si>
    <t>CENTIPOISE</t>
  </si>
  <si>
    <t>CPL</t>
  </si>
  <si>
    <t>CARACTERES POR LINHA</t>
  </si>
  <si>
    <t>CPM</t>
  </si>
  <si>
    <t>CÓPIA POR MINUTO</t>
  </si>
  <si>
    <t>CPS</t>
  </si>
  <si>
    <t>CARACTER POR SEGUNDO</t>
  </si>
  <si>
    <t>CRT</t>
  </si>
  <si>
    <t>CARRETEL</t>
  </si>
  <si>
    <t>CS</t>
  </si>
  <si>
    <t>GRADEADO DE JAULA</t>
  </si>
  <si>
    <t>CST</t>
  </si>
  <si>
    <t>CENTISTOCKS</t>
  </si>
  <si>
    <t>CT</t>
  </si>
  <si>
    <t>CARTAO</t>
  </si>
  <si>
    <t>CTE</t>
  </si>
  <si>
    <t>CARTELA</t>
  </si>
  <si>
    <t>CV</t>
  </si>
  <si>
    <t>CAVALO VAPOR</t>
  </si>
  <si>
    <t>CX</t>
  </si>
  <si>
    <t>CAIXA</t>
  </si>
  <si>
    <t>CX100UN</t>
  </si>
  <si>
    <t>CAIXA COM 100 UNIDADES</t>
  </si>
  <si>
    <t>CX40UN</t>
  </si>
  <si>
    <t>CAIXA COM 40 UNIDADES</t>
  </si>
  <si>
    <t>D</t>
  </si>
  <si>
    <t>DIA</t>
  </si>
  <si>
    <t>DAG</t>
  </si>
  <si>
    <t>DECAGRAMA</t>
  </si>
  <si>
    <t>DAL</t>
  </si>
  <si>
    <t>DECALITRO</t>
  </si>
  <si>
    <t>DAM</t>
  </si>
  <si>
    <t>DECAMETRO</t>
  </si>
  <si>
    <t>DAN</t>
  </si>
  <si>
    <t>DECANEWTON</t>
  </si>
  <si>
    <t>DB</t>
  </si>
  <si>
    <t>DECIBEL</t>
  </si>
  <si>
    <t>DBM</t>
  </si>
  <si>
    <t>DECIBEL MILIWATT</t>
  </si>
  <si>
    <t>DG</t>
  </si>
  <si>
    <t>DECIGRAMA</t>
  </si>
  <si>
    <t>DGT</t>
  </si>
  <si>
    <t>DÍGITO</t>
  </si>
  <si>
    <t>DIAS</t>
  </si>
  <si>
    <t>DISCO</t>
  </si>
  <si>
    <t>DL</t>
  </si>
  <si>
    <t>DM</t>
  </si>
  <si>
    <t>DECIMETRO</t>
  </si>
  <si>
    <t>DM2</t>
  </si>
  <si>
    <t>DECIMETRO QUADRADO</t>
  </si>
  <si>
    <t>DM3</t>
  </si>
  <si>
    <t>DECIMETRO CUBICO</t>
  </si>
  <si>
    <t>DOSES</t>
  </si>
  <si>
    <t>DPI</t>
  </si>
  <si>
    <t>PONTOS DE DEFINIÇÃO</t>
  </si>
  <si>
    <t>DPT</t>
  </si>
  <si>
    <t>DIOPTRIA</t>
  </si>
  <si>
    <t>DRAG</t>
  </si>
  <si>
    <t>DRÁGEA</t>
  </si>
  <si>
    <t>DZ</t>
  </si>
  <si>
    <t>DUZIA</t>
  </si>
  <si>
    <t>EMB</t>
  </si>
  <si>
    <t>EMBALAGEM</t>
  </si>
  <si>
    <t>EMB/H</t>
  </si>
  <si>
    <t>EMBALAGEM POR HORA</t>
  </si>
  <si>
    <t>EMP</t>
  </si>
  <si>
    <t>EMPLASTRO</t>
  </si>
  <si>
    <t>ENV</t>
  </si>
  <si>
    <t>ENVELOPE</t>
  </si>
  <si>
    <t>ENV27/9G</t>
  </si>
  <si>
    <t>ENVELOPE COM 27,9 g</t>
  </si>
  <si>
    <t>ENV30G</t>
  </si>
  <si>
    <t>ENVELOPE COM 30 g</t>
  </si>
  <si>
    <t>EQP</t>
  </si>
  <si>
    <t>EQUIPAMENTO</t>
  </si>
  <si>
    <t>EST</t>
  </si>
  <si>
    <t>ESTUDANTE</t>
  </si>
  <si>
    <t>EV</t>
  </si>
  <si>
    <t>ELÉTRON-VOLT</t>
  </si>
  <si>
    <t>F</t>
  </si>
  <si>
    <t>FARAD</t>
  </si>
  <si>
    <t>FCK</t>
  </si>
  <si>
    <t>FD</t>
  </si>
  <si>
    <t>FARDO</t>
  </si>
  <si>
    <t>FL</t>
  </si>
  <si>
    <t>FOLHA</t>
  </si>
  <si>
    <t>FLAC</t>
  </si>
  <si>
    <t>FLACONETE</t>
  </si>
  <si>
    <t>FLS/H</t>
  </si>
  <si>
    <t>FOLHAS POR HORA</t>
  </si>
  <si>
    <t>FPM</t>
  </si>
  <si>
    <t>FLASH POR MINUTO</t>
  </si>
  <si>
    <t>FPS</t>
  </si>
  <si>
    <t>FOTOS P/SEGUNDO</t>
  </si>
  <si>
    <t>FR</t>
  </si>
  <si>
    <t>FRASCO</t>
  </si>
  <si>
    <t>FR1000ML</t>
  </si>
  <si>
    <t>FRASCO COM 1000 mL</t>
  </si>
  <si>
    <t>FR100DS</t>
  </si>
  <si>
    <t>FRASCO COM 100 DOSES</t>
  </si>
  <si>
    <t>FR100ML</t>
  </si>
  <si>
    <t>FRASCO COM 100 mL</t>
  </si>
  <si>
    <t>FR105ML</t>
  </si>
  <si>
    <t>FRASCO COM 105 mL</t>
  </si>
  <si>
    <t>FR10ML</t>
  </si>
  <si>
    <t>FRASCO COM 10 mL</t>
  </si>
  <si>
    <t>FR110ML</t>
  </si>
  <si>
    <t>FRASCO COM 110 mL</t>
  </si>
  <si>
    <t>FR1200MG</t>
  </si>
  <si>
    <t>FRASCO COM 1200 MG</t>
  </si>
  <si>
    <t>FR120DS</t>
  </si>
  <si>
    <t>FRASCO COM 120 DOSES</t>
  </si>
  <si>
    <t>FR120ML</t>
  </si>
  <si>
    <t>FRASCO COM 120 mL</t>
  </si>
  <si>
    <t>FR125ML</t>
  </si>
  <si>
    <t>FRASCO COM 125 mL</t>
  </si>
  <si>
    <t>FR130DS</t>
  </si>
  <si>
    <t>FRASCO COM 130 DOSES</t>
  </si>
  <si>
    <t>FR1500MG</t>
  </si>
  <si>
    <t>FRASCO COM 1500 MG</t>
  </si>
  <si>
    <t>FR150DS</t>
  </si>
  <si>
    <t>FRASCO COM 150 DOSES</t>
  </si>
  <si>
    <t>FR150ML</t>
  </si>
  <si>
    <t>FRASCO COM 150 mL</t>
  </si>
  <si>
    <t>FR15ML</t>
  </si>
  <si>
    <t>FRASCO COM 15 mL</t>
  </si>
  <si>
    <t>FR160ML</t>
  </si>
  <si>
    <t>FRASCO COM 160 mL</t>
  </si>
  <si>
    <t>FR200DS</t>
  </si>
  <si>
    <t>FRASCO COM 200 DOSES</t>
  </si>
  <si>
    <t>FR200ML</t>
  </si>
  <si>
    <t>FRASCO COM 200 mL</t>
  </si>
  <si>
    <t>FR20ML</t>
  </si>
  <si>
    <t>FRASCO COM 20 mL</t>
  </si>
  <si>
    <t>FR240ML</t>
  </si>
  <si>
    <t>FRASCO COM 240 mL</t>
  </si>
  <si>
    <t>FR250ML</t>
  </si>
  <si>
    <t>FRASCO COM 250 mL</t>
  </si>
  <si>
    <t>FR300DS</t>
  </si>
  <si>
    <t>FRASCO COM 300 DOSES</t>
  </si>
  <si>
    <t>FR300ML</t>
  </si>
  <si>
    <t>FRASCO COM 300 mL</t>
  </si>
  <si>
    <t>FR30DS</t>
  </si>
  <si>
    <t>FRASCO COM 30 DOSES</t>
  </si>
  <si>
    <t>FR30G</t>
  </si>
  <si>
    <t>FRASCO COM 30 g</t>
  </si>
  <si>
    <t>FR30ML</t>
  </si>
  <si>
    <t>FRASCO COM 30 mL</t>
  </si>
  <si>
    <t>FR340ML</t>
  </si>
  <si>
    <t>FRASCO COM 340 mL</t>
  </si>
  <si>
    <t>FR350ML</t>
  </si>
  <si>
    <t>FRASCO COM 350 mL</t>
  </si>
  <si>
    <t>FR40ML</t>
  </si>
  <si>
    <t>FRASCO COM 40 mL</t>
  </si>
  <si>
    <t>FR45ML</t>
  </si>
  <si>
    <t>FRASCO COM 45 mL</t>
  </si>
  <si>
    <t>FR500ML</t>
  </si>
  <si>
    <t>FRASCO COM 500 mL</t>
  </si>
  <si>
    <t>H</t>
  </si>
  <si>
    <t>HORA</t>
  </si>
  <si>
    <t>KG</t>
  </si>
  <si>
    <t>QUILOGRAMA</t>
  </si>
  <si>
    <t>KM</t>
  </si>
  <si>
    <t>QUILOMETRO</t>
  </si>
  <si>
    <t>M</t>
  </si>
  <si>
    <t>METRO</t>
  </si>
  <si>
    <t>M2</t>
  </si>
  <si>
    <t>METRO QUADRADO</t>
  </si>
  <si>
    <t>M3</t>
  </si>
  <si>
    <t>METRO CÚBICO</t>
  </si>
  <si>
    <t>M3XKM</t>
  </si>
  <si>
    <t>MES</t>
  </si>
  <si>
    <t>MÊS</t>
  </si>
  <si>
    <t>MÊS/MESES</t>
  </si>
  <si>
    <t>MESES</t>
  </si>
  <si>
    <t>OUTRAS</t>
  </si>
  <si>
    <t>PAR</t>
  </si>
  <si>
    <t>PC</t>
  </si>
  <si>
    <t>PEÇA</t>
  </si>
  <si>
    <t>T</t>
  </si>
  <si>
    <t>TONELADA</t>
  </si>
  <si>
    <t>TXKM</t>
  </si>
  <si>
    <t>UN</t>
  </si>
  <si>
    <t>UNIDADE</t>
  </si>
  <si>
    <t>MIN</t>
  </si>
  <si>
    <t>MED</t>
  </si>
  <si>
    <t>MAX</t>
  </si>
  <si>
    <t>Grau de Sigilo</t>
  </si>
  <si>
    <t>Construção e Reforma de Edifícios</t>
  </si>
  <si>
    <t>AC</t>
  </si>
  <si>
    <t>#PUBLICO</t>
  </si>
  <si>
    <t>SG</t>
  </si>
  <si>
    <t>R</t>
  </si>
  <si>
    <t>Nº OPERAÇÃO</t>
  </si>
  <si>
    <t>Nº TRANSFEREGOV</t>
  </si>
  <si>
    <t>PROPONENTE / TOMADOR</t>
  </si>
  <si>
    <t>DF</t>
  </si>
  <si>
    <t>L</t>
  </si>
  <si>
    <t>FILTRO</t>
  </si>
  <si>
    <t>BDI PAD</t>
  </si>
  <si>
    <t>APELIDO DO EMPREENDIMENTO / DESCRIÇÃO DO LOTE</t>
  </si>
  <si>
    <t>Construção de Praças Urbanas, Rodovias, Ferrovias e recapeamento e pavimentação de vias urbanas</t>
  </si>
  <si>
    <t>Conforme legislação tributária municipal, definir estimativa de percentual da base de cálculo para o ISS:</t>
  </si>
  <si>
    <t>↓</t>
  </si>
  <si>
    <t>Sobre a base de cálculo, definir a respectiva alíquota do ISS (entre 2% e 5%):</t>
  </si>
  <si>
    <t>Construção de Redes de Abastecimento de Água, Coleta de Esgoto</t>
  </si>
  <si>
    <t>BDI 1</t>
  </si>
  <si>
    <t>TIPO DE OBRA</t>
  </si>
  <si>
    <t>Fornecimento de Materiais e Equipamentos (aquisição indireta - em conjunto com licitação de obras)</t>
  </si>
  <si>
    <t>Itens</t>
  </si>
  <si>
    <t>Siglas</t>
  </si>
  <si>
    <t>% Adotado</t>
  </si>
  <si>
    <t>Situação</t>
  </si>
  <si>
    <t>1º Quartil</t>
  </si>
  <si>
    <t>Médio</t>
  </si>
  <si>
    <t>3º Quartil</t>
  </si>
  <si>
    <t>Construção e Manutenção de Estações e Redes de Distribuição de Energia Elétrica</t>
  </si>
  <si>
    <t>Obras Portuárias, Marítimas e Fluviais</t>
  </si>
  <si>
    <t>Tributos (impostos COFINS 3%, e  PIS 0,65%)</t>
  </si>
  <si>
    <t>Tributos (ISS, variável de acordo com o município)</t>
  </si>
  <si>
    <t>ISS</t>
  </si>
  <si>
    <t>Tributos (Contribuição Previdenciária sobre a Receita Bruta - Lei 12.546 de 14/12/2011 - Desoneração)</t>
  </si>
  <si>
    <t>CPRB</t>
  </si>
  <si>
    <t>OK</t>
  </si>
  <si>
    <t>BDI SEM desoneração (Fórmula Acórdão TCU)</t>
  </si>
  <si>
    <t>BDI COM desoneração</t>
  </si>
  <si>
    <t>BDI DES</t>
  </si>
  <si>
    <t>Os valores de BDI foram calculados com o emprego da fórmula:</t>
  </si>
  <si>
    <t>BDI =</t>
  </si>
  <si>
    <t xml:space="preserve"> - 1</t>
  </si>
  <si>
    <t>(1-CP-ISS-CRPB)</t>
  </si>
  <si>
    <t>Fornecimento de Materiais e Equipamentos (aquisição direta)</t>
  </si>
  <si>
    <t>-</t>
  </si>
  <si>
    <t>Observações:</t>
  </si>
  <si>
    <t>Estudos e Projetos, Planos e Gerenciamento e outros correlatos</t>
  </si>
  <si>
    <t>K1</t>
  </si>
  <si>
    <t>K2</t>
  </si>
  <si>
    <t>Local</t>
  </si>
  <si>
    <t>Data</t>
  </si>
  <si>
    <t>K3</t>
  </si>
  <si>
    <t>Responsável Técnico</t>
  </si>
  <si>
    <t>BDI 2</t>
  </si>
  <si>
    <t>BDI 3</t>
  </si>
  <si>
    <t>PO - PLANILHA ORÇAMENTÁRIA</t>
  </si>
  <si>
    <t>LOTE</t>
  </si>
  <si>
    <t>Meta</t>
  </si>
  <si>
    <t>Nível 2</t>
  </si>
  <si>
    <t>Nível 3</t>
  </si>
  <si>
    <t>Nível 4</t>
  </si>
  <si>
    <t>Serviço</t>
  </si>
  <si>
    <t>Nmax</t>
  </si>
  <si>
    <t>Nº TransfereGOV</t>
  </si>
  <si>
    <t>APELIDO DO EMPREENDIMENTO</t>
  </si>
  <si>
    <t>Arredondamento</t>
  </si>
  <si>
    <t>LOCALIDADE SINAPI</t>
  </si>
  <si>
    <t>DATA BASE</t>
  </si>
  <si>
    <t>Quantidade</t>
  </si>
  <si>
    <t>QUANTIDADES: ACOMP. POR BM</t>
  </si>
  <si>
    <t>PREÇO UNITÁRIO LICITADO</t>
  </si>
  <si>
    <t>RECURSO</t>
  </si>
  <si>
    <t>SGL RECURSO</t>
  </si>
  <si>
    <t>Custo Unitáro</t>
  </si>
  <si>
    <t>ERRO GERAL</t>
  </si>
  <si>
    <t>Preço Unitário</t>
  </si>
  <si>
    <t>Preço Total</t>
  </si>
  <si>
    <t>Valores não Arredondados</t>
  </si>
  <si>
    <t>Nível E</t>
  </si>
  <si>
    <t>Save Nivel</t>
  </si>
  <si>
    <t>Nível C</t>
  </si>
  <si>
    <t>Altura</t>
  </si>
  <si>
    <t>n1</t>
  </si>
  <si>
    <t>n2</t>
  </si>
  <si>
    <t>n3</t>
  </si>
  <si>
    <t>n4</t>
  </si>
  <si>
    <t>n5</t>
  </si>
  <si>
    <t>Czero</t>
  </si>
  <si>
    <t>Cnível</t>
  </si>
  <si>
    <t>Nível</t>
  </si>
  <si>
    <t>Nível Corrigido</t>
  </si>
  <si>
    <t>Item</t>
  </si>
  <si>
    <t>Fonte</t>
  </si>
  <si>
    <t>Código</t>
  </si>
  <si>
    <t>Unidade</t>
  </si>
  <si>
    <t>Preço Unitário (com BDI) (R$)</t>
  </si>
  <si>
    <t>Preço Total
(R$)</t>
  </si>
  <si>
    <t>Contrapartida (R$)</t>
  </si>
  <si>
    <t>Outros (R$)</t>
  </si>
  <si>
    <t>Erro de Dados</t>
  </si>
  <si>
    <t>Lista Crono</t>
  </si>
  <si>
    <t>Concatenação Fonte-Código</t>
  </si>
  <si>
    <t>BancoDesloc</t>
  </si>
  <si>
    <t>Custo Unitário Referência (R$)</t>
  </si>
  <si>
    <t>Preço Total
Licit. (R$)</t>
  </si>
  <si>
    <t>Preço Unitário Edital (R$)</t>
  </si>
  <si>
    <t>SINAPI</t>
  </si>
  <si>
    <t>RA</t>
  </si>
  <si>
    <t xml:space="preserve"> </t>
  </si>
  <si>
    <t>Encargos sociais:</t>
  </si>
  <si>
    <t>Para elaboração deste orçamento, foram utilizados os encargos sociais do SINAPI para a Unidade da Federação indicada.</t>
  </si>
  <si>
    <t>Siglas da Composição do Investimento: RA - Rateio proporcional entre Repasse e Contrapartida; RP - 100% Repasse; CP - 100% Contrapartida; OU - 100% Outros.</t>
  </si>
  <si>
    <t>AGRUPADORES DE EVENTOS</t>
  </si>
  <si>
    <r>
      <t xml:space="preserve">Grau de Sigilo
</t>
    </r>
    <r>
      <rPr>
        <b/>
        <sz val="10"/>
        <rFont val="Arial"/>
        <family val="2"/>
      </rPr>
      <t>#PUBLICO</t>
    </r>
  </si>
  <si>
    <t>APELIDO EMPREENDIMENTO</t>
  </si>
  <si>
    <t>1. Selecione abaixo a forma de definição dos agrupadores de eventos:</t>
  </si>
  <si>
    <t>Nº do Evento</t>
  </si>
  <si>
    <t>Título do Evento</t>
  </si>
  <si>
    <t>Valor Total dos Eventos (R$)</t>
  </si>
  <si>
    <t>Total:</t>
  </si>
  <si>
    <t>.</t>
  </si>
  <si>
    <t>Preços dos serviços por frente</t>
  </si>
  <si>
    <t>Mês do cronograma</t>
  </si>
  <si>
    <t>Número da Medição</t>
  </si>
  <si>
    <t>AdmLocal</t>
  </si>
  <si>
    <t>Empty</t>
  </si>
  <si>
    <t>Nº AGRUPADOR DE EVENTOS</t>
  </si>
  <si>
    <t>FRENTES DE OBRA:</t>
  </si>
  <si>
    <t>AUTOEVENTO</t>
  </si>
  <si>
    <t>Memória de Cálculo</t>
  </si>
  <si>
    <t>Nº</t>
  </si>
  <si>
    <t># Evento</t>
  </si>
  <si>
    <t>Agrupador de Eventos</t>
  </si>
  <si>
    <t>TOTAL FINANC. POR FRENTE (R$):</t>
  </si>
  <si>
    <t>CRONOGRAMA PREVISTO PLE</t>
  </si>
  <si>
    <t>Título dos Eventos</t>
  </si>
  <si>
    <t>Cronograma</t>
  </si>
  <si>
    <t>Parcela</t>
  </si>
  <si>
    <t>%</t>
  </si>
  <si>
    <t>R$</t>
  </si>
  <si>
    <t>Acumulado</t>
  </si>
  <si>
    <t>Administração Local</t>
  </si>
  <si>
    <t>% Período:</t>
  </si>
  <si>
    <t>Níveis a Exibir no Cronograma:</t>
  </si>
  <si>
    <t>Nº TGOV</t>
  </si>
  <si>
    <t>PROPONENTE TOMADOR</t>
  </si>
  <si>
    <t>Lista Macrosserviços</t>
  </si>
  <si>
    <t>Falta distribuir:</t>
  </si>
  <si>
    <t>Valor (R$)</t>
  </si>
  <si>
    <t>Parcelas:</t>
  </si>
  <si>
    <t>Item CRONO</t>
  </si>
  <si>
    <t>OU</t>
  </si>
  <si>
    <t>Linha PO
Linha QCI
Total Adm Local</t>
  </si>
  <si>
    <t>Linhas a somar</t>
  </si>
  <si>
    <t>#</t>
  </si>
  <si>
    <t>%:</t>
  </si>
  <si>
    <t>Período:</t>
  </si>
  <si>
    <t>Contrapartida:</t>
  </si>
  <si>
    <t>Outros:</t>
  </si>
  <si>
    <t>Investimento:</t>
  </si>
  <si>
    <t>Acumulado:</t>
  </si>
  <si>
    <t>Administração Local:</t>
  </si>
  <si>
    <t>QCI - Quadro de Composição do Investimento</t>
  </si>
  <si>
    <t>% Maior:</t>
  </si>
  <si>
    <t>% Rateio CP Fin:</t>
  </si>
  <si>
    <t>MUNICÍPIO / UF</t>
  </si>
  <si>
    <t>VALORES CONTRATADOS (R$):</t>
  </si>
  <si>
    <t>CONTRAPARTIDA</t>
  </si>
  <si>
    <t>INVESTIMENTO</t>
  </si>
  <si>
    <t>% CP Min Prog:</t>
  </si>
  <si>
    <t>% CP Absoluta:</t>
  </si>
  <si>
    <t>% CP Max Rep:</t>
  </si>
  <si>
    <t>Saldo a Reprogramar</t>
  </si>
  <si>
    <t>Ordem Meta</t>
  </si>
  <si>
    <t>Arred</t>
  </si>
  <si>
    <t>Repasse (R$)</t>
  </si>
  <si>
    <t>Proporcional</t>
  </si>
  <si>
    <t>Busca</t>
  </si>
  <si>
    <t>Item de Investimento</t>
  </si>
  <si>
    <t>Subitem de Investimento</t>
  </si>
  <si>
    <t>Descrição da Meta</t>
  </si>
  <si>
    <t>Unid.</t>
  </si>
  <si>
    <t>Lote de Licitação / nº do CTEF</t>
  </si>
  <si>
    <t>Contrapartida Financeira (R$)</t>
  </si>
  <si>
    <t>Investimento (R$)</t>
  </si>
  <si>
    <t>Divisão do Investimento</t>
  </si>
  <si>
    <t>TR$</t>
  </si>
  <si>
    <t>TOTAL</t>
  </si>
  <si>
    <t>T%</t>
  </si>
  <si>
    <t>Representante Tomador</t>
  </si>
  <si>
    <t>PLE - PLANILHA DE LEVANTAMENTO DE EVENTOS</t>
  </si>
  <si>
    <t>Medição:</t>
  </si>
  <si>
    <t>% Realizado Período.:</t>
  </si>
  <si>
    <t>% Realizado Acum.:</t>
  </si>
  <si>
    <t>Filtro</t>
  </si>
  <si>
    <t>Informe abaixo o NÚMERO DA MEDIÇÃO em que os eventos foram concluídos</t>
  </si>
  <si>
    <t>Data das Medições</t>
  </si>
  <si>
    <t>Medições</t>
  </si>
  <si>
    <t>Responsável Técnico pela Fiscalização</t>
  </si>
  <si>
    <t>Modo CAIXA</t>
  </si>
  <si>
    <t>INÍCIO DE OBRA</t>
  </si>
  <si>
    <t xml:space="preserve">Regime </t>
  </si>
  <si>
    <t>Fórmula CopMed</t>
  </si>
  <si>
    <t>Nº CTEF</t>
  </si>
  <si>
    <t>EMPRESA EXECUTORA</t>
  </si>
  <si>
    <t>CNPJ</t>
  </si>
  <si>
    <t>PERÍODO DA MEDIÇÃO</t>
  </si>
  <si>
    <t>Nº MEDIÇÃO</t>
  </si>
  <si>
    <t>ARREDMED</t>
  </si>
  <si>
    <t>Linha Adm. L.</t>
  </si>
  <si>
    <t>Anexo</t>
  </si>
  <si>
    <t>Datas das Medições</t>
  </si>
  <si>
    <t>Orçamento Contratado</t>
  </si>
  <si>
    <t>Evolução Financeira (R$)</t>
  </si>
  <si>
    <t>Quadro de Glosas</t>
  </si>
  <si>
    <t>Acum. Anterior</t>
  </si>
  <si>
    <t>Período</t>
  </si>
  <si>
    <t>Acum. Incluindo o Período</t>
  </si>
  <si>
    <t>Valor Total Glosado (R$)</t>
  </si>
  <si>
    <t>Motivo da Glosa</t>
  </si>
  <si>
    <t>Valor Total Medido (R$)</t>
  </si>
  <si>
    <t>TOTAL:</t>
  </si>
  <si>
    <t>Observações</t>
  </si>
  <si>
    <t>Profissional CAIXA:</t>
  </si>
  <si>
    <t>Matrícula</t>
  </si>
  <si>
    <r>
      <rPr>
        <sz val="10.5"/>
        <rFont val="Arial Narrow"/>
        <family val="2"/>
      </rPr>
      <t>Grau de Sigilo</t>
    </r>
    <r>
      <rPr>
        <sz val="10"/>
        <rFont val="Arial"/>
        <family val="2"/>
      </rPr>
      <t xml:space="preserve">
</t>
    </r>
    <r>
      <rPr>
        <b/>
        <sz val="10"/>
        <rFont val="Arial"/>
        <family val="2"/>
      </rPr>
      <t>#PUBLICO</t>
    </r>
  </si>
  <si>
    <t>Acum. Previsto</t>
  </si>
  <si>
    <t>Acum. Chegada</t>
  </si>
  <si>
    <t>Outros</t>
  </si>
  <si>
    <t>Nº RRE</t>
  </si>
  <si>
    <t>Investimento</t>
  </si>
  <si>
    <t>Situação do TC/CR:</t>
  </si>
  <si>
    <t>Percentual previsto em:</t>
  </si>
  <si>
    <t>Lista CTEF</t>
  </si>
  <si>
    <t>Lista CTEFs</t>
  </si>
  <si>
    <t>Acumulado Período Anterior</t>
  </si>
  <si>
    <t>Acumulado incluindo o Período</t>
  </si>
  <si>
    <t>Linha
PO</t>
  </si>
  <si>
    <t>BM / PLE nº</t>
  </si>
  <si>
    <t>Valor Total (R$)</t>
  </si>
  <si>
    <t>No Período</t>
  </si>
  <si>
    <t>Execução Física Acum.</t>
  </si>
  <si>
    <t>Acum. Período Anterior - CP</t>
  </si>
  <si>
    <t>Acum. Período Anterior - Outros</t>
  </si>
  <si>
    <t>Acum. Incluindo Período - CP</t>
  </si>
  <si>
    <t>Acum. Incluindo Período - Outros</t>
  </si>
  <si>
    <t>(%)</t>
  </si>
  <si>
    <t>Anterior (R$)</t>
  </si>
  <si>
    <t>Acumulado (R$)</t>
  </si>
  <si>
    <t>Max CP/OU Ant.</t>
  </si>
  <si>
    <t>Max CP/OU Acum.</t>
  </si>
  <si>
    <t>Contrapartida</t>
  </si>
  <si>
    <t># PÚBLICO</t>
  </si>
  <si>
    <t>Ofício n°:</t>
  </si>
  <si>
    <t>À</t>
  </si>
  <si>
    <t>CAIXA ECONÔMICA FEDERAL</t>
  </si>
  <si>
    <t>GIGOV</t>
  </si>
  <si>
    <t>Assunto:</t>
  </si>
  <si>
    <t>REF:</t>
  </si>
  <si>
    <t>Objeto:</t>
  </si>
  <si>
    <t>Proponente / Tomador:</t>
  </si>
  <si>
    <t>Valores Vigentes do TC/CR</t>
  </si>
  <si>
    <t>Valores Medidos Acumulados</t>
  </si>
  <si>
    <t>Contrapartida Financeira:</t>
  </si>
  <si>
    <t>Execução Física:</t>
  </si>
  <si>
    <t>Atenciosamente,</t>
  </si>
  <si>
    <t>Nivel</t>
  </si>
  <si>
    <t>N° Macrosserviço / Serviço</t>
  </si>
  <si>
    <t>Descrição Macrosserviço / Serviço</t>
  </si>
  <si>
    <t>Qtd. (valor calculado)</t>
  </si>
  <si>
    <t>Und.</t>
  </si>
  <si>
    <t>Custo Unitário Referência</t>
  </si>
  <si>
    <t>Custo Unitário</t>
  </si>
  <si>
    <t>Preço Unitário (valor calculado)</t>
  </si>
  <si>
    <t>Preço Total (valor calculado)</t>
  </si>
  <si>
    <t>Observação</t>
  </si>
  <si>
    <t>N° Evento</t>
  </si>
  <si>
    <t>Evento</t>
  </si>
  <si>
    <t>N° Frente de Obra</t>
  </si>
  <si>
    <t>Frente de Obra</t>
  </si>
  <si>
    <t>Qtd.</t>
  </si>
  <si>
    <t>Valor</t>
  </si>
  <si>
    <t>N° do Evento</t>
  </si>
  <si>
    <t>N° da Frente de Obra</t>
  </si>
  <si>
    <t>N° do Período de Conclusão do Evento</t>
  </si>
  <si>
    <t>Número</t>
  </si>
  <si>
    <t>Macrosserviço</t>
  </si>
  <si>
    <t>Percentual Parcela</t>
  </si>
  <si>
    <t>V3.10</t>
  </si>
  <si>
    <t>Corrigidas as fórmulas da v3.08 / v3.09 que eram incompatíveis com as versões do Excel anteriores ao Office 365.</t>
  </si>
  <si>
    <t>v3.11</t>
  </si>
  <si>
    <t>V3.11</t>
  </si>
  <si>
    <t>Correção nas fórmulas dos valores acumulados no caso de Administração Local de preenchimento manual.</t>
  </si>
  <si>
    <t>Ajuste na macro "Importar de outra Planilha Múltipla" para tratar o erro "tipos incompatíveis".</t>
  </si>
  <si>
    <t>Correção nas fórmulas dos valores no período da 13ª parcela do cronograma.</t>
  </si>
  <si>
    <t>Automática, conforme os agrupadores Nível 2 do Orçamento</t>
  </si>
  <si>
    <t>Ajuste na macro "Gerar arquivo para upload no TransfereGOV" para informar no status o número da linha que está sendo mesclada.</t>
  </si>
  <si>
    <t>CMEI Sorgatto</t>
  </si>
  <si>
    <t>94295</t>
  </si>
  <si>
    <t>90778</t>
  </si>
  <si>
    <t>100309</t>
  </si>
  <si>
    <t>103689</t>
  </si>
  <si>
    <t>98525</t>
  </si>
  <si>
    <t>101</t>
  </si>
  <si>
    <t>93563</t>
  </si>
  <si>
    <t>43223</t>
  </si>
  <si>
    <t>98458</t>
  </si>
  <si>
    <t>99059</t>
  </si>
  <si>
    <t>97102</t>
  </si>
  <si>
    <t>103072</t>
  </si>
  <si>
    <t>20065</t>
  </si>
  <si>
    <t>88242</t>
  </si>
  <si>
    <t>120</t>
  </si>
  <si>
    <t>237</t>
  </si>
  <si>
    <t>100764</t>
  </si>
  <si>
    <t>100766</t>
  </si>
  <si>
    <t>P9812</t>
  </si>
  <si>
    <t>94216</t>
  </si>
  <si>
    <t>94228</t>
  </si>
  <si>
    <t>94229</t>
  </si>
  <si>
    <t>100327</t>
  </si>
  <si>
    <t>142</t>
  </si>
  <si>
    <t>004</t>
  </si>
  <si>
    <t>006</t>
  </si>
  <si>
    <t>005</t>
  </si>
  <si>
    <t>007</t>
  </si>
  <si>
    <t>94590</t>
  </si>
  <si>
    <t>100751</t>
  </si>
  <si>
    <t>92023</t>
  </si>
  <si>
    <t>92029</t>
  </si>
  <si>
    <t>91963</t>
  </si>
  <si>
    <t>91989</t>
  </si>
  <si>
    <t>91992</t>
  </si>
  <si>
    <t>92008</t>
  </si>
  <si>
    <t>91993</t>
  </si>
  <si>
    <t>91987</t>
  </si>
  <si>
    <t>117</t>
  </si>
  <si>
    <t>97605</t>
  </si>
  <si>
    <t>39757</t>
  </si>
  <si>
    <t>12038</t>
  </si>
  <si>
    <t>39759</t>
  </si>
  <si>
    <t>39761</t>
  </si>
  <si>
    <t>214</t>
  </si>
  <si>
    <t>93667</t>
  </si>
  <si>
    <t>101895</t>
  </si>
  <si>
    <t>93668</t>
  </si>
  <si>
    <t>93673</t>
  </si>
  <si>
    <t>93653</t>
  </si>
  <si>
    <t>93654</t>
  </si>
  <si>
    <t>93656</t>
  </si>
  <si>
    <t>93657</t>
  </si>
  <si>
    <t>39455</t>
  </si>
  <si>
    <t>39446</t>
  </si>
  <si>
    <t>39472</t>
  </si>
  <si>
    <t>91831</t>
  </si>
  <si>
    <t>91836</t>
  </si>
  <si>
    <t>97667</t>
  </si>
  <si>
    <t>91834</t>
  </si>
  <si>
    <t>97668</t>
  </si>
  <si>
    <t>91840</t>
  </si>
  <si>
    <t>145</t>
  </si>
  <si>
    <t>146</t>
  </si>
  <si>
    <t>96562</t>
  </si>
  <si>
    <t>218</t>
  </si>
  <si>
    <t>219</t>
  </si>
  <si>
    <t>220</t>
  </si>
  <si>
    <t>147</t>
  </si>
  <si>
    <t>221</t>
  </si>
  <si>
    <t>12294</t>
  </si>
  <si>
    <t>152</t>
  </si>
  <si>
    <t>96986</t>
  </si>
  <si>
    <t>98111</t>
  </si>
  <si>
    <t>43104</t>
  </si>
  <si>
    <t>91925</t>
  </si>
  <si>
    <t>91933</t>
  </si>
  <si>
    <t>91935</t>
  </si>
  <si>
    <t>92986</t>
  </si>
  <si>
    <t>91929</t>
  </si>
  <si>
    <t>92990</t>
  </si>
  <si>
    <t>91924</t>
  </si>
  <si>
    <t>91932</t>
  </si>
  <si>
    <t>91926</t>
  </si>
  <si>
    <t>91928</t>
  </si>
  <si>
    <t>91930</t>
  </si>
  <si>
    <t>241</t>
  </si>
  <si>
    <t>20111</t>
  </si>
  <si>
    <t>88247</t>
  </si>
  <si>
    <t>88264</t>
  </si>
  <si>
    <t>43102</t>
  </si>
  <si>
    <t>43103</t>
  </si>
  <si>
    <t>98295</t>
  </si>
  <si>
    <t>98307</t>
  </si>
  <si>
    <t>154</t>
  </si>
  <si>
    <t>38091</t>
  </si>
  <si>
    <t>98288</t>
  </si>
  <si>
    <t>98308</t>
  </si>
  <si>
    <t>91833</t>
  </si>
  <si>
    <t>91837</t>
  </si>
  <si>
    <t>89707</t>
  </si>
  <si>
    <t>048</t>
  </si>
  <si>
    <t>049</t>
  </si>
  <si>
    <t>104009</t>
  </si>
  <si>
    <t>12909</t>
  </si>
  <si>
    <t>1193</t>
  </si>
  <si>
    <t>89746</t>
  </si>
  <si>
    <t>89855</t>
  </si>
  <si>
    <t>89726</t>
  </si>
  <si>
    <t>89732</t>
  </si>
  <si>
    <t>89739</t>
  </si>
  <si>
    <t>89724</t>
  </si>
  <si>
    <t>89744</t>
  </si>
  <si>
    <t>89731</t>
  </si>
  <si>
    <t>243</t>
  </si>
  <si>
    <t>242</t>
  </si>
  <si>
    <t>89797</t>
  </si>
  <si>
    <t>89783</t>
  </si>
  <si>
    <t>89785</t>
  </si>
  <si>
    <t>89569</t>
  </si>
  <si>
    <t>104350</t>
  </si>
  <si>
    <t>89830</t>
  </si>
  <si>
    <t>244</t>
  </si>
  <si>
    <t>89714</t>
  </si>
  <si>
    <t>89849</t>
  </si>
  <si>
    <t>89712</t>
  </si>
  <si>
    <t>89713</t>
  </si>
  <si>
    <t>89711</t>
  </si>
  <si>
    <t>89782</t>
  </si>
  <si>
    <t>89549</t>
  </si>
  <si>
    <t>104348</t>
  </si>
  <si>
    <t>104351</t>
  </si>
  <si>
    <t>104344</t>
  </si>
  <si>
    <t>89784</t>
  </si>
  <si>
    <t>89985</t>
  </si>
  <si>
    <t>89381</t>
  </si>
  <si>
    <t>86916</t>
  </si>
  <si>
    <t>94794</t>
  </si>
  <si>
    <t>94793</t>
  </si>
  <si>
    <t>86887</t>
  </si>
  <si>
    <t>95675</t>
  </si>
  <si>
    <t>95635</t>
  </si>
  <si>
    <t>103948</t>
  </si>
  <si>
    <t>103964</t>
  </si>
  <si>
    <t>103966</t>
  </si>
  <si>
    <t>104003</t>
  </si>
  <si>
    <t>89429</t>
  </si>
  <si>
    <t>89595</t>
  </si>
  <si>
    <t>89391</t>
  </si>
  <si>
    <t>103992</t>
  </si>
  <si>
    <t>104001</t>
  </si>
  <si>
    <t>89368</t>
  </si>
  <si>
    <t>89409</t>
  </si>
  <si>
    <t>103981</t>
  </si>
  <si>
    <t>103985</t>
  </si>
  <si>
    <t>96690</t>
  </si>
  <si>
    <t>89362</t>
  </si>
  <si>
    <t>103980</t>
  </si>
  <si>
    <t>103951</t>
  </si>
  <si>
    <t>89366</t>
  </si>
  <si>
    <t>89558</t>
  </si>
  <si>
    <t>103995</t>
  </si>
  <si>
    <t>103979</t>
  </si>
  <si>
    <t>103956</t>
  </si>
  <si>
    <t>89356</t>
  </si>
  <si>
    <t>89357</t>
  </si>
  <si>
    <t>103978</t>
  </si>
  <si>
    <t>94690</t>
  </si>
  <si>
    <t>89395</t>
  </si>
  <si>
    <t>94692</t>
  </si>
  <si>
    <t>94688</t>
  </si>
  <si>
    <t>89400</t>
  </si>
  <si>
    <t>89624</t>
  </si>
  <si>
    <t>104006</t>
  </si>
  <si>
    <t>89626</t>
  </si>
  <si>
    <t>94795</t>
  </si>
  <si>
    <t>94703</t>
  </si>
  <si>
    <t>43982</t>
  </si>
  <si>
    <t>101727</t>
  </si>
  <si>
    <t>87263</t>
  </si>
  <si>
    <t>87262</t>
  </si>
  <si>
    <t>87261</t>
  </si>
  <si>
    <t>87739</t>
  </si>
  <si>
    <t>86932</t>
  </si>
  <si>
    <t>100848</t>
  </si>
  <si>
    <t>95471</t>
  </si>
  <si>
    <t>100849</t>
  </si>
  <si>
    <t>100851</t>
  </si>
  <si>
    <t>215</t>
  </si>
  <si>
    <t>240</t>
  </si>
  <si>
    <t>239</t>
  </si>
  <si>
    <t>86879</t>
  </si>
  <si>
    <t>86883</t>
  </si>
  <si>
    <t>86884</t>
  </si>
  <si>
    <t>86904</t>
  </si>
  <si>
    <t>245</t>
  </si>
  <si>
    <t>246</t>
  </si>
  <si>
    <t>95547</t>
  </si>
  <si>
    <t>100872</t>
  </si>
  <si>
    <t>100871</t>
  </si>
  <si>
    <t>217</t>
  </si>
  <si>
    <t>216</t>
  </si>
  <si>
    <t>100874</t>
  </si>
  <si>
    <t>100875</t>
  </si>
  <si>
    <t>91338</t>
  </si>
  <si>
    <t>94573</t>
  </si>
  <si>
    <t>94569</t>
  </si>
  <si>
    <t>100702</t>
  </si>
  <si>
    <t>112</t>
  </si>
  <si>
    <t>034</t>
  </si>
  <si>
    <t>104178</t>
  </si>
  <si>
    <t>89531</t>
  </si>
  <si>
    <t>89524</t>
  </si>
  <si>
    <t>89529</t>
  </si>
  <si>
    <t>89522</t>
  </si>
  <si>
    <t>89699</t>
  </si>
  <si>
    <t>89565</t>
  </si>
  <si>
    <t>89557</t>
  </si>
  <si>
    <t>89578</t>
  </si>
  <si>
    <t>89580</t>
  </si>
  <si>
    <t>89576</t>
  </si>
  <si>
    <t>97599</t>
  </si>
  <si>
    <t>222</t>
  </si>
  <si>
    <t>37558</t>
  </si>
  <si>
    <t>88316</t>
  </si>
  <si>
    <t>158</t>
  </si>
  <si>
    <t>159</t>
  </si>
  <si>
    <t>160</t>
  </si>
  <si>
    <t>161</t>
  </si>
  <si>
    <t>162</t>
  </si>
  <si>
    <t>163</t>
  </si>
  <si>
    <t>164</t>
  </si>
  <si>
    <t>247</t>
  </si>
  <si>
    <t>101906</t>
  </si>
  <si>
    <t>91341</t>
  </si>
  <si>
    <t>103823</t>
  </si>
  <si>
    <t>103807</t>
  </si>
  <si>
    <t>103811</t>
  </si>
  <si>
    <t>92953</t>
  </si>
  <si>
    <t>92695</t>
  </si>
  <si>
    <t>92694</t>
  </si>
  <si>
    <t>92705</t>
  </si>
  <si>
    <t>92687</t>
  </si>
  <si>
    <t>92688</t>
  </si>
  <si>
    <t>103029</t>
  </si>
  <si>
    <t>223</t>
  </si>
  <si>
    <t>260</t>
  </si>
  <si>
    <t>92367</t>
  </si>
  <si>
    <t>92390</t>
  </si>
  <si>
    <t>105208</t>
  </si>
  <si>
    <t>92642</t>
  </si>
  <si>
    <t>92377</t>
  </si>
  <si>
    <t>10900</t>
  </si>
  <si>
    <t>10899</t>
  </si>
  <si>
    <t>4350</t>
  </si>
  <si>
    <t>10904</t>
  </si>
  <si>
    <t>101913</t>
  </si>
  <si>
    <t>20971</t>
  </si>
  <si>
    <t>37529</t>
  </si>
  <si>
    <t>37527</t>
  </si>
  <si>
    <t>10902</t>
  </si>
  <si>
    <t>94499</t>
  </si>
  <si>
    <t>103009</t>
  </si>
  <si>
    <t>99624</t>
  </si>
  <si>
    <t>10905</t>
  </si>
  <si>
    <t>92896</t>
  </si>
  <si>
    <t>88248</t>
  </si>
  <si>
    <t>88267</t>
  </si>
  <si>
    <t>4226</t>
  </si>
  <si>
    <t>103331</t>
  </si>
  <si>
    <t>87879</t>
  </si>
  <si>
    <t>87775</t>
  </si>
  <si>
    <t>88485</t>
  </si>
  <si>
    <t>88489</t>
  </si>
  <si>
    <t>92482</t>
  </si>
  <si>
    <t>103682</t>
  </si>
  <si>
    <t>4948</t>
  </si>
  <si>
    <t>43105</t>
  </si>
  <si>
    <t>100721</t>
  </si>
  <si>
    <t>100753</t>
  </si>
  <si>
    <t>88309</t>
  </si>
  <si>
    <t>92396</t>
  </si>
  <si>
    <t>103075</t>
  </si>
  <si>
    <t>97097</t>
  </si>
  <si>
    <t>90099</t>
  </si>
  <si>
    <t>101616</t>
  </si>
  <si>
    <t>96521</t>
  </si>
  <si>
    <t>96530</t>
  </si>
  <si>
    <t>96529</t>
  </si>
  <si>
    <t>92409</t>
  </si>
  <si>
    <t>104916</t>
  </si>
  <si>
    <t>104918</t>
  </si>
  <si>
    <t>104919</t>
  </si>
  <si>
    <t>92759</t>
  </si>
  <si>
    <t>92761</t>
  </si>
  <si>
    <t>92762</t>
  </si>
  <si>
    <t>96558</t>
  </si>
  <si>
    <t>96557</t>
  </si>
  <si>
    <t>103672</t>
  </si>
  <si>
    <t>87792</t>
  </si>
  <si>
    <t>166</t>
  </si>
  <si>
    <t>104658</t>
  </si>
  <si>
    <t>99855</t>
  </si>
  <si>
    <t>99837</t>
  </si>
  <si>
    <t>137</t>
  </si>
  <si>
    <t>138</t>
  </si>
  <si>
    <t>136</t>
  </si>
  <si>
    <t>281</t>
  </si>
  <si>
    <t>224</t>
  </si>
  <si>
    <t>225</t>
  </si>
  <si>
    <t>226</t>
  </si>
  <si>
    <t>235</t>
  </si>
  <si>
    <t>227</t>
  </si>
  <si>
    <t>228</t>
  </si>
  <si>
    <t>229</t>
  </si>
  <si>
    <t>231</t>
  </si>
  <si>
    <t>232</t>
  </si>
  <si>
    <t>236</t>
  </si>
  <si>
    <t>90082</t>
  </si>
  <si>
    <t>91635</t>
  </si>
  <si>
    <t>91634</t>
  </si>
  <si>
    <t>88317</t>
  </si>
  <si>
    <t>20193</t>
  </si>
  <si>
    <t>97065</t>
  </si>
  <si>
    <t>11964</t>
  </si>
  <si>
    <t>11948</t>
  </si>
  <si>
    <t>78</t>
  </si>
  <si>
    <t>79</t>
  </si>
  <si>
    <t>CMEI SORGATTO</t>
  </si>
  <si>
    <t>ADMINISTRAÇÃO DE OBRA</t>
  </si>
  <si>
    <t>SERVIÇOS PRELIMINARES</t>
  </si>
  <si>
    <t>LOCAÇÃO DE CONTAINER PARA ALMOXARIFADO</t>
  </si>
  <si>
    <t>INSTALAÇÃO PROVIS. UNIS. SANIT. C/ 5,00 m²</t>
  </si>
  <si>
    <t>FUNDAÇÃO</t>
  </si>
  <si>
    <t>SISTEMA DE TRATAMENTO DE ESGOTO</t>
  </si>
  <si>
    <t>ESTRUTURA METÁLICA DOS MÓDULOS</t>
  </si>
  <si>
    <t>ENGENHEIRO MECÂNICO COM ENCARGOS COMPLEMENTARES</t>
  </si>
  <si>
    <t>COBERTURA DOS MÓDULOS</t>
  </si>
  <si>
    <t>FECHAMENTOS DOS MÓDULOS</t>
  </si>
  <si>
    <t>PINTURA DA ESTRUTURA DOS MÓDULOS</t>
  </si>
  <si>
    <t>INSTALAÇÕES ELÉTRICAS</t>
  </si>
  <si>
    <t>VOZ E DADOS</t>
  </si>
  <si>
    <t>INSTALAÇÕES HIDROSSANITÁRIAS</t>
  </si>
  <si>
    <t>ESGOTO</t>
  </si>
  <si>
    <t>HIDRÁULICA</t>
  </si>
  <si>
    <t>REVESTIMENTOS</t>
  </si>
  <si>
    <t>LOUÇAS E ACESSÓRIOS</t>
  </si>
  <si>
    <t>ESQUADRIAS E VIDROS</t>
  </si>
  <si>
    <t>PORTA DE ALUMÍNIO DE ABRIR COM LAMBRI, COM GUARNIÇÃO, FIXAÇÃO COM PARAFUSOS - FORNECIMENTO E INSTALAÇÃO. AF_12/2019. LINHA SUPREMA</t>
  </si>
  <si>
    <t>JANELA DE ALUMÍNIO DE CORRER COM 4 FOLHAS PARA VIDROS, COM VIDROS, BATENTE E FERRAGENS, EXCLUSIVE ACABAMENTO, ALIZAR E CONTRAMARCO, FIXAÇÃO COM PARAFUSO. FORNECIMENTO E INSTALAÇÃO. AF_11/2024. LINHA SUPREMA</t>
  </si>
  <si>
    <t>JANELA DE ALUMÍNIO TIPO MAXIM-AR, COM VIDROS, BATENTE E FERRAGENS, EXCLUSIVE ALIZAR, ACABAMENTO E CONTRAMARCO, FIXAÇÃO COM PARAFUSO. FORNECIMENTO E INSTALAÇÃO. AF_11/2024. LINHA SUPREMA</t>
  </si>
  <si>
    <t>PORTA DE CORRER DE ALUMÍNIO, COM DUAS FOLHAS PARA VIDRO, INCLUSO VIDRO LISO INCOLOR, FECHADURA E PUXADOR, SEM ALIZAR. AF_12/2019. LINHA SUPREMA</t>
  </si>
  <si>
    <t>INSTALAÇÕES PLUVIAIS</t>
  </si>
  <si>
    <t>SISTEMAS DE PREVENÇÃO CONTRA INCÊNDIO</t>
  </si>
  <si>
    <t>ILUMINAÇÃO DE EMERGÊNCIA</t>
  </si>
  <si>
    <t>SINALIZAÇÃO DE ABANDONO DE LOCAL</t>
  </si>
  <si>
    <t>ALARME E DETECÇÃO DE INCÊNDIO</t>
  </si>
  <si>
    <t>EXTINTORES</t>
  </si>
  <si>
    <t>INSTALAÇÃO DE GÁS</t>
  </si>
  <si>
    <t>REGULADOR DE PRIMEIRO ESTÁGIO DE ALTA PRESSÃO ATÉ 1,3 KGF/CM², VAZÃO DE 50 KG/H</t>
  </si>
  <si>
    <t>SISTEMA HIDRÁULICO PREVENTIVO</t>
  </si>
  <si>
    <t>CENTRAL DE GLP, ABRIGO DE LIXO E SOLÁRIOS</t>
  </si>
  <si>
    <t>PISOS EXTERNOS</t>
  </si>
  <si>
    <t>FECHAMENTOS EXTERNOS</t>
  </si>
  <si>
    <t>ACESSIBILIDADE</t>
  </si>
  <si>
    <t>SPDA</t>
  </si>
  <si>
    <t>INSTALAÇÃO DOS MÓDULOS PRÉ-FABRICADOS NO CANTEIRO DE OBRAS</t>
  </si>
  <si>
    <t>SISTEMA DE REUSO DE ÁGUA</t>
  </si>
  <si>
    <t>LIMPEZA FINAL DE OBRA</t>
  </si>
  <si>
    <t>DESONERADO</t>
  </si>
  <si>
    <t>Cotação</t>
  </si>
  <si>
    <t>DEINFRA/SC</t>
  </si>
  <si>
    <t>SINAPI-I</t>
  </si>
  <si>
    <t>Composiçao</t>
  </si>
  <si>
    <t>SICRO</t>
  </si>
  <si>
    <t xml:space="preserve">Composição </t>
  </si>
  <si>
    <t>FNDE</t>
  </si>
  <si>
    <t>Composição</t>
  </si>
  <si>
    <t>Caçador/SC</t>
  </si>
  <si>
    <t>PREFEITURA MUNICIPAL DE CAÇADOR</t>
  </si>
  <si>
    <t>MESTRE DE OBRAS COM ENCARGOS COMPLEMENTARES</t>
  </si>
  <si>
    <t>ENGENHEIRO CIVIL DE OBRA PLENO COM ENCARGOS COMPLEMENTARES</t>
  </si>
  <si>
    <t>TÉCNICO EM SEGURANÇA DO TRABALHO COM ENCARGOS COMPLEMENTARES</t>
  </si>
  <si>
    <t>FORNECIMENTO E INSTALAÇÃO DE PLACA DE OBRA COM CHAPA GALVANIZADA E ESTRUTURA DE MADEIRA. AF_03/2022_PS</t>
  </si>
  <si>
    <t>LIMPEZA MECANIZADA DE CAMADA VEGETAL, VEGETAÇÃO E PEQUENAS ÁRVORES (DIÂMETRO DE TRONCO MENOR QUE 0,20 M), COM TRATOR DE ESTEIRAS. AF_03/2024</t>
  </si>
  <si>
    <t>ALMOXARIFE COM ENCARGOS COMPLEMENTARES</t>
  </si>
  <si>
    <t>TAPUME COM COMPENSADO DE MADEIRA. AF_03/2024</t>
  </si>
  <si>
    <t>LOCAÇÃO CONVENCIONAL DE OBRA, UTILIZANDO GABARITO DE TÁBUAS CORRIDAS PONTALETADAS A CADA 2,00M -  2 UTILIZAÇÕES. AF_03/2024</t>
  </si>
  <si>
    <t>EXECUÇÃO DE RADIER, ESPESSURA DE 15 CM, FCK = 30 MPA, COM USO DE FORMAS EM MADEIRA SERRADA. AF_09/2021</t>
  </si>
  <si>
    <t>EXECUÇÃO DE RADIER, ESPESSURA DE 25 CM, FCK = 30 MPA, COM USO DE FORMAS EM MADEIRA SERRADA. AF_09/2021</t>
  </si>
  <si>
    <t xml:space="preserve">TUBO PVC SERIE NORMAL, DN 150 MM, PARA ESGOTO PREDIAL (NBR 5688)                                                                                                                                                                                          </t>
  </si>
  <si>
    <t>AJUDANTE DE PEDREIRO COM ENCARGOS COMPLEMENTARES</t>
  </si>
  <si>
    <t>CONJUNTO DE BIOFILTRO ANAERÓBIO 15.000 LITROS E REATOR ANAERÓBIO 15.000 LITROS - FORNECIMENTO E INSTALAÇÃO</t>
  </si>
  <si>
    <t>CAIXA DE GORDURA EM PVC COM CESTO DE LIMPEZA 21L - FORNECIMENTO E INSTALAÇÃO</t>
  </si>
  <si>
    <t>VIGA METÁLICA EM PERFIL LAMINADO OU SOLDADO EM AÇO ESTRUTURAL, COM CONEXÕES SOLDADAS, INCLUSOS MÃO DE OBRA, TRANSPORTE E IÇAMENTO UTILIZANDO GUINDASTE - FORNECIMENTO E INSTALAÇÃO. AF_01/2020_PA</t>
  </si>
  <si>
    <t>PILAR METÁLICO PERFIL LAMINADO OU SOLDADO EM AÇO ESTRUTURAL, COM CONEXÕES SOLDADAS, INCLUSOS MÃO DE OBRA, TRANSPORTE E IÇAMENTO UTILIZANDO GUINDASTE - FORNECIMENTO E INSTALAÇÃO. AF_01/2020_PA</t>
  </si>
  <si>
    <t>TELHAMENTO COM TELHA METÁLICA TERMOACÚSTICA E = 30 MM, COM ATÉ 2 ÁGUAS, INCLUSO IÇAMENTO. AF_07/2019</t>
  </si>
  <si>
    <t>CALHA EM CHAPA DE AÇO GALVANIZADO NÚMERO 24, DESENVOLVIMENTO DE 50 CM, INCLUSO TRANSPORTE VERTICAL. AF_07/2019</t>
  </si>
  <si>
    <t>CALHA EM CHAPA DE AÇO GALVANIZADO NÚMERO 24, DESENVOLVIMENTO DE 100 CM, INCLUSO TRANSPORTE VERTICAL. AF_07/2019</t>
  </si>
  <si>
    <t>RUFO EXTERNO/INTERNO EM CHAPA DE AÇO GALVANIZADO NÚMERO 26, CORTE DE 33 CM, INCLUSO IÇAMENTO. AF_07/2019</t>
  </si>
  <si>
    <t xml:space="preserve">SELANTE ELASTICO MONOCOMPONENTE A BASE DE POLIURETANO (PU) PARA JUNTAS DIVERSAS                                                                                                                                                                           </t>
  </si>
  <si>
    <t xml:space="preserve">PAINEL ESTRUTURAL PARA LAJE SECA REVESTIDO EM PLACA CIMENTICIA, DE 1,20 X 2,50 M, E = 40 MM - FORNECIMENTO E INSTALAÇÃO </t>
  </si>
  <si>
    <t xml:space="preserve">PAINEL TERMOISOLANTE PARA FECHAMENTOS, LARGURA UTIL DE 1100 MM, COM ESPESSURA 40/50 MM (TETO) - FORNECIMENTO E INSTALAÇÃO </t>
  </si>
  <si>
    <t xml:space="preserve">PAINEL TERMOISOLANTE PARA FECHAMENTOS, LARGURA UTIL DE 1100 MM, COM ESPESSURA 40/50 MM (PAREDE)- FORNECIMENTO E INSTALAÇÃO </t>
  </si>
  <si>
    <t>ACABAMENTO DE RODAPÉ E RODAFORRO EM PERFIL METÁLICO -  FORNECIMENTO E INSTALAÇÃO</t>
  </si>
  <si>
    <t>PINTURA COM TINTA EPOXÍDICA DE ACABAMENTO PULVERIZADA SOBRE PERFIL METÁLICO EXECUTADO EM FÁBRICA (02 DEMÃOS). AF_01/2020_PE</t>
  </si>
  <si>
    <t>INTERRUPTOR SIMPLES (1 MÓDULO) COM 1 TOMADA DE EMBUTIR 2P+T 10 A, INCLUINDO SUPORTE E PLACA - FORNECIMENTO E INSTALAÇÃO. AF_03/2023</t>
  </si>
  <si>
    <t>INTERRUPTOR PARALELO (1 MÓDULO) COM 1 TOMADA DE EMBUTIR 2P+T 10 A, INCLUINDO SUPORTE E PLACA - FORNECIMENTO E INSTALAÇÃO. AF_03/2023</t>
  </si>
  <si>
    <t>INTERRUPTOR SIMPLES (1 MÓDULO) COM INTERRUPTOR PARALELO (2 MÓDULOS), 10A/250V, INCLUINDO SUPORTE E PLACA - FORNECIMENTO E INSTALAÇÃO. AF_03/2023</t>
  </si>
  <si>
    <t>INTERRUPTOR PULSADOR MINUTERIA (1 MÓDULO), 10A/250V, INCLUINDO SUPORTE E PLACA - FORNECIMENTO E INSTALAÇÃO. AF_03/2023</t>
  </si>
  <si>
    <t>TOMADA ALTA DE EMBUTIR (1 MÓDULO), 2P+T 10 A, INCLUINDO SUPORTE E PLACA - FORNECIMENTO E INSTALAÇÃO. AF_03/2023</t>
  </si>
  <si>
    <t>TOMADA BAIXA DE EMBUTIR (2 MÓDULOS), 2P+T 10 A, INCLUINDO SUPORTE E PLACA - FORNECIMENTO E INSTALAÇÃO. AF_03/2023</t>
  </si>
  <si>
    <t>TOMADA ALTA DE EMBUTIR (1 MÓDULO), 2P+T 20 A, INCLUINDO SUPORTE E PLACA - FORNECIMENTO E INSTALAÇÃO. AF_03/2023</t>
  </si>
  <si>
    <t>CAMPAINHA CIGARRA (1 MÓDULO), 10A/250V, INCLUINDO SUPORTE E PLACA - FORNECIMENTO E INSTALAÇÃO. AF_03/2023</t>
  </si>
  <si>
    <t>EXAUSTOR DE TETO PARA SANITÁRIOS - POTÊNCIA: 40W</t>
  </si>
  <si>
    <t>LUMINÁRIA ARANDELA TIPO MEIA LUA, DE SOBREPOR, COM 1 LÂMPADA LED DE 6 W, SEM REATOR - FORNECIMENTO E INSTALAÇÃO. AF_09/2024</t>
  </si>
  <si>
    <t xml:space="preserve">QUADRO DE DISTRIBUICAO COM BARRAMENTO TRIFASICO, DE SOBREPOR, EM CHAPA DE ACO GALVANIZADO, PARA 28 DISJUNTORES DIN, 100 A                                                                                                                                 </t>
  </si>
  <si>
    <t xml:space="preserve">QUADRO DE DISTRIBUICAO COM BARRAMENTO TRIFASICO, DE SOBREPOR, EM CHAPA DE ACO GALVANIZADO, PARA 18 DISJUNTORES DIN, 100 A                                                                                                                                 </t>
  </si>
  <si>
    <t xml:space="preserve">QUADRO DE DISTRIBUICAO COM BARRAMENTO TRIFASICO, DE SOBREPOR, EM CHAPA DE ACO GALVANIZADO, PARA 36 DISJUNTORES DIN, 100 A                                                                                                                                 </t>
  </si>
  <si>
    <t xml:space="preserve">QUADRO DE DISTRIBUICAO COM BARRAMENTO TRIFASICO, DE SOBREPOR, EM CHAPA DE ACO GALVANIZADO, PARA 48 DISJUNTORES DIN, 100 A                                                                                                                                 </t>
  </si>
  <si>
    <t>ENTRADA DE ENERGIA ELÉTRICA, AÉREA, TRIFÁSICA, COM CAIXA DE EMBUTIR, CABO DE 70 MM2 E DISJUNTOR 125A, INCLUSO O POSTE PADRÃO CELESC</t>
  </si>
  <si>
    <t>DISJUNTOR TRIPOLAR TIPO DIN, CORRENTE NOMINAL DE 10A - FORNECIMENTO E INSTALAÇÃO. AF_10/2020</t>
  </si>
  <si>
    <t>DISJUNTOR TERMOMAGNÉTICO TRIPOLAR , CORRENTE NOMINAL DE 125A - FORNECIMENTO E INSTALAÇÃO. AF_10/2020</t>
  </si>
  <si>
    <t>DISJUNTOR TRIPOLAR TIPO DIN, CORRENTE NOMINAL DE 16A - FORNECIMENTO E INSTALAÇÃO. AF_10/2020</t>
  </si>
  <si>
    <t>DISJUNTOR TRIPOLAR TIPO DIN, CORRENTE NOMINAL DE 50A - FORNECIMENTO E INSTALAÇÃO. AF_10/2020</t>
  </si>
  <si>
    <t>DISJUNTOR MONOPOLAR TIPO DIN, CORRENTE NOMINAL DE 10A - FORNECIMENTO E INSTALAÇÃO. AF_10/2020</t>
  </si>
  <si>
    <t>DISJUNTOR MONOPOLAR TIPO DIN, CORRENTE NOMINAL DE 16A - FORNECIMENTO E INSTALAÇÃO. AF_10/2020</t>
  </si>
  <si>
    <t>DISJUNTOR MONOPOLAR TIPO DIN, CORRENTE NOMINAL DE 25A - FORNECIMENTO E INSTALAÇÃO. AF_10/2020</t>
  </si>
  <si>
    <t>DISJUNTOR MONOPOLAR TIPO DIN, CORRENTE NOMINAL DE 32A - FORNECIMENTO E INSTALAÇÃO. AF_10/2020</t>
  </si>
  <si>
    <t xml:space="preserve">DISPOSITIVO DR, 4 POLOS, SENSIBILIDADE DE 30 MA, CORRENTE DE 25 A, TIPO AC                                                                                                                                                                                </t>
  </si>
  <si>
    <t xml:space="preserve">DISPOSITIVO DR, 2 POLOS, SENSIBILIDADE DE 30 MA, CORRENTE DE 40 A, TIPO AC                                                                                                                                                                                </t>
  </si>
  <si>
    <t xml:space="preserve">DISPOSITIVO DPS CLASSE II, 1 POLO, TENSAO MAXIMA DE 275 V, CORRENTE MAXIMA DE *90* KA (TIPO AC)                                                                                                                                                           </t>
  </si>
  <si>
    <t>ELETRODUTO FLEXÍVEL CORRUGADO, PVC, DN 20 MM (1/2"), PARA CIRCUITOS TERMINAIS, INSTALADO EM FORRO - FORNECIMENTO E INSTALAÇÃO. AF_03/2023_PA</t>
  </si>
  <si>
    <t>ELETRODUTO FLEXÍVEL CORRUGADO, PVC, DN 32 MM (1"), PARA CIRCUITOS TERMINAIS, INSTALADO EM FORRO - FORNECIMENTO E INSTALAÇÃO. AF_03/2023_PA</t>
  </si>
  <si>
    <t>ELETRODUTO FLEXÍVEL CORRUGADO, PEAD, DN 50 (1 1/2"), PARA REDE ENTERRADA DE DISTRIBUIÇÃO DE ENERGIA ELÉTRICA - FORNECIMENTO E INSTALAÇÃO. AF_12/2021</t>
  </si>
  <si>
    <t>ELETRODUTO FLEXÍVEL CORRUGADO, PVC, DN 25 MM (3/4"), PARA CIRCUITOS TERMINAIS, INSTALADO EM FORRO - FORNECIMENTO E INSTALAÇÃO. AF_03/2023_PA</t>
  </si>
  <si>
    <t>ELETRODUTO FLEXÍVEL CORRUGADO, PEAD, DN 63 (2"), PARA REDE ENTERRADA DE DISTRIBUIÇÃO DE ENERGIA ELÉTRICA - FORNECIMENTO E INSTALAÇÃO. AF_12/2021</t>
  </si>
  <si>
    <t>ELETRODUTO FLEXÍVEL CORRUGADO, PEAD, DN 40 MM (1 1/4"), PARA CIRCUITOS TERMINAIS, INSTALADO EM FORRO - FORNECIMENTO E INSTALAÇÃO. AF_03/2023_PA</t>
  </si>
  <si>
    <t>ELETROCALHA PERFURADA TIPO C, 50x50x3000mm, CHAPA 18 GALVANIZADA</t>
  </si>
  <si>
    <t>ELETROCALHA PERFURADA TIPO C, 50x250x3000mm, CHAPA 18 GALVANIZADA</t>
  </si>
  <si>
    <t>SUPORTE PARA ELETROCALHA LISA OU PERFURADA EM AÇO GALVANIZADO, LARGURA 400 MM, EM PERFILADO COM COMPRIMENTO DE 45 CM FIXADO EM LAJE, POR METRO DE ELETROCALHA FIXADA. AF_09/2023</t>
  </si>
  <si>
    <t>LUMINÁRIA LED QUADRADA, DE SOBREPOR, 25 W - FORNECIMENTO E INSTALAÇÃO</t>
  </si>
  <si>
    <t>LUMINÁRIA LED QUADRADA, DE SOBREPOR, 15 W - FORNECIMENTO E INSTALAÇÃO</t>
  </si>
  <si>
    <t>LUMINÁRIA LED SLIM DE SOBREPOR, 40 W - FORNECIMENTO E INSTALAÇÃO</t>
  </si>
  <si>
    <t>LUMINÁRIA FLOODLIGHT 50W</t>
  </si>
  <si>
    <t>LUMINÁRIA ARANDELA, DE SOBREPOR, 24 W, EXTERNA IP65 - FORNECIMENTO E INSTALAÇÃO. AF_09/2024</t>
  </si>
  <si>
    <t xml:space="preserve">SOQUETE DE PORCELANA BASE E27, PARA USO AO TEMPO, PARA LAMPADAS                                                                                                                                                                                           </t>
  </si>
  <si>
    <t>SPOT DE EMBUTIR NO PISO 9W, PARA ÁREA EXTERNA</t>
  </si>
  <si>
    <t>HASTE DE ATERRAMENTO, DIÂMETRO 3/4", COM 3 METROS - FORNECIMENTO E INSTALAÇÃO. AF_08/2023</t>
  </si>
  <si>
    <t>CAIXA DE INSPEÇÃO PARA ATERRAMENTO, CIRCULAR, EM POLIETILENO, DIÂMETRO INTERNO = 0,3 M. AF_12/2020</t>
  </si>
  <si>
    <t xml:space="preserve">CAIXA DE PASSAGEM ELETRICA, PARA PISO, EM PVC, DIMENSOES DE 3/4" A 4"                                                                                                                                                                                     </t>
  </si>
  <si>
    <t>CABO DE COBRE FLEXÍVEL ISOLADO, 1,5 MM², ANTI-CHAMA 0,6/1,0 KV, PARA CIRCUITOS TERMINAIS - FORNECIMENTO E INSTALAÇÃO. AF_03/2023</t>
  </si>
  <si>
    <t>CABO DE COBRE FLEXÍVEL ISOLADO, 10 MM², ANTI-CHAMA 0,6/1,0 KV, PARA CIRCUITOS TERMINAIS - FORNECIMENTO E INSTALAÇÃO. AF_03/2023</t>
  </si>
  <si>
    <t>CABO DE COBRE FLEXÍVEL ISOLADO, 16 MM², ANTI-CHAMA 0,6/1,0 KV, PARA CIRCUITOS TERMINAIS - FORNECIMENTO E INSTALAÇÃO. AF_03/2023</t>
  </si>
  <si>
    <t>CABO DE COBRE FLEXÍVEL ISOLADO, 35 MM², ANTI-CHAMA 0,6/1,0 KV, PARA REDE ENTERRADA DE DISTRIBUIÇÃO DE ENERGIA ELÉTRICA - FORNECIMENTO E INSTALAÇÃO. AF_12/2021</t>
  </si>
  <si>
    <t>CABO DE COBRE FLEXÍVEL ISOLADO, 4 MM², ANTI-CHAMA 0,6/1,0 KV, PARA CIRCUITOS TERMINAIS - FORNECIMENTO E INSTALAÇÃO. AF_03/2023</t>
  </si>
  <si>
    <t>CABO DE COBRE FLEXÍVEL ISOLADO, 70 MM², ANTI-CHAMA 0,6/1,0 KV, PARA REDE ENTERRADA DE DISTRIBUIÇÃO DE ENERGIA ELÉTRICA - FORNECIMENTO E INSTALAÇÃO. AF_12/2021</t>
  </si>
  <si>
    <t>CABO DE COBRE FLEXÍVEL ISOLADO, 1,5 MM², ANTI-CHAMA 450/750 V, PARA CIRCUITOS TERMINAIS - FORNECIMENTO E INSTALAÇÃO. AF_03/2023</t>
  </si>
  <si>
    <t>CABO DE COBRE FLEXÍVEL ISOLADO, 10 MM², ANTI-CHAMA 450/750 V, PARA CIRCUITOS TERMINAIS - FORNECIMENTO E INSTALAÇÃO. AF_03/2023</t>
  </si>
  <si>
    <t>CABO DE COBRE FLEXÍVEL ISOLADO, 2,5 MM², ANTI-CHAMA 450/750 V, PARA CIRCUITOS TERMINAIS - FORNECIMENTO E INSTALAÇÃO. AF_03/2023</t>
  </si>
  <si>
    <t>CABO DE COBRE FLEXÍVEL ISOLADO, 4 MM², ANTI-CHAMA 450/750 V, PARA CIRCUITOS TERMINAIS - FORNECIMENTO E INSTALAÇÃO. AF_03/2023</t>
  </si>
  <si>
    <t>CABO DE COBRE FLEXÍVEL ISOLADO, 6 MM², ANTI-CHAMA 450/750 V, PARA CIRCUITOS TERMINAIS - FORNECIMENTO E INSTALAÇÃO. AF_03/2023</t>
  </si>
  <si>
    <t>CABO DE ALUMÍNIO FLEXÍVEL ISOLADO, 70 MM², ANTI-CHAMA 0,6/1,0 KV- FORNECIMENTO E INSTALAÇÃO</t>
  </si>
  <si>
    <t xml:space="preserve">FITA ISOLANTE ADESIVA ANTICHAMA, USO ATE 750 V, EM ROLO DE 19 MM X 20 M                                                                                                                                                                                   </t>
  </si>
  <si>
    <t>AUXILIAR DE ELETRICISTA COM ENCARGOS COMPLEMENTARES</t>
  </si>
  <si>
    <t>ELETRICISTA COM ENCARGOS COMPLEMENTARES</t>
  </si>
  <si>
    <t xml:space="preserve">CAIXA DE PASSAGEM ELETRICA DE PAREDE, DE SOBREPOR, EM PVC, COM TAMPA APARAFUSADA, DIMENSOES 300 X 300 X *100* MM                                                                                                                                          </t>
  </si>
  <si>
    <t xml:space="preserve">CAIXA DE PASSAGEM ELETRICA DE PAREDE, DE SOBREPOR, EM PVC, COM TAMPA APARAFUSADA, DIMENSOES, 400 X 400 X *120* MM                                                                                                                                         </t>
  </si>
  <si>
    <t>CABO ELETRÔNICO CATEGORIA 5E, INSTALADO EM EDIFICAÇÃO INSTITUCIONAL - FORNECIMENTO E INSTALAÇÃO. AF_11/2019</t>
  </si>
  <si>
    <t>TOMADA DE REDE RJ45 - FORNECIMENTO E INSTALAÇÃO. AF_11/2019</t>
  </si>
  <si>
    <t>ADAPTADOR RJ45 - HDMI</t>
  </si>
  <si>
    <t xml:space="preserve">ESPELHO / PLACA CEGA 4" X 2", PARA INSTALACAO DE TOMADAS E INTERRUPTORES                                                                                                                                                                                  </t>
  </si>
  <si>
    <t>CABO TELEFÔNICO CCI-50 2 PARES, SEM BLINDAGEM, INSTALADO EM DISTRIBUIÇÃO DE EDIFICAÇÃO INSTITUCIONAL - FORNECIMENTO E INSTALAÇÃO. AF_11/2019</t>
  </si>
  <si>
    <t>TOMADA PARA TELEFONE RJ11 - FORNECIMENTO E INSTALAÇÃO. AF_11/2019</t>
  </si>
  <si>
    <t>ELETRODUTO FLEXÍVEL CORRUGADO REFORÇADO, PVC, DN 20 MM (1/2"), PARA CIRCUITOS TERMINAIS, INSTALADO EM FORRO - FORNECIMENTO E INSTALAÇÃO. AF_03/2023_PA</t>
  </si>
  <si>
    <t>ELETRODUTO FLEXÍVEL CORRUGADO REFORÇADO, PVC, DN 32 MM (1"), PARA CIRCUITOS TERMINAIS, INSTALADO EM FORRO - FORNECIMENTO E INSTALAÇÃO. AF_03/2023_PA</t>
  </si>
  <si>
    <t>CAIXA SIFONADA, PVC, DN 100 X 100 X 50 MM, JUNTA ELÁSTICA, FORNECIDA E INSTALADA EM RAMAL DE DESCARGA OU EM RAMAL DE ESGOTO SANITÁRIO. AF_08/2022</t>
  </si>
  <si>
    <t xml:space="preserve">RALO LINEAR GRELHA 70 CM </t>
  </si>
  <si>
    <t xml:space="preserve">RALO LINEAR GRELHA 90 CM </t>
  </si>
  <si>
    <t>BUCHA DE REDUÇÃO, CURTA, PVC, SOLDÁVEL, DN 50 X 40 MM, INSTALADO EM RAMAL DE DISTRIBUIÇÃO DE ÁGUA - FORNECIMENTO E INSTALAÇÃO. AF_06/2022</t>
  </si>
  <si>
    <t xml:space="preserve">CAP PVC, SOLDAVEL, DN 50 MM, SERIE NORMAL, PARA ESGOTO PREDIAL                                                                                                                                                                                            </t>
  </si>
  <si>
    <t xml:space="preserve">CAP PVC, SOLDAVEL, 40 MM, PARA AGUA FRIA PREDIAL                                                                                                                                                                                                          </t>
  </si>
  <si>
    <t>JOELHO 45 GRAUS, PVC, SERIE NORMAL, ESGOTO PREDIAL, DN 100 MM, JUNTA ELÁSTICA, FORNECIDO E INSTALADO EM RAMAL DE DESCARGA OU RAMAL DE ESGOTO SANITÁRIO. AF_08/2022</t>
  </si>
  <si>
    <t>JOELHO 45 GRAUS, PVC, SERIE NORMAL, ESGOTO PREDIAL, DN 150 MM, JUNTA ELÁSTICA, FORNECIDO E INSTALADO EM SUBCOLETOR AÉREO DE ESGOTO SANITÁRIO. AF_08/2022</t>
  </si>
  <si>
    <t>JOELHO 45 GRAUS, PVC, SERIE NORMAL, ESGOTO PREDIAL, DN 40 MM, JUNTA SOLDÁVEL, FORNECIDO E INSTALADO EM RAMAL DE DESCARGA OU RAMAL DE ESGOTO SANITÁRIO. AF_08/2022</t>
  </si>
  <si>
    <t>JOELHO 45 GRAUS, PVC, SERIE NORMAL, ESGOTO PREDIAL, DN 50 MM, JUNTA ELÁSTICA, FORNECIDO E INSTALADO EM RAMAL DE DESCARGA OU RAMAL DE ESGOTO SANITÁRIO. AF_08/2022</t>
  </si>
  <si>
    <t>JOELHO 45 GRAUS, PVC, SERIE NORMAL, ESGOTO PREDIAL, DN 75 MM, JUNTA ELÁSTICA, FORNECIDO E INSTALADO EM RAMAL DE DESCARGA OU RAMAL DE ESGOTO SANITÁRIO. AF_08/2022</t>
  </si>
  <si>
    <t>JOELHO 90 GRAUS, PVC, SERIE NORMAL, ESGOTO PREDIAL, DN 40 MM, JUNTA SOLDÁVEL, FORNECIDO E INSTALADO EM RAMAL DE DESCARGA OU RAMAL DE ESGOTO SANITÁRIO. AF_08/2022</t>
  </si>
  <si>
    <t>JOELHO 90 GRAUS, PVC, SERIE NORMAL, ESGOTO PREDIAL, DN 100 MM, JUNTA ELÁSTICA, FORNECIDO E INSTALADO EM RAMAL DE DESCARGA OU RAMAL DE ESGOTO SANITÁRIO. AF_08/2022</t>
  </si>
  <si>
    <t>JOELHO 90 GRAUS, PVC, SERIE NORMAL, ESGOTO PREDIAL, DN 50 MM, JUNTA ELÁSTICA, FORNECIDO E INSTALADO EM RAMAL DE DESCARGA OU RAMAL DE ESGOTO SANITÁRIO. AF_08/2022</t>
  </si>
  <si>
    <t>JUNÇÃO SIMPLES DE REDUÇÃO, PVC, SERIE NORMAL, ESGOTO PREDIAL, DN 100 X 50 MM, JUNTA ELÁSTICA, FORNECIDO E INSTALADO EM PRUMADA DE ESGOTO SANITÁRIO OU VENTILAÇÃO</t>
  </si>
  <si>
    <t>JUNÇÃO SIMPLES DE REDUÇÃO, PVC, SERIE NORMAL, ESGOTO PREDIAL, DN 100 X 75 MM, JUNTA ELÁSTICA, FORNECIDO E INSTALADO EM PRUMADA DE ESGOTO SANITÁRIO OU VENTILAÇÃO</t>
  </si>
  <si>
    <t>JUNÇÃO SIMPLES, PVC, SERIE NORMAL, ESGOTO PREDIAL, DN 100 X 100 MM, JUNTA ELÁSTICA, FORNECIDO E INSTALADO EM RAMAL DE DESCARGA OU RAMAL DE ESGOTO SANITÁRIO. AF_08/2022</t>
  </si>
  <si>
    <t>JUNÇÃO SIMPLES, PVC, SERIE NORMAL, ESGOTO PREDIAL, DN 40 MM, JUNTA SOLDÁVEL, FORNECIDO E INSTALADO EM RAMAL DE DESCARGA OU RAMAL DE ESGOTO SANITÁRIO. AF_08/2022</t>
  </si>
  <si>
    <t>JUNÇÃO SIMPLES, PVC, SERIE NORMAL, ESGOTO PREDIAL, DN 50 X 50 MM, JUNTA ELÁSTICA, FORNECIDO E INSTALADO EM RAMAL DE DESCARGA OU RAMAL DE ESGOTO SANITÁRIO. AF_08/2022</t>
  </si>
  <si>
    <t>JUNÇÃO SIMPLES, PVC, SERIE R, ÁGUA PLUVIAL, DN 100 X 75 MM, JUNTA ELÁSTICA, FORNECIDO E INSTALADO EM RAMAL DE ENCAMINHAMENTO. AF_06/2022</t>
  </si>
  <si>
    <t>JUNÇÃO DE REDUÇÃO INVERTIDA, PVC, SÉRIE NORMAL, ESGOTO PREDIAL, DN 75 X 50 MM, JUNTA ELÁSTICA, FORNECIDO E INSTALADO EM PRUMADA DE ESGOTO SANITÁRIO OU VENTILAÇÃO. AF_08/2022</t>
  </si>
  <si>
    <t>JUNÇÃO SIMPLES, PVC, SERIE NORMAL, ESGOTO PREDIAL, DN 75 X 75 MM, JUNTA ELÁSTICA, FORNECIDO E INSTALADO EM PRUMADA DE ESGOTO SANITÁRIO OU VENTILAÇÃO. AF_08/2022</t>
  </si>
  <si>
    <t>REDUÇÃO EXCÊNTRICA, PVC, SERIE R, ESGOTO PREDIAL, DN 100 X 75 MM, JUNTA ELÁSTICA, FORNECIDO E INSTALADO EM PRUMADA DE ESGOTO SANITÁRIO</t>
  </si>
  <si>
    <t>TUBO PVC, SERIE NORMAL, ESGOTO PREDIAL, DN 100 MM, FORNECIDO E INSTALADO EM RAMAL DE DESCARGA OU RAMAL DE ESGOTO SANITÁRIO. AF_08/2022</t>
  </si>
  <si>
    <t>TUBO PVC, SERIE NORMAL, ESGOTO PREDIAL, DN 150 MM, FORNECIDO E INSTALADO EM SUBCOLETOR AÉREO DE ESGOTO SANITÁRIO. AF_08/2022</t>
  </si>
  <si>
    <t>TUBO PVC, SERIE NORMAL, ESGOTO PREDIAL, DN 50 MM, FORNECIDO E INSTALADO EM RAMAL DE DESCARGA OU RAMAL DE ESGOTO SANITÁRIO. AF_08/2022</t>
  </si>
  <si>
    <t>TUBO PVC, SERIE NORMAL, ESGOTO PREDIAL, DN 75 MM, FORNECIDO E INSTALADO EM RAMAL DE DESCARGA OU RAMAL DE ESGOTO SANITÁRIO. AF_08/2022</t>
  </si>
  <si>
    <t>TUBO PVC, SERIE NORMAL, ESGOTO PREDIAL, DN 40 MM, FORNECIDO E INSTALADO EM RAMAL DE DESCARGA OU RAMAL DE ESGOTO SANITÁRIO. AF_08/2022</t>
  </si>
  <si>
    <t>TE, PVC, SERIE NORMAL, ESGOTO PREDIAL, DN 40 X 40 MM, JUNTA SOLDÁVEL, FORNECIDO E INSTALADO EM RAMAL DE DESCARGA OU RAMAL DE ESGOTO SANITÁRIO. AF_08/2022</t>
  </si>
  <si>
    <t>REDUÇÃO EXCÊNTRICA, PVC, SERIE R, ÁGUA PLUVIAL, DN 75 X 50 MM, JUNTA ELÁSTICA, FORNECIDO E INSTALADO EM RAMAL DE ENCAMINHAMENTO. AF_06/2022</t>
  </si>
  <si>
    <t>TERMINAL DE VENTILAÇÃO, PVC, SÉRIE NORMAL, ESGOTO PREDIAL, DN 50 MM, JUNTA SOLDÁVEL, FORNECIDO E INSTALADO EM PRUMADA DE ESGOTO SANITÁRIO OU VENTILAÇÃO. AF_08/2022</t>
  </si>
  <si>
    <t>TERMINAL DE VENTILAÇÃO, PVC, SÉRIE NORMAL, ESGOTO PREDIAL, DN 75 MM, JUNTA SOLDÁVEL, FORNECIDO E INSTALADO EM PRUMADA DE ESGOTO SANITÁRIO OU VENTILAÇÃO. AF_08/2022</t>
  </si>
  <si>
    <t>TE, PVC, SÉRIE NORMAL, ESGOTO PREDIAL, DN 100 X 50 MM, JUNTA ELÁSTICA, FORNECIDO E INSTALADO EM RAMAL DE DESCARGA OU RAMAL DE ESGOTO SANITÁRIO. AF_08/2022</t>
  </si>
  <si>
    <t>TE, PVC, SERIE NORMAL, ESGOTO PREDIAL, DN 50 X 50 MM, JUNTA ELÁSTICA, FORNECIDO E INSTALADO EM RAMAL DE DESCARGA OU RAMAL DE ESGOTO SANITÁRIO. AF_08/2022</t>
  </si>
  <si>
    <t>REGISTRO DE PRESSÃO BRUTO, LATÃO, ROSCÁVEL, 3/4", COM ACABAMENTO E CANOPLA CROMADOS - FORNECIMENTO E INSTALAÇÃO. AF_08/2021</t>
  </si>
  <si>
    <t>LUVA COM BUCHA DE LATÃO, PVC, SOLDÁVEL, DN 25MM X 3/4 , INSTALADO EM RAMAL OU SUB-RAMAL DE ÁGUA - FORNECIMENTO E INSTALAÇÃO. AF_06/2022</t>
  </si>
  <si>
    <t>TORNEIRA PLÁSTICA 3/4" PARA TANQUE - FORNECIMENTO E INSTALAÇÃO. AF_01/2020</t>
  </si>
  <si>
    <t>REGISTRO DE GAVETA BRUTO, LATÃO, ROSCÁVEL, 1 1/2", COM ACABAMENTO E CANOPLA CROMADOS - FORNECIMENTO E INSTALAÇÃO. AF_08/2021</t>
  </si>
  <si>
    <t>REGISTRO DE GAVETA BRUTO, LATÃO, ROSCÁVEL, 1 1/4", COM ACABAMENTO E CANOPLA CROMADOS - FORNECIMENTO E INSTALAÇÃO. AF_08/2021</t>
  </si>
  <si>
    <t>ENGATE FLEXÍVEL EM INOX, 1/2  X 40CM - FORNECIMENTO E INSTALAÇÃO. AF_01/2020</t>
  </si>
  <si>
    <t>HIDRÔMETRO DN 3/4", 5,0 M3/H - FORNECIMENTO E INSTALAÇÃO. AF_03/2024</t>
  </si>
  <si>
    <t>KIT CAVALETE PARA MEDIÇÃO DE ÁGUA - ENTRADA PRINCIPAL, EM PVC 25 MM (3/4") - FORNECIMENTO E INSTALAÇÃO (EXCLUSIVE HIDRÔMETRO). AF_03/2024</t>
  </si>
  <si>
    <t>BUCHA DE REDUÇÃO, CURTA, PVC, SOLDÁVEL, DN 32 X 25 MM, INSTALADO EM RAMAL OU SUB-RAMAL DE ÁGUA - FORNECIMENTO E INSTALAÇÃO. AF_06/2022</t>
  </si>
  <si>
    <t>BUCHA DE REDUÇÃO, LONGA, PVC, SOLDÁVEL, DN 40 X 25 MM, INSTALADO EM PRUMADA DE ÁGUA - FORNECIMENTO E INSTALAÇÃO. AF_06/2022</t>
  </si>
  <si>
    <t>BUCHA DE REDUÇÃO, LONGA, PVC, SOLDÁVEL, DN 50 X 25 MM, INSTALADO EM PRUMADA DE ÁGUA - FORNECIMENTO E INSTALAÇÃO. AF_06/2022</t>
  </si>
  <si>
    <t>BUCHA DE REDUÇÃO , LONGA, PVC, SOLDÁVEL, DN 50 X 32 MM, INSTALADO EM RAMAL DE DISTRIBUIÇÃO DE ÁGUA - FORNECIMENTO E INSTALAÇÃO. AF_06/2022</t>
  </si>
  <si>
    <t>ADAPTADOR CURTO COM BOLSA E ROSCA PARA REGISTRO, PVC, SOLDÁVEL, DN 25MM X 3/4 , INSTALADO EM RAMAL DE DISTRIBUIÇÃO DE ÁGUA - FORNECIMENTO E INSTALAÇÃO. AF_06/2022</t>
  </si>
  <si>
    <t>ADAPTADOR CURTO COM BOLSA E ROSCA PARA REGISTRO, PVC, SOLDÁVEL, DN 50MM X 1.1/4 , INSTALADO EM PRUMADA DE ÁGUA - FORNECIMENTO E INSTALAÇÃO. AF_06/2022</t>
  </si>
  <si>
    <t>ADAPTADOR CURTO COM BOLSA E ROSCA PARA REGISTRO, PVC, SOLDÁVEL, DN 32MM X 1 , INSTALADO EM RAMAL OU SUB-RAMAL DE ÁGUA - FORNECIMENTO E INSTALAÇÃO. AF_06/2022</t>
  </si>
  <si>
    <t>ADAPTADOR CURTO COM BOLSA E ROSCA PARA REGISTRO, PVC, SOLDÁVEL, DN 40MM X 1.1/4", INSTALADO EM RAMAL DE DISTRIBUIÇÃO DE ÁGUA - FORNECIMENTO E INSTALAÇÃO. AF_06/2022</t>
  </si>
  <si>
    <t>ADAPTADOR CURTO COM BOLSA E ROSCA PARA REGISTRO, PVC, SOLDÁVEL, DN 50MM X 1.1/2", INSTALADO EM RAMAL DE DISTRIBUIÇÃO DE ÁGUA - FORNECIMENTO E INSTALAÇÃO. AF_06/2022</t>
  </si>
  <si>
    <t>JOELHO 45 GRAUS, PVC, SOLDÁVEL, DN 32MM, INSTALADO EM RAMAL OU SUB-RAMAL DE ÁGUA - FORNECIMENTO E INSTALAÇÃO. AF_06/2022</t>
  </si>
  <si>
    <t>JOELHO 45 GRAUS, PVC, SOLDÁVEL, DN 25MM, INSTALADO EM RAMAL DE DISTRIBUIÇÃO DE ÁGUA - FORNECIMENTO E INSTALAÇÃO. AF_06/2022</t>
  </si>
  <si>
    <t>JOELHO 45 GRAUS, PVC, SOLDÁVEL, DN 40MM, INSTALADO EM RAMAL DE DISTRIBUIÇÃO DE ÁGUA - FORNECIMENTO E INSTALAÇÃO. AF_06/2022</t>
  </si>
  <si>
    <t>JOELHO 45 GRAUS, PVC, SOLDÁVEL, DN 50MM, INSTALADO EM RAMAL DE DISTRIBUIÇÃO DE ÁGUA - FORNECIMENTO E INSTALAÇÃO. AF_06/2022</t>
  </si>
  <si>
    <t>JOELHO 90 GRAUS, PPR, DN 50 MM, CLASSE PN 25, INSTALADO EM PRUMADA DE ÁGUA   FORNECIMENTO E INSTALAÇÃO . AF_08/2022</t>
  </si>
  <si>
    <t>JOELHO 90 GRAUS, PVC, SOLDÁVEL, DN 25MM, INSTALADO EM RAMAL OU SUB-RAMAL DE ÁGUA - FORNECIMENTO E INSTALAÇÃO. AF_06/2022</t>
  </si>
  <si>
    <t>JOELHO 90 GRAUS, PVC, SOLDÁVEL, DN 40MM, INSTALADO EM RAMAL DE DISTRIBUIÇÃO DE ÁGUA - FORNECIMENTO E INSTALAÇÃO. AF_06/2022</t>
  </si>
  <si>
    <t>JOELHO DE REDUÇÃO, 90 GRAUS, PVC, SOLDÁVEL, DN 32 MM X 25 MM, INSTALADO EM RAMAL OU SUB-RAMAL DE ÁGUA - FORNECIMENTO E INSTALAÇÃO. AF_06/2022</t>
  </si>
  <si>
    <t>JOELHO 90 GRAUS COM BUCHA DE LATÃO, PVC, SOLDÁVEL, DN 25MM, X 3/4  INSTALADO EM RAMAL OU SUB-RAMAL DE ÁGUA - FORNECIMENTO E INSTALAÇÃO. AF_06/2022</t>
  </si>
  <si>
    <t>LUVA, PVC, SOLDÁVEL, DN 40MM, INSTALADO EM PRUMADA DE ÁGUA - FORNECIMENTO E INSTALAÇÃO. AF_06/2022</t>
  </si>
  <si>
    <t>LUVA, PVC, SOLDÁVEL, DN 50MM, INSTALADO EM RAMAL DE DISTRIBUIÇÃO DE ÁGUA - FORNECIMENTO E INSTALAÇÃO. AF_06/2022</t>
  </si>
  <si>
    <t>TUBO, PVC, SOLDÁVEL, DE 50MM, INSTALADO EM RAMAL DE DISTRIBUIÇÃO DE ÁGUA - FORNECIMENTO E INSTALAÇÃO. AF_06/2022</t>
  </si>
  <si>
    <t>JOELHO DE REDUÇÃO, 90 GRAUS, PVC, SOLDÁVEL, DN 32 MM X 25 MM, INSTALADO EM RAMAL DE DISTRIBUIÇÃO DE ÁGUA - FORNECIMENTO E INSTALAÇÃO. AF_06/2022</t>
  </si>
  <si>
    <t>TUBO, PVC, SOLDÁVEL, DE 25MM, INSTALADO EM RAMAL OU SUB-RAMAL DE ÁGUA - FORNECIMENTO E INSTALAÇÃO. AF_06/2022</t>
  </si>
  <si>
    <t>TUBO, PVC, SOLDÁVEL, DE 32MM, INSTALADO EM RAMAL OU SUB-RAMAL DE ÁGUA - FORNECIMENTO E INSTALAÇÃO. AF_06/2022</t>
  </si>
  <si>
    <t>TUBO, PVC, SOLDÁVEL, DE 40MM, INSTALADO EM RAMAL DE DISTRIBUIÇÃO DE ÁGUA - FORNECIMENTO E INSTALAÇÃO. AF_06/2022</t>
  </si>
  <si>
    <t>TÊ, PVC, SOLDÁVEL, DN 32 MM INSTALADO EM RESERVAÇÃO PREDIAL DE ÁGUA - FORNECIMENTO E INSTALAÇÃO. AF_04/2024</t>
  </si>
  <si>
    <t>TE, PVC, SOLDÁVEL, DN 25MM, INSTALADO EM RAMAL OU SUB-RAMAL DE ÁGUA - FORNECIMENTO E INSTALAÇÃO. AF_06/2022</t>
  </si>
  <si>
    <t>TÊ, PVC, SOLDÁVEL, DN 40 MM INSTALADO EM RESERVAÇÃO PREDIAL DE ÁGUA - FORNECIMENTO E INSTALAÇÃO. AF_04/2024</t>
  </si>
  <si>
    <t>TÊ, PVC, SOLDÁVEL, DN  25 MM INSTALADO EM RESERVAÇÃO PREDIAL DE ÁGUA - FORNECIMENTO E INSTALAÇÃO. AF_04/2024</t>
  </si>
  <si>
    <t>TÊ DE REDUÇÃO, PVC, SOLDÁVEL, DN 32MM X 25MM, INSTALADO EM RAMAL OU SUB-RAMAL DE ÁGUA - FORNECIMENTO E INSTALAÇÃO. AF_06/2022</t>
  </si>
  <si>
    <t>TÊ DE REDUÇÃO, PVC, SOLDÁVEL, DN 40MM X 32MM, INSTALADO EM PRUMADA DE ÁGUA - FORNECIMENTO E INSTALAÇÃO. AF_06/2022</t>
  </si>
  <si>
    <t>TÊ DE REDUÇÃO, PVC, SOLDÁVEL, DN 50MM X 25MM, INSTALADO EM RAMAL DE DISTRIBUIÇÃO DE ÁGUA - FORNECIMENTO E INSTALAÇÃO. AF_06/2022</t>
  </si>
  <si>
    <t>TÊ DE REDUÇÃO, PVC, SOLDÁVEL, DN 50MM X 40MM, INSTALADO EM PRUMADA DE ÁGUA - FORNECIMENTO E INSTALAÇÃO. AF_06/2022</t>
  </si>
  <si>
    <t>TORNEIRA DE BOIA PARA CAIXA D'ÁGUA, ROSCÁVEL, 1/2" - FORNECIMENTO E INSTALAÇÃO. AF_08/2021</t>
  </si>
  <si>
    <t>ADAPTADOR COM FLANGE E ANEL DE VEDAÇÃO, PVC, SOLDÁVEL, DN  25 MM X 3/4", INSTALADO EM RESERVAÇÃO PREDIAL DE ÁGUA - FORNECIMENTO E INSTALAÇÃO. AF_04/2024</t>
  </si>
  <si>
    <t xml:space="preserve">CAIXA D'AGUA / RESERVATORIO EM POLIESTER REFORCADO COM FIBRA DE VIDRO, 20000 LITROS, COM TAMPA                                                                                                                                                            </t>
  </si>
  <si>
    <t>PISO VINÍLICO SEMI-FLEXÍVEL EM PLACAS, PADRÃO LISO, ESPESSURA 3,2 MM, FIXADO COM COLA. AF_09/2020</t>
  </si>
  <si>
    <t>REVESTIMENTO CERÂMICO PARA PISO COM PLACAS TIPO PORCELANATO DE DIMENSÕES 60X60 CM APLICADA EM AMBIENTES DE ÁREA MAIOR QUE 10 M². AF_02/2023_PE</t>
  </si>
  <si>
    <t>REVESTIMENTO CERÂMICO PARA PISO COM PLACAS TIPO PORCELANATO DE DIMENSÕES 60X60 CM APLICADA EM AMBIENTES DE ÁREA ENTRE 5 M² E 10 M². AF_02/2023_PE</t>
  </si>
  <si>
    <t>REVESTIMENTO CERÂMICO PARA PISO COM PLACAS TIPO PORCELANATO DE DIMENSÕES 60X60 CM APLICADA EM AMBIENTES DE ÁREA MENOR QUE 5 M². AF_02/2023_PE</t>
  </si>
  <si>
    <t>CONTRAPISO EM ARGAMASSA PRONTA, PREPARO MANUAL, APLICADO EM ÁREAS MOLHADAS SOBRE LAJE, ADERIDO, ACABAMENTO NÃO REFORÇADO, ESPESSURA 2CM. AF_07/2021</t>
  </si>
  <si>
    <t>VASO SANITÁRIO SIFONADO COM CAIXA ACOPLADA LOUÇA BRANCA - PADRÃO MÉDIO, INCLUSO ENGATE FLEXÍVEL EM METAL CROMADO, 1/2  X 40CM - FORNECIMENTO E INSTALAÇÃO. AF_01/2020</t>
  </si>
  <si>
    <t>VASO SANITÁRIO INFANTIL LOUÇA BRANCA - FORNECIMENTO E INSTALACAO. AF_01/2020</t>
  </si>
  <si>
    <t>VASO SANITARIO SIFONADO CONVENCIONAL PARA PCD SEM FURO FRONTAL COM  LOUÇA BRANCA SEM ASSENTO -  FORNECIMENTO E INSTALAÇÃO. AF_01/2020</t>
  </si>
  <si>
    <t>ASSENTO SANITÁRIO CONVENCIONAL - FORNECIMENTO E INSTALACAO. AF_01/2020</t>
  </si>
  <si>
    <t>ASSENTO SANITÁRIO INFANTIL - FORNECIMENTO E INSTALACAO. AF_01/2020</t>
  </si>
  <si>
    <t>VÁLVULA DE DESCARGA METÁLICA, DUPLO ACIONAMENTO ECO, BASE 1.1/2", ACABAMENTO METÁLICO CROMADO - FORNECIMENTO E INSTALAÇÃO</t>
  </si>
  <si>
    <t>TORNEIRA COM ALAVANCA CROMADA DE MESA, 1/2" OU 3/4", PARA SANITÁRIO PCD, BICA BAIXA - FORNECIMENTO E INSTALAÇÃO. AF_01/2020</t>
  </si>
  <si>
    <t>TORNEIRA CROMADA DE MESA, 1/2" OU 3/4", PARA LAVATÓRIO,TEMPORIZADA PRESSÃO, FECHAMENTO AUTOMÁTICO, BICA BAIXA - FORNECIMENTO E INSTALAÇÃO. AF_01/2020</t>
  </si>
  <si>
    <t>VÁLVULA EM PLÁSTICO 1" PARA PIA, TANQUE OU LAVATÓRIO, COM OU SEM LADRÃO - FORNECIMENTO E INSTALAÇÃO. AF_01/2020</t>
  </si>
  <si>
    <t>SIFÃO DO TIPO FLEXÍVEL EM PVC 1  X 1.1/2  - FORNECIMENTO E INSTALAÇÃO. AF_01/2020</t>
  </si>
  <si>
    <t>ENGATE FLEXÍVEL EM PLÁSTICO BRANCO, 1/2" X 30CM - FORNECIMENTO E INSTALAÇÃO. AF_01/2020</t>
  </si>
  <si>
    <t>LAVATÓRIO LOUÇA BRANCA SUSPENSO, 29,5 X 39CM OU EQUIVALENTE, PADRÃO POPULAR - FORNECIMENTO E INSTALAÇÃO. AF_01/2020</t>
  </si>
  <si>
    <t>PAPELEIRA DE PAREDE EM PLÁSTICO TIPO DISPENSER PARA PAPEL HIGIÊNICO ROLÃO, INCLUSO FIXAÇÃO</t>
  </si>
  <si>
    <t xml:space="preserve">TOALHEIRO PLASTICO TIPO DISPENSER PARA PAPEL TOALHA INTERFOLHADO - INCLUSO FIXAÇÃO                                                                                                                                                                        </t>
  </si>
  <si>
    <t>SABONETEIRA PLASTICA TIPO DISPENSER PARA SABONETE LIQUIDO COM RESERVATORIO 800 A 1500 ML, INCLUSO FIXAÇÃO. AF_01/2020</t>
  </si>
  <si>
    <t>BARRA DE APOIO RETA, EM ALUMINIO, COMPRIMENTO 80 CM,  FIXADA NA PAREDE - FORNECIMENTO E INSTALAÇÃO. AF_01/2020</t>
  </si>
  <si>
    <t>BARRA DE APOIO RETA, EM ALUMINIO, COMPRIMENTO 70 CM,  FIXADA NA PAREDE - FORNECIMENTO E INSTALAÇÃO. AF_01/2020</t>
  </si>
  <si>
    <t>BARRA DE APOIO RETA, EM ALUMINIO, COMPRIMENTO 40 CM,  FIXADA NA PAREDE - FORNECIMENTO E INSTALAÇÃO</t>
  </si>
  <si>
    <t>BARRA DE APOIO EM "L", EM ALUMÍNIO 70 X 70 CM, FIXADA NA PAREDE - FORNECIMENTO E INSTALACAO.</t>
  </si>
  <si>
    <t>PUXADOR PARA PCD, FIXADO NA PORTA - FORNECIMENTO E INSTALAÇÃO. AF_01/2020</t>
  </si>
  <si>
    <t>BANCO ARTICULADO, EM ACO INOX, PARA PCD, FIXADO NA PAREDE - FORNECIMENTO E INSTALAÇÃO. AF_01/2020</t>
  </si>
  <si>
    <t xml:space="preserve">PELÍCULA DE PROTEÇÃO SOLAR - FORNECIMENTO E INSTALAÇÃO </t>
  </si>
  <si>
    <t xml:space="preserve">CAIXA DE PASSAGEM PVC 25 CM - PLUVIAL - FORNECIMENTO E INSTALAÇÃO </t>
  </si>
  <si>
    <t>CAP, PVC, SERIE R, ÁGUA PLUVIAL, DN 100 MM, JUNTA ELÁSTICA, FORNECIDO E INSTALADO EM RAMAL DE ENCAMINHAMENTO. AF_06/2022</t>
  </si>
  <si>
    <t>JOELHO 45 GRAUS, PVC, SERIE R, ÁGUA PLUVIAL, DN 100 MM, JUNTA ELÁSTICA, FORNECIDO E INSTALADO EM RAMAL DE ENCAMINHAMENTO. AF_06/2022</t>
  </si>
  <si>
    <t>JOELHO 45 GRAUS, PVC, SERIE R, ÁGUA PLUVIAL, DN 75 MM, JUNTA ELÁSTICA, FORNECIDO E INSTALADO EM RAMAL DE ENCAMINHAMENTO. AF_06/2022</t>
  </si>
  <si>
    <t>JOELHO 90 GRAUS, PVC, SERIE R, ÁGUA PLUVIAL, DN 100 MM, JUNTA ELÁSTICA, FORNECIDO E INSTALADO EM RAMAL DE ENCAMINHAMENTO. AF_06/2022</t>
  </si>
  <si>
    <t>JOELHO 90 GRAUS, PVC, SERIE R, ÁGUA PLUVIAL, DN 75 MM, JUNTA ELÁSTICA, FORNECIDO E INSTALADO EM RAMAL DE ENCAMINHAMENTO. AF_06/2022</t>
  </si>
  <si>
    <t>JUNÇÃO SIMPLES, PVC, SERIE R, ÁGUA PLUVIAL, DN 150 X 100 MM, JUNTA ELÁSTICA, FORNECIDO E INSTALADO EM CONDUTORES VERTICAIS DE ÁGUAS PLUVIAIS. AF_06/2022</t>
  </si>
  <si>
    <t>JUNÇÃO SIMPLES, PVC, SERIE R, ÁGUA PLUVIAL, DN 75 X 75 MM, JUNTA ELÁSTICA, FORNECIDO E INSTALADO EM RAMAL DE ENCAMINHAMENTO. AF_06/2022</t>
  </si>
  <si>
    <t>REDUÇÃO EXCÊNTRICA, PVC, SERIE R, ÁGUA PLUVIAL, DN 100 X 75 MM, JUNTA ELÁSTICA, FORNECIDO E INSTALADO EM RAMAL DE ENCAMINHAMENTO. AF_06/2022</t>
  </si>
  <si>
    <t>TUBO PVC, SÉRIE R, ÁGUA PLUVIAL, DN 100 MM, FORNECIDO E INSTALADO EM CONDUTORES VERTICAIS DE ÁGUAS PLUVIAIS. AF_06/2022</t>
  </si>
  <si>
    <t>TUBO PVC, SÉRIE R, ÁGUA PLUVIAL, DN 150 MM, FORNECIDO E INSTALADO EM CONDUTORES VERTICAIS DE ÁGUAS PLUVIAIS. AF_06/2022</t>
  </si>
  <si>
    <t>TUBO PVC, SÉRIE R, ÁGUA PLUVIAL, DN 75 MM, FORNECIDO E INSTALADO EM CONDUTORES VERTICAIS DE ÁGUAS PLUVIAIS. AF_06/2022</t>
  </si>
  <si>
    <t>LUMINÁRIA DE EMERGÊNCIA, COM 30 LÂMPADAS LED DE 2 W, SEM REATOR - FORNECIMENTO E INSTALAÇÃO. AF_09/2024</t>
  </si>
  <si>
    <t>LUMINÁRIA DE EMERGÊNCIA, DE SOBREPOR, TIPO BLOCO AUTÔNOMO, COM AUTONOMIA DE 1H, 3000 LÚMENS - FORNECIMENTO E INSTALAÇÃO</t>
  </si>
  <si>
    <t xml:space="preserve">PLACA DE SINALIZACAO DE SEGURANCA CONTRA INCENDIO, FOTOLUMINESCENTE, RETANGULAR, *20 X 40* CM, EM PVC *2* MM ANTI-CHAMAS (SIMBOLOS, CORES E PICTOGRAMAS CONFORME NBR 16820)                                                                               </t>
  </si>
  <si>
    <t>SERVENTE COM ENCARGOS COMPLEMENTARES</t>
  </si>
  <si>
    <t>ALARME SONORO/VISUAL, SIRENE 120 Db</t>
  </si>
  <si>
    <t>CENTRAL DE ALARME DE INCÊNDIO CONVENCIONAL - 24 SETORES</t>
  </si>
  <si>
    <t>ACIONADOR MANUAL QUEBRA-VIDRO</t>
  </si>
  <si>
    <t>DETECTOR DE FUMAÇA ÓPTICO ENDEREÇÁVEL</t>
  </si>
  <si>
    <t>CABO BLINDADO PARA ALARME DE INCÊNDIO 4 VIAS 4 x 1 mm</t>
  </si>
  <si>
    <t>ELETRODUTO EM PVC VERMELHO 3/4" - 3 METROS SEM ROSCA</t>
  </si>
  <si>
    <t xml:space="preserve">COTOVELO 90º EM PVC VERMELHO 3/4" SEM ROSCA COM ABERTURA </t>
  </si>
  <si>
    <t>EXTINTOR DE INCÊNDIO PORTÁTIL COM CARGA DE PQS DE 4 KG, CLASSE ABC - FORNECIMENTO E INSTALAÇÃO</t>
  </si>
  <si>
    <t>EXTINTOR DE INCÊNDIO PORTÁTIL COM CARGA DE CO2 DE 4 KG, CLASSE BC - FORNECIMENTO E INSTALAÇÃO. AF_10/2020_PE</t>
  </si>
  <si>
    <t>PORTA EM ALUMÍNIO DE ABRIR TIPO VENEZIANA COM GUARNIÇÃO, FIXAÇÃO COM PARAFUSOS - FORNECIMENTO E INSTALAÇÃO. AF_12/2019</t>
  </si>
  <si>
    <t>BUCHA DE REDUÇÃO EM COBRE, DN 22 MM X 15 MM, SEM ANEL DE SOLDA, PONTA X BOLSA, INSTALADO EM RAMAL E SUB-RAMAL DE GÁS COMBUSTÍVEL - FORNECIMENTO E INSTALAÇÃO. AF_04/2022</t>
  </si>
  <si>
    <t>COTOVELO EM BRONZE/LATÃO, DN 15 MM X 1/2", 90 GRAUS, SEM ANEL DE SOLDA, BOLSA X ROSCA F, INSTALADO EM RAMAL E SUB-RAMAL DE GÁS COMBUSTÍVEL - FORNECIMENTO E INSTALAÇÃO. AF_04/2022</t>
  </si>
  <si>
    <t>COTOVELO EM BRONZE/LATÃO, DN 22 MM X 3/4", 90 GRAUS, SEM ANEL DE SOLDA, BOLSA X ROSCA F, INSTALADO EM RAMAL E SUB-RAMAL DE GÁS COMBUSTÍVEL - FORNECIMENTO E INSTALAÇÃO. AF_04/2022</t>
  </si>
  <si>
    <t>LUVA DE REDUÇÃO, EM FERRO GALVANIZADO, 3/4" X 1/2", CONEXÃO ROSQUEADA, INSTALADO EM RAMAIS E SUB-RAMAIS DE GÁS - FORNECIMENTO E INSTALAÇÃO. AF_10/2020</t>
  </si>
  <si>
    <t>LUVA, EM FERRO GALVANIZADO, CONEXÃO ROSQUEADA, DN 20 (3/4"), INSTALADO EM RAMAIS E SUB-RAMAIS DE GÁS - FORNECIMENTO E INSTALAÇÃO. AF_10/2020</t>
  </si>
  <si>
    <t>NIPLE, EM FERRO GALVANIZADO, CONEXÃO ROSQUEADA, DN 20 (3/4"), INSTALADO EM RAMAIS E SUB-RAMAIS DE GÁS - FORNECIMENTO E INSTALAÇÃO. AF_10/2020</t>
  </si>
  <si>
    <t>TÊ, EM FERRO GALVANIZADO, CONEXÃO ROSQUEADA, DN 20 (3/4"), INSTALADO EM RAMAIS E SUB-RAMAIS DE GÁS - FORNECIMENTO E INSTALAÇÃO. AF_10/2020</t>
  </si>
  <si>
    <t>TUBO DE AÇO GALVANIZADO COM COSTURA, CLASSE MÉDIA, CONEXÃO ROSQUEADA, DN 15 (1/2"), INSTALADO EM RAMAIS E SUB-RAMAIS DE GÁS - FORNECIMENTO E INSTALAÇÃO. AF_10/2020</t>
  </si>
  <si>
    <t>TUBO DE AÇO GALVANIZADO COM COSTURA, CLASSE MÉDIA, CONEXÃO ROSQUEADA, DN 20 (3/4"), INSTALADO EM RAMAIS E SUB-RAMAIS DE GÁS - FORNECIMENTO E INSTALAÇÃO. AF_10/2020</t>
  </si>
  <si>
    <t>REGISTRO OU REGULADOR DE GÁS DE COZINHA - FORNECIMENTO E INSTALAÇÃO. AF_08/2021</t>
  </si>
  <si>
    <t>MANGUEIRA PARA GÁS - GLP</t>
  </si>
  <si>
    <t>TUBO DE AÇO GALVANIZADO COM COSTURA, CLASSE MÉDIA, DN 65 (2 1/2"), CONEXÃO ROSQUEADA, INSTALADO EM REDE DE ALIMENTAÇÃO PARA HIDRANTE - FORNECIMENTO E INSTALAÇÃO. AF_10/2020</t>
  </si>
  <si>
    <t>JOELHO 90 GRAUS, EM FERRO GALVANIZADO, DN 65 (2 1/2"), CONEXÃO ROSQUEADA, INSTALADO EM REDE DE ALIMENTAÇÃO PARA HIDRANTE - FORNECIMENTO E INSTALAÇÃO. AF_10/2020</t>
  </si>
  <si>
    <t>CURVA 90 GRAUS, EM FERRO GALVANIZADO, CONEXÃO ROSQUEADA, DN 65 MM (2 1/2"), INSTALADO EM RESERVAÇÃO PREDIAL DE ÁGUA - FORNECIMENTO E INSTALAÇÃO. AF_04/2024</t>
  </si>
  <si>
    <t>TÊ, EM FERRO GALVANIZADO, CONEXÃO ROSQUEADA, DN 65 (2 1/2"), INSTALADO EM REDE DE ALIMENTAÇÃO PARA HIDRANTE - FORNECIMENTO E INSTALAÇÃO. AF_10/2020</t>
  </si>
  <si>
    <t>NIPLE, EM FERRO GALVANIZADO, DN 65 (2 1/2"), CONEXÃO ROSQUEADA, INSTALADO EM REDE DE ALIMENTAÇÃO PARA HIDRANTE - FORNECIMENTO E INSTALAÇÃO. AF_10/2020</t>
  </si>
  <si>
    <t xml:space="preserve">ADAPTADOR EM LATAO, ENGATE RAPIDO1 1/2" X ROSCA INTERNA 5 FIOS 2 1/2", PARA INSTALACAO PREDIAL DE COMBATE A INCENDIO                                                                                                                                      </t>
  </si>
  <si>
    <t xml:space="preserve">ADAPTADOR EM LATAO, ENGATE RAPIDO 2 1/2" X ROSCA INTERNA 5 FIOS 2 1/2", PARA INSTALACAO PREDIAL DE COMBATE A INCENDIO                                                                                                                                     </t>
  </si>
  <si>
    <t xml:space="preserve">BUCHA DE NYLON, DIAMETRO DO FURO 8 MM, COMPRIMENTO 40 MM, COM PARAFUSO DE ROSCA SOBERBA, CABECA CHATA, FENDA SIMPLES, 4,8 X 50 MM                                                                                                                         </t>
  </si>
  <si>
    <t xml:space="preserve">REGISTRO OU VALVULA GLOBO ANGULAR EM LATAO, PARA HIDRANTES EM INSTALACAO PREDIAL DE INCENDIO, 45 GRAUS, DIAMETRO DE 2 1/2", COM VOLANTE, CLASSE DE PRESSAO DE ATE 200 PSI                                                                                 </t>
  </si>
  <si>
    <t>CAIXA DE INCÊNDIO 45X75X17CM - FORNECIMENTO E INSTALAÇÃO. AF_10/2020</t>
  </si>
  <si>
    <t xml:space="preserve">CHAVE DUPLA PARA CONEXOES TIPO STORZ, ENGATE RAPIDO 1 1/2" X 2 1/2", EM LATAO, PARA INSTALACAO PREDIAL COMBATE A INCENDIO                                                                                                                                 </t>
  </si>
  <si>
    <t xml:space="preserve">MANGUEIRA DE INCENDIO, TIPO 2, DE 1 1/2", COMPRIMENTO = 25 M, TECIDO EM FIO DE POLIESTER E TUBO INTERNO EM BORRACHA SINTETICA, COM UNIOES                                                                                                                 </t>
  </si>
  <si>
    <t xml:space="preserve">MANGUEIRA DE INCENDIO, TIPO 2, DE 1 1/2", COMPRIMENTO = 15 M, TECIDO EM FIO DE POLIESTER E TUBO INTERNO EM BORRACHA SINTETICA, COM UNIOES ENGATE RAPIDO                                                                                                   </t>
  </si>
  <si>
    <t xml:space="preserve">ESGUICHO TIPO JATO SOLIDO, EM LATAO, ENGATE RAPIDO 1 1/2" X 13 MM, PARA MANGUEIRA EM INSTALACAO PREDIAL COMBATE A INCENDIO                                                                                                                                </t>
  </si>
  <si>
    <t>REGISTRO DE GAVETA BRUTO, LATÃO, ROSCÁVEL, 2 1/2" - FORNECIMENTO E INSTALAÇÃO. AF_08/2021</t>
  </si>
  <si>
    <t>VÁLVULA DE RETENÇÃO VERTICAL, DE BRONZE, ROSCÁVEL, 2 1/2" - FORNECIMENTO E INSTALAÇÃO. AF_08/2021</t>
  </si>
  <si>
    <t>VÁLVULA DE RETENÇÃO HORIZONTAL, DE BRONZE, ROSCÁVEL, 2 1/2" - FORNECIMENTO E INSTALAÇÃO. AF_08/2021</t>
  </si>
  <si>
    <t xml:space="preserve">TAMPAO COM CORRENTE, EM LATAO, ENGATE RAPIDO 2 1/2", PARA INSTALACAO PREDIAL DE COMBATE A INCENDIO                                                                                                                                                        </t>
  </si>
  <si>
    <t>UNIÃO, EM FERRO GALVANIZADO, DN 65 (2 1/2"), CONEXÃO ROSQUEADA, INSTALADO EM REDE DE ALIMENTAÇÃO PARA HIDRANTE - FORNECIMENTO E INSTALAÇÃO. AF_10/2020</t>
  </si>
  <si>
    <t>AUXILIAR DE ENCANADOR OU BOMBEIRO HIDRÁULICO COM ENCARGOS COMPLEMENTARES</t>
  </si>
  <si>
    <t>ENCANADOR OU BOMBEIRO HIDRÁULICO COM ENCARGOS COMPLEMENTARES</t>
  </si>
  <si>
    <t>ALVENARIA DE VEDAÇÃO DE BLOCOS CERÂMICOS FURADOS NA HORIZONTAL DE 11,5X19X19 CM (ESPESSURA 11,5 CM) E ARGAMASSA DE ASSENTAMENTO COM PREPARO MANUAL. AF_12/2021</t>
  </si>
  <si>
    <t>CHAPISCO APLICADO EM ALVENARIAS E ESTRUTURAS DE CONCRETO INTERNAS, COM COLHER DE PEDREIRO.  ARGAMASSA TRAÇO 1:3 COM PREPARO EM BETONEIRA 400L. AF_10/2022</t>
  </si>
  <si>
    <t>EMBOÇO OU MASSA ÚNICA EM ARGAMASSA TRAÇO 1:2:8, PREPARO MECÂNICO COM BETONEIRA 400 L, APLICADA MANUALMENTE EM PANOS DE FACHADA COM PRESENÇA DE VÃOS, ESPESSURA DE 25 MM. AF_08/2022</t>
  </si>
  <si>
    <t>FUNDO SELADOR ACRÍLICO, APLICAÇÃO MANUAL EM PAREDE, UMA DEMÃO. AF_04/2023</t>
  </si>
  <si>
    <t>PINTURA LÁTEX ACRÍLICA PREMIUM, APLICAÇÃO MANUAL EM PAREDES, DUAS DEMÃOS. AF_04/2023</t>
  </si>
  <si>
    <t>MONTAGEM E DESMONTAGEM DE FÔRMA DE LAJE MACIÇA, PÉ-DIREITO SIMPLES, EM MADEIRA SERRADA, 1 UTILIZAÇÃO. AF_09/2020</t>
  </si>
  <si>
    <t>CONCRETAGEM DE VIGAS E LAJES, FCK=25 MPA, PARA QUALQUER TIPO DE LAJE COM BALDES EM EDIFICAÇÃO TÉRREA - LANÇAMENTO, ADENSAMENTO E ACABAMENTO. AF_02/2022</t>
  </si>
  <si>
    <t xml:space="preserve">PORTAO DE ABRIR / GIRO, EM GRADIL DE METALON REDONDO DE 3/4" VERTICAL, COM REQUADRO, ACABAMENTO NATURAL - COMPLETO                                                                                                                                        </t>
  </si>
  <si>
    <t xml:space="preserve">CHAPA DE ACO CARBONO GALVANIZADA, PERFURADA (GRADE FUROS) E = 1,5 MM, DIAMETRO DO FURO = 9,52 MM (FUROS ALTERNADOS HORIZ.)                                                                                                                                </t>
  </si>
  <si>
    <t>PINTURA COM TINTA ALQUÍDICA DE FUNDO (TIPO ZARCÃO) PULVERIZADA SOBRE SUPERFÍCIES METÁLICAS (EXCETO PERFIL) EXECUTADO EM OBRA (POR DEMÃO). AF_01/2020_PE</t>
  </si>
  <si>
    <t>PINTURA COM TINTA ACRÍLICA DE ACABAMENTO PULVERIZADA SOBRE SUPERFÍCIES METÁLICAS (EXCETO PERFIL) EXECUTADO EM OBRA (02 DEMÃOS). AF_01/2020_PE</t>
  </si>
  <si>
    <t>PEDREIRO COM ENCARGOS COMPLEMENTARES</t>
  </si>
  <si>
    <t>EXECUÇÃO DE PASSEIO EM PISO INTERTRAVADO, COM BLOCO RETANGULAR COR NATURAL DE 20 X 10 CM, ESPESSURA 6 CM. AF_10/2022</t>
  </si>
  <si>
    <t>EXECUÇÃO DE PISO DE CONCRETO, COM ACABAMENTO SUPERFICIAL, ESPESSURA DE 15 CM, FCK = 30 MPA, COM USO DE FORMAS EM MADEIRA SERRADA. AF_09/2021</t>
  </si>
  <si>
    <t>ACABAMENTO POLIDO PARA PISO DE CONCRETO ARMADO OU LAJE SOBRE SOLO DE ALTA RESISTÊNCIA. AF_09/2021</t>
  </si>
  <si>
    <t>ESCAVAÇÃO MECANIZADA DE VALA COM PROF. ATÉ 1,5 M (MÉDIA MONTANTE E JUSANTE/UMA COMPOSIÇÃO POR TRECHO), RETROESCAV. (0,26 M3), LARG. MENOR QUE 0,8 M, EM SOLO DE 1A CATEGORIA, EM LOCAIS COM ALTO NÍVEL DE INTERFERÊNCIA. AF_09/2024</t>
  </si>
  <si>
    <t>PREPARO DE FUNDO DE VALA COM LARGURA MENOR QUE 1,5 M (ACERTO DO SOLO NATURAL). AF_08/2020</t>
  </si>
  <si>
    <t>ESCAVAÇÃO MECANIZADA PARA BLOCO DE COROAMENTO OU SAPATA COM RETROESCAVADEIRA (INCLUINDO ESCAVAÇÃO PARA COLOCAÇÃO DE FÔRMAS). AF_01/2024</t>
  </si>
  <si>
    <t>FABRICAÇÃO, MONTAGEM E DESMONTAGEM DE FÔRMA PARA VIGA BALDRAME, EM MADEIRA SERRADA, E=25 MM, 1 UTILIZAÇÃO. AF_01/2024</t>
  </si>
  <si>
    <t>FABRICAÇÃO, MONTAGEM E DESMONTAGEM DE FÔRMA PARA SAPATA, EM MADEIRA SERRADA, E=25 MM, 1 UTILIZAÇÃO. AF_01/2024</t>
  </si>
  <si>
    <t>MONTAGEM E DESMONTAGEM DE FÔRMA DE PILARES RETANGULARES E ESTRUTURAS SIMILARES, PÉ-DIREITO SIMPLES, EM MADEIRA SERRADA, 1 UTILIZAÇÃO. AF_09/2020</t>
  </si>
  <si>
    <t>ARMAÇÃO DE SAPATA ISOLADA, VIGA BALDRAME E SAPATA CORRIDA UTILIZANDO AÇO CA-60 DE 5 MM - MONTAGEM. AF_01/2024</t>
  </si>
  <si>
    <t>ARMAÇÃO DE SAPATA ISOLADA, VIGA BALDRAME E SAPATA CORRIDA UTILIZANDO AÇO CA-50 DE 8 MM - MONTAGEM. AF_01/2024</t>
  </si>
  <si>
    <t>ARMAÇÃO DE SAPATA ISOLADA, VIGA BALDRAME E SAPATA CORRIDA UTILIZANDO AÇO CA-50 DE 10 MM - MONTAGEM. AF_01/2024</t>
  </si>
  <si>
    <t>ARMAÇÃO DE PILAR OU VIGA DE ESTRUTURA CONVENCIONAL DE CONCRETO ARMADO UTILIZANDO AÇO CA-60 DE 5,0 MM - MONTAGEM. AF_06/2022</t>
  </si>
  <si>
    <t>ARMAÇÃO DE PILAR OU VIGA DE ESTRUTURA CONVENCIONAL DE CONCRETO ARMADO UTILIZANDO AÇO CA-50 DE 8,0 MM - MONTAGEM. AF_06/2022</t>
  </si>
  <si>
    <t>ARMAÇÃO DE PILAR OU VIGA DE ESTRUTURA CONVENCIONAL DE CONCRETO ARMADO UTILIZANDO AÇO CA-50 DE 10,0 MM - MONTAGEM. AF_06/2022</t>
  </si>
  <si>
    <t>CONCRETAGEM DE SAPATA, FCK 30 MPA, COM USO DE BOMBA - LANÇAMENTO, ADENSAMENTO E ACABAMENTO. AF_01/2024</t>
  </si>
  <si>
    <t>CONCRETAGEM DE BLOCO DE COROAMENTO OU VIGA BALDRAME, FCK 30 MPA, COM USO DE BOMBA - LANÇAMENTO, ADENSAMENTO E ACABAMENTO. AF_01/2024</t>
  </si>
  <si>
    <t>CONCRETAGEM DE PILARES, FCK = 25 MPA, COM USO DE BOMBA - LANÇAMENTO, ADENSAMENTO E ACABAMENTO. AF_02/2022_PS</t>
  </si>
  <si>
    <t>EMBOÇO OU MASSA ÚNICA EM ARGAMASSA TRAÇO 1:2:8, PREPARO MECÂNICO COM BETONEIRA 400 L, APLICADA MANUALMENTE EM PANOS CEGOS DE FACHADA (SEM PRESENÇA DE VÃOS), ESPESSURA DE 25 MM. AF_08/2022</t>
  </si>
  <si>
    <t>CERCA/GRADIL 3D, MALHA 5x20cm - FIO 5mm, 250x203cm (compr x altura), REVESTIMENTO EM POLIESTER POR PROCESSO DE PINTURA ELETROSTÁTICA, INCLUSIVE POSTES E ACESSÓRIOS - FORNECIMENTO E INSTALAÇÃO</t>
  </si>
  <si>
    <t>PISO PODOTÁTIL DE ALERTA OU DIRECIONAL, DE CONCRETO, ASSENTADO SOBRE ARGAMASSA. AF_03/2024</t>
  </si>
  <si>
    <t>CORRIMÃO SIMPLES, DIÂMETRO EXTERNO = 1 1/2", EM AÇO GALVANIZADO. AF_04/2019_PS</t>
  </si>
  <si>
    <t>GUARDA-CORPO DE AÇO GALVANIZADO DE 1,10M, MONTANTES TUBULARES DE 1.1/4" ESPAÇADOS DE 1,20M, TRAVESSA SUPERIOR DE 1.1/2", GRADIL FORMADO POR TUBOS HORIZONTAIS DE 1" E VERTICAIS DE 3/4", FIXADO COM CHUMBADOR MECÂNICO. AF_04/2019_PS</t>
  </si>
  <si>
    <t>ALARME BANHEIRO PCD COM ACIONADOR CONFORME NBR 9050</t>
  </si>
  <si>
    <t>MAPA TÁTIL 60x100 cm</t>
  </si>
  <si>
    <t>PEDESTAL EM AÇO PARA MAPA TÁTIL</t>
  </si>
  <si>
    <t>PLACAS DE SINALIZAÇÃO EM BRAILLE</t>
  </si>
  <si>
    <t>RAMPAS DE ACESSIBILIDADE PARA ACESSO A EDIFICAÇÕES COM INCLINAÇÃO DE 8,33% EM CONCRETO MOLDADO IN LOCO, COM LARGURA CONFORME PROJETO, FCK 25MPA, NÃO ARMADA, COM JUNTA A CADA 2M COM CORTE À SECO. AF_03/2024_PA</t>
  </si>
  <si>
    <t xml:space="preserve">CAIXA DE INSPEÇÃO 300X400MM COM TAMPA CIRCULAR DE 300MM DIÂMETRO DE FERRO FUNDIDO - FORNECIMENTO  E INSWTALÇÃO </t>
  </si>
  <si>
    <t>HASTE DE ATERRAMENTO TIPO COPPERWELD ALTA CAMADA (254 MICRONS) Ø5/8" X 2,4M</t>
  </si>
  <si>
    <t>TERMINAL AÉREO DE BARRA CHATA DE ALUMÍNIO 7/8" X 1/8" / 600MM COM PARAFUSO DE FIXAÇÃO EM INOX OU ALUMÍNIO, AUTOPERFURANTE, SEXTAVADO - FORNECIMENTO E INSTALAÇÃO</t>
  </si>
  <si>
    <t xml:space="preserve">CABO DE COBRE NU SEÇÃO 50 MM² - FORNECIMENTO E INSTALAÇÃO </t>
  </si>
  <si>
    <t xml:space="preserve">CONECTOR DE ATERRAMENTO , REFORÇADO EM COBRE ESTANHO UM CABO DE 50 MM² 5/8" X 2,4 M   - FORMECIMENTO E INSTAÇÃO </t>
  </si>
  <si>
    <t xml:space="preserve">CONECTOR DE ATERRAMENTO , REFORÇADO EM COBRE ESTANHO DOIS CABO DE 50 MM² 5/8" X 2,4 M   - FORMECIMENTO E INSTAÇÃO </t>
  </si>
  <si>
    <t xml:space="preserve">CONECTOR DE COMPRESSAO PARA ATERRAMENTO PARA CABO DE  50MM² 5/8 X 2,40 M - FORNECIMENTO E INSTALAÇAO </t>
  </si>
  <si>
    <t xml:space="preserve">CONECTOR DE COMPRESSÃO  C EM LIGA DE SOBRE ESTANHO PARA CONEXÃO DE DOIS CABOS DE MM²  - FORNECIEMENTO E INSTALAÇÃO </t>
  </si>
  <si>
    <t xml:space="preserve">FIXADOR UNIVERSAL DE SPDA ESTANHO PARA CABO DE 50 MM²  - FORNECIMENTO E INSTALAÇÃO </t>
  </si>
  <si>
    <t xml:space="preserve">ELETRODUTO PVC RÍGIDO, DIÂMETRO 1", COM 3 METRO - FORNECIMENGTO E INSTALAÇÃO </t>
  </si>
  <si>
    <t>ESCAVAÇÃO MECANIZADA DE VALA COM PROF. ATÉ 1,5 M (MÉDIA MONTANTE E JUSANTE/UMA COMPOSIÇÃO POR TRECHO), ESCAVADEIRA (0,8 M3), LARG. DE 1,5 M A 2,5 M, EM SOLO DE 1A CATEGORIA, EM LOCAIS COM ALTO NÍVEL DE INTERFERÊNCIA. AF_09/2024</t>
  </si>
  <si>
    <t>GUINDAUTO HIDRÁULICO, CAPACIDADE MÁXIMA DE CARGA 6500 KG, MOMENTO MÁXIMO DE CARGA 5,8 TM, ALCANCE MÁXIMO HORIZONTAL 7,60 M, INCLUSIVE CAMINHÃO TOCO PBT 9.700 KG, POTÊNCIA DE 160 CV - CHI DIURNO. AF_08/2015</t>
  </si>
  <si>
    <t>GUINDAUTO HIDRÁULICO, CAPACIDADE MÁXIMA DE CARGA 6500 KG, MOMENTO MÁXIMO DE CARGA 5,8 TM, ALCANCE MÁXIMO HORIZONTAL 7,60 M, INCLUSIVE CAMINHÃO TOCO PBT 9.700 KG, POTÊNCIA DE 160 CV - CHP DIURNO. AF_08/2015</t>
  </si>
  <si>
    <t>SOLDADOR COM ENCARGOS COMPLEMENTARES</t>
  </si>
  <si>
    <t xml:space="preserve">LOCACAO DE ANDAIME METALICO TIPO FACHADEIRO, PECAS COM APROXIMADAMENTE 1,20 M DE LARGURA E 2,0 M DE ALTURA, INCLUINDO DIAGONAIS EM X, BARRAS DE LIGACAO, SAPATAS E DEMAIS ITENS NECESSARIOS A MONTAGEM (NAO INCLUI INSTALACAO)                            </t>
  </si>
  <si>
    <t>MONTAGEM E DESMONTAGEM DE ANDAIME MULTIDIRECIONAL (EXCLUSIVE ANDAIME E LIMPEZA). AF_03/2024</t>
  </si>
  <si>
    <t xml:space="preserve">PARAFUSO DE ACO ZINCADO, TIPO CHUMBADOR PARABOLT, DIAMETRO 3/8", COMPRIMENTO 75 MM                                                                                                                                                                        </t>
  </si>
  <si>
    <t xml:space="preserve">PARAFUSO ZINCADO, SEXTAVADO, COM ROSCA SOBERBA, DIAMETRO 5/16", COMPRIMENTO 40 MM                                                                                                                                                                         </t>
  </si>
  <si>
    <t>CISTERNA VERTICAL MODULAR 600 L - FORNECIMENTO E INSTALAÇÃO</t>
  </si>
  <si>
    <t>SMART FILTRO PARA CISTERNA MODULAR - FORNECIMENTO E INSTALAÇÃO</t>
  </si>
  <si>
    <t>Mês</t>
  </si>
  <si>
    <t xml:space="preserve">M     </t>
  </si>
  <si>
    <t xml:space="preserve">UN    </t>
  </si>
  <si>
    <t xml:space="preserve">310ML </t>
  </si>
  <si>
    <t xml:space="preserve">M2    </t>
  </si>
  <si>
    <t xml:space="preserve">KG    </t>
  </si>
  <si>
    <t>M2XMES</t>
  </si>
  <si>
    <t>TransfereGOV</t>
  </si>
  <si>
    <t>958977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</si>
</sst>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3" formatCode="_-* #,##0.00_-;\-* #,##0.00_-;_-* &quot;-&quot;??_-;_-@_-"/>
    <numFmt numFmtId="164" formatCode="_(&quot;R$ &quot;* #,##0.00_);_(&quot;R$ &quot;* \(#,##0.00\);_(&quot;R$ &quot;* \-??_);_(@_)"/>
    <numFmt numFmtId="165" formatCode="_-* #,##0.00_-;\-* #,##0.00_-;_-* \-??_-;_-@_-"/>
    <numFmt numFmtId="166" formatCode="mm\-yyyy"/>
    <numFmt numFmtId="167" formatCode="General;General"/>
    <numFmt numFmtId="168" formatCode="dddd&quot;, &quot;mmmm\ dd&quot;, &quot;yyyy"/>
    <numFmt numFmtId="169" formatCode="dd&quot; de &quot;mmmm&quot; de &quot;yyyy"/>
    <numFmt numFmtId="170" formatCode="mmm\-yy;@"/>
    <numFmt numFmtId="171" formatCode="_(* #,##0.00_);_(* \(#,##0.00\);_(* \-??_);_(@_)"/>
    <numFmt numFmtId="172" formatCode="0\."/>
    <numFmt numFmtId="173" formatCode="_(\ #,##0.00_);_(&quot; (&quot;#,##0.00\);_(&quot; -&quot;??_);_(@_)"/>
    <numFmt numFmtId="174" formatCode="mm/yy"/>
    <numFmt numFmtId="175" formatCode="General;;"/>
    <numFmt numFmtId="176" formatCode="&quot;Medição &quot;0"/>
    <numFmt numFmtId="177" formatCode="_(#,##0.00_);_(* \(#,##0.00\);_(* \-??_);_(@_)"/>
    <numFmt numFmtId="178" formatCode="_-#,##0.00_-;\-#,##0.00_-;_-&quot; -&quot;??_-;_-@_-"/>
    <numFmt numFmtId="179" formatCode="##\."/>
    <numFmt numFmtId="180" formatCode="_-&quot;R$ &quot;* #,##0.00_-;&quot;-R$ &quot;* #,##0.00_-;_-&quot;R$ &quot;* \-??_-;_-@_-"/>
    <numFmt numFmtId="181" formatCode="&quot;( &quot;0.00%&quot; )&quot;"/>
    <numFmt numFmtId="182" formatCode="dd/mm/yy;@"/>
    <numFmt numFmtId="183" formatCode="&quot;Medição &quot;##"/>
    <numFmt numFmtId="184" formatCode="#,##0.00_ ;\-#,##0.00\ "/>
    <numFmt numFmtId="185" formatCode="_(* #,##0.00_);_(* \(#,##0.00\);;_(@_)"/>
    <numFmt numFmtId="186" formatCode="[$-F800]dddd\,\ mmmm\ dd\,\ yyyy"/>
    <numFmt numFmtId="187" formatCode="&quot;Mês &quot;00"/>
    <numFmt numFmtId="188" formatCode="_-#,##0.00_-;\-#,##0.00_-;_-&quot;-&quot;??_-;_-@_-"/>
    <numFmt numFmtId="189" formatCode="\R\$\ #,##0.00"/>
  </numFmts>
  <fonts count="79" x14ac:knownFonts="1">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9"/>
      <name val="Arial"/>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5"/>
      <color indexed="54"/>
      <name val="Calibri"/>
      <family val="2"/>
    </font>
    <font>
      <b/>
      <sz val="13"/>
      <color indexed="54"/>
      <name val="Calibri"/>
      <family val="2"/>
    </font>
    <font>
      <b/>
      <sz val="11"/>
      <color indexed="54"/>
      <name val="Calibri"/>
      <family val="2"/>
    </font>
    <font>
      <sz val="18"/>
      <color indexed="54"/>
      <name val="Calibri Light"/>
      <family val="2"/>
    </font>
    <font>
      <b/>
      <sz val="11"/>
      <name val="Arial"/>
      <family val="2"/>
    </font>
    <font>
      <b/>
      <sz val="13"/>
      <name val="Arial"/>
      <family val="2"/>
    </font>
    <font>
      <b/>
      <sz val="18"/>
      <name val="Arial"/>
      <family val="2"/>
    </font>
    <font>
      <b/>
      <sz val="11"/>
      <color indexed="10"/>
      <name val="Arial"/>
      <family val="2"/>
    </font>
    <font>
      <i/>
      <sz val="10"/>
      <name val="Arial"/>
      <family val="2"/>
    </font>
    <font>
      <b/>
      <sz val="10"/>
      <color indexed="10"/>
      <name val="Arial"/>
      <family val="2"/>
    </font>
    <font>
      <b/>
      <sz val="12"/>
      <name val="Arial"/>
      <family val="2"/>
    </font>
    <font>
      <b/>
      <sz val="10"/>
      <name val="Arial"/>
      <family val="2"/>
    </font>
    <font>
      <sz val="9"/>
      <color indexed="8"/>
      <name val="Segoe UI"/>
      <family val="2"/>
    </font>
    <font>
      <b/>
      <sz val="18"/>
      <color indexed="8"/>
      <name val="Calibri"/>
      <family val="2"/>
    </font>
    <font>
      <b/>
      <sz val="14"/>
      <color indexed="8"/>
      <name val="Calibri"/>
      <family val="2"/>
    </font>
    <font>
      <u/>
      <sz val="11"/>
      <color indexed="8"/>
      <name val="Calibri"/>
      <family val="2"/>
    </font>
    <font>
      <b/>
      <sz val="10"/>
      <color indexed="12"/>
      <name val="Arial"/>
      <family val="2"/>
    </font>
    <font>
      <sz val="11"/>
      <name val="Arial"/>
      <family val="2"/>
    </font>
    <font>
      <b/>
      <sz val="12"/>
      <color indexed="10"/>
      <name val="Arial"/>
      <family val="2"/>
    </font>
    <font>
      <sz val="10"/>
      <color indexed="10"/>
      <name val="Arial"/>
      <family val="2"/>
    </font>
    <font>
      <i/>
      <sz val="12"/>
      <name val="Calibri"/>
      <family val="2"/>
    </font>
    <font>
      <i/>
      <u/>
      <sz val="12"/>
      <name val="Calibri"/>
      <family val="2"/>
    </font>
    <font>
      <u/>
      <sz val="10"/>
      <name val="Arial"/>
      <family val="2"/>
    </font>
    <font>
      <sz val="14"/>
      <color indexed="9"/>
      <name val="Arial"/>
      <family val="2"/>
    </font>
    <font>
      <sz val="12"/>
      <name val="Arial"/>
      <family val="2"/>
    </font>
    <font>
      <sz val="8"/>
      <name val="Arial"/>
      <family val="2"/>
    </font>
    <font>
      <sz val="10"/>
      <name val="Calibri"/>
      <family val="2"/>
    </font>
    <font>
      <b/>
      <sz val="9"/>
      <color indexed="8"/>
      <name val="Tahoma"/>
      <family val="2"/>
    </font>
    <font>
      <sz val="9"/>
      <color indexed="8"/>
      <name val="Tahoma"/>
      <family val="2"/>
    </font>
    <font>
      <b/>
      <sz val="9"/>
      <name val="Arial"/>
      <family val="2"/>
    </font>
    <font>
      <b/>
      <sz val="8"/>
      <name val="Arial"/>
      <family val="2"/>
    </font>
    <font>
      <sz val="8"/>
      <name val="Calibri"/>
      <family val="2"/>
    </font>
    <font>
      <b/>
      <sz val="7"/>
      <name val="Arial"/>
      <family val="2"/>
    </font>
    <font>
      <sz val="10"/>
      <color indexed="8"/>
      <name val="Arial"/>
      <family val="2"/>
    </font>
    <font>
      <sz val="10"/>
      <color indexed="9"/>
      <name val="Arial"/>
      <family val="2"/>
    </font>
    <font>
      <sz val="10"/>
      <color indexed="22"/>
      <name val="Arial"/>
      <family val="2"/>
    </font>
    <font>
      <b/>
      <sz val="10"/>
      <color indexed="8"/>
      <name val="Arial"/>
      <family val="2"/>
    </font>
    <font>
      <b/>
      <sz val="12"/>
      <color indexed="8"/>
      <name val="Arial"/>
      <family val="2"/>
    </font>
    <font>
      <sz val="10"/>
      <name val="Arial Narrow"/>
      <family val="2"/>
    </font>
    <font>
      <sz val="11"/>
      <color indexed="10"/>
      <name val="Arial"/>
      <family val="2"/>
    </font>
    <font>
      <b/>
      <i/>
      <sz val="10"/>
      <name val="Arial"/>
      <family val="2"/>
    </font>
    <font>
      <b/>
      <sz val="9"/>
      <color indexed="8"/>
      <name val="Segoe UI"/>
      <family val="2"/>
    </font>
    <font>
      <i/>
      <sz val="8"/>
      <name val="Arial"/>
      <family val="2"/>
    </font>
    <font>
      <sz val="10"/>
      <name val="Arial"/>
      <family val="2"/>
    </font>
    <font>
      <b/>
      <sz val="14"/>
      <name val="Arial"/>
      <family val="2"/>
    </font>
    <font>
      <sz val="14"/>
      <name val="Arial"/>
      <family val="2"/>
    </font>
    <font>
      <b/>
      <sz val="8"/>
      <color indexed="10"/>
      <name val="Calibri"/>
      <family val="2"/>
    </font>
    <font>
      <b/>
      <sz val="11"/>
      <color indexed="10"/>
      <name val="Calibri"/>
      <family val="2"/>
    </font>
    <font>
      <u/>
      <sz val="10"/>
      <color theme="10"/>
      <name val="Arial"/>
      <family val="2"/>
    </font>
    <font>
      <sz val="10"/>
      <color theme="0"/>
      <name val="Arial"/>
      <family val="2"/>
    </font>
    <font>
      <sz val="11"/>
      <name val="Arial Narrow"/>
      <family val="2"/>
    </font>
    <font>
      <sz val="10.5"/>
      <name val="Arial Narrow"/>
      <family val="2"/>
    </font>
    <font>
      <b/>
      <sz val="10.5"/>
      <name val="Arial Narrow"/>
      <family val="2"/>
    </font>
    <font>
      <b/>
      <sz val="10"/>
      <color indexed="9"/>
      <name val="Arial"/>
      <family val="2"/>
    </font>
    <font>
      <sz val="11"/>
      <color indexed="8"/>
      <name val="Calibri"/>
      <family val="2"/>
      <scheme val="minor"/>
    </font>
    <font>
      <b/>
      <sz val="12"/>
      <color rgb="FFFF0000"/>
      <name val="Arial"/>
      <family val="2"/>
    </font>
    <font>
      <sz val="9"/>
      <color rgb="FFFF0000"/>
      <name val="Arial Narrow"/>
      <family val="2"/>
    </font>
    <font>
      <sz val="10"/>
      <color theme="0" tint="-4.9989318521683403E-2"/>
      <name val="Arial"/>
      <family val="2"/>
    </font>
    <font>
      <sz val="1"/>
      <color theme="0" tint="-0.249977111117893"/>
      <name val="Arial"/>
      <family val="2"/>
    </font>
    <font>
      <sz val="10"/>
      <color theme="0" tint="-0.249977111117893"/>
      <name val="Arial"/>
      <family val="2"/>
    </font>
    <font>
      <b/>
      <sz val="11"/>
      <color rgb="FFFF0000"/>
      <name val="Arial"/>
      <family val="2"/>
    </font>
    <font>
      <b/>
      <sz val="10"/>
      <color rgb="FFFF0000"/>
      <name val="Arial"/>
      <family val="2"/>
    </font>
    <font>
      <sz val="10"/>
      <color rgb="FFFF0000"/>
      <name val="Arial"/>
      <family val="2"/>
    </font>
    <font>
      <b/>
      <sz val="10"/>
      <color theme="0" tint="-0.499984740745262"/>
      <name val="Arial"/>
      <family val="2"/>
    </font>
    <font>
      <sz val="7"/>
      <color rgb="FFFF0000"/>
      <name val="Arial"/>
      <family val="2"/>
    </font>
    <font>
      <sz val="8"/>
      <color rgb="FF000000"/>
      <name val="Segoe UI"/>
      <family val="2"/>
    </font>
  </fonts>
  <fills count="33">
    <fill>
      <patternFill patternType="none"/>
    </fill>
    <fill>
      <patternFill patternType="gray125"/>
    </fill>
    <fill>
      <patternFill patternType="solid">
        <fgColor indexed="27"/>
        <bgColor indexed="41"/>
      </patternFill>
    </fill>
    <fill>
      <patternFill patternType="solid">
        <fgColor indexed="47"/>
        <bgColor indexed="42"/>
      </patternFill>
    </fill>
    <fill>
      <patternFill patternType="solid">
        <fgColor indexed="42"/>
        <bgColor indexed="31"/>
      </patternFill>
    </fill>
    <fill>
      <patternFill patternType="solid">
        <fgColor indexed="26"/>
        <bgColor indexed="9"/>
      </patternFill>
    </fill>
    <fill>
      <patternFill patternType="solid">
        <fgColor indexed="43"/>
        <bgColor indexed="26"/>
      </patternFill>
    </fill>
    <fill>
      <patternFill patternType="solid">
        <fgColor indexed="24"/>
        <bgColor indexed="46"/>
      </patternFill>
    </fill>
    <fill>
      <patternFill patternType="solid">
        <fgColor indexed="22"/>
        <bgColor indexed="44"/>
      </patternFill>
    </fill>
    <fill>
      <patternFill patternType="solid">
        <fgColor indexed="49"/>
        <bgColor indexed="40"/>
      </patternFill>
    </fill>
    <fill>
      <patternFill patternType="solid">
        <fgColor indexed="57"/>
        <bgColor indexed="21"/>
      </patternFill>
    </fill>
    <fill>
      <patternFill patternType="solid">
        <fgColor indexed="9"/>
        <bgColor indexed="41"/>
      </patternFill>
    </fill>
    <fill>
      <patternFill patternType="solid">
        <fgColor indexed="55"/>
        <bgColor indexed="46"/>
      </patternFill>
    </fill>
    <fill>
      <patternFill patternType="solid">
        <fgColor indexed="53"/>
        <bgColor indexed="52"/>
      </patternFill>
    </fill>
    <fill>
      <patternFill patternType="solid">
        <fgColor indexed="51"/>
        <bgColor indexed="13"/>
      </patternFill>
    </fill>
    <fill>
      <patternFill patternType="solid">
        <fgColor indexed="62"/>
        <bgColor indexed="56"/>
      </patternFill>
    </fill>
    <fill>
      <patternFill patternType="solid">
        <fgColor indexed="31"/>
        <bgColor indexed="42"/>
      </patternFill>
    </fill>
    <fill>
      <patternFill patternType="solid">
        <fgColor indexed="23"/>
        <bgColor indexed="55"/>
      </patternFill>
    </fill>
    <fill>
      <patternFill patternType="solid">
        <fgColor indexed="44"/>
        <bgColor indexed="22"/>
      </patternFill>
    </fill>
    <fill>
      <patternFill patternType="solid">
        <fgColor indexed="41"/>
        <bgColor indexed="9"/>
      </patternFill>
    </fill>
    <fill>
      <patternFill patternType="solid">
        <fgColor indexed="22"/>
        <bgColor indexed="64"/>
      </patternFill>
    </fill>
    <fill>
      <patternFill patternType="lightUp"/>
    </fill>
    <fill>
      <patternFill patternType="lightUp">
        <fgColor indexed="22"/>
      </patternFill>
    </fill>
    <fill>
      <patternFill patternType="lightUp">
        <bgColor indexed="42"/>
      </patternFill>
    </fill>
    <fill>
      <patternFill patternType="lightUp">
        <fgColor indexed="31"/>
      </patternFill>
    </fill>
    <fill>
      <patternFill patternType="solid">
        <fgColor rgb="FF99CCFF"/>
        <bgColor indexed="64"/>
      </patternFill>
    </fill>
    <fill>
      <patternFill patternType="solid">
        <fgColor rgb="FF99CCFF"/>
        <bgColor indexed="26"/>
      </patternFill>
    </fill>
    <fill>
      <patternFill patternType="solid">
        <bgColor indexed="49"/>
      </patternFill>
    </fill>
    <fill>
      <patternFill patternType="solid">
        <fgColor theme="0" tint="-4.9989318521683403E-2"/>
        <bgColor indexed="64"/>
      </patternFill>
    </fill>
    <fill>
      <patternFill patternType="solid">
        <fgColor rgb="FFC0C0C0"/>
        <bgColor indexed="64"/>
      </patternFill>
    </fill>
    <fill>
      <patternFill patternType="solid">
        <fgColor theme="0" tint="-0.249977111117893"/>
        <bgColor indexed="64"/>
      </patternFill>
    </fill>
    <fill>
      <patternFill patternType="solid">
        <fgColor theme="0" tint="-0.14999847407452621"/>
        <bgColor indexed="22"/>
      </patternFill>
    </fill>
    <fill>
      <patternFill patternType="solid">
        <fgColor theme="0" tint="-0.14999847407452621"/>
        <bgColor indexed="64"/>
      </patternFill>
    </fill>
  </fills>
  <borders count="1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44"/>
      </left>
      <right style="thin">
        <color indexed="44"/>
      </right>
      <top style="thin">
        <color indexed="44"/>
      </top>
      <bottom style="thin">
        <color indexed="44"/>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24"/>
      </bottom>
      <diagonal/>
    </border>
    <border>
      <left/>
      <right/>
      <top/>
      <bottom style="medium">
        <color indexed="24"/>
      </bottom>
      <diagonal/>
    </border>
    <border>
      <left/>
      <right/>
      <top style="thin">
        <color indexed="49"/>
      </top>
      <bottom style="double">
        <color indexed="49"/>
      </bottom>
      <diagonal/>
    </border>
    <border>
      <left/>
      <right/>
      <top style="thin">
        <color indexed="8"/>
      </top>
      <bottom/>
      <diagonal/>
    </border>
    <border>
      <left/>
      <right style="thin">
        <color indexed="8"/>
      </right>
      <top style="thin">
        <color indexed="8"/>
      </top>
      <bottom/>
      <diagonal/>
    </border>
    <border>
      <left/>
      <right style="thin">
        <color indexed="8"/>
      </right>
      <top/>
      <bottom/>
      <diagonal/>
    </border>
    <border>
      <left style="thin">
        <color indexed="8"/>
      </left>
      <right style="thin">
        <color indexed="8"/>
      </right>
      <top/>
      <bottom style="thin">
        <color indexed="8"/>
      </bottom>
      <diagonal/>
    </border>
    <border>
      <left style="medium">
        <color indexed="8"/>
      </left>
      <right style="hair">
        <color indexed="8"/>
      </right>
      <top style="medium">
        <color indexed="8"/>
      </top>
      <bottom style="hair">
        <color indexed="8"/>
      </bottom>
      <diagonal/>
    </border>
    <border>
      <left/>
      <right style="medium">
        <color indexed="8"/>
      </right>
      <top style="medium">
        <color indexed="8"/>
      </top>
      <bottom style="hair">
        <color indexed="8"/>
      </bottom>
      <diagonal/>
    </border>
    <border>
      <left style="medium">
        <color indexed="8"/>
      </left>
      <right style="hair">
        <color indexed="8"/>
      </right>
      <top/>
      <bottom style="hair">
        <color indexed="8"/>
      </bottom>
      <diagonal/>
    </border>
    <border>
      <left/>
      <right style="medium">
        <color indexed="8"/>
      </right>
      <top/>
      <bottom style="hair">
        <color indexed="8"/>
      </bottom>
      <diagonal/>
    </border>
    <border>
      <left style="medium">
        <color indexed="8"/>
      </left>
      <right style="hair">
        <color indexed="8"/>
      </right>
      <top style="hair">
        <color indexed="8"/>
      </top>
      <bottom style="hair">
        <color indexed="8"/>
      </bottom>
      <diagonal/>
    </border>
    <border>
      <left/>
      <right style="medium">
        <color indexed="8"/>
      </right>
      <top style="hair">
        <color indexed="8"/>
      </top>
      <bottom style="hair">
        <color indexed="8"/>
      </bottom>
      <diagonal/>
    </border>
    <border>
      <left style="medium">
        <color indexed="8"/>
      </left>
      <right style="hair">
        <color indexed="8"/>
      </right>
      <top/>
      <bottom style="medium">
        <color indexed="8"/>
      </bottom>
      <diagonal/>
    </border>
    <border>
      <left/>
      <right style="medium">
        <color indexed="8"/>
      </right>
      <top/>
      <bottom style="medium">
        <color indexed="8"/>
      </bottom>
      <diagonal/>
    </border>
    <border>
      <left style="medium">
        <color indexed="8"/>
      </left>
      <right style="hair">
        <color indexed="8"/>
      </right>
      <top style="medium">
        <color indexed="8"/>
      </top>
      <bottom/>
      <diagonal/>
    </border>
    <border>
      <left style="hair">
        <color indexed="8"/>
      </left>
      <right style="medium">
        <color indexed="8"/>
      </right>
      <top style="medium">
        <color indexed="8"/>
      </top>
      <bottom/>
      <diagonal/>
    </border>
    <border>
      <left style="hair">
        <color indexed="8"/>
      </left>
      <right style="medium">
        <color indexed="8"/>
      </right>
      <top style="hair">
        <color indexed="8"/>
      </top>
      <bottom style="hair">
        <color indexed="8"/>
      </bottom>
      <diagonal/>
    </border>
    <border>
      <left style="medium">
        <color indexed="8"/>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right style="medium">
        <color indexed="8"/>
      </right>
      <top style="hair">
        <color indexed="8"/>
      </top>
      <bottom style="medium">
        <color indexed="8"/>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top/>
      <bottom/>
      <diagonal/>
    </border>
    <border>
      <left style="thin">
        <color indexed="8"/>
      </left>
      <right style="thin">
        <color indexed="8"/>
      </right>
      <top style="thin">
        <color indexed="8"/>
      </top>
      <bottom/>
      <diagonal/>
    </border>
    <border>
      <left style="thin">
        <color indexed="8"/>
      </left>
      <right/>
      <top/>
      <bottom style="hair">
        <color indexed="8"/>
      </bottom>
      <diagonal/>
    </border>
    <border>
      <left style="thin">
        <color indexed="8"/>
      </left>
      <right style="thin">
        <color indexed="8"/>
      </right>
      <top/>
      <bottom style="hair">
        <color indexed="8"/>
      </bottom>
      <diagonal/>
    </border>
    <border>
      <left style="thin">
        <color indexed="8"/>
      </left>
      <right style="hair">
        <color indexed="8"/>
      </right>
      <top style="thin">
        <color indexed="8"/>
      </top>
      <bottom style="thin">
        <color indexed="8"/>
      </bottom>
      <diagonal/>
    </border>
    <border>
      <left style="thin">
        <color indexed="8"/>
      </left>
      <right/>
      <top style="hair">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thin">
        <color indexed="8"/>
      </left>
      <right style="thin">
        <color indexed="8"/>
      </right>
      <top style="hair">
        <color indexed="8"/>
      </top>
      <bottom style="hair">
        <color indexed="8"/>
      </bottom>
      <diagonal/>
    </border>
    <border>
      <left style="hair">
        <color indexed="8"/>
      </left>
      <right style="hair">
        <color indexed="8"/>
      </right>
      <top style="hair">
        <color indexed="8"/>
      </top>
      <bottom/>
      <diagonal/>
    </border>
    <border>
      <left style="hair">
        <color indexed="8"/>
      </left>
      <right style="thin">
        <color indexed="8"/>
      </right>
      <top style="hair">
        <color indexed="8"/>
      </top>
      <bottom/>
      <diagonal/>
    </border>
    <border>
      <left/>
      <right style="thin">
        <color indexed="8"/>
      </right>
      <top style="thin">
        <color indexed="8"/>
      </top>
      <bottom style="thin">
        <color indexed="8"/>
      </bottom>
      <diagonal/>
    </border>
    <border>
      <left style="thin">
        <color indexed="8"/>
      </left>
      <right/>
      <top/>
      <bottom style="thin">
        <color indexed="8"/>
      </bottom>
      <diagonal/>
    </border>
    <border>
      <left style="hair">
        <color indexed="8"/>
      </left>
      <right style="hair">
        <color indexed="8"/>
      </right>
      <top style="thin">
        <color indexed="8"/>
      </top>
      <bottom style="thin">
        <color indexed="8"/>
      </bottom>
      <diagonal/>
    </border>
    <border>
      <left style="hair">
        <color indexed="8"/>
      </left>
      <right style="thin">
        <color indexed="8"/>
      </right>
      <top style="thin">
        <color indexed="8"/>
      </top>
      <bottom style="thin">
        <color indexed="8"/>
      </bottom>
      <diagonal/>
    </border>
    <border>
      <left style="hair">
        <color indexed="8"/>
      </left>
      <right style="hair">
        <color indexed="8"/>
      </right>
      <top style="thin">
        <color indexed="8"/>
      </top>
      <bottom/>
      <diagonal/>
    </border>
    <border>
      <left style="thin">
        <color indexed="8"/>
      </left>
      <right style="hair">
        <color indexed="8"/>
      </right>
      <top style="thin">
        <color indexed="8"/>
      </top>
      <bottom/>
      <diagonal/>
    </border>
    <border>
      <left style="hair">
        <color indexed="8"/>
      </left>
      <right style="thin">
        <color indexed="8"/>
      </right>
      <top style="thin">
        <color indexed="8"/>
      </top>
      <bottom/>
      <diagonal/>
    </border>
    <border>
      <left style="thin">
        <color indexed="8"/>
      </left>
      <right style="hair">
        <color indexed="8"/>
      </right>
      <top style="thin">
        <color indexed="8"/>
      </top>
      <bottom style="hair">
        <color indexed="8"/>
      </bottom>
      <diagonal/>
    </border>
    <border>
      <left style="hair">
        <color indexed="8"/>
      </left>
      <right style="hair">
        <color indexed="8"/>
      </right>
      <top style="thin">
        <color indexed="8"/>
      </top>
      <bottom style="hair">
        <color indexed="8"/>
      </bottom>
      <diagonal/>
    </border>
    <border>
      <left style="hair">
        <color indexed="8"/>
      </left>
      <right style="hair">
        <color indexed="8"/>
      </right>
      <top/>
      <bottom style="thin">
        <color indexed="8"/>
      </bottom>
      <diagonal/>
    </border>
    <border>
      <left style="thin">
        <color indexed="8"/>
      </left>
      <right style="hair">
        <color indexed="8"/>
      </right>
      <top/>
      <bottom style="thin">
        <color indexed="8"/>
      </bottom>
      <diagonal/>
    </border>
    <border>
      <left style="hair">
        <color indexed="8"/>
      </left>
      <right style="thin">
        <color indexed="8"/>
      </right>
      <top/>
      <bottom style="thin">
        <color indexed="8"/>
      </bottom>
      <diagonal/>
    </border>
    <border>
      <left style="hair">
        <color indexed="8"/>
      </left>
      <right style="hair">
        <color indexed="8"/>
      </right>
      <top style="thin">
        <color indexed="8"/>
      </top>
      <bottom style="hair">
        <color indexed="55"/>
      </bottom>
      <diagonal/>
    </border>
    <border>
      <left style="thin">
        <color indexed="8"/>
      </left>
      <right/>
      <top style="hair">
        <color indexed="8"/>
      </top>
      <bottom/>
      <diagonal/>
    </border>
    <border>
      <left/>
      <right/>
      <top style="hair">
        <color indexed="8"/>
      </top>
      <bottom/>
      <diagonal/>
    </border>
    <border>
      <left/>
      <right style="thin">
        <color indexed="8"/>
      </right>
      <top style="hair">
        <color indexed="8"/>
      </top>
      <bottom/>
      <diagonal/>
    </border>
    <border>
      <left/>
      <right/>
      <top/>
      <bottom style="hair">
        <color indexed="8"/>
      </bottom>
      <diagonal/>
    </border>
    <border>
      <left/>
      <right style="hair">
        <color indexed="8"/>
      </right>
      <top/>
      <bottom style="thin">
        <color indexed="8"/>
      </bottom>
      <diagonal/>
    </border>
    <border>
      <left style="thin">
        <color indexed="8"/>
      </left>
      <right/>
      <top style="thin">
        <color indexed="8"/>
      </top>
      <bottom style="hair">
        <color indexed="8"/>
      </bottom>
      <diagonal/>
    </border>
    <border>
      <left/>
      <right style="thin">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right style="thin">
        <color indexed="8"/>
      </right>
      <top style="hair">
        <color indexed="8"/>
      </top>
      <bottom style="hair">
        <color indexed="8"/>
      </bottom>
      <diagonal/>
    </border>
    <border>
      <left style="thin">
        <color indexed="8"/>
      </left>
      <right style="hair">
        <color indexed="8"/>
      </right>
      <top style="hair">
        <color indexed="8"/>
      </top>
      <bottom/>
      <diagonal/>
    </border>
    <border>
      <left style="hair">
        <color indexed="8"/>
      </left>
      <right style="hair">
        <color indexed="8"/>
      </right>
      <top style="hair">
        <color indexed="8"/>
      </top>
      <bottom style="thin">
        <color indexed="8"/>
      </bottom>
      <diagonal/>
    </border>
    <border>
      <left style="thin">
        <color indexed="8"/>
      </left>
      <right/>
      <top style="hair">
        <color indexed="8"/>
      </top>
      <bottom style="thin">
        <color indexed="8"/>
      </bottom>
      <diagonal/>
    </border>
    <border>
      <left/>
      <right style="thin">
        <color indexed="8"/>
      </right>
      <top style="hair">
        <color indexed="8"/>
      </top>
      <bottom style="thin">
        <color indexed="8"/>
      </bottom>
      <diagonal/>
    </border>
    <border>
      <left style="thin">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right/>
      <top style="thin">
        <color indexed="23"/>
      </top>
      <bottom style="thin">
        <color indexed="23"/>
      </bottom>
      <diagonal/>
    </border>
    <border>
      <left style="thin">
        <color indexed="23"/>
      </left>
      <right/>
      <top style="thin">
        <color indexed="23"/>
      </top>
      <bottom style="thin">
        <color indexed="23"/>
      </bottom>
      <diagonal/>
    </border>
    <border>
      <left/>
      <right style="thin">
        <color indexed="23"/>
      </right>
      <top style="thin">
        <color indexed="23"/>
      </top>
      <bottom style="thin">
        <color indexed="23"/>
      </bottom>
      <diagonal/>
    </border>
    <border>
      <left/>
      <right/>
      <top style="hair">
        <color indexed="8"/>
      </top>
      <bottom style="hair">
        <color indexed="8"/>
      </bottom>
      <diagonal/>
    </border>
    <border>
      <left style="hair">
        <color indexed="8"/>
      </left>
      <right/>
      <top style="hair">
        <color indexed="8"/>
      </top>
      <bottom style="hair">
        <color indexed="8"/>
      </bottom>
      <diagonal/>
    </border>
    <border>
      <left/>
      <right style="hair">
        <color indexed="8"/>
      </right>
      <top style="hair">
        <color indexed="8"/>
      </top>
      <bottom style="hair">
        <color indexed="8"/>
      </bottom>
      <diagonal/>
    </border>
    <border>
      <left style="thin">
        <color indexed="8"/>
      </left>
      <right/>
      <top style="thin">
        <color indexed="8"/>
      </top>
      <bottom/>
      <diagonal/>
    </border>
    <border>
      <left/>
      <right style="thin">
        <color indexed="8"/>
      </right>
      <top/>
      <bottom style="hair">
        <color indexed="8"/>
      </bottom>
      <diagonal/>
    </border>
    <border>
      <left style="thin">
        <color indexed="8"/>
      </left>
      <right style="thin">
        <color indexed="8"/>
      </right>
      <top style="thin">
        <color indexed="8"/>
      </top>
      <bottom style="hair">
        <color indexed="8"/>
      </bottom>
      <diagonal/>
    </border>
    <border>
      <left/>
      <right/>
      <top style="thin">
        <color indexed="8"/>
      </top>
      <bottom style="hair">
        <color indexed="8"/>
      </bottom>
      <diagonal/>
    </border>
    <border>
      <left style="thin">
        <color indexed="8"/>
      </left>
      <right style="thin">
        <color indexed="8"/>
      </right>
      <top style="hair">
        <color indexed="8"/>
      </top>
      <bottom/>
      <diagonal/>
    </border>
    <border>
      <left style="thin">
        <color indexed="8"/>
      </left>
      <right style="thin">
        <color indexed="8"/>
      </right>
      <top style="hair">
        <color indexed="8"/>
      </top>
      <bottom style="thin">
        <color indexed="8"/>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hair">
        <color indexed="8"/>
      </right>
      <top style="hair">
        <color indexed="8"/>
      </top>
      <bottom/>
      <diagonal/>
    </border>
    <border>
      <left style="medium">
        <color indexed="64"/>
      </left>
      <right style="hair">
        <color indexed="8"/>
      </right>
      <top style="medium">
        <color indexed="64"/>
      </top>
      <bottom style="medium">
        <color indexed="64"/>
      </bottom>
      <diagonal/>
    </border>
    <border>
      <left style="hair">
        <color indexed="8"/>
      </left>
      <right style="medium">
        <color indexed="64"/>
      </right>
      <top style="medium">
        <color indexed="64"/>
      </top>
      <bottom style="medium">
        <color indexed="64"/>
      </bottom>
      <diagonal/>
    </border>
    <border>
      <left style="medium">
        <color indexed="8"/>
      </left>
      <right style="medium">
        <color indexed="8"/>
      </right>
      <top style="medium">
        <color indexed="8"/>
      </top>
      <bottom style="medium">
        <color indexed="8"/>
      </bottom>
      <diagonal/>
    </border>
    <border>
      <left/>
      <right/>
      <top/>
      <bottom style="thin">
        <color indexed="23"/>
      </bottom>
      <diagonal/>
    </border>
    <border>
      <left style="thin">
        <color indexed="8"/>
      </left>
      <right/>
      <top/>
      <bottom style="thin">
        <color indexed="64"/>
      </bottom>
      <diagonal/>
    </border>
    <border>
      <left style="thin">
        <color indexed="23"/>
      </left>
      <right style="hair">
        <color indexed="64"/>
      </right>
      <top style="thin">
        <color indexed="23"/>
      </top>
      <bottom style="thin">
        <color indexed="23"/>
      </bottom>
      <diagonal/>
    </border>
    <border>
      <left style="thin">
        <color indexed="23"/>
      </left>
      <right/>
      <top style="thin">
        <color indexed="23"/>
      </top>
      <bottom/>
      <diagonal/>
    </border>
    <border>
      <left style="thin">
        <color indexed="64"/>
      </left>
      <right/>
      <top style="thin">
        <color indexed="64"/>
      </top>
      <bottom style="thin">
        <color indexed="64"/>
      </bottom>
      <diagonal/>
    </border>
    <border>
      <left style="thin">
        <color indexed="23"/>
      </left>
      <right/>
      <top/>
      <bottom style="thin">
        <color indexed="23"/>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8"/>
      </right>
      <top/>
      <bottom style="thin">
        <color indexed="64"/>
      </bottom>
      <diagonal/>
    </border>
    <border>
      <left/>
      <right/>
      <top style="medium">
        <color indexed="64"/>
      </top>
      <bottom style="medium">
        <color indexed="64"/>
      </bottom>
      <diagonal/>
    </border>
    <border>
      <left style="thin">
        <color indexed="8"/>
      </left>
      <right/>
      <top style="hair">
        <color indexed="8"/>
      </top>
      <bottom style="thin">
        <color indexed="64"/>
      </bottom>
      <diagonal/>
    </border>
    <border>
      <left/>
      <right/>
      <top style="hair">
        <color indexed="8"/>
      </top>
      <bottom style="thin">
        <color indexed="64"/>
      </bottom>
      <diagonal/>
    </border>
    <border>
      <left/>
      <right style="hair">
        <color indexed="8"/>
      </right>
      <top style="hair">
        <color indexed="8"/>
      </top>
      <bottom style="thin">
        <color indexed="8"/>
      </bottom>
      <diagonal/>
    </border>
    <border>
      <left/>
      <right style="hair">
        <color indexed="64"/>
      </right>
      <top/>
      <bottom/>
      <diagonal/>
    </border>
    <border>
      <left style="hair">
        <color indexed="8"/>
      </left>
      <right style="hair">
        <color indexed="8"/>
      </right>
      <top style="hair">
        <color indexed="55"/>
      </top>
      <bottom style="hair">
        <color indexed="64"/>
      </bottom>
      <diagonal/>
    </border>
    <border>
      <left style="hair">
        <color indexed="8"/>
      </left>
      <right/>
      <top style="thin">
        <color indexed="8"/>
      </top>
      <bottom/>
      <diagonal/>
    </border>
    <border>
      <left style="hair">
        <color indexed="8"/>
      </left>
      <right/>
      <top/>
      <bottom style="thin">
        <color indexed="8"/>
      </bottom>
      <diagonal/>
    </border>
    <border>
      <left style="hair">
        <color indexed="8"/>
      </left>
      <right/>
      <top style="thin">
        <color indexed="8"/>
      </top>
      <bottom style="hair">
        <color indexed="8"/>
      </bottom>
      <diagonal/>
    </border>
    <border>
      <left/>
      <right/>
      <top style="hair">
        <color indexed="8"/>
      </top>
      <bottom style="thin">
        <color indexed="8"/>
      </bottom>
      <diagonal/>
    </border>
    <border>
      <left style="thin">
        <color indexed="23"/>
      </left>
      <right/>
      <top/>
      <bottom/>
      <diagonal/>
    </border>
    <border>
      <left/>
      <right/>
      <top style="thin">
        <color theme="0" tint="-0.499984740745262"/>
      </top>
      <bottom/>
      <diagonal/>
    </border>
    <border>
      <left style="thin">
        <color theme="0" tint="-0.499984740745262"/>
      </left>
      <right/>
      <top/>
      <bottom/>
      <diagonal/>
    </border>
    <border>
      <left style="thin">
        <color theme="0" tint="-0.499984740745262"/>
      </left>
      <right/>
      <top style="thin">
        <color theme="0" tint="-0.499984740745262"/>
      </top>
      <bottom/>
      <diagonal/>
    </border>
    <border>
      <left style="thin">
        <color indexed="64"/>
      </left>
      <right style="thin">
        <color indexed="64"/>
      </right>
      <top style="thin">
        <color indexed="64"/>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style="thin">
        <color indexed="64"/>
      </right>
      <top style="thin">
        <color auto="1"/>
      </top>
      <bottom/>
      <diagonal/>
    </border>
    <border>
      <left style="thin">
        <color indexed="64"/>
      </left>
      <right style="thin">
        <color indexed="64"/>
      </right>
      <top style="thin">
        <color auto="1"/>
      </top>
      <bottom style="thin">
        <color auto="1"/>
      </bottom>
      <diagonal/>
    </border>
    <border>
      <left style="thin">
        <color indexed="64"/>
      </left>
      <right style="thin">
        <color indexed="64"/>
      </right>
      <top style="thin">
        <color indexed="64"/>
      </top>
      <bottom style="thin">
        <color auto="1"/>
      </bottom>
      <diagonal/>
    </border>
    <border>
      <left style="thin">
        <color indexed="64"/>
      </left>
      <right style="thin">
        <color indexed="64"/>
      </right>
      <top style="thin">
        <color auto="1"/>
      </top>
      <bottom/>
      <diagonal/>
    </border>
    <border>
      <left style="thin">
        <color indexed="64"/>
      </left>
      <right style="thin">
        <color indexed="64"/>
      </right>
      <top style="thin">
        <color auto="1"/>
      </top>
      <bottom style="thin">
        <color auto="1"/>
      </bottom>
      <diagonal/>
    </border>
  </borders>
  <cellStyleXfs count="51">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2" fillId="7" borderId="0" applyNumberFormat="0" applyBorder="0" applyAlignment="0" applyProtection="0"/>
    <xf numFmtId="0" fontId="2" fillId="3"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3" fillId="2" borderId="0" applyNumberFormat="0" applyBorder="0" applyAlignment="0" applyProtection="0"/>
    <xf numFmtId="0" fontId="4" fillId="11" borderId="1" applyNumberFormat="0" applyAlignment="0" applyProtection="0"/>
    <xf numFmtId="0" fontId="5" fillId="12" borderId="2" applyNumberFormat="0" applyAlignment="0" applyProtection="0"/>
    <xf numFmtId="0" fontId="6" fillId="0" borderId="3" applyNumberFormat="0" applyFill="0" applyAlignment="0" applyProtection="0"/>
    <xf numFmtId="0" fontId="2" fillId="9" borderId="0" applyNumberFormat="0" applyBorder="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0" borderId="0" applyNumberFormat="0" applyBorder="0" applyAlignment="0" applyProtection="0"/>
    <xf numFmtId="0" fontId="7" fillId="3" borderId="1" applyNumberFormat="0" applyAlignment="0" applyProtection="0"/>
    <xf numFmtId="0" fontId="61" fillId="0" borderId="0" applyNumberFormat="0" applyFill="0" applyBorder="0" applyAlignment="0" applyProtection="0"/>
    <xf numFmtId="180" fontId="56" fillId="0" borderId="0" applyFill="0" applyBorder="0" applyAlignment="0" applyProtection="0"/>
    <xf numFmtId="164" fontId="56" fillId="0" borderId="0" applyFill="0" applyBorder="0" applyAlignment="0" applyProtection="0"/>
    <xf numFmtId="0" fontId="56" fillId="0" borderId="0"/>
    <xf numFmtId="0" fontId="1" fillId="0" borderId="0"/>
    <xf numFmtId="0" fontId="8" fillId="0" borderId="0"/>
    <xf numFmtId="0" fontId="56" fillId="5" borderId="4" applyNumberFormat="0" applyAlignment="0" applyProtection="0"/>
    <xf numFmtId="9" fontId="56" fillId="0" borderId="0" applyFill="0" applyBorder="0" applyAlignment="0" applyProtection="0"/>
    <xf numFmtId="9" fontId="56" fillId="0" borderId="0" applyFill="0" applyBorder="0" applyAlignment="0" applyProtection="0"/>
    <xf numFmtId="0" fontId="9" fillId="11" borderId="5" applyNumberFormat="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3" fillId="0" borderId="6" applyNumberFormat="0" applyFill="0" applyAlignment="0" applyProtection="0"/>
    <xf numFmtId="0" fontId="14" fillId="0" borderId="7" applyNumberFormat="0" applyFill="0" applyAlignment="0" applyProtection="0"/>
    <xf numFmtId="0" fontId="15" fillId="0" borderId="8" applyNumberFormat="0" applyFill="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2" fillId="0" borderId="9" applyNumberFormat="0" applyFill="0" applyAlignment="0" applyProtection="0"/>
    <xf numFmtId="171" fontId="56" fillId="0" borderId="0" applyFill="0" applyBorder="0" applyAlignment="0" applyProtection="0"/>
    <xf numFmtId="165" fontId="56" fillId="0" borderId="0" applyFill="0" applyBorder="0" applyAlignment="0" applyProtection="0"/>
    <xf numFmtId="0" fontId="67" fillId="0" borderId="0"/>
  </cellStyleXfs>
  <cellXfs count="855">
    <xf numFmtId="0" fontId="0" fillId="0" borderId="0" xfId="0"/>
    <xf numFmtId="0" fontId="0" fillId="0" borderId="10" xfId="0" applyBorder="1"/>
    <xf numFmtId="0" fontId="0" fillId="0" borderId="11" xfId="0" applyBorder="1"/>
    <xf numFmtId="0" fontId="0" fillId="0" borderId="0" xfId="0" applyAlignment="1">
      <alignment vertical="center"/>
    </xf>
    <xf numFmtId="0" fontId="0" fillId="0" borderId="12" xfId="0" applyBorder="1"/>
    <xf numFmtId="0" fontId="0" fillId="6" borderId="0" xfId="0" applyFill="1"/>
    <xf numFmtId="0" fontId="0" fillId="16" borderId="0" xfId="0" applyFill="1" applyAlignment="1">
      <alignment vertical="center"/>
    </xf>
    <xf numFmtId="0" fontId="0" fillId="0" borderId="0" xfId="0" applyAlignment="1">
      <alignment horizontal="center"/>
    </xf>
    <xf numFmtId="0" fontId="23" fillId="0" borderId="0" xfId="0" applyFont="1" applyAlignment="1">
      <alignment vertical="center"/>
    </xf>
    <xf numFmtId="0" fontId="24" fillId="0" borderId="0" xfId="0" applyFont="1"/>
    <xf numFmtId="0" fontId="24" fillId="0" borderId="13" xfId="0" applyFont="1" applyBorder="1" applyAlignment="1">
      <alignment horizontal="left"/>
    </xf>
    <xf numFmtId="0" fontId="24" fillId="0" borderId="13" xfId="0" applyFont="1" applyBorder="1" applyAlignment="1">
      <alignment horizontal="center"/>
    </xf>
    <xf numFmtId="0" fontId="0" fillId="0" borderId="0" xfId="0" applyAlignment="1">
      <alignment horizontal="left"/>
    </xf>
    <xf numFmtId="0" fontId="0" fillId="0" borderId="14" xfId="0" applyBorder="1" applyAlignment="1">
      <alignment vertical="center"/>
    </xf>
    <xf numFmtId="0" fontId="0" fillId="16" borderId="15" xfId="0" applyFill="1" applyBorder="1" applyAlignment="1" applyProtection="1">
      <alignment vertical="center"/>
      <protection locked="0"/>
    </xf>
    <xf numFmtId="0" fontId="0" fillId="0" borderId="16" xfId="0" applyBorder="1" applyAlignment="1">
      <alignment vertical="center"/>
    </xf>
    <xf numFmtId="49" fontId="0" fillId="6" borderId="17" xfId="0" applyNumberFormat="1" applyFill="1" applyBorder="1" applyAlignment="1" applyProtection="1">
      <alignment vertical="center"/>
      <protection locked="0"/>
    </xf>
    <xf numFmtId="0" fontId="0" fillId="0" borderId="18" xfId="0" applyBorder="1" applyAlignment="1">
      <alignment vertical="center"/>
    </xf>
    <xf numFmtId="49" fontId="0" fillId="6" borderId="19" xfId="0" applyNumberFormat="1" applyFill="1" applyBorder="1" applyAlignment="1" applyProtection="1">
      <alignment vertical="center"/>
      <protection locked="0"/>
    </xf>
    <xf numFmtId="4" fontId="0" fillId="6" borderId="19" xfId="0" applyNumberFormat="1" applyFill="1" applyBorder="1" applyAlignment="1" applyProtection="1">
      <alignment horizontal="left" vertical="center"/>
      <protection locked="0"/>
    </xf>
    <xf numFmtId="10" fontId="0" fillId="6" borderId="19" xfId="0" applyNumberFormat="1" applyFill="1" applyBorder="1" applyAlignment="1" applyProtection="1">
      <alignment horizontal="left" vertical="center"/>
      <protection locked="0"/>
    </xf>
    <xf numFmtId="0" fontId="0" fillId="0" borderId="20" xfId="0" applyBorder="1" applyAlignment="1">
      <alignment vertical="center"/>
    </xf>
    <xf numFmtId="10" fontId="0" fillId="6" borderId="21" xfId="0" applyNumberFormat="1" applyFill="1" applyBorder="1" applyAlignment="1" applyProtection="1">
      <alignment horizontal="left" vertical="center"/>
      <protection locked="0"/>
    </xf>
    <xf numFmtId="10" fontId="0" fillId="0" borderId="0" xfId="0" applyNumberFormat="1" applyAlignment="1">
      <alignment horizontal="left" vertical="center"/>
    </xf>
    <xf numFmtId="0" fontId="0" fillId="0" borderId="22" xfId="0" applyBorder="1" applyAlignment="1">
      <alignment vertical="center"/>
    </xf>
    <xf numFmtId="49" fontId="0" fillId="6" borderId="23" xfId="0" applyNumberFormat="1" applyFill="1" applyBorder="1" applyAlignment="1" applyProtection="1">
      <alignment vertical="center" wrapText="1"/>
      <protection locked="0"/>
    </xf>
    <xf numFmtId="49" fontId="0" fillId="6" borderId="24" xfId="0" applyNumberFormat="1" applyFill="1" applyBorder="1" applyAlignment="1" applyProtection="1">
      <alignment vertical="center" wrapText="1"/>
      <protection locked="0"/>
    </xf>
    <xf numFmtId="0" fontId="0" fillId="16" borderId="24" xfId="0" applyFill="1" applyBorder="1" applyAlignment="1" applyProtection="1">
      <alignment vertical="center"/>
      <protection locked="0"/>
    </xf>
    <xf numFmtId="0" fontId="0" fillId="0" borderId="25" xfId="0" applyBorder="1" applyAlignment="1">
      <alignment vertical="center"/>
    </xf>
    <xf numFmtId="166" fontId="0" fillId="6" borderId="21" xfId="0" applyNumberFormat="1" applyFill="1" applyBorder="1" applyAlignment="1" applyProtection="1">
      <alignment horizontal="left" vertical="center"/>
      <protection locked="0"/>
    </xf>
    <xf numFmtId="4" fontId="0" fillId="0" borderId="0" xfId="0" applyNumberFormat="1" applyAlignment="1">
      <alignment vertical="center"/>
    </xf>
    <xf numFmtId="0" fontId="0" fillId="6" borderId="17" xfId="0" applyFill="1" applyBorder="1" applyAlignment="1" applyProtection="1">
      <alignment vertical="center"/>
      <protection locked="0"/>
    </xf>
    <xf numFmtId="14" fontId="0" fillId="6" borderId="21" xfId="0" applyNumberFormat="1" applyFill="1" applyBorder="1" applyAlignment="1" applyProtection="1">
      <alignment horizontal="left" vertical="center"/>
      <protection locked="0"/>
    </xf>
    <xf numFmtId="0" fontId="0" fillId="6" borderId="15" xfId="0" applyFill="1" applyBorder="1" applyAlignment="1" applyProtection="1">
      <alignment vertical="center"/>
      <protection locked="0"/>
    </xf>
    <xf numFmtId="0" fontId="0" fillId="6" borderId="21" xfId="0" applyFill="1" applyBorder="1" applyAlignment="1" applyProtection="1">
      <alignment vertical="center"/>
      <protection locked="0"/>
    </xf>
    <xf numFmtId="14" fontId="0" fillId="6" borderId="15" xfId="0" applyNumberFormat="1" applyFill="1" applyBorder="1" applyAlignment="1" applyProtection="1">
      <alignment horizontal="left" vertical="center"/>
      <protection locked="0"/>
    </xf>
    <xf numFmtId="166" fontId="0" fillId="6" borderId="26" xfId="0" applyNumberFormat="1" applyFill="1" applyBorder="1" applyAlignment="1" applyProtection="1">
      <alignment horizontal="left" vertical="center"/>
      <protection locked="0"/>
    </xf>
    <xf numFmtId="14" fontId="0" fillId="6" borderId="27" xfId="0" applyNumberFormat="1" applyFill="1" applyBorder="1" applyAlignment="1" applyProtection="1">
      <alignment horizontal="left" vertical="center"/>
      <protection locked="0"/>
    </xf>
    <xf numFmtId="49" fontId="0" fillId="6" borderId="15" xfId="0" applyNumberFormat="1" applyFill="1" applyBorder="1" applyAlignment="1" applyProtection="1">
      <alignment vertical="center"/>
      <protection locked="0"/>
    </xf>
    <xf numFmtId="49" fontId="0" fillId="6" borderId="27" xfId="0" applyNumberFormat="1" applyFill="1" applyBorder="1" applyAlignment="1" applyProtection="1">
      <alignment vertical="center"/>
      <protection locked="0"/>
    </xf>
    <xf numFmtId="49" fontId="0" fillId="6" borderId="21" xfId="0" applyNumberFormat="1" applyFill="1" applyBorder="1" applyAlignment="1" applyProtection="1">
      <alignment vertical="center"/>
      <protection locked="0"/>
    </xf>
    <xf numFmtId="0" fontId="26" fillId="0" borderId="12" xfId="0" applyFont="1" applyBorder="1" applyAlignment="1">
      <alignment horizontal="left"/>
    </xf>
    <xf numFmtId="0" fontId="0" fillId="0" borderId="28" xfId="0" applyBorder="1"/>
    <xf numFmtId="0" fontId="27" fillId="0" borderId="29" xfId="0" applyFont="1" applyBorder="1" applyAlignment="1">
      <alignment horizontal="left" indent="1"/>
    </xf>
    <xf numFmtId="0" fontId="0" fillId="0" borderId="29" xfId="0" applyBorder="1" applyAlignment="1">
      <alignment vertical="center"/>
    </xf>
    <xf numFmtId="0" fontId="28" fillId="0" borderId="12" xfId="0" applyFont="1" applyBorder="1"/>
    <xf numFmtId="0" fontId="27" fillId="0" borderId="0" xfId="0" applyFont="1" applyAlignment="1">
      <alignment horizontal="left" indent="1"/>
    </xf>
    <xf numFmtId="0" fontId="12" fillId="0" borderId="0" xfId="0" applyFont="1" applyAlignment="1">
      <alignment horizontal="left" indent="1"/>
    </xf>
    <xf numFmtId="0" fontId="12" fillId="0" borderId="0" xfId="0" applyFont="1" applyAlignment="1">
      <alignment horizontal="left" vertical="top" indent="1"/>
    </xf>
    <xf numFmtId="0" fontId="0" fillId="0" borderId="0" xfId="33" applyFont="1"/>
    <xf numFmtId="0" fontId="24" fillId="0" borderId="0" xfId="33" applyFont="1" applyAlignment="1">
      <alignment horizontal="center"/>
    </xf>
    <xf numFmtId="0" fontId="23" fillId="0" borderId="0" xfId="33" applyFont="1" applyAlignment="1">
      <alignment horizontal="center"/>
    </xf>
    <xf numFmtId="0" fontId="0" fillId="0" borderId="30" xfId="0" applyBorder="1" applyAlignment="1">
      <alignment horizontal="center"/>
    </xf>
    <xf numFmtId="0" fontId="24" fillId="0" borderId="31" xfId="33" applyFont="1" applyBorder="1" applyAlignment="1">
      <alignment horizontal="center"/>
    </xf>
    <xf numFmtId="10" fontId="29" fillId="0" borderId="31" xfId="33" applyNumberFormat="1" applyFont="1" applyBorder="1" applyAlignment="1">
      <alignment horizontal="center"/>
    </xf>
    <xf numFmtId="0" fontId="24" fillId="0" borderId="30" xfId="35" applyFont="1" applyBorder="1" applyAlignment="1">
      <alignment horizontal="left" vertical="top"/>
    </xf>
    <xf numFmtId="0" fontId="0" fillId="0" borderId="13" xfId="33" applyFont="1" applyBorder="1" applyAlignment="1">
      <alignment horizontal="left" vertical="top" wrapText="1"/>
    </xf>
    <xf numFmtId="0" fontId="24" fillId="0" borderId="0" xfId="33" applyFont="1"/>
    <xf numFmtId="0" fontId="24" fillId="0" borderId="31" xfId="33" applyFont="1" applyBorder="1" applyAlignment="1">
      <alignment horizontal="center" vertical="center" wrapText="1"/>
    </xf>
    <xf numFmtId="0" fontId="8" fillId="0" borderId="0" xfId="33" applyFont="1" applyAlignment="1">
      <alignment horizontal="left"/>
    </xf>
    <xf numFmtId="0" fontId="30" fillId="0" borderId="31" xfId="33" applyFont="1" applyBorder="1" applyAlignment="1">
      <alignment horizontal="center" vertical="center"/>
    </xf>
    <xf numFmtId="10" fontId="30" fillId="6" borderId="31" xfId="33" applyNumberFormat="1" applyFont="1" applyFill="1" applyBorder="1" applyAlignment="1" applyProtection="1">
      <alignment horizontal="center" vertical="center"/>
      <protection locked="0"/>
    </xf>
    <xf numFmtId="10" fontId="30" fillId="0" borderId="31" xfId="33" applyNumberFormat="1" applyFont="1" applyBorder="1" applyAlignment="1">
      <alignment horizontal="center" vertical="center"/>
    </xf>
    <xf numFmtId="10" fontId="30" fillId="0" borderId="31" xfId="33" applyNumberFormat="1" applyFont="1" applyBorder="1" applyAlignment="1">
      <alignment horizontal="center" vertical="center" wrapText="1"/>
    </xf>
    <xf numFmtId="0" fontId="30" fillId="0" borderId="31" xfId="33" applyFont="1" applyBorder="1" applyAlignment="1">
      <alignment horizontal="center" vertical="center" wrapText="1"/>
    </xf>
    <xf numFmtId="0" fontId="30" fillId="8" borderId="31" xfId="33" applyFont="1" applyFill="1" applyBorder="1" applyAlignment="1">
      <alignment horizontal="center" vertical="center" wrapText="1"/>
    </xf>
    <xf numFmtId="10" fontId="17" fillId="8" borderId="31" xfId="33" applyNumberFormat="1" applyFont="1" applyFill="1" applyBorder="1" applyAlignment="1">
      <alignment horizontal="center" vertical="center"/>
    </xf>
    <xf numFmtId="0" fontId="31" fillId="0" borderId="0" xfId="33" applyFont="1" applyAlignment="1">
      <alignment horizontal="right" vertical="center"/>
    </xf>
    <xf numFmtId="0" fontId="0" fillId="0" borderId="0" xfId="33" applyFont="1" applyAlignment="1">
      <alignment horizontal="center" vertical="top"/>
    </xf>
    <xf numFmtId="0" fontId="33" fillId="0" borderId="0" xfId="0" applyFont="1" applyAlignment="1">
      <alignment horizontal="right" vertical="center"/>
    </xf>
    <xf numFmtId="0" fontId="33" fillId="0" borderId="0" xfId="0" applyFont="1" applyAlignment="1">
      <alignment horizontal="left" vertical="center"/>
    </xf>
    <xf numFmtId="0" fontId="33" fillId="0" borderId="0" xfId="0" applyFont="1" applyAlignment="1">
      <alignment horizontal="center" vertical="top"/>
    </xf>
    <xf numFmtId="0" fontId="35" fillId="0" borderId="0" xfId="33" applyFont="1" applyAlignment="1">
      <alignment horizontal="center" vertical="top"/>
    </xf>
    <xf numFmtId="169" fontId="0" fillId="0" borderId="0" xfId="33" applyNumberFormat="1" applyFont="1"/>
    <xf numFmtId="0" fontId="24" fillId="0" borderId="10" xfId="33" applyFont="1" applyBorder="1" applyAlignment="1">
      <alignment horizontal="left"/>
    </xf>
    <xf numFmtId="0" fontId="0" fillId="0" borderId="10" xfId="33" applyFont="1" applyBorder="1"/>
    <xf numFmtId="0" fontId="30" fillId="0" borderId="0" xfId="33" applyFont="1"/>
    <xf numFmtId="0" fontId="24" fillId="0" borderId="0" xfId="35" applyFont="1" applyAlignment="1">
      <alignment horizontal="left" vertical="top"/>
    </xf>
    <xf numFmtId="0" fontId="0" fillId="0" borderId="0" xfId="33" applyFont="1" applyAlignment="1">
      <alignment vertical="top"/>
    </xf>
    <xf numFmtId="167" fontId="0" fillId="0" borderId="0" xfId="33" applyNumberFormat="1" applyFont="1"/>
    <xf numFmtId="167" fontId="0" fillId="0" borderId="0" xfId="33" applyNumberFormat="1" applyFont="1" applyAlignment="1">
      <alignment vertical="top"/>
    </xf>
    <xf numFmtId="0" fontId="36" fillId="0" borderId="0" xfId="0" applyFont="1" applyAlignment="1">
      <alignment vertical="center"/>
    </xf>
    <xf numFmtId="0" fontId="23" fillId="0" borderId="0" xfId="0" applyFont="1" applyAlignment="1">
      <alignment horizontal="left" vertical="center"/>
    </xf>
    <xf numFmtId="0" fontId="37" fillId="0" borderId="0" xfId="0" applyFont="1" applyAlignment="1">
      <alignment horizontal="left" vertical="center"/>
    </xf>
    <xf numFmtId="0" fontId="24" fillId="0" borderId="0" xfId="0" applyFont="1" applyAlignment="1">
      <alignment horizontal="center"/>
    </xf>
    <xf numFmtId="0" fontId="38" fillId="0" borderId="0" xfId="0" applyFont="1"/>
    <xf numFmtId="0" fontId="0" fillId="0" borderId="0" xfId="0" applyAlignment="1">
      <alignment wrapText="1"/>
    </xf>
    <xf numFmtId="10" fontId="0" fillId="0" borderId="0" xfId="0" applyNumberFormat="1"/>
    <xf numFmtId="0" fontId="24" fillId="0" borderId="30" xfId="35" applyFont="1" applyBorder="1" applyAlignment="1">
      <alignment vertical="top"/>
    </xf>
    <xf numFmtId="0" fontId="0" fillId="0" borderId="31" xfId="0" applyBorder="1"/>
    <xf numFmtId="0" fontId="0" fillId="0" borderId="31" xfId="0" applyBorder="1" applyProtection="1">
      <protection locked="0"/>
    </xf>
    <xf numFmtId="0" fontId="0" fillId="0" borderId="13" xfId="33" applyFont="1" applyBorder="1" applyAlignment="1">
      <alignment vertical="top" wrapText="1"/>
    </xf>
    <xf numFmtId="0" fontId="0" fillId="0" borderId="28" xfId="33" applyFont="1" applyBorder="1" applyAlignment="1">
      <alignment vertical="top" wrapText="1"/>
    </xf>
    <xf numFmtId="0" fontId="0" fillId="0" borderId="0" xfId="33" applyFont="1" applyAlignment="1">
      <alignment horizontal="left" vertical="top" wrapText="1"/>
    </xf>
    <xf numFmtId="0" fontId="0" fillId="0" borderId="10" xfId="33" applyFont="1" applyBorder="1" applyAlignment="1">
      <alignment horizontal="left" vertical="top" wrapText="1"/>
    </xf>
    <xf numFmtId="0" fontId="0" fillId="0" borderId="10" xfId="33" applyFont="1" applyBorder="1" applyAlignment="1">
      <alignment vertical="top" wrapText="1"/>
    </xf>
    <xf numFmtId="0" fontId="22" fillId="0" borderId="0" xfId="0" applyFont="1" applyAlignment="1">
      <alignment horizontal="center"/>
    </xf>
    <xf numFmtId="0" fontId="24" fillId="0" borderId="32" xfId="35" applyFont="1" applyBorder="1" applyAlignment="1">
      <alignment horizontal="left" vertical="top"/>
    </xf>
    <xf numFmtId="0" fontId="24" fillId="0" borderId="0" xfId="35" applyFont="1" applyAlignment="1">
      <alignment horizontal="center" vertical="top"/>
    </xf>
    <xf numFmtId="0" fontId="24" fillId="0" borderId="30" xfId="35" applyFont="1" applyBorder="1" applyAlignment="1">
      <alignment horizontal="center" vertical="top"/>
    </xf>
    <xf numFmtId="170" fontId="0" fillId="0" borderId="13" xfId="33" applyNumberFormat="1" applyFont="1" applyBorder="1" applyAlignment="1">
      <alignment vertical="top" shrinkToFit="1"/>
    </xf>
    <xf numFmtId="0" fontId="0" fillId="0" borderId="29" xfId="33" applyFont="1" applyBorder="1" applyAlignment="1">
      <alignment horizontal="center" vertical="top" wrapText="1"/>
    </xf>
    <xf numFmtId="0" fontId="0" fillId="0" borderId="13" xfId="33" applyFont="1" applyBorder="1" applyAlignment="1">
      <alignment horizontal="center" vertical="top" wrapText="1"/>
    </xf>
    <xf numFmtId="10" fontId="0" fillId="0" borderId="0" xfId="0" applyNumberFormat="1" applyAlignment="1">
      <alignment vertical="center" wrapText="1"/>
    </xf>
    <xf numFmtId="0" fontId="42" fillId="0" borderId="33" xfId="0" applyFont="1" applyBorder="1" applyAlignment="1">
      <alignment horizontal="center" vertical="center" wrapText="1"/>
    </xf>
    <xf numFmtId="0" fontId="43" fillId="0" borderId="0" xfId="0" applyFont="1"/>
    <xf numFmtId="0" fontId="22" fillId="0" borderId="13" xfId="0" applyFont="1" applyBorder="1" applyAlignment="1">
      <alignment horizontal="center"/>
    </xf>
    <xf numFmtId="1" fontId="44" fillId="0" borderId="0" xfId="0" applyNumberFormat="1" applyFont="1" applyAlignment="1">
      <alignment horizontal="center" vertical="center"/>
    </xf>
    <xf numFmtId="0" fontId="24" fillId="0" borderId="31" xfId="0" applyFont="1" applyBorder="1" applyAlignment="1">
      <alignment horizontal="center" vertical="center" wrapText="1"/>
    </xf>
    <xf numFmtId="0" fontId="45" fillId="0" borderId="31" xfId="0" applyFont="1" applyBorder="1" applyAlignment="1">
      <alignment horizontal="center" vertical="center" wrapText="1"/>
    </xf>
    <xf numFmtId="0" fontId="24" fillId="0" borderId="31" xfId="0" applyFont="1" applyBorder="1" applyAlignment="1">
      <alignment horizontal="center" vertical="center"/>
    </xf>
    <xf numFmtId="0" fontId="24" fillId="0" borderId="34" xfId="0" applyFont="1" applyBorder="1" applyAlignment="1">
      <alignment horizontal="center" vertical="center" wrapText="1"/>
    </xf>
    <xf numFmtId="0" fontId="24" fillId="0" borderId="35" xfId="0" applyFont="1" applyBorder="1" applyAlignment="1">
      <alignment horizontal="center" vertical="center" wrapText="1"/>
    </xf>
    <xf numFmtId="0" fontId="24" fillId="0" borderId="0" xfId="0" applyFont="1" applyAlignment="1">
      <alignment horizontal="center" vertical="center" wrapText="1"/>
    </xf>
    <xf numFmtId="0" fontId="24" fillId="0" borderId="36" xfId="0" applyFont="1" applyBorder="1" applyAlignment="1">
      <alignment horizontal="center" vertical="center" wrapText="1"/>
    </xf>
    <xf numFmtId="0" fontId="39" fillId="0" borderId="0" xfId="0" applyFont="1" applyAlignment="1">
      <alignment horizontal="center"/>
    </xf>
    <xf numFmtId="0" fontId="8" fillId="16" borderId="37" xfId="0" applyFont="1" applyFill="1" applyBorder="1" applyAlignment="1" applyProtection="1">
      <alignment horizontal="center" vertical="center" wrapText="1"/>
      <protection locked="0"/>
    </xf>
    <xf numFmtId="0" fontId="8" fillId="0" borderId="37" xfId="0" applyFont="1" applyBorder="1" applyAlignment="1">
      <alignment horizontal="center" vertical="center" wrapText="1"/>
    </xf>
    <xf numFmtId="0" fontId="0" fillId="0" borderId="38" xfId="0" applyBorder="1" applyAlignment="1">
      <alignment vertical="center" wrapText="1" shrinkToFit="1"/>
    </xf>
    <xf numFmtId="49" fontId="0" fillId="16" borderId="39" xfId="0" applyNumberFormat="1" applyFill="1" applyBorder="1" applyAlignment="1" applyProtection="1">
      <alignment horizontal="center" vertical="center" wrapText="1"/>
      <protection locked="0"/>
    </xf>
    <xf numFmtId="49" fontId="0" fillId="6" borderId="39" xfId="0" applyNumberFormat="1" applyFill="1" applyBorder="1" applyAlignment="1" applyProtection="1">
      <alignment horizontal="center" vertical="center" wrapText="1"/>
      <protection locked="0"/>
    </xf>
    <xf numFmtId="0" fontId="0" fillId="6" borderId="39" xfId="0" applyFill="1" applyBorder="1" applyAlignment="1" applyProtection="1">
      <alignment horizontal="left" vertical="center" wrapText="1"/>
      <protection locked="0"/>
    </xf>
    <xf numFmtId="0" fontId="0" fillId="6" borderId="39" xfId="0" applyFill="1" applyBorder="1" applyAlignment="1" applyProtection="1">
      <alignment horizontal="center" vertical="center" wrapText="1"/>
      <protection locked="0"/>
    </xf>
    <xf numFmtId="171" fontId="0" fillId="0" borderId="39" xfId="48" applyFont="1" applyFill="1" applyBorder="1" applyAlignment="1" applyProtection="1">
      <alignment vertical="center" shrinkToFit="1"/>
    </xf>
    <xf numFmtId="171" fontId="0" fillId="6" borderId="39" xfId="48" applyFont="1" applyFill="1" applyBorder="1" applyAlignment="1" applyProtection="1">
      <alignment vertical="center" wrapText="1"/>
      <protection locked="0"/>
    </xf>
    <xf numFmtId="10" fontId="0" fillId="16" borderId="39" xfId="37" applyNumberFormat="1" applyFont="1" applyFill="1" applyBorder="1" applyAlignment="1" applyProtection="1">
      <alignment horizontal="center" vertical="center" wrapText="1"/>
      <protection locked="0"/>
    </xf>
    <xf numFmtId="171" fontId="0" fillId="0" borderId="40" xfId="48" applyFont="1" applyFill="1" applyBorder="1" applyAlignment="1" applyProtection="1">
      <alignment horizontal="center" vertical="center" shrinkToFit="1"/>
    </xf>
    <xf numFmtId="10" fontId="39" fillId="16" borderId="41" xfId="37" applyNumberFormat="1" applyFont="1" applyFill="1" applyBorder="1" applyAlignment="1" applyProtection="1">
      <alignment horizontal="center" vertical="center"/>
      <protection locked="0"/>
    </xf>
    <xf numFmtId="0" fontId="0" fillId="0" borderId="42" xfId="0" applyBorder="1"/>
    <xf numFmtId="0" fontId="0" fillId="0" borderId="43" xfId="0" applyBorder="1"/>
    <xf numFmtId="0" fontId="22" fillId="0" borderId="0" xfId="0" applyFont="1"/>
    <xf numFmtId="0" fontId="24" fillId="17" borderId="31" xfId="0" applyFont="1" applyFill="1" applyBorder="1" applyAlignment="1">
      <alignment horizontal="center" vertical="center"/>
    </xf>
    <xf numFmtId="171" fontId="24" fillId="17" borderId="44" xfId="48" applyFont="1" applyFill="1" applyBorder="1" applyAlignment="1" applyProtection="1">
      <alignment horizontal="center" vertical="center" shrinkToFit="1"/>
    </xf>
    <xf numFmtId="171" fontId="21" fillId="17" borderId="44" xfId="48" applyFont="1" applyFill="1" applyBorder="1" applyAlignment="1" applyProtection="1">
      <alignment horizontal="center" vertical="center" shrinkToFit="1"/>
    </xf>
    <xf numFmtId="0" fontId="0" fillId="4" borderId="44" xfId="0" applyFill="1" applyBorder="1"/>
    <xf numFmtId="0" fontId="30" fillId="0" borderId="0" xfId="0" applyFont="1"/>
    <xf numFmtId="0" fontId="30" fillId="0" borderId="32" xfId="0" applyFont="1" applyBorder="1" applyAlignment="1">
      <alignment horizontal="left" vertical="center"/>
    </xf>
    <xf numFmtId="0" fontId="30" fillId="0" borderId="0" xfId="0" applyFont="1" applyAlignment="1" applyProtection="1">
      <alignment horizontal="left" wrapText="1"/>
      <protection locked="0"/>
    </xf>
    <xf numFmtId="0" fontId="17" fillId="0" borderId="0" xfId="0" applyFont="1" applyAlignment="1">
      <alignment horizontal="left" wrapText="1"/>
    </xf>
    <xf numFmtId="167" fontId="0" fillId="0" borderId="29" xfId="0" applyNumberFormat="1" applyBorder="1" applyAlignment="1">
      <alignment horizontal="left"/>
    </xf>
    <xf numFmtId="0" fontId="17" fillId="0" borderId="29" xfId="33" applyFont="1" applyBorder="1" applyAlignment="1">
      <alignment vertical="center"/>
    </xf>
    <xf numFmtId="0" fontId="24" fillId="0" borderId="10" xfId="0" applyFont="1" applyBorder="1"/>
    <xf numFmtId="0" fontId="23" fillId="0" borderId="0" xfId="0" applyFont="1" applyAlignment="1">
      <alignment horizontal="left" vertical="center" indent="10"/>
    </xf>
    <xf numFmtId="0" fontId="23" fillId="0" borderId="0" xfId="0" applyFont="1" applyAlignment="1">
      <alignment horizontal="center" vertical="center"/>
    </xf>
    <xf numFmtId="0" fontId="37" fillId="0" borderId="0" xfId="0" applyFont="1" applyAlignment="1">
      <alignment horizontal="left" vertical="center" indent="10"/>
    </xf>
    <xf numFmtId="0" fontId="37" fillId="0" borderId="0" xfId="0" applyFont="1" applyAlignment="1">
      <alignment horizontal="center" vertical="center"/>
    </xf>
    <xf numFmtId="0" fontId="24" fillId="0" borderId="32" xfId="35" applyFont="1" applyBorder="1" applyAlignment="1">
      <alignment vertical="top"/>
    </xf>
    <xf numFmtId="0" fontId="24" fillId="0" borderId="0" xfId="35" applyFont="1" applyAlignment="1">
      <alignment vertical="top"/>
    </xf>
    <xf numFmtId="0" fontId="24" fillId="0" borderId="12" xfId="35" applyFont="1" applyBorder="1" applyAlignment="1">
      <alignment vertical="top"/>
    </xf>
    <xf numFmtId="0" fontId="0" fillId="0" borderId="45" xfId="33" applyFont="1" applyBorder="1" applyAlignment="1">
      <alignment vertical="top"/>
    </xf>
    <xf numFmtId="0" fontId="0" fillId="0" borderId="29" xfId="33" applyFont="1" applyBorder="1" applyAlignment="1">
      <alignment vertical="top" wrapText="1"/>
    </xf>
    <xf numFmtId="0" fontId="22" fillId="0" borderId="29" xfId="0" applyFont="1" applyBorder="1" applyAlignment="1">
      <alignment vertical="center" wrapText="1"/>
    </xf>
    <xf numFmtId="0" fontId="47" fillId="0" borderId="0" xfId="0" applyFont="1"/>
    <xf numFmtId="1" fontId="44" fillId="0" borderId="0" xfId="0" applyNumberFormat="1" applyFont="1" applyAlignment="1">
      <alignment horizontal="left" textRotation="90" wrapText="1"/>
    </xf>
    <xf numFmtId="0" fontId="0" fillId="6" borderId="46" xfId="0" applyFill="1" applyBorder="1" applyAlignment="1" applyProtection="1">
      <alignment horizontal="center" textRotation="90" wrapText="1"/>
      <protection locked="0"/>
    </xf>
    <xf numFmtId="0" fontId="0" fillId="6" borderId="47" xfId="0" applyFill="1" applyBorder="1" applyAlignment="1" applyProtection="1">
      <alignment horizontal="center" textRotation="90" wrapText="1"/>
      <protection locked="0"/>
    </xf>
    <xf numFmtId="0" fontId="0" fillId="0" borderId="36" xfId="0" applyBorder="1" applyAlignment="1">
      <alignment horizontal="center" textRotation="90" wrapText="1"/>
    </xf>
    <xf numFmtId="0" fontId="0" fillId="0" borderId="46" xfId="0" applyBorder="1" applyAlignment="1">
      <alignment horizontal="center" textRotation="90" wrapText="1"/>
    </xf>
    <xf numFmtId="0" fontId="0" fillId="0" borderId="47" xfId="0" applyBorder="1" applyAlignment="1">
      <alignment horizontal="center" textRotation="90" wrapText="1"/>
    </xf>
    <xf numFmtId="0" fontId="24" fillId="0" borderId="48" xfId="0" applyFont="1" applyBorder="1" applyAlignment="1">
      <alignment horizontal="center" vertical="center" wrapText="1"/>
    </xf>
    <xf numFmtId="0" fontId="24" fillId="0" borderId="49" xfId="0" applyFont="1" applyBorder="1" applyAlignment="1">
      <alignment horizontal="center" vertical="center" wrapText="1"/>
    </xf>
    <xf numFmtId="0" fontId="24" fillId="0" borderId="50" xfId="0" applyFont="1" applyBorder="1" applyAlignment="1">
      <alignment horizontal="center" vertical="center" wrapText="1"/>
    </xf>
    <xf numFmtId="0" fontId="24" fillId="0" borderId="46" xfId="0" applyFont="1" applyBorder="1" applyAlignment="1">
      <alignment horizontal="center" vertical="center" wrapText="1"/>
    </xf>
    <xf numFmtId="0" fontId="24" fillId="0" borderId="47" xfId="0" applyFont="1" applyBorder="1" applyAlignment="1">
      <alignment horizontal="center" vertical="center" wrapText="1"/>
    </xf>
    <xf numFmtId="0" fontId="0" fillId="0" borderId="39" xfId="0" applyBorder="1" applyAlignment="1">
      <alignment horizontal="left" vertical="center" wrapText="1"/>
    </xf>
    <xf numFmtId="0" fontId="0" fillId="0" borderId="39" xfId="0" applyBorder="1" applyAlignment="1">
      <alignment horizontal="center" vertical="center" wrapText="1"/>
    </xf>
    <xf numFmtId="0" fontId="47" fillId="0" borderId="0" xfId="0" applyFont="1" applyAlignment="1">
      <alignment horizontal="center"/>
    </xf>
    <xf numFmtId="0" fontId="21" fillId="0" borderId="35" xfId="48" applyNumberFormat="1" applyFont="1" applyFill="1" applyBorder="1" applyAlignment="1" applyProtection="1">
      <alignment horizontal="center" vertical="center" wrapText="1" shrinkToFit="1"/>
    </xf>
    <xf numFmtId="0" fontId="21" fillId="0" borderId="41" xfId="48" applyNumberFormat="1" applyFont="1" applyFill="1" applyBorder="1" applyAlignment="1" applyProtection="1">
      <alignment vertical="center" wrapText="1" shrinkToFit="1"/>
    </xf>
    <xf numFmtId="171" fontId="0" fillId="6" borderId="38" xfId="48" applyFont="1" applyFill="1" applyBorder="1" applyAlignment="1" applyProtection="1">
      <alignment vertical="center" shrinkToFit="1"/>
      <protection locked="0"/>
    </xf>
    <xf numFmtId="171" fontId="0" fillId="6" borderId="39" xfId="48" applyFont="1" applyFill="1" applyBorder="1" applyAlignment="1" applyProtection="1">
      <alignment vertical="center" shrinkToFit="1"/>
      <protection locked="0"/>
    </xf>
    <xf numFmtId="171" fontId="0" fillId="6" borderId="40" xfId="48" applyFont="1" applyFill="1" applyBorder="1" applyAlignment="1" applyProtection="1">
      <alignment vertical="center" shrinkToFit="1"/>
      <protection locked="0"/>
    </xf>
    <xf numFmtId="1" fontId="0" fillId="0" borderId="51" xfId="48" applyNumberFormat="1" applyFont="1" applyFill="1" applyBorder="1" applyAlignment="1" applyProtection="1">
      <alignment horizontal="center" vertical="center" shrinkToFit="1"/>
    </xf>
    <xf numFmtId="1" fontId="0" fillId="0" borderId="52" xfId="48" applyNumberFormat="1" applyFont="1" applyFill="1" applyBorder="1" applyAlignment="1" applyProtection="1">
      <alignment horizontal="center" vertical="center" shrinkToFit="1"/>
    </xf>
    <xf numFmtId="0" fontId="24" fillId="17" borderId="31" xfId="0" applyFont="1" applyFill="1" applyBorder="1" applyAlignment="1">
      <alignment horizontal="right" vertical="center"/>
    </xf>
    <xf numFmtId="4" fontId="24" fillId="17" borderId="53" xfId="0" applyNumberFormat="1" applyFont="1" applyFill="1" applyBorder="1" applyAlignment="1">
      <alignment horizontal="right" vertical="center" shrinkToFit="1"/>
    </xf>
    <xf numFmtId="4" fontId="24" fillId="17" borderId="54" xfId="0" applyNumberFormat="1" applyFont="1" applyFill="1" applyBorder="1" applyAlignment="1">
      <alignment horizontal="right" vertical="center" shrinkToFit="1"/>
    </xf>
    <xf numFmtId="4" fontId="24" fillId="17" borderId="55" xfId="0" applyNumberFormat="1" applyFont="1" applyFill="1" applyBorder="1" applyAlignment="1">
      <alignment horizontal="right" vertical="center" shrinkToFit="1"/>
    </xf>
    <xf numFmtId="4" fontId="24" fillId="17" borderId="36" xfId="0" applyNumberFormat="1" applyFont="1" applyFill="1" applyBorder="1" applyAlignment="1">
      <alignment horizontal="right" vertical="center" shrinkToFit="1"/>
    </xf>
    <xf numFmtId="0" fontId="24" fillId="17" borderId="36" xfId="0" applyFont="1" applyFill="1" applyBorder="1" applyAlignment="1">
      <alignment horizontal="right" vertical="center" shrinkToFit="1"/>
    </xf>
    <xf numFmtId="167" fontId="0" fillId="0" borderId="29" xfId="0" applyNumberFormat="1" applyBorder="1"/>
    <xf numFmtId="0" fontId="0" fillId="0" borderId="29" xfId="0" applyBorder="1"/>
    <xf numFmtId="0" fontId="0" fillId="0" borderId="0" xfId="33" applyFont="1" applyAlignment="1">
      <alignment vertical="center"/>
    </xf>
    <xf numFmtId="0" fontId="46" fillId="0" borderId="31" xfId="0" applyFont="1" applyBorder="1" applyAlignment="1">
      <alignment horizontal="center" vertical="center"/>
    </xf>
    <xf numFmtId="171" fontId="56" fillId="0" borderId="31" xfId="48" applyFill="1" applyBorder="1" applyAlignment="1" applyProtection="1"/>
    <xf numFmtId="0" fontId="0" fillId="18" borderId="44" xfId="0" applyFill="1" applyBorder="1"/>
    <xf numFmtId="0" fontId="46" fillId="0" borderId="0" xfId="34" applyFont="1" applyAlignment="1">
      <alignment horizontal="center"/>
    </xf>
    <xf numFmtId="0" fontId="46" fillId="0" borderId="0" xfId="34" applyFont="1"/>
    <xf numFmtId="165" fontId="0" fillId="0" borderId="0" xfId="49" applyFont="1" applyFill="1" applyBorder="1" applyAlignment="1" applyProtection="1">
      <alignment horizontal="center"/>
    </xf>
    <xf numFmtId="10" fontId="47" fillId="0" borderId="56" xfId="38" applyNumberFormat="1" applyFont="1" applyFill="1" applyBorder="1" applyAlignment="1" applyProtection="1">
      <alignment horizontal="center"/>
    </xf>
    <xf numFmtId="10" fontId="46" fillId="0" borderId="33" xfId="34" applyNumberFormat="1" applyFont="1" applyBorder="1" applyAlignment="1">
      <alignment horizontal="center"/>
    </xf>
    <xf numFmtId="172" fontId="46" fillId="0" borderId="57" xfId="34" applyNumberFormat="1" applyFont="1" applyBorder="1" applyAlignment="1">
      <alignment horizontal="left"/>
    </xf>
    <xf numFmtId="10" fontId="46" fillId="0" borderId="58" xfId="34" applyNumberFormat="1" applyFont="1" applyBorder="1" applyAlignment="1">
      <alignment horizontal="left"/>
    </xf>
    <xf numFmtId="1" fontId="46" fillId="0" borderId="58" xfId="34" applyNumberFormat="1" applyFont="1" applyBorder="1" applyAlignment="1">
      <alignment horizontal="center"/>
    </xf>
    <xf numFmtId="0" fontId="46" fillId="0" borderId="58" xfId="34" applyFont="1" applyBorder="1" applyAlignment="1">
      <alignment horizontal="center"/>
    </xf>
    <xf numFmtId="173" fontId="56" fillId="0" borderId="59" xfId="48" applyNumberFormat="1" applyFill="1" applyBorder="1" applyAlignment="1" applyProtection="1">
      <alignment horizontal="right" shrinkToFit="1"/>
    </xf>
    <xf numFmtId="173" fontId="0" fillId="0" borderId="33" xfId="48" applyNumberFormat="1" applyFont="1" applyFill="1" applyBorder="1" applyAlignment="1" applyProtection="1">
      <alignment horizontal="center" vertical="center"/>
    </xf>
    <xf numFmtId="0" fontId="46" fillId="0" borderId="30" xfId="34" applyFont="1" applyBorder="1" applyAlignment="1">
      <alignment horizontal="center"/>
    </xf>
    <xf numFmtId="0" fontId="46" fillId="0" borderId="60" xfId="34" applyFont="1" applyBorder="1"/>
    <xf numFmtId="0" fontId="32" fillId="0" borderId="60" xfId="34" applyFont="1" applyBorder="1"/>
    <xf numFmtId="0" fontId="46" fillId="0" borderId="60" xfId="34" applyFont="1" applyBorder="1" applyAlignment="1">
      <alignment horizontal="center"/>
    </xf>
    <xf numFmtId="165" fontId="0" fillId="0" borderId="60" xfId="49" applyFont="1" applyFill="1" applyBorder="1" applyAlignment="1" applyProtection="1">
      <alignment horizontal="right" shrinkToFit="1"/>
    </xf>
    <xf numFmtId="173" fontId="0" fillId="0" borderId="30" xfId="48" applyNumberFormat="1" applyFont="1" applyFill="1" applyBorder="1" applyAlignment="1" applyProtection="1">
      <alignment horizontal="center" vertical="center"/>
    </xf>
    <xf numFmtId="165" fontId="48" fillId="0" borderId="61" xfId="49" applyFont="1" applyFill="1" applyBorder="1" applyAlignment="1" applyProtection="1">
      <alignment horizontal="center"/>
    </xf>
    <xf numFmtId="0" fontId="46" fillId="0" borderId="13" xfId="34" applyFont="1" applyBorder="1" applyAlignment="1">
      <alignment horizontal="center"/>
    </xf>
    <xf numFmtId="165" fontId="48" fillId="0" borderId="0" xfId="49" applyFont="1" applyFill="1" applyBorder="1" applyAlignment="1" applyProtection="1">
      <alignment horizontal="center"/>
    </xf>
    <xf numFmtId="165" fontId="0" fillId="0" borderId="13" xfId="49" applyFont="1" applyFill="1" applyBorder="1" applyAlignment="1" applyProtection="1">
      <alignment horizontal="center"/>
    </xf>
    <xf numFmtId="165" fontId="23" fillId="0" borderId="0" xfId="49" applyFont="1" applyFill="1" applyBorder="1" applyAlignment="1" applyProtection="1">
      <alignment horizontal="left"/>
    </xf>
    <xf numFmtId="0" fontId="39" fillId="0" borderId="0" xfId="0" applyFont="1" applyAlignment="1">
      <alignment horizontal="center" textRotation="90"/>
    </xf>
    <xf numFmtId="0" fontId="49" fillId="0" borderId="32" xfId="34" applyFont="1" applyBorder="1"/>
    <xf numFmtId="0" fontId="46" fillId="0" borderId="12" xfId="34" applyFont="1" applyBorder="1"/>
    <xf numFmtId="0" fontId="24" fillId="0" borderId="32" xfId="49" applyNumberFormat="1" applyFont="1" applyFill="1" applyBorder="1" applyAlignment="1" applyProtection="1">
      <alignment horizontal="left"/>
    </xf>
    <xf numFmtId="165" fontId="24" fillId="0" borderId="32" xfId="49" applyFont="1" applyFill="1" applyBorder="1" applyAlignment="1" applyProtection="1">
      <alignment horizontal="left"/>
    </xf>
    <xf numFmtId="165" fontId="0" fillId="0" borderId="12" xfId="49" applyFont="1" applyFill="1" applyBorder="1" applyAlignment="1" applyProtection="1">
      <alignment horizontal="center"/>
    </xf>
    <xf numFmtId="0" fontId="49" fillId="0" borderId="30" xfId="34" applyFont="1" applyBorder="1" applyAlignment="1">
      <alignment horizontal="center"/>
    </xf>
    <xf numFmtId="0" fontId="46" fillId="0" borderId="45" xfId="34" applyFont="1" applyBorder="1"/>
    <xf numFmtId="0" fontId="46" fillId="16" borderId="31" xfId="34" applyFont="1" applyFill="1" applyBorder="1" applyAlignment="1" applyProtection="1">
      <alignment horizontal="center"/>
      <protection locked="0"/>
    </xf>
    <xf numFmtId="0" fontId="46" fillId="0" borderId="29" xfId="34" applyFont="1" applyBorder="1"/>
    <xf numFmtId="0" fontId="49" fillId="0" borderId="48" xfId="34" applyFont="1" applyBorder="1" applyAlignment="1">
      <alignment horizontal="center"/>
    </xf>
    <xf numFmtId="0" fontId="49" fillId="0" borderId="10" xfId="34" applyFont="1" applyBorder="1" applyAlignment="1">
      <alignment horizontal="left" vertical="center" wrapText="1"/>
    </xf>
    <xf numFmtId="0" fontId="46" fillId="0" borderId="10" xfId="34" applyFont="1" applyBorder="1" applyAlignment="1">
      <alignment horizontal="center" vertical="center"/>
    </xf>
    <xf numFmtId="0" fontId="49" fillId="0" borderId="49" xfId="34" applyFont="1" applyBorder="1" applyAlignment="1" applyProtection="1">
      <alignment horizontal="center"/>
      <protection locked="0"/>
    </xf>
    <xf numFmtId="0" fontId="46" fillId="0" borderId="0" xfId="34" applyFont="1" applyAlignment="1">
      <alignment horizontal="center" wrapText="1"/>
    </xf>
    <xf numFmtId="174" fontId="49" fillId="0" borderId="53" xfId="34" applyNumberFormat="1" applyFont="1" applyBorder="1" applyAlignment="1">
      <alignment horizontal="center"/>
    </xf>
    <xf numFmtId="0" fontId="49" fillId="0" borderId="29" xfId="34" applyFont="1" applyBorder="1" applyAlignment="1">
      <alignment horizontal="left" vertical="center" wrapText="1"/>
    </xf>
    <xf numFmtId="0" fontId="46" fillId="0" borderId="29" xfId="34" applyFont="1" applyBorder="1" applyAlignment="1">
      <alignment horizontal="center" vertical="center"/>
    </xf>
    <xf numFmtId="0" fontId="46" fillId="0" borderId="29" xfId="34" applyFont="1" applyBorder="1" applyAlignment="1">
      <alignment horizontal="center" vertical="center" wrapText="1"/>
    </xf>
    <xf numFmtId="174" fontId="49" fillId="0" borderId="54" xfId="34" applyNumberFormat="1" applyFont="1" applyBorder="1" applyAlignment="1" applyProtection="1">
      <alignment horizontal="center"/>
      <protection locked="0"/>
    </xf>
    <xf numFmtId="0" fontId="46" fillId="8" borderId="33" xfId="34" applyFont="1" applyFill="1" applyBorder="1"/>
    <xf numFmtId="165" fontId="24" fillId="0" borderId="0" xfId="49" applyFont="1" applyFill="1" applyBorder="1" applyAlignment="1" applyProtection="1">
      <alignment horizontal="center" shrinkToFit="1"/>
    </xf>
    <xf numFmtId="165" fontId="0" fillId="8" borderId="62" xfId="49" applyFont="1" applyFill="1" applyBorder="1" applyAlignment="1" applyProtection="1">
      <alignment horizontal="center"/>
    </xf>
    <xf numFmtId="165" fontId="0" fillId="8" borderId="63" xfId="49" applyFont="1" applyFill="1" applyBorder="1" applyAlignment="1" applyProtection="1">
      <alignment horizontal="right"/>
    </xf>
    <xf numFmtId="171" fontId="56" fillId="0" borderId="39" xfId="48" applyFill="1" applyBorder="1" applyAlignment="1" applyProtection="1">
      <alignment shrinkToFit="1"/>
    </xf>
    <xf numFmtId="0" fontId="46" fillId="8" borderId="30" xfId="34" applyFont="1" applyFill="1" applyBorder="1"/>
    <xf numFmtId="165" fontId="0" fillId="0" borderId="37" xfId="49" applyFont="1" applyFill="1" applyBorder="1" applyAlignment="1" applyProtection="1">
      <alignment horizontal="center"/>
    </xf>
    <xf numFmtId="165" fontId="0" fillId="0" borderId="65" xfId="49" applyFont="1" applyFill="1" applyBorder="1" applyAlignment="1" applyProtection="1">
      <alignment horizontal="right"/>
    </xf>
    <xf numFmtId="0" fontId="49" fillId="0" borderId="0" xfId="34" applyFont="1" applyAlignment="1">
      <alignment horizontal="left"/>
    </xf>
    <xf numFmtId="0" fontId="46" fillId="8" borderId="30" xfId="34" applyFont="1" applyFill="1" applyBorder="1" applyAlignment="1">
      <alignment horizontal="center"/>
    </xf>
    <xf numFmtId="165" fontId="0" fillId="8" borderId="37" xfId="49" applyFont="1" applyFill="1" applyBorder="1" applyAlignment="1" applyProtection="1">
      <alignment horizontal="center"/>
    </xf>
    <xf numFmtId="165" fontId="0" fillId="8" borderId="65" xfId="49" applyFont="1" applyFill="1" applyBorder="1" applyAlignment="1" applyProtection="1">
      <alignment horizontal="right"/>
    </xf>
    <xf numFmtId="171" fontId="56" fillId="0" borderId="42" xfId="48" applyFill="1" applyBorder="1" applyAlignment="1" applyProtection="1">
      <alignment shrinkToFit="1"/>
    </xf>
    <xf numFmtId="165" fontId="0" fillId="0" borderId="57" xfId="49" applyFont="1" applyFill="1" applyBorder="1" applyAlignment="1" applyProtection="1">
      <alignment horizontal="center"/>
    </xf>
    <xf numFmtId="165" fontId="0" fillId="0" borderId="59" xfId="49" applyFont="1" applyFill="1" applyBorder="1" applyAlignment="1" applyProtection="1">
      <alignment horizontal="right"/>
    </xf>
    <xf numFmtId="0" fontId="46" fillId="8" borderId="13" xfId="34" applyFont="1" applyFill="1" applyBorder="1"/>
    <xf numFmtId="165" fontId="24" fillId="8" borderId="68" xfId="49" applyFont="1" applyFill="1" applyBorder="1" applyAlignment="1" applyProtection="1">
      <alignment horizontal="center"/>
    </xf>
    <xf numFmtId="165" fontId="24" fillId="8" borderId="69" xfId="49" applyFont="1" applyFill="1" applyBorder="1" applyAlignment="1" applyProtection="1">
      <alignment horizontal="right"/>
    </xf>
    <xf numFmtId="0" fontId="46" fillId="0" borderId="29" xfId="34" applyFont="1" applyBorder="1" applyAlignment="1">
      <alignment horizontal="center"/>
    </xf>
    <xf numFmtId="165" fontId="0" fillId="0" borderId="29" xfId="49" applyFont="1" applyFill="1" applyBorder="1" applyAlignment="1" applyProtection="1">
      <alignment horizontal="center"/>
    </xf>
    <xf numFmtId="0" fontId="0" fillId="0" borderId="39" xfId="0" applyBorder="1" applyAlignment="1">
      <alignment horizontal="center"/>
    </xf>
    <xf numFmtId="1" fontId="0" fillId="6" borderId="39" xfId="0" applyNumberFormat="1" applyFill="1" applyBorder="1" applyAlignment="1" applyProtection="1">
      <alignment horizontal="center"/>
      <protection locked="0"/>
    </xf>
    <xf numFmtId="0" fontId="20" fillId="0" borderId="0" xfId="0" applyFont="1"/>
    <xf numFmtId="0" fontId="0" fillId="0" borderId="0" xfId="0" applyAlignment="1">
      <alignment textRotation="90"/>
    </xf>
    <xf numFmtId="4" fontId="0" fillId="0" borderId="0" xfId="0" applyNumberFormat="1"/>
    <xf numFmtId="175" fontId="51" fillId="8" borderId="1" xfId="0" applyNumberFormat="1" applyFont="1" applyFill="1" applyBorder="1" applyAlignment="1">
      <alignment horizontal="center" textRotation="90" wrapText="1"/>
    </xf>
    <xf numFmtId="0" fontId="24" fillId="8" borderId="1" xfId="0" applyFont="1" applyFill="1" applyBorder="1" applyAlignment="1">
      <alignment horizontal="center"/>
    </xf>
    <xf numFmtId="0" fontId="24" fillId="8" borderId="72" xfId="0" applyFont="1" applyFill="1" applyBorder="1"/>
    <xf numFmtId="0" fontId="24" fillId="8" borderId="73" xfId="0" applyFont="1" applyFill="1" applyBorder="1"/>
    <xf numFmtId="0" fontId="24" fillId="8" borderId="74" xfId="0" applyFont="1" applyFill="1" applyBorder="1"/>
    <xf numFmtId="0" fontId="0" fillId="18" borderId="39" xfId="0" applyFill="1" applyBorder="1" applyAlignment="1">
      <alignment horizontal="center"/>
    </xf>
    <xf numFmtId="0" fontId="0" fillId="18" borderId="39" xfId="0" applyFill="1" applyBorder="1"/>
    <xf numFmtId="0" fontId="0" fillId="8" borderId="75" xfId="0" applyFill="1" applyBorder="1"/>
    <xf numFmtId="0" fontId="0" fillId="8" borderId="76" xfId="0" applyFill="1" applyBorder="1"/>
    <xf numFmtId="0" fontId="0" fillId="8" borderId="77" xfId="0" applyFill="1" applyBorder="1"/>
    <xf numFmtId="0" fontId="46" fillId="19" borderId="31" xfId="34" applyFont="1" applyFill="1" applyBorder="1" applyAlignment="1">
      <alignment horizontal="center"/>
    </xf>
    <xf numFmtId="0" fontId="49" fillId="0" borderId="12" xfId="34" applyFont="1" applyBorder="1"/>
    <xf numFmtId="0" fontId="46" fillId="0" borderId="12" xfId="34" applyFont="1" applyBorder="1" applyAlignment="1">
      <alignment horizontal="center"/>
    </xf>
    <xf numFmtId="0" fontId="0" fillId="0" borderId="32" xfId="0" applyBorder="1"/>
    <xf numFmtId="0" fontId="52" fillId="0" borderId="0" xfId="0" applyFont="1"/>
    <xf numFmtId="0" fontId="24" fillId="0" borderId="0" xfId="0" applyFont="1" applyAlignment="1">
      <alignment horizontal="right"/>
    </xf>
    <xf numFmtId="0" fontId="23" fillId="0" borderId="32" xfId="0" applyFont="1" applyBorder="1"/>
    <xf numFmtId="0" fontId="24" fillId="8" borderId="31" xfId="0" applyFont="1" applyFill="1" applyBorder="1" applyAlignment="1">
      <alignment horizontal="center"/>
    </xf>
    <xf numFmtId="0" fontId="24" fillId="0" borderId="33" xfId="0" applyFont="1" applyBorder="1" applyAlignment="1">
      <alignment horizontal="center"/>
    </xf>
    <xf numFmtId="0" fontId="0" fillId="0" borderId="0" xfId="33" applyFont="1" applyAlignment="1">
      <alignment horizontal="left" vertical="top"/>
    </xf>
    <xf numFmtId="0" fontId="23" fillId="0" borderId="0" xfId="0" applyFont="1" applyAlignment="1">
      <alignment horizontal="left" vertical="center" indent="2"/>
    </xf>
    <xf numFmtId="10" fontId="0" fillId="0" borderId="31" xfId="0" applyNumberFormat="1" applyBorder="1" applyAlignment="1">
      <alignment horizontal="center" vertical="center" wrapText="1"/>
    </xf>
    <xf numFmtId="0" fontId="24" fillId="0" borderId="30" xfId="0" applyFont="1" applyBorder="1"/>
    <xf numFmtId="0" fontId="0" fillId="0" borderId="13" xfId="0" applyBorder="1"/>
    <xf numFmtId="4" fontId="0" fillId="0" borderId="13" xfId="33" applyNumberFormat="1" applyFont="1" applyBorder="1" applyAlignment="1">
      <alignment vertical="top" wrapText="1"/>
    </xf>
    <xf numFmtId="0" fontId="0" fillId="0" borderId="0" xfId="33" applyFont="1" applyAlignment="1">
      <alignment vertical="top" wrapText="1"/>
    </xf>
    <xf numFmtId="0" fontId="21" fillId="0" borderId="33" xfId="0" applyFont="1" applyBorder="1" applyAlignment="1">
      <alignment horizontal="center"/>
    </xf>
    <xf numFmtId="178" fontId="0" fillId="0" borderId="45" xfId="0" applyNumberFormat="1" applyBorder="1" applyAlignment="1">
      <alignment horizontal="center" vertical="center"/>
    </xf>
    <xf numFmtId="178" fontId="0" fillId="0" borderId="13" xfId="0" applyNumberFormat="1" applyBorder="1" applyAlignment="1">
      <alignment horizontal="center" vertical="center"/>
    </xf>
    <xf numFmtId="179" fontId="24" fillId="0" borderId="38" xfId="0" applyNumberFormat="1" applyFont="1" applyBorder="1" applyAlignment="1">
      <alignment horizontal="center" vertical="center"/>
    </xf>
    <xf numFmtId="0" fontId="0" fillId="0" borderId="39" xfId="0" applyBorder="1" applyAlignment="1">
      <alignment horizontal="center" vertical="center"/>
    </xf>
    <xf numFmtId="178" fontId="0" fillId="0" borderId="37" xfId="0" applyNumberFormat="1" applyBorder="1" applyAlignment="1">
      <alignment horizontal="center" vertical="center"/>
    </xf>
    <xf numFmtId="178" fontId="0" fillId="0" borderId="75" xfId="0" applyNumberFormat="1" applyBorder="1" applyAlignment="1">
      <alignment horizontal="center" vertical="center"/>
    </xf>
    <xf numFmtId="178" fontId="0" fillId="0" borderId="65" xfId="0" applyNumberFormat="1" applyBorder="1" applyAlignment="1">
      <alignment horizontal="center" vertical="center"/>
    </xf>
    <xf numFmtId="178" fontId="0" fillId="0" borderId="41" xfId="0" applyNumberFormat="1" applyBorder="1" applyAlignment="1">
      <alignment horizontal="center" vertical="center"/>
    </xf>
    <xf numFmtId="178" fontId="0" fillId="6" borderId="66" xfId="0" applyNumberFormat="1" applyFill="1" applyBorder="1" applyAlignment="1" applyProtection="1">
      <alignment horizontal="center" vertical="center"/>
      <protection locked="0"/>
    </xf>
    <xf numFmtId="178" fontId="0" fillId="6" borderId="43" xfId="0" applyNumberFormat="1" applyFill="1" applyBorder="1" applyAlignment="1" applyProtection="1">
      <alignment horizontal="center" vertical="center"/>
      <protection locked="0"/>
    </xf>
    <xf numFmtId="4" fontId="0" fillId="0" borderId="0" xfId="31" applyNumberFormat="1" applyFont="1" applyFill="1" applyBorder="1" applyAlignment="1" applyProtection="1">
      <alignment vertical="center" wrapText="1"/>
    </xf>
    <xf numFmtId="0" fontId="24" fillId="0" borderId="0" xfId="0" applyFont="1" applyAlignment="1">
      <alignment wrapText="1"/>
    </xf>
    <xf numFmtId="0" fontId="24" fillId="0" borderId="44"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11" xfId="0" applyFont="1" applyBorder="1" applyAlignment="1">
      <alignment horizontal="center" vertical="center" wrapText="1"/>
    </xf>
    <xf numFmtId="0" fontId="0" fillId="8" borderId="78" xfId="0" applyFill="1" applyBorder="1"/>
    <xf numFmtId="0" fontId="0" fillId="8" borderId="10" xfId="0" applyFill="1" applyBorder="1"/>
    <xf numFmtId="178" fontId="17" fillId="8" borderId="78" xfId="0" applyNumberFormat="1" applyFont="1" applyFill="1" applyBorder="1" applyAlignment="1">
      <alignment horizontal="center" vertical="center"/>
    </xf>
    <xf numFmtId="178" fontId="17" fillId="8" borderId="10" xfId="0" applyNumberFormat="1" applyFont="1" applyFill="1" applyBorder="1" applyAlignment="1">
      <alignment horizontal="center" vertical="center"/>
    </xf>
    <xf numFmtId="178" fontId="17" fillId="8" borderId="11" xfId="0" applyNumberFormat="1" applyFont="1" applyFill="1" applyBorder="1" applyAlignment="1">
      <alignment horizontal="center" vertical="center"/>
    </xf>
    <xf numFmtId="178" fontId="17" fillId="8" borderId="33" xfId="0" applyNumberFormat="1" applyFont="1" applyFill="1" applyBorder="1" applyAlignment="1">
      <alignment horizontal="center" vertical="center"/>
    </xf>
    <xf numFmtId="0" fontId="0" fillId="18" borderId="33" xfId="0" applyFill="1" applyBorder="1"/>
    <xf numFmtId="0" fontId="0" fillId="18" borderId="33" xfId="0" applyFill="1" applyBorder="1" applyAlignment="1">
      <alignment horizontal="center"/>
    </xf>
    <xf numFmtId="0" fontId="0" fillId="18" borderId="78" xfId="0" applyFill="1" applyBorder="1"/>
    <xf numFmtId="0" fontId="0" fillId="18" borderId="10" xfId="0" applyFill="1" applyBorder="1" applyAlignment="1">
      <alignment horizontal="center"/>
    </xf>
    <xf numFmtId="0" fontId="0" fillId="18" borderId="10" xfId="0" applyFill="1" applyBorder="1"/>
    <xf numFmtId="0" fontId="0" fillId="18" borderId="11" xfId="0" applyFill="1" applyBorder="1"/>
    <xf numFmtId="0" fontId="0" fillId="8" borderId="45" xfId="0" applyFill="1" applyBorder="1"/>
    <xf numFmtId="0" fontId="0" fillId="8" borderId="29" xfId="0" applyFill="1" applyBorder="1"/>
    <xf numFmtId="181" fontId="8" fillId="8" borderId="45" xfId="0" applyNumberFormat="1" applyFont="1" applyFill="1" applyBorder="1" applyAlignment="1">
      <alignment horizontal="center"/>
    </xf>
    <xf numFmtId="181" fontId="8" fillId="8" borderId="29" xfId="0" applyNumberFormat="1" applyFont="1" applyFill="1" applyBorder="1" applyAlignment="1">
      <alignment horizontal="center"/>
    </xf>
    <xf numFmtId="181" fontId="8" fillId="8" borderId="28" xfId="0" applyNumberFormat="1" applyFont="1" applyFill="1" applyBorder="1" applyAlignment="1">
      <alignment horizontal="center"/>
    </xf>
    <xf numFmtId="181" fontId="8" fillId="8" borderId="13" xfId="0" applyNumberFormat="1" applyFont="1" applyFill="1" applyBorder="1" applyAlignment="1">
      <alignment horizontal="center"/>
    </xf>
    <xf numFmtId="0" fontId="0" fillId="18" borderId="13" xfId="0" applyFill="1" applyBorder="1"/>
    <xf numFmtId="0" fontId="0" fillId="18" borderId="13" xfId="0" applyFill="1" applyBorder="1" applyAlignment="1">
      <alignment horizontal="center"/>
    </xf>
    <xf numFmtId="0" fontId="0" fillId="18" borderId="45" xfId="0" applyFill="1" applyBorder="1"/>
    <xf numFmtId="0" fontId="0" fillId="18" borderId="29" xfId="0" applyFill="1" applyBorder="1" applyAlignment="1">
      <alignment horizontal="center"/>
    </xf>
    <xf numFmtId="0" fontId="0" fillId="18" borderId="29" xfId="0" applyFill="1" applyBorder="1"/>
    <xf numFmtId="0" fontId="0" fillId="18" borderId="28" xfId="0" applyFill="1" applyBorder="1"/>
    <xf numFmtId="0" fontId="23" fillId="0" borderId="0" xfId="0" applyFont="1" applyAlignment="1">
      <alignment horizontal="left" vertical="center" indent="12"/>
    </xf>
    <xf numFmtId="0" fontId="0" fillId="0" borderId="0" xfId="0" applyAlignment="1">
      <alignment horizontal="center" vertical="top"/>
    </xf>
    <xf numFmtId="0" fontId="0" fillId="0" borderId="78" xfId="0" applyBorder="1"/>
    <xf numFmtId="0" fontId="37" fillId="0" borderId="0" xfId="0" applyFont="1" applyAlignment="1">
      <alignment horizontal="left" vertical="center" indent="12"/>
    </xf>
    <xf numFmtId="0" fontId="0" fillId="0" borderId="45" xfId="33" applyFont="1" applyBorder="1" applyAlignment="1">
      <alignment vertical="top" wrapText="1"/>
    </xf>
    <xf numFmtId="182" fontId="0" fillId="0" borderId="28" xfId="33" applyNumberFormat="1" applyFont="1" applyBorder="1" applyAlignment="1">
      <alignment horizontal="left" vertical="top" wrapText="1"/>
    </xf>
    <xf numFmtId="0" fontId="0" fillId="0" borderId="33" xfId="0" applyBorder="1"/>
    <xf numFmtId="0" fontId="0" fillId="0" borderId="30" xfId="0" applyBorder="1"/>
    <xf numFmtId="49" fontId="0" fillId="0" borderId="13" xfId="33" applyNumberFormat="1" applyFont="1" applyBorder="1" applyAlignment="1">
      <alignment vertical="top" wrapText="1"/>
    </xf>
    <xf numFmtId="0" fontId="23" fillId="0" borderId="45" xfId="0" applyFont="1" applyBorder="1"/>
    <xf numFmtId="14" fontId="24" fillId="6" borderId="36" xfId="0" applyNumberFormat="1" applyFont="1" applyFill="1" applyBorder="1" applyAlignment="1" applyProtection="1">
      <alignment horizontal="center" vertical="center" wrapText="1"/>
      <protection locked="0"/>
    </xf>
    <xf numFmtId="14" fontId="24" fillId="6" borderId="46" xfId="0" applyNumberFormat="1" applyFont="1" applyFill="1" applyBorder="1" applyAlignment="1" applyProtection="1">
      <alignment horizontal="center" vertical="center" wrapText="1"/>
      <protection locked="0"/>
    </xf>
    <xf numFmtId="14" fontId="24" fillId="6" borderId="47" xfId="0" applyNumberFormat="1" applyFont="1" applyFill="1" applyBorder="1" applyAlignment="1" applyProtection="1">
      <alignment horizontal="center" vertical="center" wrapText="1"/>
      <protection locked="0"/>
    </xf>
    <xf numFmtId="0" fontId="24" fillId="0" borderId="33" xfId="0" applyFont="1" applyBorder="1" applyAlignment="1">
      <alignment horizontal="center" vertical="center"/>
    </xf>
    <xf numFmtId="183" fontId="24" fillId="8" borderId="33" xfId="0" applyNumberFormat="1" applyFont="1" applyFill="1" applyBorder="1" applyAlignment="1">
      <alignment horizontal="center" vertical="center" wrapText="1"/>
    </xf>
    <xf numFmtId="171" fontId="0" fillId="0" borderId="37" xfId="48" applyFont="1" applyFill="1" applyBorder="1" applyAlignment="1" applyProtection="1">
      <alignment vertical="center" shrinkToFit="1"/>
    </xf>
    <xf numFmtId="171" fontId="0" fillId="0" borderId="65" xfId="48" applyFont="1" applyFill="1" applyBorder="1" applyAlignment="1" applyProtection="1">
      <alignment vertical="center" shrinkToFit="1"/>
    </xf>
    <xf numFmtId="171" fontId="0" fillId="0" borderId="38" xfId="48" applyFont="1" applyFill="1" applyBorder="1" applyAlignment="1" applyProtection="1">
      <alignment horizontal="center" vertical="center" shrinkToFit="1"/>
    </xf>
    <xf numFmtId="171" fontId="0" fillId="0" borderId="39" xfId="48" applyFont="1" applyFill="1" applyBorder="1" applyAlignment="1" applyProtection="1">
      <alignment horizontal="center" vertical="center" shrinkToFit="1"/>
    </xf>
    <xf numFmtId="171" fontId="0" fillId="6" borderId="38" xfId="48" applyFont="1" applyFill="1" applyBorder="1" applyAlignment="1" applyProtection="1">
      <protection locked="0"/>
    </xf>
    <xf numFmtId="171" fontId="0" fillId="6" borderId="40" xfId="48" applyFont="1" applyFill="1" applyBorder="1" applyAlignment="1" applyProtection="1">
      <protection locked="0"/>
    </xf>
    <xf numFmtId="165" fontId="0" fillId="0" borderId="39" xfId="0" applyNumberFormat="1" applyBorder="1"/>
    <xf numFmtId="171" fontId="24" fillId="17" borderId="13" xfId="48" applyFont="1" applyFill="1" applyBorder="1" applyAlignment="1" applyProtection="1">
      <alignment horizontal="center" vertical="center"/>
    </xf>
    <xf numFmtId="171" fontId="24" fillId="17" borderId="13" xfId="48" applyFont="1" applyFill="1" applyBorder="1" applyAlignment="1" applyProtection="1">
      <alignment horizontal="center" vertical="center" shrinkToFit="1"/>
    </xf>
    <xf numFmtId="0" fontId="0" fillId="17" borderId="41" xfId="0" applyFill="1" applyBorder="1"/>
    <xf numFmtId="0" fontId="0" fillId="17" borderId="34" xfId="0" applyFill="1" applyBorder="1"/>
    <xf numFmtId="0" fontId="0" fillId="17" borderId="60" xfId="0" applyFill="1" applyBorder="1"/>
    <xf numFmtId="0" fontId="0" fillId="17" borderId="79" xfId="0" applyFill="1" applyBorder="1"/>
    <xf numFmtId="0" fontId="23" fillId="0" borderId="0" xfId="0" applyFont="1" applyAlignment="1">
      <alignment horizontal="left" vertical="center" indent="15"/>
    </xf>
    <xf numFmtId="0" fontId="0" fillId="0" borderId="44" xfId="0" applyBorder="1" applyAlignment="1">
      <alignment horizontal="center" wrapText="1"/>
    </xf>
    <xf numFmtId="0" fontId="24" fillId="0" borderId="31" xfId="0" applyFont="1" applyBorder="1" applyAlignment="1">
      <alignment horizontal="right" vertical="center" wrapText="1"/>
    </xf>
    <xf numFmtId="184" fontId="24" fillId="0" borderId="31" xfId="31" applyNumberFormat="1" applyFont="1" applyFill="1" applyBorder="1" applyAlignment="1" applyProtection="1">
      <alignment horizontal="right" vertical="center" shrinkToFit="1"/>
    </xf>
    <xf numFmtId="0" fontId="24" fillId="0" borderId="12" xfId="35" applyFont="1" applyBorder="1"/>
    <xf numFmtId="0" fontId="0" fillId="0" borderId="28" xfId="0" applyBorder="1" applyAlignment="1">
      <alignment shrinkToFit="1"/>
    </xf>
    <xf numFmtId="0" fontId="0" fillId="0" borderId="30" xfId="33" applyFont="1" applyBorder="1" applyAlignment="1">
      <alignment vertical="top" wrapText="1"/>
    </xf>
    <xf numFmtId="4" fontId="0" fillId="0" borderId="13" xfId="33" applyNumberFormat="1" applyFont="1" applyBorder="1" applyAlignment="1">
      <alignment horizontal="left" vertical="top" wrapText="1"/>
    </xf>
    <xf numFmtId="4" fontId="0" fillId="0" borderId="45" xfId="33" applyNumberFormat="1" applyFont="1" applyBorder="1" applyAlignment="1">
      <alignment horizontal="left" vertical="top" wrapText="1"/>
    </xf>
    <xf numFmtId="0" fontId="22" fillId="0" borderId="0" xfId="0" applyFont="1" applyAlignment="1">
      <alignment wrapText="1"/>
    </xf>
    <xf numFmtId="0" fontId="21" fillId="0" borderId="11" xfId="0" applyFont="1" applyBorder="1" applyAlignment="1">
      <alignment horizontal="center"/>
    </xf>
    <xf numFmtId="0" fontId="53" fillId="0" borderId="0" xfId="0" applyFont="1" applyAlignment="1">
      <alignment horizontal="center" vertical="center" wrapText="1"/>
    </xf>
    <xf numFmtId="170" fontId="24" fillId="0" borderId="45" xfId="0" applyNumberFormat="1" applyFont="1" applyBorder="1" applyAlignment="1">
      <alignment horizontal="center"/>
    </xf>
    <xf numFmtId="10" fontId="24" fillId="0" borderId="28" xfId="0" applyNumberFormat="1" applyFont="1" applyBorder="1" applyAlignment="1">
      <alignment horizontal="center" shrinkToFit="1"/>
    </xf>
    <xf numFmtId="178" fontId="0" fillId="0" borderId="29" xfId="0" applyNumberFormat="1" applyBorder="1" applyAlignment="1">
      <alignment horizontal="center" vertical="center"/>
    </xf>
    <xf numFmtId="0" fontId="0" fillId="0" borderId="10" xfId="0" applyBorder="1" applyAlignment="1">
      <alignment wrapText="1"/>
    </xf>
    <xf numFmtId="0" fontId="0" fillId="0" borderId="39" xfId="0" applyBorder="1" applyAlignment="1">
      <alignment horizontal="left" vertical="top"/>
    </xf>
    <xf numFmtId="49" fontId="0" fillId="0" borderId="39" xfId="0" applyNumberFormat="1" applyBorder="1" applyAlignment="1">
      <alignment horizontal="center" vertical="center" wrapText="1"/>
    </xf>
    <xf numFmtId="0" fontId="0" fillId="0" borderId="40" xfId="0" applyBorder="1" applyAlignment="1">
      <alignment horizontal="center" vertical="center"/>
    </xf>
    <xf numFmtId="0" fontId="0" fillId="0" borderId="75" xfId="0" applyBorder="1" applyAlignment="1">
      <alignment horizontal="center" vertical="center"/>
    </xf>
    <xf numFmtId="178" fontId="0" fillId="0" borderId="0" xfId="0" applyNumberFormat="1" applyAlignment="1">
      <alignment horizontal="center" vertical="center"/>
    </xf>
    <xf numFmtId="10" fontId="0" fillId="0" borderId="65" xfId="0" applyNumberFormat="1" applyBorder="1" applyAlignment="1">
      <alignment horizontal="center" vertical="center"/>
    </xf>
    <xf numFmtId="0" fontId="0" fillId="0" borderId="32" xfId="0" applyBorder="1" applyAlignment="1">
      <alignment horizontal="center" vertical="center" wrapText="1"/>
    </xf>
    <xf numFmtId="181" fontId="8" fillId="8" borderId="80" xfId="0" applyNumberFormat="1" applyFont="1" applyFill="1" applyBorder="1" applyAlignment="1">
      <alignment horizontal="center"/>
    </xf>
    <xf numFmtId="181" fontId="8" fillId="8" borderId="81" xfId="0" applyNumberFormat="1" applyFont="1" applyFill="1" applyBorder="1" applyAlignment="1">
      <alignment horizontal="center"/>
    </xf>
    <xf numFmtId="181" fontId="8" fillId="8" borderId="62" xfId="0" applyNumberFormat="1" applyFont="1" applyFill="1" applyBorder="1" applyAlignment="1">
      <alignment horizontal="center"/>
    </xf>
    <xf numFmtId="181" fontId="8" fillId="8" borderId="63" xfId="0" applyNumberFormat="1" applyFont="1" applyFill="1" applyBorder="1" applyAlignment="1">
      <alignment horizontal="center"/>
    </xf>
    <xf numFmtId="0" fontId="0" fillId="18" borderId="32" xfId="0" applyFill="1" applyBorder="1"/>
    <xf numFmtId="0" fontId="0" fillId="18" borderId="0" xfId="0" applyFill="1" applyAlignment="1">
      <alignment horizontal="center"/>
    </xf>
    <xf numFmtId="0" fontId="0" fillId="18" borderId="12" xfId="0" applyFill="1" applyBorder="1" applyAlignment="1">
      <alignment horizontal="center"/>
    </xf>
    <xf numFmtId="0" fontId="21" fillId="0" borderId="0" xfId="0" applyFont="1"/>
    <xf numFmtId="178" fontId="0" fillId="8" borderId="41" xfId="0" applyNumberFormat="1" applyFill="1" applyBorder="1" applyAlignment="1">
      <alignment horizontal="center" vertical="center"/>
    </xf>
    <xf numFmtId="178" fontId="0" fillId="8" borderId="37" xfId="0" applyNumberFormat="1" applyFill="1" applyBorder="1" applyAlignment="1">
      <alignment horizontal="center" vertical="center"/>
    </xf>
    <xf numFmtId="178" fontId="0" fillId="8" borderId="75" xfId="0" applyNumberFormat="1" applyFill="1" applyBorder="1" applyAlignment="1">
      <alignment horizontal="center" vertical="center"/>
    </xf>
    <xf numFmtId="178" fontId="0" fillId="8" borderId="65" xfId="0" applyNumberFormat="1" applyFill="1" applyBorder="1" applyAlignment="1">
      <alignment horizontal="center" vertical="center"/>
    </xf>
    <xf numFmtId="0" fontId="0" fillId="18" borderId="80" xfId="0" applyFill="1" applyBorder="1" applyAlignment="1">
      <alignment horizontal="right"/>
    </xf>
    <xf numFmtId="178" fontId="55" fillId="0" borderId="39" xfId="0" applyNumberFormat="1" applyFont="1" applyBorder="1"/>
    <xf numFmtId="178" fontId="0" fillId="0" borderId="82" xfId="0" applyNumberFormat="1" applyBorder="1" applyAlignment="1">
      <alignment horizontal="center" vertical="center"/>
    </xf>
    <xf numFmtId="178" fontId="0" fillId="0" borderId="57" xfId="0" applyNumberFormat="1" applyBorder="1" applyAlignment="1">
      <alignment horizontal="center" vertical="center"/>
    </xf>
    <xf numFmtId="178" fontId="0" fillId="0" borderId="58" xfId="0" applyNumberFormat="1" applyBorder="1" applyAlignment="1">
      <alignment horizontal="center" vertical="center"/>
    </xf>
    <xf numFmtId="178" fontId="0" fillId="0" borderId="59" xfId="0" applyNumberFormat="1" applyBorder="1" applyAlignment="1">
      <alignment horizontal="center" vertical="center"/>
    </xf>
    <xf numFmtId="0" fontId="0" fillId="18" borderId="83" xfId="0" applyFill="1" applyBorder="1" applyAlignment="1">
      <alignment horizontal="right"/>
    </xf>
    <xf numFmtId="178" fontId="17" fillId="8" borderId="31" xfId="0" applyNumberFormat="1" applyFont="1" applyFill="1" applyBorder="1" applyAlignment="1">
      <alignment horizontal="center" vertical="center"/>
    </xf>
    <xf numFmtId="178" fontId="17" fillId="8" borderId="44" xfId="0" applyNumberFormat="1" applyFont="1" applyFill="1" applyBorder="1" applyAlignment="1">
      <alignment horizontal="center" vertical="center"/>
    </xf>
    <xf numFmtId="178" fontId="0" fillId="0" borderId="0" xfId="0" applyNumberFormat="1"/>
    <xf numFmtId="0" fontId="17" fillId="0" borderId="0" xfId="33" applyFont="1" applyAlignment="1">
      <alignment vertical="center"/>
    </xf>
    <xf numFmtId="0" fontId="0" fillId="0" borderId="0" xfId="33" applyFont="1" applyAlignment="1">
      <alignment horizontal="left" vertical="center"/>
    </xf>
    <xf numFmtId="0" fontId="0" fillId="0" borderId="10" xfId="0" applyBorder="1" applyAlignment="1">
      <alignment horizontal="right"/>
    </xf>
    <xf numFmtId="168" fontId="0" fillId="0" borderId="0" xfId="33" applyNumberFormat="1" applyFont="1" applyAlignment="1">
      <alignment horizontal="left"/>
    </xf>
    <xf numFmtId="171" fontId="56" fillId="0" borderId="0" xfId="48" applyFill="1" applyBorder="1" applyAlignment="1" applyProtection="1"/>
    <xf numFmtId="0" fontId="0" fillId="0" borderId="0" xfId="33" applyFont="1" applyAlignment="1">
      <alignment horizontal="left"/>
    </xf>
    <xf numFmtId="0" fontId="0" fillId="6" borderId="0" xfId="33" applyFont="1" applyFill="1" applyAlignment="1" applyProtection="1">
      <alignment vertical="top"/>
      <protection locked="0"/>
    </xf>
    <xf numFmtId="0" fontId="24" fillId="0" borderId="0" xfId="33" applyFont="1" applyAlignment="1">
      <alignment vertical="top"/>
    </xf>
    <xf numFmtId="180" fontId="24" fillId="0" borderId="39" xfId="48" applyNumberFormat="1" applyFont="1" applyFill="1" applyBorder="1" applyAlignment="1" applyProtection="1">
      <alignment vertical="top" shrinkToFit="1"/>
    </xf>
    <xf numFmtId="180" fontId="24" fillId="0" borderId="67" xfId="48" applyNumberFormat="1" applyFont="1" applyFill="1" applyBorder="1" applyAlignment="1" applyProtection="1">
      <alignment horizontal="right" vertical="top" shrinkToFit="1"/>
    </xf>
    <xf numFmtId="10" fontId="24" fillId="0" borderId="67" xfId="37" applyNumberFormat="1" applyFont="1" applyFill="1" applyBorder="1" applyAlignment="1" applyProtection="1">
      <alignment horizontal="right" vertical="top" shrinkToFit="1"/>
    </xf>
    <xf numFmtId="0" fontId="0" fillId="6" borderId="0" xfId="33" applyFont="1" applyFill="1" applyAlignment="1" applyProtection="1">
      <alignment vertical="top" wrapText="1"/>
      <protection locked="0"/>
    </xf>
    <xf numFmtId="0" fontId="0" fillId="0" borderId="29" xfId="33" applyFont="1" applyBorder="1"/>
    <xf numFmtId="0" fontId="0" fillId="20" borderId="0" xfId="0" applyFill="1"/>
    <xf numFmtId="0" fontId="0" fillId="20" borderId="0" xfId="0" applyFill="1" applyAlignment="1">
      <alignment horizontal="center" vertical="center"/>
    </xf>
    <xf numFmtId="0" fontId="18" fillId="20" borderId="0" xfId="0" applyFont="1" applyFill="1" applyAlignment="1">
      <alignment vertical="center"/>
    </xf>
    <xf numFmtId="0" fontId="19" fillId="20" borderId="0" xfId="0" applyFont="1" applyFill="1" applyAlignment="1">
      <alignment horizontal="center" vertical="top"/>
    </xf>
    <xf numFmtId="0" fontId="19" fillId="20" borderId="0" xfId="0" applyFont="1" applyFill="1" applyAlignment="1">
      <alignment vertical="top"/>
    </xf>
    <xf numFmtId="0" fontId="0" fillId="3" borderId="0" xfId="0" applyFill="1" applyAlignment="1">
      <alignment vertical="center"/>
    </xf>
    <xf numFmtId="0" fontId="0" fillId="0" borderId="85" xfId="0" applyBorder="1"/>
    <xf numFmtId="0" fontId="0" fillId="0" borderId="86" xfId="0" applyBorder="1"/>
    <xf numFmtId="0" fontId="0" fillId="0" borderId="87" xfId="0" applyBorder="1"/>
    <xf numFmtId="0" fontId="24" fillId="0" borderId="0" xfId="0" applyFont="1" applyAlignment="1">
      <alignment vertical="center"/>
    </xf>
    <xf numFmtId="0" fontId="0" fillId="0" borderId="88" xfId="0" applyBorder="1"/>
    <xf numFmtId="0" fontId="0" fillId="0" borderId="88" xfId="0" applyBorder="1" applyAlignment="1">
      <alignment vertical="center"/>
    </xf>
    <xf numFmtId="0" fontId="0" fillId="0" borderId="89" xfId="0" applyBorder="1"/>
    <xf numFmtId="0" fontId="0" fillId="0" borderId="90" xfId="0" applyBorder="1"/>
    <xf numFmtId="0" fontId="0" fillId="0" borderId="91" xfId="0" applyBorder="1"/>
    <xf numFmtId="0" fontId="0" fillId="21" borderId="44" xfId="0" applyFill="1" applyBorder="1"/>
    <xf numFmtId="0" fontId="0" fillId="21" borderId="31" xfId="0" applyFill="1" applyBorder="1"/>
    <xf numFmtId="0" fontId="0" fillId="21" borderId="31" xfId="0" applyFill="1" applyBorder="1" applyAlignment="1">
      <alignment horizontal="center"/>
    </xf>
    <xf numFmtId="0" fontId="24" fillId="6" borderId="13" xfId="0" applyFont="1" applyFill="1" applyBorder="1" applyAlignment="1" applyProtection="1">
      <alignment horizontal="center" vertical="center" wrapText="1"/>
      <protection locked="0"/>
    </xf>
    <xf numFmtId="0" fontId="24" fillId="6" borderId="28" xfId="0" applyFont="1" applyFill="1" applyBorder="1" applyAlignment="1" applyProtection="1">
      <alignment horizontal="center" vertical="center" wrapText="1"/>
      <protection locked="0"/>
    </xf>
    <xf numFmtId="0" fontId="0" fillId="22" borderId="44" xfId="0" applyFill="1" applyBorder="1"/>
    <xf numFmtId="0" fontId="0" fillId="23" borderId="31" xfId="0" applyFill="1" applyBorder="1"/>
    <xf numFmtId="171" fontId="21" fillId="17" borderId="31" xfId="48" applyFont="1" applyFill="1" applyBorder="1" applyAlignment="1" applyProtection="1">
      <alignment horizontal="center" vertical="center" shrinkToFit="1"/>
    </xf>
    <xf numFmtId="0" fontId="42" fillId="0" borderId="50" xfId="0" applyFont="1" applyBorder="1" applyAlignment="1">
      <alignment horizontal="center" vertical="center" wrapText="1"/>
    </xf>
    <xf numFmtId="171" fontId="0" fillId="0" borderId="38" xfId="48" applyFont="1" applyFill="1" applyBorder="1" applyAlignment="1" applyProtection="1">
      <alignment vertical="center" shrinkToFit="1"/>
    </xf>
    <xf numFmtId="10" fontId="0" fillId="0" borderId="40" xfId="48" applyNumberFormat="1" applyFont="1" applyFill="1" applyBorder="1" applyAlignment="1" applyProtection="1">
      <alignment vertical="center" shrinkToFit="1"/>
    </xf>
    <xf numFmtId="10" fontId="24" fillId="17" borderId="13" xfId="48" applyNumberFormat="1" applyFont="1" applyFill="1" applyBorder="1" applyAlignment="1" applyProtection="1">
      <alignment horizontal="center" vertical="center"/>
    </xf>
    <xf numFmtId="171" fontId="0" fillId="6" borderId="41" xfId="48" applyFont="1" applyFill="1" applyBorder="1" applyAlignment="1" applyProtection="1">
      <alignment vertical="center" wrapText="1"/>
      <protection locked="0"/>
    </xf>
    <xf numFmtId="0" fontId="46" fillId="22" borderId="31" xfId="34" applyFont="1" applyFill="1" applyBorder="1" applyAlignment="1">
      <alignment horizontal="center"/>
    </xf>
    <xf numFmtId="0" fontId="46" fillId="21" borderId="44" xfId="34" applyFont="1" applyFill="1" applyBorder="1" applyAlignment="1">
      <alignment horizontal="center"/>
    </xf>
    <xf numFmtId="0" fontId="0" fillId="21" borderId="36" xfId="0" applyFill="1" applyBorder="1"/>
    <xf numFmtId="0" fontId="0" fillId="21" borderId="46" xfId="0" applyFill="1" applyBorder="1"/>
    <xf numFmtId="0" fontId="0" fillId="21" borderId="47" xfId="0" applyFill="1" applyBorder="1"/>
    <xf numFmtId="171" fontId="0" fillId="6" borderId="39" xfId="48" applyFont="1" applyFill="1" applyBorder="1" applyAlignment="1" applyProtection="1">
      <protection locked="0"/>
    </xf>
    <xf numFmtId="1" fontId="0" fillId="6" borderId="0" xfId="0" applyNumberFormat="1" applyFill="1" applyAlignment="1" applyProtection="1">
      <alignment horizontal="center"/>
      <protection locked="0"/>
    </xf>
    <xf numFmtId="171" fontId="0" fillId="6" borderId="38" xfId="48" applyFont="1" applyFill="1" applyBorder="1" applyAlignment="1" applyProtection="1">
      <alignment vertical="center" wrapText="1"/>
      <protection locked="0"/>
    </xf>
    <xf numFmtId="10" fontId="24" fillId="17" borderId="70" xfId="48" applyNumberFormat="1" applyFont="1" applyFill="1" applyBorder="1" applyAlignment="1" applyProtection="1">
      <alignment horizontal="center" vertical="center"/>
    </xf>
    <xf numFmtId="171" fontId="24" fillId="17" borderId="70" xfId="48" applyFont="1" applyFill="1" applyBorder="1" applyAlignment="1" applyProtection="1">
      <alignment horizontal="center" vertical="center"/>
    </xf>
    <xf numFmtId="10" fontId="24" fillId="17" borderId="71" xfId="48" applyNumberFormat="1" applyFont="1" applyFill="1" applyBorder="1" applyAlignment="1" applyProtection="1">
      <alignment horizontal="center" vertical="center"/>
    </xf>
    <xf numFmtId="0" fontId="30" fillId="0" borderId="0" xfId="0" applyFont="1" applyAlignment="1">
      <alignment horizontal="left" wrapText="1"/>
    </xf>
    <xf numFmtId="4" fontId="0" fillId="6" borderId="51" xfId="0" applyNumberFormat="1" applyFill="1" applyBorder="1" applyProtection="1">
      <protection locked="0"/>
    </xf>
    <xf numFmtId="4" fontId="0" fillId="6" borderId="64" xfId="0" applyNumberFormat="1" applyFill="1" applyBorder="1" applyProtection="1">
      <protection locked="0"/>
    </xf>
    <xf numFmtId="4" fontId="0" fillId="6" borderId="70" xfId="0" applyNumberFormat="1" applyFill="1" applyBorder="1" applyProtection="1">
      <protection locked="0"/>
    </xf>
    <xf numFmtId="4" fontId="0" fillId="6" borderId="71" xfId="0" applyNumberFormat="1" applyFill="1" applyBorder="1" applyProtection="1">
      <protection locked="0"/>
    </xf>
    <xf numFmtId="0" fontId="0" fillId="0" borderId="92" xfId="0" applyBorder="1" applyAlignment="1">
      <alignment horizontal="center"/>
    </xf>
    <xf numFmtId="0" fontId="0" fillId="0" borderId="93" xfId="0" applyBorder="1" applyAlignment="1">
      <alignment horizontal="center"/>
    </xf>
    <xf numFmtId="0" fontId="0" fillId="0" borderId="94" xfId="0" applyBorder="1" applyAlignment="1">
      <alignment horizontal="center"/>
    </xf>
    <xf numFmtId="0" fontId="24" fillId="0" borderId="60" xfId="0" applyFont="1" applyBorder="1"/>
    <xf numFmtId="0" fontId="0" fillId="6" borderId="36" xfId="0" applyFill="1" applyBorder="1" applyAlignment="1" applyProtection="1">
      <alignment horizontal="center" textRotation="90" wrapText="1"/>
      <protection locked="0"/>
    </xf>
    <xf numFmtId="171" fontId="0" fillId="0" borderId="36" xfId="48" applyFont="1" applyFill="1" applyBorder="1" applyAlignment="1" applyProtection="1">
      <alignment vertical="center" shrinkToFit="1"/>
    </xf>
    <xf numFmtId="185" fontId="0" fillId="0" borderId="39" xfId="48" applyNumberFormat="1" applyFont="1" applyFill="1" applyBorder="1" applyAlignment="1" applyProtection="1">
      <alignment vertical="center" shrinkToFit="1"/>
    </xf>
    <xf numFmtId="49" fontId="24" fillId="17" borderId="29" xfId="0" applyNumberFormat="1" applyFont="1" applyFill="1" applyBorder="1" applyAlignment="1">
      <alignment horizontal="center" vertical="center"/>
    </xf>
    <xf numFmtId="171" fontId="24" fillId="17" borderId="29" xfId="48" applyFont="1" applyFill="1" applyBorder="1" applyAlignment="1" applyProtection="1">
      <alignment horizontal="center" vertical="center"/>
    </xf>
    <xf numFmtId="171" fontId="24" fillId="17" borderId="28" xfId="48" applyFont="1" applyFill="1" applyBorder="1" applyAlignment="1" applyProtection="1">
      <alignment horizontal="center" vertical="center" shrinkToFit="1"/>
    </xf>
    <xf numFmtId="1" fontId="59" fillId="0" borderId="0" xfId="0" applyNumberFormat="1" applyFont="1" applyAlignment="1">
      <alignment horizontal="center" vertical="center"/>
    </xf>
    <xf numFmtId="186" fontId="0" fillId="0" borderId="29" xfId="0" applyNumberFormat="1" applyBorder="1" applyAlignment="1">
      <alignment horizontal="left"/>
    </xf>
    <xf numFmtId="0" fontId="17" fillId="0" borderId="90" xfId="33" applyFont="1" applyBorder="1" applyAlignment="1">
      <alignment vertical="center"/>
    </xf>
    <xf numFmtId="0" fontId="0" fillId="0" borderId="90" xfId="0" applyBorder="1" applyAlignment="1">
      <alignment horizontal="center"/>
    </xf>
    <xf numFmtId="0" fontId="46" fillId="0" borderId="90" xfId="34" applyFont="1" applyBorder="1" applyAlignment="1">
      <alignment horizontal="center"/>
    </xf>
    <xf numFmtId="0" fontId="0" fillId="0" borderId="40" xfId="0" applyBorder="1" applyAlignment="1">
      <alignment horizontal="center" vertical="center" wrapText="1"/>
    </xf>
    <xf numFmtId="165" fontId="0" fillId="6" borderId="39" xfId="0" applyNumberFormat="1" applyFill="1" applyBorder="1" applyAlignment="1" applyProtection="1">
      <alignment horizontal="center" vertical="center"/>
      <protection locked="0"/>
    </xf>
    <xf numFmtId="0" fontId="0" fillId="6" borderId="82" xfId="0" applyFill="1" applyBorder="1" applyAlignment="1" applyProtection="1">
      <alignment horizontal="left" vertical="center" wrapText="1"/>
      <protection locked="0"/>
    </xf>
    <xf numFmtId="49" fontId="0" fillId="6" borderId="66" xfId="0" applyNumberFormat="1" applyFill="1" applyBorder="1" applyAlignment="1" applyProtection="1">
      <alignment horizontal="center" vertical="center" wrapText="1"/>
      <protection locked="0"/>
    </xf>
    <xf numFmtId="49" fontId="0" fillId="16" borderId="95" xfId="0" applyNumberFormat="1" applyFill="1" applyBorder="1" applyAlignment="1" applyProtection="1">
      <alignment horizontal="center" vertical="center"/>
      <protection locked="0"/>
    </xf>
    <xf numFmtId="49" fontId="0" fillId="6" borderId="40" xfId="48" applyNumberFormat="1" applyFont="1" applyFill="1" applyBorder="1" applyAlignment="1" applyProtection="1">
      <alignment horizontal="left" vertical="center" wrapText="1" shrinkToFit="1"/>
      <protection locked="0"/>
    </xf>
    <xf numFmtId="49" fontId="24" fillId="17" borderId="31" xfId="0" applyNumberFormat="1" applyFont="1" applyFill="1" applyBorder="1" applyAlignment="1">
      <alignment horizontal="left" vertical="center"/>
    </xf>
    <xf numFmtId="171" fontId="0" fillId="0" borderId="40" xfId="48" applyFont="1" applyFill="1" applyBorder="1" applyAlignment="1" applyProtection="1">
      <alignment vertical="center" shrinkToFit="1"/>
    </xf>
    <xf numFmtId="171" fontId="24" fillId="17" borderId="67" xfId="48" applyFont="1" applyFill="1" applyBorder="1" applyAlignment="1" applyProtection="1">
      <alignment horizontal="center" vertical="center" shrinkToFit="1"/>
    </xf>
    <xf numFmtId="171" fontId="24" fillId="17" borderId="71" xfId="48" applyFont="1" applyFill="1" applyBorder="1" applyAlignment="1" applyProtection="1">
      <alignment horizontal="center" vertical="center"/>
    </xf>
    <xf numFmtId="0" fontId="0" fillId="16" borderId="40" xfId="0" applyFill="1" applyBorder="1" applyAlignment="1" applyProtection="1">
      <alignment shrinkToFit="1"/>
      <protection locked="0"/>
    </xf>
    <xf numFmtId="0" fontId="0" fillId="0" borderId="96" xfId="0" applyBorder="1" applyAlignment="1">
      <alignment vertical="center"/>
    </xf>
    <xf numFmtId="0" fontId="0" fillId="16" borderId="97" xfId="0" applyFill="1" applyBorder="1" applyAlignment="1" applyProtection="1">
      <alignment vertical="center"/>
      <protection locked="0"/>
    </xf>
    <xf numFmtId="43" fontId="0" fillId="0" borderId="0" xfId="0" applyNumberFormat="1"/>
    <xf numFmtId="0" fontId="12" fillId="0" borderId="90" xfId="0" applyFont="1" applyBorder="1" applyAlignment="1">
      <alignment horizontal="left" indent="1"/>
    </xf>
    <xf numFmtId="0" fontId="57" fillId="25" borderId="84" xfId="30" applyFont="1" applyFill="1" applyBorder="1" applyAlignment="1">
      <alignment horizontal="center" vertical="center"/>
    </xf>
    <xf numFmtId="0" fontId="17" fillId="25" borderId="84" xfId="30" applyFont="1" applyFill="1" applyBorder="1" applyAlignment="1">
      <alignment horizontal="center" vertical="center"/>
    </xf>
    <xf numFmtId="0" fontId="23" fillId="25" borderId="84" xfId="30" applyFont="1" applyFill="1" applyBorder="1" applyAlignment="1">
      <alignment horizontal="center" vertical="center"/>
    </xf>
    <xf numFmtId="0" fontId="0" fillId="26" borderId="0" xfId="0" applyFill="1"/>
    <xf numFmtId="0" fontId="24" fillId="25" borderId="84" xfId="30" applyFont="1" applyFill="1" applyBorder="1" applyAlignment="1">
      <alignment horizontal="center" vertical="center"/>
    </xf>
    <xf numFmtId="0" fontId="51" fillId="0" borderId="0" xfId="0" applyFont="1" applyAlignment="1">
      <alignment horizontal="center" wrapText="1"/>
    </xf>
    <xf numFmtId="0" fontId="49" fillId="0" borderId="0" xfId="34" applyFont="1"/>
    <xf numFmtId="0" fontId="51" fillId="0" borderId="88" xfId="0" applyFont="1" applyBorder="1" applyAlignment="1">
      <alignment horizontal="center" wrapText="1"/>
    </xf>
    <xf numFmtId="0" fontId="12" fillId="20" borderId="101" xfId="0" applyFont="1" applyFill="1" applyBorder="1" applyAlignment="1">
      <alignment horizontal="center" vertical="center"/>
    </xf>
    <xf numFmtId="0" fontId="49" fillId="0" borderId="103" xfId="0" applyFont="1" applyBorder="1" applyAlignment="1">
      <alignment horizontal="center"/>
    </xf>
    <xf numFmtId="167" fontId="0" fillId="0" borderId="0" xfId="0" applyNumberFormat="1" applyAlignment="1">
      <alignment horizontal="left"/>
    </xf>
    <xf numFmtId="1" fontId="44" fillId="0" borderId="0" xfId="0" applyNumberFormat="1" applyFont="1" applyAlignment="1">
      <alignment horizontal="center" textRotation="90"/>
    </xf>
    <xf numFmtId="0" fontId="0" fillId="0" borderId="0" xfId="0" applyAlignment="1">
      <alignment horizontal="center" vertical="center"/>
    </xf>
    <xf numFmtId="0" fontId="62" fillId="0" borderId="0" xfId="0" applyFont="1"/>
    <xf numFmtId="0" fontId="0" fillId="0" borderId="94" xfId="0" applyBorder="1" applyAlignment="1">
      <alignment horizontal="center" wrapText="1"/>
    </xf>
    <xf numFmtId="167" fontId="0" fillId="0" borderId="90" xfId="0" applyNumberFormat="1" applyBorder="1"/>
    <xf numFmtId="186" fontId="0" fillId="0" borderId="90" xfId="0" applyNumberFormat="1" applyBorder="1" applyAlignment="1">
      <alignment horizontal="left"/>
    </xf>
    <xf numFmtId="0" fontId="12" fillId="0" borderId="94" xfId="0" applyFont="1" applyBorder="1" applyAlignment="1">
      <alignment horizontal="center"/>
    </xf>
    <xf numFmtId="0" fontId="46" fillId="6" borderId="31" xfId="0" applyFont="1" applyFill="1" applyBorder="1" applyAlignment="1" applyProtection="1">
      <alignment horizontal="left" vertical="center"/>
      <protection locked="0"/>
    </xf>
    <xf numFmtId="0" fontId="31" fillId="0" borderId="0" xfId="0" applyFont="1" applyAlignment="1">
      <alignment horizontal="left" vertical="top" wrapText="1"/>
    </xf>
    <xf numFmtId="0" fontId="12" fillId="0" borderId="31" xfId="0" applyFont="1" applyBorder="1"/>
    <xf numFmtId="0" fontId="0" fillId="0" borderId="0" xfId="0" applyAlignment="1">
      <alignment vertical="center" wrapText="1"/>
    </xf>
    <xf numFmtId="0" fontId="12" fillId="0" borderId="0" xfId="0" applyFont="1" applyAlignment="1">
      <alignment horizontal="left" wrapText="1"/>
    </xf>
    <xf numFmtId="0" fontId="0" fillId="0" borderId="0" xfId="0" applyAlignment="1">
      <alignment horizontal="left" vertical="center" wrapText="1"/>
    </xf>
    <xf numFmtId="0" fontId="12" fillId="0" borderId="90" xfId="0" applyFont="1" applyBorder="1" applyAlignment="1">
      <alignment horizontal="left" wrapText="1"/>
    </xf>
    <xf numFmtId="0" fontId="0" fillId="0" borderId="29" xfId="33" applyFont="1" applyBorder="1" applyAlignment="1">
      <alignment horizontal="left" vertical="top" wrapText="1"/>
    </xf>
    <xf numFmtId="0" fontId="65" fillId="0" borderId="30" xfId="35" applyFont="1" applyBorder="1" applyAlignment="1">
      <alignment horizontal="left" vertical="top"/>
    </xf>
    <xf numFmtId="0" fontId="0" fillId="0" borderId="45" xfId="33" applyFont="1" applyBorder="1" applyAlignment="1">
      <alignment horizontal="left" vertical="top"/>
    </xf>
    <xf numFmtId="0" fontId="0" fillId="0" borderId="0" xfId="0" applyAlignment="1">
      <alignment horizontal="right"/>
    </xf>
    <xf numFmtId="1" fontId="44" fillId="0" borderId="0" xfId="0" applyNumberFormat="1" applyFont="1" applyAlignment="1">
      <alignment horizontal="right" textRotation="90"/>
    </xf>
    <xf numFmtId="0" fontId="0" fillId="0" borderId="0" xfId="0" applyAlignment="1">
      <alignment horizontal="right" vertical="center"/>
    </xf>
    <xf numFmtId="0" fontId="58" fillId="25" borderId="84" xfId="30" applyFont="1" applyFill="1" applyBorder="1" applyAlignment="1">
      <alignment horizontal="center" vertical="center"/>
    </xf>
    <xf numFmtId="0" fontId="62" fillId="0" borderId="0" xfId="0" applyFont="1" applyProtection="1">
      <protection locked="0"/>
    </xf>
    <xf numFmtId="0" fontId="22" fillId="0" borderId="12" xfId="0" applyFont="1" applyBorder="1" applyAlignment="1">
      <alignment horizontal="center" wrapText="1"/>
    </xf>
    <xf numFmtId="0" fontId="22" fillId="0" borderId="0" xfId="0" applyFont="1" applyAlignment="1">
      <alignment horizontal="center" wrapText="1"/>
    </xf>
    <xf numFmtId="49" fontId="0" fillId="6" borderId="66" xfId="0" applyNumberFormat="1" applyFill="1" applyBorder="1" applyAlignment="1" applyProtection="1">
      <alignment horizontal="center" vertical="center"/>
      <protection locked="0"/>
    </xf>
    <xf numFmtId="0" fontId="0" fillId="0" borderId="39" xfId="0" applyBorder="1" applyAlignment="1">
      <alignment horizontal="left"/>
    </xf>
    <xf numFmtId="0" fontId="66" fillId="27" borderId="0" xfId="50" applyFont="1" applyFill="1" applyAlignment="1">
      <alignment horizontal="center"/>
    </xf>
    <xf numFmtId="0" fontId="67" fillId="0" borderId="0" xfId="50"/>
    <xf numFmtId="49" fontId="66" fillId="27" borderId="0" xfId="50" applyNumberFormat="1" applyFont="1" applyFill="1" applyAlignment="1">
      <alignment horizontal="center"/>
    </xf>
    <xf numFmtId="49" fontId="67" fillId="0" borderId="0" xfId="50" applyNumberFormat="1"/>
    <xf numFmtId="0" fontId="24" fillId="0" borderId="0" xfId="0" applyFont="1" applyAlignment="1">
      <alignment horizontal="left"/>
    </xf>
    <xf numFmtId="4" fontId="0" fillId="6" borderId="46" xfId="0" applyNumberFormat="1" applyFill="1" applyBorder="1" applyAlignment="1" applyProtection="1">
      <alignment horizontal="center" textRotation="90" wrapText="1"/>
      <protection locked="0"/>
    </xf>
    <xf numFmtId="0" fontId="68" fillId="0" borderId="0" xfId="0" applyFont="1"/>
    <xf numFmtId="0" fontId="0" fillId="0" borderId="0" xfId="0" applyAlignment="1">
      <alignment vertical="top"/>
    </xf>
    <xf numFmtId="0" fontId="24" fillId="0" borderId="0" xfId="0" applyFont="1" applyAlignment="1">
      <alignment horizontal="right" vertical="center"/>
    </xf>
    <xf numFmtId="177" fontId="56" fillId="0" borderId="0" xfId="48" applyNumberFormat="1" applyFill="1" applyBorder="1" applyAlignment="1" applyProtection="1">
      <alignment horizontal="center" shrinkToFit="1"/>
    </xf>
    <xf numFmtId="165" fontId="0" fillId="0" borderId="110" xfId="49" applyFont="1" applyFill="1" applyBorder="1" applyAlignment="1" applyProtection="1">
      <alignment horizontal="center"/>
    </xf>
    <xf numFmtId="165" fontId="24" fillId="8" borderId="75" xfId="49" applyFont="1" applyFill="1" applyBorder="1" applyAlignment="1" applyProtection="1">
      <alignment horizontal="right"/>
    </xf>
    <xf numFmtId="165" fontId="56" fillId="0" borderId="111" xfId="49" applyFill="1" applyBorder="1" applyAlignment="1" applyProtection="1">
      <alignment horizontal="right"/>
    </xf>
    <xf numFmtId="10" fontId="0" fillId="29" borderId="52" xfId="38" applyNumberFormat="1" applyFont="1" applyFill="1" applyBorder="1" applyAlignment="1" applyProtection="1"/>
    <xf numFmtId="171" fontId="56" fillId="29" borderId="39" xfId="48" applyFill="1" applyBorder="1" applyAlignment="1" applyProtection="1">
      <alignment shrinkToFit="1"/>
    </xf>
    <xf numFmtId="165" fontId="24" fillId="29" borderId="67" xfId="49" applyFont="1" applyFill="1" applyBorder="1" applyAlignment="1" applyProtection="1">
      <alignment shrinkToFit="1"/>
    </xf>
    <xf numFmtId="171" fontId="24" fillId="29" borderId="95" xfId="48" applyFont="1" applyFill="1" applyBorder="1" applyAlignment="1" applyProtection="1">
      <alignment shrinkToFit="1"/>
    </xf>
    <xf numFmtId="10" fontId="56" fillId="0" borderId="112" xfId="37" applyNumberFormat="1" applyFill="1" applyBorder="1" applyAlignment="1" applyProtection="1">
      <alignment shrinkToFit="1"/>
    </xf>
    <xf numFmtId="0" fontId="46" fillId="0" borderId="113" xfId="34" applyFont="1" applyBorder="1" applyAlignment="1">
      <alignment horizontal="center"/>
    </xf>
    <xf numFmtId="0" fontId="46" fillId="0" borderId="87" xfId="34" applyFont="1" applyBorder="1"/>
    <xf numFmtId="0" fontId="69" fillId="0" borderId="0" xfId="34" applyFont="1"/>
    <xf numFmtId="11" fontId="46" fillId="0" borderId="0" xfId="34" applyNumberFormat="1" applyFont="1" applyAlignment="1">
      <alignment horizontal="center"/>
    </xf>
    <xf numFmtId="0" fontId="49" fillId="0" borderId="115" xfId="34" applyFont="1" applyBorder="1" applyAlignment="1">
      <alignment horizontal="center"/>
    </xf>
    <xf numFmtId="174" fontId="49" fillId="0" borderId="116" xfId="34" applyNumberFormat="1" applyFont="1" applyBorder="1" applyAlignment="1">
      <alignment horizontal="center"/>
    </xf>
    <xf numFmtId="10" fontId="0" fillId="29" borderId="117" xfId="38" applyNumberFormat="1" applyFont="1" applyFill="1" applyBorder="1" applyAlignment="1" applyProtection="1"/>
    <xf numFmtId="171" fontId="24" fillId="29" borderId="58" xfId="48" applyFont="1" applyFill="1" applyBorder="1" applyAlignment="1" applyProtection="1">
      <alignment shrinkToFit="1"/>
    </xf>
    <xf numFmtId="10" fontId="56" fillId="0" borderId="118" xfId="37" applyNumberFormat="1" applyFill="1" applyBorder="1" applyAlignment="1" applyProtection="1">
      <alignment shrinkToFit="1"/>
    </xf>
    <xf numFmtId="0" fontId="0" fillId="30" borderId="0" xfId="0" applyFill="1"/>
    <xf numFmtId="0" fontId="24" fillId="30" borderId="0" xfId="0" applyFont="1" applyFill="1" applyAlignment="1">
      <alignment horizontal="right"/>
    </xf>
    <xf numFmtId="171" fontId="24" fillId="30" borderId="105" xfId="0" applyNumberFormat="1" applyFont="1" applyFill="1" applyBorder="1"/>
    <xf numFmtId="10" fontId="56" fillId="0" borderId="0" xfId="37" applyNumberFormat="1"/>
    <xf numFmtId="0" fontId="12" fillId="0" borderId="11" xfId="0" applyFont="1" applyBorder="1" applyAlignment="1">
      <alignment horizontal="center"/>
    </xf>
    <xf numFmtId="0" fontId="46" fillId="31" borderId="31" xfId="0" applyFont="1" applyFill="1" applyBorder="1" applyAlignment="1">
      <alignment horizontal="center" vertical="center"/>
    </xf>
    <xf numFmtId="171" fontId="56" fillId="31" borderId="28" xfId="48" applyFill="1" applyBorder="1" applyAlignment="1" applyProtection="1"/>
    <xf numFmtId="0" fontId="70" fillId="0" borderId="0" xfId="0" applyFont="1" applyAlignment="1">
      <alignment horizontal="left"/>
    </xf>
    <xf numFmtId="0" fontId="0" fillId="0" borderId="120" xfId="0" applyBorder="1"/>
    <xf numFmtId="0" fontId="0" fillId="0" borderId="121" xfId="0" applyBorder="1"/>
    <xf numFmtId="0" fontId="49" fillId="32" borderId="103" xfId="0" applyFont="1" applyFill="1" applyBorder="1" applyAlignment="1">
      <alignment horizontal="center"/>
    </xf>
    <xf numFmtId="0" fontId="12" fillId="32" borderId="122" xfId="0" applyFont="1" applyFill="1" applyBorder="1" applyAlignment="1">
      <alignment horizontal="right" vertical="center"/>
    </xf>
    <xf numFmtId="1" fontId="0" fillId="6" borderId="39" xfId="0" applyNumberFormat="1" applyFill="1" applyBorder="1" applyAlignment="1" applyProtection="1">
      <alignment horizontal="center" vertical="center"/>
      <protection locked="0"/>
    </xf>
    <xf numFmtId="0" fontId="71" fillId="0" borderId="0" xfId="0" applyFont="1"/>
    <xf numFmtId="0" fontId="72" fillId="0" borderId="0" xfId="0" applyFont="1"/>
    <xf numFmtId="0" fontId="31" fillId="0" borderId="0" xfId="0" applyFont="1" applyAlignment="1">
      <alignment vertical="center" wrapText="1"/>
    </xf>
    <xf numFmtId="165" fontId="23" fillId="0" borderId="0" xfId="0" applyNumberFormat="1" applyFont="1" applyAlignment="1">
      <alignment vertical="top"/>
    </xf>
    <xf numFmtId="165" fontId="23" fillId="0" borderId="0" xfId="0" applyNumberFormat="1" applyFont="1" applyAlignment="1">
      <alignment horizontal="right" vertical="center"/>
    </xf>
    <xf numFmtId="0" fontId="0" fillId="0" borderId="32" xfId="0" applyBorder="1" applyProtection="1">
      <protection locked="0"/>
    </xf>
    <xf numFmtId="1" fontId="0" fillId="0" borderId="89" xfId="0" applyNumberFormat="1" applyBorder="1" applyAlignment="1">
      <alignment vertical="top"/>
    </xf>
    <xf numFmtId="10" fontId="62" fillId="0" borderId="0" xfId="37" applyNumberFormat="1" applyFont="1" applyAlignment="1">
      <alignment horizontal="left"/>
    </xf>
    <xf numFmtId="0" fontId="73" fillId="0" borderId="0" xfId="0" applyFont="1"/>
    <xf numFmtId="0" fontId="75" fillId="0" borderId="0" xfId="0" applyFont="1"/>
    <xf numFmtId="0" fontId="73" fillId="0" borderId="0" xfId="0" applyFont="1" applyAlignment="1">
      <alignment vertical="center"/>
    </xf>
    <xf numFmtId="0" fontId="22" fillId="0" borderId="0" xfId="0" applyFont="1" applyAlignment="1">
      <alignment vertical="center"/>
    </xf>
    <xf numFmtId="0" fontId="75" fillId="0" borderId="0" xfId="0" applyFont="1" applyAlignment="1">
      <alignment horizontal="center"/>
    </xf>
    <xf numFmtId="0" fontId="68" fillId="0" borderId="0" xfId="0" applyFont="1" applyAlignment="1">
      <alignment horizontal="center" vertical="center"/>
    </xf>
    <xf numFmtId="0" fontId="76" fillId="17" borderId="31" xfId="0" applyFont="1" applyFill="1" applyBorder="1" applyAlignment="1">
      <alignment horizontal="center" vertical="center"/>
    </xf>
    <xf numFmtId="0" fontId="0" fillId="21" borderId="13" xfId="0" applyFill="1" applyBorder="1" applyAlignment="1">
      <alignment horizontal="left"/>
    </xf>
    <xf numFmtId="0" fontId="24" fillId="0" borderId="29" xfId="0" applyFont="1" applyBorder="1" applyAlignment="1">
      <alignment horizontal="center" vertical="center" wrapText="1"/>
    </xf>
    <xf numFmtId="0" fontId="74" fillId="0" borderId="0" xfId="0" applyFont="1"/>
    <xf numFmtId="0" fontId="75" fillId="0" borderId="0" xfId="0" applyFont="1" applyAlignment="1">
      <alignment vertical="center"/>
    </xf>
    <xf numFmtId="0" fontId="73" fillId="0" borderId="0" xfId="0" applyFont="1" applyAlignment="1">
      <alignment horizontal="right" vertical="center"/>
    </xf>
    <xf numFmtId="0" fontId="24" fillId="0" borderId="29" xfId="0" applyFont="1" applyBorder="1" applyAlignment="1">
      <alignment horizontal="right" vertical="center" wrapText="1"/>
    </xf>
    <xf numFmtId="0" fontId="77" fillId="0" borderId="0" xfId="0" applyFont="1" applyAlignment="1">
      <alignment vertical="top"/>
    </xf>
    <xf numFmtId="0" fontId="20" fillId="0" borderId="29" xfId="0" applyFont="1" applyBorder="1" applyAlignment="1">
      <alignment horizontal="center" vertical="center" wrapText="1"/>
    </xf>
    <xf numFmtId="0" fontId="74" fillId="8" borderId="72" xfId="0" applyFont="1" applyFill="1" applyBorder="1"/>
    <xf numFmtId="184" fontId="74" fillId="0" borderId="0" xfId="0" applyNumberFormat="1" applyFont="1"/>
    <xf numFmtId="0" fontId="77" fillId="0" borderId="0" xfId="0" applyFont="1"/>
    <xf numFmtId="178" fontId="0" fillId="6" borderId="66" xfId="0" applyNumberFormat="1" applyFill="1" applyBorder="1" applyAlignment="1" applyProtection="1">
      <alignment horizontal="right" vertical="center"/>
      <protection locked="0"/>
    </xf>
    <xf numFmtId="178" fontId="0" fillId="6" borderId="42" xfId="0" applyNumberFormat="1" applyFill="1" applyBorder="1" applyAlignment="1" applyProtection="1">
      <alignment horizontal="right" vertical="center"/>
      <protection locked="0"/>
    </xf>
    <xf numFmtId="178" fontId="0" fillId="6" borderId="43" xfId="0" applyNumberFormat="1" applyFill="1" applyBorder="1" applyAlignment="1" applyProtection="1">
      <alignment horizontal="right" vertical="center"/>
      <protection locked="0"/>
    </xf>
    <xf numFmtId="0" fontId="74" fillId="0" borderId="0" xfId="0" applyFont="1" applyAlignment="1">
      <alignment horizontal="left"/>
    </xf>
    <xf numFmtId="165" fontId="74" fillId="0" borderId="0" xfId="49" applyFont="1" applyFill="1" applyBorder="1" applyAlignment="1" applyProtection="1">
      <alignment horizontal="right"/>
    </xf>
    <xf numFmtId="0" fontId="74" fillId="0" borderId="0" xfId="0" applyFont="1" applyAlignment="1">
      <alignment horizontal="right"/>
    </xf>
    <xf numFmtId="0" fontId="73" fillId="0" borderId="29" xfId="33" applyFont="1" applyBorder="1"/>
    <xf numFmtId="0" fontId="0" fillId="0" borderId="0" xfId="0" quotePrefix="1" applyAlignment="1">
      <alignment horizontal="left" vertical="top"/>
    </xf>
    <xf numFmtId="10" fontId="62" fillId="0" borderId="114" xfId="38" applyNumberFormat="1" applyFont="1" applyFill="1" applyBorder="1" applyAlignment="1" applyProtection="1">
      <alignment horizontal="center"/>
      <protection locked="0"/>
    </xf>
    <xf numFmtId="0" fontId="73" fillId="0" borderId="0" xfId="0" applyFont="1" applyAlignment="1">
      <alignment horizontal="left" vertical="center"/>
    </xf>
    <xf numFmtId="0" fontId="32" fillId="0" borderId="92" xfId="0" applyFont="1" applyBorder="1" applyAlignment="1">
      <alignment horizontal="center"/>
    </xf>
    <xf numFmtId="0" fontId="24" fillId="0" borderId="94" xfId="0" applyFont="1" applyBorder="1" applyAlignment="1">
      <alignment horizontal="center"/>
    </xf>
    <xf numFmtId="0" fontId="24" fillId="0" borderId="92" xfId="0" applyFont="1" applyBorder="1" applyAlignment="1">
      <alignment horizontal="center"/>
    </xf>
    <xf numFmtId="0" fontId="28" fillId="0" borderId="126" xfId="0" applyFont="1" applyBorder="1"/>
    <xf numFmtId="0" fontId="27" fillId="0" borderId="127" xfId="0" applyFont="1" applyBorder="1" applyAlignment="1">
      <alignment horizontal="left" indent="1"/>
    </xf>
    <xf numFmtId="0" fontId="0" fillId="0" borderId="127" xfId="0" applyBorder="1" applyAlignment="1">
      <alignment vertical="center" wrapText="1"/>
    </xf>
    <xf numFmtId="0" fontId="28" fillId="0" borderId="128" xfId="0" applyFont="1" applyBorder="1"/>
    <xf numFmtId="0" fontId="47" fillId="0" borderId="0" xfId="0" applyFont="1" applyAlignment="1" applyProtection="1">
      <alignment horizontal="center" vertical="center"/>
      <protection locked="0"/>
    </xf>
    <xf numFmtId="0" fontId="0" fillId="0" borderId="129" xfId="0" applyBorder="1"/>
    <xf numFmtId="0" fontId="0" fillId="0" borderId="127" xfId="0" applyBorder="1"/>
    <xf numFmtId="0" fontId="0" fillId="0" borderId="128" xfId="0" applyBorder="1"/>
    <xf numFmtId="0" fontId="0" fillId="0" borderId="131" xfId="0" applyBorder="1"/>
    <xf numFmtId="0" fontId="24" fillId="0" borderId="133" xfId="0" applyFont="1" applyBorder="1"/>
    <xf numFmtId="0" fontId="24" fillId="0" borderId="134" xfId="0" applyFont="1" applyBorder="1"/>
    <xf numFmtId="49" fontId="24" fillId="17" borderId="125" xfId="0" applyNumberFormat="1" applyFont="1" applyFill="1" applyBorder="1" applyAlignment="1">
      <alignment horizontal="center" vertical="center"/>
    </xf>
    <xf numFmtId="171" fontId="24" fillId="17" borderId="125" xfId="48" applyFont="1" applyFill="1" applyBorder="1" applyAlignment="1" applyProtection="1">
      <alignment horizontal="center" vertical="center"/>
    </xf>
    <xf numFmtId="10" fontId="24" fillId="17" borderId="125" xfId="37" applyNumberFormat="1" applyFont="1" applyFill="1" applyBorder="1" applyAlignment="1" applyProtection="1">
      <alignment horizontal="center" vertical="center"/>
    </xf>
    <xf numFmtId="0" fontId="0" fillId="22" borderId="124" xfId="0" applyFill="1" applyBorder="1"/>
    <xf numFmtId="0" fontId="0" fillId="22" borderId="125" xfId="0" applyFill="1" applyBorder="1"/>
    <xf numFmtId="0" fontId="0" fillId="21" borderId="124" xfId="0" applyFill="1" applyBorder="1"/>
    <xf numFmtId="0" fontId="0" fillId="21" borderId="125" xfId="0" applyFill="1" applyBorder="1"/>
    <xf numFmtId="171" fontId="56" fillId="0" borderId="123" xfId="48" applyBorder="1" applyAlignment="1" applyProtection="1">
      <alignment shrinkToFit="1"/>
    </xf>
    <xf numFmtId="171" fontId="74" fillId="0" borderId="123" xfId="48" applyFont="1" applyBorder="1" applyAlignment="1" applyProtection="1">
      <alignment shrinkToFit="1"/>
    </xf>
    <xf numFmtId="0" fontId="0" fillId="0" borderId="123" xfId="0" applyBorder="1" applyAlignment="1">
      <alignment horizontal="center" wrapText="1"/>
    </xf>
    <xf numFmtId="0" fontId="12" fillId="0" borderId="124" xfId="0" applyFont="1" applyBorder="1"/>
    <xf numFmtId="0" fontId="12" fillId="0" borderId="123" xfId="0" applyFont="1" applyBorder="1" applyAlignment="1">
      <alignment horizontal="center"/>
    </xf>
    <xf numFmtId="171" fontId="24" fillId="30" borderId="123" xfId="0" applyNumberFormat="1" applyFont="1" applyFill="1" applyBorder="1"/>
    <xf numFmtId="0" fontId="46" fillId="31" borderId="124" xfId="0" applyFont="1" applyFill="1" applyBorder="1" applyAlignment="1">
      <alignment horizontal="left" vertical="center"/>
    </xf>
    <xf numFmtId="171" fontId="56" fillId="31" borderId="123" xfId="48" applyFill="1" applyBorder="1" applyAlignment="1" applyProtection="1">
      <alignment horizontal="left" vertical="center" shrinkToFit="1"/>
    </xf>
    <xf numFmtId="171" fontId="56" fillId="18" borderId="123" xfId="48" applyFill="1" applyBorder="1" applyAlignment="1" applyProtection="1">
      <alignment horizontal="left" vertical="center" shrinkToFit="1"/>
    </xf>
    <xf numFmtId="0" fontId="0" fillId="18" borderId="124" xfId="0" applyFill="1" applyBorder="1"/>
    <xf numFmtId="0" fontId="0" fillId="18" borderId="125" xfId="0" applyFill="1" applyBorder="1"/>
    <xf numFmtId="0" fontId="0" fillId="18" borderId="123" xfId="0" applyFill="1" applyBorder="1" applyAlignment="1">
      <alignment horizontal="center"/>
    </xf>
    <xf numFmtId="0" fontId="0" fillId="0" borderId="123" xfId="0" applyBorder="1" applyAlignment="1">
      <alignment horizontal="center"/>
    </xf>
    <xf numFmtId="0" fontId="0" fillId="16" borderId="123" xfId="48" applyNumberFormat="1" applyFont="1" applyFill="1" applyBorder="1" applyAlignment="1" applyProtection="1">
      <alignment horizontal="left" vertical="center"/>
      <protection locked="0"/>
    </xf>
    <xf numFmtId="0" fontId="24" fillId="17" borderId="123" xfId="0" applyFont="1" applyFill="1" applyBorder="1" applyAlignment="1">
      <alignment horizontal="left" vertical="center"/>
    </xf>
    <xf numFmtId="0" fontId="47" fillId="21" borderId="124" xfId="0" applyFont="1" applyFill="1" applyBorder="1"/>
    <xf numFmtId="0" fontId="0" fillId="0" borderId="125" xfId="0" applyBorder="1"/>
    <xf numFmtId="0" fontId="0" fillId="4" borderId="124" xfId="0" applyFill="1" applyBorder="1"/>
    <xf numFmtId="0" fontId="0" fillId="4" borderId="125" xfId="0" applyFill="1" applyBorder="1"/>
    <xf numFmtId="0" fontId="46" fillId="21" borderId="124" xfId="34" applyFont="1" applyFill="1" applyBorder="1" applyAlignment="1">
      <alignment horizontal="center"/>
    </xf>
    <xf numFmtId="0" fontId="46" fillId="21" borderId="125" xfId="34" applyFont="1" applyFill="1" applyBorder="1" applyAlignment="1">
      <alignment horizontal="center"/>
    </xf>
    <xf numFmtId="0" fontId="46" fillId="23" borderId="125" xfId="34" applyFont="1" applyFill="1" applyBorder="1"/>
    <xf numFmtId="0" fontId="46" fillId="22" borderId="124" xfId="34" applyFont="1" applyFill="1" applyBorder="1"/>
    <xf numFmtId="0" fontId="46" fillId="22" borderId="125" xfId="34" applyFont="1" applyFill="1" applyBorder="1"/>
    <xf numFmtId="0" fontId="46" fillId="24" borderId="125" xfId="34" applyFont="1" applyFill="1" applyBorder="1" applyAlignment="1">
      <alignment horizontal="center"/>
    </xf>
    <xf numFmtId="165" fontId="0" fillId="22" borderId="125" xfId="49" applyFont="1" applyFill="1" applyBorder="1" applyAlignment="1" applyProtection="1">
      <alignment horizontal="center"/>
    </xf>
    <xf numFmtId="0" fontId="24" fillId="0" borderId="124" xfId="0" applyFont="1" applyBorder="1" applyAlignment="1">
      <alignment horizontal="center" vertical="center" wrapText="1"/>
    </xf>
    <xf numFmtId="0" fontId="24" fillId="0" borderId="125" xfId="0" applyFont="1" applyBorder="1" applyAlignment="1">
      <alignment horizontal="center" vertical="center" wrapText="1"/>
    </xf>
    <xf numFmtId="0" fontId="0" fillId="0" borderId="124" xfId="0" applyBorder="1" applyAlignment="1">
      <alignment horizontal="center" wrapText="1"/>
    </xf>
    <xf numFmtId="178" fontId="17" fillId="8" borderId="124" xfId="0" applyNumberFormat="1" applyFont="1" applyFill="1" applyBorder="1" applyAlignment="1">
      <alignment horizontal="center" vertical="center"/>
    </xf>
    <xf numFmtId="178" fontId="17" fillId="8" borderId="125" xfId="0" applyNumberFormat="1" applyFont="1" applyFill="1" applyBorder="1" applyAlignment="1">
      <alignment horizontal="center" vertical="center"/>
    </xf>
    <xf numFmtId="49" fontId="56" fillId="0" borderId="135" xfId="50" applyNumberFormat="1" applyFont="1" applyBorder="1" applyAlignment="1">
      <alignment horizontal="center" vertical="center" wrapText="1"/>
    </xf>
    <xf numFmtId="49" fontId="56" fillId="0" borderId="135" xfId="50" quotePrefix="1" applyNumberFormat="1" applyFont="1" applyBorder="1" applyAlignment="1">
      <alignment horizontal="center" vertical="center" wrapText="1"/>
    </xf>
    <xf numFmtId="4" fontId="56" fillId="28" borderId="135" xfId="50" applyNumberFormat="1" applyFont="1" applyFill="1" applyBorder="1" applyAlignment="1">
      <alignment horizontal="center" vertical="center"/>
    </xf>
    <xf numFmtId="189" fontId="56" fillId="0" borderId="135" xfId="50" applyNumberFormat="1" applyFont="1" applyBorder="1" applyAlignment="1">
      <alignment horizontal="center" vertical="center"/>
    </xf>
    <xf numFmtId="2" fontId="56" fillId="0" borderId="135" xfId="50" applyNumberFormat="1" applyFont="1" applyBorder="1" applyAlignment="1">
      <alignment horizontal="center" vertical="center"/>
    </xf>
    <xf numFmtId="189" fontId="56" fillId="28" borderId="135" xfId="50" applyNumberFormat="1" applyFont="1" applyFill="1" applyBorder="1" applyAlignment="1">
      <alignment horizontal="center" vertical="center"/>
    </xf>
    <xf numFmtId="189" fontId="56" fillId="28" borderId="135" xfId="50" applyNumberFormat="1" applyFont="1" applyFill="1" applyBorder="1" applyAlignment="1">
      <alignment horizontal="center" vertical="center" wrapText="1"/>
    </xf>
    <xf numFmtId="1" fontId="56" fillId="0" borderId="135" xfId="50" applyNumberFormat="1" applyFont="1" applyBorder="1" applyAlignment="1">
      <alignment horizontal="center" vertical="center" wrapText="1"/>
    </xf>
    <xf numFmtId="4" fontId="56" fillId="0" borderId="135" xfId="50" applyNumberFormat="1" applyFont="1" applyBorder="1" applyAlignment="1">
      <alignment horizontal="center" vertical="center"/>
    </xf>
    <xf numFmtId="0" fontId="56" fillId="0" borderId="137" xfId="50" applyFont="1" applyBorder="1" applyAlignment="1">
      <alignment horizontal="center" vertical="center" wrapText="1"/>
    </xf>
    <xf numFmtId="0" fontId="56" fillId="0" borderId="136" xfId="50" applyFont="1" applyBorder="1" applyAlignment="1">
      <alignment horizontal="center" vertical="center" wrapText="1"/>
    </xf>
    <xf numFmtId="49" fontId="56" fillId="0" borderId="138" xfId="50" applyNumberFormat="1" applyFont="1" applyBorder="1" applyAlignment="1">
      <alignment horizontal="center" vertical="center" wrapText="1"/>
    </xf>
    <xf numFmtId="49" fontId="56" fillId="0" borderId="138" xfId="50" quotePrefix="1" applyNumberFormat="1" applyFont="1" applyBorder="1" applyAlignment="1">
      <alignment horizontal="center" vertical="center" wrapText="1"/>
    </xf>
    <xf numFmtId="4" fontId="56" fillId="28" borderId="138" xfId="50" applyNumberFormat="1" applyFont="1" applyFill="1" applyBorder="1" applyAlignment="1">
      <alignment horizontal="center" vertical="center"/>
    </xf>
    <xf numFmtId="189" fontId="56" fillId="0" borderId="138" xfId="50" applyNumberFormat="1" applyFont="1" applyBorder="1" applyAlignment="1">
      <alignment horizontal="center" vertical="center"/>
    </xf>
    <xf numFmtId="10" fontId="56" fillId="0" borderId="138" xfId="37" applyNumberFormat="1" applyBorder="1" applyAlignment="1">
      <alignment horizontal="center" vertical="center"/>
    </xf>
    <xf numFmtId="189" fontId="56" fillId="28" borderId="138" xfId="50" applyNumberFormat="1" applyFont="1" applyFill="1" applyBorder="1" applyAlignment="1">
      <alignment horizontal="center" vertical="center"/>
    </xf>
    <xf numFmtId="1" fontId="56" fillId="0" borderId="138" xfId="50" applyNumberFormat="1" applyFont="1" applyBorder="1" applyAlignment="1">
      <alignment horizontal="center" vertical="center" wrapText="1"/>
    </xf>
    <xf numFmtId="4" fontId="56" fillId="0" borderId="138" xfId="50" applyNumberFormat="1" applyFont="1" applyBorder="1" applyAlignment="1">
      <alignment horizontal="center" vertical="center"/>
    </xf>
    <xf numFmtId="0" fontId="56" fillId="0" borderId="140" xfId="50" applyFont="1" applyBorder="1" applyAlignment="1">
      <alignment horizontal="center" vertical="center" wrapText="1"/>
    </xf>
    <xf numFmtId="2" fontId="56" fillId="0" borderId="140" xfId="50" applyNumberFormat="1" applyFont="1" applyBorder="1" applyAlignment="1">
      <alignment horizontal="center" vertical="center"/>
    </xf>
    <xf numFmtId="0" fontId="56" fillId="0" borderId="139" xfId="50" applyFont="1" applyBorder="1" applyAlignment="1">
      <alignment horizontal="center" vertical="center" wrapText="1"/>
    </xf>
    <xf numFmtId="0" fontId="18" fillId="0" borderId="130" xfId="0" applyFont="1" applyBorder="1" applyAlignment="1">
      <alignment horizontal="center" vertical="center"/>
    </xf>
    <xf numFmtId="0" fontId="19" fillId="20" borderId="0" xfId="0" applyFont="1" applyFill="1" applyAlignment="1">
      <alignment horizontal="center" vertical="center"/>
    </xf>
    <xf numFmtId="0" fontId="12" fillId="0" borderId="98" xfId="0" applyFont="1" applyBorder="1" applyAlignment="1">
      <alignment horizontal="center" vertical="center"/>
    </xf>
    <xf numFmtId="0" fontId="24" fillId="0" borderId="132" xfId="0" applyFont="1" applyBorder="1" applyAlignment="1">
      <alignment horizontal="center"/>
    </xf>
    <xf numFmtId="0" fontId="0" fillId="0" borderId="13" xfId="33" applyFont="1" applyBorder="1" applyAlignment="1">
      <alignment horizontal="left" vertical="top" wrapText="1"/>
    </xf>
    <xf numFmtId="0" fontId="0" fillId="0" borderId="30" xfId="0" applyBorder="1" applyAlignment="1">
      <alignment horizontal="center"/>
    </xf>
    <xf numFmtId="0" fontId="24" fillId="0" borderId="13" xfId="0" applyFont="1" applyBorder="1" applyAlignment="1">
      <alignment horizontal="center"/>
    </xf>
    <xf numFmtId="0" fontId="24" fillId="0" borderId="30" xfId="35" applyFont="1" applyBorder="1" applyAlignment="1">
      <alignment horizontal="left" vertical="top"/>
    </xf>
    <xf numFmtId="0" fontId="8" fillId="0" borderId="31" xfId="33" applyFont="1" applyBorder="1" applyAlignment="1">
      <alignment horizontal="left"/>
    </xf>
    <xf numFmtId="10" fontId="8" fillId="6" borderId="31" xfId="33" applyNumberFormat="1" applyFont="1" applyFill="1" applyBorder="1" applyAlignment="1" applyProtection="1">
      <alignment horizontal="center"/>
      <protection locked="0"/>
    </xf>
    <xf numFmtId="0" fontId="8" fillId="0" borderId="13" xfId="32" applyNumberFormat="1" applyFont="1" applyFill="1" applyBorder="1" applyAlignment="1" applyProtection="1">
      <alignment horizontal="left" wrapText="1"/>
    </xf>
    <xf numFmtId="0" fontId="8" fillId="0" borderId="31" xfId="33" applyFont="1" applyBorder="1" applyAlignment="1">
      <alignment horizontal="left" wrapText="1"/>
    </xf>
    <xf numFmtId="0" fontId="24" fillId="0" borderId="31" xfId="33" applyFont="1" applyBorder="1" applyAlignment="1">
      <alignment horizontal="center" vertical="center"/>
    </xf>
    <xf numFmtId="164" fontId="8" fillId="16" borderId="13" xfId="32" applyFont="1" applyFill="1" applyBorder="1" applyAlignment="1" applyProtection="1">
      <alignment horizontal="left"/>
      <protection locked="0"/>
    </xf>
    <xf numFmtId="4" fontId="17" fillId="0" borderId="31" xfId="33" applyNumberFormat="1" applyFont="1" applyBorder="1" applyAlignment="1">
      <alignment horizontal="center" vertical="center" wrapText="1"/>
    </xf>
    <xf numFmtId="0" fontId="17" fillId="0" borderId="31" xfId="33" applyFont="1" applyBorder="1" applyAlignment="1">
      <alignment horizontal="center" vertical="center"/>
    </xf>
    <xf numFmtId="0" fontId="23" fillId="0" borderId="31" xfId="33" applyFont="1" applyBorder="1" applyAlignment="1">
      <alignment horizontal="center"/>
    </xf>
    <xf numFmtId="0" fontId="0" fillId="0" borderId="31" xfId="33" applyFont="1" applyBorder="1" applyAlignment="1">
      <alignment horizontal="center" vertical="center" wrapText="1"/>
    </xf>
    <xf numFmtId="4" fontId="30" fillId="0" borderId="124" xfId="33" applyNumberFormat="1" applyFont="1" applyBorder="1" applyAlignment="1">
      <alignment horizontal="center" vertical="center"/>
    </xf>
    <xf numFmtId="4" fontId="30" fillId="0" borderId="125" xfId="33" applyNumberFormat="1" applyFont="1" applyBorder="1" applyAlignment="1">
      <alignment horizontal="center" vertical="center"/>
    </xf>
    <xf numFmtId="4" fontId="30" fillId="0" borderId="44" xfId="33" applyNumberFormat="1" applyFont="1" applyBorder="1" applyAlignment="1">
      <alignment horizontal="center" vertical="center"/>
    </xf>
    <xf numFmtId="4" fontId="30" fillId="0" borderId="31" xfId="33" applyNumberFormat="1" applyFont="1" applyBorder="1" applyAlignment="1">
      <alignment horizontal="center" vertical="center"/>
    </xf>
    <xf numFmtId="0" fontId="33" fillId="0" borderId="0" xfId="0" applyFont="1" applyAlignment="1">
      <alignment horizontal="center" vertical="top"/>
    </xf>
    <xf numFmtId="0" fontId="8" fillId="0" borderId="31" xfId="33" applyFont="1" applyBorder="1" applyAlignment="1">
      <alignment horizontal="left" vertical="center" wrapText="1"/>
    </xf>
    <xf numFmtId="0" fontId="30" fillId="8" borderId="31" xfId="33" applyFont="1" applyFill="1" applyBorder="1" applyAlignment="1">
      <alignment horizontal="center" vertical="center" wrapText="1"/>
    </xf>
    <xf numFmtId="0" fontId="32" fillId="0" borderId="0" xfId="33" applyFont="1" applyAlignment="1">
      <alignment horizontal="left" vertical="center" indent="1"/>
    </xf>
    <xf numFmtId="0" fontId="0" fillId="0" borderId="0" xfId="33" applyFont="1" applyAlignment="1">
      <alignment horizontal="center" vertical="center"/>
    </xf>
    <xf numFmtId="0" fontId="33" fillId="0" borderId="0" xfId="0" applyFont="1" applyAlignment="1">
      <alignment horizontal="right" vertical="center"/>
    </xf>
    <xf numFmtId="0" fontId="0" fillId="0" borderId="10" xfId="33" applyFont="1" applyBorder="1" applyAlignment="1">
      <alignment horizontal="left" vertical="center"/>
    </xf>
    <xf numFmtId="167" fontId="0" fillId="0" borderId="29" xfId="33" applyNumberFormat="1" applyFont="1" applyBorder="1" applyAlignment="1">
      <alignment horizontal="left"/>
    </xf>
    <xf numFmtId="186" fontId="0" fillId="0" borderId="29" xfId="33" applyNumberFormat="1" applyFont="1" applyBorder="1" applyAlignment="1">
      <alignment horizontal="left"/>
    </xf>
    <xf numFmtId="0" fontId="24" fillId="0" borderId="0" xfId="33" applyFont="1" applyAlignment="1">
      <alignment horizontal="left" vertical="center"/>
    </xf>
    <xf numFmtId="0" fontId="17" fillId="0" borderId="0" xfId="33" applyFont="1" applyAlignment="1">
      <alignment horizontal="left" vertical="center"/>
    </xf>
    <xf numFmtId="0" fontId="34" fillId="0" borderId="0" xfId="0" applyFont="1" applyAlignment="1">
      <alignment horizontal="center"/>
    </xf>
    <xf numFmtId="0" fontId="33" fillId="0" borderId="0" xfId="0" applyFont="1" applyAlignment="1">
      <alignment horizontal="left" vertical="center"/>
    </xf>
    <xf numFmtId="49" fontId="0" fillId="6" borderId="31" xfId="33" applyNumberFormat="1" applyFont="1" applyFill="1" applyBorder="1" applyAlignment="1" applyProtection="1">
      <alignment horizontal="left" vertical="top" wrapText="1"/>
      <protection locked="0"/>
    </xf>
    <xf numFmtId="0" fontId="39" fillId="0" borderId="0" xfId="0" applyFont="1" applyAlignment="1">
      <alignment horizontal="center" textRotation="90"/>
    </xf>
    <xf numFmtId="186" fontId="0" fillId="0" borderId="0" xfId="0" applyNumberFormat="1" applyAlignment="1">
      <alignment horizontal="left"/>
    </xf>
    <xf numFmtId="0" fontId="24" fillId="17" borderId="124" xfId="0" applyFont="1" applyFill="1" applyBorder="1" applyAlignment="1">
      <alignment horizontal="left" vertical="center" wrapText="1"/>
    </xf>
    <xf numFmtId="0" fontId="24" fillId="17" borderId="125" xfId="0" applyFont="1" applyFill="1" applyBorder="1" applyAlignment="1">
      <alignment horizontal="left" vertical="center" wrapText="1"/>
    </xf>
    <xf numFmtId="0" fontId="30" fillId="0" borderId="31" xfId="0" applyFont="1" applyBorder="1" applyAlignment="1" applyProtection="1">
      <alignment horizontal="left" vertical="center"/>
      <protection locked="0"/>
    </xf>
    <xf numFmtId="0" fontId="30" fillId="6" borderId="13" xfId="0" applyFont="1" applyFill="1" applyBorder="1" applyAlignment="1" applyProtection="1">
      <alignment horizontal="left" vertical="top" wrapText="1"/>
      <protection locked="0"/>
    </xf>
    <xf numFmtId="0" fontId="17" fillId="0" borderId="31" xfId="0" applyFont="1" applyBorder="1" applyAlignment="1">
      <alignment horizontal="left" wrapText="1"/>
    </xf>
    <xf numFmtId="167" fontId="0" fillId="0" borderId="29" xfId="0" applyNumberFormat="1" applyBorder="1" applyAlignment="1">
      <alignment horizontal="left"/>
    </xf>
    <xf numFmtId="0" fontId="0" fillId="0" borderId="31" xfId="0" applyBorder="1" applyAlignment="1">
      <alignment horizontal="left" wrapText="1"/>
    </xf>
    <xf numFmtId="0" fontId="0" fillId="14" borderId="0" xfId="0" applyFill="1" applyAlignment="1">
      <alignment horizontal="left"/>
    </xf>
    <xf numFmtId="0" fontId="0" fillId="0" borderId="45" xfId="33" applyFont="1" applyBorder="1" applyAlignment="1">
      <alignment horizontal="left" vertical="top" wrapText="1"/>
    </xf>
    <xf numFmtId="0" fontId="0" fillId="0" borderId="31" xfId="0" applyBorder="1" applyAlignment="1">
      <alignment horizontal="center"/>
    </xf>
    <xf numFmtId="0" fontId="24" fillId="0" borderId="32" xfId="35" applyFont="1" applyBorder="1" applyAlignment="1">
      <alignment horizontal="left" vertical="top"/>
    </xf>
    <xf numFmtId="0" fontId="60" fillId="0" borderId="0" xfId="0" applyFont="1" applyAlignment="1">
      <alignment horizontal="center" textRotation="90" wrapText="1"/>
    </xf>
    <xf numFmtId="0" fontId="24" fillId="0" borderId="12" xfId="0" applyFont="1" applyBorder="1" applyAlignment="1">
      <alignment horizontal="center"/>
    </xf>
    <xf numFmtId="0" fontId="39" fillId="0" borderId="0" xfId="0" applyFont="1" applyAlignment="1">
      <alignment horizontal="center" textRotation="90" wrapText="1"/>
    </xf>
    <xf numFmtId="0" fontId="1" fillId="0" borderId="85" xfId="0" applyFont="1" applyBorder="1" applyAlignment="1">
      <alignment horizontal="center" vertical="center" wrapText="1"/>
    </xf>
    <xf numFmtId="0" fontId="1" fillId="0" borderId="87" xfId="0" applyFont="1" applyBorder="1" applyAlignment="1">
      <alignment horizontal="center" vertical="center" wrapText="1"/>
    </xf>
    <xf numFmtId="0" fontId="1" fillId="0" borderId="89" xfId="0" applyFont="1" applyBorder="1" applyAlignment="1">
      <alignment horizontal="center" vertical="center" wrapText="1"/>
    </xf>
    <xf numFmtId="0" fontId="0" fillId="16" borderId="106" xfId="0" applyFill="1" applyBorder="1" applyAlignment="1" applyProtection="1">
      <alignment horizontal="left" vertical="center"/>
      <protection locked="0"/>
    </xf>
    <xf numFmtId="0" fontId="0" fillId="16" borderId="107" xfId="0" applyFill="1" applyBorder="1" applyAlignment="1" applyProtection="1">
      <alignment horizontal="left" vertical="center"/>
      <protection locked="0"/>
    </xf>
    <xf numFmtId="0" fontId="1" fillId="0" borderId="123" xfId="0" applyFont="1" applyBorder="1" applyAlignment="1">
      <alignment horizontal="center" vertical="center" wrapText="1"/>
    </xf>
    <xf numFmtId="0" fontId="31" fillId="0" borderId="0" xfId="0" applyFont="1" applyAlignment="1">
      <alignment horizontal="center" vertical="top" wrapText="1"/>
    </xf>
    <xf numFmtId="0" fontId="46" fillId="0" borderId="100" xfId="34" applyFont="1" applyBorder="1" applyAlignment="1">
      <alignment horizontal="left"/>
    </xf>
    <xf numFmtId="0" fontId="46" fillId="0" borderId="90" xfId="34" applyFont="1" applyBorder="1" applyAlignment="1">
      <alignment horizontal="left"/>
    </xf>
    <xf numFmtId="0" fontId="46" fillId="0" borderId="108" xfId="34" applyFont="1" applyBorder="1" applyAlignment="1">
      <alignment horizontal="left"/>
    </xf>
    <xf numFmtId="0" fontId="23" fillId="0" borderId="0" xfId="0" applyFont="1" applyAlignment="1">
      <alignment horizontal="left" vertical="center" indent="10"/>
    </xf>
    <xf numFmtId="0" fontId="37" fillId="0" borderId="0" xfId="0" applyFont="1" applyAlignment="1">
      <alignment horizontal="left" vertical="center" indent="10"/>
    </xf>
    <xf numFmtId="0" fontId="24" fillId="17" borderId="31" xfId="0" applyFont="1" applyFill="1" applyBorder="1" applyAlignment="1">
      <alignment horizontal="left" vertical="center" wrapText="1"/>
    </xf>
    <xf numFmtId="10" fontId="46" fillId="32" borderId="103" xfId="37" applyNumberFormat="1" applyFont="1" applyFill="1" applyBorder="1" applyAlignment="1" applyProtection="1">
      <alignment horizontal="center"/>
    </xf>
    <xf numFmtId="10" fontId="46" fillId="32" borderId="105" xfId="37" applyNumberFormat="1" applyFont="1" applyFill="1" applyBorder="1" applyAlignment="1" applyProtection="1">
      <alignment horizontal="center"/>
    </xf>
    <xf numFmtId="10" fontId="56" fillId="32" borderId="103" xfId="37" applyNumberFormat="1" applyFill="1" applyBorder="1" applyAlignment="1" applyProtection="1">
      <alignment horizontal="center" shrinkToFit="1"/>
    </xf>
    <xf numFmtId="10" fontId="56" fillId="32" borderId="105" xfId="37" applyNumberFormat="1" applyFill="1" applyBorder="1" applyAlignment="1" applyProtection="1">
      <alignment horizontal="center" shrinkToFit="1"/>
    </xf>
    <xf numFmtId="171" fontId="56" fillId="0" borderId="103" xfId="48" applyBorder="1" applyAlignment="1" applyProtection="1">
      <alignment horizontal="center" shrinkToFit="1"/>
    </xf>
    <xf numFmtId="171" fontId="56" fillId="0" borderId="105" xfId="48" applyBorder="1" applyAlignment="1" applyProtection="1">
      <alignment horizontal="center" shrinkToFit="1"/>
    </xf>
    <xf numFmtId="0" fontId="12" fillId="0" borderId="102" xfId="0" applyFont="1" applyBorder="1" applyAlignment="1">
      <alignment horizontal="right" vertical="center"/>
    </xf>
    <xf numFmtId="0" fontId="12" fillId="0" borderId="104" xfId="0" applyFont="1" applyBorder="1" applyAlignment="1">
      <alignment horizontal="right" vertical="center"/>
    </xf>
    <xf numFmtId="10" fontId="46" fillId="32" borderId="123" xfId="37" applyNumberFormat="1" applyFont="1" applyFill="1" applyBorder="1" applyAlignment="1" applyProtection="1">
      <alignment horizontal="center"/>
    </xf>
    <xf numFmtId="188" fontId="46" fillId="0" borderId="123" xfId="48" applyNumberFormat="1" applyFont="1" applyBorder="1" applyAlignment="1" applyProtection="1">
      <alignment horizontal="center" shrinkToFit="1"/>
    </xf>
    <xf numFmtId="188" fontId="46" fillId="0" borderId="103" xfId="48" applyNumberFormat="1" applyFont="1" applyBorder="1" applyAlignment="1" applyProtection="1">
      <alignment horizontal="center" shrinkToFit="1"/>
    </xf>
    <xf numFmtId="188" fontId="46" fillId="0" borderId="105" xfId="48" applyNumberFormat="1" applyFont="1" applyBorder="1" applyAlignment="1" applyProtection="1">
      <alignment horizontal="center" shrinkToFit="1"/>
    </xf>
    <xf numFmtId="187" fontId="49" fillId="20" borderId="123" xfId="37" applyNumberFormat="1" applyFont="1" applyFill="1" applyBorder="1" applyAlignment="1" applyProtection="1">
      <alignment horizontal="center"/>
    </xf>
    <xf numFmtId="0" fontId="24" fillId="8" borderId="1" xfId="0" applyFont="1" applyFill="1" applyBorder="1" applyAlignment="1">
      <alignment horizontal="center" wrapText="1"/>
    </xf>
    <xf numFmtId="186" fontId="63" fillId="0" borderId="29" xfId="0" applyNumberFormat="1" applyFont="1" applyBorder="1" applyAlignment="1">
      <alignment horizontal="left"/>
    </xf>
    <xf numFmtId="171" fontId="56" fillId="0" borderId="123" xfId="48" applyBorder="1" applyAlignment="1" applyProtection="1">
      <alignment horizontal="center" shrinkToFit="1"/>
    </xf>
    <xf numFmtId="0" fontId="0" fillId="0" borderId="89" xfId="0" applyBorder="1" applyAlignment="1">
      <alignment horizontal="center" wrapText="1"/>
    </xf>
    <xf numFmtId="0" fontId="0" fillId="0" borderId="90" xfId="0" applyBorder="1" applyAlignment="1">
      <alignment horizontal="center" wrapText="1"/>
    </xf>
    <xf numFmtId="0" fontId="0" fillId="0" borderId="91" xfId="0" applyBorder="1" applyAlignment="1">
      <alignment horizontal="center" wrapText="1"/>
    </xf>
    <xf numFmtId="0" fontId="46" fillId="0" borderId="91" xfId="34" applyFont="1" applyBorder="1" applyAlignment="1">
      <alignment horizontal="left"/>
    </xf>
    <xf numFmtId="0" fontId="12" fillId="0" borderId="119" xfId="0" applyFont="1" applyBorder="1" applyAlignment="1">
      <alignment horizontal="right" vertical="center"/>
    </xf>
    <xf numFmtId="0" fontId="46" fillId="0" borderId="13" xfId="34" applyFont="1" applyBorder="1" applyAlignment="1">
      <alignment horizontal="left"/>
    </xf>
    <xf numFmtId="0" fontId="46" fillId="0" borderId="0" xfId="34" applyFont="1" applyAlignment="1">
      <alignment horizontal="center" wrapText="1"/>
    </xf>
    <xf numFmtId="0" fontId="46" fillId="0" borderId="45" xfId="34" applyFont="1" applyBorder="1" applyAlignment="1">
      <alignment horizontal="left"/>
    </xf>
    <xf numFmtId="0" fontId="46" fillId="0" borderId="31" xfId="34" applyFont="1" applyBorder="1" applyAlignment="1">
      <alignment horizontal="center" wrapText="1"/>
    </xf>
    <xf numFmtId="0" fontId="49" fillId="0" borderId="124" xfId="34" applyFont="1" applyBorder="1" applyAlignment="1">
      <alignment horizontal="center" vertical="center" wrapText="1"/>
    </xf>
    <xf numFmtId="0" fontId="49" fillId="0" borderId="125" xfId="34" applyFont="1" applyBorder="1" applyAlignment="1">
      <alignment horizontal="left" vertical="center" wrapText="1"/>
    </xf>
    <xf numFmtId="186" fontId="0" fillId="0" borderId="29" xfId="0" applyNumberFormat="1" applyBorder="1" applyAlignment="1">
      <alignment horizontal="left"/>
    </xf>
    <xf numFmtId="0" fontId="0" fillId="16" borderId="109" xfId="0" applyFill="1" applyBorder="1" applyAlignment="1" applyProtection="1">
      <alignment horizontal="left" vertical="center"/>
      <protection locked="0"/>
    </xf>
    <xf numFmtId="165" fontId="24" fillId="0" borderId="44" xfId="49" applyFont="1" applyFill="1" applyBorder="1" applyAlignment="1" applyProtection="1">
      <alignment horizontal="center" vertical="center" wrapText="1"/>
    </xf>
    <xf numFmtId="173" fontId="24" fillId="0" borderId="31" xfId="48" applyNumberFormat="1" applyFont="1" applyFill="1" applyBorder="1" applyAlignment="1" applyProtection="1">
      <alignment horizontal="center" vertical="center"/>
    </xf>
    <xf numFmtId="165" fontId="0" fillId="0" borderId="13" xfId="49" applyFont="1" applyFill="1" applyBorder="1" applyAlignment="1" applyProtection="1">
      <alignment horizontal="left"/>
    </xf>
    <xf numFmtId="0" fontId="22" fillId="0" borderId="29" xfId="34" applyFont="1" applyBorder="1" applyAlignment="1">
      <alignment horizontal="center" vertical="center" wrapText="1"/>
    </xf>
    <xf numFmtId="0" fontId="50" fillId="0" borderId="11" xfId="34" applyFont="1" applyBorder="1" applyAlignment="1">
      <alignment horizontal="left" vertical="top"/>
    </xf>
    <xf numFmtId="4" fontId="24" fillId="0" borderId="32" xfId="0" applyNumberFormat="1" applyFont="1" applyBorder="1" applyAlignment="1">
      <alignment horizontal="left"/>
    </xf>
    <xf numFmtId="0" fontId="24" fillId="0" borderId="30" xfId="35" applyFont="1" applyBorder="1" applyAlignment="1">
      <alignment horizontal="center"/>
    </xf>
    <xf numFmtId="49" fontId="0" fillId="0" borderId="45" xfId="0" applyNumberFormat="1" applyBorder="1" applyAlignment="1">
      <alignment horizontal="left"/>
    </xf>
    <xf numFmtId="0" fontId="0" fillId="0" borderId="0" xfId="0" applyAlignment="1">
      <alignment horizontal="center" wrapText="1"/>
    </xf>
    <xf numFmtId="0" fontId="24" fillId="8" borderId="44" xfId="0" applyFont="1" applyFill="1" applyBorder="1" applyAlignment="1">
      <alignment horizontal="center" vertical="center"/>
    </xf>
    <xf numFmtId="0" fontId="53" fillId="0" borderId="124" xfId="0" applyFont="1" applyBorder="1" applyAlignment="1">
      <alignment horizontal="center" vertical="center" wrapText="1"/>
    </xf>
    <xf numFmtId="0" fontId="22" fillId="0" borderId="0" xfId="0" applyFont="1" applyAlignment="1">
      <alignment horizontal="center" vertical="center" wrapText="1"/>
    </xf>
    <xf numFmtId="0" fontId="24" fillId="0" borderId="0" xfId="0" applyFont="1" applyAlignment="1">
      <alignment horizontal="center" wrapText="1"/>
    </xf>
    <xf numFmtId="0" fontId="0" fillId="0" borderId="39" xfId="0" applyBorder="1" applyAlignment="1">
      <alignment horizontal="left"/>
    </xf>
    <xf numFmtId="177" fontId="56" fillId="0" borderId="29" xfId="48" applyNumberFormat="1" applyFill="1" applyBorder="1" applyAlignment="1" applyProtection="1">
      <alignment horizontal="center" shrinkToFit="1"/>
    </xf>
    <xf numFmtId="177" fontId="56" fillId="0" borderId="13" xfId="48" applyNumberFormat="1" applyFill="1" applyBorder="1" applyAlignment="1" applyProtection="1">
      <alignment horizontal="center" shrinkToFit="1"/>
    </xf>
    <xf numFmtId="10" fontId="56" fillId="0" borderId="30" xfId="37" applyNumberFormat="1" applyFill="1" applyBorder="1" applyAlignment="1" applyProtection="1">
      <alignment horizontal="center"/>
    </xf>
    <xf numFmtId="10" fontId="56" fillId="0" borderId="0" xfId="37" applyNumberFormat="1" applyFill="1" applyBorder="1" applyAlignment="1" applyProtection="1">
      <alignment horizontal="center"/>
    </xf>
    <xf numFmtId="14" fontId="0" fillId="6" borderId="46" xfId="0" applyNumberFormat="1" applyFill="1" applyBorder="1" applyAlignment="1" applyProtection="1">
      <alignment horizontal="center"/>
      <protection locked="0"/>
    </xf>
    <xf numFmtId="176" fontId="24" fillId="8" borderId="31" xfId="0" applyNumberFormat="1" applyFont="1" applyFill="1" applyBorder="1" applyAlignment="1">
      <alignment horizontal="center" shrinkToFit="1"/>
    </xf>
    <xf numFmtId="10" fontId="56" fillId="0" borderId="78" xfId="37" applyNumberFormat="1" applyFill="1" applyBorder="1" applyAlignment="1" applyProtection="1">
      <alignment horizontal="center"/>
    </xf>
    <xf numFmtId="0" fontId="24" fillId="0" borderId="31" xfId="0" applyFont="1" applyBorder="1" applyAlignment="1">
      <alignment horizontal="right" vertical="center"/>
    </xf>
    <xf numFmtId="10" fontId="56" fillId="0" borderId="33" xfId="37" applyNumberFormat="1" applyFill="1" applyBorder="1" applyAlignment="1" applyProtection="1">
      <alignment horizontal="center"/>
    </xf>
    <xf numFmtId="10" fontId="56" fillId="0" borderId="10" xfId="37" applyNumberFormat="1" applyFill="1" applyBorder="1" applyAlignment="1" applyProtection="1">
      <alignment horizontal="center"/>
    </xf>
    <xf numFmtId="0" fontId="24" fillId="8" borderId="31" xfId="0" applyFont="1" applyFill="1" applyBorder="1" applyAlignment="1">
      <alignment horizontal="center"/>
    </xf>
    <xf numFmtId="14" fontId="0" fillId="6" borderId="47" xfId="0" applyNumberFormat="1" applyFill="1" applyBorder="1" applyAlignment="1" applyProtection="1">
      <alignment horizontal="center"/>
      <protection locked="0"/>
    </xf>
    <xf numFmtId="0" fontId="0" fillId="18" borderId="39" xfId="0" applyFill="1" applyBorder="1"/>
    <xf numFmtId="0" fontId="31" fillId="0" borderId="99" xfId="0" applyFont="1" applyBorder="1" applyAlignment="1">
      <alignment horizontal="center" vertical="top" wrapText="1"/>
    </xf>
    <xf numFmtId="0" fontId="49" fillId="0" borderId="30" xfId="34" applyFont="1" applyBorder="1" applyAlignment="1">
      <alignment horizontal="center"/>
    </xf>
    <xf numFmtId="0" fontId="46" fillId="0" borderId="13" xfId="34" applyFont="1" applyBorder="1" applyAlignment="1">
      <alignment horizontal="center"/>
    </xf>
    <xf numFmtId="10" fontId="23" fillId="0" borderId="13" xfId="37" applyNumberFormat="1" applyFont="1" applyFill="1" applyBorder="1" applyAlignment="1" applyProtection="1">
      <alignment horizontal="center"/>
    </xf>
    <xf numFmtId="0" fontId="23" fillId="6" borderId="13" xfId="0" applyFont="1" applyFill="1" applyBorder="1" applyAlignment="1" applyProtection="1">
      <alignment horizontal="center"/>
      <protection locked="0"/>
    </xf>
    <xf numFmtId="0" fontId="23" fillId="0" borderId="13" xfId="0" applyFont="1" applyBorder="1" applyAlignment="1">
      <alignment horizontal="center"/>
    </xf>
    <xf numFmtId="14" fontId="0" fillId="6" borderId="36" xfId="0" applyNumberFormat="1" applyFill="1" applyBorder="1" applyAlignment="1" applyProtection="1">
      <alignment horizontal="center"/>
      <protection locked="0"/>
    </xf>
    <xf numFmtId="177" fontId="56" fillId="0" borderId="45" xfId="48" applyNumberFormat="1" applyFill="1" applyBorder="1" applyAlignment="1" applyProtection="1">
      <alignment horizontal="center" shrinkToFit="1"/>
    </xf>
    <xf numFmtId="10" fontId="56" fillId="0" borderId="32" xfId="37" applyNumberFormat="1" applyFill="1" applyBorder="1" applyAlignment="1" applyProtection="1">
      <alignment horizontal="center"/>
    </xf>
    <xf numFmtId="0" fontId="0" fillId="0" borderId="0" xfId="0" applyAlignment="1">
      <alignment horizontal="center"/>
    </xf>
    <xf numFmtId="0" fontId="0" fillId="0" borderId="13" xfId="0" applyBorder="1" applyAlignment="1">
      <alignment horizontal="center"/>
    </xf>
    <xf numFmtId="0" fontId="31" fillId="0" borderId="0" xfId="0" applyFont="1" applyAlignment="1">
      <alignment horizontal="center" vertical="center" wrapText="1"/>
    </xf>
    <xf numFmtId="0" fontId="23" fillId="6" borderId="32" xfId="0" applyFont="1" applyFill="1" applyBorder="1" applyAlignment="1">
      <alignment horizontal="left"/>
    </xf>
    <xf numFmtId="0" fontId="0" fillId="0" borderId="0" xfId="0" applyAlignment="1">
      <alignment horizontal="left" wrapText="1"/>
    </xf>
    <xf numFmtId="171" fontId="24" fillId="8" borderId="13" xfId="48" applyFont="1" applyFill="1" applyBorder="1" applyAlignment="1" applyProtection="1">
      <alignment horizontal="center" vertical="center" shrinkToFit="1"/>
    </xf>
    <xf numFmtId="0" fontId="30" fillId="0" borderId="30" xfId="0" applyFont="1" applyBorder="1" applyAlignment="1">
      <alignment horizontal="left" vertical="center"/>
    </xf>
    <xf numFmtId="0" fontId="0" fillId="0" borderId="30" xfId="0" applyBorder="1" applyAlignment="1">
      <alignment horizontal="left"/>
    </xf>
    <xf numFmtId="0" fontId="0" fillId="6" borderId="13" xfId="0" applyFill="1" applyBorder="1" applyAlignment="1" applyProtection="1">
      <alignment horizontal="left" vertical="top"/>
      <protection locked="0"/>
    </xf>
    <xf numFmtId="0" fontId="24" fillId="17" borderId="45" xfId="0" applyFont="1" applyFill="1" applyBorder="1" applyAlignment="1">
      <alignment horizontal="left" vertical="center" wrapText="1"/>
    </xf>
    <xf numFmtId="0" fontId="0" fillId="6" borderId="0" xfId="33" applyFont="1" applyFill="1" applyAlignment="1" applyProtection="1">
      <alignment horizontal="left" vertical="top"/>
      <protection locked="0"/>
    </xf>
    <xf numFmtId="0" fontId="0" fillId="0" borderId="0" xfId="0" applyAlignment="1">
      <alignment horizontal="left"/>
    </xf>
    <xf numFmtId="0" fontId="17" fillId="0" borderId="29" xfId="33" applyFont="1" applyBorder="1" applyAlignment="1">
      <alignment horizontal="center" vertical="center"/>
    </xf>
    <xf numFmtId="4" fontId="24" fillId="0" borderId="30" xfId="0" applyNumberFormat="1" applyFont="1" applyBorder="1" applyAlignment="1">
      <alignment horizontal="left"/>
    </xf>
    <xf numFmtId="49" fontId="0" fillId="0" borderId="13" xfId="0" applyNumberFormat="1" applyBorder="1" applyAlignment="1">
      <alignment horizontal="left"/>
    </xf>
    <xf numFmtId="0" fontId="24" fillId="0" borderId="33" xfId="0" applyFont="1" applyBorder="1" applyAlignment="1">
      <alignment horizontal="center"/>
    </xf>
    <xf numFmtId="0" fontId="53" fillId="0" borderId="31" xfId="0" applyFont="1" applyBorder="1" applyAlignment="1">
      <alignment horizontal="center" vertical="center" wrapText="1"/>
    </xf>
    <xf numFmtId="0" fontId="24" fillId="0" borderId="31" xfId="0" applyFont="1" applyBorder="1" applyAlignment="1">
      <alignment horizontal="center"/>
    </xf>
    <xf numFmtId="0" fontId="24" fillId="0" borderId="60" xfId="0" applyFont="1" applyBorder="1" applyAlignment="1">
      <alignment horizontal="center"/>
    </xf>
    <xf numFmtId="0" fontId="24" fillId="0" borderId="31" xfId="0" applyFont="1" applyBorder="1" applyAlignment="1">
      <alignment horizontal="center" vertical="center"/>
    </xf>
    <xf numFmtId="0" fontId="0" fillId="0" borderId="83" xfId="0" applyBorder="1" applyAlignment="1">
      <alignment horizontal="center" vertical="center"/>
    </xf>
    <xf numFmtId="0" fontId="0" fillId="0" borderId="69" xfId="0" applyBorder="1" applyAlignment="1">
      <alignment horizontal="center" vertical="center"/>
    </xf>
    <xf numFmtId="0" fontId="17" fillId="8" borderId="31" xfId="0" applyFont="1" applyFill="1" applyBorder="1" applyAlignment="1">
      <alignment horizontal="center" vertical="center"/>
    </xf>
    <xf numFmtId="0" fontId="17" fillId="8" borderId="44" xfId="0" applyFont="1" applyFill="1" applyBorder="1" applyAlignment="1">
      <alignment horizontal="center" vertical="center"/>
    </xf>
    <xf numFmtId="0" fontId="8" fillId="0" borderId="10" xfId="0" applyFont="1" applyBorder="1" applyAlignment="1">
      <alignment horizontal="right"/>
    </xf>
    <xf numFmtId="0" fontId="24" fillId="0" borderId="32" xfId="35" applyFont="1" applyBorder="1" applyAlignment="1">
      <alignment horizontal="center"/>
    </xf>
    <xf numFmtId="0" fontId="24" fillId="0" borderId="0" xfId="35" applyFont="1" applyAlignment="1">
      <alignment horizontal="center"/>
    </xf>
    <xf numFmtId="0" fontId="24" fillId="0" borderId="12" xfId="35" applyFont="1" applyBorder="1" applyAlignment="1">
      <alignment horizontal="center"/>
    </xf>
    <xf numFmtId="0" fontId="30" fillId="6" borderId="32" xfId="0" applyFont="1" applyFill="1" applyBorder="1" applyAlignment="1" applyProtection="1">
      <alignment horizontal="left" vertical="top" wrapText="1"/>
      <protection locked="0"/>
    </xf>
    <xf numFmtId="0" fontId="30" fillId="6" borderId="0" xfId="0" applyFont="1" applyFill="1" applyAlignment="1" applyProtection="1">
      <alignment horizontal="left" vertical="top" wrapText="1"/>
      <protection locked="0"/>
    </xf>
    <xf numFmtId="0" fontId="30" fillId="6" borderId="12" xfId="0" applyFont="1" applyFill="1" applyBorder="1" applyAlignment="1" applyProtection="1">
      <alignment horizontal="left" vertical="top" wrapText="1"/>
      <protection locked="0"/>
    </xf>
    <xf numFmtId="0" fontId="30" fillId="6" borderId="45" xfId="0" applyFont="1" applyFill="1" applyBorder="1" applyAlignment="1" applyProtection="1">
      <alignment horizontal="left" vertical="top" wrapText="1"/>
      <protection locked="0"/>
    </xf>
    <xf numFmtId="0" fontId="30" fillId="6" borderId="29" xfId="0" applyFont="1" applyFill="1" applyBorder="1" applyAlignment="1" applyProtection="1">
      <alignment horizontal="left" vertical="top" wrapText="1"/>
      <protection locked="0"/>
    </xf>
    <xf numFmtId="0" fontId="30" fillId="6" borderId="28" xfId="0" applyFont="1" applyFill="1" applyBorder="1" applyAlignment="1" applyProtection="1">
      <alignment horizontal="left" vertical="top" wrapText="1"/>
      <protection locked="0"/>
    </xf>
    <xf numFmtId="0" fontId="0" fillId="8" borderId="80" xfId="0" applyFill="1" applyBorder="1" applyAlignment="1">
      <alignment horizontal="center" vertical="center"/>
    </xf>
    <xf numFmtId="0" fontId="0" fillId="8" borderId="63" xfId="0" applyFill="1" applyBorder="1" applyAlignment="1">
      <alignment horizontal="center" vertical="center"/>
    </xf>
    <xf numFmtId="10" fontId="24" fillId="8" borderId="31" xfId="0" applyNumberFormat="1" applyFont="1" applyFill="1" applyBorder="1" applyAlignment="1">
      <alignment horizontal="center" vertical="center"/>
    </xf>
    <xf numFmtId="0" fontId="0" fillId="0" borderId="41" xfId="0" applyBorder="1" applyAlignment="1">
      <alignment horizontal="center" vertical="center"/>
    </xf>
    <xf numFmtId="0" fontId="0" fillId="0" borderId="65" xfId="0" applyBorder="1" applyAlignment="1">
      <alignment horizontal="center" vertical="center"/>
    </xf>
    <xf numFmtId="0" fontId="0" fillId="8" borderId="41" xfId="0" applyFill="1" applyBorder="1" applyAlignment="1">
      <alignment horizontal="center" vertical="center"/>
    </xf>
    <xf numFmtId="0" fontId="0" fillId="8" borderId="65" xfId="0" applyFill="1" applyBorder="1" applyAlignment="1">
      <alignment horizontal="center" vertical="center"/>
    </xf>
    <xf numFmtId="49" fontId="0" fillId="6" borderId="0" xfId="33" applyNumberFormat="1" applyFont="1" applyFill="1" applyAlignment="1" applyProtection="1">
      <alignment horizontal="left"/>
      <protection locked="0"/>
    </xf>
    <xf numFmtId="168" fontId="0" fillId="0" borderId="0" xfId="33" applyNumberFormat="1" applyFont="1" applyAlignment="1">
      <alignment horizontal="right"/>
    </xf>
    <xf numFmtId="0" fontId="0" fillId="0" borderId="0" xfId="33" applyFont="1" applyAlignment="1">
      <alignment horizontal="left"/>
    </xf>
    <xf numFmtId="0" fontId="0" fillId="0" borderId="0" xfId="33" applyFont="1" applyAlignment="1">
      <alignment horizontal="center"/>
    </xf>
    <xf numFmtId="0" fontId="0" fillId="0" borderId="0" xfId="33" applyFont="1" applyAlignment="1">
      <alignment horizontal="left" vertical="top" wrapText="1"/>
    </xf>
    <xf numFmtId="0" fontId="0" fillId="0" borderId="51" xfId="33" applyFont="1" applyBorder="1" applyAlignment="1">
      <alignment horizontal="center"/>
    </xf>
    <xf numFmtId="0" fontId="0" fillId="0" borderId="0" xfId="33" applyFont="1" applyAlignment="1">
      <alignment horizontal="left" wrapText="1"/>
    </xf>
    <xf numFmtId="0" fontId="0" fillId="0" borderId="0" xfId="33" applyFont="1" applyAlignment="1">
      <alignment vertical="center"/>
    </xf>
    <xf numFmtId="0" fontId="0" fillId="0" borderId="0" xfId="33" applyFont="1" applyAlignment="1">
      <alignment horizontal="left" vertical="top" wrapText="1" shrinkToFit="1"/>
    </xf>
    <xf numFmtId="0" fontId="0" fillId="0" borderId="52" xfId="33" applyFont="1" applyBorder="1" applyAlignment="1">
      <alignment horizontal="center" vertical="center" wrapText="1"/>
    </xf>
    <xf numFmtId="0" fontId="0" fillId="0" borderId="64" xfId="33" applyFont="1" applyBorder="1" applyAlignment="1">
      <alignment horizontal="center" vertical="center" wrapText="1"/>
    </xf>
    <xf numFmtId="0" fontId="0" fillId="0" borderId="38" xfId="33" applyFont="1" applyBorder="1" applyAlignment="1">
      <alignment horizontal="right"/>
    </xf>
    <xf numFmtId="180" fontId="24" fillId="0" borderId="40" xfId="48" applyNumberFormat="1" applyFont="1" applyFill="1" applyBorder="1" applyAlignment="1" applyProtection="1">
      <alignment vertical="top" shrinkToFit="1"/>
    </xf>
    <xf numFmtId="0" fontId="0" fillId="0" borderId="0" xfId="33" applyFont="1" applyAlignment="1">
      <alignment horizontal="left" vertical="top"/>
    </xf>
    <xf numFmtId="0" fontId="0" fillId="0" borderId="0" xfId="0"/>
    <xf numFmtId="0" fontId="0" fillId="0" borderId="70" xfId="33" applyFont="1" applyBorder="1" applyAlignment="1">
      <alignment horizontal="right"/>
    </xf>
    <xf numFmtId="10" fontId="24" fillId="0" borderId="71" xfId="37" applyNumberFormat="1" applyFont="1" applyFill="1" applyBorder="1" applyAlignment="1" applyProtection="1">
      <alignment horizontal="right" vertical="top" shrinkToFit="1"/>
    </xf>
    <xf numFmtId="0" fontId="0" fillId="6" borderId="0" xfId="33" applyFont="1" applyFill="1" applyAlignment="1" applyProtection="1">
      <alignment horizontal="left" vertical="top" wrapText="1"/>
      <protection locked="0"/>
    </xf>
  </cellXfs>
  <cellStyles count="51">
    <cellStyle name="20% - Ênfase1" xfId="1" builtinId="30" customBuiltin="1"/>
    <cellStyle name="20% - Ênfase2" xfId="2" builtinId="34" customBuiltin="1"/>
    <cellStyle name="20% - Ênfase3" xfId="3" builtinId="38" customBuiltin="1"/>
    <cellStyle name="20% - Ênfase4" xfId="4" builtinId="42" customBuiltin="1"/>
    <cellStyle name="20% - Ênfase5" xfId="5" builtinId="46" customBuiltin="1"/>
    <cellStyle name="20% - Ênfase6" xfId="6" builtinId="50" customBuiltin="1"/>
    <cellStyle name="40% - Ênfase1" xfId="7" builtinId="31" customBuiltin="1"/>
    <cellStyle name="40% - Ênfase2" xfId="8" builtinId="35" customBuiltin="1"/>
    <cellStyle name="40% - Ênfase3" xfId="9" builtinId="39" customBuiltin="1"/>
    <cellStyle name="40% - Ênfase4" xfId="10" builtinId="43" customBuiltin="1"/>
    <cellStyle name="40% - Ênfase5" xfId="11" builtinId="47" customBuiltin="1"/>
    <cellStyle name="40% - Ênfase6" xfId="12" builtinId="51" customBuiltin="1"/>
    <cellStyle name="60% - Ênfase1" xfId="13" builtinId="32" customBuiltin="1"/>
    <cellStyle name="60% - Ênfase2" xfId="14" builtinId="36" customBuiltin="1"/>
    <cellStyle name="60% - Ênfase3" xfId="15" builtinId="40" customBuiltin="1"/>
    <cellStyle name="60% - Ênfase4" xfId="16" builtinId="44" customBuiltin="1"/>
    <cellStyle name="60% - Ênfase5" xfId="17" builtinId="48" customBuiltin="1"/>
    <cellStyle name="60% - Ênfase6" xfId="18" builtinId="52" customBuiltin="1"/>
    <cellStyle name="Bom" xfId="19" builtinId="26" customBuiltin="1"/>
    <cellStyle name="Cálculo" xfId="20" builtinId="22" customBuiltin="1"/>
    <cellStyle name="Célula de Verificação" xfId="21" builtinId="23" customBuiltin="1"/>
    <cellStyle name="Célula Vinculada" xfId="22" builtinId="24" customBuiltin="1"/>
    <cellStyle name="Ênfase1" xfId="23" builtinId="29" customBuiltin="1"/>
    <cellStyle name="Ênfase2" xfId="24" builtinId="33" customBuiltin="1"/>
    <cellStyle name="Ênfase3" xfId="25" builtinId="37" customBuiltin="1"/>
    <cellStyle name="Ênfase4" xfId="26" builtinId="41" customBuiltin="1"/>
    <cellStyle name="Ênfase5" xfId="27" builtinId="45" customBuiltin="1"/>
    <cellStyle name="Ênfase6" xfId="28" builtinId="49" customBuiltin="1"/>
    <cellStyle name="Entrada" xfId="29" builtinId="20" customBuiltin="1"/>
    <cellStyle name="Hiperlink" xfId="30" builtinId="8"/>
    <cellStyle name="Moeda" xfId="31" builtinId="4"/>
    <cellStyle name="Moeda_Composicao BDI v2.1" xfId="32" xr:uid="{00000000-0005-0000-0000-00001F000000}"/>
    <cellStyle name="Normal" xfId="0" builtinId="0"/>
    <cellStyle name="Normal 2" xfId="33" xr:uid="{00000000-0005-0000-0000-000021000000}"/>
    <cellStyle name="Normal 3" xfId="34" xr:uid="{00000000-0005-0000-0000-000022000000}"/>
    <cellStyle name="Normal 4" xfId="50" xr:uid="{AABFE7B3-C717-4D99-AC7B-A608BFE1B2EC}"/>
    <cellStyle name="Normal_FICHA DE VERIFICAÇÃO PRELIMINAR - Plano R" xfId="35" xr:uid="{00000000-0005-0000-0000-000023000000}"/>
    <cellStyle name="Nota" xfId="36" builtinId="10" customBuiltin="1"/>
    <cellStyle name="Porcentagem" xfId="37" builtinId="5"/>
    <cellStyle name="Porcentagem 2" xfId="38" xr:uid="{00000000-0005-0000-0000-000026000000}"/>
    <cellStyle name="Saída" xfId="39" builtinId="21" customBuiltin="1"/>
    <cellStyle name="Texto de Aviso" xfId="40" builtinId="11" customBuiltin="1"/>
    <cellStyle name="Texto Explicativo" xfId="41" builtinId="53" customBuiltin="1"/>
    <cellStyle name="Título 1" xfId="42" builtinId="16" customBuiltin="1"/>
    <cellStyle name="Título 2" xfId="43" builtinId="17" customBuiltin="1"/>
    <cellStyle name="Título 3" xfId="44" builtinId="18" customBuiltin="1"/>
    <cellStyle name="Título 4" xfId="45" builtinId="19" customBuiltin="1"/>
    <cellStyle name="Título 5" xfId="46" xr:uid="{00000000-0005-0000-0000-00002E000000}"/>
    <cellStyle name="Total" xfId="47" builtinId="25" customBuiltin="1"/>
    <cellStyle name="Vírgula" xfId="48" builtinId="3"/>
    <cellStyle name="Vírgula 2" xfId="49" xr:uid="{00000000-0005-0000-0000-000031000000}"/>
  </cellStyles>
  <dxfs count="1094">
    <dxf>
      <fill>
        <patternFill>
          <bgColor rgb="FFFF0000"/>
        </patternFill>
      </fill>
    </dxf>
    <dxf>
      <font>
        <b/>
        <i val="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font>
    </dxf>
    <dxf>
      <font>
        <b/>
        <i val="0"/>
        <condense val="0"/>
        <extend val="0"/>
        <color indexed="9"/>
      </font>
      <fill>
        <patternFill patternType="solid">
          <fgColor indexed="60"/>
          <bgColor indexed="10"/>
        </patternFill>
      </fill>
    </dxf>
    <dxf>
      <font>
        <b/>
        <i val="0"/>
        <condense val="0"/>
        <extend val="0"/>
        <color indexed="9"/>
      </font>
      <fill>
        <patternFill patternType="solid">
          <fgColor indexed="60"/>
          <bgColor indexed="10"/>
        </patternFill>
      </fill>
    </dxf>
    <dxf>
      <font>
        <b val="0"/>
        <condense val="0"/>
        <extend val="0"/>
        <color indexed="44"/>
      </font>
      <fill>
        <patternFill patternType="solid">
          <fgColor indexed="22"/>
          <bgColor indexed="44"/>
        </patternFill>
      </fill>
    </dxf>
    <dxf>
      <font>
        <b/>
        <i val="0"/>
        <condense val="0"/>
        <extend val="0"/>
        <color indexed="9"/>
      </font>
      <fill>
        <patternFill patternType="solid">
          <fgColor indexed="60"/>
          <bgColor indexed="10"/>
        </patternFill>
      </fill>
    </dxf>
    <dxf>
      <font>
        <b val="0"/>
        <condense val="0"/>
        <extend val="0"/>
        <color indexed="44"/>
      </font>
      <fill>
        <patternFill patternType="solid">
          <fgColor indexed="22"/>
          <bgColor indexed="44"/>
        </patternFill>
      </fill>
    </dxf>
    <dxf>
      <font>
        <b/>
        <i val="0"/>
        <condense val="0"/>
        <extend val="0"/>
        <color indexed="9"/>
      </font>
      <fill>
        <patternFill patternType="solid">
          <fgColor indexed="60"/>
          <bgColor indexed="10"/>
        </patternFill>
      </fill>
    </dxf>
    <dxf>
      <font>
        <b/>
        <i val="0"/>
        <condense val="0"/>
        <extend val="0"/>
        <color indexed="9"/>
      </font>
      <fill>
        <patternFill patternType="solid">
          <fgColor indexed="60"/>
          <bgColor indexed="10"/>
        </patternFill>
      </fill>
    </dxf>
    <dxf>
      <font>
        <b val="0"/>
        <condense val="0"/>
        <extend val="0"/>
        <color indexed="9"/>
      </font>
      <fill>
        <patternFill patternType="none">
          <fgColor indexed="64"/>
          <bgColor indexed="65"/>
        </patternFill>
      </fill>
    </dxf>
    <dxf>
      <font>
        <b val="0"/>
        <condense val="0"/>
        <extend val="0"/>
        <color indexed="44"/>
      </font>
      <fill>
        <patternFill patternType="solid">
          <fgColor indexed="22"/>
          <bgColor indexed="44"/>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color rgb="FFFF0000"/>
      </font>
    </dxf>
    <dxf>
      <fill>
        <patternFill patternType="solid">
          <fgColor indexed="13"/>
          <bgColor indexed="51"/>
        </patternFill>
      </fill>
    </dxf>
    <dxf>
      <font>
        <b/>
        <i val="0"/>
        <condense val="0"/>
        <extend val="0"/>
        <color indexed="9"/>
      </font>
      <fill>
        <patternFill patternType="solid">
          <fgColor indexed="60"/>
          <bgColor indexed="10"/>
        </patternFill>
      </fill>
    </dxf>
    <dxf>
      <font>
        <b val="0"/>
        <condense val="0"/>
        <extend val="0"/>
        <color indexed="9"/>
      </font>
    </dxf>
    <dxf>
      <font>
        <b/>
        <i val="0"/>
        <condense val="0"/>
        <extend val="0"/>
        <color indexed="10"/>
      </font>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color rgb="FFFF0000"/>
      </font>
    </dxf>
    <dxf>
      <font>
        <b/>
        <i val="0"/>
        <color rgb="FFFF0000"/>
      </font>
    </dxf>
    <dxf>
      <font>
        <color theme="0" tint="-0.14996795556505021"/>
      </font>
    </dxf>
    <dxf>
      <font>
        <b/>
        <i val="0"/>
        <condense val="0"/>
        <extend val="0"/>
      </font>
      <fill>
        <patternFill patternType="solid">
          <fgColor indexed="21"/>
          <bgColor indexed="57"/>
        </patternFill>
      </fill>
    </dxf>
    <dxf>
      <font>
        <color theme="0"/>
      </font>
    </dxf>
    <dxf>
      <font>
        <b val="0"/>
        <condense val="0"/>
        <extend val="0"/>
        <color indexed="9"/>
      </font>
      <fill>
        <patternFill patternType="none">
          <fgColor indexed="64"/>
          <bgColor indexed="65"/>
        </patternFill>
      </fill>
      <border>
        <left/>
        <right/>
        <top/>
        <bottom/>
      </border>
    </dxf>
    <dxf>
      <font>
        <b val="0"/>
        <condense val="0"/>
        <extend val="0"/>
        <color indexed="10"/>
      </font>
    </dxf>
    <dxf>
      <font>
        <b val="0"/>
        <condense val="0"/>
        <extend val="0"/>
        <color indexed="9"/>
      </font>
      <fill>
        <patternFill patternType="none">
          <fgColor indexed="64"/>
          <bgColor indexed="65"/>
        </patternFill>
      </fill>
      <border>
        <left/>
        <right/>
        <top/>
        <bottom/>
      </border>
    </dxf>
    <dxf>
      <font>
        <b val="0"/>
        <condense val="0"/>
        <extend val="0"/>
        <color indexed="9"/>
      </font>
      <border>
        <left/>
        <right style="thin">
          <color indexed="64"/>
        </right>
      </border>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ill>
        <patternFill>
          <bgColor rgb="FFFFC000"/>
        </patternFill>
      </fill>
    </dxf>
    <dxf>
      <font>
        <b/>
        <i val="0"/>
        <condense val="0"/>
        <extend val="0"/>
      </font>
      <fill>
        <patternFill patternType="solid">
          <fgColor indexed="21"/>
          <bgColor indexed="57"/>
        </patternFill>
      </fill>
    </dxf>
    <dxf>
      <font>
        <b/>
        <i val="0"/>
        <condense val="0"/>
        <extend val="0"/>
      </font>
      <fill>
        <patternFill patternType="solid">
          <fgColor indexed="21"/>
          <bgColor indexed="57"/>
        </patternFill>
      </fill>
    </dxf>
    <dxf>
      <font>
        <b/>
        <i val="0"/>
        <condense val="0"/>
        <extend val="0"/>
      </font>
      <fill>
        <patternFill patternType="solid">
          <fgColor indexed="21"/>
          <bgColor indexed="57"/>
        </patternFill>
      </fill>
    </dxf>
    <dxf>
      <font>
        <b/>
        <i val="0"/>
        <condense val="0"/>
        <extend val="0"/>
      </font>
      <fill>
        <patternFill patternType="solid">
          <fgColor indexed="21"/>
          <bgColor indexed="57"/>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val="0"/>
        <condense val="0"/>
        <extend val="0"/>
        <color indexed="9"/>
      </font>
    </dxf>
    <dxf>
      <font>
        <b val="0"/>
        <condense val="0"/>
        <extend val="0"/>
        <color indexed="44"/>
      </font>
      <fill>
        <patternFill patternType="solid">
          <fgColor indexed="22"/>
          <bgColor indexed="44"/>
        </patternFill>
      </fill>
    </dxf>
    <dxf>
      <font>
        <b/>
        <i val="0"/>
        <condense val="0"/>
        <extend val="0"/>
        <color indexed="9"/>
      </font>
      <fill>
        <patternFill patternType="solid">
          <fgColor indexed="60"/>
          <bgColor indexed="10"/>
        </patternFill>
      </fill>
    </dxf>
    <dxf>
      <font>
        <b val="0"/>
        <condense val="0"/>
        <extend val="0"/>
        <color indexed="44"/>
      </font>
      <fill>
        <patternFill patternType="solid">
          <fgColor indexed="22"/>
          <bgColor indexed="44"/>
        </patternFill>
      </fill>
    </dxf>
    <dxf>
      <font>
        <b val="0"/>
        <condense val="0"/>
        <extend val="0"/>
        <color indexed="9"/>
      </font>
    </dxf>
    <dxf>
      <font>
        <b val="0"/>
        <condense val="0"/>
        <extend val="0"/>
        <color indexed="44"/>
      </font>
      <fill>
        <patternFill patternType="solid">
          <fgColor indexed="22"/>
          <bgColor indexed="44"/>
        </patternFill>
      </fill>
    </dxf>
    <dxf>
      <font>
        <b/>
        <i val="0"/>
        <condense val="0"/>
        <extend val="0"/>
        <color indexed="9"/>
      </font>
      <fill>
        <patternFill patternType="solid">
          <fgColor indexed="60"/>
          <bgColor indexed="10"/>
        </patternFill>
      </fill>
    </dxf>
    <dxf>
      <font>
        <b val="0"/>
        <condense val="0"/>
        <extend val="0"/>
        <color indexed="44"/>
      </font>
      <fill>
        <patternFill patternType="solid">
          <fgColor indexed="22"/>
          <bgColor indexed="44"/>
        </patternFill>
      </fill>
    </dxf>
    <dxf>
      <font>
        <b val="0"/>
        <condense val="0"/>
        <extend val="0"/>
        <color indexed="9"/>
      </font>
    </dxf>
    <dxf>
      <font>
        <b/>
        <i val="0"/>
        <condense val="0"/>
        <extend val="0"/>
        <color indexed="9"/>
      </font>
      <fill>
        <patternFill patternType="solid">
          <fgColor indexed="60"/>
          <bgColor indexed="10"/>
        </patternFill>
      </fill>
    </dxf>
    <dxf>
      <font>
        <b/>
        <i val="0"/>
        <condense val="0"/>
        <extend val="0"/>
        <color indexed="9"/>
      </font>
      <fill>
        <patternFill patternType="solid">
          <fgColor indexed="60"/>
          <bgColor indexed="10"/>
        </patternFill>
      </fill>
    </dxf>
    <dxf>
      <font>
        <b/>
        <i val="0"/>
        <condense val="0"/>
        <extend val="0"/>
        <color indexed="9"/>
      </font>
      <fill>
        <patternFill patternType="solid">
          <fgColor indexed="60"/>
          <bgColor indexed="10"/>
        </patternFill>
      </fill>
    </dxf>
    <dxf>
      <font>
        <b val="0"/>
        <condense val="0"/>
        <extend val="0"/>
        <color indexed="44"/>
      </font>
      <fill>
        <patternFill patternType="solid">
          <fgColor indexed="22"/>
          <bgColor indexed="44"/>
        </patternFill>
      </fill>
    </dxf>
    <dxf>
      <font>
        <b/>
        <i val="0"/>
        <condense val="0"/>
        <extend val="0"/>
        <color indexed="9"/>
      </font>
      <fill>
        <patternFill patternType="solid">
          <fgColor indexed="60"/>
          <bgColor indexed="10"/>
        </patternFill>
      </fill>
    </dxf>
    <dxf>
      <font>
        <b val="0"/>
        <condense val="0"/>
        <extend val="0"/>
        <color indexed="44"/>
      </font>
      <fill>
        <patternFill patternType="solid">
          <fgColor indexed="22"/>
          <bgColor indexed="44"/>
        </patternFill>
      </fill>
    </dxf>
    <dxf>
      <font>
        <color rgb="FFFF0000"/>
      </font>
      <fill>
        <patternFill>
          <bgColor rgb="FFFFFF99"/>
        </patternFill>
      </fill>
    </dxf>
    <dxf>
      <font>
        <b val="0"/>
        <condense val="0"/>
        <extend val="0"/>
        <color indexed="8"/>
      </font>
      <fill>
        <patternFill patternType="solid">
          <fgColor indexed="46"/>
          <bgColor indexed="24"/>
        </patternFill>
      </fill>
    </dxf>
    <dxf>
      <font>
        <color rgb="FFFF0000"/>
      </font>
      <fill>
        <patternFill>
          <bgColor rgb="FFFFFF99"/>
        </patternFill>
      </fill>
    </dxf>
    <dxf>
      <font>
        <b val="0"/>
        <condense val="0"/>
        <extend val="0"/>
        <color indexed="8"/>
      </font>
      <fill>
        <patternFill patternType="solid">
          <fgColor indexed="46"/>
          <bgColor indexed="24"/>
        </patternFill>
      </fill>
    </dxf>
    <dxf>
      <font>
        <b/>
        <i val="0"/>
        <color auto="1"/>
      </font>
      <fill>
        <patternFill>
          <bgColor rgb="FFFF0000"/>
        </patternFill>
      </fill>
    </dxf>
    <dxf>
      <font>
        <b/>
        <i val="0"/>
      </font>
      <fill>
        <patternFill>
          <bgColor rgb="FFFF0000"/>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ill>
        <patternFill patternType="solid">
          <fgColor indexed="46"/>
          <bgColor indexed="55"/>
        </patternFill>
      </fill>
    </dxf>
    <dxf>
      <fill>
        <patternFill patternType="solid">
          <fgColor indexed="44"/>
          <bgColor indexed="22"/>
        </patternFill>
      </fill>
    </dxf>
    <dxf>
      <font>
        <b val="0"/>
        <condense val="0"/>
        <extend val="0"/>
        <color indexed="8"/>
      </font>
      <fill>
        <patternFill patternType="solid">
          <fgColor indexed="26"/>
          <bgColor indexed="43"/>
        </patternFill>
      </fill>
    </dxf>
    <dxf>
      <font>
        <color rgb="FFFF0000"/>
      </font>
      <fill>
        <patternFill>
          <bgColor rgb="FFFFFF99"/>
        </patternFill>
      </fill>
    </dxf>
    <dxf>
      <font>
        <b val="0"/>
        <condense val="0"/>
        <extend val="0"/>
        <color indexed="8"/>
      </font>
      <fill>
        <patternFill patternType="solid">
          <fgColor indexed="46"/>
          <bgColor indexed="24"/>
        </patternFill>
      </fill>
    </dxf>
    <dxf>
      <font>
        <color rgb="FFFF0000"/>
      </font>
      <fill>
        <patternFill>
          <bgColor rgb="FFFFFF99"/>
        </patternFill>
      </fill>
    </dxf>
    <dxf>
      <font>
        <b val="0"/>
        <condense val="0"/>
        <extend val="0"/>
        <color indexed="8"/>
      </font>
      <fill>
        <patternFill patternType="solid">
          <fgColor indexed="46"/>
          <bgColor indexed="24"/>
        </patternFill>
      </fill>
    </dxf>
    <dxf>
      <font>
        <b/>
        <i val="0"/>
        <color auto="1"/>
      </font>
      <fill>
        <patternFill>
          <bgColor rgb="FFFF0000"/>
        </patternFill>
      </fill>
    </dxf>
    <dxf>
      <font>
        <b/>
        <i val="0"/>
      </font>
      <fill>
        <patternFill>
          <bgColor rgb="FFFF0000"/>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ill>
        <patternFill patternType="solid">
          <fgColor indexed="46"/>
          <bgColor indexed="55"/>
        </patternFill>
      </fill>
    </dxf>
    <dxf>
      <fill>
        <patternFill patternType="solid">
          <fgColor indexed="44"/>
          <bgColor indexed="22"/>
        </patternFill>
      </fill>
    </dxf>
    <dxf>
      <font>
        <b val="0"/>
        <condense val="0"/>
        <extend val="0"/>
        <color indexed="8"/>
      </font>
      <fill>
        <patternFill patternType="solid">
          <fgColor indexed="26"/>
          <bgColor indexed="43"/>
        </patternFill>
      </fill>
    </dxf>
    <dxf>
      <font>
        <color rgb="FFFF0000"/>
      </font>
      <fill>
        <patternFill>
          <bgColor rgb="FFFFFF99"/>
        </patternFill>
      </fill>
    </dxf>
    <dxf>
      <font>
        <b val="0"/>
        <condense val="0"/>
        <extend val="0"/>
        <color indexed="8"/>
      </font>
      <fill>
        <patternFill patternType="solid">
          <fgColor indexed="46"/>
          <bgColor indexed="24"/>
        </patternFill>
      </fill>
    </dxf>
    <dxf>
      <font>
        <color rgb="FFFF0000"/>
      </font>
      <fill>
        <patternFill>
          <bgColor rgb="FFFFFF99"/>
        </patternFill>
      </fill>
    </dxf>
    <dxf>
      <font>
        <b val="0"/>
        <condense val="0"/>
        <extend val="0"/>
        <color indexed="8"/>
      </font>
      <fill>
        <patternFill patternType="solid">
          <fgColor indexed="46"/>
          <bgColor indexed="24"/>
        </patternFill>
      </fill>
    </dxf>
    <dxf>
      <font>
        <b/>
        <i val="0"/>
        <color auto="1"/>
      </font>
      <fill>
        <patternFill>
          <bgColor rgb="FFFF0000"/>
        </patternFill>
      </fill>
    </dxf>
    <dxf>
      <font>
        <b/>
        <i val="0"/>
      </font>
      <fill>
        <patternFill>
          <bgColor rgb="FFFF0000"/>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ill>
        <patternFill patternType="solid">
          <fgColor indexed="46"/>
          <bgColor indexed="55"/>
        </patternFill>
      </fill>
    </dxf>
    <dxf>
      <fill>
        <patternFill patternType="solid">
          <fgColor indexed="44"/>
          <bgColor indexed="22"/>
        </patternFill>
      </fill>
    </dxf>
    <dxf>
      <font>
        <b val="0"/>
        <condense val="0"/>
        <extend val="0"/>
        <color indexed="8"/>
      </font>
      <fill>
        <patternFill patternType="solid">
          <fgColor indexed="26"/>
          <bgColor indexed="43"/>
        </patternFill>
      </fill>
    </dxf>
    <dxf>
      <font>
        <color rgb="FFFF0000"/>
      </font>
      <fill>
        <patternFill>
          <bgColor rgb="FFFFFF99"/>
        </patternFill>
      </fill>
    </dxf>
    <dxf>
      <font>
        <b val="0"/>
        <condense val="0"/>
        <extend val="0"/>
        <color indexed="8"/>
      </font>
      <fill>
        <patternFill patternType="solid">
          <fgColor indexed="46"/>
          <bgColor indexed="24"/>
        </patternFill>
      </fill>
    </dxf>
    <dxf>
      <font>
        <color rgb="FFFF0000"/>
      </font>
      <fill>
        <patternFill>
          <bgColor rgb="FFFFFF99"/>
        </patternFill>
      </fill>
    </dxf>
    <dxf>
      <font>
        <b val="0"/>
        <condense val="0"/>
        <extend val="0"/>
        <color indexed="8"/>
      </font>
      <fill>
        <patternFill patternType="solid">
          <fgColor indexed="46"/>
          <bgColor indexed="24"/>
        </patternFill>
      </fill>
    </dxf>
    <dxf>
      <font>
        <b/>
        <i val="0"/>
        <color auto="1"/>
      </font>
      <fill>
        <patternFill>
          <bgColor rgb="FFFF0000"/>
        </patternFill>
      </fill>
    </dxf>
    <dxf>
      <font>
        <b/>
        <i val="0"/>
      </font>
      <fill>
        <patternFill>
          <bgColor rgb="FFFF0000"/>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ill>
        <patternFill patternType="solid">
          <fgColor indexed="46"/>
          <bgColor indexed="55"/>
        </patternFill>
      </fill>
    </dxf>
    <dxf>
      <fill>
        <patternFill patternType="solid">
          <fgColor indexed="44"/>
          <bgColor indexed="22"/>
        </patternFill>
      </fill>
    </dxf>
    <dxf>
      <font>
        <b val="0"/>
        <condense val="0"/>
        <extend val="0"/>
        <color indexed="8"/>
      </font>
      <fill>
        <patternFill patternType="solid">
          <fgColor indexed="26"/>
          <bgColor indexed="43"/>
        </patternFill>
      </fill>
    </dxf>
    <dxf>
      <font>
        <color rgb="FFFF0000"/>
      </font>
      <fill>
        <patternFill>
          <bgColor rgb="FFFFFF99"/>
        </patternFill>
      </fill>
    </dxf>
    <dxf>
      <font>
        <b val="0"/>
        <condense val="0"/>
        <extend val="0"/>
        <color indexed="8"/>
      </font>
      <fill>
        <patternFill patternType="solid">
          <fgColor indexed="46"/>
          <bgColor indexed="24"/>
        </patternFill>
      </fill>
    </dxf>
    <dxf>
      <font>
        <color rgb="FFFF0000"/>
      </font>
      <fill>
        <patternFill>
          <bgColor rgb="FFFFFF99"/>
        </patternFill>
      </fill>
    </dxf>
    <dxf>
      <font>
        <b val="0"/>
        <condense val="0"/>
        <extend val="0"/>
        <color indexed="8"/>
      </font>
      <fill>
        <patternFill patternType="solid">
          <fgColor indexed="46"/>
          <bgColor indexed="24"/>
        </patternFill>
      </fill>
    </dxf>
    <dxf>
      <font>
        <b/>
        <i val="0"/>
        <color auto="1"/>
      </font>
      <fill>
        <patternFill>
          <bgColor rgb="FFFF0000"/>
        </patternFill>
      </fill>
    </dxf>
    <dxf>
      <font>
        <b/>
        <i val="0"/>
      </font>
      <fill>
        <patternFill>
          <bgColor rgb="FFFF0000"/>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ill>
        <patternFill patternType="solid">
          <fgColor indexed="46"/>
          <bgColor indexed="55"/>
        </patternFill>
      </fill>
    </dxf>
    <dxf>
      <fill>
        <patternFill patternType="solid">
          <fgColor indexed="44"/>
          <bgColor indexed="22"/>
        </patternFill>
      </fill>
    </dxf>
    <dxf>
      <font>
        <b val="0"/>
        <condense val="0"/>
        <extend val="0"/>
        <color indexed="8"/>
      </font>
      <fill>
        <patternFill patternType="solid">
          <fgColor indexed="26"/>
          <bgColor indexed="43"/>
        </patternFill>
      </fill>
    </dxf>
    <dxf>
      <font>
        <color rgb="FFFF0000"/>
      </font>
      <fill>
        <patternFill>
          <bgColor rgb="FFFFFF99"/>
        </patternFill>
      </fill>
    </dxf>
    <dxf>
      <font>
        <b val="0"/>
        <condense val="0"/>
        <extend val="0"/>
        <color indexed="8"/>
      </font>
      <fill>
        <patternFill patternType="solid">
          <fgColor indexed="46"/>
          <bgColor indexed="24"/>
        </patternFill>
      </fill>
    </dxf>
    <dxf>
      <font>
        <color rgb="FFFF0000"/>
      </font>
      <fill>
        <patternFill>
          <bgColor rgb="FFFFFF99"/>
        </patternFill>
      </fill>
    </dxf>
    <dxf>
      <font>
        <b val="0"/>
        <condense val="0"/>
        <extend val="0"/>
        <color indexed="8"/>
      </font>
      <fill>
        <patternFill patternType="solid">
          <fgColor indexed="46"/>
          <bgColor indexed="24"/>
        </patternFill>
      </fill>
    </dxf>
    <dxf>
      <font>
        <b/>
        <i val="0"/>
        <color auto="1"/>
      </font>
      <fill>
        <patternFill>
          <bgColor rgb="FFFF0000"/>
        </patternFill>
      </fill>
    </dxf>
    <dxf>
      <font>
        <b/>
        <i val="0"/>
      </font>
      <fill>
        <patternFill>
          <bgColor rgb="FFFF0000"/>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ill>
        <patternFill patternType="solid">
          <fgColor indexed="46"/>
          <bgColor indexed="55"/>
        </patternFill>
      </fill>
    </dxf>
    <dxf>
      <fill>
        <patternFill patternType="solid">
          <fgColor indexed="44"/>
          <bgColor indexed="22"/>
        </patternFill>
      </fill>
    </dxf>
    <dxf>
      <font>
        <b val="0"/>
        <condense val="0"/>
        <extend val="0"/>
        <color indexed="8"/>
      </font>
      <fill>
        <patternFill patternType="solid">
          <fgColor indexed="26"/>
          <bgColor indexed="43"/>
        </patternFill>
      </fill>
    </dxf>
    <dxf>
      <font>
        <color rgb="FFFF0000"/>
      </font>
      <fill>
        <patternFill>
          <bgColor rgb="FFFFFF99"/>
        </patternFill>
      </fill>
    </dxf>
    <dxf>
      <font>
        <b val="0"/>
        <condense val="0"/>
        <extend val="0"/>
        <color indexed="8"/>
      </font>
      <fill>
        <patternFill patternType="solid">
          <fgColor indexed="46"/>
          <bgColor indexed="24"/>
        </patternFill>
      </fill>
    </dxf>
    <dxf>
      <font>
        <color rgb="FFFF0000"/>
      </font>
      <fill>
        <patternFill>
          <bgColor rgb="FFFFFF99"/>
        </patternFill>
      </fill>
    </dxf>
    <dxf>
      <font>
        <b val="0"/>
        <condense val="0"/>
        <extend val="0"/>
        <color indexed="8"/>
      </font>
      <fill>
        <patternFill patternType="solid">
          <fgColor indexed="46"/>
          <bgColor indexed="24"/>
        </patternFill>
      </fill>
    </dxf>
    <dxf>
      <font>
        <b/>
        <i val="0"/>
        <color auto="1"/>
      </font>
      <fill>
        <patternFill>
          <bgColor rgb="FFFF0000"/>
        </patternFill>
      </fill>
    </dxf>
    <dxf>
      <font>
        <b/>
        <i val="0"/>
      </font>
      <fill>
        <patternFill>
          <bgColor rgb="FFFF0000"/>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ill>
        <patternFill patternType="solid">
          <fgColor indexed="46"/>
          <bgColor indexed="55"/>
        </patternFill>
      </fill>
    </dxf>
    <dxf>
      <fill>
        <patternFill patternType="solid">
          <fgColor indexed="44"/>
          <bgColor indexed="22"/>
        </patternFill>
      </fill>
    </dxf>
    <dxf>
      <font>
        <b val="0"/>
        <condense val="0"/>
        <extend val="0"/>
        <color indexed="8"/>
      </font>
      <fill>
        <patternFill patternType="solid">
          <fgColor indexed="26"/>
          <bgColor indexed="43"/>
        </patternFill>
      </fill>
    </dxf>
    <dxf>
      <font>
        <color rgb="FFFF0000"/>
      </font>
      <fill>
        <patternFill>
          <bgColor rgb="FFFFFF99"/>
        </patternFill>
      </fill>
    </dxf>
    <dxf>
      <font>
        <b val="0"/>
        <condense val="0"/>
        <extend val="0"/>
        <color indexed="8"/>
      </font>
      <fill>
        <patternFill patternType="solid">
          <fgColor indexed="46"/>
          <bgColor indexed="24"/>
        </patternFill>
      </fill>
    </dxf>
    <dxf>
      <font>
        <color rgb="FFFF0000"/>
      </font>
      <fill>
        <patternFill>
          <bgColor rgb="FFFFFF99"/>
        </patternFill>
      </fill>
    </dxf>
    <dxf>
      <font>
        <b val="0"/>
        <condense val="0"/>
        <extend val="0"/>
        <color indexed="8"/>
      </font>
      <fill>
        <patternFill patternType="solid">
          <fgColor indexed="46"/>
          <bgColor indexed="24"/>
        </patternFill>
      </fill>
    </dxf>
    <dxf>
      <font>
        <b/>
        <i val="0"/>
        <color auto="1"/>
      </font>
      <fill>
        <patternFill>
          <bgColor rgb="FFFF0000"/>
        </patternFill>
      </fill>
    </dxf>
    <dxf>
      <font>
        <b/>
        <i val="0"/>
      </font>
      <fill>
        <patternFill>
          <bgColor rgb="FFFF0000"/>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ill>
        <patternFill patternType="solid">
          <fgColor indexed="46"/>
          <bgColor indexed="55"/>
        </patternFill>
      </fill>
    </dxf>
    <dxf>
      <fill>
        <patternFill patternType="solid">
          <fgColor indexed="44"/>
          <bgColor indexed="22"/>
        </patternFill>
      </fill>
    </dxf>
    <dxf>
      <font>
        <b val="0"/>
        <condense val="0"/>
        <extend val="0"/>
        <color indexed="8"/>
      </font>
      <fill>
        <patternFill patternType="solid">
          <fgColor indexed="26"/>
          <bgColor indexed="43"/>
        </patternFill>
      </fill>
    </dxf>
    <dxf>
      <font>
        <color rgb="FFFF0000"/>
      </font>
      <fill>
        <patternFill>
          <bgColor rgb="FFFFFF99"/>
        </patternFill>
      </fill>
    </dxf>
    <dxf>
      <font>
        <b val="0"/>
        <condense val="0"/>
        <extend val="0"/>
        <color indexed="8"/>
      </font>
      <fill>
        <patternFill patternType="solid">
          <fgColor indexed="46"/>
          <bgColor indexed="24"/>
        </patternFill>
      </fill>
    </dxf>
    <dxf>
      <font>
        <color rgb="FFFF0000"/>
      </font>
      <fill>
        <patternFill>
          <bgColor rgb="FFFFFF99"/>
        </patternFill>
      </fill>
    </dxf>
    <dxf>
      <font>
        <b val="0"/>
        <condense val="0"/>
        <extend val="0"/>
        <color indexed="8"/>
      </font>
      <fill>
        <patternFill patternType="solid">
          <fgColor indexed="46"/>
          <bgColor indexed="24"/>
        </patternFill>
      </fill>
    </dxf>
    <dxf>
      <font>
        <b/>
        <i val="0"/>
        <color auto="1"/>
      </font>
      <fill>
        <patternFill>
          <bgColor rgb="FFFF0000"/>
        </patternFill>
      </fill>
    </dxf>
    <dxf>
      <font>
        <b/>
        <i val="0"/>
      </font>
      <fill>
        <patternFill>
          <bgColor rgb="FFFF0000"/>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ill>
        <patternFill patternType="solid">
          <fgColor indexed="46"/>
          <bgColor indexed="55"/>
        </patternFill>
      </fill>
    </dxf>
    <dxf>
      <fill>
        <patternFill patternType="solid">
          <fgColor indexed="44"/>
          <bgColor indexed="22"/>
        </patternFill>
      </fill>
    </dxf>
    <dxf>
      <font>
        <b val="0"/>
        <condense val="0"/>
        <extend val="0"/>
        <color indexed="8"/>
      </font>
      <fill>
        <patternFill patternType="solid">
          <fgColor indexed="26"/>
          <bgColor indexed="43"/>
        </patternFill>
      </fill>
    </dxf>
    <dxf>
      <font>
        <color rgb="FFFF0000"/>
      </font>
      <fill>
        <patternFill>
          <bgColor rgb="FFFFFF99"/>
        </patternFill>
      </fill>
    </dxf>
    <dxf>
      <font>
        <b val="0"/>
        <condense val="0"/>
        <extend val="0"/>
        <color indexed="8"/>
      </font>
      <fill>
        <patternFill patternType="solid">
          <fgColor indexed="46"/>
          <bgColor indexed="24"/>
        </patternFill>
      </fill>
    </dxf>
    <dxf>
      <font>
        <b val="0"/>
        <condense val="0"/>
        <extend val="0"/>
        <color indexed="9"/>
      </font>
    </dxf>
    <dxf>
      <font>
        <color rgb="FFFF0000"/>
      </font>
      <fill>
        <patternFill>
          <bgColor rgb="FFFFFF99"/>
        </patternFill>
      </fill>
    </dxf>
    <dxf>
      <font>
        <b val="0"/>
        <condense val="0"/>
        <extend val="0"/>
        <color indexed="8"/>
      </font>
      <fill>
        <patternFill patternType="solid">
          <fgColor indexed="46"/>
          <bgColor indexed="24"/>
        </patternFill>
      </fill>
    </dxf>
    <dxf>
      <font>
        <b val="0"/>
        <condense val="0"/>
        <extend val="0"/>
        <color indexed="9"/>
      </font>
    </dxf>
    <dxf>
      <font>
        <color theme="0"/>
      </font>
      <fill>
        <patternFill>
          <bgColor theme="0"/>
        </patternFill>
      </fill>
      <border>
        <left/>
        <right/>
        <top/>
        <bottom/>
        <vertical/>
        <horizontal/>
      </border>
    </dxf>
    <dxf>
      <font>
        <b/>
        <i val="0"/>
        <color auto="1"/>
      </font>
      <fill>
        <patternFill>
          <bgColor rgb="FFFF0000"/>
        </patternFill>
      </fill>
    </dxf>
    <dxf>
      <font>
        <b/>
        <i val="0"/>
        <color rgb="FFFF0000"/>
      </font>
    </dxf>
    <dxf>
      <font>
        <b/>
        <i val="0"/>
      </font>
      <fill>
        <patternFill>
          <bgColor rgb="FFFF0000"/>
        </patternFill>
      </fill>
    </dxf>
    <dxf>
      <font>
        <color theme="0"/>
      </font>
      <border>
        <left/>
        <right/>
      </border>
    </dxf>
    <dxf>
      <font>
        <b val="0"/>
        <condense val="0"/>
        <extend val="0"/>
        <color indexed="9"/>
      </font>
      <border>
        <left/>
      </border>
    </dxf>
    <dxf>
      <font>
        <b val="0"/>
        <condense val="0"/>
        <extend val="0"/>
        <color indexed="9"/>
      </font>
    </dxf>
    <dxf>
      <font>
        <color rgb="FFC0C0C0"/>
      </font>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ill>
        <patternFill patternType="solid">
          <fgColor indexed="46"/>
          <bgColor indexed="55"/>
        </patternFill>
      </fill>
    </dxf>
    <dxf>
      <fill>
        <patternFill patternType="solid">
          <fgColor indexed="44"/>
          <bgColor indexed="22"/>
        </patternFill>
      </fill>
    </dxf>
    <dxf>
      <font>
        <b val="0"/>
        <condense val="0"/>
        <extend val="0"/>
        <color indexed="8"/>
      </font>
      <fill>
        <patternFill patternType="solid">
          <fgColor indexed="26"/>
          <bgColor indexed="43"/>
        </patternFill>
      </fill>
    </dxf>
    <dxf>
      <fill>
        <patternFill patternType="solid">
          <fgColor indexed="26"/>
          <bgColor indexed="43"/>
        </patternFill>
      </fill>
    </dxf>
    <dxf>
      <font>
        <b val="0"/>
        <condense val="0"/>
        <extend val="0"/>
        <color indexed="22"/>
      </font>
      <fill>
        <patternFill patternType="solid">
          <fgColor indexed="44"/>
          <bgColor indexed="22"/>
        </patternFill>
      </fill>
    </dxf>
    <dxf>
      <font>
        <b val="0"/>
        <condense val="0"/>
        <extend val="0"/>
        <color indexed="22"/>
      </font>
      <fill>
        <patternFill patternType="solid">
          <fgColor indexed="44"/>
          <bgColor indexed="22"/>
        </patternFill>
      </fill>
    </dxf>
    <dxf>
      <font>
        <b val="0"/>
        <condense val="0"/>
        <extend val="0"/>
        <color indexed="22"/>
      </font>
      <fill>
        <patternFill patternType="solid">
          <fgColor indexed="44"/>
          <bgColor indexed="22"/>
        </patternFill>
      </fill>
    </dxf>
    <dxf>
      <font>
        <b val="0"/>
        <condense val="0"/>
        <extend val="0"/>
        <color indexed="22"/>
      </font>
      <fill>
        <patternFill patternType="solid">
          <fgColor indexed="44"/>
          <bgColor indexed="22"/>
        </patternFill>
      </fill>
    </dxf>
    <dxf>
      <font>
        <b val="0"/>
        <condense val="0"/>
        <extend val="0"/>
        <color indexed="22"/>
      </font>
      <fill>
        <patternFill patternType="solid">
          <fgColor indexed="44"/>
          <bgColor indexed="22"/>
        </patternFill>
      </fill>
    </dxf>
    <dxf>
      <font>
        <b val="0"/>
        <condense val="0"/>
        <extend val="0"/>
        <color indexed="22"/>
      </font>
      <fill>
        <patternFill patternType="solid">
          <fgColor indexed="44"/>
          <bgColor indexed="22"/>
        </patternFill>
      </fill>
    </dxf>
    <dxf>
      <font>
        <b/>
        <i val="0"/>
        <color rgb="FFFF0000"/>
      </font>
    </dxf>
    <dxf>
      <font>
        <color theme="0" tint="-0.14996795556505021"/>
      </font>
    </dxf>
    <dxf>
      <font>
        <color theme="0"/>
      </font>
      <fill>
        <patternFill>
          <bgColor theme="0"/>
        </patternFill>
      </fill>
      <border>
        <left/>
        <right/>
        <top/>
        <bottom/>
        <vertical/>
        <horizontal/>
      </border>
    </dxf>
    <dxf>
      <font>
        <color theme="0"/>
      </font>
      <fill>
        <patternFill patternType="solid">
          <bgColor theme="0"/>
        </patternFill>
      </fill>
      <border>
        <left/>
        <right/>
        <top/>
        <vertical/>
        <horizontal/>
      </border>
    </dxf>
    <dxf>
      <font>
        <color theme="0"/>
      </font>
    </dxf>
    <dxf>
      <font>
        <color theme="0" tint="-0.14996795556505021"/>
      </font>
    </dxf>
    <dxf>
      <font>
        <color theme="0"/>
      </font>
    </dxf>
    <dxf>
      <font>
        <color theme="0" tint="-0.14996795556505021"/>
      </font>
    </dxf>
    <dxf>
      <font>
        <color theme="0" tint="-0.24994659260841701"/>
      </font>
    </dxf>
    <dxf>
      <font>
        <color theme="0"/>
      </font>
      <border>
        <left/>
        <right/>
      </border>
    </dxf>
    <dxf>
      <font>
        <b val="0"/>
        <condense val="0"/>
        <extend val="0"/>
        <color indexed="22"/>
      </font>
      <fill>
        <patternFill patternType="solid">
          <fgColor indexed="44"/>
          <bgColor indexed="22"/>
        </patternFill>
      </fill>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color rgb="FFFF0000"/>
      </font>
    </dxf>
    <dxf>
      <font>
        <color rgb="FFFF0000"/>
      </font>
    </dxf>
    <dxf>
      <font>
        <b val="0"/>
        <condense val="0"/>
        <extend val="0"/>
        <color indexed="55"/>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9"/>
      </font>
      <fill>
        <patternFill patternType="none">
          <fgColor indexed="64"/>
          <bgColor indexed="65"/>
        </patternFill>
      </fill>
      <border>
        <left/>
        <right/>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val="0"/>
        <condense val="0"/>
        <extend val="0"/>
        <color indexed="9"/>
      </font>
      <fill>
        <patternFill patternType="none">
          <fgColor indexed="64"/>
          <bgColor indexed="65"/>
        </patternFill>
      </fill>
      <border>
        <left/>
        <right/>
        <top/>
        <bottom/>
      </border>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9"/>
      </font>
      <fill>
        <patternFill patternType="none">
          <fgColor indexed="64"/>
          <bgColor indexed="65"/>
        </patternFill>
      </fill>
      <border>
        <left/>
        <right/>
        <top/>
        <bottom/>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color theme="0"/>
      </font>
      <fill>
        <patternFill patternType="none">
          <bgColor auto="1"/>
        </patternFill>
      </fill>
      <border>
        <left/>
        <right/>
        <top/>
        <vertical/>
        <horizontal/>
      </border>
    </dxf>
    <dxf>
      <font>
        <color theme="0"/>
      </font>
      <fill>
        <patternFill>
          <bgColor theme="0"/>
        </patternFill>
      </fill>
      <border>
        <right/>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lor rgb="FF0070C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border>
        <left/>
        <right/>
        <top/>
        <bottom/>
      </border>
    </dxf>
    <dxf>
      <border>
        <top style="thin">
          <color indexed="64"/>
        </top>
      </border>
    </dxf>
    <dxf>
      <border>
        <left style="thin">
          <color indexed="8"/>
        </left>
        <right style="thin">
          <color indexed="8"/>
        </right>
        <top/>
        <bottom/>
      </border>
    </dxf>
    <dxf>
      <font>
        <b/>
        <i val="0"/>
        <condense val="0"/>
        <extend val="0"/>
        <color indexed="1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border>
        <left/>
        <right/>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border>
        <left/>
        <right/>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dxf>
    <dxf>
      <font>
        <b val="0"/>
        <condense val="0"/>
        <extend val="0"/>
        <color indexed="17"/>
      </font>
      <border>
        <left style="thin">
          <color indexed="8"/>
        </left>
        <right style="thin">
          <color indexed="8"/>
        </right>
        <top style="thin">
          <color indexed="8"/>
        </top>
        <bottom style="thin">
          <color indexed="8"/>
        </bottom>
      </border>
    </dxf>
    <dxf>
      <font>
        <b val="0"/>
        <condense val="0"/>
        <extend val="0"/>
        <color indexed="10"/>
      </font>
      <border>
        <left style="thin">
          <color indexed="8"/>
        </left>
        <right style="thin">
          <color indexed="8"/>
        </right>
        <top style="thin">
          <color indexed="8"/>
        </top>
        <bottom style="thin">
          <color indexed="8"/>
        </bottom>
      </border>
    </dxf>
    <dxf>
      <font>
        <b/>
        <i val="0"/>
        <condense val="0"/>
        <extend val="0"/>
        <color indexed="9"/>
      </font>
      <fill>
        <patternFill patternType="none">
          <fgColor indexed="64"/>
          <bgColor indexed="65"/>
        </patternFill>
      </fill>
      <border>
        <left/>
        <right/>
        <top style="thin">
          <color indexed="64"/>
        </top>
        <bottom/>
      </border>
    </dxf>
    <dxf>
      <font>
        <b val="0"/>
        <condense val="0"/>
        <extend val="0"/>
        <color indexed="9"/>
      </font>
      <fill>
        <patternFill patternType="none">
          <fgColor indexed="64"/>
          <bgColor indexed="65"/>
        </patternFill>
      </fill>
      <border>
        <left/>
        <right/>
        <top/>
        <bottom/>
      </border>
    </dxf>
    <dxf>
      <font>
        <b val="0"/>
        <condense val="0"/>
        <extend val="0"/>
        <color indexed="9"/>
      </font>
      <fill>
        <patternFill patternType="none">
          <fgColor indexed="64"/>
          <bgColor indexed="65"/>
        </patternFill>
      </fill>
    </dxf>
    <dxf>
      <font>
        <b val="0"/>
        <condense val="0"/>
        <extend val="0"/>
        <color indexed="10"/>
      </font>
    </dxf>
    <dxf>
      <font>
        <b val="0"/>
        <condense val="0"/>
        <extend val="0"/>
        <color indexed="10"/>
      </font>
    </dxf>
    <dxf>
      <font>
        <color rgb="FFC0C0C0"/>
      </font>
      <fill>
        <patternFill>
          <bgColor rgb="FFC0C0C0"/>
        </patternFill>
      </fill>
      <border>
        <left/>
        <right/>
        <top/>
        <bottom/>
      </border>
    </dxf>
    <dxf>
      <font>
        <color rgb="FFC0C0C0"/>
      </font>
      <fill>
        <patternFill>
          <bgColor rgb="FFC0C0C0"/>
        </patternFill>
      </fill>
      <border>
        <left/>
        <right/>
        <top/>
        <bottom/>
      </border>
    </dxf>
    <dxf>
      <font>
        <color rgb="FFC0C0C0"/>
      </font>
      <fill>
        <patternFill>
          <bgColor rgb="FFC0C0C0"/>
        </patternFill>
      </fill>
      <border>
        <left/>
        <right/>
        <top/>
        <bottom/>
      </border>
    </dxf>
    <dxf>
      <font>
        <color rgb="FFC0C0C0"/>
      </font>
      <fill>
        <patternFill>
          <bgColor rgb="FFC0C0C0"/>
        </patternFill>
      </fill>
      <border>
        <left/>
        <right/>
        <top/>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F2F2FF"/>
      <rgbColor rgb="00DFDFDF"/>
      <rgbColor rgb="00FFFF99"/>
      <rgbColor rgb="00BFBFBF"/>
      <rgbColor rgb="00FF99CC"/>
      <rgbColor rgb="00A7A7A7"/>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C0C0C0"/>
      <color rgb="FFCC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Drop" dropStyle="combo" dx="26" fmlaLink="$O$4" fmlaRange="$J$7:$J$8" noThreeD="1" sel="2" val="0"/>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Drop" dropStyle="combo" dx="26" fmlaLink="$O$3" fmlaRange="$J$5:$J$6" noThreeD="1" sel="1" val="0"/>
</file>

<file path=xl/ctrlProps/ctrlProp5.xml><?xml version="1.0" encoding="utf-8"?>
<formControlPr xmlns="http://schemas.microsoft.com/office/spreadsheetml/2009/9/main" objectType="CheckBox" checked="Checked" fmlaLink="MENU.Import.Form.PreçoUnit" lockText="1" noThreeD="1"/>
</file>

<file path=xl/ctrlProps/ctrlProp6.xml><?xml version="1.0" encoding="utf-8"?>
<formControlPr xmlns="http://schemas.microsoft.com/office/spreadsheetml/2009/9/main" objectType="CheckBox" checked="Checked" fmlaLink="MENU.Import.Form.PLQ" lockText="1" noThreeD="1"/>
</file>

<file path=xl/ctrlProps/ctrlProp7.xml><?xml version="1.0" encoding="utf-8"?>
<formControlPr xmlns="http://schemas.microsoft.com/office/spreadsheetml/2009/9/main" objectType="CheckBox" checked="Checked" fmlaLink="$AF$7"/>
</file>

<file path=xl/ctrlProps/ctrlProp8.xml><?xml version="1.0" encoding="utf-8"?>
<formControlPr xmlns="http://schemas.microsoft.com/office/spreadsheetml/2009/9/main" objectType="CheckBox" checked="Checked" fmlaLink="$AF$8"/>
</file>

<file path=xl/ctrlProps/ctrlProp9.xml><?xml version="1.0" encoding="utf-8"?>
<formControlPr xmlns="http://schemas.microsoft.com/office/spreadsheetml/2009/9/main" objectType="CheckBox" checked="Checked" fmlaLink="$AF$9"/>
</file>

<file path=xl/ctrlProps/ctrlProp10.xml><?xml version="1.0" encoding="utf-8"?>
<formControlPr xmlns="http://schemas.microsoft.com/office/spreadsheetml/2009/9/main" objectType="CheckBox" checked="Checked" fmlaLink="$AF$10"/>
</file>

<file path=xl/ctrlProps/ctrlProp11.xml><?xml version="1.0" encoding="utf-8"?>
<formControlPr xmlns="http://schemas.microsoft.com/office/spreadsheetml/2009/9/main" objectType="CheckBox" checked="Checked" fmlaLink="$AF$11"/>
</file>

<file path=xl/ctrlProps/ctrlProp12.xml><?xml version="1.0" encoding="utf-8"?>
<formControlPr xmlns="http://schemas.microsoft.com/office/spreadsheetml/2009/9/main" objectType="Spin" dx="15" fmlaLink="$J$9" max="30000" min="1" page="10"/>
</file>

<file path=xl/ctrlProps/ctrlProp13.xml><?xml version="1.0" encoding="utf-8"?>
<formControlPr xmlns="http://schemas.microsoft.com/office/spreadsheetml/2009/9/main" objectType="CheckBox" checked="Checked" fmlaLink="$A$9" noThreeD="1"/>
</file>

<file path=xl/ctrlProps/ctrlProp14.xml><?xml version="1.0" encoding="utf-8"?>
<formControlPr xmlns="http://schemas.microsoft.com/office/spreadsheetml/2009/9/main" objectType="Spin" dx="15" fmlaLink="$O$8" max="30000" min="1" page="10"/>
</file>

<file path=xl/drawings/_rels/drawing1.xml.rels><?xml version="1.0" encoding="UTF-8" standalone="yes"?>
<Relationships xmlns="http://schemas.openxmlformats.org/package/2006/relationships"><Relationship Id="rId1" Type="http://schemas.openxmlformats.org/officeDocument/2006/relationships/hyperlink" Target="#Menu!E6"/></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hyperlink" Target="#BDI!J14"/><Relationship Id="rId1" Type="http://schemas.openxmlformats.org/officeDocument/2006/relationships/hyperlink" Target="#Menu!E6"/></Relationships>
</file>

<file path=xl/drawings/_rels/drawing4.xml.rels><?xml version="1.0" encoding="UTF-8" standalone="yes"?>
<Relationships xmlns="http://schemas.openxmlformats.org/package/2006/relationships"><Relationship Id="rId3" Type="http://schemas.openxmlformats.org/officeDocument/2006/relationships/hyperlink" Target="#OR&#199;AMENTO!M13"/><Relationship Id="rId2" Type="http://schemas.openxmlformats.org/officeDocument/2006/relationships/hyperlink" Target="#Menu!E6"/><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3" Type="http://schemas.openxmlformats.org/officeDocument/2006/relationships/hyperlink" Target="#BDI!J14"/><Relationship Id="rId2" Type="http://schemas.openxmlformats.org/officeDocument/2006/relationships/hyperlink" Target="#Menu!E6"/><Relationship Id="rId1" Type="http://schemas.openxmlformats.org/officeDocument/2006/relationships/image" Target="../media/image2.emf"/><Relationship Id="rId4" Type="http://schemas.openxmlformats.org/officeDocument/2006/relationships/hyperlink" Target="#C&#193;LCULO!I16"/></Relationships>
</file>

<file path=xl/drawings/_rels/drawing6.xml.rels><?xml version="1.0" encoding="UTF-8" standalone="yes"?>
<Relationships xmlns="http://schemas.openxmlformats.org/package/2006/relationships"><Relationship Id="rId3" Type="http://schemas.openxmlformats.org/officeDocument/2006/relationships/hyperlink" Target="#Menu!E6"/><Relationship Id="rId2" Type="http://schemas.openxmlformats.org/officeDocument/2006/relationships/image" Target="../media/image2.emf"/><Relationship Id="rId1" Type="http://schemas.openxmlformats.org/officeDocument/2006/relationships/hyperlink" Target="#C&#193;LCULO!A1"/><Relationship Id="rId4" Type="http://schemas.openxmlformats.org/officeDocument/2006/relationships/hyperlink" Target="#OR&#199;AMENTO!M13"/></Relationships>
</file>

<file path=xl/drawings/_rels/drawing7.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hyperlink" Target="#OR&#199;AMENTO!M13"/><Relationship Id="rId1" Type="http://schemas.openxmlformats.org/officeDocument/2006/relationships/hyperlink" Target="#Menu!E6"/></Relationships>
</file>

<file path=xl/drawings/_rels/drawing8.xml.rels><?xml version="1.0" encoding="UTF-8" standalone="yes"?>
<Relationships xmlns="http://schemas.openxmlformats.org/package/2006/relationships"><Relationship Id="rId3" Type="http://schemas.openxmlformats.org/officeDocument/2006/relationships/hyperlink" Target="#Menu!E6"/><Relationship Id="rId2" Type="http://schemas.openxmlformats.org/officeDocument/2006/relationships/image" Target="../media/image2.emf"/><Relationship Id="rId1" Type="http://schemas.openxmlformats.org/officeDocument/2006/relationships/hyperlink" Target="#EVENTOS!D15"/><Relationship Id="rId5" Type="http://schemas.openxmlformats.org/officeDocument/2006/relationships/hyperlink" Target="#C&#193;LCULO!Q12"/><Relationship Id="rId4" Type="http://schemas.openxmlformats.org/officeDocument/2006/relationships/hyperlink" Target="#CRONO!E7"/></Relationships>
</file>

<file path=xl/drawings/_rels/drawing9.xml.rels><?xml version="1.0" encoding="UTF-8" standalone="yes"?>
<Relationships xmlns="http://schemas.openxmlformats.org/package/2006/relationships"><Relationship Id="rId3" Type="http://schemas.openxmlformats.org/officeDocument/2006/relationships/hyperlink" Target="#QCI!H13"/><Relationship Id="rId2" Type="http://schemas.openxmlformats.org/officeDocument/2006/relationships/image" Target="../media/image2.emf"/><Relationship Id="rId1" Type="http://schemas.openxmlformats.org/officeDocument/2006/relationships/hyperlink" Target="#Menu!E6"/><Relationship Id="rId4" Type="http://schemas.openxmlformats.org/officeDocument/2006/relationships/hyperlink" Target="#OR&#199;AMENTO!T16"/></Relationships>
</file>

<file path=xl/drawings/_rels/drawing10.xml.rels><?xml version="1.0" encoding="UTF-8" standalone="yes"?>
<Relationships xmlns="http://schemas.openxmlformats.org/package/2006/relationships"><Relationship Id="rId3" Type="http://schemas.openxmlformats.org/officeDocument/2006/relationships/hyperlink" Target="#DADOS!E21"/><Relationship Id="rId2" Type="http://schemas.openxmlformats.org/officeDocument/2006/relationships/image" Target="../media/image2.emf"/><Relationship Id="rId1" Type="http://schemas.openxmlformats.org/officeDocument/2006/relationships/hyperlink" Target="#Menu!E6"/></Relationships>
</file>

<file path=xl/drawings/_rels/drawing11.xml.rels><?xml version="1.0" encoding="UTF-8" standalone="yes"?>
<Relationships xmlns="http://schemas.openxmlformats.org/package/2006/relationships"><Relationship Id="rId3" Type="http://schemas.openxmlformats.org/officeDocument/2006/relationships/hyperlink" Target="#RRE!E13"/><Relationship Id="rId2" Type="http://schemas.openxmlformats.org/officeDocument/2006/relationships/hyperlink" Target="#C&#193;LCULO!D13"/><Relationship Id="rId1" Type="http://schemas.openxmlformats.org/officeDocument/2006/relationships/hyperlink" Target="#Menu!E6"/><Relationship Id="rId5" Type="http://schemas.openxmlformats.org/officeDocument/2006/relationships/hyperlink" Target="#CRONOPLE!G15"/><Relationship Id="rId4" Type="http://schemas.openxmlformats.org/officeDocument/2006/relationships/image" Target="../media/image2.emf"/></Relationships>
</file>

<file path=xl/drawings/_rels/drawing12.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hyperlink" Target="#CRONO!T14"/><Relationship Id="rId1" Type="http://schemas.openxmlformats.org/officeDocument/2006/relationships/hyperlink" Target="#Menu!E6"/><Relationship Id="rId5" Type="http://schemas.openxmlformats.org/officeDocument/2006/relationships/hyperlink" Target="#DADOS!F40"/><Relationship Id="rId4" Type="http://schemas.openxmlformats.org/officeDocument/2006/relationships/hyperlink" Target="#RRE!E13"/></Relationships>
</file>

<file path=xl/drawings/_rels/drawing13.xml.rels><?xml version="1.0" encoding="UTF-8" standalone="yes"?>
<Relationships xmlns="http://schemas.openxmlformats.org/package/2006/relationships"><Relationship Id="rId3" Type="http://schemas.openxmlformats.org/officeDocument/2006/relationships/hyperlink" Target="#Of&#237;cio!C6"/><Relationship Id="rId2" Type="http://schemas.openxmlformats.org/officeDocument/2006/relationships/image" Target="../media/image2.emf"/><Relationship Id="rId1" Type="http://schemas.openxmlformats.org/officeDocument/2006/relationships/hyperlink" Target="#Menu!E6"/></Relationships>
</file>

<file path=xl/drawings/_rels/drawing14.xml.rels><?xml version="1.0" encoding="UTF-8" standalone="yes"?>
<Relationships xmlns="http://schemas.openxmlformats.org/package/2006/relationships"><Relationship Id="rId3" Type="http://schemas.openxmlformats.org/officeDocument/2006/relationships/hyperlink" Target="#Menu!E6"/><Relationship Id="rId2" Type="http://schemas.openxmlformats.org/officeDocument/2006/relationships/hyperlink" Target="#RRE!E13"/><Relationship Id="rId1" Type="http://schemas.openxmlformats.org/officeDocument/2006/relationships/hyperlink" Target="#DADOS!E46"/></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76200</xdr:rowOff>
    </xdr:from>
    <xdr:to>
      <xdr:col>1</xdr:col>
      <xdr:colOff>102923</xdr:colOff>
      <xdr:row>2</xdr:row>
      <xdr:rowOff>49540</xdr:rowOff>
    </xdr:to>
    <xdr:sp macro="" textlink="">
      <xdr:nvSpPr>
        <xdr:cNvPr id="3073" name="AutoShape 67">
          <a:hlinkClick xmlns:r="http://schemas.openxmlformats.org/officeDocument/2006/relationships" r:id="rId1"/>
          <a:extLst>
            <a:ext uri="{FF2B5EF4-FFF2-40B4-BE49-F238E27FC236}">
              <a16:creationId xmlns:a16="http://schemas.microsoft.com/office/drawing/2014/main" id="{00000000-0008-0000-0000-0000010C0000}"/>
            </a:ext>
          </a:extLst>
        </xdr:cNvPr>
        <xdr:cNvSpPr>
          <a:spLocks noChangeArrowheads="1"/>
        </xdr:cNvSpPr>
      </xdr:nvSpPr>
      <xdr:spPr bwMode="auto">
        <a:xfrm>
          <a:off x="104775" y="76200"/>
          <a:ext cx="571500"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2087880</xdr:colOff>
      <xdr:row>2</xdr:row>
      <xdr:rowOff>259080</xdr:rowOff>
    </xdr:to>
    <xdr:pic>
      <xdr:nvPicPr>
        <xdr:cNvPr id="20321" name="Imagem 23">
          <a:extLst>
            <a:ext uri="{FF2B5EF4-FFF2-40B4-BE49-F238E27FC236}">
              <a16:creationId xmlns:a16="http://schemas.microsoft.com/office/drawing/2014/main" id="{00000000-0008-0000-0100-0000614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120" y="190500"/>
          <a:ext cx="2476500" cy="5410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mc:AlternateContent xmlns:mc="http://schemas.openxmlformats.org/markup-compatibility/2006">
    <mc:Choice xmlns:a14="http://schemas.microsoft.com/office/drawing/2010/main" Requires="a14">
      <xdr:twoCellAnchor>
        <xdr:from>
          <xdr:col>2</xdr:col>
          <xdr:colOff>7620</xdr:colOff>
          <xdr:row>4</xdr:row>
          <xdr:rowOff>0</xdr:rowOff>
        </xdr:from>
        <xdr:to>
          <xdr:col>2</xdr:col>
          <xdr:colOff>1264920</xdr:colOff>
          <xdr:row>6</xdr:row>
          <xdr:rowOff>7620</xdr:rowOff>
        </xdr:to>
        <xdr:grpSp>
          <xdr:nvGrpSpPr>
            <xdr:cNvPr id="20322" name="TipoOrçamento">
              <a:extLst>
                <a:ext uri="{FF2B5EF4-FFF2-40B4-BE49-F238E27FC236}">
                  <a16:creationId xmlns:a16="http://schemas.microsoft.com/office/drawing/2014/main" id="{00000000-0008-0000-0100-0000624F0000}"/>
                </a:ext>
              </a:extLst>
            </xdr:cNvPr>
            <xdr:cNvGrpSpPr>
              <a:grpSpLocks/>
            </xdr:cNvGrpSpPr>
          </xdr:nvGrpSpPr>
          <xdr:grpSpPr bwMode="auto">
            <a:xfrm>
              <a:off x="567214" y="976313"/>
              <a:ext cx="1257300" cy="483870"/>
              <a:chOff x="523876" y="971527"/>
              <a:chExt cx="1257300" cy="485775"/>
            </a:xfrm>
          </xdr:grpSpPr>
          <xdr:sp macro="" textlink="">
            <xdr:nvSpPr>
              <xdr:cNvPr id="15377" name="Group Box 17" descr="Tipo de Orçamento          "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523876" y="971527"/>
                <a:ext cx="1257300" cy="485775"/>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pt-BR" sz="800" b="0" i="0" u="none" strike="noStrike" baseline="0">
                    <a:solidFill>
                      <a:srgbClr val="000000"/>
                    </a:solidFill>
                    <a:latin typeface="Segoe UI"/>
                    <a:cs typeface="Segoe UI"/>
                  </a:rPr>
                  <a:t>Tipo de Orçamento          </a:t>
                </a:r>
              </a:p>
            </xdr:txBody>
          </xdr:sp>
          <xdr:sp macro="" textlink="">
            <xdr:nvSpPr>
              <xdr:cNvPr id="15453" name="Drop Down 93" hidden="1">
                <a:extLst>
                  <a:ext uri="{63B3BB69-23CF-44E3-9099-C40C66FF867C}">
                    <a14:compatExt spid="_x0000_s15453"/>
                  </a:ext>
                  <a:ext uri="{FF2B5EF4-FFF2-40B4-BE49-F238E27FC236}">
                    <a16:creationId xmlns:a16="http://schemas.microsoft.com/office/drawing/2014/main" id="{00000000-0008-0000-0100-00005D3C0000}"/>
                  </a:ext>
                </a:extLst>
              </xdr:cNvPr>
              <xdr:cNvSpPr/>
            </xdr:nvSpPr>
            <xdr:spPr bwMode="auto">
              <a:xfrm>
                <a:off x="647699" y="1133476"/>
                <a:ext cx="981076" cy="219074"/>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1363980</xdr:colOff>
          <xdr:row>4</xdr:row>
          <xdr:rowOff>0</xdr:rowOff>
        </xdr:from>
        <xdr:to>
          <xdr:col>3</xdr:col>
          <xdr:colOff>22860</xdr:colOff>
          <xdr:row>6</xdr:row>
          <xdr:rowOff>7620</xdr:rowOff>
        </xdr:to>
        <xdr:grpSp>
          <xdr:nvGrpSpPr>
            <xdr:cNvPr id="20323" name="Acompanhamento">
              <a:extLst>
                <a:ext uri="{FF2B5EF4-FFF2-40B4-BE49-F238E27FC236}">
                  <a16:creationId xmlns:a16="http://schemas.microsoft.com/office/drawing/2014/main" id="{00000000-0008-0000-0100-0000634F0000}"/>
                </a:ext>
              </a:extLst>
            </xdr:cNvPr>
            <xdr:cNvGrpSpPr>
              <a:grpSpLocks/>
            </xdr:cNvGrpSpPr>
          </xdr:nvGrpSpPr>
          <xdr:grpSpPr bwMode="auto">
            <a:xfrm>
              <a:off x="1923574" y="976313"/>
              <a:ext cx="1230630" cy="483870"/>
              <a:chOff x="1790701" y="971522"/>
              <a:chExt cx="1304925" cy="485775"/>
            </a:xfrm>
          </xdr:grpSpPr>
          <xdr:sp macro="" textlink="">
            <xdr:nvSpPr>
              <xdr:cNvPr id="15384" name="Group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1790701" y="971522"/>
                <a:ext cx="1304925" cy="485775"/>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pt-BR" sz="800" b="0" i="0" u="none" strike="noStrike" baseline="0">
                    <a:solidFill>
                      <a:srgbClr val="000000"/>
                    </a:solidFill>
                    <a:latin typeface="Segoe UI"/>
                    <a:cs typeface="Segoe UI"/>
                  </a:rPr>
                  <a:t>Acompanhamento     </a:t>
                </a:r>
              </a:p>
            </xdr:txBody>
          </xdr:sp>
          <xdr:sp macro="" textlink="">
            <xdr:nvSpPr>
              <xdr:cNvPr id="15454" name="Drop Down 94" hidden="1">
                <a:extLst>
                  <a:ext uri="{63B3BB69-23CF-44E3-9099-C40C66FF867C}">
                    <a14:compatExt spid="_x0000_s15454"/>
                  </a:ext>
                  <a:ext uri="{FF2B5EF4-FFF2-40B4-BE49-F238E27FC236}">
                    <a16:creationId xmlns:a16="http://schemas.microsoft.com/office/drawing/2014/main" id="{00000000-0008-0000-0100-00005E3C0000}"/>
                  </a:ext>
                </a:extLst>
              </xdr:cNvPr>
              <xdr:cNvSpPr/>
            </xdr:nvSpPr>
            <xdr:spPr bwMode="auto">
              <a:xfrm>
                <a:off x="1924050" y="1133475"/>
                <a:ext cx="981075" cy="219075"/>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xdr:twoCellAnchor>
    <xdr:from>
      <xdr:col>9</xdr:col>
      <xdr:colOff>66676</xdr:colOff>
      <xdr:row>6</xdr:row>
      <xdr:rowOff>160019</xdr:rowOff>
    </xdr:from>
    <xdr:to>
      <xdr:col>9</xdr:col>
      <xdr:colOff>1202056</xdr:colOff>
      <xdr:row>9</xdr:row>
      <xdr:rowOff>38099</xdr:rowOff>
    </xdr:to>
    <xdr:sp macro="[0]!imprimirPROPOSTA" textlink="">
      <xdr:nvSpPr>
        <xdr:cNvPr id="10" name="Bot.ImprimirProposta">
          <a:extLst>
            <a:ext uri="{FF2B5EF4-FFF2-40B4-BE49-F238E27FC236}">
              <a16:creationId xmlns:a16="http://schemas.microsoft.com/office/drawing/2014/main" id="{00000000-0008-0000-0100-00000A000000}"/>
            </a:ext>
          </a:extLst>
        </xdr:cNvPr>
        <xdr:cNvSpPr>
          <a:spLocks noChangeArrowheads="1"/>
        </xdr:cNvSpPr>
      </xdr:nvSpPr>
      <xdr:spPr bwMode="auto">
        <a:xfrm>
          <a:off x="9686926" y="1607819"/>
          <a:ext cx="1135380" cy="47815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IMPRIMIR DOCUMENTOS</a:t>
          </a:r>
        </a:p>
      </xdr:txBody>
    </xdr:sp>
    <xdr:clientData/>
  </xdr:twoCellAnchor>
  <xdr:twoCellAnchor>
    <xdr:from>
      <xdr:col>9</xdr:col>
      <xdr:colOff>66675</xdr:colOff>
      <xdr:row>14</xdr:row>
      <xdr:rowOff>160020</xdr:rowOff>
    </xdr:from>
    <xdr:to>
      <xdr:col>9</xdr:col>
      <xdr:colOff>1202055</xdr:colOff>
      <xdr:row>17</xdr:row>
      <xdr:rowOff>38100</xdr:rowOff>
    </xdr:to>
    <xdr:sp macro="[0]!imprimirLICITADO" textlink="">
      <xdr:nvSpPr>
        <xdr:cNvPr id="12" name="Bot.ImprimirLicitacao">
          <a:extLst>
            <a:ext uri="{FF2B5EF4-FFF2-40B4-BE49-F238E27FC236}">
              <a16:creationId xmlns:a16="http://schemas.microsoft.com/office/drawing/2014/main" id="{00000000-0008-0000-0100-00000C000000}"/>
            </a:ext>
          </a:extLst>
        </xdr:cNvPr>
        <xdr:cNvSpPr>
          <a:spLocks noChangeArrowheads="1"/>
        </xdr:cNvSpPr>
      </xdr:nvSpPr>
      <xdr:spPr bwMode="auto">
        <a:xfrm>
          <a:off x="9686925" y="3236595"/>
          <a:ext cx="1135380" cy="47815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IMPRIMIR DOCUMENTOS</a:t>
          </a:r>
        </a:p>
      </xdr:txBody>
    </xdr:sp>
    <xdr:clientData/>
  </xdr:twoCellAnchor>
  <xdr:twoCellAnchor>
    <xdr:from>
      <xdr:col>9</xdr:col>
      <xdr:colOff>57150</xdr:colOff>
      <xdr:row>18</xdr:row>
      <xdr:rowOff>142875</xdr:rowOff>
    </xdr:from>
    <xdr:to>
      <xdr:col>9</xdr:col>
      <xdr:colOff>1192530</xdr:colOff>
      <xdr:row>21</xdr:row>
      <xdr:rowOff>28575</xdr:rowOff>
    </xdr:to>
    <xdr:sp macro="[0]!imprimirMedicao" textlink="">
      <xdr:nvSpPr>
        <xdr:cNvPr id="13" name="Bot.ImprimirAcompanhamento">
          <a:extLst>
            <a:ext uri="{FF2B5EF4-FFF2-40B4-BE49-F238E27FC236}">
              <a16:creationId xmlns:a16="http://schemas.microsoft.com/office/drawing/2014/main" id="{00000000-0008-0000-0100-00000D000000}"/>
            </a:ext>
          </a:extLst>
        </xdr:cNvPr>
        <xdr:cNvSpPr>
          <a:spLocks noChangeArrowheads="1"/>
        </xdr:cNvSpPr>
      </xdr:nvSpPr>
      <xdr:spPr bwMode="auto">
        <a:xfrm>
          <a:off x="9677400" y="4086225"/>
          <a:ext cx="1135380" cy="48577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IMPRIMIR DOCUMENTOS</a:t>
          </a:r>
        </a:p>
      </xdr:txBody>
    </xdr:sp>
    <xdr:clientData/>
  </xdr:twoCellAnchor>
  <xdr:twoCellAnchor>
    <xdr:from>
      <xdr:col>9</xdr:col>
      <xdr:colOff>66675</xdr:colOff>
      <xdr:row>2</xdr:row>
      <xdr:rowOff>0</xdr:rowOff>
    </xdr:from>
    <xdr:to>
      <xdr:col>11</xdr:col>
      <xdr:colOff>219825</xdr:colOff>
      <xdr:row>5</xdr:row>
      <xdr:rowOff>66675</xdr:rowOff>
    </xdr:to>
    <xdr:sp macro="[0]!Importar_Verif" textlink="">
      <xdr:nvSpPr>
        <xdr:cNvPr id="14" name="Bot.Importar">
          <a:extLst>
            <a:ext uri="{FF2B5EF4-FFF2-40B4-BE49-F238E27FC236}">
              <a16:creationId xmlns:a16="http://schemas.microsoft.com/office/drawing/2014/main" id="{00000000-0008-0000-0100-00000E000000}"/>
            </a:ext>
          </a:extLst>
        </xdr:cNvPr>
        <xdr:cNvSpPr>
          <a:spLocks noChangeArrowheads="1"/>
        </xdr:cNvSpPr>
      </xdr:nvSpPr>
      <xdr:spPr bwMode="auto">
        <a:xfrm>
          <a:off x="9686925" y="476250"/>
          <a:ext cx="1620000" cy="77152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IMPORTAR DE OUTRA PLANILHA MÚLTIPLA</a:t>
          </a:r>
        </a:p>
        <a:p>
          <a:pPr algn="ctr" rtl="0">
            <a:defRPr sz="1000"/>
          </a:pPr>
          <a:r>
            <a:rPr lang="pt-BR" sz="1100" b="1" i="0" u="none" strike="noStrike" baseline="0">
              <a:solidFill>
                <a:srgbClr val="000000"/>
              </a:solidFill>
              <a:latin typeface="Calibri"/>
            </a:rPr>
            <a:t>(A PARTIR DA VERSÃO 3)</a:t>
          </a:r>
        </a:p>
      </xdr:txBody>
    </xdr:sp>
    <xdr:clientData/>
  </xdr:twoCellAnchor>
  <mc:AlternateContent xmlns:mc="http://schemas.openxmlformats.org/markup-compatibility/2006">
    <mc:Choice xmlns:a14="http://schemas.microsoft.com/office/drawing/2010/main" Requires="a14">
      <xdr:twoCellAnchor editAs="oneCell">
        <xdr:from>
          <xdr:col>10</xdr:col>
          <xdr:colOff>38100</xdr:colOff>
          <xdr:row>0</xdr:row>
          <xdr:rowOff>47625</xdr:rowOff>
        </xdr:from>
        <xdr:to>
          <xdr:col>13</xdr:col>
          <xdr:colOff>2371725</xdr:colOff>
          <xdr:row>1</xdr:row>
          <xdr:rowOff>28575</xdr:rowOff>
        </xdr:to>
        <xdr:sp macro="" textlink="">
          <xdr:nvSpPr>
            <xdr:cNvPr id="15455" name="Check Box 95" hidden="1">
              <a:extLst>
                <a:ext uri="{63B3BB69-23CF-44E3-9099-C40C66FF867C}">
                  <a14:compatExt spid="_x0000_s15455"/>
                </a:ext>
                <a:ext uri="{FF2B5EF4-FFF2-40B4-BE49-F238E27FC236}">
                  <a16:creationId xmlns:a16="http://schemas.microsoft.com/office/drawing/2014/main" id="{00000000-0008-0000-0100-00005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t-BR" sz="800" b="0" i="0" u="none" strike="noStrike" baseline="0">
                  <a:solidFill>
                    <a:srgbClr val="000000"/>
                  </a:solidFill>
                  <a:latin typeface="Segoe UI"/>
                  <a:cs typeface="Segoe UI"/>
                </a:rPr>
                <a:t>Importar Fórmulas para o Custo Unitário (aba ORÇAMENTO)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xdr:row>
          <xdr:rowOff>66675</xdr:rowOff>
        </xdr:from>
        <xdr:to>
          <xdr:col>13</xdr:col>
          <xdr:colOff>2390775</xdr:colOff>
          <xdr:row>1</xdr:row>
          <xdr:rowOff>228600</xdr:rowOff>
        </xdr:to>
        <xdr:sp macro="" textlink="">
          <xdr:nvSpPr>
            <xdr:cNvPr id="15456" name="Check Box 96" hidden="1">
              <a:extLst>
                <a:ext uri="{63B3BB69-23CF-44E3-9099-C40C66FF867C}">
                  <a14:compatExt spid="_x0000_s15456"/>
                </a:ext>
                <a:ext uri="{FF2B5EF4-FFF2-40B4-BE49-F238E27FC236}">
                  <a16:creationId xmlns:a16="http://schemas.microsoft.com/office/drawing/2014/main" id="{00000000-0008-0000-0100-00006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t-BR" sz="800" b="0" i="0" u="none" strike="noStrike" baseline="0">
                  <a:solidFill>
                    <a:srgbClr val="000000"/>
                  </a:solidFill>
                  <a:latin typeface="Segoe UI"/>
                  <a:cs typeface="Segoe UI"/>
                </a:rPr>
                <a:t>Importar Fórmulas para as Quantidades da PLQ (aba CÁLCULO)</a:t>
              </a:r>
            </a:p>
          </xdr:txBody>
        </xdr:sp>
        <xdr:clientData/>
      </xdr:twoCellAnchor>
    </mc:Choice>
    <mc:Fallback/>
  </mc:AlternateContent>
  <xdr:twoCellAnchor>
    <xdr:from>
      <xdr:col>11</xdr:col>
      <xdr:colOff>371475</xdr:colOff>
      <xdr:row>2</xdr:row>
      <xdr:rowOff>28575</xdr:rowOff>
    </xdr:from>
    <xdr:to>
      <xdr:col>13</xdr:col>
      <xdr:colOff>1169100</xdr:colOff>
      <xdr:row>5</xdr:row>
      <xdr:rowOff>89958</xdr:rowOff>
    </xdr:to>
    <xdr:sp macro="[0]!Importar_PO_PLE_QCI" textlink="">
      <xdr:nvSpPr>
        <xdr:cNvPr id="2" name="Bot.Importar">
          <a:extLst>
            <a:ext uri="{FF2B5EF4-FFF2-40B4-BE49-F238E27FC236}">
              <a16:creationId xmlns:a16="http://schemas.microsoft.com/office/drawing/2014/main" id="{00000000-0008-0000-0100-000002000000}"/>
            </a:ext>
          </a:extLst>
        </xdr:cNvPr>
        <xdr:cNvSpPr>
          <a:spLocks noChangeArrowheads="1"/>
        </xdr:cNvSpPr>
      </xdr:nvSpPr>
      <xdr:spPr bwMode="auto">
        <a:xfrm>
          <a:off x="11458575" y="504825"/>
          <a:ext cx="1512000" cy="766233"/>
        </a:xfrm>
        <a:prstGeom prst="roundRect">
          <a:avLst>
            <a:gd name="adj" fmla="val 16667"/>
          </a:avLst>
        </a:prstGeom>
        <a:solidFill>
          <a:srgbClr val="FFCC99"/>
        </a:solidFill>
        <a:ln w="9360">
          <a:solidFill>
            <a:srgbClr val="808080"/>
          </a:solidFill>
          <a:miter lim="800000"/>
          <a:headEnd/>
          <a:tailEnd/>
        </a:ln>
        <a:effectLst/>
      </xdr:spPr>
      <xdr:txBody>
        <a:bodyPr vertOverflow="clip" wrap="square" lIns="27360" tIns="27360" rIns="27360" bIns="27360" anchor="ctr"/>
        <a:lstStyle/>
        <a:p>
          <a:pPr algn="ctr" rtl="0">
            <a:defRPr sz="1000"/>
          </a:pPr>
          <a:r>
            <a:rPr lang="pt-BR" sz="1100" b="1" i="0" u="none" strike="noStrike" baseline="0">
              <a:solidFill>
                <a:srgbClr val="000000"/>
              </a:solidFill>
              <a:latin typeface="+mn-lt"/>
            </a:rPr>
            <a:t>IMPORTAR DE OUTROS MODELOS CAIXA</a:t>
          </a:r>
        </a:p>
        <a:p>
          <a:pPr algn="ctr" rtl="0">
            <a:defRPr sz="1000"/>
          </a:pPr>
          <a:r>
            <a:rPr lang="pt-BR" sz="1100" b="1" i="1" u="none" strike="noStrike" baseline="0">
              <a:solidFill>
                <a:srgbClr val="000000"/>
              </a:solidFill>
              <a:latin typeface="+mn-lt"/>
            </a:rPr>
            <a:t>(PO / PLE / QCI)</a:t>
          </a:r>
        </a:p>
      </xdr:txBody>
    </xdr:sp>
    <xdr:clientData/>
  </xdr:twoCellAnchor>
  <xdr:twoCellAnchor>
    <xdr:from>
      <xdr:col>9</xdr:col>
      <xdr:colOff>28574</xdr:colOff>
      <xdr:row>9</xdr:row>
      <xdr:rowOff>171449</xdr:rowOff>
    </xdr:from>
    <xdr:to>
      <xdr:col>9</xdr:col>
      <xdr:colOff>1246859</xdr:colOff>
      <xdr:row>13</xdr:row>
      <xdr:rowOff>59624</xdr:rowOff>
    </xdr:to>
    <xdr:sp macro="[0]!Verificar_Export_Tgov" textlink="">
      <xdr:nvSpPr>
        <xdr:cNvPr id="3" name="Bot.ImprimirProposta">
          <a:extLst>
            <a:ext uri="{FF2B5EF4-FFF2-40B4-BE49-F238E27FC236}">
              <a16:creationId xmlns:a16="http://schemas.microsoft.com/office/drawing/2014/main" id="{00000000-0008-0000-0100-000003000000}"/>
            </a:ext>
          </a:extLst>
        </xdr:cNvPr>
        <xdr:cNvSpPr>
          <a:spLocks noChangeArrowheads="1"/>
        </xdr:cNvSpPr>
      </xdr:nvSpPr>
      <xdr:spPr bwMode="auto">
        <a:xfrm>
          <a:off x="9648824" y="2219324"/>
          <a:ext cx="1218285" cy="75495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GERAR ARQUIVO PARA UPLOAD NO TRANSFEREGOV</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64770</xdr:colOff>
      <xdr:row>0</xdr:row>
      <xdr:rowOff>38100</xdr:rowOff>
    </xdr:from>
    <xdr:to>
      <xdr:col>0</xdr:col>
      <xdr:colOff>636270</xdr:colOff>
      <xdr:row>1</xdr:row>
      <xdr:rowOff>135255</xdr:rowOff>
    </xdr:to>
    <xdr:sp macro="" textlink="">
      <xdr:nvSpPr>
        <xdr:cNvPr id="2050" name="AutoShape 67">
          <a:hlinkClick xmlns:r="http://schemas.openxmlformats.org/officeDocument/2006/relationships" r:id="rId1"/>
          <a:extLst>
            <a:ext uri="{FF2B5EF4-FFF2-40B4-BE49-F238E27FC236}">
              <a16:creationId xmlns:a16="http://schemas.microsoft.com/office/drawing/2014/main" id="{00000000-0008-0000-0200-000002080000}"/>
            </a:ext>
          </a:extLst>
        </xdr:cNvPr>
        <xdr:cNvSpPr>
          <a:spLocks noChangeArrowheads="1"/>
        </xdr:cNvSpPr>
      </xdr:nvSpPr>
      <xdr:spPr bwMode="auto">
        <a:xfrm>
          <a:off x="64770" y="38100"/>
          <a:ext cx="571500" cy="29718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2</xdr:col>
      <xdr:colOff>2809875</xdr:colOff>
      <xdr:row>0</xdr:row>
      <xdr:rowOff>14817</xdr:rowOff>
    </xdr:from>
    <xdr:to>
      <xdr:col>2</xdr:col>
      <xdr:colOff>3528817</xdr:colOff>
      <xdr:row>1</xdr:row>
      <xdr:rowOff>123825</xdr:rowOff>
    </xdr:to>
    <xdr:sp macro="" textlink="">
      <xdr:nvSpPr>
        <xdr:cNvPr id="2" name="AutoShape 67">
          <a:hlinkClick xmlns:r="http://schemas.openxmlformats.org/officeDocument/2006/relationships" r:id="rId2"/>
          <a:extLst>
            <a:ext uri="{FF2B5EF4-FFF2-40B4-BE49-F238E27FC236}">
              <a16:creationId xmlns:a16="http://schemas.microsoft.com/office/drawing/2014/main" id="{00000000-0008-0000-0200-000002000000}"/>
            </a:ext>
          </a:extLst>
        </xdr:cNvPr>
        <xdr:cNvSpPr>
          <a:spLocks noChangeArrowheads="1"/>
        </xdr:cNvSpPr>
      </xdr:nvSpPr>
      <xdr:spPr bwMode="auto">
        <a:xfrm>
          <a:off x="8096250" y="14817"/>
          <a:ext cx="718942" cy="30903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BDI</a:t>
          </a:r>
        </a:p>
      </xdr:txBody>
    </xdr:sp>
    <xdr:clientData fPrintsWithSheet="0"/>
  </xdr:twoCellAnchor>
  <xdr:twoCellAnchor>
    <xdr:from>
      <xdr:col>2</xdr:col>
      <xdr:colOff>1738117</xdr:colOff>
      <xdr:row>32</xdr:row>
      <xdr:rowOff>0</xdr:rowOff>
    </xdr:from>
    <xdr:to>
      <xdr:col>2</xdr:col>
      <xdr:colOff>3528817</xdr:colOff>
      <xdr:row>33</xdr:row>
      <xdr:rowOff>142875</xdr:rowOff>
    </xdr:to>
    <xdr:sp macro="[0]!IrPara_OrçLicit" textlink="">
      <xdr:nvSpPr>
        <xdr:cNvPr id="4" name="AutoShape 67">
          <a:extLst>
            <a:ext uri="{FF2B5EF4-FFF2-40B4-BE49-F238E27FC236}">
              <a16:creationId xmlns:a16="http://schemas.microsoft.com/office/drawing/2014/main" id="{00000000-0008-0000-0200-000004000000}"/>
            </a:ext>
          </a:extLst>
        </xdr:cNvPr>
        <xdr:cNvSpPr>
          <a:spLocks noChangeArrowheads="1"/>
        </xdr:cNvSpPr>
      </xdr:nvSpPr>
      <xdr:spPr bwMode="auto">
        <a:xfrm>
          <a:off x="7024492" y="5495925"/>
          <a:ext cx="1790700"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mn-lt"/>
            </a:rPr>
            <a:t>ORÇAMENTO LICITADO</a:t>
          </a:r>
        </a:p>
      </xdr:txBody>
    </xdr:sp>
    <xdr:clientData fPrintsWithSheet="0"/>
  </xdr:twoCellAnchor>
  <xdr:twoCellAnchor>
    <xdr:from>
      <xdr:col>2</xdr:col>
      <xdr:colOff>2324099</xdr:colOff>
      <xdr:row>43</xdr:row>
      <xdr:rowOff>0</xdr:rowOff>
    </xdr:from>
    <xdr:to>
      <xdr:col>2</xdr:col>
      <xdr:colOff>3528816</xdr:colOff>
      <xdr:row>44</xdr:row>
      <xdr:rowOff>142875</xdr:rowOff>
    </xdr:to>
    <xdr:sp macro="[0]!IrPara_Medição" textlink="">
      <xdr:nvSpPr>
        <xdr:cNvPr id="5" name="AutoShape 67">
          <a:extLst>
            <a:ext uri="{FF2B5EF4-FFF2-40B4-BE49-F238E27FC236}">
              <a16:creationId xmlns:a16="http://schemas.microsoft.com/office/drawing/2014/main" id="{00000000-0008-0000-0200-000005000000}"/>
            </a:ext>
          </a:extLst>
        </xdr:cNvPr>
        <xdr:cNvSpPr>
          <a:spLocks noChangeArrowheads="1"/>
        </xdr:cNvSpPr>
      </xdr:nvSpPr>
      <xdr:spPr bwMode="auto">
        <a:xfrm>
          <a:off x="7610474" y="7372350"/>
          <a:ext cx="1204717"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MEDIÇÃO</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9</xdr:col>
      <xdr:colOff>30480</xdr:colOff>
      <xdr:row>0</xdr:row>
      <xdr:rowOff>15240</xdr:rowOff>
    </xdr:from>
    <xdr:to>
      <xdr:col>11</xdr:col>
      <xdr:colOff>403860</xdr:colOff>
      <xdr:row>2</xdr:row>
      <xdr:rowOff>38100</xdr:rowOff>
    </xdr:to>
    <xdr:pic>
      <xdr:nvPicPr>
        <xdr:cNvPr id="4848" name="Logo1">
          <a:extLst>
            <a:ext uri="{FF2B5EF4-FFF2-40B4-BE49-F238E27FC236}">
              <a16:creationId xmlns:a16="http://schemas.microsoft.com/office/drawing/2014/main" id="{00000000-0008-0000-0300-0000F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 y="15240"/>
          <a:ext cx="1836420" cy="3886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176741</xdr:colOff>
      <xdr:row>0</xdr:row>
      <xdr:rowOff>50923</xdr:rowOff>
    </xdr:from>
    <xdr:to>
      <xdr:col>8</xdr:col>
      <xdr:colOff>28575</xdr:colOff>
      <xdr:row>1</xdr:row>
      <xdr:rowOff>152400</xdr:rowOff>
    </xdr:to>
    <xdr:sp macro="" textlink="">
      <xdr:nvSpPr>
        <xdr:cNvPr id="4098" name="AutoShape 67">
          <a:hlinkClick xmlns:r="http://schemas.openxmlformats.org/officeDocument/2006/relationships" r:id="rId2"/>
          <a:extLst>
            <a:ext uri="{FF2B5EF4-FFF2-40B4-BE49-F238E27FC236}">
              <a16:creationId xmlns:a16="http://schemas.microsoft.com/office/drawing/2014/main" id="{00000000-0008-0000-0300-000002100000}"/>
            </a:ext>
          </a:extLst>
        </xdr:cNvPr>
        <xdr:cNvSpPr>
          <a:spLocks noChangeArrowheads="1"/>
        </xdr:cNvSpPr>
      </xdr:nvSpPr>
      <xdr:spPr bwMode="auto">
        <a:xfrm>
          <a:off x="176741" y="50923"/>
          <a:ext cx="566209" cy="301502"/>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7</xdr:col>
      <xdr:colOff>176741</xdr:colOff>
      <xdr:row>2</xdr:row>
      <xdr:rowOff>14817</xdr:rowOff>
    </xdr:from>
    <xdr:to>
      <xdr:col>8</xdr:col>
      <xdr:colOff>28575</xdr:colOff>
      <xdr:row>4</xdr:row>
      <xdr:rowOff>0</xdr:rowOff>
    </xdr:to>
    <xdr:sp macro="" textlink="">
      <xdr:nvSpPr>
        <xdr:cNvPr id="5" name="AutoShape 67">
          <a:hlinkClick xmlns:r="http://schemas.openxmlformats.org/officeDocument/2006/relationships" r:id="rId3"/>
          <a:extLst>
            <a:ext uri="{FF2B5EF4-FFF2-40B4-BE49-F238E27FC236}">
              <a16:creationId xmlns:a16="http://schemas.microsoft.com/office/drawing/2014/main" id="{00000000-0008-0000-0300-000005000000}"/>
            </a:ext>
          </a:extLst>
        </xdr:cNvPr>
        <xdr:cNvSpPr>
          <a:spLocks noChangeArrowheads="1"/>
        </xdr:cNvSpPr>
      </xdr:nvSpPr>
      <xdr:spPr bwMode="auto">
        <a:xfrm>
          <a:off x="176741" y="376767"/>
          <a:ext cx="566209" cy="30903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PO</a:t>
          </a:r>
          <a:endParaRPr lang="pt-BR" sz="1100" b="1" i="0" u="none" strike="noStrike" baseline="0">
            <a:solidFill>
              <a:srgbClr val="000000"/>
            </a:solidFill>
            <a:latin typeface="Calibri"/>
          </a:endParaRPr>
        </a:p>
      </xdr:txBody>
    </xdr:sp>
    <xdr:clientData fPrintsWithSheet="0"/>
  </xdr:twoCellAnchor>
  <xdr:twoCellAnchor>
    <xdr:from>
      <xdr:col>7</xdr:col>
      <xdr:colOff>148166</xdr:colOff>
      <xdr:row>6</xdr:row>
      <xdr:rowOff>0</xdr:rowOff>
    </xdr:from>
    <xdr:to>
      <xdr:col>8</xdr:col>
      <xdr:colOff>0</xdr:colOff>
      <xdr:row>6</xdr:row>
      <xdr:rowOff>270000</xdr:rowOff>
    </xdr:to>
    <xdr:sp macro="[0]!IrPara_BDI_1" textlink="">
      <xdr:nvSpPr>
        <xdr:cNvPr id="2" name="AutoShape 67">
          <a:extLst>
            <a:ext uri="{FF2B5EF4-FFF2-40B4-BE49-F238E27FC236}">
              <a16:creationId xmlns:a16="http://schemas.microsoft.com/office/drawing/2014/main" id="{00000000-0008-0000-0300-000002000000}"/>
            </a:ext>
          </a:extLst>
        </xdr:cNvPr>
        <xdr:cNvSpPr>
          <a:spLocks noChangeArrowheads="1"/>
        </xdr:cNvSpPr>
      </xdr:nvSpPr>
      <xdr:spPr bwMode="auto">
        <a:xfrm>
          <a:off x="148166" y="1009650"/>
          <a:ext cx="566209" cy="2700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BDI 1</a:t>
          </a:r>
          <a:endParaRPr lang="pt-BR" sz="1100" b="1" i="0" u="none" strike="noStrike" baseline="0">
            <a:solidFill>
              <a:srgbClr val="000000"/>
            </a:solidFill>
            <a:latin typeface="Calibri"/>
          </a:endParaRPr>
        </a:p>
      </xdr:txBody>
    </xdr:sp>
    <xdr:clientData fPrintsWithSheet="0"/>
  </xdr:twoCellAnchor>
  <xdr:twoCellAnchor>
    <xdr:from>
      <xdr:col>7</xdr:col>
      <xdr:colOff>148166</xdr:colOff>
      <xdr:row>7</xdr:row>
      <xdr:rowOff>0</xdr:rowOff>
    </xdr:from>
    <xdr:to>
      <xdr:col>8</xdr:col>
      <xdr:colOff>0</xdr:colOff>
      <xdr:row>8</xdr:row>
      <xdr:rowOff>108075</xdr:rowOff>
    </xdr:to>
    <xdr:sp macro="[0]!IrPara_BDI_2" textlink="">
      <xdr:nvSpPr>
        <xdr:cNvPr id="3" name="AutoShape 67">
          <a:extLst>
            <a:ext uri="{FF2B5EF4-FFF2-40B4-BE49-F238E27FC236}">
              <a16:creationId xmlns:a16="http://schemas.microsoft.com/office/drawing/2014/main" id="{00000000-0008-0000-0300-000003000000}"/>
            </a:ext>
          </a:extLst>
        </xdr:cNvPr>
        <xdr:cNvSpPr>
          <a:spLocks noChangeArrowheads="1"/>
        </xdr:cNvSpPr>
      </xdr:nvSpPr>
      <xdr:spPr bwMode="auto">
        <a:xfrm>
          <a:off x="148166" y="1333500"/>
          <a:ext cx="566209" cy="2700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BDI 2</a:t>
          </a:r>
          <a:endParaRPr lang="pt-BR" sz="1100" b="1" i="0" u="none" strike="noStrike" baseline="0">
            <a:solidFill>
              <a:srgbClr val="000000"/>
            </a:solidFill>
            <a:latin typeface="Calibri"/>
          </a:endParaRPr>
        </a:p>
      </xdr:txBody>
    </xdr:sp>
    <xdr:clientData fPrintsWithSheet="0"/>
  </xdr:twoCellAnchor>
  <xdr:twoCellAnchor>
    <xdr:from>
      <xdr:col>7</xdr:col>
      <xdr:colOff>148166</xdr:colOff>
      <xdr:row>8</xdr:row>
      <xdr:rowOff>158625</xdr:rowOff>
    </xdr:from>
    <xdr:to>
      <xdr:col>8</xdr:col>
      <xdr:colOff>0</xdr:colOff>
      <xdr:row>10</xdr:row>
      <xdr:rowOff>104775</xdr:rowOff>
    </xdr:to>
    <xdr:sp macro="[0]!IrPara_BDI_3" textlink="">
      <xdr:nvSpPr>
        <xdr:cNvPr id="4" name="AutoShape 67">
          <a:extLst>
            <a:ext uri="{FF2B5EF4-FFF2-40B4-BE49-F238E27FC236}">
              <a16:creationId xmlns:a16="http://schemas.microsoft.com/office/drawing/2014/main" id="{00000000-0008-0000-0300-000004000000}"/>
            </a:ext>
          </a:extLst>
        </xdr:cNvPr>
        <xdr:cNvSpPr>
          <a:spLocks noChangeArrowheads="1"/>
        </xdr:cNvSpPr>
      </xdr:nvSpPr>
      <xdr:spPr bwMode="auto">
        <a:xfrm>
          <a:off x="148166" y="1654050"/>
          <a:ext cx="566209" cy="2700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BDI 3</a:t>
          </a:r>
          <a:endParaRPr lang="pt-BR" sz="1100" b="1" i="0" u="none" strike="noStrike" baseline="0">
            <a:solidFill>
              <a:srgbClr val="000000"/>
            </a:solidFill>
            <a:latin typeface="Calibri"/>
          </a:endParaRP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14</xdr:col>
      <xdr:colOff>60960</xdr:colOff>
      <xdr:row>0</xdr:row>
      <xdr:rowOff>15240</xdr:rowOff>
    </xdr:from>
    <xdr:to>
      <xdr:col>15</xdr:col>
      <xdr:colOff>1036320</xdr:colOff>
      <xdr:row>1</xdr:row>
      <xdr:rowOff>167640</xdr:rowOff>
    </xdr:to>
    <xdr:pic>
      <xdr:nvPicPr>
        <xdr:cNvPr id="24130" name="Picture 2">
          <a:extLst>
            <a:ext uri="{FF2B5EF4-FFF2-40B4-BE49-F238E27FC236}">
              <a16:creationId xmlns:a16="http://schemas.microsoft.com/office/drawing/2014/main" id="{00000000-0008-0000-0400-0000425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1140" y="15240"/>
          <a:ext cx="1844040" cy="3733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19</xdr:col>
      <xdr:colOff>9102</xdr:colOff>
      <xdr:row>8</xdr:row>
      <xdr:rowOff>95250</xdr:rowOff>
    </xdr:from>
    <xdr:to>
      <xdr:col>24</xdr:col>
      <xdr:colOff>3810</xdr:colOff>
      <xdr:row>10</xdr:row>
      <xdr:rowOff>141018</xdr:rowOff>
    </xdr:to>
    <xdr:sp macro="" textlink="" fLocksText="0">
      <xdr:nvSpPr>
        <xdr:cNvPr id="5127" name="TextBoxArred">
          <a:extLst>
            <a:ext uri="{FF2B5EF4-FFF2-40B4-BE49-F238E27FC236}">
              <a16:creationId xmlns:a16="http://schemas.microsoft.com/office/drawing/2014/main" id="{00000000-0008-0000-0400-000007140000}"/>
            </a:ext>
          </a:extLst>
        </xdr:cNvPr>
        <xdr:cNvSpPr txBox="1">
          <a:spLocks noChangeArrowheads="1"/>
        </xdr:cNvSpPr>
      </xdr:nvSpPr>
      <xdr:spPr bwMode="auto">
        <a:xfrm flipH="1">
          <a:off x="9457902" y="1381125"/>
          <a:ext cx="4700058" cy="369618"/>
        </a:xfrm>
        <a:prstGeom prst="rect">
          <a:avLst/>
        </a:prstGeom>
        <a:noFill/>
        <a:ln w="6480">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2680" rIns="27360" bIns="0" anchor="t"/>
        <a:lstStyle/>
        <a:p>
          <a:pPr algn="ctr" rtl="0">
            <a:defRPr sz="1000"/>
          </a:pPr>
          <a:r>
            <a:rPr lang="pt-BR" sz="1000" b="0" i="0" u="none" strike="noStrike" baseline="0">
              <a:solidFill>
                <a:srgbClr val="000000"/>
              </a:solidFill>
              <a:latin typeface="Arial"/>
              <a:cs typeface="Arial"/>
            </a:rPr>
            <a:t>Considerar valores arredondados com (0,00)</a:t>
          </a:r>
        </a:p>
      </xdr:txBody>
    </xdr:sp>
    <xdr:clientData fPrintsWithSheet="0"/>
  </xdr:twoCellAnchor>
  <mc:AlternateContent xmlns:mc="http://schemas.openxmlformats.org/markup-compatibility/2006">
    <mc:Choice xmlns:a14="http://schemas.microsoft.com/office/drawing/2010/main" Requires="a14">
      <xdr:twoCellAnchor>
        <xdr:from>
          <xdr:col>19</xdr:col>
          <xdr:colOff>457200</xdr:colOff>
          <xdr:row>9</xdr:row>
          <xdr:rowOff>66675</xdr:rowOff>
        </xdr:from>
        <xdr:to>
          <xdr:col>19</xdr:col>
          <xdr:colOff>904875</xdr:colOff>
          <xdr:row>10</xdr:row>
          <xdr:rowOff>142875</xdr:rowOff>
        </xdr:to>
        <xdr:sp macro="" textlink="">
          <xdr:nvSpPr>
            <xdr:cNvPr id="5128" name="CaixaArredQuant"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20</xdr:col>
          <xdr:colOff>447675</xdr:colOff>
          <xdr:row>9</xdr:row>
          <xdr:rowOff>66675</xdr:rowOff>
        </xdr:from>
        <xdr:to>
          <xdr:col>20</xdr:col>
          <xdr:colOff>876300</xdr:colOff>
          <xdr:row>10</xdr:row>
          <xdr:rowOff>142875</xdr:rowOff>
        </xdr:to>
        <xdr:sp macro="" textlink="">
          <xdr:nvSpPr>
            <xdr:cNvPr id="5129" name="CaixaArredCustoUnit"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21</xdr:col>
          <xdr:colOff>295275</xdr:colOff>
          <xdr:row>9</xdr:row>
          <xdr:rowOff>66675</xdr:rowOff>
        </xdr:from>
        <xdr:to>
          <xdr:col>21</xdr:col>
          <xdr:colOff>714375</xdr:colOff>
          <xdr:row>10</xdr:row>
          <xdr:rowOff>142875</xdr:rowOff>
        </xdr:to>
        <xdr:sp macro="" textlink="">
          <xdr:nvSpPr>
            <xdr:cNvPr id="5130" name="CaixaArredBDI"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22</xdr:col>
          <xdr:colOff>371475</xdr:colOff>
          <xdr:row>9</xdr:row>
          <xdr:rowOff>66675</xdr:rowOff>
        </xdr:from>
        <xdr:to>
          <xdr:col>22</xdr:col>
          <xdr:colOff>790575</xdr:colOff>
          <xdr:row>10</xdr:row>
          <xdr:rowOff>142875</xdr:rowOff>
        </xdr:to>
        <xdr:sp macro="" textlink="">
          <xdr:nvSpPr>
            <xdr:cNvPr id="5131" name="CaixaArredPrecoUnit"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447675</xdr:colOff>
          <xdr:row>9</xdr:row>
          <xdr:rowOff>47625</xdr:rowOff>
        </xdr:from>
        <xdr:to>
          <xdr:col>23</xdr:col>
          <xdr:colOff>876300</xdr:colOff>
          <xdr:row>10</xdr:row>
          <xdr:rowOff>142875</xdr:rowOff>
        </xdr:to>
        <xdr:sp macro="" textlink="">
          <xdr:nvSpPr>
            <xdr:cNvPr id="5132" name="CaixaArredPrecoTotal" hidden="1">
              <a:extLst>
                <a:ext uri="{63B3BB69-23CF-44E3-9099-C40C66FF867C}">
                  <a14:compatExt spid="_x0000_s5132"/>
                </a:ext>
                <a:ext uri="{FF2B5EF4-FFF2-40B4-BE49-F238E27FC236}">
                  <a16:creationId xmlns:a16="http://schemas.microsoft.com/office/drawing/2014/main" id="{00000000-0008-0000-0400-00000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xdr:twoCellAnchor>
    <xdr:from>
      <xdr:col>12</xdr:col>
      <xdr:colOff>302895</xdr:colOff>
      <xdr:row>0</xdr:row>
      <xdr:rowOff>60116</xdr:rowOff>
    </xdr:from>
    <xdr:to>
      <xdr:col>13</xdr:col>
      <xdr:colOff>440812</xdr:colOff>
      <xdr:row>1</xdr:row>
      <xdr:rowOff>144023</xdr:rowOff>
    </xdr:to>
    <xdr:sp macro="" textlink="">
      <xdr:nvSpPr>
        <xdr:cNvPr id="5133" name="AutoShape 67">
          <a:hlinkClick xmlns:r="http://schemas.openxmlformats.org/officeDocument/2006/relationships" r:id="rId2"/>
          <a:extLst>
            <a:ext uri="{FF2B5EF4-FFF2-40B4-BE49-F238E27FC236}">
              <a16:creationId xmlns:a16="http://schemas.microsoft.com/office/drawing/2014/main" id="{00000000-0008-0000-0400-00000D140000}"/>
            </a:ext>
          </a:extLst>
        </xdr:cNvPr>
        <xdr:cNvSpPr>
          <a:spLocks noChangeArrowheads="1"/>
        </xdr:cNvSpPr>
      </xdr:nvSpPr>
      <xdr:spPr bwMode="auto">
        <a:xfrm>
          <a:off x="546312" y="60116"/>
          <a:ext cx="720000" cy="31674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14</xdr:col>
      <xdr:colOff>3809</xdr:colOff>
      <xdr:row>8</xdr:row>
      <xdr:rowOff>45710</xdr:rowOff>
    </xdr:from>
    <xdr:to>
      <xdr:col>15</xdr:col>
      <xdr:colOff>397034</xdr:colOff>
      <xdr:row>11</xdr:row>
      <xdr:rowOff>18410</xdr:rowOff>
    </xdr:to>
    <xdr:sp macro="[0]!Linhas.AddLinha" textlink="">
      <xdr:nvSpPr>
        <xdr:cNvPr id="5134" name="AutoShape 67">
          <a:extLst>
            <a:ext uri="{FF2B5EF4-FFF2-40B4-BE49-F238E27FC236}">
              <a16:creationId xmlns:a16="http://schemas.microsoft.com/office/drawing/2014/main" id="{00000000-0008-0000-0400-00000E140000}"/>
            </a:ext>
          </a:extLst>
        </xdr:cNvPr>
        <xdr:cNvSpPr>
          <a:spLocks noChangeArrowheads="1"/>
        </xdr:cNvSpPr>
      </xdr:nvSpPr>
      <xdr:spPr bwMode="auto">
        <a:xfrm>
          <a:off x="1413509" y="1331585"/>
          <a:ext cx="1240950" cy="45847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ADICIONAR LINHAS</a:t>
          </a:r>
        </a:p>
      </xdr:txBody>
    </xdr:sp>
    <xdr:clientData fPrintsWithSheet="0"/>
  </xdr:twoCellAnchor>
  <xdr:twoCellAnchor>
    <xdr:from>
      <xdr:col>16</xdr:col>
      <xdr:colOff>836294</xdr:colOff>
      <xdr:row>8</xdr:row>
      <xdr:rowOff>41900</xdr:rowOff>
    </xdr:from>
    <xdr:to>
      <xdr:col>17</xdr:col>
      <xdr:colOff>1025684</xdr:colOff>
      <xdr:row>11</xdr:row>
      <xdr:rowOff>20315</xdr:rowOff>
    </xdr:to>
    <xdr:sp macro="[0]!fixar" textlink="">
      <xdr:nvSpPr>
        <xdr:cNvPr id="5135" name="AutoShape 67">
          <a:extLst>
            <a:ext uri="{FF2B5EF4-FFF2-40B4-BE49-F238E27FC236}">
              <a16:creationId xmlns:a16="http://schemas.microsoft.com/office/drawing/2014/main" id="{00000000-0008-0000-0400-00000F140000}"/>
            </a:ext>
          </a:extLst>
        </xdr:cNvPr>
        <xdr:cNvSpPr>
          <a:spLocks noChangeArrowheads="1"/>
        </xdr:cNvSpPr>
      </xdr:nvSpPr>
      <xdr:spPr bwMode="auto">
        <a:xfrm>
          <a:off x="4141469" y="1327775"/>
          <a:ext cx="1237140" cy="46419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FIXAR DESCRIÇÕES</a:t>
          </a:r>
        </a:p>
      </xdr:txBody>
    </xdr:sp>
    <xdr:clientData fPrintsWithSheet="0"/>
  </xdr:twoCellAnchor>
  <xdr:twoCellAnchor>
    <xdr:from>
      <xdr:col>15</xdr:col>
      <xdr:colOff>527684</xdr:colOff>
      <xdr:row>8</xdr:row>
      <xdr:rowOff>38090</xdr:rowOff>
    </xdr:from>
    <xdr:to>
      <xdr:col>16</xdr:col>
      <xdr:colOff>717074</xdr:colOff>
      <xdr:row>11</xdr:row>
      <xdr:rowOff>20315</xdr:rowOff>
    </xdr:to>
    <xdr:sp macro="[0]!Linhas.ExcLinhas" textlink="">
      <xdr:nvSpPr>
        <xdr:cNvPr id="5136" name="AutoShape 67">
          <a:extLst>
            <a:ext uri="{FF2B5EF4-FFF2-40B4-BE49-F238E27FC236}">
              <a16:creationId xmlns:a16="http://schemas.microsoft.com/office/drawing/2014/main" id="{00000000-0008-0000-0400-000010140000}"/>
            </a:ext>
          </a:extLst>
        </xdr:cNvPr>
        <xdr:cNvSpPr>
          <a:spLocks noChangeArrowheads="1"/>
        </xdr:cNvSpPr>
      </xdr:nvSpPr>
      <xdr:spPr bwMode="auto">
        <a:xfrm>
          <a:off x="2785109" y="1323965"/>
          <a:ext cx="1237140" cy="4680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EXCLUIR LINHAS</a:t>
          </a:r>
        </a:p>
      </xdr:txBody>
    </xdr:sp>
    <xdr:clientData fPrintsWithSheet="0"/>
  </xdr:twoCellAnchor>
  <xdr:twoCellAnchor>
    <xdr:from>
      <xdr:col>17</xdr:col>
      <xdr:colOff>2535551</xdr:colOff>
      <xdr:row>8</xdr:row>
      <xdr:rowOff>38090</xdr:rowOff>
    </xdr:from>
    <xdr:to>
      <xdr:col>17</xdr:col>
      <xdr:colOff>3765071</xdr:colOff>
      <xdr:row>11</xdr:row>
      <xdr:rowOff>20315</xdr:rowOff>
    </xdr:to>
    <xdr:sp macro="[0]!recuperar" textlink="">
      <xdr:nvSpPr>
        <xdr:cNvPr id="5137" name="AutoShape 67">
          <a:extLst>
            <a:ext uri="{FF2B5EF4-FFF2-40B4-BE49-F238E27FC236}">
              <a16:creationId xmlns:a16="http://schemas.microsoft.com/office/drawing/2014/main" id="{00000000-0008-0000-0400-000011140000}"/>
            </a:ext>
          </a:extLst>
        </xdr:cNvPr>
        <xdr:cNvSpPr>
          <a:spLocks noChangeArrowheads="1"/>
        </xdr:cNvSpPr>
      </xdr:nvSpPr>
      <xdr:spPr bwMode="auto">
        <a:xfrm>
          <a:off x="6888476" y="1323965"/>
          <a:ext cx="1229520" cy="4680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RECUPERAR FÓRMULAS</a:t>
          </a:r>
        </a:p>
      </xdr:txBody>
    </xdr:sp>
    <xdr:clientData fPrintsWithSheet="0"/>
  </xdr:twoCellAnchor>
  <xdr:twoCellAnchor>
    <xdr:from>
      <xdr:col>17</xdr:col>
      <xdr:colOff>3889797</xdr:colOff>
      <xdr:row>8</xdr:row>
      <xdr:rowOff>39995</xdr:rowOff>
    </xdr:from>
    <xdr:to>
      <xdr:col>18</xdr:col>
      <xdr:colOff>640662</xdr:colOff>
      <xdr:row>11</xdr:row>
      <xdr:rowOff>8885</xdr:rowOff>
    </xdr:to>
    <xdr:sp macro="[0]!buscarcodigo" textlink="">
      <xdr:nvSpPr>
        <xdr:cNvPr id="14" name="AutoShape 67">
          <a:extLst>
            <a:ext uri="{FF2B5EF4-FFF2-40B4-BE49-F238E27FC236}">
              <a16:creationId xmlns:a16="http://schemas.microsoft.com/office/drawing/2014/main" id="{00000000-0008-0000-0400-00000E000000}"/>
            </a:ext>
          </a:extLst>
        </xdr:cNvPr>
        <xdr:cNvSpPr>
          <a:spLocks noChangeArrowheads="1"/>
        </xdr:cNvSpPr>
      </xdr:nvSpPr>
      <xdr:spPr bwMode="auto">
        <a:xfrm>
          <a:off x="8242722" y="1325870"/>
          <a:ext cx="1132365" cy="45466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BUSCAR CÓDIGO</a:t>
          </a:r>
        </a:p>
      </xdr:txBody>
    </xdr:sp>
    <xdr:clientData fPrintsWithSheet="0"/>
  </xdr:twoCellAnchor>
  <xdr:twoCellAnchor>
    <xdr:from>
      <xdr:col>12</xdr:col>
      <xdr:colOff>303953</xdr:colOff>
      <xdr:row>2</xdr:row>
      <xdr:rowOff>21165</xdr:rowOff>
    </xdr:from>
    <xdr:to>
      <xdr:col>13</xdr:col>
      <xdr:colOff>441870</xdr:colOff>
      <xdr:row>4</xdr:row>
      <xdr:rowOff>6348</xdr:rowOff>
    </xdr:to>
    <xdr:sp macro="" textlink="">
      <xdr:nvSpPr>
        <xdr:cNvPr id="15" name="AutoShape 67">
          <a:hlinkClick xmlns:r="http://schemas.openxmlformats.org/officeDocument/2006/relationships" r:id="rId3"/>
          <a:extLst>
            <a:ext uri="{FF2B5EF4-FFF2-40B4-BE49-F238E27FC236}">
              <a16:creationId xmlns:a16="http://schemas.microsoft.com/office/drawing/2014/main" id="{00000000-0008-0000-0400-00000F000000}"/>
            </a:ext>
          </a:extLst>
        </xdr:cNvPr>
        <xdr:cNvSpPr>
          <a:spLocks noChangeArrowheads="1"/>
        </xdr:cNvSpPr>
      </xdr:nvSpPr>
      <xdr:spPr bwMode="auto">
        <a:xfrm>
          <a:off x="547370" y="444498"/>
          <a:ext cx="720000"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BDI</a:t>
          </a:r>
        </a:p>
      </xdr:txBody>
    </xdr:sp>
    <xdr:clientData fPrintsWithSheet="0"/>
  </xdr:twoCellAnchor>
  <xdr:twoCellAnchor>
    <xdr:from>
      <xdr:col>12</xdr:col>
      <xdr:colOff>308186</xdr:colOff>
      <xdr:row>4</xdr:row>
      <xdr:rowOff>67730</xdr:rowOff>
    </xdr:from>
    <xdr:to>
      <xdr:col>13</xdr:col>
      <xdr:colOff>446103</xdr:colOff>
      <xdr:row>6</xdr:row>
      <xdr:rowOff>158746</xdr:rowOff>
    </xdr:to>
    <xdr:sp macro="" textlink="">
      <xdr:nvSpPr>
        <xdr:cNvPr id="16" name="AutoShape 67">
          <a:hlinkClick xmlns:r="http://schemas.openxmlformats.org/officeDocument/2006/relationships" r:id="rId4"/>
          <a:extLst>
            <a:ext uri="{FF2B5EF4-FFF2-40B4-BE49-F238E27FC236}">
              <a16:creationId xmlns:a16="http://schemas.microsoft.com/office/drawing/2014/main" id="{00000000-0008-0000-0400-000010000000}"/>
            </a:ext>
          </a:extLst>
        </xdr:cNvPr>
        <xdr:cNvSpPr>
          <a:spLocks noChangeArrowheads="1"/>
        </xdr:cNvSpPr>
      </xdr:nvSpPr>
      <xdr:spPr bwMode="auto">
        <a:xfrm>
          <a:off x="551603" y="808563"/>
          <a:ext cx="720000"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CÁLCULO</a:t>
          </a:r>
          <a:endParaRPr lang="pt-BR" sz="1100" b="1" i="0" u="none" strike="noStrike" baseline="0">
            <a:solidFill>
              <a:srgbClr val="000000"/>
            </a:solidFill>
            <a:latin typeface="Calibri"/>
          </a:endParaRPr>
        </a:p>
      </xdr:txBody>
    </xdr:sp>
    <xdr:clientData fPrintsWithSheet="0"/>
  </xdr:twoCellAnchor>
  <xdr:twoCellAnchor>
    <xdr:from>
      <xdr:col>12</xdr:col>
      <xdr:colOff>308186</xdr:colOff>
      <xdr:row>7</xdr:row>
      <xdr:rowOff>52920</xdr:rowOff>
    </xdr:from>
    <xdr:to>
      <xdr:col>13</xdr:col>
      <xdr:colOff>446103</xdr:colOff>
      <xdr:row>9</xdr:row>
      <xdr:rowOff>38103</xdr:rowOff>
    </xdr:to>
    <xdr:sp macro="[0]!IrPara_Eventos" textlink="">
      <xdr:nvSpPr>
        <xdr:cNvPr id="2" name="AutoShape 67">
          <a:extLst>
            <a:ext uri="{FF2B5EF4-FFF2-40B4-BE49-F238E27FC236}">
              <a16:creationId xmlns:a16="http://schemas.microsoft.com/office/drawing/2014/main" id="{00000000-0008-0000-0400-000002000000}"/>
            </a:ext>
          </a:extLst>
        </xdr:cNvPr>
        <xdr:cNvSpPr>
          <a:spLocks noChangeArrowheads="1"/>
        </xdr:cNvSpPr>
      </xdr:nvSpPr>
      <xdr:spPr bwMode="auto">
        <a:xfrm>
          <a:off x="551603" y="1164170"/>
          <a:ext cx="720000"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000" b="1" i="0" u="none" strike="noStrike" baseline="0">
              <a:solidFill>
                <a:srgbClr val="000000"/>
              </a:solidFill>
              <a:latin typeface="Calibri" panose="020F0502020204030204" pitchFamily="34" charset="0"/>
            </a:rPr>
            <a:t>EVENTOS</a:t>
          </a:r>
          <a:endParaRPr lang="pt-BR" sz="1000" b="1" i="0" u="none" strike="noStrike" baseline="0">
            <a:solidFill>
              <a:srgbClr val="000000"/>
            </a:solidFill>
            <a:latin typeface="Calibri"/>
          </a:endParaRPr>
        </a:p>
      </xdr:txBody>
    </xdr:sp>
    <xdr:clientData fPrintsWithSheet="0"/>
  </xdr:twoCellAnchor>
  <xdr:twoCellAnchor>
    <xdr:from>
      <xdr:col>12</xdr:col>
      <xdr:colOff>308186</xdr:colOff>
      <xdr:row>9</xdr:row>
      <xdr:rowOff>105833</xdr:rowOff>
    </xdr:from>
    <xdr:to>
      <xdr:col>13</xdr:col>
      <xdr:colOff>446103</xdr:colOff>
      <xdr:row>11</xdr:row>
      <xdr:rowOff>90733</xdr:rowOff>
    </xdr:to>
    <xdr:sp macro="[0]!IrPara_Crono" textlink="">
      <xdr:nvSpPr>
        <xdr:cNvPr id="3" name="AutoShape 67">
          <a:extLst>
            <a:ext uri="{FF2B5EF4-FFF2-40B4-BE49-F238E27FC236}">
              <a16:creationId xmlns:a16="http://schemas.microsoft.com/office/drawing/2014/main" id="{00000000-0008-0000-0400-000003000000}"/>
            </a:ext>
          </a:extLst>
        </xdr:cNvPr>
        <xdr:cNvSpPr>
          <a:spLocks noChangeArrowheads="1"/>
        </xdr:cNvSpPr>
      </xdr:nvSpPr>
      <xdr:spPr bwMode="auto">
        <a:xfrm>
          <a:off x="551603" y="1534583"/>
          <a:ext cx="720000" cy="3024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CRONO</a:t>
          </a:r>
        </a:p>
      </xdr:txBody>
    </xdr:sp>
    <xdr:clientData fPrintsWithSheet="0"/>
  </xdr:twoCellAnchor>
  <xdr:twoCellAnchor>
    <xdr:from>
      <xdr:col>17</xdr:col>
      <xdr:colOff>1161837</xdr:colOff>
      <xdr:row>8</xdr:row>
      <xdr:rowOff>41900</xdr:rowOff>
    </xdr:from>
    <xdr:to>
      <xdr:col>17</xdr:col>
      <xdr:colOff>2391357</xdr:colOff>
      <xdr:row>11</xdr:row>
      <xdr:rowOff>20315</xdr:rowOff>
    </xdr:to>
    <xdr:sp macro="[0]!unidade_padrão" textlink="">
      <xdr:nvSpPr>
        <xdr:cNvPr id="4" name="AutoShape 67">
          <a:extLst>
            <a:ext uri="{FF2B5EF4-FFF2-40B4-BE49-F238E27FC236}">
              <a16:creationId xmlns:a16="http://schemas.microsoft.com/office/drawing/2014/main" id="{00000000-0008-0000-0400-000004000000}"/>
            </a:ext>
          </a:extLst>
        </xdr:cNvPr>
        <xdr:cNvSpPr>
          <a:spLocks noChangeArrowheads="1"/>
        </xdr:cNvSpPr>
      </xdr:nvSpPr>
      <xdr:spPr bwMode="auto">
        <a:xfrm>
          <a:off x="5514762" y="1327775"/>
          <a:ext cx="1229520" cy="46419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PADRONIZAR UNIDADES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3</xdr:col>
      <xdr:colOff>315816</xdr:colOff>
      <xdr:row>9</xdr:row>
      <xdr:rowOff>0</xdr:rowOff>
    </xdr:from>
    <xdr:to>
      <xdr:col>3</xdr:col>
      <xdr:colOff>1774965</xdr:colOff>
      <xdr:row>9</xdr:row>
      <xdr:rowOff>304800</xdr:rowOff>
    </xdr:to>
    <xdr:sp macro="[0]!Linhas.AddLinha" textlink="">
      <xdr:nvSpPr>
        <xdr:cNvPr id="7171" name="AutoShape 67">
          <a:extLst>
            <a:ext uri="{FF2B5EF4-FFF2-40B4-BE49-F238E27FC236}">
              <a16:creationId xmlns:a16="http://schemas.microsoft.com/office/drawing/2014/main" id="{00000000-0008-0000-0500-0000031C0000}"/>
            </a:ext>
          </a:extLst>
        </xdr:cNvPr>
        <xdr:cNvSpPr>
          <a:spLocks noChangeArrowheads="1"/>
        </xdr:cNvSpPr>
      </xdr:nvSpPr>
      <xdr:spPr bwMode="auto">
        <a:xfrm>
          <a:off x="1405899" y="1640417"/>
          <a:ext cx="1459149" cy="3048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ADICIONAR LINHAS</a:t>
          </a:r>
        </a:p>
      </xdr:txBody>
    </xdr:sp>
    <xdr:clientData fPrintsWithSheet="0"/>
  </xdr:twoCellAnchor>
  <xdr:twoCellAnchor>
    <xdr:from>
      <xdr:col>3</xdr:col>
      <xdr:colOff>1866077</xdr:colOff>
      <xdr:row>9</xdr:row>
      <xdr:rowOff>0</xdr:rowOff>
    </xdr:from>
    <xdr:to>
      <xdr:col>3</xdr:col>
      <xdr:colOff>3302003</xdr:colOff>
      <xdr:row>9</xdr:row>
      <xdr:rowOff>304800</xdr:rowOff>
    </xdr:to>
    <xdr:sp macro="[0]!Linhas.ExcLinhas" textlink="">
      <xdr:nvSpPr>
        <xdr:cNvPr id="7172" name="AutoShape 67">
          <a:extLst>
            <a:ext uri="{FF2B5EF4-FFF2-40B4-BE49-F238E27FC236}">
              <a16:creationId xmlns:a16="http://schemas.microsoft.com/office/drawing/2014/main" id="{00000000-0008-0000-0500-0000041C0000}"/>
            </a:ext>
          </a:extLst>
        </xdr:cNvPr>
        <xdr:cNvSpPr>
          <a:spLocks noChangeArrowheads="1"/>
        </xdr:cNvSpPr>
      </xdr:nvSpPr>
      <xdr:spPr bwMode="auto">
        <a:xfrm>
          <a:off x="2956160" y="1640417"/>
          <a:ext cx="1435926" cy="3048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EXCLUIR LINHAS</a:t>
          </a:r>
        </a:p>
      </xdr:txBody>
    </xdr:sp>
    <xdr:clientData fPrintsWithSheet="0"/>
  </xdr:twoCellAnchor>
  <xdr:twoCellAnchor>
    <xdr:from>
      <xdr:col>5</xdr:col>
      <xdr:colOff>95249</xdr:colOff>
      <xdr:row>9</xdr:row>
      <xdr:rowOff>0</xdr:rowOff>
    </xdr:from>
    <xdr:to>
      <xdr:col>5</xdr:col>
      <xdr:colOff>1852083</xdr:colOff>
      <xdr:row>9</xdr:row>
      <xdr:rowOff>304800</xdr:rowOff>
    </xdr:to>
    <xdr:sp macro="" textlink="">
      <xdr:nvSpPr>
        <xdr:cNvPr id="22" name="AutoShape 67">
          <a:hlinkClick xmlns:r="http://schemas.openxmlformats.org/officeDocument/2006/relationships" r:id="rId1"/>
          <a:extLst>
            <a:ext uri="{FF2B5EF4-FFF2-40B4-BE49-F238E27FC236}">
              <a16:creationId xmlns:a16="http://schemas.microsoft.com/office/drawing/2014/main" id="{00000000-0008-0000-0500-000016000000}"/>
            </a:ext>
          </a:extLst>
        </xdr:cNvPr>
        <xdr:cNvSpPr>
          <a:spLocks noChangeArrowheads="1"/>
        </xdr:cNvSpPr>
      </xdr:nvSpPr>
      <xdr:spPr bwMode="auto">
        <a:xfrm>
          <a:off x="4571999" y="1640417"/>
          <a:ext cx="1756834"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DEFINIR FRENTES DE OBRA</a:t>
          </a:r>
        </a:p>
      </xdr:txBody>
    </xdr:sp>
    <xdr:clientData fPrintsWithSheet="0"/>
  </xdr:twoCellAnchor>
  <xdr:twoCellAnchor>
    <xdr:from>
      <xdr:col>2</xdr:col>
      <xdr:colOff>31749</xdr:colOff>
      <xdr:row>1</xdr:row>
      <xdr:rowOff>31749</xdr:rowOff>
    </xdr:from>
    <xdr:to>
      <xdr:col>3</xdr:col>
      <xdr:colOff>1007108</xdr:colOff>
      <xdr:row>2</xdr:row>
      <xdr:rowOff>35982</xdr:rowOff>
    </xdr:to>
    <xdr:pic>
      <xdr:nvPicPr>
        <xdr:cNvPr id="2" name="Picture 2">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4999" y="190499"/>
          <a:ext cx="1822026"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95255</xdr:colOff>
      <xdr:row>9</xdr:row>
      <xdr:rowOff>0</xdr:rowOff>
    </xdr:from>
    <xdr:to>
      <xdr:col>2</xdr:col>
      <xdr:colOff>421391</xdr:colOff>
      <xdr:row>9</xdr:row>
      <xdr:rowOff>304800</xdr:rowOff>
    </xdr:to>
    <xdr:sp macro="" textlink="">
      <xdr:nvSpPr>
        <xdr:cNvPr id="3" name="AutoShape 67">
          <a:hlinkClick xmlns:r="http://schemas.openxmlformats.org/officeDocument/2006/relationships" r:id="rId3"/>
          <a:extLst>
            <a:ext uri="{FF2B5EF4-FFF2-40B4-BE49-F238E27FC236}">
              <a16:creationId xmlns:a16="http://schemas.microsoft.com/office/drawing/2014/main" id="{00000000-0008-0000-0500-000003000000}"/>
            </a:ext>
          </a:extLst>
        </xdr:cNvPr>
        <xdr:cNvSpPr>
          <a:spLocks noChangeArrowheads="1"/>
        </xdr:cNvSpPr>
      </xdr:nvSpPr>
      <xdr:spPr bwMode="auto">
        <a:xfrm>
          <a:off x="95255" y="1640417"/>
          <a:ext cx="569553"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2</xdr:col>
      <xdr:colOff>497420</xdr:colOff>
      <xdr:row>9</xdr:row>
      <xdr:rowOff>4022</xdr:rowOff>
    </xdr:from>
    <xdr:to>
      <xdr:col>3</xdr:col>
      <xdr:colOff>229815</xdr:colOff>
      <xdr:row>9</xdr:row>
      <xdr:rowOff>308822</xdr:rowOff>
    </xdr:to>
    <xdr:sp macro="" textlink="">
      <xdr:nvSpPr>
        <xdr:cNvPr id="4" name="AutoShape 67">
          <a:hlinkClick xmlns:r="http://schemas.openxmlformats.org/officeDocument/2006/relationships" r:id="rId4"/>
          <a:extLst>
            <a:ext uri="{FF2B5EF4-FFF2-40B4-BE49-F238E27FC236}">
              <a16:creationId xmlns:a16="http://schemas.microsoft.com/office/drawing/2014/main" id="{00000000-0008-0000-0500-000004000000}"/>
            </a:ext>
          </a:extLst>
        </xdr:cNvPr>
        <xdr:cNvSpPr>
          <a:spLocks noChangeArrowheads="1"/>
        </xdr:cNvSpPr>
      </xdr:nvSpPr>
      <xdr:spPr bwMode="auto">
        <a:xfrm>
          <a:off x="740837" y="1644439"/>
          <a:ext cx="579061"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PO</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2</xdr:col>
      <xdr:colOff>152400</xdr:colOff>
      <xdr:row>6</xdr:row>
      <xdr:rowOff>9525</xdr:rowOff>
    </xdr:from>
    <xdr:to>
      <xdr:col>3</xdr:col>
      <xdr:colOff>474303</xdr:colOff>
      <xdr:row>7</xdr:row>
      <xdr:rowOff>123825</xdr:rowOff>
    </xdr:to>
    <xdr:sp macro="" textlink="">
      <xdr:nvSpPr>
        <xdr:cNvPr id="6147" name="AutoShape 67">
          <a:hlinkClick xmlns:r="http://schemas.openxmlformats.org/officeDocument/2006/relationships" r:id="rId1"/>
          <a:extLst>
            <a:ext uri="{FF2B5EF4-FFF2-40B4-BE49-F238E27FC236}">
              <a16:creationId xmlns:a16="http://schemas.microsoft.com/office/drawing/2014/main" id="{00000000-0008-0000-0600-000003180000}"/>
            </a:ext>
          </a:extLst>
        </xdr:cNvPr>
        <xdr:cNvSpPr>
          <a:spLocks noChangeArrowheads="1"/>
        </xdr:cNvSpPr>
      </xdr:nvSpPr>
      <xdr:spPr bwMode="auto">
        <a:xfrm>
          <a:off x="152400" y="209550"/>
          <a:ext cx="561975"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5</xdr:col>
      <xdr:colOff>179070</xdr:colOff>
      <xdr:row>11</xdr:row>
      <xdr:rowOff>266700</xdr:rowOff>
    </xdr:from>
    <xdr:to>
      <xdr:col>5</xdr:col>
      <xdr:colOff>2905076</xdr:colOff>
      <xdr:row>11</xdr:row>
      <xdr:rowOff>571500</xdr:rowOff>
    </xdr:to>
    <xdr:sp macro="[0]!IrPara_Eventos" textlink="">
      <xdr:nvSpPr>
        <xdr:cNvPr id="6148" name="AutoShape 67">
          <a:extLst>
            <a:ext uri="{FF2B5EF4-FFF2-40B4-BE49-F238E27FC236}">
              <a16:creationId xmlns:a16="http://schemas.microsoft.com/office/drawing/2014/main" id="{00000000-0008-0000-0600-000004180000}"/>
            </a:ext>
          </a:extLst>
        </xdr:cNvPr>
        <xdr:cNvSpPr>
          <a:spLocks noChangeArrowheads="1"/>
        </xdr:cNvSpPr>
      </xdr:nvSpPr>
      <xdr:spPr bwMode="auto">
        <a:xfrm>
          <a:off x="1847850" y="1304925"/>
          <a:ext cx="2657475"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REDEFINIR AGRUPADORES DE EVENTOS</a:t>
          </a:r>
        </a:p>
      </xdr:txBody>
    </xdr:sp>
    <xdr:clientData fPrintsWithSheet="0"/>
  </xdr:twoCellAnchor>
  <xdr:twoCellAnchor>
    <xdr:from>
      <xdr:col>5</xdr:col>
      <xdr:colOff>2977515</xdr:colOff>
      <xdr:row>11</xdr:row>
      <xdr:rowOff>266700</xdr:rowOff>
    </xdr:from>
    <xdr:to>
      <xdr:col>6</xdr:col>
      <xdr:colOff>26724</xdr:colOff>
      <xdr:row>11</xdr:row>
      <xdr:rowOff>571500</xdr:rowOff>
    </xdr:to>
    <xdr:sp macro="[0]!Colunas.incluirpag" textlink="">
      <xdr:nvSpPr>
        <xdr:cNvPr id="6149" name="AutoShape 67">
          <a:extLst>
            <a:ext uri="{FF2B5EF4-FFF2-40B4-BE49-F238E27FC236}">
              <a16:creationId xmlns:a16="http://schemas.microsoft.com/office/drawing/2014/main" id="{00000000-0008-0000-0600-000005180000}"/>
            </a:ext>
          </a:extLst>
        </xdr:cNvPr>
        <xdr:cNvSpPr>
          <a:spLocks noChangeArrowheads="1"/>
        </xdr:cNvSpPr>
      </xdr:nvSpPr>
      <xdr:spPr bwMode="auto">
        <a:xfrm>
          <a:off x="4562475" y="1304925"/>
          <a:ext cx="1514475" cy="3048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ADICIONAR 8 FRENTES</a:t>
          </a:r>
        </a:p>
      </xdr:txBody>
    </xdr:sp>
    <xdr:clientData fPrintsWithSheet="0"/>
  </xdr:twoCellAnchor>
  <xdr:twoCellAnchor>
    <xdr:from>
      <xdr:col>6</xdr:col>
      <xdr:colOff>93345</xdr:colOff>
      <xdr:row>11</xdr:row>
      <xdr:rowOff>266700</xdr:rowOff>
    </xdr:from>
    <xdr:to>
      <xdr:col>7</xdr:col>
      <xdr:colOff>908727</xdr:colOff>
      <xdr:row>11</xdr:row>
      <xdr:rowOff>581025</xdr:rowOff>
    </xdr:to>
    <xdr:sp macro="[0]!Colunas.excluirpag" textlink="">
      <xdr:nvSpPr>
        <xdr:cNvPr id="6150" name="AutoShape 67">
          <a:extLst>
            <a:ext uri="{FF2B5EF4-FFF2-40B4-BE49-F238E27FC236}">
              <a16:creationId xmlns:a16="http://schemas.microsoft.com/office/drawing/2014/main" id="{00000000-0008-0000-0600-000006180000}"/>
            </a:ext>
          </a:extLst>
        </xdr:cNvPr>
        <xdr:cNvSpPr>
          <a:spLocks noChangeArrowheads="1"/>
        </xdr:cNvSpPr>
      </xdr:nvSpPr>
      <xdr:spPr bwMode="auto">
        <a:xfrm>
          <a:off x="6143625" y="1304925"/>
          <a:ext cx="1514475" cy="31432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EXCLUIR 8 FRENTES</a:t>
          </a:r>
        </a:p>
      </xdr:txBody>
    </xdr:sp>
    <xdr:clientData fPrintsWithSheet="0"/>
  </xdr:twoCellAnchor>
  <xdr:twoCellAnchor>
    <xdr:from>
      <xdr:col>2</xdr:col>
      <xdr:colOff>137584</xdr:colOff>
      <xdr:row>8</xdr:row>
      <xdr:rowOff>13547</xdr:rowOff>
    </xdr:from>
    <xdr:to>
      <xdr:col>3</xdr:col>
      <xdr:colOff>473228</xdr:colOff>
      <xdr:row>9</xdr:row>
      <xdr:rowOff>157622</xdr:rowOff>
    </xdr:to>
    <xdr:sp macro="" textlink="">
      <xdr:nvSpPr>
        <xdr:cNvPr id="7" name="AutoShape 67">
          <a:hlinkClick xmlns:r="http://schemas.openxmlformats.org/officeDocument/2006/relationships" r:id="rId2"/>
          <a:extLst>
            <a:ext uri="{FF2B5EF4-FFF2-40B4-BE49-F238E27FC236}">
              <a16:creationId xmlns:a16="http://schemas.microsoft.com/office/drawing/2014/main" id="{00000000-0008-0000-0600-000007000000}"/>
            </a:ext>
          </a:extLst>
        </xdr:cNvPr>
        <xdr:cNvSpPr>
          <a:spLocks noChangeArrowheads="1"/>
        </xdr:cNvSpPr>
      </xdr:nvSpPr>
      <xdr:spPr bwMode="auto">
        <a:xfrm>
          <a:off x="137584" y="565997"/>
          <a:ext cx="583294" cy="3060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PO</a:t>
          </a:r>
        </a:p>
      </xdr:txBody>
    </xdr:sp>
    <xdr:clientData fPrintsWithSheet="0"/>
  </xdr:twoCellAnchor>
  <xdr:twoCellAnchor>
    <xdr:from>
      <xdr:col>4</xdr:col>
      <xdr:colOff>0</xdr:colOff>
      <xdr:row>5</xdr:row>
      <xdr:rowOff>21166</xdr:rowOff>
    </xdr:from>
    <xdr:to>
      <xdr:col>5</xdr:col>
      <xdr:colOff>975360</xdr:colOff>
      <xdr:row>7</xdr:row>
      <xdr:rowOff>14816</xdr:rowOff>
    </xdr:to>
    <xdr:pic>
      <xdr:nvPicPr>
        <xdr:cNvPr id="2" name="Picture 2">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25500" y="211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137584</xdr:colOff>
      <xdr:row>10</xdr:row>
      <xdr:rowOff>66675</xdr:rowOff>
    </xdr:from>
    <xdr:to>
      <xdr:col>3</xdr:col>
      <xdr:colOff>473228</xdr:colOff>
      <xdr:row>11</xdr:row>
      <xdr:rowOff>212725</xdr:rowOff>
    </xdr:to>
    <xdr:sp macro="[0]!IrPara_Crono" textlink="">
      <xdr:nvSpPr>
        <xdr:cNvPr id="3" name="AutoShape 67">
          <a:extLst>
            <a:ext uri="{FF2B5EF4-FFF2-40B4-BE49-F238E27FC236}">
              <a16:creationId xmlns:a16="http://schemas.microsoft.com/office/drawing/2014/main" id="{00000000-0008-0000-0600-000003000000}"/>
            </a:ext>
          </a:extLst>
        </xdr:cNvPr>
        <xdr:cNvSpPr>
          <a:spLocks noChangeArrowheads="1"/>
        </xdr:cNvSpPr>
      </xdr:nvSpPr>
      <xdr:spPr bwMode="auto">
        <a:xfrm>
          <a:off x="137584" y="942975"/>
          <a:ext cx="583294" cy="30797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CRONO</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139065</xdr:colOff>
      <xdr:row>10</xdr:row>
      <xdr:rowOff>0</xdr:rowOff>
    </xdr:from>
    <xdr:to>
      <xdr:col>2</xdr:col>
      <xdr:colOff>826824</xdr:colOff>
      <xdr:row>10</xdr:row>
      <xdr:rowOff>314325</xdr:rowOff>
    </xdr:to>
    <xdr:sp macro="" textlink="">
      <xdr:nvSpPr>
        <xdr:cNvPr id="9218" name="AutoShape 67">
          <a:hlinkClick xmlns:r="http://schemas.openxmlformats.org/officeDocument/2006/relationships" r:id="rId1"/>
          <a:extLst>
            <a:ext uri="{FF2B5EF4-FFF2-40B4-BE49-F238E27FC236}">
              <a16:creationId xmlns:a16="http://schemas.microsoft.com/office/drawing/2014/main" id="{00000000-0008-0000-0700-000002240000}"/>
            </a:ext>
          </a:extLst>
        </xdr:cNvPr>
        <xdr:cNvSpPr>
          <a:spLocks noChangeArrowheads="1"/>
        </xdr:cNvSpPr>
      </xdr:nvSpPr>
      <xdr:spPr bwMode="auto">
        <a:xfrm>
          <a:off x="929640" y="1352550"/>
          <a:ext cx="687759" cy="31432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EVENTOS</a:t>
          </a:r>
        </a:p>
      </xdr:txBody>
    </xdr:sp>
    <xdr:clientData fPrintsWithSheet="0"/>
  </xdr:twoCellAnchor>
  <xdr:twoCellAnchor>
    <xdr:from>
      <xdr:col>2</xdr:col>
      <xdr:colOff>137160</xdr:colOff>
      <xdr:row>10</xdr:row>
      <xdr:rowOff>409575</xdr:rowOff>
    </xdr:from>
    <xdr:to>
      <xdr:col>2</xdr:col>
      <xdr:colOff>1603909</xdr:colOff>
      <xdr:row>10</xdr:row>
      <xdr:rowOff>714375</xdr:rowOff>
    </xdr:to>
    <xdr:sp macro="[0]!CRONO.AtualizarLinhas" textlink="">
      <xdr:nvSpPr>
        <xdr:cNvPr id="9219" name="AutoShape 67">
          <a:extLst>
            <a:ext uri="{FF2B5EF4-FFF2-40B4-BE49-F238E27FC236}">
              <a16:creationId xmlns:a16="http://schemas.microsoft.com/office/drawing/2014/main" id="{00000000-0008-0000-0700-000003240000}"/>
            </a:ext>
          </a:extLst>
        </xdr:cNvPr>
        <xdr:cNvSpPr>
          <a:spLocks noChangeArrowheads="1"/>
        </xdr:cNvSpPr>
      </xdr:nvSpPr>
      <xdr:spPr bwMode="auto">
        <a:xfrm>
          <a:off x="927735" y="1762125"/>
          <a:ext cx="1466749" cy="3048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ATUALIZAR LINHAS</a:t>
          </a:r>
        </a:p>
      </xdr:txBody>
    </xdr:sp>
    <xdr:clientData fPrintsWithSheet="0"/>
  </xdr:twoCellAnchor>
  <xdr:twoCellAnchor>
    <xdr:from>
      <xdr:col>1</xdr:col>
      <xdr:colOff>0</xdr:colOff>
      <xdr:row>1</xdr:row>
      <xdr:rowOff>21166</xdr:rowOff>
    </xdr:from>
    <xdr:to>
      <xdr:col>2</xdr:col>
      <xdr:colOff>1282277</xdr:colOff>
      <xdr:row>2</xdr:row>
      <xdr:rowOff>25399</xdr:rowOff>
    </xdr:to>
    <xdr:pic>
      <xdr:nvPicPr>
        <xdr:cNvPr id="2" name="Picture 2">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417" y="211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19050</xdr:colOff>
      <xdr:row>10</xdr:row>
      <xdr:rowOff>9525</xdr:rowOff>
    </xdr:from>
    <xdr:to>
      <xdr:col>2</xdr:col>
      <xdr:colOff>45678</xdr:colOff>
      <xdr:row>10</xdr:row>
      <xdr:rowOff>314325</xdr:rowOff>
    </xdr:to>
    <xdr:sp macro="" textlink="">
      <xdr:nvSpPr>
        <xdr:cNvPr id="3" name="AutoShape 67">
          <a:hlinkClick xmlns:r="http://schemas.openxmlformats.org/officeDocument/2006/relationships" r:id="rId3"/>
          <a:extLst>
            <a:ext uri="{FF2B5EF4-FFF2-40B4-BE49-F238E27FC236}">
              <a16:creationId xmlns:a16="http://schemas.microsoft.com/office/drawing/2014/main" id="{00000000-0008-0000-0700-000003000000}"/>
            </a:ext>
          </a:extLst>
        </xdr:cNvPr>
        <xdr:cNvSpPr>
          <a:spLocks noChangeArrowheads="1"/>
        </xdr:cNvSpPr>
      </xdr:nvSpPr>
      <xdr:spPr bwMode="auto">
        <a:xfrm>
          <a:off x="266700" y="1362075"/>
          <a:ext cx="569553"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2</xdr:col>
      <xdr:colOff>1672590</xdr:colOff>
      <xdr:row>10</xdr:row>
      <xdr:rowOff>0</xdr:rowOff>
    </xdr:from>
    <xdr:to>
      <xdr:col>2</xdr:col>
      <xdr:colOff>2360349</xdr:colOff>
      <xdr:row>10</xdr:row>
      <xdr:rowOff>314325</xdr:rowOff>
    </xdr:to>
    <xdr:sp macro="" textlink="">
      <xdr:nvSpPr>
        <xdr:cNvPr id="4" name="AutoShape 67">
          <a:hlinkClick xmlns:r="http://schemas.openxmlformats.org/officeDocument/2006/relationships" r:id="rId4"/>
          <a:extLst>
            <a:ext uri="{FF2B5EF4-FFF2-40B4-BE49-F238E27FC236}">
              <a16:creationId xmlns:a16="http://schemas.microsoft.com/office/drawing/2014/main" id="{00000000-0008-0000-0700-000004000000}"/>
            </a:ext>
          </a:extLst>
        </xdr:cNvPr>
        <xdr:cNvSpPr>
          <a:spLocks noChangeArrowheads="1"/>
        </xdr:cNvSpPr>
      </xdr:nvSpPr>
      <xdr:spPr bwMode="auto">
        <a:xfrm>
          <a:off x="2463165" y="1352550"/>
          <a:ext cx="687759" cy="31432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CFF</a:t>
          </a:r>
        </a:p>
      </xdr:txBody>
    </xdr:sp>
    <xdr:clientData fPrintsWithSheet="0"/>
  </xdr:twoCellAnchor>
  <xdr:twoCellAnchor>
    <xdr:from>
      <xdr:col>2</xdr:col>
      <xdr:colOff>901065</xdr:colOff>
      <xdr:row>10</xdr:row>
      <xdr:rowOff>0</xdr:rowOff>
    </xdr:from>
    <xdr:to>
      <xdr:col>2</xdr:col>
      <xdr:colOff>1588824</xdr:colOff>
      <xdr:row>10</xdr:row>
      <xdr:rowOff>314325</xdr:rowOff>
    </xdr:to>
    <xdr:sp macro="" textlink="">
      <xdr:nvSpPr>
        <xdr:cNvPr id="5" name="AutoShape 67">
          <a:hlinkClick xmlns:r="http://schemas.openxmlformats.org/officeDocument/2006/relationships" r:id="rId5"/>
          <a:extLst>
            <a:ext uri="{FF2B5EF4-FFF2-40B4-BE49-F238E27FC236}">
              <a16:creationId xmlns:a16="http://schemas.microsoft.com/office/drawing/2014/main" id="{00000000-0008-0000-0700-000005000000}"/>
            </a:ext>
          </a:extLst>
        </xdr:cNvPr>
        <xdr:cNvSpPr>
          <a:spLocks noChangeArrowheads="1"/>
        </xdr:cNvSpPr>
      </xdr:nvSpPr>
      <xdr:spPr bwMode="auto">
        <a:xfrm>
          <a:off x="1691640" y="1352550"/>
          <a:ext cx="687759" cy="31432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PLQ</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7</xdr:col>
      <xdr:colOff>142875</xdr:colOff>
      <xdr:row>3</xdr:row>
      <xdr:rowOff>85725</xdr:rowOff>
    </xdr:from>
    <xdr:to>
      <xdr:col>7</xdr:col>
      <xdr:colOff>729615</xdr:colOff>
      <xdr:row>4</xdr:row>
      <xdr:rowOff>190500</xdr:rowOff>
    </xdr:to>
    <xdr:sp macro="" textlink="">
      <xdr:nvSpPr>
        <xdr:cNvPr id="8195" name="AutoShape 67">
          <a:hlinkClick xmlns:r="http://schemas.openxmlformats.org/officeDocument/2006/relationships" r:id="rId1"/>
          <a:extLst>
            <a:ext uri="{FF2B5EF4-FFF2-40B4-BE49-F238E27FC236}">
              <a16:creationId xmlns:a16="http://schemas.microsoft.com/office/drawing/2014/main" id="{00000000-0008-0000-0800-000003200000}"/>
            </a:ext>
          </a:extLst>
        </xdr:cNvPr>
        <xdr:cNvSpPr>
          <a:spLocks noChangeArrowheads="1"/>
        </xdr:cNvSpPr>
      </xdr:nvSpPr>
      <xdr:spPr bwMode="auto">
        <a:xfrm>
          <a:off x="3181350" y="571500"/>
          <a:ext cx="571500"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20</xdr:col>
      <xdr:colOff>66676</xdr:colOff>
      <xdr:row>8</xdr:row>
      <xdr:rowOff>93345</xdr:rowOff>
    </xdr:from>
    <xdr:to>
      <xdr:col>22</xdr:col>
      <xdr:colOff>698281</xdr:colOff>
      <xdr:row>10</xdr:row>
      <xdr:rowOff>76147</xdr:rowOff>
    </xdr:to>
    <xdr:sp macro="[0]!IrPara_CronoPLE" textlink="">
      <xdr:nvSpPr>
        <xdr:cNvPr id="8196" name="CRONO.b.preenchEventos">
          <a:extLst>
            <a:ext uri="{FF2B5EF4-FFF2-40B4-BE49-F238E27FC236}">
              <a16:creationId xmlns:a16="http://schemas.microsoft.com/office/drawing/2014/main" id="{00000000-0008-0000-0800-000004200000}"/>
            </a:ext>
          </a:extLst>
        </xdr:cNvPr>
        <xdr:cNvSpPr>
          <a:spLocks noChangeArrowheads="1"/>
        </xdr:cNvSpPr>
      </xdr:nvSpPr>
      <xdr:spPr bwMode="auto">
        <a:xfrm>
          <a:off x="5619751" y="960120"/>
          <a:ext cx="2098455" cy="306652"/>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PREENCHIMENTO POR EVENTOS</a:t>
          </a:r>
        </a:p>
      </xdr:txBody>
    </xdr:sp>
    <xdr:clientData fPrintsWithSheet="0"/>
  </xdr:twoCellAnchor>
  <xdr:twoCellAnchor>
    <xdr:from>
      <xdr:col>8</xdr:col>
      <xdr:colOff>14548</xdr:colOff>
      <xdr:row>8</xdr:row>
      <xdr:rowOff>93345</xdr:rowOff>
    </xdr:from>
    <xdr:to>
      <xdr:col>10</xdr:col>
      <xdr:colOff>17248</xdr:colOff>
      <xdr:row>10</xdr:row>
      <xdr:rowOff>76147</xdr:rowOff>
    </xdr:to>
    <xdr:sp macro="[0]!CRONO.AtualizarLinhas" textlink="">
      <xdr:nvSpPr>
        <xdr:cNvPr id="8197" name="AutoShape 67">
          <a:extLst>
            <a:ext uri="{FF2B5EF4-FFF2-40B4-BE49-F238E27FC236}">
              <a16:creationId xmlns:a16="http://schemas.microsoft.com/office/drawing/2014/main" id="{00000000-0008-0000-0800-000005200000}"/>
            </a:ext>
          </a:extLst>
        </xdr:cNvPr>
        <xdr:cNvSpPr>
          <a:spLocks noChangeArrowheads="1"/>
        </xdr:cNvSpPr>
      </xdr:nvSpPr>
      <xdr:spPr bwMode="auto">
        <a:xfrm>
          <a:off x="1109923" y="960120"/>
          <a:ext cx="1260000" cy="306652"/>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ATUALIZAR LINHAS</a:t>
          </a:r>
        </a:p>
      </xdr:txBody>
    </xdr:sp>
    <xdr:clientData fPrintsWithSheet="0"/>
  </xdr:twoCellAnchor>
  <xdr:twoCellAnchor>
    <xdr:from>
      <xdr:col>25</xdr:col>
      <xdr:colOff>223307</xdr:colOff>
      <xdr:row>8</xdr:row>
      <xdr:rowOff>93345</xdr:rowOff>
    </xdr:from>
    <xdr:to>
      <xdr:col>27</xdr:col>
      <xdr:colOff>484457</xdr:colOff>
      <xdr:row>10</xdr:row>
      <xdr:rowOff>76147</xdr:rowOff>
    </xdr:to>
    <xdr:sp macro="[0]!incluirpag" textlink="">
      <xdr:nvSpPr>
        <xdr:cNvPr id="8198" name="AutoShape 67">
          <a:extLst>
            <a:ext uri="{FF2B5EF4-FFF2-40B4-BE49-F238E27FC236}">
              <a16:creationId xmlns:a16="http://schemas.microsoft.com/office/drawing/2014/main" id="{00000000-0008-0000-0800-000006200000}"/>
            </a:ext>
          </a:extLst>
        </xdr:cNvPr>
        <xdr:cNvSpPr>
          <a:spLocks noChangeArrowheads="1"/>
        </xdr:cNvSpPr>
      </xdr:nvSpPr>
      <xdr:spPr bwMode="auto">
        <a:xfrm>
          <a:off x="9443507" y="960120"/>
          <a:ext cx="1728000" cy="306652"/>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ADICIONAR 12 PARCELAS</a:t>
          </a:r>
        </a:p>
      </xdr:txBody>
    </xdr:sp>
    <xdr:clientData fPrintsWithSheet="0"/>
  </xdr:twoCellAnchor>
  <xdr:twoCellAnchor>
    <xdr:from>
      <xdr:col>27</xdr:col>
      <xdr:colOff>604308</xdr:colOff>
      <xdr:row>8</xdr:row>
      <xdr:rowOff>93345</xdr:rowOff>
    </xdr:from>
    <xdr:to>
      <xdr:col>29</xdr:col>
      <xdr:colOff>685458</xdr:colOff>
      <xdr:row>10</xdr:row>
      <xdr:rowOff>76147</xdr:rowOff>
    </xdr:to>
    <xdr:sp macro="[0]!excluirpag" textlink="">
      <xdr:nvSpPr>
        <xdr:cNvPr id="8199" name="AutoShape 67">
          <a:extLst>
            <a:ext uri="{FF2B5EF4-FFF2-40B4-BE49-F238E27FC236}">
              <a16:creationId xmlns:a16="http://schemas.microsoft.com/office/drawing/2014/main" id="{00000000-0008-0000-0800-000007200000}"/>
            </a:ext>
          </a:extLst>
        </xdr:cNvPr>
        <xdr:cNvSpPr>
          <a:spLocks noChangeArrowheads="1"/>
        </xdr:cNvSpPr>
      </xdr:nvSpPr>
      <xdr:spPr bwMode="auto">
        <a:xfrm>
          <a:off x="11291358" y="960120"/>
          <a:ext cx="1548000" cy="306652"/>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EXCLUIR 12 PARCELAS</a:t>
          </a:r>
        </a:p>
      </xdr:txBody>
    </xdr:sp>
    <xdr:clientData fPrintsWithSheet="0"/>
  </xdr:twoCellAnchor>
  <xdr:twoCellAnchor>
    <xdr:from>
      <xdr:col>8</xdr:col>
      <xdr:colOff>0</xdr:colOff>
      <xdr:row>3</xdr:row>
      <xdr:rowOff>21166</xdr:rowOff>
    </xdr:from>
    <xdr:to>
      <xdr:col>10</xdr:col>
      <xdr:colOff>372110</xdr:colOff>
      <xdr:row>5</xdr:row>
      <xdr:rowOff>25399</xdr:rowOff>
    </xdr:to>
    <xdr:pic>
      <xdr:nvPicPr>
        <xdr:cNvPr id="2" name="Picture 2">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90083" y="211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23</xdr:col>
      <xdr:colOff>714375</xdr:colOff>
      <xdr:row>8</xdr:row>
      <xdr:rowOff>93345</xdr:rowOff>
    </xdr:from>
    <xdr:to>
      <xdr:col>24</xdr:col>
      <xdr:colOff>567690</xdr:colOff>
      <xdr:row>10</xdr:row>
      <xdr:rowOff>64770</xdr:rowOff>
    </xdr:to>
    <xdr:sp macro="" textlink="">
      <xdr:nvSpPr>
        <xdr:cNvPr id="3" name="AutoShape 67">
          <a:hlinkClick xmlns:r="http://schemas.openxmlformats.org/officeDocument/2006/relationships" r:id="rId3"/>
          <a:extLst>
            <a:ext uri="{FF2B5EF4-FFF2-40B4-BE49-F238E27FC236}">
              <a16:creationId xmlns:a16="http://schemas.microsoft.com/office/drawing/2014/main" id="{00000000-0008-0000-0800-000003000000}"/>
            </a:ext>
          </a:extLst>
        </xdr:cNvPr>
        <xdr:cNvSpPr>
          <a:spLocks noChangeArrowheads="1"/>
        </xdr:cNvSpPr>
      </xdr:nvSpPr>
      <xdr:spPr bwMode="auto">
        <a:xfrm>
          <a:off x="8467725" y="960120"/>
          <a:ext cx="586740" cy="29527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QCI</a:t>
          </a:r>
        </a:p>
      </xdr:txBody>
    </xdr:sp>
    <xdr:clientData fPrintsWithSheet="0"/>
  </xdr:twoCellAnchor>
  <xdr:twoCellAnchor>
    <xdr:from>
      <xdr:col>23</xdr:col>
      <xdr:colOff>47625</xdr:colOff>
      <xdr:row>8</xdr:row>
      <xdr:rowOff>93345</xdr:rowOff>
    </xdr:from>
    <xdr:to>
      <xdr:col>23</xdr:col>
      <xdr:colOff>634365</xdr:colOff>
      <xdr:row>10</xdr:row>
      <xdr:rowOff>64770</xdr:rowOff>
    </xdr:to>
    <xdr:sp macro="" textlink="">
      <xdr:nvSpPr>
        <xdr:cNvPr id="4" name="AutoShape 67">
          <a:hlinkClick xmlns:r="http://schemas.openxmlformats.org/officeDocument/2006/relationships" r:id="rId4"/>
          <a:extLst>
            <a:ext uri="{FF2B5EF4-FFF2-40B4-BE49-F238E27FC236}">
              <a16:creationId xmlns:a16="http://schemas.microsoft.com/office/drawing/2014/main" id="{00000000-0008-0000-0800-000004000000}"/>
            </a:ext>
          </a:extLst>
        </xdr:cNvPr>
        <xdr:cNvSpPr>
          <a:spLocks noChangeArrowheads="1"/>
        </xdr:cNvSpPr>
      </xdr:nvSpPr>
      <xdr:spPr bwMode="auto">
        <a:xfrm>
          <a:off x="7800975" y="960120"/>
          <a:ext cx="586740" cy="29527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PO</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13</xdr:col>
      <xdr:colOff>116417</xdr:colOff>
      <xdr:row>7</xdr:row>
      <xdr:rowOff>140970</xdr:rowOff>
    </xdr:from>
    <xdr:to>
      <xdr:col>15</xdr:col>
      <xdr:colOff>2988</xdr:colOff>
      <xdr:row>10</xdr:row>
      <xdr:rowOff>148236</xdr:rowOff>
    </xdr:to>
    <xdr:sp macro="" textlink="" fLocksText="0">
      <xdr:nvSpPr>
        <xdr:cNvPr id="11268" name="AutoShape 317">
          <a:extLst>
            <a:ext uri="{FF2B5EF4-FFF2-40B4-BE49-F238E27FC236}">
              <a16:creationId xmlns:a16="http://schemas.microsoft.com/office/drawing/2014/main" id="{00000000-0008-0000-0900-0000042C0000}"/>
            </a:ext>
          </a:extLst>
        </xdr:cNvPr>
        <xdr:cNvSpPr>
          <a:spLocks noChangeArrowheads="1"/>
        </xdr:cNvSpPr>
      </xdr:nvSpPr>
      <xdr:spPr bwMode="auto">
        <a:xfrm>
          <a:off x="12096750" y="1361017"/>
          <a:ext cx="2116667" cy="491066"/>
        </a:xfrm>
        <a:prstGeom prst="wedgeRectCallout">
          <a:avLst>
            <a:gd name="adj1" fmla="val 121111"/>
            <a:gd name="adj2" fmla="val 52440"/>
          </a:avLst>
        </a:prstGeom>
        <a:solidFill>
          <a:srgbClr val="FFFF99"/>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2680" rIns="0" bIns="0" anchor="t"/>
        <a:lstStyle/>
        <a:p>
          <a:pPr algn="l" rtl="0">
            <a:defRPr sz="1000"/>
          </a:pPr>
          <a:r>
            <a:rPr lang="pt-BR" sz="1000" b="1" i="0" u="none" strike="noStrike" baseline="0">
              <a:solidFill>
                <a:srgbClr val="000000"/>
              </a:solidFill>
              <a:latin typeface="Arial"/>
              <a:cs typeface="Arial"/>
            </a:rPr>
            <a:t>Para inclusão de metas de outras Plan. Mult., digite a descrição e valores manualmente ao lado.</a:t>
          </a:r>
        </a:p>
      </xdr:txBody>
    </xdr:sp>
    <xdr:clientData fPrintsWithSheet="0"/>
  </xdr:twoCellAnchor>
  <xdr:twoCellAnchor>
    <xdr:from>
      <xdr:col>3</xdr:col>
      <xdr:colOff>38100</xdr:colOff>
      <xdr:row>8</xdr:row>
      <xdr:rowOff>9525</xdr:rowOff>
    </xdr:from>
    <xdr:to>
      <xdr:col>4</xdr:col>
      <xdr:colOff>58425</xdr:colOff>
      <xdr:row>10</xdr:row>
      <xdr:rowOff>1059</xdr:rowOff>
    </xdr:to>
    <xdr:sp macro="" textlink="">
      <xdr:nvSpPr>
        <xdr:cNvPr id="11269" name="AutoShape 67">
          <a:hlinkClick xmlns:r="http://schemas.openxmlformats.org/officeDocument/2006/relationships" r:id="rId1"/>
          <a:extLst>
            <a:ext uri="{FF2B5EF4-FFF2-40B4-BE49-F238E27FC236}">
              <a16:creationId xmlns:a16="http://schemas.microsoft.com/office/drawing/2014/main" id="{00000000-0008-0000-0900-0000052C0000}"/>
            </a:ext>
          </a:extLst>
        </xdr:cNvPr>
        <xdr:cNvSpPr>
          <a:spLocks noChangeArrowheads="1"/>
        </xdr:cNvSpPr>
      </xdr:nvSpPr>
      <xdr:spPr bwMode="auto">
        <a:xfrm>
          <a:off x="285750" y="1419225"/>
          <a:ext cx="468000" cy="315384"/>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4</xdr:col>
      <xdr:colOff>710354</xdr:colOff>
      <xdr:row>8</xdr:row>
      <xdr:rowOff>11430</xdr:rowOff>
    </xdr:from>
    <xdr:to>
      <xdr:col>5</xdr:col>
      <xdr:colOff>722579</xdr:colOff>
      <xdr:row>10</xdr:row>
      <xdr:rowOff>9710</xdr:rowOff>
    </xdr:to>
    <xdr:sp macro="[0]!Linhas.AddLinha" textlink="">
      <xdr:nvSpPr>
        <xdr:cNvPr id="11270" name="AutoShape 67">
          <a:extLst>
            <a:ext uri="{FF2B5EF4-FFF2-40B4-BE49-F238E27FC236}">
              <a16:creationId xmlns:a16="http://schemas.microsoft.com/office/drawing/2014/main" id="{00000000-0008-0000-0900-0000062C0000}"/>
            </a:ext>
          </a:extLst>
        </xdr:cNvPr>
        <xdr:cNvSpPr>
          <a:spLocks noChangeArrowheads="1"/>
        </xdr:cNvSpPr>
      </xdr:nvSpPr>
      <xdr:spPr bwMode="auto">
        <a:xfrm>
          <a:off x="1405679" y="1421130"/>
          <a:ext cx="1260000" cy="32213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ADICIONAR LINHAS</a:t>
          </a:r>
        </a:p>
      </xdr:txBody>
    </xdr:sp>
    <xdr:clientData fPrintsWithSheet="0"/>
  </xdr:twoCellAnchor>
  <xdr:twoCellAnchor>
    <xdr:from>
      <xdr:col>5</xdr:col>
      <xdr:colOff>777246</xdr:colOff>
      <xdr:row>8</xdr:row>
      <xdr:rowOff>9525</xdr:rowOff>
    </xdr:from>
    <xdr:to>
      <xdr:col>5</xdr:col>
      <xdr:colOff>1893246</xdr:colOff>
      <xdr:row>10</xdr:row>
      <xdr:rowOff>1059</xdr:rowOff>
    </xdr:to>
    <xdr:sp macro="[0]!Linhas.ExcLinhas" textlink="">
      <xdr:nvSpPr>
        <xdr:cNvPr id="11271" name="AutoShape 67">
          <a:extLst>
            <a:ext uri="{FF2B5EF4-FFF2-40B4-BE49-F238E27FC236}">
              <a16:creationId xmlns:a16="http://schemas.microsoft.com/office/drawing/2014/main" id="{00000000-0008-0000-0900-0000072C0000}"/>
            </a:ext>
          </a:extLst>
        </xdr:cNvPr>
        <xdr:cNvSpPr>
          <a:spLocks noChangeArrowheads="1"/>
        </xdr:cNvSpPr>
      </xdr:nvSpPr>
      <xdr:spPr bwMode="auto">
        <a:xfrm>
          <a:off x="2720346" y="1419225"/>
          <a:ext cx="1116000" cy="315384"/>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EXCLUIR LINHAS</a:t>
          </a:r>
        </a:p>
      </xdr:txBody>
    </xdr:sp>
    <xdr:clientData fPrintsWithSheet="0"/>
  </xdr:twoCellAnchor>
  <xdr:twoCellAnchor>
    <xdr:from>
      <xdr:col>7</xdr:col>
      <xdr:colOff>904237</xdr:colOff>
      <xdr:row>8</xdr:row>
      <xdr:rowOff>9525</xdr:rowOff>
    </xdr:from>
    <xdr:to>
      <xdr:col>9</xdr:col>
      <xdr:colOff>485820</xdr:colOff>
      <xdr:row>10</xdr:row>
      <xdr:rowOff>3175</xdr:rowOff>
    </xdr:to>
    <xdr:sp macro="[0]!cpQCItoCR" textlink="">
      <xdr:nvSpPr>
        <xdr:cNvPr id="7" name="AutoShape 67">
          <a:extLst>
            <a:ext uri="{FF2B5EF4-FFF2-40B4-BE49-F238E27FC236}">
              <a16:creationId xmlns:a16="http://schemas.microsoft.com/office/drawing/2014/main" id="{00000000-0008-0000-0900-000007000000}"/>
            </a:ext>
          </a:extLst>
        </xdr:cNvPr>
        <xdr:cNvSpPr>
          <a:spLocks noChangeArrowheads="1"/>
        </xdr:cNvSpPr>
      </xdr:nvSpPr>
      <xdr:spPr bwMode="auto">
        <a:xfrm>
          <a:off x="7137820" y="1395942"/>
          <a:ext cx="1476000" cy="31115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CP QCI = CP CONTRATO</a:t>
          </a:r>
        </a:p>
      </xdr:txBody>
    </xdr:sp>
    <xdr:clientData fPrintsWithSheet="0"/>
  </xdr:twoCellAnchor>
  <xdr:twoCellAnchor>
    <xdr:from>
      <xdr:col>3</xdr:col>
      <xdr:colOff>0</xdr:colOff>
      <xdr:row>0</xdr:row>
      <xdr:rowOff>21166</xdr:rowOff>
    </xdr:from>
    <xdr:to>
      <xdr:col>5</xdr:col>
      <xdr:colOff>128694</xdr:colOff>
      <xdr:row>1</xdr:row>
      <xdr:rowOff>25399</xdr:rowOff>
    </xdr:to>
    <xdr:pic>
      <xdr:nvPicPr>
        <xdr:cNvPr id="2" name="Picture 2">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417" y="211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4</xdr:col>
      <xdr:colOff>104775</xdr:colOff>
      <xdr:row>8</xdr:row>
      <xdr:rowOff>9525</xdr:rowOff>
    </xdr:from>
    <xdr:to>
      <xdr:col>4</xdr:col>
      <xdr:colOff>644775</xdr:colOff>
      <xdr:row>10</xdr:row>
      <xdr:rowOff>1059</xdr:rowOff>
    </xdr:to>
    <xdr:sp macro="" textlink="">
      <xdr:nvSpPr>
        <xdr:cNvPr id="3" name="AutoShape 67">
          <a:hlinkClick xmlns:r="http://schemas.openxmlformats.org/officeDocument/2006/relationships" r:id="rId3"/>
          <a:extLst>
            <a:ext uri="{FF2B5EF4-FFF2-40B4-BE49-F238E27FC236}">
              <a16:creationId xmlns:a16="http://schemas.microsoft.com/office/drawing/2014/main" id="{00000000-0008-0000-0900-000003000000}"/>
            </a:ext>
          </a:extLst>
        </xdr:cNvPr>
        <xdr:cNvSpPr>
          <a:spLocks noChangeArrowheads="1"/>
        </xdr:cNvSpPr>
      </xdr:nvSpPr>
      <xdr:spPr bwMode="auto">
        <a:xfrm>
          <a:off x="800100" y="1419225"/>
          <a:ext cx="540000" cy="315384"/>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DADOS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7</xdr:row>
      <xdr:rowOff>42333</xdr:rowOff>
    </xdr:from>
    <xdr:to>
      <xdr:col>2</xdr:col>
      <xdr:colOff>28575</xdr:colOff>
      <xdr:row>9</xdr:row>
      <xdr:rowOff>4410</xdr:rowOff>
    </xdr:to>
    <xdr:sp macro="" textlink="">
      <xdr:nvSpPr>
        <xdr:cNvPr id="10243" name="AutoShape 67">
          <a:hlinkClick xmlns:r="http://schemas.openxmlformats.org/officeDocument/2006/relationships" r:id="rId1"/>
          <a:extLst>
            <a:ext uri="{FF2B5EF4-FFF2-40B4-BE49-F238E27FC236}">
              <a16:creationId xmlns:a16="http://schemas.microsoft.com/office/drawing/2014/main" id="{00000000-0008-0000-0A00-000003280000}"/>
            </a:ext>
          </a:extLst>
        </xdr:cNvPr>
        <xdr:cNvSpPr>
          <a:spLocks noChangeArrowheads="1"/>
        </xdr:cNvSpPr>
      </xdr:nvSpPr>
      <xdr:spPr bwMode="auto">
        <a:xfrm>
          <a:off x="247650" y="928158"/>
          <a:ext cx="571500" cy="324027"/>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mc:AlternateContent xmlns:mc="http://schemas.openxmlformats.org/markup-compatibility/2006">
    <mc:Choice xmlns:a14="http://schemas.microsoft.com/office/drawing/2010/main" Requires="a14">
      <xdr:twoCellAnchor>
        <xdr:from>
          <xdr:col>11</xdr:col>
          <xdr:colOff>0</xdr:colOff>
          <xdr:row>8</xdr:row>
          <xdr:rowOff>9525</xdr:rowOff>
        </xdr:from>
        <xdr:to>
          <xdr:col>11</xdr:col>
          <xdr:colOff>219075</xdr:colOff>
          <xdr:row>9</xdr:row>
          <xdr:rowOff>0</xdr:rowOff>
        </xdr:to>
        <xdr:sp macro="" textlink="">
          <xdr:nvSpPr>
            <xdr:cNvPr id="10246" name="Botão de rotação 275" hidden="1">
              <a:extLst>
                <a:ext uri="{63B3BB69-23CF-44E3-9099-C40C66FF867C}">
                  <a14:compatExt spid="_x0000_s10246"/>
                </a:ext>
                <a:ext uri="{FF2B5EF4-FFF2-40B4-BE49-F238E27FC236}">
                  <a16:creationId xmlns:a16="http://schemas.microsoft.com/office/drawing/2014/main" id="{00000000-0008-0000-0A00-0000062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xdr:twoCellAnchor>
    <xdr:from>
      <xdr:col>1</xdr:col>
      <xdr:colOff>0</xdr:colOff>
      <xdr:row>9</xdr:row>
      <xdr:rowOff>19050</xdr:rowOff>
    </xdr:from>
    <xdr:to>
      <xdr:col>2</xdr:col>
      <xdr:colOff>31751</xdr:colOff>
      <xdr:row>10</xdr:row>
      <xdr:rowOff>159808</xdr:rowOff>
    </xdr:to>
    <xdr:sp macro="" textlink="">
      <xdr:nvSpPr>
        <xdr:cNvPr id="5" name="AutoShape 67">
          <a:hlinkClick xmlns:r="http://schemas.openxmlformats.org/officeDocument/2006/relationships" r:id="rId2"/>
          <a:extLst>
            <a:ext uri="{FF2B5EF4-FFF2-40B4-BE49-F238E27FC236}">
              <a16:creationId xmlns:a16="http://schemas.microsoft.com/office/drawing/2014/main" id="{00000000-0008-0000-0A00-000005000000}"/>
            </a:ext>
          </a:extLst>
        </xdr:cNvPr>
        <xdr:cNvSpPr>
          <a:spLocks noChangeArrowheads="1"/>
        </xdr:cNvSpPr>
      </xdr:nvSpPr>
      <xdr:spPr bwMode="auto">
        <a:xfrm>
          <a:off x="247650" y="1266825"/>
          <a:ext cx="574676"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PLQ</a:t>
          </a:r>
          <a:endParaRPr lang="pt-BR" sz="1100" b="1" i="0" u="none" strike="noStrike" baseline="0">
            <a:solidFill>
              <a:srgbClr val="000000"/>
            </a:solidFill>
            <a:latin typeface="Calibri"/>
          </a:endParaRPr>
        </a:p>
      </xdr:txBody>
    </xdr:sp>
    <xdr:clientData fPrintsWithSheet="0"/>
  </xdr:twoCellAnchor>
  <xdr:twoCellAnchor>
    <xdr:from>
      <xdr:col>1</xdr:col>
      <xdr:colOff>0</xdr:colOff>
      <xdr:row>10</xdr:row>
      <xdr:rowOff>500803</xdr:rowOff>
    </xdr:from>
    <xdr:to>
      <xdr:col>2</xdr:col>
      <xdr:colOff>31751</xdr:colOff>
      <xdr:row>10</xdr:row>
      <xdr:rowOff>803486</xdr:rowOff>
    </xdr:to>
    <xdr:sp macro="" textlink="">
      <xdr:nvSpPr>
        <xdr:cNvPr id="6" name="AutoShape 67">
          <a:hlinkClick xmlns:r="http://schemas.openxmlformats.org/officeDocument/2006/relationships" r:id="rId3"/>
          <a:extLst>
            <a:ext uri="{FF2B5EF4-FFF2-40B4-BE49-F238E27FC236}">
              <a16:creationId xmlns:a16="http://schemas.microsoft.com/office/drawing/2014/main" id="{00000000-0008-0000-0A00-000006000000}"/>
            </a:ext>
          </a:extLst>
        </xdr:cNvPr>
        <xdr:cNvSpPr>
          <a:spLocks noChangeArrowheads="1"/>
        </xdr:cNvSpPr>
      </xdr:nvSpPr>
      <xdr:spPr bwMode="auto">
        <a:xfrm>
          <a:off x="247650" y="1910503"/>
          <a:ext cx="574676"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RRE</a:t>
          </a:r>
          <a:endParaRPr lang="pt-BR" sz="1100" b="1" i="0" u="none" strike="noStrike" baseline="0">
            <a:solidFill>
              <a:srgbClr val="000000"/>
            </a:solidFill>
            <a:latin typeface="Calibri"/>
          </a:endParaRPr>
        </a:p>
      </xdr:txBody>
    </xdr:sp>
    <xdr:clientData fPrintsWithSheet="0"/>
  </xdr:twoCellAnchor>
  <xdr:twoCellAnchor>
    <xdr:from>
      <xdr:col>1</xdr:col>
      <xdr:colOff>0</xdr:colOff>
      <xdr:row>2</xdr:row>
      <xdr:rowOff>21166</xdr:rowOff>
    </xdr:from>
    <xdr:to>
      <xdr:col>3</xdr:col>
      <xdr:colOff>149861</xdr:colOff>
      <xdr:row>4</xdr:row>
      <xdr:rowOff>4232</xdr:rowOff>
    </xdr:to>
    <xdr:pic>
      <xdr:nvPicPr>
        <xdr:cNvPr id="2" name="Picture 2">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43417" y="3386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0</xdr:colOff>
      <xdr:row>10</xdr:row>
      <xdr:rowOff>180975</xdr:rowOff>
    </xdr:from>
    <xdr:to>
      <xdr:col>2</xdr:col>
      <xdr:colOff>31751</xdr:colOff>
      <xdr:row>10</xdr:row>
      <xdr:rowOff>483658</xdr:rowOff>
    </xdr:to>
    <xdr:sp macro="" textlink="">
      <xdr:nvSpPr>
        <xdr:cNvPr id="3" name="AutoShape 67">
          <a:hlinkClick xmlns:r="http://schemas.openxmlformats.org/officeDocument/2006/relationships" r:id="rId5"/>
          <a:extLst>
            <a:ext uri="{FF2B5EF4-FFF2-40B4-BE49-F238E27FC236}">
              <a16:creationId xmlns:a16="http://schemas.microsoft.com/office/drawing/2014/main" id="{00000000-0008-0000-0A00-000003000000}"/>
            </a:ext>
          </a:extLst>
        </xdr:cNvPr>
        <xdr:cNvSpPr>
          <a:spLocks noChangeArrowheads="1"/>
        </xdr:cNvSpPr>
      </xdr:nvSpPr>
      <xdr:spPr bwMode="auto">
        <a:xfrm>
          <a:off x="247650" y="1590675"/>
          <a:ext cx="574676"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CRONO</a:t>
          </a:r>
          <a:endParaRPr lang="pt-BR" sz="1100" b="1" i="0" u="none" strike="noStrike" baseline="0">
            <a:solidFill>
              <a:srgbClr val="000000"/>
            </a:solidFill>
            <a:latin typeface="Calibri"/>
          </a:endParaRP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8</xdr:col>
      <xdr:colOff>1276350</xdr:colOff>
      <xdr:row>8</xdr:row>
      <xdr:rowOff>57150</xdr:rowOff>
    </xdr:from>
    <xdr:to>
      <xdr:col>12</xdr:col>
      <xdr:colOff>445815</xdr:colOff>
      <xdr:row>10</xdr:row>
      <xdr:rowOff>85725</xdr:rowOff>
    </xdr:to>
    <xdr:sp macro="" textlink="" fLocksText="0">
      <xdr:nvSpPr>
        <xdr:cNvPr id="12293" name="TextBoxArred">
          <a:extLst>
            <a:ext uri="{FF2B5EF4-FFF2-40B4-BE49-F238E27FC236}">
              <a16:creationId xmlns:a16="http://schemas.microsoft.com/office/drawing/2014/main" id="{00000000-0008-0000-0B00-000005300000}"/>
            </a:ext>
          </a:extLst>
        </xdr:cNvPr>
        <xdr:cNvSpPr txBox="1">
          <a:spLocks noChangeArrowheads="1"/>
        </xdr:cNvSpPr>
      </xdr:nvSpPr>
      <xdr:spPr bwMode="auto">
        <a:xfrm flipH="1">
          <a:off x="12411075" y="1314450"/>
          <a:ext cx="2790825" cy="352425"/>
        </a:xfrm>
        <a:prstGeom prst="rect">
          <a:avLst/>
        </a:prstGeom>
        <a:noFill/>
        <a:ln w="6480">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2680" rIns="27360" bIns="0" anchor="t"/>
        <a:lstStyle/>
        <a:p>
          <a:pPr algn="ctr" rtl="0">
            <a:defRPr sz="1000"/>
          </a:pPr>
          <a:r>
            <a:rPr lang="pt-BR" sz="1000" b="0" i="0" u="none" strike="noStrike" baseline="0">
              <a:solidFill>
                <a:srgbClr val="000000"/>
              </a:solidFill>
              <a:latin typeface="Arial"/>
              <a:cs typeface="Arial"/>
            </a:rPr>
            <a:t>Considerar valores arredondados com (0,00)</a:t>
          </a:r>
        </a:p>
      </xdr:txBody>
    </xdr:sp>
    <xdr:clientData fPrintsWithSheet="0"/>
  </xdr:twoCellAnchor>
  <xdr:twoCellAnchor>
    <xdr:from>
      <xdr:col>3</xdr:col>
      <xdr:colOff>95250</xdr:colOff>
      <xdr:row>8</xdr:row>
      <xdr:rowOff>114300</xdr:rowOff>
    </xdr:from>
    <xdr:to>
      <xdr:col>3</xdr:col>
      <xdr:colOff>681990</xdr:colOff>
      <xdr:row>10</xdr:row>
      <xdr:rowOff>104775</xdr:rowOff>
    </xdr:to>
    <xdr:sp macro="" textlink="">
      <xdr:nvSpPr>
        <xdr:cNvPr id="12294" name="AutoShape 67">
          <a:hlinkClick xmlns:r="http://schemas.openxmlformats.org/officeDocument/2006/relationships" r:id="rId1"/>
          <a:extLst>
            <a:ext uri="{FF2B5EF4-FFF2-40B4-BE49-F238E27FC236}">
              <a16:creationId xmlns:a16="http://schemas.microsoft.com/office/drawing/2014/main" id="{00000000-0008-0000-0B00-000006300000}"/>
            </a:ext>
          </a:extLst>
        </xdr:cNvPr>
        <xdr:cNvSpPr>
          <a:spLocks noChangeArrowheads="1"/>
        </xdr:cNvSpPr>
      </xdr:nvSpPr>
      <xdr:spPr bwMode="auto">
        <a:xfrm>
          <a:off x="342900" y="1371600"/>
          <a:ext cx="586740" cy="31432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mc:AlternateContent xmlns:mc="http://schemas.openxmlformats.org/markup-compatibility/2006">
    <mc:Choice xmlns:a14="http://schemas.microsoft.com/office/drawing/2010/main" Requires="a14">
      <xdr:twoCellAnchor>
        <xdr:from>
          <xdr:col>10</xdr:col>
          <xdr:colOff>219075</xdr:colOff>
          <xdr:row>9</xdr:row>
          <xdr:rowOff>47625</xdr:rowOff>
        </xdr:from>
        <xdr:to>
          <xdr:col>10</xdr:col>
          <xdr:colOff>523875</xdr:colOff>
          <xdr:row>10</xdr:row>
          <xdr:rowOff>114300</xdr:rowOff>
        </xdr:to>
        <xdr:sp macro="" textlink="">
          <xdr:nvSpPr>
            <xdr:cNvPr id="12295" name="CaixaArredMed" hidden="1">
              <a:extLst>
                <a:ext uri="{63B3BB69-23CF-44E3-9099-C40C66FF867C}">
                  <a14:compatExt spid="_x0000_s12295"/>
                </a:ext>
                <a:ext uri="{FF2B5EF4-FFF2-40B4-BE49-F238E27FC236}">
                  <a16:creationId xmlns:a16="http://schemas.microsoft.com/office/drawing/2014/main" id="{00000000-0008-0000-0B00-000007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15</xdr:col>
          <xdr:colOff>28575</xdr:colOff>
          <xdr:row>6</xdr:row>
          <xdr:rowOff>123825</xdr:rowOff>
        </xdr:from>
        <xdr:to>
          <xdr:col>15</xdr:col>
          <xdr:colOff>266700</xdr:colOff>
          <xdr:row>8</xdr:row>
          <xdr:rowOff>0</xdr:rowOff>
        </xdr:to>
        <xdr:sp macro="" textlink="">
          <xdr:nvSpPr>
            <xdr:cNvPr id="12296" name="Botão de rotação 23" hidden="1">
              <a:extLst>
                <a:ext uri="{63B3BB69-23CF-44E3-9099-C40C66FF867C}">
                  <a14:compatExt spid="_x0000_s12296"/>
                </a:ext>
                <a:ext uri="{FF2B5EF4-FFF2-40B4-BE49-F238E27FC236}">
                  <a16:creationId xmlns:a16="http://schemas.microsoft.com/office/drawing/2014/main" id="{00000000-0008-0000-0B00-0000083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xdr:twoCellAnchor>
    <xdr:from>
      <xdr:col>4</xdr:col>
      <xdr:colOff>2213610</xdr:colOff>
      <xdr:row>8</xdr:row>
      <xdr:rowOff>112395</xdr:rowOff>
    </xdr:from>
    <xdr:to>
      <xdr:col>4</xdr:col>
      <xdr:colOff>4095750</xdr:colOff>
      <xdr:row>10</xdr:row>
      <xdr:rowOff>95412</xdr:rowOff>
    </xdr:to>
    <xdr:sp macro="[0]!BM.alternaModo" textlink="">
      <xdr:nvSpPr>
        <xdr:cNvPr id="12298" name="ShapeModoBM">
          <a:extLst>
            <a:ext uri="{FF2B5EF4-FFF2-40B4-BE49-F238E27FC236}">
              <a16:creationId xmlns:a16="http://schemas.microsoft.com/office/drawing/2014/main" id="{00000000-0008-0000-0B00-00000A300000}"/>
            </a:ext>
          </a:extLst>
        </xdr:cNvPr>
        <xdr:cNvSpPr>
          <a:spLocks noChangeArrowheads="1"/>
        </xdr:cNvSpPr>
      </xdr:nvSpPr>
      <xdr:spPr bwMode="auto">
        <a:xfrm>
          <a:off x="3175635" y="1369695"/>
          <a:ext cx="1882140" cy="306867"/>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Habilitar Modo CAIXA</a:t>
          </a:r>
        </a:p>
      </xdr:txBody>
    </xdr:sp>
    <xdr:clientData fPrintsWithSheet="0"/>
  </xdr:twoCellAnchor>
  <xdr:twoCellAnchor>
    <xdr:from>
      <xdr:col>16</xdr:col>
      <xdr:colOff>0</xdr:colOff>
      <xdr:row>6</xdr:row>
      <xdr:rowOff>42333</xdr:rowOff>
    </xdr:from>
    <xdr:to>
      <xdr:col>16</xdr:col>
      <xdr:colOff>0</xdr:colOff>
      <xdr:row>9</xdr:row>
      <xdr:rowOff>102792</xdr:rowOff>
    </xdr:to>
    <xdr:sp macro="[0]!CopiarMedição" textlink="" fLocksText="0">
      <xdr:nvSpPr>
        <xdr:cNvPr id="8" name="ShapeCopiarMed">
          <a:extLst>
            <a:ext uri="{FF2B5EF4-FFF2-40B4-BE49-F238E27FC236}">
              <a16:creationId xmlns:a16="http://schemas.microsoft.com/office/drawing/2014/main" id="{00000000-0008-0000-0B00-000008000000}"/>
            </a:ext>
          </a:extLst>
        </xdr:cNvPr>
        <xdr:cNvSpPr>
          <a:spLocks noChangeArrowheads="1"/>
        </xdr:cNvSpPr>
      </xdr:nvSpPr>
      <xdr:spPr bwMode="auto">
        <a:xfrm>
          <a:off x="17187333" y="963083"/>
          <a:ext cx="709083" cy="529167"/>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Copiar da Medição</a:t>
          </a:r>
        </a:p>
      </xdr:txBody>
    </xdr:sp>
    <xdr:clientData/>
  </xdr:twoCellAnchor>
  <xdr:twoCellAnchor>
    <xdr:from>
      <xdr:col>4</xdr:col>
      <xdr:colOff>806450</xdr:colOff>
      <xdr:row>8</xdr:row>
      <xdr:rowOff>116417</xdr:rowOff>
    </xdr:from>
    <xdr:to>
      <xdr:col>4</xdr:col>
      <xdr:colOff>1393191</xdr:colOff>
      <xdr:row>10</xdr:row>
      <xdr:rowOff>101600</xdr:rowOff>
    </xdr:to>
    <xdr:sp macro="" textlink="">
      <xdr:nvSpPr>
        <xdr:cNvPr id="9" name="AutoShape 67">
          <a:hlinkClick xmlns:r="http://schemas.openxmlformats.org/officeDocument/2006/relationships" r:id="rId2"/>
          <a:extLst>
            <a:ext uri="{FF2B5EF4-FFF2-40B4-BE49-F238E27FC236}">
              <a16:creationId xmlns:a16="http://schemas.microsoft.com/office/drawing/2014/main" id="{00000000-0008-0000-0B00-000009000000}"/>
            </a:ext>
          </a:extLst>
        </xdr:cNvPr>
        <xdr:cNvSpPr>
          <a:spLocks noChangeArrowheads="1"/>
        </xdr:cNvSpPr>
      </xdr:nvSpPr>
      <xdr:spPr bwMode="auto">
        <a:xfrm>
          <a:off x="1768475" y="1373717"/>
          <a:ext cx="586741" cy="30903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CFF</a:t>
          </a:r>
          <a:endParaRPr lang="pt-BR" sz="1100" b="1" i="0" u="none" strike="noStrike" baseline="0">
            <a:solidFill>
              <a:srgbClr val="000000"/>
            </a:solidFill>
            <a:latin typeface="Calibri"/>
          </a:endParaRPr>
        </a:p>
      </xdr:txBody>
    </xdr:sp>
    <xdr:clientData fPrintsWithSheet="0"/>
  </xdr:twoCellAnchor>
  <xdr:twoCellAnchor>
    <xdr:from>
      <xdr:col>3</xdr:col>
      <xdr:colOff>0</xdr:colOff>
      <xdr:row>0</xdr:row>
      <xdr:rowOff>21166</xdr:rowOff>
    </xdr:from>
    <xdr:to>
      <xdr:col>4</xdr:col>
      <xdr:colOff>1102361</xdr:colOff>
      <xdr:row>2</xdr:row>
      <xdr:rowOff>14816</xdr:rowOff>
    </xdr:to>
    <xdr:pic>
      <xdr:nvPicPr>
        <xdr:cNvPr id="2" name="Picture 2">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43417" y="211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4</xdr:col>
      <xdr:colOff>1512358</xdr:colOff>
      <xdr:row>8</xdr:row>
      <xdr:rowOff>116417</xdr:rowOff>
    </xdr:from>
    <xdr:to>
      <xdr:col>4</xdr:col>
      <xdr:colOff>2099099</xdr:colOff>
      <xdr:row>10</xdr:row>
      <xdr:rowOff>101600</xdr:rowOff>
    </xdr:to>
    <xdr:sp macro="" textlink="">
      <xdr:nvSpPr>
        <xdr:cNvPr id="3" name="AutoShape 67">
          <a:hlinkClick xmlns:r="http://schemas.openxmlformats.org/officeDocument/2006/relationships" r:id="rId4"/>
          <a:extLst>
            <a:ext uri="{FF2B5EF4-FFF2-40B4-BE49-F238E27FC236}">
              <a16:creationId xmlns:a16="http://schemas.microsoft.com/office/drawing/2014/main" id="{00000000-0008-0000-0B00-000003000000}"/>
            </a:ext>
          </a:extLst>
        </xdr:cNvPr>
        <xdr:cNvSpPr>
          <a:spLocks noChangeArrowheads="1"/>
        </xdr:cNvSpPr>
      </xdr:nvSpPr>
      <xdr:spPr bwMode="auto">
        <a:xfrm>
          <a:off x="2474383" y="1373717"/>
          <a:ext cx="586741" cy="30903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RRE</a:t>
          </a:r>
          <a:endParaRPr lang="pt-BR" sz="1100" b="1" i="0" u="none" strike="noStrike" baseline="0">
            <a:solidFill>
              <a:srgbClr val="000000"/>
            </a:solidFill>
            <a:latin typeface="Calibri"/>
          </a:endParaRPr>
        </a:p>
      </xdr:txBody>
    </xdr:sp>
    <xdr:clientData fPrintsWithSheet="0"/>
  </xdr:twoCellAnchor>
  <xdr:twoCellAnchor>
    <xdr:from>
      <xdr:col>4</xdr:col>
      <xdr:colOff>104775</xdr:colOff>
      <xdr:row>8</xdr:row>
      <xdr:rowOff>114300</xdr:rowOff>
    </xdr:from>
    <xdr:to>
      <xdr:col>4</xdr:col>
      <xdr:colOff>691515</xdr:colOff>
      <xdr:row>10</xdr:row>
      <xdr:rowOff>104775</xdr:rowOff>
    </xdr:to>
    <xdr:sp macro="" textlink="">
      <xdr:nvSpPr>
        <xdr:cNvPr id="4" name="AutoShape 67">
          <a:hlinkClick xmlns:r="http://schemas.openxmlformats.org/officeDocument/2006/relationships" r:id="rId5"/>
          <a:extLst>
            <a:ext uri="{FF2B5EF4-FFF2-40B4-BE49-F238E27FC236}">
              <a16:creationId xmlns:a16="http://schemas.microsoft.com/office/drawing/2014/main" id="{00000000-0008-0000-0B00-000004000000}"/>
            </a:ext>
          </a:extLst>
        </xdr:cNvPr>
        <xdr:cNvSpPr>
          <a:spLocks noChangeArrowheads="1"/>
        </xdr:cNvSpPr>
      </xdr:nvSpPr>
      <xdr:spPr bwMode="auto">
        <a:xfrm>
          <a:off x="1066800" y="1371600"/>
          <a:ext cx="586740" cy="31432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DADOS</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14</xdr:col>
      <xdr:colOff>102870</xdr:colOff>
      <xdr:row>7</xdr:row>
      <xdr:rowOff>160020</xdr:rowOff>
    </xdr:from>
    <xdr:to>
      <xdr:col>24</xdr:col>
      <xdr:colOff>169545</xdr:colOff>
      <xdr:row>10</xdr:row>
      <xdr:rowOff>49546</xdr:rowOff>
    </xdr:to>
    <xdr:sp macro="" textlink="" fLocksText="0">
      <xdr:nvSpPr>
        <xdr:cNvPr id="13317" name="AutoShape 317">
          <a:extLst>
            <a:ext uri="{FF2B5EF4-FFF2-40B4-BE49-F238E27FC236}">
              <a16:creationId xmlns:a16="http://schemas.microsoft.com/office/drawing/2014/main" id="{00000000-0008-0000-0C00-000005340000}"/>
            </a:ext>
          </a:extLst>
        </xdr:cNvPr>
        <xdr:cNvSpPr>
          <a:spLocks noChangeArrowheads="1"/>
        </xdr:cNvSpPr>
      </xdr:nvSpPr>
      <xdr:spPr bwMode="auto">
        <a:xfrm>
          <a:off x="10487025" y="1562100"/>
          <a:ext cx="2724150" cy="390525"/>
        </a:xfrm>
        <a:prstGeom prst="wedgeRectCallout">
          <a:avLst>
            <a:gd name="adj1" fmla="val 72181"/>
            <a:gd name="adj2" fmla="val 58333"/>
          </a:avLst>
        </a:prstGeom>
        <a:solidFill>
          <a:srgbClr val="FFFF99"/>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2680" rIns="0" bIns="0" anchor="t"/>
        <a:lstStyle/>
        <a:p>
          <a:pPr algn="l" rtl="0">
            <a:defRPr sz="1000"/>
          </a:pPr>
          <a:r>
            <a:rPr lang="pt-BR" sz="1000" b="1" i="0" u="none" strike="noStrike" baseline="0">
              <a:solidFill>
                <a:srgbClr val="000000"/>
              </a:solidFill>
              <a:latin typeface="Arial"/>
              <a:cs typeface="Arial"/>
            </a:rPr>
            <a:t>Para Metas preenchidas manualmente, digite o valor medido nas colunas à direita.</a:t>
          </a:r>
        </a:p>
      </xdr:txBody>
    </xdr:sp>
    <xdr:clientData fPrintsWithSheet="0"/>
  </xdr:twoCellAnchor>
  <xdr:twoCellAnchor>
    <xdr:from>
      <xdr:col>4</xdr:col>
      <xdr:colOff>85725</xdr:colOff>
      <xdr:row>8</xdr:row>
      <xdr:rowOff>28575</xdr:rowOff>
    </xdr:from>
    <xdr:to>
      <xdr:col>5</xdr:col>
      <xdr:colOff>142875</xdr:colOff>
      <xdr:row>10</xdr:row>
      <xdr:rowOff>11435</xdr:rowOff>
    </xdr:to>
    <xdr:sp macro="" textlink="">
      <xdr:nvSpPr>
        <xdr:cNvPr id="13318" name="AutoShape 67">
          <a:hlinkClick xmlns:r="http://schemas.openxmlformats.org/officeDocument/2006/relationships" r:id="rId1"/>
          <a:extLst>
            <a:ext uri="{FF2B5EF4-FFF2-40B4-BE49-F238E27FC236}">
              <a16:creationId xmlns:a16="http://schemas.microsoft.com/office/drawing/2014/main" id="{00000000-0008-0000-0C00-000006340000}"/>
            </a:ext>
          </a:extLst>
        </xdr:cNvPr>
        <xdr:cNvSpPr>
          <a:spLocks noChangeArrowheads="1"/>
        </xdr:cNvSpPr>
      </xdr:nvSpPr>
      <xdr:spPr bwMode="auto">
        <a:xfrm>
          <a:off x="333375" y="1600200"/>
          <a:ext cx="571500" cy="31432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5</xdr:col>
      <xdr:colOff>240453</xdr:colOff>
      <xdr:row>8</xdr:row>
      <xdr:rowOff>31750</xdr:rowOff>
    </xdr:from>
    <xdr:to>
      <xdr:col>5</xdr:col>
      <xdr:colOff>1524000</xdr:colOff>
      <xdr:row>10</xdr:row>
      <xdr:rowOff>9447</xdr:rowOff>
    </xdr:to>
    <xdr:sp macro="[0]!IrPara_Medição" textlink="">
      <xdr:nvSpPr>
        <xdr:cNvPr id="5" name="AutoShape 67">
          <a:extLst>
            <a:ext uri="{FF2B5EF4-FFF2-40B4-BE49-F238E27FC236}">
              <a16:creationId xmlns:a16="http://schemas.microsoft.com/office/drawing/2014/main" id="{00000000-0008-0000-0C00-000005000000}"/>
            </a:ext>
          </a:extLst>
        </xdr:cNvPr>
        <xdr:cNvSpPr>
          <a:spLocks noChangeArrowheads="1"/>
        </xdr:cNvSpPr>
      </xdr:nvSpPr>
      <xdr:spPr bwMode="auto">
        <a:xfrm>
          <a:off x="1002453" y="1441450"/>
          <a:ext cx="1283547" cy="301547"/>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EDITAR MEDIÇÃO</a:t>
          </a:r>
          <a:endParaRPr lang="pt-BR" sz="1100" b="1" i="0" u="none" strike="noStrike" baseline="0">
            <a:solidFill>
              <a:srgbClr val="000000"/>
            </a:solidFill>
            <a:latin typeface="Calibri"/>
          </a:endParaRPr>
        </a:p>
      </xdr:txBody>
    </xdr:sp>
    <xdr:clientData fPrintsWithSheet="0"/>
  </xdr:twoCellAnchor>
  <xdr:twoCellAnchor>
    <xdr:from>
      <xdr:col>4</xdr:col>
      <xdr:colOff>0</xdr:colOff>
      <xdr:row>0</xdr:row>
      <xdr:rowOff>21166</xdr:rowOff>
    </xdr:from>
    <xdr:to>
      <xdr:col>5</xdr:col>
      <xdr:colOff>1303444</xdr:colOff>
      <xdr:row>1</xdr:row>
      <xdr:rowOff>25399</xdr:rowOff>
    </xdr:to>
    <xdr:pic>
      <xdr:nvPicPr>
        <xdr:cNvPr id="2" name="Picture 2">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84917" y="211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5</xdr:col>
      <xdr:colOff>1623483</xdr:colOff>
      <xdr:row>8</xdr:row>
      <xdr:rowOff>31750</xdr:rowOff>
    </xdr:from>
    <xdr:to>
      <xdr:col>5</xdr:col>
      <xdr:colOff>2210224</xdr:colOff>
      <xdr:row>10</xdr:row>
      <xdr:rowOff>9447</xdr:rowOff>
    </xdr:to>
    <xdr:sp macro="" textlink="">
      <xdr:nvSpPr>
        <xdr:cNvPr id="3" name="AutoShape 67">
          <a:hlinkClick xmlns:r="http://schemas.openxmlformats.org/officeDocument/2006/relationships" r:id="rId3"/>
          <a:extLst>
            <a:ext uri="{FF2B5EF4-FFF2-40B4-BE49-F238E27FC236}">
              <a16:creationId xmlns:a16="http://schemas.microsoft.com/office/drawing/2014/main" id="{00000000-0008-0000-0C00-000003000000}"/>
            </a:ext>
          </a:extLst>
        </xdr:cNvPr>
        <xdr:cNvSpPr>
          <a:spLocks noChangeArrowheads="1"/>
        </xdr:cNvSpPr>
      </xdr:nvSpPr>
      <xdr:spPr bwMode="auto">
        <a:xfrm>
          <a:off x="2385483" y="1441450"/>
          <a:ext cx="586741" cy="301547"/>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OFÍCIO</a:t>
          </a:r>
          <a:endParaRPr lang="pt-BR" sz="1100" b="1" i="0" u="none" strike="noStrike" baseline="0">
            <a:solidFill>
              <a:srgbClr val="000000"/>
            </a:solidFill>
            <a:latin typeface="Calibri"/>
          </a:endParaRP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4</xdr:col>
      <xdr:colOff>459529</xdr:colOff>
      <xdr:row>1</xdr:row>
      <xdr:rowOff>64559</xdr:rowOff>
    </xdr:from>
    <xdr:to>
      <xdr:col>5</xdr:col>
      <xdr:colOff>486201</xdr:colOff>
      <xdr:row>2</xdr:row>
      <xdr:rowOff>208209</xdr:rowOff>
    </xdr:to>
    <xdr:sp macro="[0]!Plan12.InsereFigura" textlink="">
      <xdr:nvSpPr>
        <xdr:cNvPr id="14337" name="ShapeBrasao">
          <a:extLst>
            <a:ext uri="{FF2B5EF4-FFF2-40B4-BE49-F238E27FC236}">
              <a16:creationId xmlns:a16="http://schemas.microsoft.com/office/drawing/2014/main" id="{00000000-0008-0000-0D00-000001380000}"/>
            </a:ext>
          </a:extLst>
        </xdr:cNvPr>
        <xdr:cNvSpPr>
          <a:spLocks noChangeArrowheads="1"/>
        </xdr:cNvSpPr>
      </xdr:nvSpPr>
      <xdr:spPr bwMode="auto">
        <a:xfrm>
          <a:off x="3468159" y="223309"/>
          <a:ext cx="1405467" cy="3024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INSERIR BRASÃO</a:t>
          </a:r>
        </a:p>
      </xdr:txBody>
    </xdr:sp>
    <xdr:clientData fPrintsWithSheet="0"/>
  </xdr:twoCellAnchor>
  <xdr:twoCellAnchor>
    <xdr:from>
      <xdr:col>3</xdr:col>
      <xdr:colOff>653415</xdr:colOff>
      <xdr:row>1</xdr:row>
      <xdr:rowOff>66675</xdr:rowOff>
    </xdr:from>
    <xdr:to>
      <xdr:col>3</xdr:col>
      <xdr:colOff>1193415</xdr:colOff>
      <xdr:row>2</xdr:row>
      <xdr:rowOff>210325</xdr:rowOff>
    </xdr:to>
    <xdr:sp macro="" textlink="">
      <xdr:nvSpPr>
        <xdr:cNvPr id="14338" name="AutoShape 67">
          <a:hlinkClick xmlns:r="http://schemas.openxmlformats.org/officeDocument/2006/relationships" r:id="rId1"/>
          <a:extLst>
            <a:ext uri="{FF2B5EF4-FFF2-40B4-BE49-F238E27FC236}">
              <a16:creationId xmlns:a16="http://schemas.microsoft.com/office/drawing/2014/main" id="{00000000-0008-0000-0D00-000002380000}"/>
            </a:ext>
          </a:extLst>
        </xdr:cNvPr>
        <xdr:cNvSpPr>
          <a:spLocks noChangeArrowheads="1"/>
        </xdr:cNvSpPr>
      </xdr:nvSpPr>
      <xdr:spPr bwMode="auto">
        <a:xfrm>
          <a:off x="2282190" y="228600"/>
          <a:ext cx="540000" cy="30557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DADOS</a:t>
          </a:r>
        </a:p>
      </xdr:txBody>
    </xdr:sp>
    <xdr:clientData fPrintsWithSheet="0"/>
  </xdr:twoCellAnchor>
  <xdr:twoCellAnchor>
    <xdr:from>
      <xdr:col>3</xdr:col>
      <xdr:colOff>1236981</xdr:colOff>
      <xdr:row>1</xdr:row>
      <xdr:rowOff>63499</xdr:rowOff>
    </xdr:from>
    <xdr:to>
      <xdr:col>4</xdr:col>
      <xdr:colOff>399026</xdr:colOff>
      <xdr:row>2</xdr:row>
      <xdr:rowOff>207432</xdr:rowOff>
    </xdr:to>
    <xdr:sp macro="" textlink="">
      <xdr:nvSpPr>
        <xdr:cNvPr id="4" name="AutoShape 67">
          <a:hlinkClick xmlns:r="http://schemas.openxmlformats.org/officeDocument/2006/relationships" r:id="rId2"/>
          <a:extLst>
            <a:ext uri="{FF2B5EF4-FFF2-40B4-BE49-F238E27FC236}">
              <a16:creationId xmlns:a16="http://schemas.microsoft.com/office/drawing/2014/main" id="{00000000-0008-0000-0D00-000004000000}"/>
            </a:ext>
          </a:extLst>
        </xdr:cNvPr>
        <xdr:cNvSpPr>
          <a:spLocks noChangeArrowheads="1"/>
        </xdr:cNvSpPr>
      </xdr:nvSpPr>
      <xdr:spPr bwMode="auto">
        <a:xfrm>
          <a:off x="2836334" y="222249"/>
          <a:ext cx="571501"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RRE</a:t>
          </a:r>
          <a:endParaRPr lang="pt-BR" sz="1100" b="1" i="0" u="none" strike="noStrike" baseline="0">
            <a:solidFill>
              <a:srgbClr val="000000"/>
            </a:solidFill>
            <a:latin typeface="Calibri"/>
          </a:endParaRPr>
        </a:p>
      </xdr:txBody>
    </xdr:sp>
    <xdr:clientData fPrintsWithSheet="0"/>
  </xdr:twoCellAnchor>
  <xdr:twoCellAnchor>
    <xdr:from>
      <xdr:col>3</xdr:col>
      <xdr:colOff>72390</xdr:colOff>
      <xdr:row>1</xdr:row>
      <xdr:rowOff>66675</xdr:rowOff>
    </xdr:from>
    <xdr:to>
      <xdr:col>3</xdr:col>
      <xdr:colOff>612390</xdr:colOff>
      <xdr:row>2</xdr:row>
      <xdr:rowOff>210325</xdr:rowOff>
    </xdr:to>
    <xdr:sp macro="" textlink="">
      <xdr:nvSpPr>
        <xdr:cNvPr id="2" name="AutoShape 67">
          <a:hlinkClick xmlns:r="http://schemas.openxmlformats.org/officeDocument/2006/relationships" r:id="rId3"/>
          <a:extLst>
            <a:ext uri="{FF2B5EF4-FFF2-40B4-BE49-F238E27FC236}">
              <a16:creationId xmlns:a16="http://schemas.microsoft.com/office/drawing/2014/main" id="{00000000-0008-0000-0D00-000002000000}"/>
            </a:ext>
          </a:extLst>
        </xdr:cNvPr>
        <xdr:cNvSpPr>
          <a:spLocks noChangeArrowheads="1"/>
        </xdr:cNvSpPr>
      </xdr:nvSpPr>
      <xdr:spPr bwMode="auto">
        <a:xfrm>
          <a:off x="1701165" y="228600"/>
          <a:ext cx="540000" cy="30557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9B5FE64-29A5-43B6-A1D7-697A833F88B9}">
  <we:reference id="wa200005271" version="2.5.5.0" store="pt-BR" storeType="OMEX"/>
  <we:alternateReferences>
    <we:reference id="wa200005271" version="2.5.5.0" store="wa200005271"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_xldudf_AI_TABLE</we:customFunctionIds>
        <we:customFunctionIds>_xldudf_AI_FILL</we:customFunctionIds>
        <we:customFunctionIds>_xldudf_AI_LIST</we:customFunctionIds>
        <we:customFunctionIds>_xldudf_AI_ASK</we:customFunctionIds>
        <we:customFunctionIds>_xldudf_AI_FORMAT</we:customFunctionIds>
        <we:customFunctionIds>_xldudf_AI_EXTRACT</we:customFunctionIds>
        <we:customFunctionIds>_xldudf_AI_TRANSLATE</we:customFunctionIds>
        <we:customFunctionIds>_xldudf_AI_CHOICE</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4.vml"/><Relationship Id="rId7" Type="http://schemas.openxmlformats.org/officeDocument/2006/relationships/ctrlProp" Target="../ctrlProps/ctrlProp10.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 Id="rId9"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5.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trlProp" Target="../ctrlProps/ctrlProp12.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2.xml"/><Relationship Id="rId1" Type="http://schemas.openxmlformats.org/officeDocument/2006/relationships/printerSettings" Target="../printerSettings/printerSettings12.bin"/><Relationship Id="rId6" Type="http://schemas.openxmlformats.org/officeDocument/2006/relationships/comments" Target="../comments6.xml"/><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7.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3"/>
  <dimension ref="A3:E138"/>
  <sheetViews>
    <sheetView showGridLines="0" zoomScaleNormal="100" workbookViewId="0">
      <pane ySplit="3" topLeftCell="A4" activePane="bottomLeft" state="frozen"/>
      <selection pane="bottomLeft"/>
    </sheetView>
  </sheetViews>
  <sheetFormatPr defaultRowHeight="12.75" x14ac:dyDescent="0.2"/>
  <cols>
    <col min="1" max="1" width="8.5703125" customWidth="1"/>
    <col min="2" max="2" width="5.5703125" customWidth="1"/>
    <col min="3" max="3" width="3.5703125" customWidth="1"/>
    <col min="4" max="4" width="130.5703125" customWidth="1"/>
  </cols>
  <sheetData>
    <row r="3" spans="1:4" ht="36.75" customHeight="1" x14ac:dyDescent="0.35">
      <c r="B3" s="41" t="s">
        <v>0</v>
      </c>
    </row>
    <row r="5" spans="1:4" ht="18.75" x14ac:dyDescent="0.3">
      <c r="A5" s="42"/>
      <c r="B5" s="43"/>
      <c r="C5" s="43"/>
      <c r="D5" s="44"/>
    </row>
    <row r="6" spans="1:4" ht="18.75" x14ac:dyDescent="0.3">
      <c r="A6" s="45" t="s">
        <v>1</v>
      </c>
      <c r="B6" s="46"/>
      <c r="C6" s="46"/>
      <c r="D6" s="3"/>
    </row>
    <row r="7" spans="1:4" ht="15" x14ac:dyDescent="0.25">
      <c r="A7" s="4"/>
      <c r="B7" s="47" t="s">
        <v>2</v>
      </c>
      <c r="C7" s="47"/>
      <c r="D7" s="3"/>
    </row>
    <row r="8" spans="1:4" ht="15" x14ac:dyDescent="0.25">
      <c r="A8" s="4"/>
      <c r="B8" s="47"/>
      <c r="C8" s="48" t="str">
        <f>IF(D8&lt;&gt;"","▪","")</f>
        <v>▪</v>
      </c>
      <c r="D8" s="500" t="s">
        <v>3</v>
      </c>
    </row>
    <row r="9" spans="1:4" ht="15" x14ac:dyDescent="0.25">
      <c r="A9" s="4"/>
      <c r="B9" s="47"/>
      <c r="C9" s="48" t="str">
        <f>IF(D9&lt;&gt;"","▪","")</f>
        <v/>
      </c>
      <c r="D9" s="500"/>
    </row>
    <row r="10" spans="1:4" ht="18.75" x14ac:dyDescent="0.3">
      <c r="A10" s="595" t="s">
        <v>4</v>
      </c>
      <c r="B10" s="596"/>
      <c r="C10" s="596"/>
      <c r="D10" s="597"/>
    </row>
    <row r="11" spans="1:4" ht="15" x14ac:dyDescent="0.25">
      <c r="A11" s="4"/>
      <c r="B11" s="47" t="s">
        <v>2</v>
      </c>
      <c r="C11" s="47"/>
      <c r="D11" s="500"/>
    </row>
    <row r="12" spans="1:4" ht="15" x14ac:dyDescent="0.25">
      <c r="A12" s="4"/>
      <c r="B12" s="47"/>
      <c r="C12" s="48" t="str">
        <f>IF(D12&lt;&gt;"","▪","")</f>
        <v>▪</v>
      </c>
      <c r="D12" s="500" t="s">
        <v>5</v>
      </c>
    </row>
    <row r="13" spans="1:4" ht="15" x14ac:dyDescent="0.25">
      <c r="A13" s="4"/>
      <c r="B13" s="47" t="s">
        <v>6</v>
      </c>
      <c r="C13" s="47"/>
      <c r="D13" s="500"/>
    </row>
    <row r="14" spans="1:4" ht="15" x14ac:dyDescent="0.25">
      <c r="A14" s="415"/>
      <c r="B14" s="47"/>
      <c r="C14" s="48" t="str">
        <f>IF(D14&lt;&gt;"","▪","")</f>
        <v>▪</v>
      </c>
      <c r="D14" s="500" t="s">
        <v>7</v>
      </c>
    </row>
    <row r="15" spans="1:4" ht="15" x14ac:dyDescent="0.2">
      <c r="A15" s="415"/>
      <c r="C15" s="48" t="str">
        <f>IF(D15&lt;&gt;"","▪","")</f>
        <v>▪</v>
      </c>
      <c r="D15" s="500" t="s">
        <v>8</v>
      </c>
    </row>
    <row r="16" spans="1:4" x14ac:dyDescent="0.2">
      <c r="A16" s="419"/>
      <c r="D16" s="86"/>
    </row>
    <row r="17" spans="1:4" ht="18.75" x14ac:dyDescent="0.3">
      <c r="A17" s="595" t="s">
        <v>9</v>
      </c>
      <c r="B17" s="596"/>
      <c r="C17" s="596"/>
      <c r="D17" s="597"/>
    </row>
    <row r="18" spans="1:4" ht="15" x14ac:dyDescent="0.25">
      <c r="A18" s="4"/>
      <c r="B18" s="47" t="s">
        <v>2</v>
      </c>
      <c r="C18" s="47"/>
      <c r="D18" s="500"/>
    </row>
    <row r="19" spans="1:4" ht="15" x14ac:dyDescent="0.25">
      <c r="A19" s="4"/>
      <c r="B19" s="47"/>
      <c r="C19" s="48" t="str">
        <f>IF(D19&lt;&gt;"","▪","")</f>
        <v>▪</v>
      </c>
      <c r="D19" s="500" t="s">
        <v>5</v>
      </c>
    </row>
    <row r="20" spans="1:4" ht="15" x14ac:dyDescent="0.25">
      <c r="A20" s="4"/>
      <c r="B20" s="47"/>
      <c r="C20" s="48" t="str">
        <f>IF(D20&lt;&gt;"","▪","")</f>
        <v>▪</v>
      </c>
      <c r="D20" s="500" t="s">
        <v>10</v>
      </c>
    </row>
    <row r="21" spans="1:4" ht="15" x14ac:dyDescent="0.25">
      <c r="A21" s="415"/>
      <c r="B21" s="47" t="s">
        <v>11</v>
      </c>
      <c r="C21" s="47"/>
      <c r="D21" s="500"/>
    </row>
    <row r="22" spans="1:4" ht="15" x14ac:dyDescent="0.25">
      <c r="A22" s="415"/>
      <c r="B22" s="47"/>
      <c r="C22" s="48" t="str">
        <f>IF(D22&lt;&gt;"","▪","")</f>
        <v>▪</v>
      </c>
      <c r="D22" s="500" t="s">
        <v>12</v>
      </c>
    </row>
    <row r="23" spans="1:4" ht="15" x14ac:dyDescent="0.25">
      <c r="A23" s="415"/>
      <c r="B23" s="47" t="s">
        <v>13</v>
      </c>
      <c r="C23" s="47"/>
      <c r="D23" s="500"/>
    </row>
    <row r="24" spans="1:4" ht="15" x14ac:dyDescent="0.25">
      <c r="A24" s="415"/>
      <c r="B24" s="47"/>
      <c r="C24" s="48" t="str">
        <f>IF(D24&lt;&gt;"","▪","")</f>
        <v>▪</v>
      </c>
      <c r="D24" s="500" t="s">
        <v>14</v>
      </c>
    </row>
    <row r="25" spans="1:4" ht="15" x14ac:dyDescent="0.25">
      <c r="A25" s="415"/>
      <c r="B25" s="47" t="s">
        <v>15</v>
      </c>
      <c r="C25" s="47"/>
      <c r="D25" s="500"/>
    </row>
    <row r="26" spans="1:4" ht="15" x14ac:dyDescent="0.25">
      <c r="A26" s="415"/>
      <c r="B26" s="47"/>
      <c r="C26" s="48" t="str">
        <f>IF(D26&lt;&gt;"","▪","")</f>
        <v>▪</v>
      </c>
      <c r="D26" s="500" t="s">
        <v>16</v>
      </c>
    </row>
    <row r="27" spans="1:4" ht="15" x14ac:dyDescent="0.25">
      <c r="A27" s="415"/>
      <c r="B27" s="47" t="s">
        <v>17</v>
      </c>
      <c r="C27" s="47"/>
      <c r="D27" s="500"/>
    </row>
    <row r="28" spans="1:4" ht="15" x14ac:dyDescent="0.25">
      <c r="A28" s="415"/>
      <c r="B28" s="47"/>
      <c r="C28" s="48" t="str">
        <f>IF(D28&lt;&gt;"","▪","")</f>
        <v>▪</v>
      </c>
      <c r="D28" s="500" t="s">
        <v>18</v>
      </c>
    </row>
    <row r="29" spans="1:4" x14ac:dyDescent="0.2">
      <c r="A29" s="419"/>
      <c r="D29" s="86"/>
    </row>
    <row r="30" spans="1:4" ht="18.75" x14ac:dyDescent="0.3">
      <c r="A30" s="595" t="s">
        <v>19</v>
      </c>
      <c r="B30" s="596"/>
      <c r="C30" s="596"/>
      <c r="D30" s="597"/>
    </row>
    <row r="31" spans="1:4" ht="15" x14ac:dyDescent="0.25">
      <c r="A31" s="4"/>
      <c r="B31" s="47" t="s">
        <v>2</v>
      </c>
      <c r="C31" s="47"/>
      <c r="D31" s="500"/>
    </row>
    <row r="32" spans="1:4" ht="15" x14ac:dyDescent="0.25">
      <c r="A32" s="4"/>
      <c r="B32" s="47"/>
      <c r="C32" s="48" t="str">
        <f>IF(D32&lt;&gt;"","▪","")</f>
        <v>▪</v>
      </c>
      <c r="D32" s="500" t="s">
        <v>10</v>
      </c>
    </row>
    <row r="33" spans="1:5" ht="15" x14ac:dyDescent="0.25">
      <c r="A33" s="4"/>
      <c r="B33" s="47" t="s">
        <v>20</v>
      </c>
      <c r="C33" s="48"/>
      <c r="D33" s="500"/>
    </row>
    <row r="34" spans="1:5" ht="15" x14ac:dyDescent="0.25">
      <c r="A34" s="4"/>
      <c r="B34" s="47"/>
      <c r="C34" s="48" t="str">
        <f>IF(D34&lt;&gt;"","▪","")</f>
        <v>▪</v>
      </c>
      <c r="D34" s="500" t="s">
        <v>21</v>
      </c>
    </row>
    <row r="35" spans="1:5" ht="15" x14ac:dyDescent="0.25">
      <c r="A35" s="4"/>
      <c r="B35" s="47"/>
      <c r="C35" s="47"/>
      <c r="D35" s="501"/>
      <c r="E35" s="47"/>
    </row>
    <row r="36" spans="1:5" x14ac:dyDescent="0.2">
      <c r="A36" s="419"/>
      <c r="D36" s="86"/>
    </row>
    <row r="37" spans="1:5" ht="18.75" x14ac:dyDescent="0.3">
      <c r="A37" s="595" t="s">
        <v>22</v>
      </c>
      <c r="B37" s="596"/>
      <c r="C37" s="596"/>
      <c r="D37" s="597"/>
    </row>
    <row r="38" spans="1:5" ht="15" x14ac:dyDescent="0.25">
      <c r="A38" s="4"/>
      <c r="B38" s="47" t="s">
        <v>23</v>
      </c>
      <c r="C38" s="47"/>
      <c r="D38" s="500"/>
    </row>
    <row r="39" spans="1:5" ht="15" x14ac:dyDescent="0.25">
      <c r="A39" s="4"/>
      <c r="B39" s="47"/>
      <c r="C39" s="48" t="str">
        <f>IF(D39&lt;&gt;"","▪","")</f>
        <v>▪</v>
      </c>
      <c r="D39" s="500" t="s">
        <v>24</v>
      </c>
    </row>
    <row r="40" spans="1:5" ht="15" x14ac:dyDescent="0.25">
      <c r="A40" s="4"/>
      <c r="B40" s="47" t="s">
        <v>13</v>
      </c>
      <c r="C40" s="47"/>
      <c r="D40" s="500"/>
    </row>
    <row r="41" spans="1:5" ht="15" x14ac:dyDescent="0.25">
      <c r="A41" s="4"/>
      <c r="B41" s="47"/>
      <c r="C41" s="48" t="str">
        <f>IF(D41&lt;&gt;"","▪","")</f>
        <v>▪</v>
      </c>
      <c r="D41" s="500" t="s">
        <v>25</v>
      </c>
    </row>
    <row r="42" spans="1:5" ht="15" x14ac:dyDescent="0.25">
      <c r="A42" s="4"/>
      <c r="B42" s="47" t="s">
        <v>15</v>
      </c>
      <c r="C42" s="47"/>
      <c r="D42" s="500"/>
      <c r="E42" s="47"/>
    </row>
    <row r="43" spans="1:5" ht="15" x14ac:dyDescent="0.25">
      <c r="A43" s="4"/>
      <c r="B43" s="47"/>
      <c r="C43" s="48" t="str">
        <f>IF(D43&lt;&gt;"","▪","")</f>
        <v>▪</v>
      </c>
      <c r="D43" s="500" t="s">
        <v>26</v>
      </c>
    </row>
    <row r="44" spans="1:5" ht="15" x14ac:dyDescent="0.25">
      <c r="A44" s="4"/>
      <c r="B44" s="47"/>
      <c r="C44" s="47"/>
      <c r="D44" s="501"/>
    </row>
    <row r="45" spans="1:5" ht="18.75" x14ac:dyDescent="0.3">
      <c r="A45" s="595" t="s">
        <v>27</v>
      </c>
      <c r="B45" s="596"/>
      <c r="C45" s="596"/>
      <c r="D45" s="597"/>
    </row>
    <row r="46" spans="1:5" ht="15" x14ac:dyDescent="0.25">
      <c r="A46" s="4"/>
      <c r="B46" s="47" t="s">
        <v>2</v>
      </c>
      <c r="C46" s="47"/>
      <c r="D46" s="500"/>
    </row>
    <row r="47" spans="1:5" ht="15" x14ac:dyDescent="0.25">
      <c r="A47" s="4"/>
      <c r="B47" s="47"/>
      <c r="C47" s="48" t="str">
        <f>IF(D47&lt;&gt;"","▪","")</f>
        <v>▪</v>
      </c>
      <c r="D47" s="500" t="s">
        <v>28</v>
      </c>
    </row>
    <row r="48" spans="1:5" ht="15" x14ac:dyDescent="0.25">
      <c r="A48" s="4"/>
      <c r="B48" s="47"/>
      <c r="C48" s="47"/>
      <c r="D48" s="501"/>
    </row>
    <row r="49" spans="1:4" ht="18.75" x14ac:dyDescent="0.3">
      <c r="A49" s="595" t="s">
        <v>29</v>
      </c>
      <c r="B49" s="596"/>
      <c r="C49" s="596"/>
      <c r="D49" s="597"/>
    </row>
    <row r="50" spans="1:4" ht="15" x14ac:dyDescent="0.25">
      <c r="A50" s="4"/>
      <c r="B50" s="47" t="s">
        <v>2</v>
      </c>
      <c r="C50" s="47"/>
      <c r="D50" s="500"/>
    </row>
    <row r="51" spans="1:4" ht="15" x14ac:dyDescent="0.25">
      <c r="A51" s="4"/>
      <c r="B51" s="47"/>
      <c r="C51" s="48" t="str">
        <f>IF(D51&lt;&gt;"","▪","")</f>
        <v>▪</v>
      </c>
      <c r="D51" s="500" t="s">
        <v>30</v>
      </c>
    </row>
    <row r="52" spans="1:4" ht="15" x14ac:dyDescent="0.25">
      <c r="A52" s="4"/>
      <c r="B52" s="47"/>
      <c r="C52" s="48" t="str">
        <f>IF(D52&lt;&gt;"","▪","")</f>
        <v>▪</v>
      </c>
      <c r="D52" s="500" t="s">
        <v>31</v>
      </c>
    </row>
    <row r="53" spans="1:4" ht="15" x14ac:dyDescent="0.25">
      <c r="A53" s="4"/>
      <c r="B53" s="47"/>
      <c r="C53" s="47"/>
      <c r="D53" s="501"/>
    </row>
    <row r="54" spans="1:4" ht="18.75" x14ac:dyDescent="0.3">
      <c r="A54" s="598" t="s">
        <v>32</v>
      </c>
      <c r="B54" s="596"/>
      <c r="C54" s="596"/>
      <c r="D54" s="597"/>
    </row>
    <row r="55" spans="1:4" ht="15" x14ac:dyDescent="0.25">
      <c r="A55" s="415"/>
      <c r="B55" s="47" t="s">
        <v>2</v>
      </c>
      <c r="C55" s="47"/>
      <c r="D55" s="500"/>
    </row>
    <row r="56" spans="1:4" ht="15" x14ac:dyDescent="0.25">
      <c r="A56" s="415"/>
      <c r="B56" s="47"/>
      <c r="C56" s="48" t="str">
        <f t="shared" ref="C56" si="0">IF(D56&lt;&gt;"","▪","")</f>
        <v>▪</v>
      </c>
      <c r="D56" s="500" t="s">
        <v>33</v>
      </c>
    </row>
    <row r="57" spans="1:4" ht="30" customHeight="1" x14ac:dyDescent="0.25">
      <c r="A57" s="415"/>
      <c r="B57" s="47"/>
      <c r="C57" s="48" t="str">
        <f t="shared" ref="C57:C62" si="1">IF(D57&lt;&gt;"","▪","")</f>
        <v>▪</v>
      </c>
      <c r="D57" s="500" t="s">
        <v>34</v>
      </c>
    </row>
    <row r="58" spans="1:4" ht="30" customHeight="1" x14ac:dyDescent="0.25">
      <c r="A58" s="415"/>
      <c r="B58" s="47"/>
      <c r="C58" s="48" t="str">
        <f t="shared" si="1"/>
        <v>▪</v>
      </c>
      <c r="D58" s="500" t="s">
        <v>35</v>
      </c>
    </row>
    <row r="59" spans="1:4" ht="30" customHeight="1" x14ac:dyDescent="0.25">
      <c r="A59" s="415"/>
      <c r="B59" s="47"/>
      <c r="C59" s="48" t="str">
        <f t="shared" si="1"/>
        <v>▪</v>
      </c>
      <c r="D59" s="500" t="s">
        <v>36</v>
      </c>
    </row>
    <row r="60" spans="1:4" ht="25.5" x14ac:dyDescent="0.25">
      <c r="A60" s="415"/>
      <c r="B60" s="47"/>
      <c r="C60" s="48" t="str">
        <f t="shared" si="1"/>
        <v>▪</v>
      </c>
      <c r="D60" s="500" t="s">
        <v>37</v>
      </c>
    </row>
    <row r="61" spans="1:4" ht="15" x14ac:dyDescent="0.25">
      <c r="A61" s="415"/>
      <c r="B61" s="47"/>
      <c r="C61" s="48" t="str">
        <f t="shared" si="1"/>
        <v>▪</v>
      </c>
      <c r="D61" s="500" t="s">
        <v>38</v>
      </c>
    </row>
    <row r="62" spans="1:4" ht="30" customHeight="1" x14ac:dyDescent="0.25">
      <c r="A62" s="415"/>
      <c r="B62" s="47"/>
      <c r="C62" s="48" t="str">
        <f t="shared" si="1"/>
        <v>▪</v>
      </c>
      <c r="D62" s="500" t="s">
        <v>39</v>
      </c>
    </row>
    <row r="63" spans="1:4" ht="15" x14ac:dyDescent="0.25">
      <c r="A63" s="415"/>
      <c r="B63" s="47" t="s">
        <v>40</v>
      </c>
      <c r="C63" s="47"/>
      <c r="D63" s="500"/>
    </row>
    <row r="64" spans="1:4" ht="15" x14ac:dyDescent="0.25">
      <c r="A64" s="415"/>
      <c r="B64" s="47"/>
      <c r="C64" s="48" t="str">
        <f>IF(D64&lt;&gt;"","▪","")</f>
        <v>▪</v>
      </c>
      <c r="D64" s="500" t="s">
        <v>41</v>
      </c>
    </row>
    <row r="65" spans="1:4" ht="15" x14ac:dyDescent="0.25">
      <c r="A65" s="415"/>
      <c r="B65" s="47"/>
      <c r="C65" s="48" t="str">
        <f>IF(D65&lt;&gt;"","▪","")</f>
        <v>▪</v>
      </c>
      <c r="D65" s="500" t="s">
        <v>42</v>
      </c>
    </row>
    <row r="66" spans="1:4" ht="15" x14ac:dyDescent="0.25">
      <c r="A66" s="415"/>
      <c r="B66" s="47"/>
      <c r="C66" s="48"/>
      <c r="D66" s="502" t="s">
        <v>43</v>
      </c>
    </row>
    <row r="67" spans="1:4" ht="15" x14ac:dyDescent="0.25">
      <c r="A67" s="415"/>
      <c r="B67" s="47"/>
      <c r="C67" s="48" t="str">
        <f>IF(D67&lt;&gt;"","▪","")</f>
        <v>▪</v>
      </c>
      <c r="D67" s="500" t="s">
        <v>44</v>
      </c>
    </row>
    <row r="68" spans="1:4" ht="15" x14ac:dyDescent="0.25">
      <c r="A68" s="415"/>
      <c r="B68" s="47"/>
      <c r="C68" s="48"/>
      <c r="D68" s="502" t="s">
        <v>45</v>
      </c>
    </row>
    <row r="69" spans="1:4" ht="15" x14ac:dyDescent="0.25">
      <c r="A69" s="415"/>
      <c r="B69" s="47"/>
      <c r="C69" s="48" t="str">
        <f>IF(D69&lt;&gt;"","▪","")</f>
        <v>▪</v>
      </c>
      <c r="D69" s="500" t="s">
        <v>46</v>
      </c>
    </row>
    <row r="70" spans="1:4" ht="15" x14ac:dyDescent="0.25">
      <c r="A70" s="415"/>
      <c r="B70" s="47"/>
      <c r="C70" s="48" t="str">
        <f>IF(D70&lt;&gt;"","▪","")</f>
        <v>▪</v>
      </c>
      <c r="D70" s="500" t="s">
        <v>47</v>
      </c>
    </row>
    <row r="71" spans="1:4" ht="15" x14ac:dyDescent="0.25">
      <c r="A71" s="415"/>
      <c r="B71" s="47" t="s">
        <v>23</v>
      </c>
      <c r="C71" s="47"/>
      <c r="D71" s="500"/>
    </row>
    <row r="72" spans="1:4" ht="15" x14ac:dyDescent="0.25">
      <c r="A72" s="415"/>
      <c r="B72" s="47"/>
      <c r="C72" s="48" t="str">
        <f>IF(D72&lt;&gt;"","▪","")</f>
        <v>▪</v>
      </c>
      <c r="D72" s="500" t="s">
        <v>48</v>
      </c>
    </row>
    <row r="73" spans="1:4" ht="15" x14ac:dyDescent="0.25">
      <c r="A73" s="415"/>
      <c r="B73" s="47" t="s">
        <v>49</v>
      </c>
      <c r="C73" s="47"/>
      <c r="D73" s="500"/>
    </row>
    <row r="74" spans="1:4" ht="15" x14ac:dyDescent="0.25">
      <c r="A74" s="415"/>
      <c r="B74" s="47"/>
      <c r="C74" s="48" t="str">
        <f>IF(D74&lt;&gt;"","▪","")</f>
        <v>▪</v>
      </c>
      <c r="D74" s="500" t="s">
        <v>50</v>
      </c>
    </row>
    <row r="75" spans="1:4" ht="15" x14ac:dyDescent="0.25">
      <c r="A75" s="415"/>
      <c r="B75" s="47"/>
      <c r="C75" s="48" t="str">
        <f>IF(D75&lt;&gt;"","▪","")</f>
        <v>▪</v>
      </c>
      <c r="D75" s="500" t="s">
        <v>51</v>
      </c>
    </row>
    <row r="76" spans="1:4" ht="15" x14ac:dyDescent="0.25">
      <c r="A76" s="415"/>
      <c r="B76" s="47"/>
      <c r="C76" s="48" t="str">
        <f>IF(D76&lt;&gt;"","▪","")</f>
        <v>▪</v>
      </c>
      <c r="D76" s="500" t="s">
        <v>52</v>
      </c>
    </row>
    <row r="77" spans="1:4" ht="15" x14ac:dyDescent="0.25">
      <c r="A77" s="415"/>
      <c r="B77" s="47"/>
      <c r="C77" s="48" t="str">
        <f>IF(D77&lt;&gt;"","▪","")</f>
        <v>▪</v>
      </c>
      <c r="D77" s="500" t="s">
        <v>53</v>
      </c>
    </row>
    <row r="78" spans="1:4" ht="15" x14ac:dyDescent="0.25">
      <c r="A78" s="415"/>
      <c r="B78" s="47" t="s">
        <v>54</v>
      </c>
      <c r="C78" s="47"/>
      <c r="D78" s="500"/>
    </row>
    <row r="79" spans="1:4" ht="15" x14ac:dyDescent="0.25">
      <c r="A79" s="415"/>
      <c r="B79" s="47"/>
      <c r="C79" s="48" t="str">
        <f>IF(D79&lt;&gt;"","▪","")</f>
        <v>▪</v>
      </c>
      <c r="D79" s="500" t="s">
        <v>50</v>
      </c>
    </row>
    <row r="80" spans="1:4" ht="15" x14ac:dyDescent="0.25">
      <c r="A80" s="415"/>
      <c r="B80" s="47"/>
      <c r="C80" s="48" t="str">
        <f>IF(D80&lt;&gt;"","▪","")</f>
        <v>▪</v>
      </c>
      <c r="D80" s="500" t="s">
        <v>55</v>
      </c>
    </row>
    <row r="81" spans="1:4" ht="15" x14ac:dyDescent="0.25">
      <c r="A81" s="415"/>
      <c r="B81" s="47"/>
      <c r="C81" s="48" t="str">
        <f>IF(D81&lt;&gt;"","▪","")</f>
        <v>▪</v>
      </c>
      <c r="D81" s="500" t="s">
        <v>52</v>
      </c>
    </row>
    <row r="82" spans="1:4" ht="15" x14ac:dyDescent="0.25">
      <c r="A82" s="415"/>
      <c r="B82" s="47"/>
      <c r="C82" s="48" t="str">
        <f>IF(D82&lt;&gt;"","▪","")</f>
        <v>▪</v>
      </c>
      <c r="D82" s="500" t="s">
        <v>53</v>
      </c>
    </row>
    <row r="83" spans="1:4" ht="15" x14ac:dyDescent="0.25">
      <c r="A83" s="415"/>
      <c r="B83" s="47" t="s">
        <v>17</v>
      </c>
      <c r="C83" s="47"/>
      <c r="D83" s="500"/>
    </row>
    <row r="84" spans="1:4" ht="20.100000000000001" customHeight="1" x14ac:dyDescent="0.25">
      <c r="A84" s="415"/>
      <c r="B84" s="47"/>
      <c r="C84" s="48" t="str">
        <f>IF(D84&lt;&gt;"","▪","")</f>
        <v>▪</v>
      </c>
      <c r="D84" s="500" t="s">
        <v>56</v>
      </c>
    </row>
    <row r="85" spans="1:4" ht="15" x14ac:dyDescent="0.25">
      <c r="A85" s="415"/>
      <c r="B85" s="47" t="s">
        <v>57</v>
      </c>
      <c r="C85" s="47"/>
      <c r="D85" s="500"/>
    </row>
    <row r="86" spans="1:4" ht="20.100000000000001" customHeight="1" x14ac:dyDescent="0.25">
      <c r="A86" s="415"/>
      <c r="B86" s="47"/>
      <c r="C86" s="48" t="str">
        <f>IF(D86&lt;&gt;"","▪","")</f>
        <v>▪</v>
      </c>
      <c r="D86" s="500" t="s">
        <v>58</v>
      </c>
    </row>
    <row r="87" spans="1:4" ht="15" x14ac:dyDescent="0.25">
      <c r="A87" s="419"/>
      <c r="B87" s="478"/>
      <c r="C87" s="478"/>
      <c r="D87" s="503"/>
    </row>
    <row r="88" spans="1:4" ht="18.75" x14ac:dyDescent="0.3">
      <c r="A88" s="595" t="s">
        <v>59</v>
      </c>
      <c r="B88" s="596"/>
      <c r="C88" s="596"/>
      <c r="D88" s="597"/>
    </row>
    <row r="89" spans="1:4" ht="15" x14ac:dyDescent="0.25">
      <c r="A89" s="4"/>
      <c r="B89" s="47" t="s">
        <v>2</v>
      </c>
      <c r="C89" s="47"/>
      <c r="D89" s="500"/>
    </row>
    <row r="90" spans="1:4" ht="15" x14ac:dyDescent="0.25">
      <c r="A90" s="4"/>
      <c r="B90" s="47"/>
      <c r="C90" s="48" t="str">
        <f>IF(D90&lt;&gt;"","▪","")</f>
        <v>▪</v>
      </c>
      <c r="D90" s="500" t="s">
        <v>60</v>
      </c>
    </row>
    <row r="91" spans="1:4" ht="15" x14ac:dyDescent="0.25">
      <c r="A91" s="4"/>
      <c r="B91" s="47" t="s">
        <v>40</v>
      </c>
      <c r="C91" s="47"/>
      <c r="D91" s="500"/>
    </row>
    <row r="92" spans="1:4" ht="15" x14ac:dyDescent="0.25">
      <c r="A92" s="4"/>
      <c r="B92" s="47"/>
      <c r="C92" s="48" t="str">
        <f>IF(D92&lt;&gt;"","▪","")</f>
        <v>▪</v>
      </c>
      <c r="D92" s="500" t="s">
        <v>61</v>
      </c>
    </row>
    <row r="93" spans="1:4" ht="38.25" x14ac:dyDescent="0.25">
      <c r="A93" s="4"/>
      <c r="B93" s="47"/>
      <c r="C93" s="48" t="str">
        <f>IF(D93&lt;&gt;"","▪","")</f>
        <v>▪</v>
      </c>
      <c r="D93" s="500" t="s">
        <v>62</v>
      </c>
    </row>
    <row r="94" spans="1:4" ht="25.5" x14ac:dyDescent="0.25">
      <c r="A94" s="4"/>
      <c r="B94" s="47"/>
      <c r="C94" s="48" t="str">
        <f>IF(D94&lt;&gt;"","▪","")</f>
        <v>▪</v>
      </c>
      <c r="D94" s="500" t="s">
        <v>63</v>
      </c>
    </row>
    <row r="95" spans="1:4" ht="15" x14ac:dyDescent="0.25">
      <c r="A95" s="4"/>
      <c r="B95" s="47" t="s">
        <v>23</v>
      </c>
      <c r="C95" s="47"/>
      <c r="D95" s="500"/>
    </row>
    <row r="96" spans="1:4" ht="15" x14ac:dyDescent="0.25">
      <c r="A96" s="4"/>
      <c r="B96" s="47"/>
      <c r="C96" s="48" t="str">
        <f>IF(D96&lt;&gt;"","▪","")</f>
        <v>▪</v>
      </c>
      <c r="D96" s="500" t="s">
        <v>64</v>
      </c>
    </row>
    <row r="97" spans="1:4" ht="15" x14ac:dyDescent="0.25">
      <c r="A97" s="4"/>
      <c r="B97" s="47" t="s">
        <v>11</v>
      </c>
      <c r="C97" s="47"/>
      <c r="D97" s="500"/>
    </row>
    <row r="98" spans="1:4" ht="15" x14ac:dyDescent="0.25">
      <c r="A98" s="4"/>
      <c r="B98" s="47"/>
      <c r="C98" s="48" t="str">
        <f>IF(D98&lt;&gt;"","▪","")</f>
        <v>▪</v>
      </c>
      <c r="D98" s="500" t="s">
        <v>65</v>
      </c>
    </row>
    <row r="99" spans="1:4" ht="15" x14ac:dyDescent="0.25">
      <c r="A99" s="415"/>
      <c r="B99" s="47" t="s">
        <v>49</v>
      </c>
      <c r="C99" s="47"/>
      <c r="D99" s="500"/>
    </row>
    <row r="100" spans="1:4" ht="25.5" x14ac:dyDescent="0.25">
      <c r="A100" s="415"/>
      <c r="B100" s="47"/>
      <c r="C100" s="48" t="str">
        <f>IF(D100&lt;&gt;"","▪","")</f>
        <v>▪</v>
      </c>
      <c r="D100" s="500" t="s">
        <v>66</v>
      </c>
    </row>
    <row r="101" spans="1:4" ht="15" x14ac:dyDescent="0.25">
      <c r="A101" s="415"/>
      <c r="B101" s="47"/>
      <c r="C101" s="48" t="str">
        <f>IF(D101&lt;&gt;"","▪","")</f>
        <v>▪</v>
      </c>
      <c r="D101" s="500" t="s">
        <v>67</v>
      </c>
    </row>
    <row r="102" spans="1:4" ht="15" x14ac:dyDescent="0.25">
      <c r="A102" s="415"/>
      <c r="B102" s="47" t="s">
        <v>20</v>
      </c>
      <c r="C102" s="47"/>
      <c r="D102" s="500"/>
    </row>
    <row r="103" spans="1:4" ht="15" x14ac:dyDescent="0.25">
      <c r="A103" s="415"/>
      <c r="B103" s="47"/>
      <c r="C103" s="48" t="str">
        <f>IF(D103&lt;&gt;"","▪","")</f>
        <v>▪</v>
      </c>
      <c r="D103" s="500" t="s">
        <v>68</v>
      </c>
    </row>
    <row r="104" spans="1:4" ht="15" x14ac:dyDescent="0.25">
      <c r="A104" s="4"/>
      <c r="B104" s="47" t="s">
        <v>54</v>
      </c>
      <c r="C104" s="47"/>
      <c r="D104" s="500"/>
    </row>
    <row r="105" spans="1:4" ht="15" x14ac:dyDescent="0.25">
      <c r="A105" s="4"/>
      <c r="B105" s="47"/>
      <c r="C105" s="48" t="str">
        <f>IF(D105&lt;&gt;"","▪","")</f>
        <v>▪</v>
      </c>
      <c r="D105" s="500" t="s">
        <v>69</v>
      </c>
    </row>
    <row r="106" spans="1:4" ht="15" x14ac:dyDescent="0.25">
      <c r="A106" s="4"/>
      <c r="B106" s="47"/>
      <c r="C106" s="48" t="str">
        <f>IF(D106&lt;&gt;"","▪","")</f>
        <v>▪</v>
      </c>
      <c r="D106" s="500" t="s">
        <v>70</v>
      </c>
    </row>
    <row r="107" spans="1:4" ht="15" x14ac:dyDescent="0.25">
      <c r="A107" s="4"/>
      <c r="B107" s="47" t="s">
        <v>71</v>
      </c>
      <c r="C107" s="47"/>
      <c r="D107" s="500"/>
    </row>
    <row r="108" spans="1:4" ht="15" x14ac:dyDescent="0.25">
      <c r="A108" s="4"/>
      <c r="B108" s="47"/>
      <c r="C108" s="48" t="str">
        <f>IF(D108&lt;&gt;"","▪","")</f>
        <v>▪</v>
      </c>
      <c r="D108" s="500" t="s">
        <v>72</v>
      </c>
    </row>
    <row r="109" spans="1:4" ht="15" x14ac:dyDescent="0.25">
      <c r="A109" s="4"/>
      <c r="B109" s="47"/>
      <c r="C109" s="48" t="str">
        <f>IF(D109&lt;&gt;"","▪","")</f>
        <v>▪</v>
      </c>
      <c r="D109" s="500" t="s">
        <v>73</v>
      </c>
    </row>
    <row r="110" spans="1:4" ht="15" x14ac:dyDescent="0.25">
      <c r="A110" s="4"/>
      <c r="B110" s="47"/>
      <c r="C110" s="48" t="str">
        <f>IF(D110&lt;&gt;"","▪","")</f>
        <v>▪</v>
      </c>
      <c r="D110" s="500" t="s">
        <v>74</v>
      </c>
    </row>
    <row r="111" spans="1:4" ht="15" x14ac:dyDescent="0.25">
      <c r="A111" s="4"/>
      <c r="B111" s="47" t="s">
        <v>17</v>
      </c>
      <c r="C111" s="47"/>
      <c r="D111" s="500"/>
    </row>
    <row r="112" spans="1:4" ht="15" x14ac:dyDescent="0.25">
      <c r="A112" s="4"/>
      <c r="B112" s="47"/>
      <c r="C112" s="48" t="str">
        <f>IF(D112&lt;&gt;"","▪","")</f>
        <v>▪</v>
      </c>
      <c r="D112" s="500" t="s">
        <v>75</v>
      </c>
    </row>
    <row r="113" spans="1:4" ht="15" x14ac:dyDescent="0.25">
      <c r="A113" s="4"/>
      <c r="B113" s="47" t="s">
        <v>76</v>
      </c>
      <c r="C113" s="47"/>
      <c r="D113" s="500"/>
    </row>
    <row r="114" spans="1:4" ht="15" x14ac:dyDescent="0.25">
      <c r="A114" s="4"/>
      <c r="B114" s="47"/>
      <c r="C114" s="48" t="str">
        <f>IF(D114&lt;&gt;"","▪","")</f>
        <v>▪</v>
      </c>
      <c r="D114" s="500" t="s">
        <v>77</v>
      </c>
    </row>
    <row r="115" spans="1:4" ht="15" x14ac:dyDescent="0.25">
      <c r="A115" s="4"/>
      <c r="B115" s="47" t="s">
        <v>78</v>
      </c>
      <c r="C115" s="47"/>
      <c r="D115" s="500"/>
    </row>
    <row r="116" spans="1:4" ht="15" x14ac:dyDescent="0.25">
      <c r="A116" s="4"/>
      <c r="B116" s="47"/>
      <c r="C116" s="48" t="str">
        <f>IF(D116&lt;&gt;"","▪","")</f>
        <v>▪</v>
      </c>
      <c r="D116" s="500" t="s">
        <v>79</v>
      </c>
    </row>
    <row r="117" spans="1:4" ht="15" x14ac:dyDescent="0.25">
      <c r="A117" s="419"/>
      <c r="B117" s="478"/>
      <c r="C117" s="478"/>
      <c r="D117" s="503"/>
    </row>
    <row r="118" spans="1:4" ht="18.75" x14ac:dyDescent="0.3">
      <c r="A118" s="595" t="s">
        <v>80</v>
      </c>
      <c r="B118" s="596"/>
      <c r="C118" s="596"/>
      <c r="D118" s="597"/>
    </row>
    <row r="119" spans="1:4" ht="15" x14ac:dyDescent="0.25">
      <c r="A119" s="4"/>
      <c r="B119" s="47" t="s">
        <v>40</v>
      </c>
      <c r="C119" s="47"/>
      <c r="D119" s="500"/>
    </row>
    <row r="120" spans="1:4" ht="25.5" x14ac:dyDescent="0.25">
      <c r="A120" s="4"/>
      <c r="B120" s="47"/>
      <c r="C120" s="48" t="str">
        <f>IF(D120&lt;&gt;"","▪","")</f>
        <v>▪</v>
      </c>
      <c r="D120" s="500" t="s">
        <v>81</v>
      </c>
    </row>
    <row r="121" spans="1:4" ht="15" x14ac:dyDescent="0.25">
      <c r="A121" s="4"/>
      <c r="B121" s="47" t="s">
        <v>11</v>
      </c>
      <c r="C121" s="47"/>
      <c r="D121" s="500"/>
    </row>
    <row r="122" spans="1:4" ht="15" x14ac:dyDescent="0.25">
      <c r="A122" s="4"/>
      <c r="B122" s="47"/>
      <c r="C122" s="48" t="str">
        <f>IF(D122&lt;&gt;"","▪","")</f>
        <v>▪</v>
      </c>
      <c r="D122" s="500" t="s">
        <v>82</v>
      </c>
    </row>
    <row r="123" spans="1:4" ht="15" x14ac:dyDescent="0.25">
      <c r="A123" s="4"/>
      <c r="B123" s="47" t="s">
        <v>23</v>
      </c>
      <c r="C123" s="47"/>
      <c r="D123" s="500"/>
    </row>
    <row r="124" spans="1:4" ht="15" x14ac:dyDescent="0.25">
      <c r="A124" s="4"/>
      <c r="B124" s="47"/>
      <c r="C124" s="48" t="str">
        <f>IF(D124&lt;&gt;"","▪","")</f>
        <v>▪</v>
      </c>
      <c r="D124" s="500" t="s">
        <v>83</v>
      </c>
    </row>
    <row r="125" spans="1:4" ht="15" x14ac:dyDescent="0.25">
      <c r="A125" s="419"/>
      <c r="B125" s="478"/>
      <c r="C125" s="478"/>
      <c r="D125" s="503"/>
    </row>
    <row r="126" spans="1:4" ht="18.75" x14ac:dyDescent="0.3">
      <c r="A126" s="595" t="s">
        <v>933</v>
      </c>
      <c r="B126" s="596"/>
      <c r="C126" s="596"/>
      <c r="D126" s="597"/>
    </row>
    <row r="127" spans="1:4" ht="15" x14ac:dyDescent="0.25">
      <c r="A127" s="4"/>
      <c r="B127" s="47" t="s">
        <v>2</v>
      </c>
      <c r="C127" s="47"/>
      <c r="D127" s="500"/>
    </row>
    <row r="128" spans="1:4" ht="15" x14ac:dyDescent="0.25">
      <c r="A128" s="4"/>
      <c r="B128" s="47"/>
      <c r="C128" s="48" t="str">
        <f>IF(D128&lt;&gt;"","▪","")</f>
        <v>▪</v>
      </c>
      <c r="D128" s="500" t="s">
        <v>934</v>
      </c>
    </row>
    <row r="129" spans="1:4" ht="15" x14ac:dyDescent="0.25">
      <c r="A129" s="419"/>
      <c r="B129" s="478"/>
      <c r="C129" s="478"/>
      <c r="D129" s="503"/>
    </row>
    <row r="130" spans="1:4" ht="18.75" x14ac:dyDescent="0.3">
      <c r="A130" s="595" t="s">
        <v>936</v>
      </c>
      <c r="B130" s="596"/>
      <c r="C130" s="596"/>
      <c r="D130" s="597"/>
    </row>
    <row r="131" spans="1:4" ht="15" x14ac:dyDescent="0.25">
      <c r="A131" s="4"/>
      <c r="B131" s="47" t="s">
        <v>40</v>
      </c>
      <c r="C131" s="47"/>
      <c r="D131" s="500"/>
    </row>
    <row r="132" spans="1:4" ht="15" x14ac:dyDescent="0.25">
      <c r="A132" s="4"/>
      <c r="B132" s="47"/>
      <c r="C132" s="48" t="str">
        <f>IF(D132&lt;&gt;"","▪","")</f>
        <v>▪</v>
      </c>
      <c r="D132" s="500" t="s">
        <v>938</v>
      </c>
    </row>
    <row r="133" spans="1:4" ht="15" x14ac:dyDescent="0.25">
      <c r="A133" s="4"/>
      <c r="B133" s="47"/>
      <c r="C133" s="48" t="str">
        <f>IF(D133&lt;&gt;"","▪","")</f>
        <v>▪</v>
      </c>
      <c r="D133" s="500" t="s">
        <v>941</v>
      </c>
    </row>
    <row r="134" spans="1:4" ht="15" x14ac:dyDescent="0.25">
      <c r="A134" s="4"/>
      <c r="B134" s="47" t="s">
        <v>71</v>
      </c>
      <c r="C134" s="47"/>
      <c r="D134" s="500"/>
    </row>
    <row r="135" spans="1:4" ht="15" x14ac:dyDescent="0.25">
      <c r="A135" s="415"/>
      <c r="B135" s="47"/>
      <c r="C135" s="48" t="str">
        <f>IF(D135&lt;&gt;"","▪","")</f>
        <v>▪</v>
      </c>
      <c r="D135" s="500" t="s">
        <v>939</v>
      </c>
    </row>
    <row r="136" spans="1:4" ht="15" x14ac:dyDescent="0.25">
      <c r="A136" s="4"/>
      <c r="B136" s="47" t="s">
        <v>17</v>
      </c>
      <c r="C136" s="47"/>
      <c r="D136" s="500"/>
    </row>
    <row r="137" spans="1:4" ht="15" x14ac:dyDescent="0.2">
      <c r="A137" s="415"/>
      <c r="C137" s="48" t="str">
        <f>IF(D137&lt;&gt;"","▪","")</f>
        <v>▪</v>
      </c>
      <c r="D137" s="500" t="s">
        <v>937</v>
      </c>
    </row>
    <row r="138" spans="1:4" ht="15" x14ac:dyDescent="0.25">
      <c r="A138" s="419"/>
      <c r="B138" s="478"/>
      <c r="C138" s="478"/>
      <c r="D138" s="503"/>
    </row>
  </sheetData>
  <sheetProtection algorithmName="SHA-512" hashValue="bmK5LF7bhmt78iwWMTX8NQUkeTsIor1XDUUpIVw+WWduEVa2J/kkAuW1lSjsesyiWNuuhTaw0vVYwbLscDWP6A==" saltValue="z5m3sskQB1kz5NLepa+1rw==" spinCount="100000" sheet="1" objects="1" scenarios="1" autoFilter="0"/>
  <phoneticPr fontId="38" type="noConversion"/>
  <pageMargins left="0.78740157480314998" right="0.78740157480314998" top="0.78740157480314998" bottom="0.78740157480314998" header="5.7086614173228396" footer="0.59055118110236204"/>
  <pageSetup paperSize="9" firstPageNumber="0" orientation="portrait" horizontalDpi="300" verticalDpi="300" r:id="rId1"/>
  <headerFooter alignWithMargins="0">
    <oddHeader>&amp;L_</oddHeader>
    <oddFooter>&amp;LPMv3.11&amp;R&amp;P /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5"/>
  <dimension ref="A1:O25"/>
  <sheetViews>
    <sheetView showGridLines="0" tabSelected="1" zoomScale="80" zoomScaleNormal="80" zoomScaleSheetLayoutView="85" workbookViewId="0"/>
  </sheetViews>
  <sheetFormatPr defaultRowHeight="12.75" x14ac:dyDescent="0.2"/>
  <cols>
    <col min="1" max="1" width="2.85546875" customWidth="1"/>
    <col min="2" max="2" width="5.5703125" customWidth="1"/>
    <col min="3" max="3" width="38.5703125" customWidth="1"/>
    <col min="4" max="4" width="5.5703125" customWidth="1"/>
    <col min="5" max="5" width="38.5703125" customWidth="1"/>
    <col min="6" max="6" width="5.5703125" customWidth="1"/>
    <col min="7" max="7" width="38.5703125" customWidth="1"/>
    <col min="8" max="8" width="5.5703125" customWidth="1"/>
    <col min="9" max="9" width="2.85546875" customWidth="1"/>
    <col min="10" max="10" width="19" customWidth="1"/>
    <col min="11" max="11" width="3" customWidth="1"/>
    <col min="13" max="13" width="1.5703125" customWidth="1"/>
    <col min="14" max="14" width="38.85546875" customWidth="1"/>
  </cols>
  <sheetData>
    <row r="1" spans="1:15" ht="15" customHeight="1" x14ac:dyDescent="0.2">
      <c r="A1" s="405"/>
      <c r="B1" s="405"/>
      <c r="C1" s="405"/>
      <c r="D1" s="405"/>
      <c r="E1" s="405"/>
      <c r="F1" s="405"/>
      <c r="G1" s="405"/>
      <c r="H1" s="405"/>
      <c r="I1" s="405"/>
      <c r="J1" s="492" t="s">
        <v>84</v>
      </c>
      <c r="K1" s="511" t="b">
        <v>1</v>
      </c>
    </row>
    <row r="2" spans="1:15" ht="22.5" customHeight="1" x14ac:dyDescent="0.2">
      <c r="A2" s="405"/>
      <c r="B2" s="407"/>
      <c r="C2" s="407"/>
      <c r="D2" s="407"/>
      <c r="E2" s="667" t="str">
        <f>CHOOSE(MATCH(Objeto,{"PM","PO"}),"PLANILHA MÚLTIPLA ","PLANILHA ORÇAMENTÁRIA ")&amp; Versao</f>
        <v>PLANILHA MÚLTIPLA v3.11</v>
      </c>
      <c r="F2" s="667"/>
      <c r="G2" s="667"/>
      <c r="H2" s="409"/>
      <c r="I2" s="407"/>
      <c r="J2" s="492" t="s">
        <v>935</v>
      </c>
      <c r="K2" s="511" t="b">
        <v>1</v>
      </c>
    </row>
    <row r="3" spans="1:15" ht="22.5" customHeight="1" x14ac:dyDescent="0.2">
      <c r="A3" s="405"/>
      <c r="B3" s="407"/>
      <c r="C3" s="407"/>
      <c r="D3" s="407"/>
      <c r="E3" s="667"/>
      <c r="F3" s="667"/>
      <c r="G3" s="667"/>
      <c r="H3" s="409"/>
      <c r="I3" s="407"/>
      <c r="O3" s="599">
        <v>1</v>
      </c>
    </row>
    <row r="4" spans="1:15" ht="17.100000000000001" customHeight="1" x14ac:dyDescent="0.2">
      <c r="A4" s="405"/>
      <c r="B4" s="407"/>
      <c r="C4" s="407"/>
      <c r="D4" s="407"/>
      <c r="E4" s="407"/>
      <c r="F4" s="408"/>
      <c r="G4" s="409"/>
      <c r="H4" s="409"/>
      <c r="I4" s="407"/>
      <c r="J4" s="152" t="str">
        <f>IF(VALUE(MENU!$O$4)=2,"BM","PLE")</f>
        <v>BM</v>
      </c>
      <c r="O4" s="599">
        <v>2</v>
      </c>
    </row>
    <row r="5" spans="1:15" ht="17.100000000000001" customHeight="1" thickBot="1" x14ac:dyDescent="0.25">
      <c r="A5" s="405"/>
      <c r="B5" s="407"/>
      <c r="C5" s="407"/>
      <c r="D5" s="407"/>
      <c r="E5" s="407"/>
      <c r="F5" s="408"/>
      <c r="G5" s="409"/>
      <c r="H5" s="409"/>
      <c r="I5" s="407"/>
      <c r="J5" s="152" t="s">
        <v>85</v>
      </c>
    </row>
    <row r="6" spans="1:15" ht="21" customHeight="1" thickBot="1" x14ac:dyDescent="0.25">
      <c r="A6" s="405"/>
      <c r="B6" s="405"/>
      <c r="C6" s="405"/>
      <c r="D6" s="405"/>
      <c r="E6" s="510" t="s">
        <v>86</v>
      </c>
      <c r="F6" s="406"/>
      <c r="G6" s="510" t="s">
        <v>87</v>
      </c>
      <c r="H6" s="405"/>
      <c r="I6" s="405"/>
      <c r="J6" s="152" t="s">
        <v>88</v>
      </c>
    </row>
    <row r="7" spans="1:15" x14ac:dyDescent="0.2">
      <c r="A7" s="405"/>
      <c r="B7" s="405"/>
      <c r="C7" s="405"/>
      <c r="D7" s="405"/>
      <c r="E7" s="405"/>
      <c r="F7" s="405"/>
      <c r="G7" s="405"/>
      <c r="H7" s="405"/>
      <c r="I7" s="405"/>
      <c r="J7" s="152" t="s">
        <v>76</v>
      </c>
      <c r="K7" s="600"/>
      <c r="L7" s="601"/>
      <c r="M7" s="601"/>
      <c r="N7" s="602"/>
    </row>
    <row r="8" spans="1:15" ht="21" customHeight="1" x14ac:dyDescent="0.2">
      <c r="A8" s="407"/>
      <c r="B8" s="666" t="str">
        <f>IF($O$3&lt;&gt;2,"DOCUMENTAÇÃO DA PROPOSTA","PROPOSTA: Para visualizar/preencher esta seção, altere o TIPO DE ORÇAMENTO para 'Proposto'")</f>
        <v>DOCUMENTAÇÃO DA PROPOSTA</v>
      </c>
      <c r="C8" s="666"/>
      <c r="D8" s="666"/>
      <c r="E8" s="666"/>
      <c r="F8" s="666"/>
      <c r="G8" s="666"/>
      <c r="H8" s="666"/>
      <c r="I8" s="405"/>
      <c r="J8" s="152" t="s">
        <v>78</v>
      </c>
      <c r="K8" s="413"/>
      <c r="L8" s="414" t="s">
        <v>89</v>
      </c>
      <c r="M8" s="414"/>
      <c r="N8" s="415"/>
    </row>
    <row r="9" spans="1:15" ht="13.5" thickBot="1" x14ac:dyDescent="0.25">
      <c r="A9" s="405"/>
      <c r="B9" s="405"/>
      <c r="C9" s="405"/>
      <c r="D9" s="405"/>
      <c r="E9" s="405"/>
      <c r="F9" s="405"/>
      <c r="G9" s="405"/>
      <c r="H9" s="405"/>
      <c r="I9" s="405"/>
      <c r="K9" s="413"/>
      <c r="L9" t="s">
        <v>90</v>
      </c>
      <c r="N9" s="415"/>
    </row>
    <row r="10" spans="1:15" ht="21" customHeight="1" thickBot="1" x14ac:dyDescent="0.25">
      <c r="A10" s="405"/>
      <c r="B10" s="405"/>
      <c r="C10" s="479" t="str">
        <f>IF(TIPOORCAMENTO&lt;&gt;"Proposto","","                    BDI                    ")</f>
        <v xml:space="preserve">                    BDI                    </v>
      </c>
      <c r="D10" s="406"/>
      <c r="E10" s="479" t="str">
        <f>IF(TIPOORCAMENTO&lt;&gt;"Proposto","","             ORÇAMENTO             ")</f>
        <v xml:space="preserve">             ORÇAMENTO             </v>
      </c>
      <c r="F10" s="406"/>
      <c r="G10" s="481" t="str">
        <f>IF(TIPOORCAMENTO&lt;&gt;"Proposto","","MEMÓRIA DE CÁLCULO / PLQ")</f>
        <v>MEMÓRIA DE CÁLCULO / PLQ</v>
      </c>
      <c r="H10" s="405"/>
      <c r="I10" s="405"/>
      <c r="K10" s="413"/>
      <c r="L10" s="5"/>
      <c r="M10" s="3"/>
      <c r="N10" s="416" t="s">
        <v>91</v>
      </c>
    </row>
    <row r="11" spans="1:15" ht="13.5" thickBot="1" x14ac:dyDescent="0.25">
      <c r="A11" s="405"/>
      <c r="B11" s="405"/>
      <c r="C11" s="406"/>
      <c r="D11" s="406"/>
      <c r="E11" s="406"/>
      <c r="F11" s="406"/>
      <c r="G11" s="406"/>
      <c r="H11" s="405"/>
      <c r="I11" s="405"/>
      <c r="K11" s="413"/>
      <c r="N11" s="415"/>
    </row>
    <row r="12" spans="1:15" ht="21" customHeight="1" thickBot="1" x14ac:dyDescent="0.25">
      <c r="A12" s="405"/>
      <c r="B12" s="405"/>
      <c r="C12" s="479" t="str">
        <f>IF(TIPOORCAMENTO&lt;&gt;"Proposto","","                    QCI                    ")</f>
        <v xml:space="preserve">                    QCI                    </v>
      </c>
      <c r="D12" s="406"/>
      <c r="E12" s="480" t="str">
        <f>IF(TIPOORCAMENTO&lt;&gt;"Proposto","","CRONOGRAMA FÍSICO-FINANCEIRO")</f>
        <v>CRONOGRAMA FÍSICO-FINANCEIRO</v>
      </c>
      <c r="F12" s="406"/>
      <c r="G12" s="406"/>
      <c r="H12" s="405"/>
      <c r="I12" s="405"/>
      <c r="K12" s="413"/>
      <c r="L12" s="6"/>
      <c r="M12" s="3"/>
      <c r="N12" s="416" t="s">
        <v>92</v>
      </c>
    </row>
    <row r="13" spans="1:15" x14ac:dyDescent="0.2">
      <c r="A13" s="405"/>
      <c r="B13" s="405"/>
      <c r="C13" s="405"/>
      <c r="D13" s="405"/>
      <c r="E13" s="405"/>
      <c r="F13" s="405"/>
      <c r="G13" s="405"/>
      <c r="H13" s="405"/>
      <c r="I13" s="405"/>
      <c r="K13" s="413"/>
      <c r="N13" s="415"/>
    </row>
    <row r="14" spans="1:15" x14ac:dyDescent="0.2">
      <c r="A14" s="405"/>
      <c r="B14" s="405"/>
      <c r="C14" s="405" t="str">
        <f ca="1">IF(TIPOORCAMENTO&lt;&gt;"Proposto","","Obs: Composições e Cotações devem ser preenchidas diretamente no arquivo Referência "&amp;IF(ISBLANK(Import.DataBase),"mm-aaaa",TEXT(Import.DataBase,"mm-aaaa"))&amp;".xlsm.")</f>
        <v>Obs: Composições e Cotações devem ser preenchidas diretamente no arquivo Referência 12-2024.xlsm.</v>
      </c>
      <c r="D14" s="405"/>
      <c r="E14" s="405"/>
      <c r="F14" s="405"/>
      <c r="G14" s="405"/>
      <c r="H14" s="405"/>
      <c r="I14" s="405"/>
      <c r="K14" s="413"/>
      <c r="N14" s="415"/>
    </row>
    <row r="15" spans="1:15" x14ac:dyDescent="0.2">
      <c r="A15" s="405"/>
      <c r="B15" s="405"/>
      <c r="C15" s="405"/>
      <c r="D15" s="405"/>
      <c r="E15" s="405"/>
      <c r="F15" s="405"/>
      <c r="G15" s="405"/>
      <c r="H15" s="405"/>
      <c r="I15" s="405"/>
      <c r="K15" s="413"/>
      <c r="L15" t="s">
        <v>93</v>
      </c>
      <c r="N15" s="415"/>
    </row>
    <row r="16" spans="1:15" ht="21" customHeight="1" x14ac:dyDescent="0.2">
      <c r="A16" s="405"/>
      <c r="B16" s="666" t="str">
        <f>IF($O$3&lt;&gt;2,"PÓS-LICITADO: Para visualizar/preencher esta seção, altere o TIPO DE ORÇAMENTO para 'Licitado'","RESULTADO DO PROCESSO LICITATÓRIO")</f>
        <v>PÓS-LICITADO: Para visualizar/preencher esta seção, altere o TIPO DE ORÇAMENTO para 'Licitado'</v>
      </c>
      <c r="C16" s="666"/>
      <c r="D16" s="666"/>
      <c r="E16" s="666"/>
      <c r="F16" s="666"/>
      <c r="G16" s="666"/>
      <c r="H16" s="666"/>
      <c r="I16" s="405"/>
      <c r="K16" s="413"/>
      <c r="L16" s="482"/>
      <c r="M16" s="3"/>
      <c r="N16" s="416" t="s">
        <v>94</v>
      </c>
    </row>
    <row r="17" spans="1:14" ht="13.5" thickBot="1" x14ac:dyDescent="0.25">
      <c r="A17" s="405"/>
      <c r="B17" s="405"/>
      <c r="C17" s="405"/>
      <c r="D17" s="405"/>
      <c r="E17" s="405"/>
      <c r="F17" s="405"/>
      <c r="G17" s="405"/>
      <c r="H17" s="405"/>
      <c r="I17" s="405"/>
      <c r="K17" s="413"/>
      <c r="N17" s="415"/>
    </row>
    <row r="18" spans="1:14" ht="21" customHeight="1" thickBot="1" x14ac:dyDescent="0.25">
      <c r="A18" s="405"/>
      <c r="B18" s="405"/>
      <c r="C18" s="479" t="str">
        <f>IF(TIPOORCAMENTO&lt;&gt;"Licitado","","             ORÇAMENTO             ")</f>
        <v/>
      </c>
      <c r="D18" s="406"/>
      <c r="E18" s="479" t="str">
        <f>IF(TIPOORCAMENTO&lt;&gt;"Licitado","","                    QCI                    ")</f>
        <v/>
      </c>
      <c r="F18" s="406"/>
      <c r="G18" s="480" t="str">
        <f>IF(TIPOORCAMENTO&lt;&gt;"Licitado","","CRONOGRAMA FÍSICO-FINANCEIRO")</f>
        <v/>
      </c>
      <c r="H18" s="405"/>
      <c r="I18" s="405"/>
      <c r="K18" s="413"/>
      <c r="L18" s="410"/>
      <c r="M18" s="3"/>
      <c r="N18" s="416" t="s">
        <v>95</v>
      </c>
    </row>
    <row r="19" spans="1:14" x14ac:dyDescent="0.2">
      <c r="A19" s="405"/>
      <c r="B19" s="405"/>
      <c r="C19" s="405"/>
      <c r="D19" s="405"/>
      <c r="E19" s="405"/>
      <c r="F19" s="405"/>
      <c r="G19" s="405"/>
      <c r="H19" s="405"/>
      <c r="I19" s="405"/>
      <c r="K19" s="417"/>
      <c r="L19" s="418"/>
      <c r="M19" s="418"/>
      <c r="N19" s="419"/>
    </row>
    <row r="20" spans="1:14" ht="21" customHeight="1" x14ac:dyDescent="0.2">
      <c r="A20" s="407"/>
      <c r="B20" s="666" t="str">
        <f>IF($O$3&lt;&gt;2,"ACOMPANHAMENTO: Para visualizar/preencher esta seção, altere o TIPO DE ORÇAMENTO para 'Licitado'","ACOMPANHAMENTO DO EMPREENDIMENTO")</f>
        <v>ACOMPANHAMENTO: Para visualizar/preencher esta seção, altere o TIPO DE ORÇAMENTO para 'Licitado'</v>
      </c>
      <c r="C20" s="666"/>
      <c r="D20" s="666"/>
      <c r="E20" s="666"/>
      <c r="F20" s="666"/>
      <c r="G20" s="666"/>
      <c r="H20" s="666"/>
      <c r="I20" s="405"/>
    </row>
    <row r="21" spans="1:14" ht="13.5" thickBot="1" x14ac:dyDescent="0.25">
      <c r="A21" s="405"/>
      <c r="B21" s="405"/>
      <c r="C21" s="405"/>
      <c r="D21" s="405"/>
      <c r="E21" s="405"/>
      <c r="F21" s="405"/>
      <c r="G21" s="405"/>
      <c r="H21" s="405"/>
      <c r="I21" s="405"/>
    </row>
    <row r="22" spans="1:14" ht="21" customHeight="1" thickBot="1" x14ac:dyDescent="0.25">
      <c r="A22" s="405"/>
      <c r="B22" s="405"/>
      <c r="C22" s="483" t="str" cm="1">
        <f t="array" ref="C22">IF(OR(_xlfn.SINGLE(TIPOORCAMENTO)&lt;&gt;"Licitado",ACOMPANHAMENTO&lt;&gt;"PLE"),"","PLAN. DE LEVANT. DE EVENTOS - PLE")</f>
        <v/>
      </c>
      <c r="D22" s="406"/>
      <c r="E22" s="479" t="str">
        <f>IF(TIPOORCAMENTO&lt;&gt;"Licitado","","                    RRE                    ")</f>
        <v/>
      </c>
      <c r="F22" s="406"/>
      <c r="G22" s="481" t="str" cm="1">
        <f t="array" ref="G22">IF(OR(_xlfn.SINGLE(TIPOORCAMENTO)&lt;&gt;"Licitado",ACOMPANHAMENTO&lt;&gt;"BM"),"","  BOLETIM DE MEDIÇÃO - BM  ")</f>
        <v/>
      </c>
      <c r="H22" s="405"/>
      <c r="I22" s="405"/>
    </row>
    <row r="23" spans="1:14" ht="13.5" thickBot="1" x14ac:dyDescent="0.25">
      <c r="A23" s="405"/>
      <c r="B23" s="405"/>
      <c r="C23" s="406"/>
      <c r="D23" s="406"/>
      <c r="E23" s="406"/>
      <c r="F23" s="406"/>
      <c r="G23" s="406"/>
      <c r="H23" s="405"/>
      <c r="I23" s="405"/>
    </row>
    <row r="24" spans="1:14" ht="21" customHeight="1" thickBot="1" x14ac:dyDescent="0.25">
      <c r="A24" s="405"/>
      <c r="B24" s="405"/>
      <c r="C24" s="406"/>
      <c r="D24" s="406"/>
      <c r="E24" s="483" t="str">
        <f>IF(TIPOORCAMENTO&lt;&gt;"Licitado","","OF. DE SOLICITAÇÃO DE DESBLOQUEIO")</f>
        <v/>
      </c>
      <c r="F24" s="406"/>
      <c r="G24" s="406"/>
      <c r="H24" s="405"/>
      <c r="I24" s="405"/>
    </row>
    <row r="25" spans="1:14" x14ac:dyDescent="0.2">
      <c r="A25" s="405"/>
      <c r="B25" s="405"/>
      <c r="C25" s="405"/>
      <c r="D25" s="405"/>
      <c r="E25" s="405"/>
      <c r="F25" s="405"/>
      <c r="G25" s="405"/>
      <c r="H25" s="405"/>
      <c r="I25" s="405"/>
    </row>
  </sheetData>
  <sheetProtection algorithmName="SHA-512" hashValue="X63U2brXH+EcRYrJBAjTb5ze4p5PVCAhyEK84KHM8bchmHZT9a4sHvHxH7VP98S4F61DFvi9cRkhLiGGM+3T2A==" saltValue="ZzXOw745WuwFmJP53uW0tg==" spinCount="100000" sheet="1" objects="1" scenarios="1" autoFilter="0"/>
  <mergeCells count="4">
    <mergeCell ref="B20:H20"/>
    <mergeCell ref="B8:H8"/>
    <mergeCell ref="E2:G3"/>
    <mergeCell ref="B16:H16"/>
  </mergeCells>
  <phoneticPr fontId="38" type="noConversion"/>
  <conditionalFormatting sqref="C10:G14">
    <cfRule type="expression" dxfId="1093" priority="70" stopIfTrue="1">
      <formula>TIPOORCAMENTO="Licitado"</formula>
    </cfRule>
  </conditionalFormatting>
  <conditionalFormatting sqref="C18:G18 E22:E24">
    <cfRule type="expression" dxfId="1092" priority="71" stopIfTrue="1">
      <formula>TIPOORCAMENTO&lt;&gt;"Licitado"</formula>
    </cfRule>
  </conditionalFormatting>
  <conditionalFormatting sqref="C22">
    <cfRule type="expression" dxfId="1091" priority="73" stopIfTrue="1">
      <formula>OR(TIPOORCAMENTO&lt;&gt;"Licitado",ACOMPANHAMENTO&lt;&gt;"PLE")</formula>
    </cfRule>
  </conditionalFormatting>
  <conditionalFormatting sqref="G22">
    <cfRule type="expression" dxfId="1090" priority="74" stopIfTrue="1">
      <formula>OR(TIPOORCAMENTO&lt;&gt;"Licitado",ACOMPANHAMENTO&lt;&gt;"BM")</formula>
    </cfRule>
  </conditionalFormatting>
  <conditionalFormatting sqref="B16:H16 B20:H20">
    <cfRule type="expression" dxfId="1089" priority="599" stopIfTrue="1">
      <formula>$O$3&lt;&gt;2</formula>
    </cfRule>
  </conditionalFormatting>
  <conditionalFormatting sqref="B8:H8">
    <cfRule type="expression" dxfId="1088" priority="601" stopIfTrue="1">
      <formula>$O$3&lt;&gt;1</formula>
    </cfRule>
  </conditionalFormatting>
  <hyperlinks>
    <hyperlink ref="E6" location="DADOS!E3" display="DADOS DO CONTRATO" xr:uid="{00000000-0004-0000-0000-000000000000}"/>
    <hyperlink ref="G6" location="Novo!A1" display="NOVIDADES DA VERSÃO" xr:uid="{00000000-0004-0000-0000-000001000000}"/>
    <hyperlink ref="C10" location="BDI!Q11" display="BDI!Q11" xr:uid="{00000000-0004-0000-0000-000002000000}"/>
    <hyperlink ref="E10" location="ORÇAMENTO!M13" display="ORÇAMENTO" xr:uid="{00000000-0004-0000-0000-000003000000}"/>
    <hyperlink ref="G10" location="CÁLCULO!D13" display="MEMÓRIA DE CÁLCULO / PLQ" xr:uid="{00000000-0004-0000-0000-000004000000}"/>
    <hyperlink ref="E12" location="CRONO!G12" display="CRONOGRAMA FÍSICO-FINANCEIRO" xr:uid="{00000000-0004-0000-0000-000005000000}"/>
    <hyperlink ref="C18" location="ORÇAMENTO!AM15" display="             ORÇAMENTO             " xr:uid="{00000000-0004-0000-0000-000006000000}"/>
    <hyperlink ref="E18" location="QCI!D13" display="                    QCI                    " xr:uid="{00000000-0004-0000-0000-000007000000}"/>
    <hyperlink ref="G18" location="CRONO!G12" display="CRONOGRAMA FÍSICO-FINANCEIRO" xr:uid="{00000000-0004-0000-0000-000008000000}"/>
    <hyperlink ref="E22" location="RRE!E13" display="                    RRE                    " xr:uid="{00000000-0004-0000-0000-00000A000000}"/>
    <hyperlink ref="G22" location="BM!D13" display="BM!D13" xr:uid="{00000000-0004-0000-0000-00000B000000}"/>
    <hyperlink ref="E24" location="Ofício!C6" display="OF. DE SOLICITAÇÃO DE DESBLOQUEIO" xr:uid="{00000000-0004-0000-0000-00000C000000}"/>
    <hyperlink ref="C12" location="QCI!D13" display="QCI!D13" xr:uid="{00000000-0004-0000-0000-00000D000000}"/>
    <hyperlink ref="C22" location="PLE!J8" display="PLAN. DE LEVANT. DE EVENTOS - PLE" xr:uid="{00000000-0004-0000-0000-000009000000}"/>
  </hyperlinks>
  <pageMargins left="0.78740157480314998" right="0.78740157480314998" top="0.78740157480314998" bottom="0.78740157480314998" header="5.7086614173228396" footer="0.59055118110236204"/>
  <pageSetup paperSize="9" scale="58" firstPageNumber="0" orientation="portrait" horizontalDpi="300" verticalDpi="300" r:id="rId1"/>
  <headerFooter alignWithMargins="0">
    <oddHeader>&amp;L_</oddHeader>
    <oddFooter>&amp;LPMv3.11&amp;R&amp;P / &amp;N</oddFooter>
  </headerFooter>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5384" r:id="rId4" name="Group Box 24">
              <controlPr defaultSize="0" autoFill="0" autoPict="0">
                <anchor moveWithCells="1" sizeWithCells="1">
                  <from>
                    <xdr:col>2</xdr:col>
                    <xdr:colOff>1362075</xdr:colOff>
                    <xdr:row>4</xdr:row>
                    <xdr:rowOff>0</xdr:rowOff>
                  </from>
                  <to>
                    <xdr:col>3</xdr:col>
                    <xdr:colOff>19050</xdr:colOff>
                    <xdr:row>6</xdr:row>
                    <xdr:rowOff>9525</xdr:rowOff>
                  </to>
                </anchor>
              </controlPr>
            </control>
          </mc:Choice>
        </mc:AlternateContent>
        <mc:AlternateContent xmlns:mc="http://schemas.openxmlformats.org/markup-compatibility/2006">
          <mc:Choice Requires="x14">
            <control shapeId="15454" r:id="rId5" name="Drop Down 94">
              <controlPr defaultSize="0" autoLine="0" autoPict="0" macro="[0]!Exibir_Ocultar_Abas">
                <anchor moveWithCells="1" sizeWithCells="1">
                  <from>
                    <xdr:col>2</xdr:col>
                    <xdr:colOff>1485900</xdr:colOff>
                    <xdr:row>4</xdr:row>
                    <xdr:rowOff>161925</xdr:rowOff>
                  </from>
                  <to>
                    <xdr:col>2</xdr:col>
                    <xdr:colOff>2419350</xdr:colOff>
                    <xdr:row>5</xdr:row>
                    <xdr:rowOff>161925</xdr:rowOff>
                  </to>
                </anchor>
              </controlPr>
            </control>
          </mc:Choice>
        </mc:AlternateContent>
        <mc:AlternateContent xmlns:mc="http://schemas.openxmlformats.org/markup-compatibility/2006">
          <mc:Choice Requires="x14">
            <control shapeId="15377" r:id="rId6" name="Group Box 17">
              <controlPr defaultSize="0" autoFill="0" autoPict="0" altText="Tipo de Orçamento          ">
                <anchor moveWithCells="1" sizeWithCells="1">
                  <from>
                    <xdr:col>2</xdr:col>
                    <xdr:colOff>9525</xdr:colOff>
                    <xdr:row>4</xdr:row>
                    <xdr:rowOff>0</xdr:rowOff>
                  </from>
                  <to>
                    <xdr:col>2</xdr:col>
                    <xdr:colOff>1266825</xdr:colOff>
                    <xdr:row>6</xdr:row>
                    <xdr:rowOff>9525</xdr:rowOff>
                  </to>
                </anchor>
              </controlPr>
            </control>
          </mc:Choice>
        </mc:AlternateContent>
        <mc:AlternateContent xmlns:mc="http://schemas.openxmlformats.org/markup-compatibility/2006">
          <mc:Choice Requires="x14">
            <control shapeId="15453" r:id="rId7" name="Drop Down 93">
              <controlPr defaultSize="0" autoLine="0" autoPict="0" macro="[0]!Exibir_Ocultar_Abas">
                <anchor moveWithCells="1" sizeWithCells="1">
                  <from>
                    <xdr:col>2</xdr:col>
                    <xdr:colOff>133350</xdr:colOff>
                    <xdr:row>4</xdr:row>
                    <xdr:rowOff>161925</xdr:rowOff>
                  </from>
                  <to>
                    <xdr:col>2</xdr:col>
                    <xdr:colOff>1114425</xdr:colOff>
                    <xdr:row>5</xdr:row>
                    <xdr:rowOff>161925</xdr:rowOff>
                  </to>
                </anchor>
              </controlPr>
            </control>
          </mc:Choice>
        </mc:AlternateContent>
        <mc:AlternateContent xmlns:mc="http://schemas.openxmlformats.org/markup-compatibility/2006">
          <mc:Choice Requires="x14">
            <control shapeId="15455" r:id="rId8" name="Check Box 95">
              <controlPr defaultSize="0" autoFill="0" autoLine="0" autoPict="0">
                <anchor moveWithCells="1">
                  <from>
                    <xdr:col>10</xdr:col>
                    <xdr:colOff>38100</xdr:colOff>
                    <xdr:row>0</xdr:row>
                    <xdr:rowOff>47625</xdr:rowOff>
                  </from>
                  <to>
                    <xdr:col>13</xdr:col>
                    <xdr:colOff>2371725</xdr:colOff>
                    <xdr:row>1</xdr:row>
                    <xdr:rowOff>28575</xdr:rowOff>
                  </to>
                </anchor>
              </controlPr>
            </control>
          </mc:Choice>
        </mc:AlternateContent>
        <mc:AlternateContent xmlns:mc="http://schemas.openxmlformats.org/markup-compatibility/2006">
          <mc:Choice Requires="x14">
            <control shapeId="15456" r:id="rId9" name="Check Box 96">
              <controlPr defaultSize="0" autoFill="0" autoLine="0" autoPict="0">
                <anchor moveWithCells="1">
                  <from>
                    <xdr:col>10</xdr:col>
                    <xdr:colOff>38100</xdr:colOff>
                    <xdr:row>1</xdr:row>
                    <xdr:rowOff>66675</xdr:rowOff>
                  </from>
                  <to>
                    <xdr:col>13</xdr:col>
                    <xdr:colOff>2390775</xdr:colOff>
                    <xdr:row>1</xdr:row>
                    <xdr:rowOff>228600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2">
    <pageSetUpPr fitToPage="1"/>
  </sheetPr>
  <dimension ref="B1:AR222"/>
  <sheetViews>
    <sheetView showGridLines="0" zoomScaleNormal="100" workbookViewId="0">
      <pane ySplit="2" topLeftCell="A3" activePane="bottomLeft" state="frozen"/>
      <selection pane="bottomLeft" activeCell="C8" sqref="C8"/>
    </sheetView>
  </sheetViews>
  <sheetFormatPr defaultRowHeight="12.75" x14ac:dyDescent="0.2"/>
  <cols>
    <col min="1" max="1" width="10.5703125" customWidth="1"/>
    <col min="2" max="2" width="42.5703125" style="3" customWidth="1"/>
    <col min="3" max="3" width="53.42578125" style="3" customWidth="1"/>
    <col min="4" max="4" width="80.5703125" customWidth="1"/>
    <col min="5" max="6" width="9.140625" customWidth="1"/>
    <col min="7" max="7" width="14.42578125" hidden="1" customWidth="1"/>
    <col min="8" max="10" width="9.140625" hidden="1" customWidth="1"/>
    <col min="11" max="11" width="9.140625" style="7" hidden="1" customWidth="1"/>
    <col min="12" max="43" width="9.140625" hidden="1" customWidth="1"/>
    <col min="44" max="44" width="15.5703125" hidden="1" customWidth="1"/>
    <col min="45" max="45" width="9.140625" customWidth="1"/>
  </cols>
  <sheetData>
    <row r="1" spans="2:44" ht="15.75" customHeight="1" x14ac:dyDescent="0.25">
      <c r="B1" s="8" t="s">
        <v>96</v>
      </c>
      <c r="C1" s="566"/>
      <c r="D1" s="522" t="str">
        <f ca="1">IF(D3&lt;&gt;"","Falta preencher os Dados do Contrato",IF(D15&lt;&gt;"","Falta preencher os Dados do Empreendimento",IF(D21&lt;&gt;"","Falta preencher os Dados do Responsável pelo Orçamento",IF(D27&lt;&gt;"","Falta preencher os Dados do Responsável pelo Tomador",IF(D31&lt;&gt;"","Falta definir o método de arredondamento das frentes de obra",IF(D35&lt;&gt;"","Falta preencher os Dados da Licitação",IF(D46&lt;&gt;"","Falta preencher os Dados da Obra",IF(D50&lt;&gt;"","Falta preencher os Dados do Responsável pela Fiscalização",""))))))))</f>
        <v>Falta preencher os Dados do Contrato</v>
      </c>
      <c r="H1" s="603"/>
      <c r="I1" s="669" t="s">
        <v>97</v>
      </c>
      <c r="J1" s="669"/>
      <c r="K1" s="669"/>
      <c r="L1" s="669"/>
      <c r="M1" s="669"/>
      <c r="N1" s="669"/>
      <c r="O1" s="669"/>
      <c r="P1" s="669"/>
      <c r="Q1" s="669"/>
      <c r="R1" s="669"/>
      <c r="S1" s="669"/>
      <c r="T1" s="669"/>
      <c r="U1" s="669"/>
      <c r="V1" s="669"/>
      <c r="W1" s="669"/>
      <c r="X1" s="669"/>
      <c r="Y1" s="669"/>
      <c r="Z1" s="669"/>
      <c r="AA1" s="669"/>
      <c r="AB1" s="669"/>
      <c r="AC1" s="669"/>
      <c r="AD1" s="669"/>
      <c r="AE1" s="669"/>
      <c r="AF1" s="669"/>
      <c r="AG1" s="669"/>
      <c r="AH1" s="669"/>
      <c r="AI1" s="669"/>
      <c r="AJ1" s="669"/>
      <c r="AK1" s="669"/>
      <c r="AL1" s="669"/>
      <c r="AM1" s="669"/>
      <c r="AN1" s="669"/>
      <c r="AO1" s="669"/>
      <c r="AQ1" s="604" t="s">
        <v>98</v>
      </c>
      <c r="AR1" s="605"/>
    </row>
    <row r="2" spans="2:44" ht="12.75" customHeight="1" thickBot="1" x14ac:dyDescent="0.25">
      <c r="B2" s="8"/>
      <c r="G2" s="9" t="s">
        <v>99</v>
      </c>
      <c r="H2" s="10" t="s">
        <v>100</v>
      </c>
      <c r="I2" s="11">
        <f>COUNTA(H:H)-1</f>
        <v>3</v>
      </c>
      <c r="J2" s="10" t="s">
        <v>101</v>
      </c>
      <c r="K2" s="11">
        <f>COUNTA(J:J)-1</f>
        <v>6</v>
      </c>
      <c r="L2" s="10" t="s">
        <v>102</v>
      </c>
      <c r="M2" s="11">
        <f>COUNTA(L:L)-1</f>
        <v>6</v>
      </c>
      <c r="N2" s="10" t="s">
        <v>103</v>
      </c>
      <c r="O2" s="11">
        <f>COUNTA(N:N)-1</f>
        <v>6</v>
      </c>
      <c r="P2" s="10" t="s">
        <v>104</v>
      </c>
      <c r="Q2" s="11">
        <f>COUNTA(P:P)-1</f>
        <v>11</v>
      </c>
      <c r="R2" s="10" t="s">
        <v>105</v>
      </c>
      <c r="S2" s="11">
        <f>COUNTA(R:R)-1</f>
        <v>8</v>
      </c>
      <c r="T2" s="10" t="s">
        <v>106</v>
      </c>
      <c r="U2" s="11">
        <f>COUNTA(T:T)-1</f>
        <v>4</v>
      </c>
      <c r="V2" s="10" t="s">
        <v>107</v>
      </c>
      <c r="W2" s="11">
        <f>COUNTA(V:V)-1</f>
        <v>6</v>
      </c>
      <c r="X2" s="10" t="s">
        <v>108</v>
      </c>
      <c r="Y2" s="11">
        <f>COUNTA(X:X)-1</f>
        <v>2</v>
      </c>
      <c r="Z2" s="10" t="s">
        <v>109</v>
      </c>
      <c r="AA2" s="11">
        <f>COUNTA(Z:Z)-1</f>
        <v>2</v>
      </c>
      <c r="AB2" s="10" t="s">
        <v>110</v>
      </c>
      <c r="AC2" s="11">
        <f>COUNTA(AB:AB)-1</f>
        <v>2</v>
      </c>
      <c r="AD2" s="10" t="s">
        <v>111</v>
      </c>
      <c r="AE2" s="11">
        <f>COUNTA(AD:AD)-1</f>
        <v>1</v>
      </c>
      <c r="AF2" s="10" t="s">
        <v>112</v>
      </c>
      <c r="AG2" s="11">
        <f>COUNTA(AF:AF)-1</f>
        <v>1</v>
      </c>
      <c r="AH2" s="10" t="s">
        <v>113</v>
      </c>
      <c r="AI2" s="11">
        <f>COUNTA(AH:AH)-1</f>
        <v>1</v>
      </c>
      <c r="AJ2" s="10" t="s">
        <v>114</v>
      </c>
      <c r="AK2" s="11">
        <f>COUNTA(AJ:AJ)-1</f>
        <v>3</v>
      </c>
      <c r="AL2" s="10" t="s">
        <v>115</v>
      </c>
      <c r="AM2" s="11">
        <f>COUNTA(AL:AL)-1</f>
        <v>1</v>
      </c>
      <c r="AN2" s="10" t="s">
        <v>116</v>
      </c>
      <c r="AO2" s="11">
        <f>COUNTA(AN:AN)-1</f>
        <v>4</v>
      </c>
      <c r="AQ2" s="520" t="s">
        <v>117</v>
      </c>
      <c r="AR2" s="84" t="s">
        <v>118</v>
      </c>
    </row>
    <row r="3" spans="2:44" ht="15.75" thickBot="1" x14ac:dyDescent="0.3">
      <c r="B3" s="668" t="s">
        <v>119</v>
      </c>
      <c r="C3" s="668"/>
      <c r="D3" s="564" t="str">
        <f ca="1">IF(COUNTIF(D4:D13,"◄")=0,"","Falta preencher a linha "&amp;MATCH("◄",D4:D13,0)+ROW(D3))</f>
        <v>Falta preencher a linha 4</v>
      </c>
      <c r="G3" s="12" t="s">
        <v>100</v>
      </c>
      <c r="H3" t="s">
        <v>120</v>
      </c>
      <c r="I3" s="7" t="s">
        <v>121</v>
      </c>
      <c r="J3" s="12" t="s">
        <v>122</v>
      </c>
      <c r="K3" s="7" t="s">
        <v>123</v>
      </c>
      <c r="L3" t="s">
        <v>124</v>
      </c>
      <c r="M3" s="7" t="s">
        <v>123</v>
      </c>
      <c r="N3" t="s">
        <v>125</v>
      </c>
      <c r="O3" s="7" t="s">
        <v>126</v>
      </c>
      <c r="P3" t="s">
        <v>127</v>
      </c>
      <c r="Q3" s="7" t="s">
        <v>128</v>
      </c>
      <c r="R3" t="s">
        <v>129</v>
      </c>
      <c r="S3" s="7" t="s">
        <v>121</v>
      </c>
      <c r="T3" t="s">
        <v>130</v>
      </c>
      <c r="U3" s="7" t="s">
        <v>121</v>
      </c>
      <c r="V3" t="s">
        <v>131</v>
      </c>
      <c r="W3" s="7" t="s">
        <v>121</v>
      </c>
      <c r="X3" t="s">
        <v>132</v>
      </c>
      <c r="Y3" s="7" t="s">
        <v>123</v>
      </c>
      <c r="Z3" t="s">
        <v>133</v>
      </c>
      <c r="AA3" s="7" t="s">
        <v>123</v>
      </c>
      <c r="AB3" t="s">
        <v>110</v>
      </c>
      <c r="AC3" s="7" t="s">
        <v>123</v>
      </c>
      <c r="AD3" t="s">
        <v>111</v>
      </c>
      <c r="AE3" s="7" t="s">
        <v>121</v>
      </c>
      <c r="AF3" t="s">
        <v>112</v>
      </c>
      <c r="AG3" s="7" t="s">
        <v>121</v>
      </c>
      <c r="AH3" t="s">
        <v>113</v>
      </c>
      <c r="AI3" s="7" t="s">
        <v>121</v>
      </c>
      <c r="AJ3" t="s">
        <v>134</v>
      </c>
      <c r="AK3" s="7" t="s">
        <v>121</v>
      </c>
      <c r="AL3" t="s">
        <v>115</v>
      </c>
      <c r="AM3" s="7" t="s">
        <v>135</v>
      </c>
      <c r="AN3" t="s">
        <v>136</v>
      </c>
      <c r="AO3" s="7" t="s">
        <v>137</v>
      </c>
      <c r="AQ3" t="s">
        <v>135</v>
      </c>
      <c r="AR3" t="s">
        <v>135</v>
      </c>
    </row>
    <row r="4" spans="2:44" x14ac:dyDescent="0.2">
      <c r="B4" s="13" t="s">
        <v>138</v>
      </c>
      <c r="C4" s="14" t="s">
        <v>139</v>
      </c>
      <c r="D4" s="565" t="str">
        <f ca="1">IF(OR(OFFSET(D4,0,-1)="",OFFSET(D4,0,-1)="(SELECIONAR)"),"◄","")</f>
        <v>◄</v>
      </c>
      <c r="G4" s="12" t="s">
        <v>101</v>
      </c>
      <c r="H4" t="s">
        <v>140</v>
      </c>
      <c r="I4" s="7" t="s">
        <v>121</v>
      </c>
      <c r="J4" t="s">
        <v>141</v>
      </c>
      <c r="K4" s="7" t="s">
        <v>123</v>
      </c>
      <c r="L4" t="s">
        <v>142</v>
      </c>
      <c r="M4" s="7" t="s">
        <v>123</v>
      </c>
      <c r="N4" t="s">
        <v>143</v>
      </c>
      <c r="O4" s="7" t="s">
        <v>126</v>
      </c>
      <c r="P4" t="s">
        <v>144</v>
      </c>
      <c r="Q4" s="7" t="s">
        <v>128</v>
      </c>
      <c r="R4" t="s">
        <v>145</v>
      </c>
      <c r="S4" s="7" t="s">
        <v>126</v>
      </c>
      <c r="T4" t="s">
        <v>146</v>
      </c>
      <c r="U4" s="7" t="s">
        <v>121</v>
      </c>
      <c r="V4" t="s">
        <v>147</v>
      </c>
      <c r="W4" s="7" t="s">
        <v>148</v>
      </c>
      <c r="X4" t="s">
        <v>149</v>
      </c>
      <c r="Y4" s="7" t="s">
        <v>123</v>
      </c>
      <c r="Z4" t="s">
        <v>150</v>
      </c>
      <c r="AA4" s="7" t="s">
        <v>123</v>
      </c>
      <c r="AB4" t="s">
        <v>151</v>
      </c>
      <c r="AC4" s="7" t="s">
        <v>123</v>
      </c>
      <c r="AE4" s="7"/>
      <c r="AG4" s="7"/>
      <c r="AI4" s="7"/>
      <c r="AJ4" t="s">
        <v>152</v>
      </c>
      <c r="AK4" s="7" t="s">
        <v>121</v>
      </c>
      <c r="AN4" t="s">
        <v>153</v>
      </c>
      <c r="AO4" s="7" t="s">
        <v>137</v>
      </c>
      <c r="AQ4" t="s">
        <v>154</v>
      </c>
      <c r="AR4" t="s">
        <v>155</v>
      </c>
    </row>
    <row r="5" spans="2:44" x14ac:dyDescent="0.2">
      <c r="B5" s="15" t="s">
        <v>156</v>
      </c>
      <c r="C5" s="16" t="s">
        <v>1322</v>
      </c>
      <c r="D5" s="565" t="str">
        <f t="shared" ref="D5:D11" ca="1" si="0">IF(OFFSET(D5,0,-1)="","◄","")</f>
        <v/>
      </c>
      <c r="G5" s="12" t="s">
        <v>102</v>
      </c>
      <c r="H5" t="s">
        <v>157</v>
      </c>
      <c r="I5" s="7" t="s">
        <v>121</v>
      </c>
      <c r="J5" t="s">
        <v>158</v>
      </c>
      <c r="K5" s="7" t="s">
        <v>123</v>
      </c>
      <c r="L5" t="s">
        <v>159</v>
      </c>
      <c r="M5" s="7" t="s">
        <v>126</v>
      </c>
      <c r="N5" t="s">
        <v>160</v>
      </c>
      <c r="O5" s="7" t="s">
        <v>126</v>
      </c>
      <c r="P5" t="s">
        <v>161</v>
      </c>
      <c r="Q5" s="7" t="s">
        <v>128</v>
      </c>
      <c r="R5" t="s">
        <v>162</v>
      </c>
      <c r="S5" s="7" t="s">
        <v>126</v>
      </c>
      <c r="T5" t="s">
        <v>163</v>
      </c>
      <c r="U5" s="7" t="s">
        <v>126</v>
      </c>
      <c r="V5" t="s">
        <v>164</v>
      </c>
      <c r="W5" s="7" t="s">
        <v>148</v>
      </c>
      <c r="Y5" s="7"/>
      <c r="AA5" s="7"/>
      <c r="AC5" s="7"/>
      <c r="AE5" s="7"/>
      <c r="AG5" s="7"/>
      <c r="AI5" s="7"/>
      <c r="AJ5" t="s">
        <v>165</v>
      </c>
      <c r="AK5" s="7" t="s">
        <v>121</v>
      </c>
      <c r="AN5" t="s">
        <v>166</v>
      </c>
      <c r="AO5" s="7" t="s">
        <v>137</v>
      </c>
      <c r="AQ5" t="s">
        <v>167</v>
      </c>
      <c r="AR5" t="s">
        <v>168</v>
      </c>
    </row>
    <row r="6" spans="2:44" x14ac:dyDescent="0.2">
      <c r="B6" s="15" t="s">
        <v>169</v>
      </c>
      <c r="C6" s="16" t="s">
        <v>1321</v>
      </c>
      <c r="D6" s="565" t="str">
        <f t="shared" ca="1" si="0"/>
        <v/>
      </c>
      <c r="G6" s="12" t="s">
        <v>103</v>
      </c>
      <c r="J6" t="s">
        <v>170</v>
      </c>
      <c r="K6" s="7" t="s">
        <v>123</v>
      </c>
      <c r="L6" t="s">
        <v>171</v>
      </c>
      <c r="M6" s="7" t="s">
        <v>123</v>
      </c>
      <c r="N6" t="s">
        <v>172</v>
      </c>
      <c r="O6" s="7" t="s">
        <v>123</v>
      </c>
      <c r="P6" t="s">
        <v>173</v>
      </c>
      <c r="Q6" s="7" t="s">
        <v>126</v>
      </c>
      <c r="R6" t="s">
        <v>174</v>
      </c>
      <c r="S6" s="7" t="s">
        <v>126</v>
      </c>
      <c r="T6" t="s">
        <v>175</v>
      </c>
      <c r="U6" s="7" t="s">
        <v>126</v>
      </c>
      <c r="V6" t="s">
        <v>176</v>
      </c>
      <c r="W6" s="7" t="s">
        <v>121</v>
      </c>
      <c r="AN6" t="s">
        <v>177</v>
      </c>
      <c r="AO6" s="7" t="s">
        <v>137</v>
      </c>
      <c r="AQ6" t="s">
        <v>178</v>
      </c>
      <c r="AR6" t="s">
        <v>179</v>
      </c>
    </row>
    <row r="7" spans="2:44" x14ac:dyDescent="0.2">
      <c r="B7" s="17" t="s">
        <v>180</v>
      </c>
      <c r="C7" s="18"/>
      <c r="D7" s="565" t="str">
        <f t="shared" ca="1" si="0"/>
        <v>◄</v>
      </c>
      <c r="G7" s="12" t="s">
        <v>104</v>
      </c>
      <c r="J7" t="s">
        <v>181</v>
      </c>
      <c r="K7" s="7" t="s">
        <v>123</v>
      </c>
      <c r="L7" t="s">
        <v>182</v>
      </c>
      <c r="M7" s="7" t="s">
        <v>123</v>
      </c>
      <c r="N7" t="s">
        <v>183</v>
      </c>
      <c r="O7" s="7" t="s">
        <v>148</v>
      </c>
      <c r="P7" t="s">
        <v>184</v>
      </c>
      <c r="Q7" s="7" t="s">
        <v>128</v>
      </c>
      <c r="R7" t="s">
        <v>185</v>
      </c>
      <c r="S7" s="7" t="s">
        <v>128</v>
      </c>
      <c r="V7" t="s">
        <v>186</v>
      </c>
      <c r="W7" s="7" t="s">
        <v>121</v>
      </c>
      <c r="AQ7" t="s">
        <v>187</v>
      </c>
      <c r="AR7" t="s">
        <v>188</v>
      </c>
    </row>
    <row r="8" spans="2:44" x14ac:dyDescent="0.2">
      <c r="B8" s="17" t="s">
        <v>189</v>
      </c>
      <c r="C8" s="18" t="s">
        <v>1650</v>
      </c>
      <c r="D8" s="565" t="str">
        <f ca="1">IF(AND(Import.TipoArredondamento="TransfereGOV",OFFSET(D8,0,-1)=""),"◄","")</f>
        <v/>
      </c>
      <c r="G8" s="12" t="s">
        <v>105</v>
      </c>
      <c r="J8" t="s">
        <v>190</v>
      </c>
      <c r="K8" s="7" t="s">
        <v>123</v>
      </c>
      <c r="L8" t="s">
        <v>191</v>
      </c>
      <c r="M8" s="7" t="s">
        <v>123</v>
      </c>
      <c r="N8" t="s">
        <v>192</v>
      </c>
      <c r="O8" s="7" t="s">
        <v>128</v>
      </c>
      <c r="P8" t="s">
        <v>193</v>
      </c>
      <c r="Q8" s="7" t="s">
        <v>128</v>
      </c>
      <c r="R8" t="s">
        <v>194</v>
      </c>
      <c r="S8" s="7" t="s">
        <v>128</v>
      </c>
      <c r="V8" t="s">
        <v>195</v>
      </c>
      <c r="W8" s="7" t="s">
        <v>123</v>
      </c>
      <c r="AQ8" t="s">
        <v>196</v>
      </c>
      <c r="AR8" t="s">
        <v>197</v>
      </c>
    </row>
    <row r="9" spans="2:44" x14ac:dyDescent="0.2">
      <c r="B9" s="17" t="str">
        <f>IF(C4="FGTS","Valor de Financiamento Contratado (R$):","Valor do Repasse Contratado (R$):")</f>
        <v>Valor do Repasse Contratado (R$):</v>
      </c>
      <c r="C9" s="19"/>
      <c r="D9" s="565" t="str">
        <f t="shared" ca="1" si="0"/>
        <v>◄</v>
      </c>
      <c r="G9" s="12" t="s">
        <v>106</v>
      </c>
      <c r="P9" t="s">
        <v>198</v>
      </c>
      <c r="Q9" s="7" t="s">
        <v>126</v>
      </c>
      <c r="R9" t="s">
        <v>199</v>
      </c>
      <c r="S9" s="7" t="s">
        <v>128</v>
      </c>
      <c r="AQ9" t="s">
        <v>200</v>
      </c>
      <c r="AR9" t="s">
        <v>201</v>
      </c>
    </row>
    <row r="10" spans="2:44" x14ac:dyDescent="0.2">
      <c r="B10" s="17" t="s">
        <v>202</v>
      </c>
      <c r="C10" s="19"/>
      <c r="D10" s="565" t="str">
        <f t="shared" ca="1" si="0"/>
        <v>◄</v>
      </c>
      <c r="G10" s="12" t="s">
        <v>107</v>
      </c>
      <c r="P10" t="s">
        <v>203</v>
      </c>
      <c r="Q10" s="7" t="s">
        <v>148</v>
      </c>
      <c r="R10" t="s">
        <v>204</v>
      </c>
      <c r="S10" s="7" t="s">
        <v>121</v>
      </c>
      <c r="AQ10" t="s">
        <v>205</v>
      </c>
      <c r="AR10" t="s">
        <v>206</v>
      </c>
    </row>
    <row r="11" spans="2:44" x14ac:dyDescent="0.2">
      <c r="B11" s="17" t="s">
        <v>207</v>
      </c>
      <c r="C11" s="20"/>
      <c r="D11" s="565" t="str">
        <f t="shared" ca="1" si="0"/>
        <v>◄</v>
      </c>
      <c r="G11" s="12" t="s">
        <v>108</v>
      </c>
      <c r="P11" t="s">
        <v>208</v>
      </c>
      <c r="Q11" s="7" t="s">
        <v>126</v>
      </c>
      <c r="AQ11" t="s">
        <v>209</v>
      </c>
      <c r="AR11" t="s">
        <v>210</v>
      </c>
    </row>
    <row r="12" spans="2:44" x14ac:dyDescent="0.2">
      <c r="B12" s="17" t="s">
        <v>211</v>
      </c>
      <c r="C12" s="19"/>
      <c r="G12" s="12" t="s">
        <v>109</v>
      </c>
      <c r="P12" t="s">
        <v>129</v>
      </c>
      <c r="Q12" s="7" t="s">
        <v>121</v>
      </c>
      <c r="AQ12" t="s">
        <v>212</v>
      </c>
      <c r="AR12" t="s">
        <v>213</v>
      </c>
    </row>
    <row r="13" spans="2:44" ht="13.5" thickBot="1" x14ac:dyDescent="0.25">
      <c r="B13" s="21" t="s">
        <v>214</v>
      </c>
      <c r="C13" s="22"/>
      <c r="G13" s="12" t="s">
        <v>110</v>
      </c>
      <c r="P13" t="s">
        <v>215</v>
      </c>
      <c r="Q13" s="7" t="s">
        <v>126</v>
      </c>
      <c r="AQ13" t="s">
        <v>216</v>
      </c>
      <c r="AR13" t="s">
        <v>217</v>
      </c>
    </row>
    <row r="14" spans="2:44" ht="13.5" thickBot="1" x14ac:dyDescent="0.25">
      <c r="C14" s="23"/>
      <c r="G14" s="12" t="s">
        <v>111</v>
      </c>
      <c r="AQ14" t="s">
        <v>218</v>
      </c>
      <c r="AR14" t="s">
        <v>219</v>
      </c>
    </row>
    <row r="15" spans="2:44" ht="15.75" thickBot="1" x14ac:dyDescent="0.3">
      <c r="B15" s="668" t="s">
        <v>220</v>
      </c>
      <c r="C15" s="668"/>
      <c r="D15" s="564" t="str">
        <f ca="1">IF(COUNTIF(D16:D19,"◄")=0,"","Falta preencher a linha "&amp;MATCH("◄",D16:D19,0)+ROW(D15))</f>
        <v>Falta preencher a linha 17</v>
      </c>
      <c r="G15" s="12" t="s">
        <v>112</v>
      </c>
      <c r="AQ15" t="s">
        <v>221</v>
      </c>
      <c r="AR15" t="s">
        <v>222</v>
      </c>
    </row>
    <row r="16" spans="2:44" x14ac:dyDescent="0.2">
      <c r="B16" s="24" t="s">
        <v>223</v>
      </c>
      <c r="C16" s="25" t="s">
        <v>942</v>
      </c>
      <c r="D16" s="565" t="str">
        <f t="shared" ref="D16:D19" ca="1" si="1">IF(OFFSET(D16,0,-1)="","◄","")</f>
        <v/>
      </c>
      <c r="G16" s="12" t="s">
        <v>113</v>
      </c>
      <c r="AQ16" t="s">
        <v>224</v>
      </c>
      <c r="AR16" t="s">
        <v>225</v>
      </c>
    </row>
    <row r="17" spans="2:44" x14ac:dyDescent="0.2">
      <c r="B17" s="17" t="s">
        <v>226</v>
      </c>
      <c r="C17" s="26"/>
      <c r="D17" s="565" t="str">
        <f t="shared" ca="1" si="1"/>
        <v>◄</v>
      </c>
      <c r="G17" s="12" t="s">
        <v>114</v>
      </c>
      <c r="AQ17" t="s">
        <v>227</v>
      </c>
      <c r="AR17" t="s">
        <v>228</v>
      </c>
    </row>
    <row r="18" spans="2:44" x14ac:dyDescent="0.2">
      <c r="B18" s="17" t="s">
        <v>229</v>
      </c>
      <c r="C18" s="27" t="s">
        <v>1312</v>
      </c>
      <c r="D18" s="565" t="str">
        <f ca="1">IF(OR(OFFSET(D18,0,-1)="",OFFSET(D18,0,-1)="(SELECIONAR)"),"◄","")</f>
        <v/>
      </c>
      <c r="G18" s="12" t="s">
        <v>115</v>
      </c>
      <c r="AQ18" t="s">
        <v>230</v>
      </c>
      <c r="AR18" t="s">
        <v>231</v>
      </c>
    </row>
    <row r="19" spans="2:44" ht="13.5" thickBot="1" x14ac:dyDescent="0.25">
      <c r="B19" s="28" t="s">
        <v>232</v>
      </c>
      <c r="C19" s="29">
        <v>45627</v>
      </c>
      <c r="D19" s="565" t="str">
        <f t="shared" ca="1" si="1"/>
        <v/>
      </c>
      <c r="G19" s="12" t="s">
        <v>116</v>
      </c>
      <c r="AQ19" t="s">
        <v>233</v>
      </c>
      <c r="AR19" t="s">
        <v>234</v>
      </c>
    </row>
    <row r="20" spans="2:44" ht="13.5" thickBot="1" x14ac:dyDescent="0.25">
      <c r="C20" s="30"/>
      <c r="G20" s="12"/>
      <c r="AQ20" t="s">
        <v>235</v>
      </c>
      <c r="AR20" t="s">
        <v>236</v>
      </c>
    </row>
    <row r="21" spans="2:44" ht="15.75" thickBot="1" x14ac:dyDescent="0.3">
      <c r="B21" s="668" t="s">
        <v>237</v>
      </c>
      <c r="C21" s="668"/>
      <c r="D21" s="564" t="str">
        <f ca="1">IF(COUNTIF(D22:D25,"◄")=0,"","Falta preencher a linha "&amp;MATCH("◄",D22:D25,0)+ROW(D21))</f>
        <v>Falta preencher a linha 22</v>
      </c>
      <c r="G21" s="12"/>
      <c r="AQ21" t="s">
        <v>238</v>
      </c>
      <c r="AR21" t="s">
        <v>239</v>
      </c>
    </row>
    <row r="22" spans="2:44" x14ac:dyDescent="0.2">
      <c r="B22" s="15" t="s">
        <v>240</v>
      </c>
      <c r="C22" s="31"/>
      <c r="D22" s="565" t="str">
        <f t="shared" ref="D22:D24" ca="1" si="2">IF(OFFSET(D22,0,-1)="","◄","")</f>
        <v>◄</v>
      </c>
      <c r="AQ22" t="s">
        <v>241</v>
      </c>
      <c r="AR22" t="s">
        <v>242</v>
      </c>
    </row>
    <row r="23" spans="2:44" x14ac:dyDescent="0.2">
      <c r="B23" s="17" t="s">
        <v>243</v>
      </c>
      <c r="C23" s="18"/>
      <c r="D23" s="565" t="str">
        <f t="shared" ca="1" si="2"/>
        <v>◄</v>
      </c>
      <c r="AQ23" t="s">
        <v>244</v>
      </c>
      <c r="AR23" t="s">
        <v>245</v>
      </c>
    </row>
    <row r="24" spans="2:44" x14ac:dyDescent="0.2">
      <c r="B24" s="17" t="s">
        <v>246</v>
      </c>
      <c r="C24" s="18"/>
      <c r="D24" s="565" t="str">
        <f t="shared" ca="1" si="2"/>
        <v>◄</v>
      </c>
      <c r="AQ24" t="s">
        <v>247</v>
      </c>
      <c r="AR24" t="s">
        <v>248</v>
      </c>
    </row>
    <row r="25" spans="2:44" ht="13.5" thickBot="1" x14ac:dyDescent="0.25">
      <c r="B25" s="21" t="s">
        <v>249</v>
      </c>
      <c r="C25" s="32"/>
      <c r="D25" s="565" t="s">
        <v>250</v>
      </c>
      <c r="AQ25" t="s">
        <v>251</v>
      </c>
      <c r="AR25" t="s">
        <v>252</v>
      </c>
    </row>
    <row r="26" spans="2:44" ht="13.5" thickBot="1" x14ac:dyDescent="0.25">
      <c r="AQ26" t="s">
        <v>253</v>
      </c>
      <c r="AR26" t="s">
        <v>254</v>
      </c>
    </row>
    <row r="27" spans="2:44" ht="15.75" thickBot="1" x14ac:dyDescent="0.3">
      <c r="B27" s="668" t="s">
        <v>255</v>
      </c>
      <c r="C27" s="668"/>
      <c r="D27" s="564" t="str">
        <f ca="1">IF(COUNTIF(D28:D29,"◄")=0,"","Falta preencher a linha "&amp;MATCH("◄",D28:D29,0)+ROW(D27))</f>
        <v>Falta preencher a linha 28</v>
      </c>
      <c r="AQ27" t="s">
        <v>256</v>
      </c>
      <c r="AR27" t="s">
        <v>257</v>
      </c>
    </row>
    <row r="28" spans="2:44" x14ac:dyDescent="0.2">
      <c r="B28" s="13" t="s">
        <v>240</v>
      </c>
      <c r="C28" s="33"/>
      <c r="D28" s="565" t="str">
        <f t="shared" ref="D28:D29" ca="1" si="3">IF(OFFSET(D28,0,-1)="","◄","")</f>
        <v>◄</v>
      </c>
      <c r="AQ28" t="s">
        <v>258</v>
      </c>
      <c r="AR28" t="s">
        <v>259</v>
      </c>
    </row>
    <row r="29" spans="2:44" ht="13.5" thickBot="1" x14ac:dyDescent="0.25">
      <c r="B29" s="21" t="s">
        <v>260</v>
      </c>
      <c r="C29" s="34"/>
      <c r="D29" s="565" t="str">
        <f t="shared" ca="1" si="3"/>
        <v>◄</v>
      </c>
      <c r="AQ29" t="s">
        <v>261</v>
      </c>
      <c r="AR29" t="s">
        <v>262</v>
      </c>
    </row>
    <row r="30" spans="2:44" ht="16.5" thickBot="1" x14ac:dyDescent="0.25">
      <c r="B30" s="8"/>
      <c r="AQ30" t="s">
        <v>263</v>
      </c>
      <c r="AR30" t="s">
        <v>262</v>
      </c>
    </row>
    <row r="31" spans="2:44" ht="13.5" thickBot="1" x14ac:dyDescent="0.25">
      <c r="B31" s="475" t="s">
        <v>264</v>
      </c>
      <c r="C31" s="476" t="s">
        <v>1649</v>
      </c>
      <c r="D31" s="565" t="str">
        <f ca="1">IF(OFFSET(D31,0,-1)="","◄ Falta definir o método de arredondamento.","")</f>
        <v/>
      </c>
      <c r="AQ31" t="s">
        <v>265</v>
      </c>
      <c r="AR31" t="s">
        <v>266</v>
      </c>
    </row>
    <row r="32" spans="2:44" ht="12.75" customHeight="1" x14ac:dyDescent="0.2">
      <c r="B32" s="8"/>
      <c r="AQ32" t="s">
        <v>267</v>
      </c>
      <c r="AR32" t="s">
        <v>268</v>
      </c>
    </row>
    <row r="33" spans="2:44" ht="12.75" customHeight="1" x14ac:dyDescent="0.2">
      <c r="B33" s="8" t="s">
        <v>269</v>
      </c>
      <c r="AQ33" t="s">
        <v>270</v>
      </c>
      <c r="AR33" t="s">
        <v>271</v>
      </c>
    </row>
    <row r="34" spans="2:44" ht="16.5" thickBot="1" x14ac:dyDescent="0.25">
      <c r="B34" s="8"/>
      <c r="AQ34" t="s">
        <v>272</v>
      </c>
      <c r="AR34" t="s">
        <v>270</v>
      </c>
    </row>
    <row r="35" spans="2:44" ht="12.75" customHeight="1" thickBot="1" x14ac:dyDescent="0.3">
      <c r="B35" s="668" t="s">
        <v>273</v>
      </c>
      <c r="C35" s="668"/>
      <c r="D35" s="564" t="str">
        <f ca="1">IF(COUNTIF(D36:D39,"◄")=0,"","Falta preencher a linha "&amp;MATCH("◄",D36:D39,0)+ROW(D35))</f>
        <v/>
      </c>
      <c r="AQ35" t="s">
        <v>274</v>
      </c>
      <c r="AR35" t="s">
        <v>275</v>
      </c>
    </row>
    <row r="36" spans="2:44" x14ac:dyDescent="0.2">
      <c r="B36" s="13" t="s">
        <v>276</v>
      </c>
      <c r="C36" s="35"/>
      <c r="D36" s="565" t="str">
        <f ca="1">IF(AND(TIPOORCAMENTO="Licitado",OFFSET(D36,0,-1)=""),"◄","")</f>
        <v/>
      </c>
      <c r="AQ36" t="s">
        <v>277</v>
      </c>
      <c r="AR36" t="s">
        <v>278</v>
      </c>
    </row>
    <row r="37" spans="2:44" x14ac:dyDescent="0.2">
      <c r="B37" s="15" t="s">
        <v>279</v>
      </c>
      <c r="C37" s="16"/>
      <c r="D37" s="565" t="str">
        <f ca="1">IF(AND(TIPOORCAMENTO="Licitado",OFFSET(D37,0,-1)=""),"◄","")</f>
        <v/>
      </c>
      <c r="AQ37" t="s">
        <v>280</v>
      </c>
      <c r="AR37" t="s">
        <v>281</v>
      </c>
    </row>
    <row r="38" spans="2:44" x14ac:dyDescent="0.2">
      <c r="B38" s="17" t="s">
        <v>282</v>
      </c>
      <c r="C38" s="18"/>
      <c r="D38" s="565" t="str">
        <f ca="1">IF(AND(TIPOORCAMENTO="Licitado",OFFSET(D38,0,-1)=""),"◄","")</f>
        <v/>
      </c>
      <c r="AQ38" t="s">
        <v>283</v>
      </c>
      <c r="AR38" t="s">
        <v>284</v>
      </c>
    </row>
    <row r="39" spans="2:44" x14ac:dyDescent="0.2">
      <c r="B39" s="17" t="s">
        <v>285</v>
      </c>
      <c r="C39" s="18"/>
      <c r="D39" s="565" t="str">
        <f ca="1">IF(AND(TIPOORCAMENTO="Licitado",OFFSET(D39,0,-1)=""),"◄","")</f>
        <v/>
      </c>
      <c r="AQ39" t="s">
        <v>286</v>
      </c>
      <c r="AR39" t="s">
        <v>287</v>
      </c>
    </row>
    <row r="40" spans="2:44" x14ac:dyDescent="0.2">
      <c r="B40" s="17" t="s">
        <v>288</v>
      </c>
      <c r="C40" s="27" t="s">
        <v>139</v>
      </c>
      <c r="D40" s="565" t="str">
        <f ca="1">IF(AND(TIPOORCAMENTO="Licitado",OR(OFFSET(D40,0,-1)="",OFFSET(D40,0,-1)="(SELECIONAR)")),"◄","")</f>
        <v/>
      </c>
      <c r="AQ40" t="s">
        <v>289</v>
      </c>
      <c r="AR40" t="s">
        <v>290</v>
      </c>
    </row>
    <row r="41" spans="2:44" ht="13.5" thickBot="1" x14ac:dyDescent="0.25">
      <c r="B41" s="28" t="s">
        <v>291</v>
      </c>
      <c r="C41" s="36"/>
      <c r="D41" s="565" t="str">
        <f ca="1">IF(AND(TIPOORCAMENTO="Licitado",OFFSET(D41,0,-1)=""),"◄","")</f>
        <v/>
      </c>
      <c r="AQ41" t="s">
        <v>292</v>
      </c>
      <c r="AR41" t="s">
        <v>293</v>
      </c>
    </row>
    <row r="42" spans="2:44" ht="15.75" x14ac:dyDescent="0.2">
      <c r="B42" s="8"/>
      <c r="AQ42" t="s">
        <v>294</v>
      </c>
      <c r="AR42" t="s">
        <v>295</v>
      </c>
    </row>
    <row r="43" spans="2:44" ht="12.75" customHeight="1" x14ac:dyDescent="0.2">
      <c r="B43" s="8"/>
      <c r="AQ43" t="s">
        <v>296</v>
      </c>
      <c r="AR43" t="s">
        <v>297</v>
      </c>
    </row>
    <row r="44" spans="2:44" ht="12.75" customHeight="1" x14ac:dyDescent="0.2">
      <c r="B44" s="8" t="s">
        <v>298</v>
      </c>
      <c r="AQ44" t="s">
        <v>299</v>
      </c>
      <c r="AR44" t="s">
        <v>300</v>
      </c>
    </row>
    <row r="45" spans="2:44" ht="16.5" thickBot="1" x14ac:dyDescent="0.25">
      <c r="B45" s="8"/>
      <c r="AQ45" t="s">
        <v>301</v>
      </c>
      <c r="AR45" t="s">
        <v>302</v>
      </c>
    </row>
    <row r="46" spans="2:44" ht="12.75" customHeight="1" thickBot="1" x14ac:dyDescent="0.3">
      <c r="B46" s="668" t="s">
        <v>303</v>
      </c>
      <c r="C46" s="668"/>
      <c r="D46" s="564" t="str">
        <f ca="1">IF(COUNTIF(D47:D48,"◄")=0,"","Falta preencher a linha "&amp;MATCH("◄",D47:D48,0)+ROW(D46))</f>
        <v/>
      </c>
      <c r="AQ46" t="s">
        <v>304</v>
      </c>
      <c r="AR46" t="s">
        <v>305</v>
      </c>
    </row>
    <row r="47" spans="2:44" x14ac:dyDescent="0.2">
      <c r="B47" s="13" t="s">
        <v>306</v>
      </c>
      <c r="C47" s="35"/>
      <c r="D47" s="565" t="str">
        <f ca="1">IF(AND(TIPOORCAMENTO="Licitado",OFFSET(D47,0,-1)="",IFERROR(RRE!$O$28,0)&gt;0),"◄","")</f>
        <v/>
      </c>
      <c r="AQ47" t="s">
        <v>307</v>
      </c>
      <c r="AR47" t="s">
        <v>308</v>
      </c>
    </row>
    <row r="48" spans="2:44" ht="13.5" thickBot="1" x14ac:dyDescent="0.25">
      <c r="B48" s="28" t="s">
        <v>309</v>
      </c>
      <c r="C48" s="37"/>
      <c r="D48" s="565" t="str">
        <f ca="1">IF(AND(TIPOORCAMENTO="Licitado",OFFSET(D48,0,-1)="",IFERROR(RRE!$O$28,0)&gt;0),"◄","")</f>
        <v/>
      </c>
      <c r="AQ48" t="s">
        <v>310</v>
      </c>
      <c r="AR48" t="s">
        <v>311</v>
      </c>
    </row>
    <row r="49" spans="2:44" ht="16.5" thickBot="1" x14ac:dyDescent="0.25">
      <c r="B49" s="8"/>
      <c r="AQ49" t="s">
        <v>312</v>
      </c>
      <c r="AR49" t="s">
        <v>313</v>
      </c>
    </row>
    <row r="50" spans="2:44" ht="12.75" customHeight="1" thickBot="1" x14ac:dyDescent="0.3">
      <c r="B50" s="668" t="s">
        <v>314</v>
      </c>
      <c r="C50" s="668"/>
      <c r="D50" s="564" t="str">
        <f ca="1">IF(COUNTIF(D51:D54,"◄")=0,"","Falta preencher a linha "&amp;MATCH("◄",D51:D54,0)+ROW(D50))</f>
        <v/>
      </c>
      <c r="AQ50" t="s">
        <v>315</v>
      </c>
      <c r="AR50" t="s">
        <v>316</v>
      </c>
    </row>
    <row r="51" spans="2:44" x14ac:dyDescent="0.2">
      <c r="B51" s="13" t="s">
        <v>240</v>
      </c>
      <c r="C51" s="38"/>
      <c r="D51" s="565" t="str">
        <f ca="1">IF(AND(TIPOORCAMENTO="Licitado",OFFSET(D51,0,-1)="",IFERROR(RRE!$O$28,0)&gt;0),"◄","")</f>
        <v/>
      </c>
      <c r="AQ51" t="s">
        <v>317</v>
      </c>
      <c r="AR51" t="s">
        <v>318</v>
      </c>
    </row>
    <row r="52" spans="2:44" x14ac:dyDescent="0.2">
      <c r="B52" s="17" t="s">
        <v>319</v>
      </c>
      <c r="C52" s="18"/>
      <c r="D52" s="565" t="str">
        <f ca="1">IF(AND(TIPOORCAMENTO="Licitado",OFFSET(D52,0,-1)="",IFERROR(RRE!$O$28,0)&gt;0),"◄","")</f>
        <v/>
      </c>
      <c r="AQ52" t="s">
        <v>320</v>
      </c>
      <c r="AR52" t="s">
        <v>321</v>
      </c>
    </row>
    <row r="53" spans="2:44" x14ac:dyDescent="0.2">
      <c r="B53" s="17" t="s">
        <v>322</v>
      </c>
      <c r="C53" s="18"/>
      <c r="D53" s="565" t="str">
        <f ca="1">IF(AND(TIPOORCAMENTO="Licitado",OFFSET(D53,0,-1)="",IFERROR(RRE!$O$28,0)&gt;0),"◄","")</f>
        <v/>
      </c>
      <c r="AQ53" t="s">
        <v>323</v>
      </c>
      <c r="AR53" t="s">
        <v>324</v>
      </c>
    </row>
    <row r="54" spans="2:44" ht="13.5" thickBot="1" x14ac:dyDescent="0.25">
      <c r="B54" s="21" t="s">
        <v>325</v>
      </c>
      <c r="C54" s="39"/>
      <c r="D54" s="565" t="str">
        <f ca="1">IF(AND(TIPOORCAMENTO="Licitado",OFFSET(D54,0,-1)="",IFERROR(RRE!$O$28,0)&gt;0),"◄","")</f>
        <v/>
      </c>
      <c r="AQ54" t="s">
        <v>326</v>
      </c>
      <c r="AR54" t="s">
        <v>327</v>
      </c>
    </row>
    <row r="55" spans="2:44" x14ac:dyDescent="0.2">
      <c r="C55" s="30"/>
      <c r="AQ55" t="s">
        <v>328</v>
      </c>
      <c r="AR55" t="s">
        <v>329</v>
      </c>
    </row>
    <row r="56" spans="2:44" x14ac:dyDescent="0.2">
      <c r="AQ56" t="s">
        <v>330</v>
      </c>
      <c r="AR56" t="s">
        <v>331</v>
      </c>
    </row>
    <row r="57" spans="2:44" ht="15.75" x14ac:dyDescent="0.2">
      <c r="B57" s="8" t="s">
        <v>332</v>
      </c>
      <c r="AQ57" t="s">
        <v>333</v>
      </c>
      <c r="AR57" t="s">
        <v>334</v>
      </c>
    </row>
    <row r="58" spans="2:44" ht="16.5" thickBot="1" x14ac:dyDescent="0.25">
      <c r="B58" s="8"/>
      <c r="AQ58" t="s">
        <v>335</v>
      </c>
      <c r="AR58" t="s">
        <v>336</v>
      </c>
    </row>
    <row r="59" spans="2:44" ht="15.75" thickBot="1" x14ac:dyDescent="0.25">
      <c r="B59" s="668" t="s">
        <v>337</v>
      </c>
      <c r="C59" s="668"/>
      <c r="AQ59" t="s">
        <v>338</v>
      </c>
      <c r="AR59" t="s">
        <v>339</v>
      </c>
    </row>
    <row r="60" spans="2:44" x14ac:dyDescent="0.2">
      <c r="B60" s="13" t="s">
        <v>240</v>
      </c>
      <c r="C60" s="38"/>
      <c r="AQ60" t="s">
        <v>340</v>
      </c>
      <c r="AR60" t="s">
        <v>341</v>
      </c>
    </row>
    <row r="61" spans="2:44" ht="13.5" thickBot="1" x14ac:dyDescent="0.25">
      <c r="B61" s="28" t="s">
        <v>342</v>
      </c>
      <c r="C61" s="40"/>
      <c r="AQ61" t="s">
        <v>343</v>
      </c>
      <c r="AR61" t="s">
        <v>344</v>
      </c>
    </row>
    <row r="62" spans="2:44" x14ac:dyDescent="0.2">
      <c r="AQ62" t="s">
        <v>345</v>
      </c>
      <c r="AR62" t="s">
        <v>346</v>
      </c>
    </row>
    <row r="63" spans="2:44" x14ac:dyDescent="0.2">
      <c r="AQ63" t="s">
        <v>347</v>
      </c>
      <c r="AR63" t="s">
        <v>348</v>
      </c>
    </row>
    <row r="64" spans="2:44" x14ac:dyDescent="0.2">
      <c r="AQ64" t="s">
        <v>349</v>
      </c>
      <c r="AR64" t="s">
        <v>350</v>
      </c>
    </row>
    <row r="65" spans="43:44" x14ac:dyDescent="0.2">
      <c r="AQ65" t="s">
        <v>351</v>
      </c>
      <c r="AR65" t="s">
        <v>352</v>
      </c>
    </row>
    <row r="66" spans="43:44" x14ac:dyDescent="0.2">
      <c r="AQ66" t="s">
        <v>353</v>
      </c>
      <c r="AR66" t="s">
        <v>354</v>
      </c>
    </row>
    <row r="67" spans="43:44" x14ac:dyDescent="0.2">
      <c r="AQ67" t="s">
        <v>355</v>
      </c>
      <c r="AR67" t="s">
        <v>356</v>
      </c>
    </row>
    <row r="68" spans="43:44" x14ac:dyDescent="0.2">
      <c r="AQ68" t="s">
        <v>357</v>
      </c>
      <c r="AR68" t="s">
        <v>358</v>
      </c>
    </row>
    <row r="69" spans="43:44" x14ac:dyDescent="0.2">
      <c r="AQ69" t="s">
        <v>359</v>
      </c>
      <c r="AR69" t="s">
        <v>360</v>
      </c>
    </row>
    <row r="70" spans="43:44" x14ac:dyDescent="0.2">
      <c r="AQ70" t="s">
        <v>361</v>
      </c>
      <c r="AR70" t="s">
        <v>362</v>
      </c>
    </row>
    <row r="71" spans="43:44" x14ac:dyDescent="0.2">
      <c r="AQ71" t="s">
        <v>363</v>
      </c>
      <c r="AR71" t="s">
        <v>364</v>
      </c>
    </row>
    <row r="72" spans="43:44" x14ac:dyDescent="0.2">
      <c r="AQ72" t="s">
        <v>365</v>
      </c>
      <c r="AR72" t="s">
        <v>366</v>
      </c>
    </row>
    <row r="73" spans="43:44" x14ac:dyDescent="0.2">
      <c r="AQ73" t="s">
        <v>367</v>
      </c>
      <c r="AR73" t="s">
        <v>368</v>
      </c>
    </row>
    <row r="74" spans="43:44" x14ac:dyDescent="0.2">
      <c r="AQ74" t="s">
        <v>369</v>
      </c>
      <c r="AR74" t="s">
        <v>370</v>
      </c>
    </row>
    <row r="75" spans="43:44" x14ac:dyDescent="0.2">
      <c r="AQ75" t="s">
        <v>371</v>
      </c>
      <c r="AR75" t="s">
        <v>372</v>
      </c>
    </row>
    <row r="76" spans="43:44" x14ac:dyDescent="0.2">
      <c r="AQ76" t="s">
        <v>373</v>
      </c>
      <c r="AR76" t="s">
        <v>374</v>
      </c>
    </row>
    <row r="77" spans="43:44" x14ac:dyDescent="0.2">
      <c r="AQ77" t="s">
        <v>375</v>
      </c>
      <c r="AR77" t="s">
        <v>376</v>
      </c>
    </row>
    <row r="78" spans="43:44" x14ac:dyDescent="0.2">
      <c r="AQ78" t="s">
        <v>377</v>
      </c>
      <c r="AR78" t="s">
        <v>378</v>
      </c>
    </row>
    <row r="79" spans="43:44" x14ac:dyDescent="0.2">
      <c r="AQ79" t="s">
        <v>379</v>
      </c>
      <c r="AR79" t="s">
        <v>380</v>
      </c>
    </row>
    <row r="80" spans="43:44" x14ac:dyDescent="0.2">
      <c r="AQ80" t="s">
        <v>381</v>
      </c>
      <c r="AR80" t="s">
        <v>382</v>
      </c>
    </row>
    <row r="81" spans="43:44" x14ac:dyDescent="0.2">
      <c r="AQ81" t="s">
        <v>383</v>
      </c>
      <c r="AR81" t="s">
        <v>384</v>
      </c>
    </row>
    <row r="82" spans="43:44" x14ac:dyDescent="0.2">
      <c r="AQ82" t="s">
        <v>385</v>
      </c>
      <c r="AR82" t="s">
        <v>386</v>
      </c>
    </row>
    <row r="83" spans="43:44" x14ac:dyDescent="0.2">
      <c r="AQ83" t="s">
        <v>387</v>
      </c>
      <c r="AR83" t="s">
        <v>388</v>
      </c>
    </row>
    <row r="84" spans="43:44" x14ac:dyDescent="0.2">
      <c r="AQ84" t="s">
        <v>389</v>
      </c>
      <c r="AR84" t="s">
        <v>390</v>
      </c>
    </row>
    <row r="85" spans="43:44" x14ac:dyDescent="0.2">
      <c r="AQ85" t="s">
        <v>391</v>
      </c>
      <c r="AR85" t="s">
        <v>392</v>
      </c>
    </row>
    <row r="86" spans="43:44" x14ac:dyDescent="0.2">
      <c r="AQ86" t="s">
        <v>393</v>
      </c>
      <c r="AR86" t="s">
        <v>394</v>
      </c>
    </row>
    <row r="87" spans="43:44" x14ac:dyDescent="0.2">
      <c r="AQ87" t="s">
        <v>395</v>
      </c>
      <c r="AR87" t="s">
        <v>396</v>
      </c>
    </row>
    <row r="88" spans="43:44" x14ac:dyDescent="0.2">
      <c r="AQ88" t="s">
        <v>397</v>
      </c>
      <c r="AR88" t="s">
        <v>398</v>
      </c>
    </row>
    <row r="89" spans="43:44" x14ac:dyDescent="0.2">
      <c r="AQ89" t="s">
        <v>399</v>
      </c>
      <c r="AR89" t="s">
        <v>400</v>
      </c>
    </row>
    <row r="90" spans="43:44" x14ac:dyDescent="0.2">
      <c r="AQ90" t="s">
        <v>401</v>
      </c>
      <c r="AR90" t="s">
        <v>402</v>
      </c>
    </row>
    <row r="91" spans="43:44" x14ac:dyDescent="0.2">
      <c r="AQ91" t="s">
        <v>403</v>
      </c>
      <c r="AR91" t="s">
        <v>404</v>
      </c>
    </row>
    <row r="92" spans="43:44" x14ac:dyDescent="0.2">
      <c r="AQ92" t="s">
        <v>405</v>
      </c>
      <c r="AR92" t="s">
        <v>406</v>
      </c>
    </row>
    <row r="93" spans="43:44" x14ac:dyDescent="0.2">
      <c r="AQ93" t="s">
        <v>407</v>
      </c>
      <c r="AR93" t="s">
        <v>408</v>
      </c>
    </row>
    <row r="94" spans="43:44" x14ac:dyDescent="0.2">
      <c r="AQ94" t="s">
        <v>409</v>
      </c>
      <c r="AR94" t="s">
        <v>410</v>
      </c>
    </row>
    <row r="95" spans="43:44" x14ac:dyDescent="0.2">
      <c r="AQ95" t="s">
        <v>411</v>
      </c>
      <c r="AR95" t="s">
        <v>411</v>
      </c>
    </row>
    <row r="96" spans="43:44" x14ac:dyDescent="0.2">
      <c r="AQ96" t="s">
        <v>412</v>
      </c>
      <c r="AR96" t="s">
        <v>413</v>
      </c>
    </row>
    <row r="97" spans="43:44" x14ac:dyDescent="0.2">
      <c r="AQ97" t="s">
        <v>414</v>
      </c>
      <c r="AR97" t="s">
        <v>415</v>
      </c>
    </row>
    <row r="98" spans="43:44" x14ac:dyDescent="0.2">
      <c r="AQ98" t="s">
        <v>416</v>
      </c>
      <c r="AR98" t="s">
        <v>416</v>
      </c>
    </row>
    <row r="99" spans="43:44" x14ac:dyDescent="0.2">
      <c r="AQ99" t="s">
        <v>417</v>
      </c>
      <c r="AR99" t="s">
        <v>417</v>
      </c>
    </row>
    <row r="100" spans="43:44" x14ac:dyDescent="0.2">
      <c r="AQ100" t="s">
        <v>417</v>
      </c>
      <c r="AR100" t="s">
        <v>417</v>
      </c>
    </row>
    <row r="101" spans="43:44" x14ac:dyDescent="0.2">
      <c r="AQ101" t="s">
        <v>418</v>
      </c>
      <c r="AR101" t="s">
        <v>419</v>
      </c>
    </row>
    <row r="102" spans="43:44" x14ac:dyDescent="0.2">
      <c r="AQ102" t="s">
        <v>420</v>
      </c>
      <c r="AR102" t="s">
        <v>421</v>
      </c>
    </row>
    <row r="103" spans="43:44" x14ac:dyDescent="0.2">
      <c r="AQ103" t="s">
        <v>422</v>
      </c>
      <c r="AR103" t="s">
        <v>423</v>
      </c>
    </row>
    <row r="104" spans="43:44" x14ac:dyDescent="0.2">
      <c r="AQ104" t="s">
        <v>424</v>
      </c>
      <c r="AR104" t="s">
        <v>425</v>
      </c>
    </row>
    <row r="105" spans="43:44" x14ac:dyDescent="0.2">
      <c r="AQ105" t="s">
        <v>426</v>
      </c>
      <c r="AR105" t="s">
        <v>427</v>
      </c>
    </row>
    <row r="106" spans="43:44" x14ac:dyDescent="0.2">
      <c r="AQ106" t="s">
        <v>428</v>
      </c>
      <c r="AR106" t="s">
        <v>429</v>
      </c>
    </row>
    <row r="107" spans="43:44" x14ac:dyDescent="0.2">
      <c r="AQ107" t="s">
        <v>430</v>
      </c>
      <c r="AR107" t="s">
        <v>431</v>
      </c>
    </row>
    <row r="108" spans="43:44" x14ac:dyDescent="0.2">
      <c r="AQ108" t="s">
        <v>432</v>
      </c>
      <c r="AR108" t="s">
        <v>433</v>
      </c>
    </row>
    <row r="109" spans="43:44" x14ac:dyDescent="0.2">
      <c r="AQ109" t="s">
        <v>434</v>
      </c>
      <c r="AR109" t="s">
        <v>435</v>
      </c>
    </row>
    <row r="110" spans="43:44" x14ac:dyDescent="0.2">
      <c r="AQ110" t="s">
        <v>436</v>
      </c>
      <c r="AR110" t="s">
        <v>437</v>
      </c>
    </row>
    <row r="111" spans="43:44" x14ac:dyDescent="0.2">
      <c r="AQ111" t="s">
        <v>438</v>
      </c>
      <c r="AR111" t="s">
        <v>439</v>
      </c>
    </row>
    <row r="112" spans="43:44" x14ac:dyDescent="0.2">
      <c r="AQ112" t="s">
        <v>440</v>
      </c>
      <c r="AR112" t="s">
        <v>441</v>
      </c>
    </row>
    <row r="113" spans="43:44" x14ac:dyDescent="0.2">
      <c r="AQ113" t="s">
        <v>442</v>
      </c>
      <c r="AR113" t="s">
        <v>443</v>
      </c>
    </row>
    <row r="114" spans="43:44" x14ac:dyDescent="0.2">
      <c r="AQ114" t="s">
        <v>444</v>
      </c>
      <c r="AR114" t="s">
        <v>445</v>
      </c>
    </row>
    <row r="115" spans="43:44" x14ac:dyDescent="0.2">
      <c r="AQ115" t="s">
        <v>446</v>
      </c>
      <c r="AR115" t="s">
        <v>447</v>
      </c>
    </row>
    <row r="116" spans="43:44" x14ac:dyDescent="0.2">
      <c r="AQ116" t="s">
        <v>448</v>
      </c>
      <c r="AR116" t="s">
        <v>449</v>
      </c>
    </row>
    <row r="117" spans="43:44" x14ac:dyDescent="0.2">
      <c r="AQ117" t="s">
        <v>450</v>
      </c>
      <c r="AR117" t="s">
        <v>451</v>
      </c>
    </row>
    <row r="118" spans="43:44" x14ac:dyDescent="0.2">
      <c r="AQ118" t="s">
        <v>452</v>
      </c>
      <c r="AR118" t="s">
        <v>453</v>
      </c>
    </row>
    <row r="119" spans="43:44" x14ac:dyDescent="0.2">
      <c r="AQ119" t="s">
        <v>454</v>
      </c>
      <c r="AR119" t="s">
        <v>454</v>
      </c>
    </row>
    <row r="120" spans="43:44" x14ac:dyDescent="0.2">
      <c r="AQ120" t="s">
        <v>455</v>
      </c>
      <c r="AR120" t="s">
        <v>455</v>
      </c>
    </row>
    <row r="121" spans="43:44" x14ac:dyDescent="0.2">
      <c r="AQ121" t="s">
        <v>456</v>
      </c>
      <c r="AR121" t="s">
        <v>457</v>
      </c>
    </row>
    <row r="122" spans="43:44" x14ac:dyDescent="0.2">
      <c r="AQ122" t="s">
        <v>458</v>
      </c>
      <c r="AR122" t="s">
        <v>459</v>
      </c>
    </row>
    <row r="123" spans="43:44" x14ac:dyDescent="0.2">
      <c r="AQ123" t="s">
        <v>460</v>
      </c>
      <c r="AR123" t="s">
        <v>461</v>
      </c>
    </row>
    <row r="124" spans="43:44" x14ac:dyDescent="0.2">
      <c r="AQ124" t="s">
        <v>462</v>
      </c>
      <c r="AR124" t="s">
        <v>463</v>
      </c>
    </row>
    <row r="125" spans="43:44" x14ac:dyDescent="0.2">
      <c r="AQ125" t="s">
        <v>464</v>
      </c>
      <c r="AR125" t="s">
        <v>465</v>
      </c>
    </row>
    <row r="126" spans="43:44" x14ac:dyDescent="0.2">
      <c r="AQ126" t="s">
        <v>466</v>
      </c>
      <c r="AR126" t="s">
        <v>467</v>
      </c>
    </row>
    <row r="127" spans="43:44" x14ac:dyDescent="0.2">
      <c r="AQ127" t="s">
        <v>468</v>
      </c>
      <c r="AR127" t="s">
        <v>469</v>
      </c>
    </row>
    <row r="128" spans="43:44" x14ac:dyDescent="0.2">
      <c r="AQ128" t="s">
        <v>470</v>
      </c>
      <c r="AR128" t="s">
        <v>471</v>
      </c>
    </row>
    <row r="129" spans="43:44" x14ac:dyDescent="0.2">
      <c r="AQ129" t="s">
        <v>472</v>
      </c>
      <c r="AR129" t="s">
        <v>473</v>
      </c>
    </row>
    <row r="130" spans="43:44" x14ac:dyDescent="0.2">
      <c r="AQ130" t="s">
        <v>474</v>
      </c>
      <c r="AR130" t="s">
        <v>475</v>
      </c>
    </row>
    <row r="131" spans="43:44" x14ac:dyDescent="0.2">
      <c r="AQ131" t="s">
        <v>476</v>
      </c>
      <c r="AR131" t="s">
        <v>477</v>
      </c>
    </row>
    <row r="132" spans="43:44" x14ac:dyDescent="0.2">
      <c r="AQ132" t="s">
        <v>478</v>
      </c>
      <c r="AR132" t="s">
        <v>479</v>
      </c>
    </row>
    <row r="133" spans="43:44" x14ac:dyDescent="0.2">
      <c r="AQ133" t="s">
        <v>480</v>
      </c>
      <c r="AR133" t="s">
        <v>481</v>
      </c>
    </row>
    <row r="134" spans="43:44" x14ac:dyDescent="0.2">
      <c r="AQ134" t="s">
        <v>482</v>
      </c>
      <c r="AR134" t="s">
        <v>483</v>
      </c>
    </row>
    <row r="135" spans="43:44" x14ac:dyDescent="0.2">
      <c r="AQ135" t="s">
        <v>484</v>
      </c>
      <c r="AR135" t="s">
        <v>485</v>
      </c>
    </row>
    <row r="136" spans="43:44" x14ac:dyDescent="0.2">
      <c r="AQ136" t="s">
        <v>486</v>
      </c>
      <c r="AR136" t="s">
        <v>487</v>
      </c>
    </row>
    <row r="137" spans="43:44" x14ac:dyDescent="0.2">
      <c r="AQ137" t="s">
        <v>488</v>
      </c>
      <c r="AR137" t="s">
        <v>489</v>
      </c>
    </row>
    <row r="138" spans="43:44" x14ac:dyDescent="0.2">
      <c r="AQ138" t="s">
        <v>490</v>
      </c>
      <c r="AR138" t="s">
        <v>491</v>
      </c>
    </row>
    <row r="139" spans="43:44" x14ac:dyDescent="0.2">
      <c r="AQ139" t="s">
        <v>492</v>
      </c>
      <c r="AR139" t="s">
        <v>493</v>
      </c>
    </row>
    <row r="140" spans="43:44" x14ac:dyDescent="0.2">
      <c r="AQ140" t="s">
        <v>494</v>
      </c>
      <c r="AR140" t="s">
        <v>495</v>
      </c>
    </row>
    <row r="141" spans="43:44" x14ac:dyDescent="0.2">
      <c r="AQ141" t="s">
        <v>496</v>
      </c>
      <c r="AR141" t="s">
        <v>497</v>
      </c>
    </row>
    <row r="142" spans="43:44" x14ac:dyDescent="0.2">
      <c r="AQ142" t="s">
        <v>498</v>
      </c>
      <c r="AR142" t="s">
        <v>499</v>
      </c>
    </row>
    <row r="143" spans="43:44" x14ac:dyDescent="0.2">
      <c r="AQ143" t="s">
        <v>483</v>
      </c>
      <c r="AR143" t="s">
        <v>483</v>
      </c>
    </row>
    <row r="144" spans="43:44" x14ac:dyDescent="0.2">
      <c r="AQ144" t="s">
        <v>500</v>
      </c>
      <c r="AR144" t="s">
        <v>500</v>
      </c>
    </row>
    <row r="145" spans="43:44" x14ac:dyDescent="0.2">
      <c r="AQ145" t="s">
        <v>501</v>
      </c>
      <c r="AR145" t="s">
        <v>501</v>
      </c>
    </row>
    <row r="146" spans="43:44" x14ac:dyDescent="0.2">
      <c r="AQ146" t="s">
        <v>502</v>
      </c>
      <c r="AR146" t="s">
        <v>487</v>
      </c>
    </row>
    <row r="147" spans="43:44" x14ac:dyDescent="0.2">
      <c r="AQ147" t="s">
        <v>503</v>
      </c>
      <c r="AR147" t="s">
        <v>504</v>
      </c>
    </row>
    <row r="148" spans="43:44" x14ac:dyDescent="0.2">
      <c r="AQ148" t="s">
        <v>505</v>
      </c>
      <c r="AR148" t="s">
        <v>506</v>
      </c>
    </row>
    <row r="149" spans="43:44" x14ac:dyDescent="0.2">
      <c r="AQ149" t="s">
        <v>507</v>
      </c>
      <c r="AR149" t="s">
        <v>508</v>
      </c>
    </row>
    <row r="150" spans="43:44" x14ac:dyDescent="0.2">
      <c r="AQ150" t="s">
        <v>507</v>
      </c>
      <c r="AR150" t="s">
        <v>508</v>
      </c>
    </row>
    <row r="151" spans="43:44" x14ac:dyDescent="0.2">
      <c r="AQ151" t="s">
        <v>509</v>
      </c>
      <c r="AR151" t="s">
        <v>509</v>
      </c>
    </row>
    <row r="152" spans="43:44" x14ac:dyDescent="0.2">
      <c r="AQ152" t="s">
        <v>510</v>
      </c>
      <c r="AR152" t="s">
        <v>511</v>
      </c>
    </row>
    <row r="153" spans="43:44" x14ac:dyDescent="0.2">
      <c r="AQ153" t="s">
        <v>512</v>
      </c>
      <c r="AR153" t="s">
        <v>513</v>
      </c>
    </row>
    <row r="154" spans="43:44" x14ac:dyDescent="0.2">
      <c r="AQ154" t="s">
        <v>514</v>
      </c>
      <c r="AR154" t="s">
        <v>515</v>
      </c>
    </row>
    <row r="155" spans="43:44" x14ac:dyDescent="0.2">
      <c r="AQ155" t="s">
        <v>516</v>
      </c>
      <c r="AR155" t="s">
        <v>517</v>
      </c>
    </row>
    <row r="156" spans="43:44" x14ac:dyDescent="0.2">
      <c r="AQ156" t="s">
        <v>518</v>
      </c>
      <c r="AR156" t="s">
        <v>519</v>
      </c>
    </row>
    <row r="157" spans="43:44" x14ac:dyDescent="0.2">
      <c r="AQ157" t="s">
        <v>520</v>
      </c>
      <c r="AR157" t="s">
        <v>521</v>
      </c>
    </row>
    <row r="158" spans="43:44" x14ac:dyDescent="0.2">
      <c r="AQ158" t="s">
        <v>522</v>
      </c>
      <c r="AR158" t="s">
        <v>523</v>
      </c>
    </row>
    <row r="159" spans="43:44" x14ac:dyDescent="0.2">
      <c r="AQ159" t="s">
        <v>524</v>
      </c>
      <c r="AR159" t="s">
        <v>525</v>
      </c>
    </row>
    <row r="160" spans="43:44" x14ac:dyDescent="0.2">
      <c r="AQ160" t="s">
        <v>526</v>
      </c>
      <c r="AR160" t="s">
        <v>527</v>
      </c>
    </row>
    <row r="161" spans="43:44" x14ac:dyDescent="0.2">
      <c r="AQ161" t="s">
        <v>528</v>
      </c>
      <c r="AR161" t="s">
        <v>529</v>
      </c>
    </row>
    <row r="162" spans="43:44" x14ac:dyDescent="0.2">
      <c r="AQ162" t="s">
        <v>530</v>
      </c>
      <c r="AR162" t="s">
        <v>531</v>
      </c>
    </row>
    <row r="163" spans="43:44" x14ac:dyDescent="0.2">
      <c r="AQ163" t="s">
        <v>532</v>
      </c>
      <c r="AR163" t="s">
        <v>533</v>
      </c>
    </row>
    <row r="164" spans="43:44" x14ac:dyDescent="0.2">
      <c r="AQ164" t="s">
        <v>534</v>
      </c>
      <c r="AR164" t="s">
        <v>535</v>
      </c>
    </row>
    <row r="165" spans="43:44" x14ac:dyDescent="0.2">
      <c r="AQ165" t="s">
        <v>536</v>
      </c>
      <c r="AR165" t="s">
        <v>537</v>
      </c>
    </row>
    <row r="166" spans="43:44" x14ac:dyDescent="0.2">
      <c r="AQ166" t="s">
        <v>538</v>
      </c>
      <c r="AR166" t="s">
        <v>538</v>
      </c>
    </row>
    <row r="167" spans="43:44" x14ac:dyDescent="0.2">
      <c r="AQ167" t="s">
        <v>539</v>
      </c>
      <c r="AR167" t="s">
        <v>540</v>
      </c>
    </row>
    <row r="168" spans="43:44" x14ac:dyDescent="0.2">
      <c r="AQ168" t="s">
        <v>541</v>
      </c>
      <c r="AR168" t="s">
        <v>542</v>
      </c>
    </row>
    <row r="169" spans="43:44" x14ac:dyDescent="0.2">
      <c r="AQ169" t="s">
        <v>543</v>
      </c>
      <c r="AR169" t="s">
        <v>544</v>
      </c>
    </row>
    <row r="170" spans="43:44" x14ac:dyDescent="0.2">
      <c r="AQ170" t="s">
        <v>545</v>
      </c>
      <c r="AR170" t="s">
        <v>546</v>
      </c>
    </row>
    <row r="171" spans="43:44" x14ac:dyDescent="0.2">
      <c r="AQ171" t="s">
        <v>547</v>
      </c>
      <c r="AR171" t="s">
        <v>548</v>
      </c>
    </row>
    <row r="172" spans="43:44" x14ac:dyDescent="0.2">
      <c r="AQ172" t="s">
        <v>549</v>
      </c>
      <c r="AR172" t="s">
        <v>550</v>
      </c>
    </row>
    <row r="173" spans="43:44" x14ac:dyDescent="0.2">
      <c r="AQ173" t="s">
        <v>551</v>
      </c>
      <c r="AR173" t="s">
        <v>552</v>
      </c>
    </row>
    <row r="174" spans="43:44" x14ac:dyDescent="0.2">
      <c r="AQ174" t="s">
        <v>553</v>
      </c>
      <c r="AR174" t="s">
        <v>554</v>
      </c>
    </row>
    <row r="175" spans="43:44" x14ac:dyDescent="0.2">
      <c r="AQ175" t="s">
        <v>555</v>
      </c>
      <c r="AR175" t="s">
        <v>556</v>
      </c>
    </row>
    <row r="176" spans="43:44" x14ac:dyDescent="0.2">
      <c r="AQ176" t="s">
        <v>557</v>
      </c>
      <c r="AR176" t="s">
        <v>558</v>
      </c>
    </row>
    <row r="177" spans="43:44" x14ac:dyDescent="0.2">
      <c r="AQ177" t="s">
        <v>559</v>
      </c>
      <c r="AR177" t="s">
        <v>560</v>
      </c>
    </row>
    <row r="178" spans="43:44" x14ac:dyDescent="0.2">
      <c r="AQ178" t="s">
        <v>561</v>
      </c>
      <c r="AR178" t="s">
        <v>562</v>
      </c>
    </row>
    <row r="179" spans="43:44" x14ac:dyDescent="0.2">
      <c r="AQ179" t="s">
        <v>563</v>
      </c>
      <c r="AR179" t="s">
        <v>564</v>
      </c>
    </row>
    <row r="180" spans="43:44" x14ac:dyDescent="0.2">
      <c r="AQ180" t="s">
        <v>565</v>
      </c>
      <c r="AR180" t="s">
        <v>566</v>
      </c>
    </row>
    <row r="181" spans="43:44" x14ac:dyDescent="0.2">
      <c r="AQ181" t="s">
        <v>567</v>
      </c>
      <c r="AR181" t="s">
        <v>568</v>
      </c>
    </row>
    <row r="182" spans="43:44" x14ac:dyDescent="0.2">
      <c r="AQ182" t="s">
        <v>569</v>
      </c>
      <c r="AR182" t="s">
        <v>570</v>
      </c>
    </row>
    <row r="183" spans="43:44" x14ac:dyDescent="0.2">
      <c r="AQ183" t="s">
        <v>571</v>
      </c>
      <c r="AR183" t="s">
        <v>572</v>
      </c>
    </row>
    <row r="184" spans="43:44" x14ac:dyDescent="0.2">
      <c r="AQ184" t="s">
        <v>573</v>
      </c>
      <c r="AR184" t="s">
        <v>574</v>
      </c>
    </row>
    <row r="185" spans="43:44" x14ac:dyDescent="0.2">
      <c r="AQ185" t="s">
        <v>575</v>
      </c>
      <c r="AR185" t="s">
        <v>576</v>
      </c>
    </row>
    <row r="186" spans="43:44" x14ac:dyDescent="0.2">
      <c r="AQ186" t="s">
        <v>577</v>
      </c>
      <c r="AR186" t="s">
        <v>578</v>
      </c>
    </row>
    <row r="187" spans="43:44" x14ac:dyDescent="0.2">
      <c r="AQ187" t="s">
        <v>579</v>
      </c>
      <c r="AR187" t="s">
        <v>580</v>
      </c>
    </row>
    <row r="188" spans="43:44" x14ac:dyDescent="0.2">
      <c r="AQ188" t="s">
        <v>581</v>
      </c>
      <c r="AR188" t="s">
        <v>582</v>
      </c>
    </row>
    <row r="189" spans="43:44" x14ac:dyDescent="0.2">
      <c r="AQ189" t="s">
        <v>583</v>
      </c>
      <c r="AR189" t="s">
        <v>584</v>
      </c>
    </row>
    <row r="190" spans="43:44" x14ac:dyDescent="0.2">
      <c r="AQ190" t="s">
        <v>585</v>
      </c>
      <c r="AR190" t="s">
        <v>586</v>
      </c>
    </row>
    <row r="191" spans="43:44" x14ac:dyDescent="0.2">
      <c r="AQ191" t="s">
        <v>587</v>
      </c>
      <c r="AR191" t="s">
        <v>588</v>
      </c>
    </row>
    <row r="192" spans="43:44" x14ac:dyDescent="0.2">
      <c r="AQ192" t="s">
        <v>589</v>
      </c>
      <c r="AR192" t="s">
        <v>590</v>
      </c>
    </row>
    <row r="193" spans="43:44" x14ac:dyDescent="0.2">
      <c r="AQ193" t="s">
        <v>591</v>
      </c>
      <c r="AR193" t="s">
        <v>592</v>
      </c>
    </row>
    <row r="194" spans="43:44" x14ac:dyDescent="0.2">
      <c r="AQ194" t="s">
        <v>593</v>
      </c>
      <c r="AR194" t="s">
        <v>594</v>
      </c>
    </row>
    <row r="195" spans="43:44" x14ac:dyDescent="0.2">
      <c r="AQ195" t="s">
        <v>595</v>
      </c>
      <c r="AR195" t="s">
        <v>596</v>
      </c>
    </row>
    <row r="196" spans="43:44" x14ac:dyDescent="0.2">
      <c r="AQ196" t="s">
        <v>597</v>
      </c>
      <c r="AR196" t="s">
        <v>598</v>
      </c>
    </row>
    <row r="197" spans="43:44" x14ac:dyDescent="0.2">
      <c r="AQ197" t="s">
        <v>599</v>
      </c>
      <c r="AR197" t="s">
        <v>600</v>
      </c>
    </row>
    <row r="198" spans="43:44" x14ac:dyDescent="0.2">
      <c r="AQ198" t="s">
        <v>601</v>
      </c>
      <c r="AR198" t="s">
        <v>602</v>
      </c>
    </row>
    <row r="199" spans="43:44" x14ac:dyDescent="0.2">
      <c r="AQ199" t="s">
        <v>603</v>
      </c>
      <c r="AR199" t="s">
        <v>604</v>
      </c>
    </row>
    <row r="200" spans="43:44" x14ac:dyDescent="0.2">
      <c r="AQ200" t="s">
        <v>605</v>
      </c>
      <c r="AR200" t="s">
        <v>606</v>
      </c>
    </row>
    <row r="201" spans="43:44" x14ac:dyDescent="0.2">
      <c r="AQ201" t="s">
        <v>607</v>
      </c>
      <c r="AR201" t="s">
        <v>608</v>
      </c>
    </row>
    <row r="202" spans="43:44" x14ac:dyDescent="0.2">
      <c r="AQ202" t="s">
        <v>609</v>
      </c>
      <c r="AR202" t="s">
        <v>610</v>
      </c>
    </row>
    <row r="203" spans="43:44" x14ac:dyDescent="0.2">
      <c r="AQ203" t="s">
        <v>611</v>
      </c>
      <c r="AR203" t="s">
        <v>612</v>
      </c>
    </row>
    <row r="204" spans="43:44" x14ac:dyDescent="0.2">
      <c r="AQ204" t="s">
        <v>613</v>
      </c>
      <c r="AR204" t="s">
        <v>614</v>
      </c>
    </row>
    <row r="205" spans="43:44" x14ac:dyDescent="0.2">
      <c r="AQ205" t="s">
        <v>615</v>
      </c>
      <c r="AR205" t="s">
        <v>616</v>
      </c>
    </row>
    <row r="206" spans="43:44" x14ac:dyDescent="0.2">
      <c r="AQ206" t="s">
        <v>617</v>
      </c>
      <c r="AR206" t="s">
        <v>618</v>
      </c>
    </row>
    <row r="207" spans="43:44" x14ac:dyDescent="0.2">
      <c r="AQ207" t="s">
        <v>619</v>
      </c>
      <c r="AR207" t="s">
        <v>620</v>
      </c>
    </row>
    <row r="208" spans="43:44" x14ac:dyDescent="0.2">
      <c r="AQ208" t="s">
        <v>621</v>
      </c>
      <c r="AR208" t="s">
        <v>622</v>
      </c>
    </row>
    <row r="209" spans="43:44" x14ac:dyDescent="0.2">
      <c r="AQ209" t="s">
        <v>623</v>
      </c>
      <c r="AR209" t="s">
        <v>624</v>
      </c>
    </row>
    <row r="210" spans="43:44" x14ac:dyDescent="0.2">
      <c r="AQ210" t="s">
        <v>625</v>
      </c>
      <c r="AR210" t="s">
        <v>626</v>
      </c>
    </row>
    <row r="211" spans="43:44" x14ac:dyDescent="0.2">
      <c r="AQ211" t="s">
        <v>627</v>
      </c>
      <c r="AR211" t="s">
        <v>627</v>
      </c>
    </row>
    <row r="212" spans="43:44" x14ac:dyDescent="0.2">
      <c r="AQ212" t="s">
        <v>628</v>
      </c>
      <c r="AR212" t="s">
        <v>628</v>
      </c>
    </row>
    <row r="213" spans="43:44" x14ac:dyDescent="0.2">
      <c r="AQ213" t="s">
        <v>629</v>
      </c>
      <c r="AR213" t="s">
        <v>630</v>
      </c>
    </row>
    <row r="214" spans="43:44" x14ac:dyDescent="0.2">
      <c r="AQ214" t="s">
        <v>631</v>
      </c>
      <c r="AR214" t="s">
        <v>630</v>
      </c>
    </row>
    <row r="215" spans="43:44" x14ac:dyDescent="0.2">
      <c r="AQ215" t="s">
        <v>632</v>
      </c>
      <c r="AR215" t="s">
        <v>632</v>
      </c>
    </row>
    <row r="216" spans="43:44" x14ac:dyDescent="0.2">
      <c r="AQ216" t="s">
        <v>633</v>
      </c>
      <c r="AR216" t="s">
        <v>633</v>
      </c>
    </row>
    <row r="217" spans="43:44" x14ac:dyDescent="0.2">
      <c r="AQ217" t="s">
        <v>634</v>
      </c>
      <c r="AR217" t="s">
        <v>635</v>
      </c>
    </row>
    <row r="218" spans="43:44" x14ac:dyDescent="0.2">
      <c r="AQ218" t="s">
        <v>636</v>
      </c>
      <c r="AR218" t="s">
        <v>637</v>
      </c>
    </row>
    <row r="219" spans="43:44" x14ac:dyDescent="0.2">
      <c r="AQ219" t="s">
        <v>638</v>
      </c>
      <c r="AR219" t="s">
        <v>638</v>
      </c>
    </row>
    <row r="220" spans="43:44" x14ac:dyDescent="0.2">
      <c r="AQ220" t="s">
        <v>639</v>
      </c>
      <c r="AR220" t="s">
        <v>640</v>
      </c>
    </row>
    <row r="222" spans="43:44" x14ac:dyDescent="0.2">
      <c r="AQ222" s="520"/>
      <c r="AR222" s="84"/>
    </row>
  </sheetData>
  <sheetProtection algorithmName="SHA-512" hashValue="JZfkaTHCY/XKRXpAaGLRGANyLLWGdsGX9e7FPfSwGAy+SksoR4iqvBhvXWbLI4jLhSTqJI89bfUgSrLXLx0vtA==" saltValue="vR2YauFKR68LRgnx0jSasQ==" spinCount="100000" sheet="1" objects="1" scenarios="1" autoFilter="0"/>
  <sortState xmlns:xlrd2="http://schemas.microsoft.com/office/spreadsheetml/2017/richdata2" ref="AQ2:AR220">
    <sortCondition ref="AQ3:AQ220"/>
  </sortState>
  <mergeCells count="9">
    <mergeCell ref="B50:C50"/>
    <mergeCell ref="B59:C59"/>
    <mergeCell ref="I1:AO1"/>
    <mergeCell ref="B3:C3"/>
    <mergeCell ref="B15:C15"/>
    <mergeCell ref="B21:C21"/>
    <mergeCell ref="B27:C27"/>
    <mergeCell ref="B35:C35"/>
    <mergeCell ref="B46:C46"/>
  </mergeCells>
  <phoneticPr fontId="38" type="noConversion"/>
  <conditionalFormatting sqref="B57:C58">
    <cfRule type="expression" dxfId="1087" priority="2" stopIfTrue="1">
      <formula>CAIXA.Modo=FALSE</formula>
    </cfRule>
  </conditionalFormatting>
  <conditionalFormatting sqref="B59:C61">
    <cfRule type="expression" dxfId="1086" priority="3" stopIfTrue="1">
      <formula>CAIXA.Modo=FALSE</formula>
    </cfRule>
  </conditionalFormatting>
  <dataValidations count="7">
    <dataValidation type="date" allowBlank="1" showErrorMessage="1" errorTitle="Dados inválidos" error="Digite somente datas válidas no formato mm/aaaa." sqref="C19 C25 C36 C41 C47:C48" xr:uid="{00000000-0002-0000-0100-000000000000}">
      <formula1>36526</formula1>
      <formula2>72686</formula2>
    </dataValidation>
    <dataValidation type="list" allowBlank="1" showErrorMessage="1" sqref="C18" xr:uid="{00000000-0002-0000-0100-000001000000}">
      <formula1>"(SELECIONAR),NÃO SE APLICA,DESONERADO,NÃO DESONERADO"</formula1>
      <formula2>0</formula2>
    </dataValidation>
    <dataValidation type="decimal" allowBlank="1" showErrorMessage="1" error="Digite um valor em percentual._x000a__x000a_Ou seja um valor de 0% (zero) até 100% (cem). " sqref="C11 C13:C14" xr:uid="{00000000-0002-0000-0100-000002000000}">
      <formula1>0</formula1>
      <formula2>1</formula2>
    </dataValidation>
    <dataValidation type="list" allowBlank="1" showErrorMessage="1" sqref="C4" xr:uid="{00000000-0002-0000-0100-000003000000}">
      <formula1>"(SELECIONAR),OGU,FGTS"</formula1>
      <formula2>0</formula2>
    </dataValidation>
    <dataValidation type="decimal" operator="greaterThan" allowBlank="1" showErrorMessage="1" error="Digite um valor maior do que 0." sqref="C12" xr:uid="{00000000-0002-0000-0100-000004000000}">
      <formula1>0</formula1>
      <formula2>0</formula2>
    </dataValidation>
    <dataValidation type="list" allowBlank="1" showErrorMessage="1" sqref="C40" xr:uid="{00000000-0002-0000-0100-000005000000}">
      <formula1>"(SELECIONAR),INDEFINIDO / NÃO SE APLICA,EMPREITADA POR PREÇO GLOBAL,EMPREITADA POR PREÇO UNITÁRIO,EMPREITADA INTEGRAL,TAREFA,CONTRATAÇÃO INTEGRADA,ADM. DIRETA"</formula1>
      <formula2>0</formula2>
    </dataValidation>
    <dataValidation type="list" allowBlank="1" showErrorMessage="1" sqref="C31" xr:uid="{00000000-0002-0000-0100-000006000000}">
      <formula1>"Tradicional,TransfereGOV"</formula1>
    </dataValidation>
  </dataValidations>
  <pageMargins left="0.78740157480314998" right="0.78740157480314998" top="0.78740157480314998" bottom="0.78740157480314998" header="5.7086614173228396" footer="0.59055118110236204"/>
  <pageSetup paperSize="9" scale="46" firstPageNumber="0" fitToHeight="0" orientation="portrait" horizontalDpi="300" verticalDpi="300" r:id="rId1"/>
  <headerFooter alignWithMargins="0">
    <oddHeader>&amp;L_</oddHeader>
    <oddFooter>&amp;LPMv3.11&amp;R&amp;P / &amp;N</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4">
    <pageSetUpPr fitToPage="1"/>
  </sheetPr>
  <dimension ref="A1:Z146"/>
  <sheetViews>
    <sheetView showGridLines="0" topLeftCell="H1" zoomScaleNormal="100" zoomScaleSheetLayoutView="100" workbookViewId="0">
      <pane ySplit="11" topLeftCell="A12" activePane="bottomLeft" state="frozen"/>
      <selection activeCell="E1" sqref="E1"/>
      <selection pane="bottomLeft" activeCell="L5" sqref="L5:M5"/>
    </sheetView>
  </sheetViews>
  <sheetFormatPr defaultRowHeight="12.75" x14ac:dyDescent="0.2"/>
  <cols>
    <col min="1" max="4" width="5.5703125" style="49" hidden="1" customWidth="1"/>
    <col min="5" max="6" width="11.42578125" style="49" hidden="1" customWidth="1"/>
    <col min="7" max="7" width="11.85546875" style="49" hidden="1" customWidth="1"/>
    <col min="8" max="8" width="10.5703125" customWidth="1"/>
    <col min="9" max="9" width="3.5703125" customWidth="1"/>
    <col min="10" max="15" width="10.5703125" style="49" customWidth="1"/>
    <col min="16" max="16" width="12.85546875" style="49" customWidth="1"/>
    <col min="17" max="19" width="10.5703125" style="49" customWidth="1"/>
  </cols>
  <sheetData>
    <row r="1" spans="1:21" ht="15.75" x14ac:dyDescent="0.25">
      <c r="E1" s="50" t="s">
        <v>641</v>
      </c>
      <c r="F1" s="50" t="s">
        <v>642</v>
      </c>
      <c r="G1" s="50" t="s">
        <v>643</v>
      </c>
      <c r="O1" s="51" t="str">
        <f>"Quadro de Composição do BDI"</f>
        <v>Quadro de Composição do BDI</v>
      </c>
      <c r="R1" s="671" t="s">
        <v>644</v>
      </c>
      <c r="S1" s="671"/>
    </row>
    <row r="2" spans="1:21" x14ac:dyDescent="0.2">
      <c r="A2" s="49" t="s">
        <v>645</v>
      </c>
      <c r="B2" s="53" t="s">
        <v>646</v>
      </c>
      <c r="C2" s="49" t="str">
        <f t="shared" ref="C2:C49" si="0">CONCATENATE(A2,"-",B2)</f>
        <v>Construção e Reforma de Edifícios-AC</v>
      </c>
      <c r="E2" s="54">
        <v>0.03</v>
      </c>
      <c r="F2" s="54">
        <v>0.04</v>
      </c>
      <c r="G2" s="54">
        <v>5.5E-2</v>
      </c>
      <c r="R2" s="672" t="s">
        <v>647</v>
      </c>
      <c r="S2" s="672"/>
    </row>
    <row r="3" spans="1:21" x14ac:dyDescent="0.2">
      <c r="A3" s="49" t="str">
        <f>A2</f>
        <v>Construção e Reforma de Edifícios</v>
      </c>
      <c r="B3" s="53" t="s">
        <v>648</v>
      </c>
      <c r="C3" s="49" t="str">
        <f t="shared" si="0"/>
        <v>Construção e Reforma de Edifícios-SG</v>
      </c>
      <c r="E3" s="54">
        <v>8.0000000000000002E-3</v>
      </c>
      <c r="F3" s="54">
        <v>8.0000000000000002E-3</v>
      </c>
      <c r="G3" s="54">
        <v>0.01</v>
      </c>
    </row>
    <row r="4" spans="1:21" x14ac:dyDescent="0.2">
      <c r="A4" s="49" t="str">
        <f>A3</f>
        <v>Construção e Reforma de Edifícios</v>
      </c>
      <c r="B4" s="53" t="s">
        <v>649</v>
      </c>
      <c r="C4" s="49" t="str">
        <f t="shared" si="0"/>
        <v>Construção e Reforma de Edifícios-R</v>
      </c>
      <c r="E4" s="54">
        <v>9.7000000000000003E-3</v>
      </c>
      <c r="F4" s="54">
        <v>1.2699999999999999E-2</v>
      </c>
      <c r="G4" s="54">
        <v>1.2699999999999999E-2</v>
      </c>
      <c r="J4" s="673" t="s">
        <v>650</v>
      </c>
      <c r="K4" s="673"/>
      <c r="L4" s="673" t="s">
        <v>651</v>
      </c>
      <c r="M4" s="673"/>
      <c r="N4" s="673" t="s">
        <v>652</v>
      </c>
      <c r="O4" s="673"/>
      <c r="P4" s="673"/>
      <c r="Q4" s="673"/>
      <c r="R4" s="673"/>
      <c r="S4" s="673"/>
    </row>
    <row r="5" spans="1:21" ht="12.75" customHeight="1" x14ac:dyDescent="0.2">
      <c r="A5" s="49" t="str">
        <f>A4</f>
        <v>Construção e Reforma de Edifícios</v>
      </c>
      <c r="B5" s="53" t="s">
        <v>653</v>
      </c>
      <c r="C5" s="49" t="str">
        <f t="shared" si="0"/>
        <v>Construção e Reforma de Edifícios-DF</v>
      </c>
      <c r="E5" s="54">
        <v>5.8999999999999999E-3</v>
      </c>
      <c r="F5" s="54">
        <v>1.23E-2</v>
      </c>
      <c r="G5" s="54">
        <v>1.3899999999999999E-2</v>
      </c>
      <c r="J5" s="670">
        <f>Import.CR</f>
        <v>0</v>
      </c>
      <c r="K5" s="670"/>
      <c r="L5" s="670" t="str">
        <f>Import.TransfereGOV</f>
        <v>958977</v>
      </c>
      <c r="M5" s="670"/>
      <c r="N5" s="670" t="str">
        <f>Import.Proponente</f>
        <v>PREFEITURA MUNICIPAL DE CAÇADOR</v>
      </c>
      <c r="O5" s="670"/>
      <c r="P5" s="670"/>
      <c r="Q5" s="670"/>
      <c r="R5" s="670"/>
      <c r="S5" s="670"/>
    </row>
    <row r="6" spans="1:21" x14ac:dyDescent="0.2">
      <c r="A6" s="49" t="str">
        <f>A5</f>
        <v>Construção e Reforma de Edifícios</v>
      </c>
      <c r="B6" s="53" t="s">
        <v>654</v>
      </c>
      <c r="C6" s="49" t="str">
        <f t="shared" si="0"/>
        <v>Construção e Reforma de Edifícios-L</v>
      </c>
      <c r="E6" s="54">
        <v>6.1600000000000002E-2</v>
      </c>
      <c r="F6" s="54">
        <v>7.400000000000001E-2</v>
      </c>
      <c r="G6" s="54">
        <v>8.9600000000000013E-2</v>
      </c>
      <c r="I6" s="702" t="s">
        <v>655</v>
      </c>
      <c r="J6" s="57"/>
      <c r="K6" s="57"/>
      <c r="L6" s="57"/>
      <c r="M6" s="57"/>
      <c r="N6" s="57"/>
      <c r="O6" s="57"/>
      <c r="P6" s="57"/>
      <c r="Q6" s="57"/>
      <c r="R6" s="57"/>
      <c r="S6" s="57"/>
    </row>
    <row r="7" spans="1:21" ht="25.5" x14ac:dyDescent="0.25">
      <c r="A7" s="49" t="str">
        <f>A6</f>
        <v>Construção e Reforma de Edifícios</v>
      </c>
      <c r="B7" s="58" t="s">
        <v>656</v>
      </c>
      <c r="C7" s="49" t="str">
        <f t="shared" si="0"/>
        <v>Construção e Reforma de Edifícios-BDI PAD</v>
      </c>
      <c r="E7" s="54">
        <v>0.2034</v>
      </c>
      <c r="F7" s="54">
        <v>0.22120000000000001</v>
      </c>
      <c r="G7" s="54">
        <v>0.25</v>
      </c>
      <c r="I7" s="702"/>
      <c r="J7" s="673" t="s">
        <v>657</v>
      </c>
      <c r="K7" s="673"/>
      <c r="L7" s="673"/>
      <c r="M7" s="673"/>
      <c r="N7" s="673"/>
      <c r="O7" s="673"/>
      <c r="P7" s="673"/>
      <c r="Q7" s="673"/>
      <c r="R7" s="673"/>
      <c r="S7" s="673"/>
      <c r="U7" s="522" t="str">
        <f ca="1">IF(OR(U10&lt;&gt;"",U11&lt;&gt;""),"Falta preencher os percentuais do ISS",IF(U14&lt;&gt;"","Falta preencher o BDI 1",IF(U54&lt;&gt;"","Falta preencher o BDI 2",IF(U94&lt;&gt;"","Falta preencher o BDI 3",""))))</f>
        <v/>
      </c>
    </row>
    <row r="8" spans="1:21" ht="15.75" x14ac:dyDescent="0.25">
      <c r="A8" s="49" t="s">
        <v>658</v>
      </c>
      <c r="B8" s="53" t="s">
        <v>646</v>
      </c>
      <c r="C8" s="49" t="str">
        <f t="shared" si="0"/>
        <v>Construção de Praças Urbanas, Rodovias, Ferrovias e recapeamento e pavimentação de vias urbanas-AC</v>
      </c>
      <c r="E8" s="54">
        <v>3.7999999999999999E-2</v>
      </c>
      <c r="F8" s="54">
        <v>4.0099999999999997E-2</v>
      </c>
      <c r="G8" s="54">
        <v>4.6699999999999998E-2</v>
      </c>
      <c r="I8" s="702"/>
      <c r="J8" s="676" t="str">
        <f>Import.Apelido&amp;" / "&amp;Import.DescLote</f>
        <v xml:space="preserve">CMEI Sorgatto / </v>
      </c>
      <c r="K8" s="676"/>
      <c r="L8" s="676"/>
      <c r="M8" s="676"/>
      <c r="N8" s="676"/>
      <c r="O8" s="676"/>
      <c r="P8" s="676"/>
      <c r="Q8" s="676"/>
      <c r="R8" s="676"/>
      <c r="S8" s="676"/>
      <c r="U8" s="522" t="str">
        <f ca="1">IF(U29="FORA DO INTERVALO","BDI 1 fora do intervalo",IF(U69="FORA DO INTERVALO","BDI 2 fora do intervalo",IF(U109="FORA DO INTERVALO","BDI 3 fora do intervalo","")))</f>
        <v/>
      </c>
    </row>
    <row r="9" spans="1:21" x14ac:dyDescent="0.2">
      <c r="A9" s="49" t="s">
        <v>658</v>
      </c>
      <c r="B9" s="53" t="s">
        <v>648</v>
      </c>
      <c r="C9" s="49" t="str">
        <f t="shared" si="0"/>
        <v>Construção de Praças Urbanas, Rodovias, Ferrovias e recapeamento e pavimentação de vias urbanas-SG</v>
      </c>
      <c r="E9" s="54">
        <v>3.2000000000000002E-3</v>
      </c>
      <c r="F9" s="54">
        <v>4.0000000000000001E-3</v>
      </c>
      <c r="G9" s="54">
        <v>7.4000000000000003E-3</v>
      </c>
      <c r="I9" s="702"/>
      <c r="J9" s="57"/>
      <c r="K9" s="57"/>
      <c r="L9" s="57"/>
      <c r="M9" s="57"/>
      <c r="N9" s="57"/>
      <c r="O9" s="57"/>
      <c r="P9" s="57"/>
      <c r="Q9" s="57"/>
      <c r="R9" s="57"/>
      <c r="S9" s="57"/>
    </row>
    <row r="10" spans="1:21" ht="12.75" customHeight="1" x14ac:dyDescent="0.2">
      <c r="A10" s="49" t="s">
        <v>658</v>
      </c>
      <c r="B10" s="53" t="s">
        <v>649</v>
      </c>
      <c r="C10" s="49" t="str">
        <f t="shared" si="0"/>
        <v>Construção de Praças Urbanas, Rodovias, Ferrovias e recapeamento e pavimentação de vias urbanas-R</v>
      </c>
      <c r="E10" s="54">
        <v>5.0000000000000001E-3</v>
      </c>
      <c r="F10" s="54">
        <v>5.6000000000000008E-3</v>
      </c>
      <c r="G10" s="54">
        <v>9.7000000000000003E-3</v>
      </c>
      <c r="I10" s="702"/>
      <c r="J10" s="677" t="s">
        <v>659</v>
      </c>
      <c r="K10" s="677"/>
      <c r="L10" s="677"/>
      <c r="M10" s="677"/>
      <c r="N10" s="677"/>
      <c r="O10" s="677"/>
      <c r="P10" s="677"/>
      <c r="Q10" s="677"/>
      <c r="R10" s="675">
        <v>1</v>
      </c>
      <c r="S10" s="675"/>
      <c r="U10" s="573" t="str">
        <f>IF(R10=0,"Falta definir a base de cálculo para o ISS","")</f>
        <v/>
      </c>
    </row>
    <row r="11" spans="1:21" ht="12.75" customHeight="1" x14ac:dyDescent="0.2">
      <c r="A11" s="49" t="s">
        <v>658</v>
      </c>
      <c r="B11" s="53" t="s">
        <v>653</v>
      </c>
      <c r="C11" s="49" t="str">
        <f t="shared" si="0"/>
        <v>Construção de Praças Urbanas, Rodovias, Ferrovias e recapeamento e pavimentação de vias urbanas-DF</v>
      </c>
      <c r="E11" s="54">
        <v>1.0200000000000001E-2</v>
      </c>
      <c r="F11" s="54">
        <v>1.11E-2</v>
      </c>
      <c r="G11" s="54">
        <v>1.21E-2</v>
      </c>
      <c r="I11" s="107" t="s">
        <v>660</v>
      </c>
      <c r="J11" s="674" t="s">
        <v>661</v>
      </c>
      <c r="K11" s="674"/>
      <c r="L11" s="674"/>
      <c r="M11" s="674"/>
      <c r="N11" s="674"/>
      <c r="O11" s="674"/>
      <c r="P11" s="674"/>
      <c r="Q11" s="674"/>
      <c r="R11" s="675">
        <v>0.02</v>
      </c>
      <c r="S11" s="675"/>
      <c r="U11" s="573" t="str">
        <f>IF(R11=0,"Falta definir a alíquota do ISS","")</f>
        <v/>
      </c>
    </row>
    <row r="12" spans="1:21" x14ac:dyDescent="0.2">
      <c r="A12" s="49" t="s">
        <v>658</v>
      </c>
      <c r="B12" s="53" t="s">
        <v>654</v>
      </c>
      <c r="C12" s="49" t="str">
        <f t="shared" si="0"/>
        <v>Construção de Praças Urbanas, Rodovias, Ferrovias e recapeamento e pavimentação de vias urbanas-L</v>
      </c>
      <c r="E12" s="54">
        <v>6.6400000000000001E-2</v>
      </c>
      <c r="F12" s="54">
        <v>7.2999999999999995E-2</v>
      </c>
      <c r="G12" s="54">
        <v>8.6899999999999991E-2</v>
      </c>
      <c r="I12" s="7" t="s">
        <v>536</v>
      </c>
      <c r="J12" s="59"/>
      <c r="K12" s="59"/>
      <c r="L12" s="59"/>
      <c r="M12" s="59"/>
      <c r="N12" s="59"/>
      <c r="O12" s="59"/>
      <c r="P12" s="59"/>
      <c r="Q12" s="59"/>
      <c r="R12" s="59"/>
      <c r="S12" s="59"/>
    </row>
    <row r="13" spans="1:21" ht="15" customHeight="1" x14ac:dyDescent="0.2">
      <c r="A13" s="49" t="s">
        <v>658</v>
      </c>
      <c r="B13" s="58" t="s">
        <v>656</v>
      </c>
      <c r="C13" s="49" t="str">
        <f t="shared" si="0"/>
        <v>Construção de Praças Urbanas, Rodovias, Ferrovias e recapeamento e pavimentação de vias urbanas-BDI PAD</v>
      </c>
      <c r="E13" s="54">
        <v>0.19600000000000001</v>
      </c>
      <c r="F13" s="54">
        <v>0.2097</v>
      </c>
      <c r="G13" s="54">
        <v>0.24230000000000002</v>
      </c>
      <c r="I13" s="7" t="s">
        <v>536</v>
      </c>
    </row>
    <row r="14" spans="1:21" ht="15.75" x14ac:dyDescent="0.25">
      <c r="A14" s="49" t="s">
        <v>662</v>
      </c>
      <c r="B14" s="53" t="s">
        <v>646</v>
      </c>
      <c r="C14" s="49" t="str">
        <f t="shared" si="0"/>
        <v>Construção de Redes de Abastecimento de Água, Coleta de Esgoto-AC</v>
      </c>
      <c r="E14" s="54">
        <v>3.4300000000000004E-2</v>
      </c>
      <c r="F14" s="54">
        <v>4.9299999999999997E-2</v>
      </c>
      <c r="G14" s="54">
        <v>6.7099999999999993E-2</v>
      </c>
      <c r="I14" s="7" t="s">
        <v>536</v>
      </c>
      <c r="J14" s="682" t="s">
        <v>663</v>
      </c>
      <c r="K14" s="682"/>
      <c r="L14" s="682"/>
      <c r="M14" s="682"/>
      <c r="N14" s="682"/>
      <c r="O14" s="682"/>
      <c r="P14" s="682"/>
      <c r="Q14" s="682"/>
      <c r="R14" s="682"/>
      <c r="S14" s="682"/>
      <c r="U14" s="522" t="str">
        <f ca="1">IF(COUNTIF(ORÇAMENTO!$V$15:$V$405,BDI_1.Título)=0,"",IF(OR(Import.BDI.Tipo1="(SELECIONAR)",Import.BDI.Tipo1="",U17&lt;&gt;"",S21=0,S22=0,S23=0,S24=0,S25=0,S26=0),"Falta preencher o BDI 1",""))</f>
        <v/>
      </c>
    </row>
    <row r="15" spans="1:21" x14ac:dyDescent="0.2">
      <c r="A15" s="49" t="str">
        <f>A14</f>
        <v>Construção de Redes de Abastecimento de Água, Coleta de Esgoto</v>
      </c>
      <c r="B15" s="53" t="s">
        <v>648</v>
      </c>
      <c r="C15" s="49" t="str">
        <f t="shared" si="0"/>
        <v>Construção de Redes de Abastecimento de Água, Coleta de Esgoto-SG</v>
      </c>
      <c r="E15" s="54">
        <v>2.8000000000000004E-3</v>
      </c>
      <c r="F15" s="54">
        <v>4.8999999999999998E-3</v>
      </c>
      <c r="G15" s="54">
        <v>7.4999999999999997E-3</v>
      </c>
      <c r="I15" s="7" t="s">
        <v>536</v>
      </c>
    </row>
    <row r="16" spans="1:21" x14ac:dyDescent="0.2">
      <c r="A16" s="49" t="str">
        <f>A15</f>
        <v>Construção de Redes de Abastecimento de Água, Coleta de Esgoto</v>
      </c>
      <c r="B16" s="53" t="s">
        <v>649</v>
      </c>
      <c r="C16" s="49" t="str">
        <f t="shared" si="0"/>
        <v>Construção de Redes de Abastecimento de Água, Coleta de Esgoto-R</v>
      </c>
      <c r="E16" s="54">
        <v>0.01</v>
      </c>
      <c r="F16" s="54">
        <v>1.3899999999999999E-2</v>
      </c>
      <c r="G16" s="54">
        <v>1.7399999999999999E-2</v>
      </c>
      <c r="I16" s="7" t="s">
        <v>536</v>
      </c>
      <c r="J16" s="673" t="s">
        <v>664</v>
      </c>
      <c r="K16" s="673"/>
      <c r="L16" s="673"/>
      <c r="M16" s="673"/>
      <c r="N16" s="673"/>
      <c r="O16" s="673"/>
      <c r="P16" s="673"/>
      <c r="Q16" s="673"/>
      <c r="R16" s="673"/>
      <c r="S16" s="673"/>
    </row>
    <row r="17" spans="1:26" ht="15" x14ac:dyDescent="0.25">
      <c r="A17" s="49" t="str">
        <f>A16</f>
        <v>Construção de Redes de Abastecimento de Água, Coleta de Esgoto</v>
      </c>
      <c r="B17" s="53" t="s">
        <v>653</v>
      </c>
      <c r="C17" s="49" t="str">
        <f t="shared" si="0"/>
        <v>Construção de Redes de Abastecimento de Água, Coleta de Esgoto-DF</v>
      </c>
      <c r="E17" s="54">
        <v>9.3999999999999986E-3</v>
      </c>
      <c r="F17" s="54">
        <v>9.8999999999999991E-3</v>
      </c>
      <c r="G17" s="54">
        <v>1.1699999999999999E-2</v>
      </c>
      <c r="I17" s="7" t="s">
        <v>536</v>
      </c>
      <c r="J17" s="679" t="s">
        <v>645</v>
      </c>
      <c r="K17" s="679"/>
      <c r="L17" s="679"/>
      <c r="M17" s="679"/>
      <c r="N17" s="679"/>
      <c r="O17" s="679"/>
      <c r="P17" s="679"/>
      <c r="Q17" s="679"/>
      <c r="R17" s="679"/>
      <c r="S17" s="679"/>
      <c r="T17" s="565" t="str">
        <f ca="1">IF(U17="","","◄")</f>
        <v/>
      </c>
      <c r="U17" s="564" t="str">
        <f ca="1">IF(AND(OR(S29&gt;0,COUNTIF(ORÇAMENTO!$V$15:$V$405,BDI_1.Título)&gt;0),OR(Import.BDI.Tipo1="(SELECIONAR)",Import.BDI.Tipo1="")),"Selecione o Tipo de obra","")</f>
        <v/>
      </c>
    </row>
    <row r="18" spans="1:26" x14ac:dyDescent="0.2">
      <c r="A18" s="49" t="str">
        <f>A17</f>
        <v>Construção de Redes de Abastecimento de Água, Coleta de Esgoto</v>
      </c>
      <c r="B18" s="53" t="s">
        <v>654</v>
      </c>
      <c r="C18" s="49" t="str">
        <f t="shared" si="0"/>
        <v>Construção de Redes de Abastecimento de Água, Coleta de Esgoto-L</v>
      </c>
      <c r="E18" s="54">
        <v>6.7400000000000002E-2</v>
      </c>
      <c r="F18" s="54">
        <v>8.0399999999999985E-2</v>
      </c>
      <c r="G18" s="54">
        <v>9.4E-2</v>
      </c>
      <c r="I18" s="7" t="s">
        <v>536</v>
      </c>
    </row>
    <row r="19" spans="1:26" ht="12.75" customHeight="1" x14ac:dyDescent="0.2">
      <c r="A19" s="49" t="str">
        <f>A18</f>
        <v>Construção de Redes de Abastecimento de Água, Coleta de Esgoto</v>
      </c>
      <c r="B19" s="58" t="s">
        <v>656</v>
      </c>
      <c r="C19" s="49" t="str">
        <f t="shared" si="0"/>
        <v>Construção de Redes de Abastecimento de Água, Coleta de Esgoto-BDI PAD</v>
      </c>
      <c r="E19" s="54">
        <v>0.20760000000000001</v>
      </c>
      <c r="F19" s="54">
        <v>0.24179999999999999</v>
      </c>
      <c r="G19" s="54">
        <v>0.26440000000000002</v>
      </c>
      <c r="I19" s="7" t="s">
        <v>536</v>
      </c>
      <c r="J19" s="681" t="s">
        <v>666</v>
      </c>
      <c r="K19" s="681"/>
      <c r="L19" s="681"/>
      <c r="M19" s="681"/>
      <c r="N19" s="681"/>
      <c r="O19" s="681"/>
      <c r="P19" s="681"/>
      <c r="Q19" s="681"/>
      <c r="R19" s="681" t="s">
        <v>667</v>
      </c>
      <c r="S19" s="680" t="s">
        <v>668</v>
      </c>
      <c r="U19" s="680" t="s">
        <v>669</v>
      </c>
      <c r="V19" s="680"/>
      <c r="W19" s="680"/>
      <c r="X19" s="678" t="s">
        <v>670</v>
      </c>
      <c r="Y19" s="678" t="s">
        <v>671</v>
      </c>
      <c r="Z19" s="678" t="s">
        <v>672</v>
      </c>
    </row>
    <row r="20" spans="1:26" ht="12.75" customHeight="1" x14ac:dyDescent="0.2">
      <c r="A20" s="49" t="s">
        <v>673</v>
      </c>
      <c r="B20" s="53" t="s">
        <v>646</v>
      </c>
      <c r="C20" s="49" t="str">
        <f t="shared" si="0"/>
        <v>Construção e Manutenção de Estações e Redes de Distribuição de Energia Elétrica-AC</v>
      </c>
      <c r="E20" s="54">
        <v>5.2900000000000003E-2</v>
      </c>
      <c r="F20" s="54">
        <v>5.9200000000000003E-2</v>
      </c>
      <c r="G20" s="54">
        <v>7.9299999999999995E-2</v>
      </c>
      <c r="I20" s="7" t="s">
        <v>536</v>
      </c>
      <c r="J20" s="681"/>
      <c r="K20" s="681"/>
      <c r="L20" s="681"/>
      <c r="M20" s="681"/>
      <c r="N20" s="681"/>
      <c r="O20" s="681"/>
      <c r="P20" s="681"/>
      <c r="Q20" s="681"/>
      <c r="R20" s="681"/>
      <c r="S20" s="680"/>
      <c r="U20" s="680"/>
      <c r="V20" s="680"/>
      <c r="W20" s="680"/>
      <c r="X20" s="678"/>
      <c r="Y20" s="678"/>
      <c r="Z20" s="678"/>
    </row>
    <row r="21" spans="1:26" ht="15" customHeight="1" x14ac:dyDescent="0.2">
      <c r="A21" s="49" t="str">
        <f>A20</f>
        <v>Construção e Manutenção de Estações e Redes de Distribuição de Energia Elétrica</v>
      </c>
      <c r="B21" s="53" t="s">
        <v>648</v>
      </c>
      <c r="C21" s="49" t="str">
        <f t="shared" si="0"/>
        <v>Construção e Manutenção de Estações e Redes de Distribuição de Energia Elétrica-SG</v>
      </c>
      <c r="E21" s="54">
        <v>2.5000000000000001E-3</v>
      </c>
      <c r="F21" s="54">
        <v>5.1000000000000004E-3</v>
      </c>
      <c r="G21" s="54">
        <v>5.6000000000000008E-3</v>
      </c>
      <c r="I21" s="7" t="s">
        <v>536</v>
      </c>
      <c r="J21" s="683" t="str">
        <f>IF($J$17=$A$146,"Encargos Sociais incidentes sobre a mão de obra","Administração Central")</f>
        <v>Administração Central</v>
      </c>
      <c r="K21" s="683"/>
      <c r="L21" s="683"/>
      <c r="M21" s="683"/>
      <c r="N21" s="683"/>
      <c r="O21" s="683"/>
      <c r="P21" s="683"/>
      <c r="Q21" s="683"/>
      <c r="R21" s="60" t="str">
        <f>IF($J17=$A$146,"K1","AC")</f>
        <v>AC</v>
      </c>
      <c r="S21" s="61">
        <v>5.5E-2</v>
      </c>
      <c r="T21" s="574" t="str">
        <f ca="1">IF(AND($U$14&lt;&gt;"",S21=""),"◄","")</f>
        <v/>
      </c>
      <c r="U21" s="687" t="str">
        <f>IFERROR(IF(AND(S21&gt;=X21,S21&lt;=Z21),"OK","FORA DO INTERVALO"),"-")</f>
        <v>OK</v>
      </c>
      <c r="V21" s="687"/>
      <c r="W21" s="687"/>
      <c r="X21" s="62">
        <f>VLOOKUP(CONCATENATE(J17,"-",R21),$C$2:$G$136,3,FALSE)</f>
        <v>0.03</v>
      </c>
      <c r="Y21" s="62">
        <f>VLOOKUP(CONCATENATE(J17,"-",R21),$C$2:$G$136,4,FALSE)</f>
        <v>0.04</v>
      </c>
      <c r="Z21" s="62">
        <f>VLOOKUP(CONCATENATE(J17,"-",R21),$C$2:$G$136,5,FALSE)</f>
        <v>5.5E-2</v>
      </c>
    </row>
    <row r="22" spans="1:26" ht="15" customHeight="1" x14ac:dyDescent="0.2">
      <c r="A22" s="49" t="str">
        <f>A21</f>
        <v>Construção e Manutenção de Estações e Redes de Distribuição de Energia Elétrica</v>
      </c>
      <c r="B22" s="53" t="s">
        <v>649</v>
      </c>
      <c r="C22" s="49" t="str">
        <f t="shared" si="0"/>
        <v>Construção e Manutenção de Estações e Redes de Distribuição de Energia Elétrica-R</v>
      </c>
      <c r="E22" s="54">
        <v>0.01</v>
      </c>
      <c r="F22" s="54">
        <v>1.4800000000000001E-2</v>
      </c>
      <c r="G22" s="54">
        <v>1.9699999999999999E-2</v>
      </c>
      <c r="I22" s="7" t="s">
        <v>536</v>
      </c>
      <c r="J22" s="683" t="str">
        <f>IF($J$17=$A$146,"Administração Central da empresa ou consultoria - overhead","Seguro e Garantia")</f>
        <v>Seguro e Garantia</v>
      </c>
      <c r="K22" s="683"/>
      <c r="L22" s="683"/>
      <c r="M22" s="683"/>
      <c r="N22" s="683"/>
      <c r="O22" s="683"/>
      <c r="P22" s="683"/>
      <c r="Q22" s="683"/>
      <c r="R22" s="60" t="str">
        <f>IF($J17=$A$146,"K2","SG")</f>
        <v>SG</v>
      </c>
      <c r="S22" s="61">
        <v>0.01</v>
      </c>
      <c r="T22" s="574" t="str">
        <f t="shared" ref="T22:T26" ca="1" si="1">IF(AND($U$14&lt;&gt;"",S22=""),"◄","")</f>
        <v/>
      </c>
      <c r="U22" s="684" t="str">
        <f t="shared" ref="U22:U27" si="2">IFERROR(IF(AND(S22&gt;=X22,S22&lt;=Z22),"OK","FORA DO INTERVALO"),"-")</f>
        <v>OK</v>
      </c>
      <c r="V22" s="685"/>
      <c r="W22" s="686"/>
      <c r="X22" s="62">
        <f>VLOOKUP(CONCATENATE(J17,"-",R22),$C$2:$G$136,3,FALSE)</f>
        <v>8.0000000000000002E-3</v>
      </c>
      <c r="Y22" s="62">
        <f>VLOOKUP(CONCATENATE(J17,"-",R22),$C$2:$G$136,4,FALSE)</f>
        <v>8.0000000000000002E-3</v>
      </c>
      <c r="Z22" s="62">
        <f>VLOOKUP(CONCATENATE(J17,"-",R22),$C$2:$G$136,5,FALSE)</f>
        <v>0.01</v>
      </c>
    </row>
    <row r="23" spans="1:26" ht="15" customHeight="1" x14ac:dyDescent="0.2">
      <c r="A23" s="49" t="str">
        <f>A22</f>
        <v>Construção e Manutenção de Estações e Redes de Distribuição de Energia Elétrica</v>
      </c>
      <c r="B23" s="53" t="s">
        <v>653</v>
      </c>
      <c r="C23" s="49" t="str">
        <f t="shared" si="0"/>
        <v>Construção e Manutenção de Estações e Redes de Distribuição de Energia Elétrica-DF</v>
      </c>
      <c r="E23" s="54">
        <v>1.01E-2</v>
      </c>
      <c r="F23" s="54">
        <v>1.0700000000000001E-2</v>
      </c>
      <c r="G23" s="54">
        <v>1.11E-2</v>
      </c>
      <c r="I23" s="7" t="s">
        <v>536</v>
      </c>
      <c r="J23" s="683" t="str">
        <f>IF($J$17=$A$146,"","Risco")</f>
        <v>Risco</v>
      </c>
      <c r="K23" s="683"/>
      <c r="L23" s="683"/>
      <c r="M23" s="683"/>
      <c r="N23" s="683"/>
      <c r="O23" s="683"/>
      <c r="P23" s="683"/>
      <c r="Q23" s="683"/>
      <c r="R23" s="60" t="str">
        <f>IF($J17=$A$146,"","R")</f>
        <v>R</v>
      </c>
      <c r="S23" s="61">
        <v>1.2699999999999999E-2</v>
      </c>
      <c r="T23" s="574" t="str">
        <f t="shared" ca="1" si="1"/>
        <v/>
      </c>
      <c r="U23" s="684" t="str">
        <f t="shared" si="2"/>
        <v>OK</v>
      </c>
      <c r="V23" s="685"/>
      <c r="W23" s="686"/>
      <c r="X23" s="62">
        <f>VLOOKUP(CONCATENATE(J17,"-",R23),$C$2:$G$136,3,FALSE)</f>
        <v>9.7000000000000003E-3</v>
      </c>
      <c r="Y23" s="62">
        <f>VLOOKUP(CONCATENATE(J17,"-",R23),$C$2:$G$136,4,FALSE)</f>
        <v>1.2699999999999999E-2</v>
      </c>
      <c r="Z23" s="62">
        <f>VLOOKUP(CONCATENATE(J17,"-",R23),$C$2:$G$136,5,FALSE)</f>
        <v>1.2699999999999999E-2</v>
      </c>
    </row>
    <row r="24" spans="1:26" ht="15" customHeight="1" x14ac:dyDescent="0.2">
      <c r="A24" s="49" t="str">
        <f>A23</f>
        <v>Construção e Manutenção de Estações e Redes de Distribuição de Energia Elétrica</v>
      </c>
      <c r="B24" s="53" t="s">
        <v>654</v>
      </c>
      <c r="C24" s="49" t="str">
        <f t="shared" si="0"/>
        <v>Construção e Manutenção de Estações e Redes de Distribuição de Energia Elétrica-L</v>
      </c>
      <c r="E24" s="54">
        <v>0.08</v>
      </c>
      <c r="F24" s="54">
        <v>8.3100000000000007E-2</v>
      </c>
      <c r="G24" s="54">
        <v>9.5100000000000004E-2</v>
      </c>
      <c r="I24" s="7" t="s">
        <v>536</v>
      </c>
      <c r="J24" s="683" t="str">
        <f>IF($J$17=$A$146,"","Despesas Financeiras")</f>
        <v>Despesas Financeiras</v>
      </c>
      <c r="K24" s="683"/>
      <c r="L24" s="683"/>
      <c r="M24" s="683"/>
      <c r="N24" s="683"/>
      <c r="O24" s="683"/>
      <c r="P24" s="683"/>
      <c r="Q24" s="683"/>
      <c r="R24" s="60" t="str">
        <f>IF($J17=$A$146,"","DF")</f>
        <v>DF</v>
      </c>
      <c r="S24" s="61">
        <v>1.3899999999999999E-2</v>
      </c>
      <c r="T24" s="574" t="str">
        <f t="shared" ca="1" si="1"/>
        <v/>
      </c>
      <c r="U24" s="684" t="str">
        <f t="shared" si="2"/>
        <v>OK</v>
      </c>
      <c r="V24" s="685"/>
      <c r="W24" s="686"/>
      <c r="X24" s="62">
        <f>VLOOKUP(CONCATENATE(J17,"-",R24),$C$2:$G$136,3,FALSE)</f>
        <v>5.8999999999999999E-3</v>
      </c>
      <c r="Y24" s="62">
        <f>VLOOKUP(CONCATENATE(J17,"-",R24),$C$2:$G$136,4,FALSE)</f>
        <v>1.23E-2</v>
      </c>
      <c r="Z24" s="62">
        <f>VLOOKUP(CONCATENATE(J17,"-",R24),$C$2:$G$136,5,FALSE)</f>
        <v>1.3899999999999999E-2</v>
      </c>
    </row>
    <row r="25" spans="1:26" ht="15" customHeight="1" x14ac:dyDescent="0.2">
      <c r="A25" s="49" t="str">
        <f>A24</f>
        <v>Construção e Manutenção de Estações e Redes de Distribuição de Energia Elétrica</v>
      </c>
      <c r="B25" s="58" t="s">
        <v>656</v>
      </c>
      <c r="C25" s="49" t="str">
        <f t="shared" si="0"/>
        <v>Construção e Manutenção de Estações e Redes de Distribuição de Energia Elétrica-BDI PAD</v>
      </c>
      <c r="E25" s="54">
        <v>0.24</v>
      </c>
      <c r="F25" s="54">
        <v>0.25840000000000002</v>
      </c>
      <c r="G25" s="54">
        <v>0.27860000000000001</v>
      </c>
      <c r="I25" s="7" t="s">
        <v>536</v>
      </c>
      <c r="J25" s="683" t="str">
        <f>IF($J$17=$A$146,"Margem bruta da empresa de consultoria","Lucro")</f>
        <v>Lucro</v>
      </c>
      <c r="K25" s="683"/>
      <c r="L25" s="683"/>
      <c r="M25" s="683"/>
      <c r="N25" s="683"/>
      <c r="O25" s="683"/>
      <c r="P25" s="683"/>
      <c r="Q25" s="683"/>
      <c r="R25" s="60" t="str">
        <f>IF($J17=$A$146,"K3","L")</f>
        <v>L</v>
      </c>
      <c r="S25" s="61">
        <v>7.8799999999999995E-2</v>
      </c>
      <c r="T25" s="574" t="str">
        <f t="shared" ca="1" si="1"/>
        <v/>
      </c>
      <c r="U25" s="684" t="str">
        <f t="shared" si="2"/>
        <v>OK</v>
      </c>
      <c r="V25" s="685"/>
      <c r="W25" s="686"/>
      <c r="X25" s="62">
        <f>VLOOKUP(CONCATENATE(J17,"-",R25),$C$2:$G$136,3,FALSE)</f>
        <v>6.1600000000000002E-2</v>
      </c>
      <c r="Y25" s="62">
        <f>VLOOKUP(CONCATENATE(J17,"-",R25),$C$2:$G$136,4,FALSE)</f>
        <v>7.400000000000001E-2</v>
      </c>
      <c r="Z25" s="62">
        <f>VLOOKUP(CONCATENATE(J17,"-",R25),$C$2:$G$136,5,FALSE)</f>
        <v>8.9600000000000013E-2</v>
      </c>
    </row>
    <row r="26" spans="1:26" ht="15" customHeight="1" x14ac:dyDescent="0.2">
      <c r="A26" s="49" t="s">
        <v>674</v>
      </c>
      <c r="B26" s="53" t="s">
        <v>646</v>
      </c>
      <c r="C26" s="49" t="str">
        <f t="shared" si="0"/>
        <v>Obras Portuárias, Marítimas e Fluviais-AC</v>
      </c>
      <c r="E26" s="54">
        <v>0.04</v>
      </c>
      <c r="F26" s="54">
        <v>5.5199999999999999E-2</v>
      </c>
      <c r="G26" s="54">
        <v>7.85E-2</v>
      </c>
      <c r="I26" s="7" t="s">
        <v>536</v>
      </c>
      <c r="J26" s="683" t="s">
        <v>675</v>
      </c>
      <c r="K26" s="683"/>
      <c r="L26" s="683"/>
      <c r="M26" s="683"/>
      <c r="N26" s="683"/>
      <c r="O26" s="683"/>
      <c r="P26" s="683"/>
      <c r="Q26" s="683"/>
      <c r="R26" s="60" t="s">
        <v>456</v>
      </c>
      <c r="S26" s="61">
        <v>3.6499999999999998E-2</v>
      </c>
      <c r="T26" s="574" t="str">
        <f t="shared" ca="1" si="1"/>
        <v/>
      </c>
      <c r="U26" s="684" t="str">
        <f t="shared" si="2"/>
        <v>OK</v>
      </c>
      <c r="V26" s="685"/>
      <c r="W26" s="686"/>
      <c r="X26" s="62">
        <v>3.6499999999999998E-2</v>
      </c>
      <c r="Y26" s="62">
        <v>3.6499999999999998E-2</v>
      </c>
      <c r="Z26" s="62">
        <v>3.6499999999999998E-2</v>
      </c>
    </row>
    <row r="27" spans="1:26" ht="15" customHeight="1" x14ac:dyDescent="0.2">
      <c r="A27" s="49" t="str">
        <f>A26</f>
        <v>Obras Portuárias, Marítimas e Fluviais</v>
      </c>
      <c r="B27" s="53" t="s">
        <v>648</v>
      </c>
      <c r="C27" s="49" t="str">
        <f t="shared" si="0"/>
        <v>Obras Portuárias, Marítimas e Fluviais-SG</v>
      </c>
      <c r="E27" s="54">
        <v>8.1000000000000013E-3</v>
      </c>
      <c r="F27" s="54">
        <v>1.2199999999999999E-2</v>
      </c>
      <c r="G27" s="54">
        <v>1.9900000000000001E-2</v>
      </c>
      <c r="I27" s="7" t="s">
        <v>536</v>
      </c>
      <c r="J27" s="683" t="s">
        <v>676</v>
      </c>
      <c r="K27" s="683"/>
      <c r="L27" s="683"/>
      <c r="M27" s="683"/>
      <c r="N27" s="683"/>
      <c r="O27" s="683"/>
      <c r="P27" s="683"/>
      <c r="Q27" s="683"/>
      <c r="R27" s="60" t="s">
        <v>677</v>
      </c>
      <c r="S27" s="62">
        <f ca="1">IF(AND($J17&lt;&gt;$A$145,COUNTA(OFFSET(S20,1,0,6))&gt;0),$R$11*$R$10,0)</f>
        <v>0.02</v>
      </c>
      <c r="U27" s="684" t="str">
        <f t="shared" ca="1" si="2"/>
        <v>OK</v>
      </c>
      <c r="V27" s="685"/>
      <c r="W27" s="686"/>
      <c r="X27" s="62">
        <v>0</v>
      </c>
      <c r="Y27" s="62">
        <v>2.5000000000000001E-2</v>
      </c>
      <c r="Z27" s="62">
        <v>0.05</v>
      </c>
    </row>
    <row r="28" spans="1:26" ht="15" customHeight="1" x14ac:dyDescent="0.2">
      <c r="A28" s="49" t="str">
        <f>A27</f>
        <v>Obras Portuárias, Marítimas e Fluviais</v>
      </c>
      <c r="B28" s="53" t="s">
        <v>649</v>
      </c>
      <c r="C28" s="49" t="str">
        <f t="shared" si="0"/>
        <v>Obras Portuárias, Marítimas e Fluviais-R</v>
      </c>
      <c r="E28" s="54">
        <v>1.46E-2</v>
      </c>
      <c r="F28" s="54">
        <v>2.3199999999999998E-2</v>
      </c>
      <c r="G28" s="54">
        <v>3.1600000000000003E-2</v>
      </c>
      <c r="I28" s="7" t="s">
        <v>536</v>
      </c>
      <c r="J28" s="683" t="s">
        <v>678</v>
      </c>
      <c r="K28" s="683"/>
      <c r="L28" s="683"/>
      <c r="M28" s="683"/>
      <c r="N28" s="683"/>
      <c r="O28" s="683"/>
      <c r="P28" s="683"/>
      <c r="Q28" s="683"/>
      <c r="R28" s="60" t="s">
        <v>679</v>
      </c>
      <c r="S28" s="62" cm="1">
        <f t="array" aca="1" ref="S28" ca="1">IF(BDI.Opcao&lt;&gt;"Desonerado",0,IF(AND($J17&lt;&gt;$A$145,COUNTA(OFFSET(S20,1,0,6))&gt;0),IF(YEAR(Import.DataBase)&lt;2025,4.5%,IF(YEAR(Import.DataBase)=2025,3.6%,IF(YEAR(Import.DataBase)=2026,2.7%,IF(YEAR(Import.DataBase)=2027,1.8%,0%)))),0%))</f>
        <v>4.4999999999999998E-2</v>
      </c>
      <c r="U28" s="687" t="s">
        <v>680</v>
      </c>
      <c r="V28" s="687"/>
      <c r="W28" s="687"/>
      <c r="X28" s="63">
        <f ca="1">$S28</f>
        <v>4.4999999999999998E-2</v>
      </c>
      <c r="Y28" s="63">
        <f ca="1">$S28</f>
        <v>4.4999999999999998E-2</v>
      </c>
      <c r="Z28" s="63">
        <f ca="1">$S28</f>
        <v>4.4999999999999998E-2</v>
      </c>
    </row>
    <row r="29" spans="1:26" ht="15" customHeight="1" x14ac:dyDescent="0.2">
      <c r="A29" s="49" t="str">
        <f>A28</f>
        <v>Obras Portuárias, Marítimas e Fluviais</v>
      </c>
      <c r="B29" s="53" t="s">
        <v>653</v>
      </c>
      <c r="C29" s="49" t="str">
        <f t="shared" si="0"/>
        <v>Obras Portuárias, Marítimas e Fluviais-DF</v>
      </c>
      <c r="E29" s="54">
        <v>9.3999999999999986E-3</v>
      </c>
      <c r="F29" s="54">
        <v>1.0200000000000001E-2</v>
      </c>
      <c r="G29" s="54">
        <v>1.3300000000000001E-2</v>
      </c>
      <c r="I29" s="7" t="s">
        <v>536</v>
      </c>
      <c r="J29" s="683" t="s">
        <v>681</v>
      </c>
      <c r="K29" s="683"/>
      <c r="L29" s="683"/>
      <c r="M29" s="683"/>
      <c r="N29" s="683"/>
      <c r="O29" s="683"/>
      <c r="P29" s="683"/>
      <c r="Q29" s="683"/>
      <c r="R29" s="64" t="s">
        <v>656</v>
      </c>
      <c r="S29" s="62">
        <f ca="1">IF($J17=$A$145,0,ROUND((((1+S21+S22+S23)*(1+S24)*(1+S25)/(1-(S26+S27)))-1),4))</f>
        <v>0.24940000000000001</v>
      </c>
      <c r="U29" s="680" t="str">
        <f ca="1">IFERROR(IF(OR($J$17=$A$146,$J$17=$A$145,AND(S29&gt;=X29,S29&lt;=Z29)),"OK","FORA DO INTERVALO"),IF(S29=0,"OK","Selecione o Tipo de obra"))</f>
        <v>OK</v>
      </c>
      <c r="V29" s="680"/>
      <c r="W29" s="680"/>
      <c r="X29" s="62">
        <f>IF($J17=$A$145,0,VLOOKUP(CONCATENATE($J17,"-",$R29),$C$2:$G$136,3,FALSE))</f>
        <v>0.2034</v>
      </c>
      <c r="Y29" s="62">
        <f>IF($J17=$A$145,0,VLOOKUP(CONCATENATE($J17,"-",$R29),$C$2:$G$136,4,FALSE))</f>
        <v>0.22120000000000001</v>
      </c>
      <c r="Z29" s="62">
        <f>IF($J17=$A$145,0,VLOOKUP(CONCATENATE($J17,"-",$R29),$C$2:$G$136,5,FALSE))</f>
        <v>0.25</v>
      </c>
    </row>
    <row r="30" spans="1:26" ht="15" customHeight="1" x14ac:dyDescent="0.2">
      <c r="A30" s="49" t="str">
        <f>A29</f>
        <v>Obras Portuárias, Marítimas e Fluviais</v>
      </c>
      <c r="B30" s="53" t="s">
        <v>654</v>
      </c>
      <c r="C30" s="49" t="str">
        <f t="shared" si="0"/>
        <v>Obras Portuárias, Marítimas e Fluviais-L</v>
      </c>
      <c r="E30" s="54">
        <v>7.1399999999999991E-2</v>
      </c>
      <c r="F30" s="54">
        <v>8.4000000000000005E-2</v>
      </c>
      <c r="G30" s="54">
        <v>0.1043</v>
      </c>
      <c r="I30" s="7" t="s">
        <v>536</v>
      </c>
      <c r="J30" s="690" t="s">
        <v>682</v>
      </c>
      <c r="K30" s="690"/>
      <c r="L30" s="690"/>
      <c r="M30" s="690"/>
      <c r="N30" s="690"/>
      <c r="O30" s="690"/>
      <c r="P30" s="690"/>
      <c r="Q30" s="690"/>
      <c r="R30" s="65" t="s">
        <v>683</v>
      </c>
      <c r="S30" s="66">
        <f ca="1">IF($J17=$A$145,0,ROUND((((1+S21+S22+S23)*(1+S24)*(1+S25)/(1-(S26+S27+S28)))-1),4))</f>
        <v>0.31190000000000001</v>
      </c>
    </row>
    <row r="31" spans="1:26" ht="15" customHeight="1" x14ac:dyDescent="0.2">
      <c r="A31" s="49" t="str">
        <f>A30</f>
        <v>Obras Portuárias, Marítimas e Fluviais</v>
      </c>
      <c r="B31" s="58" t="s">
        <v>656</v>
      </c>
      <c r="C31" s="49" t="str">
        <f t="shared" si="0"/>
        <v>Obras Portuárias, Marítimas e Fluviais-BDI PAD</v>
      </c>
      <c r="E31" s="54">
        <v>0.22800000000000001</v>
      </c>
      <c r="F31" s="54">
        <v>0.27479999999999999</v>
      </c>
      <c r="G31" s="54">
        <v>0.3095</v>
      </c>
      <c r="I31" s="7" t="s">
        <v>536</v>
      </c>
    </row>
    <row r="32" spans="1:26" ht="15.75" x14ac:dyDescent="0.2">
      <c r="A32" s="49" t="s">
        <v>665</v>
      </c>
      <c r="B32" s="53" t="s">
        <v>646</v>
      </c>
      <c r="C32" s="49" t="str">
        <f t="shared" si="0"/>
        <v>Fornecimento de Materiais e Equipamentos (aquisição indireta - em conjunto com licitação de obras)-AC</v>
      </c>
      <c r="E32" s="54">
        <v>1.4999999999999999E-2</v>
      </c>
      <c r="F32" s="54">
        <v>3.4500000000000003E-2</v>
      </c>
      <c r="G32" s="54">
        <v>4.4900000000000002E-2</v>
      </c>
      <c r="I32" s="7" t="s">
        <v>536</v>
      </c>
      <c r="J32" s="67" t="str">
        <f ca="1">IF(U29&lt;&gt;"ok","X","")</f>
        <v/>
      </c>
      <c r="K32" s="691" t="str">
        <f ca="1">IF(U29&lt;&gt;"ok","Anexo: Relatório Técnico Circunstanciado justificando a adoção do percentual de cada parcela do BDI.","")</f>
        <v/>
      </c>
      <c r="L32" s="691"/>
      <c r="M32" s="691"/>
      <c r="N32" s="691"/>
      <c r="O32" s="691"/>
      <c r="P32" s="691"/>
      <c r="Q32" s="691"/>
      <c r="R32" s="691"/>
      <c r="S32" s="691"/>
    </row>
    <row r="33" spans="1:19" x14ac:dyDescent="0.2">
      <c r="A33" s="49" t="str">
        <f>A32</f>
        <v>Fornecimento de Materiais e Equipamentos (aquisição indireta - em conjunto com licitação de obras)</v>
      </c>
      <c r="B33" s="53" t="s">
        <v>648</v>
      </c>
      <c r="C33" s="49" t="str">
        <f t="shared" si="0"/>
        <v>Fornecimento de Materiais e Equipamentos (aquisição indireta - em conjunto com licitação de obras)-SG</v>
      </c>
      <c r="E33" s="54">
        <v>3.0000000000000001E-3</v>
      </c>
      <c r="F33" s="54">
        <v>4.7999999999999996E-3</v>
      </c>
      <c r="G33" s="54">
        <v>8.199999999999999E-3</v>
      </c>
      <c r="I33" s="7" t="s">
        <v>536</v>
      </c>
    </row>
    <row r="34" spans="1:19" x14ac:dyDescent="0.2">
      <c r="A34" s="49" t="str">
        <f>A33</f>
        <v>Fornecimento de Materiais e Equipamentos (aquisição indireta - em conjunto com licitação de obras)</v>
      </c>
      <c r="B34" s="53" t="s">
        <v>649</v>
      </c>
      <c r="C34" s="49" t="str">
        <f t="shared" si="0"/>
        <v>Fornecimento de Materiais e Equipamentos (aquisição indireta - em conjunto com licitação de obras)-R</v>
      </c>
      <c r="E34" s="54">
        <v>5.6000000000000008E-3</v>
      </c>
      <c r="F34" s="54">
        <v>8.5000000000000006E-3</v>
      </c>
      <c r="G34" s="54">
        <v>8.8999999999999999E-3</v>
      </c>
      <c r="I34" s="7" t="s">
        <v>536</v>
      </c>
      <c r="J34" s="692" t="s">
        <v>684</v>
      </c>
      <c r="K34" s="692"/>
      <c r="L34" s="692"/>
      <c r="M34" s="692"/>
      <c r="N34" s="692"/>
      <c r="O34" s="692"/>
      <c r="P34" s="692"/>
      <c r="Q34" s="692"/>
      <c r="R34" s="692"/>
      <c r="S34" s="692"/>
    </row>
    <row r="35" spans="1:19" ht="15.75" x14ac:dyDescent="0.25">
      <c r="A35" s="49" t="str">
        <f>A34</f>
        <v>Fornecimento de Materiais e Equipamentos (aquisição indireta - em conjunto com licitação de obras)</v>
      </c>
      <c r="B35" s="53" t="s">
        <v>653</v>
      </c>
      <c r="C35" s="49" t="str">
        <f t="shared" si="0"/>
        <v>Fornecimento de Materiais e Equipamentos (aquisição indireta - em conjunto com licitação de obras)-DF</v>
      </c>
      <c r="E35" s="54">
        <v>8.5000000000000006E-3</v>
      </c>
      <c r="F35" s="54">
        <v>8.5000000000000006E-3</v>
      </c>
      <c r="G35" s="54">
        <v>1.11E-2</v>
      </c>
      <c r="I35" s="7" t="s">
        <v>536</v>
      </c>
      <c r="J35" s="68"/>
      <c r="K35" s="68"/>
      <c r="L35" s="68"/>
      <c r="M35" s="693" t="s">
        <v>685</v>
      </c>
      <c r="N35" s="699" t="str">
        <f>IF($J17=$A$146,"(1+K1+K2)*(1+K3)","(1+AC + S + R + G)*(1 + DF)*(1+L)")</f>
        <v>(1+AC + S + R + G)*(1 + DF)*(1+L)</v>
      </c>
      <c r="O35" s="699"/>
      <c r="P35" s="699"/>
      <c r="Q35" s="700" t="s">
        <v>686</v>
      </c>
      <c r="R35" s="68"/>
      <c r="S35" s="68"/>
    </row>
    <row r="36" spans="1:19" ht="15.75" x14ac:dyDescent="0.2">
      <c r="A36" s="49" t="str">
        <f>A35</f>
        <v>Fornecimento de Materiais e Equipamentos (aquisição indireta - em conjunto com licitação de obras)</v>
      </c>
      <c r="B36" s="53" t="s">
        <v>654</v>
      </c>
      <c r="C36" s="49" t="str">
        <f t="shared" si="0"/>
        <v>Fornecimento de Materiais e Equipamentos (aquisição indireta - em conjunto com licitação de obras)-L</v>
      </c>
      <c r="E36" s="54">
        <v>3.5000000000000003E-2</v>
      </c>
      <c r="F36" s="54">
        <v>5.1100000000000007E-2</v>
      </c>
      <c r="G36" s="54">
        <v>6.2199999999999998E-2</v>
      </c>
      <c r="I36" s="7" t="s">
        <v>536</v>
      </c>
      <c r="J36" s="68"/>
      <c r="K36" s="68"/>
      <c r="L36" s="68"/>
      <c r="M36" s="693"/>
      <c r="N36" s="688" t="s">
        <v>687</v>
      </c>
      <c r="O36" s="688"/>
      <c r="P36" s="688"/>
      <c r="Q36" s="700"/>
      <c r="R36" s="68"/>
      <c r="S36" s="68"/>
    </row>
    <row r="37" spans="1:19" ht="15" customHeight="1" x14ac:dyDescent="0.2">
      <c r="A37" s="49" t="str">
        <f>A36</f>
        <v>Fornecimento de Materiais e Equipamentos (aquisição indireta - em conjunto com licitação de obras)</v>
      </c>
      <c r="B37" s="58" t="s">
        <v>656</v>
      </c>
      <c r="C37" s="49" t="str">
        <f t="shared" si="0"/>
        <v>Fornecimento de Materiais e Equipamentos (aquisição indireta - em conjunto com licitação de obras)-BDI PAD</v>
      </c>
      <c r="E37" s="54">
        <v>0.111</v>
      </c>
      <c r="F37" s="54">
        <v>0.14019999999999999</v>
      </c>
      <c r="G37" s="54">
        <v>0.16800000000000001</v>
      </c>
      <c r="I37" s="7" t="s">
        <v>536</v>
      </c>
      <c r="J37" s="72"/>
      <c r="K37" s="72"/>
      <c r="L37" s="72"/>
      <c r="M37" s="72"/>
      <c r="N37" s="72"/>
      <c r="O37" s="72"/>
      <c r="P37" s="72"/>
      <c r="Q37" s="72"/>
      <c r="R37" s="72"/>
      <c r="S37" s="72"/>
    </row>
    <row r="38" spans="1:19" ht="50.1" customHeight="1" x14ac:dyDescent="0.2">
      <c r="A38" s="49" t="s">
        <v>688</v>
      </c>
      <c r="B38" s="58" t="s">
        <v>646</v>
      </c>
      <c r="C38" s="49" t="str">
        <f t="shared" si="0"/>
        <v>Fornecimento de Materiais e Equipamentos (aquisição direta)-AC</v>
      </c>
      <c r="E38" s="54" t="s">
        <v>689</v>
      </c>
      <c r="F38" s="54" t="s">
        <v>689</v>
      </c>
      <c r="G38" s="54" t="s">
        <v>689</v>
      </c>
      <c r="I38" t="s">
        <v>536</v>
      </c>
      <c r="J38" s="689" t="str">
        <f>CONCATENATE("Declaro para os devidos fins que, conforme legislação tributária municipal, a base de cálculo deste tipo de obra corresponde à ",$R$10*100,"%, com a respectiva alíquota de ",$R$11*100,"%.")</f>
        <v>Declaro para os devidos fins que, conforme legislação tributária municipal, a base de cálculo deste tipo de obra corresponde à 100%, com a respectiva alíquota de 2%.</v>
      </c>
      <c r="K38" s="689"/>
      <c r="L38" s="689"/>
      <c r="M38" s="689"/>
      <c r="N38" s="689"/>
      <c r="O38" s="689"/>
      <c r="P38" s="689"/>
      <c r="Q38" s="689"/>
      <c r="R38" s="689"/>
      <c r="S38" s="689"/>
    </row>
    <row r="39" spans="1:19" x14ac:dyDescent="0.2">
      <c r="A39" s="49" t="s">
        <v>688</v>
      </c>
      <c r="B39" s="58" t="s">
        <v>648</v>
      </c>
      <c r="C39" s="49" t="str">
        <f t="shared" si="0"/>
        <v>Fornecimento de Materiais e Equipamentos (aquisição direta)-SG</v>
      </c>
      <c r="E39" s="54" t="s">
        <v>689</v>
      </c>
      <c r="F39" s="54" t="s">
        <v>689</v>
      </c>
      <c r="G39" s="54" t="s">
        <v>689</v>
      </c>
      <c r="I39" t="s">
        <v>536</v>
      </c>
    </row>
    <row r="40" spans="1:19" ht="50.1" customHeight="1" x14ac:dyDescent="0.2">
      <c r="A40" s="49" t="s">
        <v>688</v>
      </c>
      <c r="B40" s="58" t="s">
        <v>649</v>
      </c>
      <c r="C40" s="49" t="str">
        <f t="shared" si="0"/>
        <v>Fornecimento de Materiais e Equipamentos (aquisição direta)-R</v>
      </c>
      <c r="E40" s="54" t="s">
        <v>689</v>
      </c>
      <c r="F40" s="54" t="s">
        <v>689</v>
      </c>
      <c r="G40" s="54" t="s">
        <v>689</v>
      </c>
      <c r="I40" t="s">
        <v>536</v>
      </c>
      <c r="J40" s="689" t="str">
        <f ca="1">CONCATENATE("Declaro para os devidos fins que o regime de Contribuição Previdenciária sobre a Receita Bruta adotado para elaboração do orçamento foi ",IF(DESONERACAO="Sim","COM","SEM")," Desoneração, e que esta é a alternativa mais adequada para a Administração Pública.")</f>
        <v>Declaro para os devidos fins que o regime de Contribuição Previdenciária sobre a Receita Bruta adotado para elaboração do orçamento foi COM Desoneração, e que esta é a alternativa mais adequada para a Administração Pública.</v>
      </c>
      <c r="K40" s="689"/>
      <c r="L40" s="689"/>
      <c r="M40" s="689"/>
      <c r="N40" s="689"/>
      <c r="O40" s="689"/>
      <c r="P40" s="689"/>
      <c r="Q40" s="689"/>
      <c r="R40" s="689"/>
      <c r="S40" s="689"/>
    </row>
    <row r="41" spans="1:19" x14ac:dyDescent="0.2">
      <c r="A41" s="49" t="s">
        <v>688</v>
      </c>
      <c r="B41" s="58" t="s">
        <v>653</v>
      </c>
      <c r="C41" s="49" t="str">
        <f t="shared" si="0"/>
        <v>Fornecimento de Materiais e Equipamentos (aquisição direta)-DF</v>
      </c>
      <c r="E41" s="54" t="s">
        <v>689</v>
      </c>
      <c r="F41" s="54" t="s">
        <v>689</v>
      </c>
      <c r="G41" s="54" t="s">
        <v>689</v>
      </c>
      <c r="I41" t="s">
        <v>536</v>
      </c>
    </row>
    <row r="42" spans="1:19" x14ac:dyDescent="0.2">
      <c r="A42" s="49" t="s">
        <v>688</v>
      </c>
      <c r="B42" s="58" t="s">
        <v>654</v>
      </c>
      <c r="C42" s="49" t="str">
        <f t="shared" si="0"/>
        <v>Fornecimento de Materiais e Equipamentos (aquisição direta)-L</v>
      </c>
      <c r="E42" s="54" t="s">
        <v>689</v>
      </c>
      <c r="F42" s="54" t="s">
        <v>689</v>
      </c>
      <c r="G42" s="54" t="s">
        <v>689</v>
      </c>
      <c r="I42" t="s">
        <v>536</v>
      </c>
      <c r="J42" s="49" t="s">
        <v>690</v>
      </c>
    </row>
    <row r="43" spans="1:19" ht="99.95" customHeight="1" x14ac:dyDescent="0.2">
      <c r="A43" s="49" t="s">
        <v>688</v>
      </c>
      <c r="B43" s="58" t="s">
        <v>656</v>
      </c>
      <c r="C43" s="49" t="str">
        <f t="shared" si="0"/>
        <v>Fornecimento de Materiais e Equipamentos (aquisição direta)-BDI PAD</v>
      </c>
      <c r="E43" s="54" t="s">
        <v>689</v>
      </c>
      <c r="F43" s="54" t="s">
        <v>689</v>
      </c>
      <c r="G43" s="54" t="s">
        <v>689</v>
      </c>
      <c r="I43" t="s">
        <v>536</v>
      </c>
      <c r="J43" s="701"/>
      <c r="K43" s="701"/>
      <c r="L43" s="701"/>
      <c r="M43" s="701"/>
      <c r="N43" s="701"/>
      <c r="O43" s="701"/>
      <c r="P43" s="701"/>
      <c r="Q43" s="701"/>
      <c r="R43" s="701"/>
      <c r="S43" s="701"/>
    </row>
    <row r="44" spans="1:19" x14ac:dyDescent="0.2">
      <c r="A44" s="49" t="s">
        <v>691</v>
      </c>
      <c r="B44" s="53" t="s">
        <v>692</v>
      </c>
      <c r="C44" s="49" t="str">
        <f t="shared" si="0"/>
        <v>Estudos e Projetos, Planos e Gerenciamento e outros correlatos-K1</v>
      </c>
      <c r="E44" s="54" t="s">
        <v>689</v>
      </c>
      <c r="F44" s="54" t="s">
        <v>689</v>
      </c>
      <c r="G44" s="54" t="s">
        <v>689</v>
      </c>
      <c r="I44" t="s">
        <v>536</v>
      </c>
    </row>
    <row r="45" spans="1:19" x14ac:dyDescent="0.2">
      <c r="A45" s="49" t="str">
        <f>A44</f>
        <v>Estudos e Projetos, Planos e Gerenciamento e outros correlatos</v>
      </c>
      <c r="B45" s="53" t="s">
        <v>693</v>
      </c>
      <c r="C45" s="49" t="str">
        <f t="shared" si="0"/>
        <v>Estudos e Projetos, Planos e Gerenciamento e outros correlatos-K2</v>
      </c>
      <c r="E45" s="54" t="s">
        <v>689</v>
      </c>
      <c r="F45" s="54">
        <v>0.2</v>
      </c>
      <c r="G45" s="54" t="s">
        <v>689</v>
      </c>
      <c r="I45" t="s">
        <v>536</v>
      </c>
      <c r="J45" s="695" t="str">
        <f>Import.Município</f>
        <v>Caçador/SC</v>
      </c>
      <c r="K45" s="695"/>
      <c r="L45" s="695"/>
      <c r="M45" s="695"/>
      <c r="P45" s="696">
        <f>DADOS!$C$25</f>
        <v>0</v>
      </c>
      <c r="Q45" s="696"/>
      <c r="R45" s="696"/>
      <c r="S45" s="696"/>
    </row>
    <row r="46" spans="1:19" x14ac:dyDescent="0.2">
      <c r="A46" s="49" t="str">
        <f>A45</f>
        <v>Estudos e Projetos, Planos e Gerenciamento e outros correlatos</v>
      </c>
      <c r="B46" s="53"/>
      <c r="C46" s="49" t="str">
        <f t="shared" si="0"/>
        <v>Estudos e Projetos, Planos e Gerenciamento e outros correlatos-</v>
      </c>
      <c r="E46" s="54" t="s">
        <v>689</v>
      </c>
      <c r="F46" s="54" t="s">
        <v>689</v>
      </c>
      <c r="G46" s="54" t="s">
        <v>689</v>
      </c>
      <c r="I46" t="s">
        <v>536</v>
      </c>
      <c r="J46" s="697" t="s">
        <v>694</v>
      </c>
      <c r="K46" s="697"/>
      <c r="L46" s="697"/>
      <c r="M46" s="697"/>
      <c r="O46" s="73"/>
      <c r="P46" s="74" t="s">
        <v>695</v>
      </c>
      <c r="Q46" s="75"/>
      <c r="R46" s="75"/>
      <c r="S46" s="75"/>
    </row>
    <row r="47" spans="1:19" ht="30" customHeight="1" x14ac:dyDescent="0.2">
      <c r="A47" s="49" t="str">
        <f>A46</f>
        <v>Estudos e Projetos, Planos e Gerenciamento e outros correlatos</v>
      </c>
      <c r="B47" s="53"/>
      <c r="C47" s="49" t="str">
        <f t="shared" si="0"/>
        <v>Estudos e Projetos, Planos e Gerenciamento e outros correlatos-</v>
      </c>
      <c r="E47" s="54" t="s">
        <v>689</v>
      </c>
      <c r="F47" s="54" t="s">
        <v>689</v>
      </c>
      <c r="G47" s="54" t="s">
        <v>689</v>
      </c>
      <c r="I47" t="s">
        <v>536</v>
      </c>
    </row>
    <row r="48" spans="1:19" ht="15" x14ac:dyDescent="0.2">
      <c r="A48" s="49" t="str">
        <f>A47</f>
        <v>Estudos e Projetos, Planos e Gerenciamento e outros correlatos</v>
      </c>
      <c r="B48" s="53" t="s">
        <v>696</v>
      </c>
      <c r="C48" s="49" t="str">
        <f t="shared" si="0"/>
        <v>Estudos e Projetos, Planos e Gerenciamento e outros correlatos-K3</v>
      </c>
      <c r="E48" s="54" t="s">
        <v>689</v>
      </c>
      <c r="F48" s="54">
        <v>0.12</v>
      </c>
      <c r="G48" s="54" t="s">
        <v>689</v>
      </c>
      <c r="I48" t="s">
        <v>536</v>
      </c>
      <c r="J48" s="698"/>
      <c r="K48" s="698"/>
      <c r="L48" s="698"/>
      <c r="M48" s="698"/>
      <c r="N48" s="76"/>
    </row>
    <row r="49" spans="1:26" ht="12.75" customHeight="1" x14ac:dyDescent="0.2">
      <c r="A49" s="49" t="str">
        <f>A48</f>
        <v>Estudos e Projetos, Planos e Gerenciamento e outros correlatos</v>
      </c>
      <c r="B49" s="58" t="s">
        <v>656</v>
      </c>
      <c r="C49" s="49" t="str">
        <f t="shared" si="0"/>
        <v>Estudos e Projetos, Planos e Gerenciamento e outros correlatos-BDI PAD</v>
      </c>
      <c r="E49" s="54" t="s">
        <v>689</v>
      </c>
      <c r="F49" s="54" t="s">
        <v>689</v>
      </c>
      <c r="G49" s="54" t="s">
        <v>689</v>
      </c>
      <c r="I49" t="s">
        <v>536</v>
      </c>
      <c r="J49" s="694" t="s">
        <v>697</v>
      </c>
      <c r="K49" s="694"/>
      <c r="L49" s="694"/>
      <c r="M49" s="694"/>
    </row>
    <row r="50" spans="1:26" ht="14.25" x14ac:dyDescent="0.2">
      <c r="B50" s="58"/>
      <c r="E50" s="54"/>
      <c r="F50" s="54"/>
      <c r="G50" s="54"/>
      <c r="I50" t="s">
        <v>536</v>
      </c>
      <c r="J50" s="77" t="s">
        <v>240</v>
      </c>
      <c r="K50" s="78">
        <f t="array" ref="K50:K52">Import.RespOrçamento</f>
        <v>0</v>
      </c>
      <c r="L50" s="79"/>
      <c r="M50" s="79"/>
      <c r="N50" s="76"/>
    </row>
    <row r="51" spans="1:26" ht="14.25" x14ac:dyDescent="0.2">
      <c r="A51"/>
      <c r="B51"/>
      <c r="C51"/>
      <c r="D51"/>
      <c r="E51"/>
      <c r="F51"/>
      <c r="G51"/>
      <c r="I51" t="s">
        <v>536</v>
      </c>
      <c r="J51" s="77" t="s">
        <v>243</v>
      </c>
      <c r="K51" s="78">
        <v>0</v>
      </c>
      <c r="L51" s="79"/>
      <c r="M51" s="79"/>
      <c r="N51" s="76"/>
    </row>
    <row r="52" spans="1:26" ht="14.25" x14ac:dyDescent="0.2">
      <c r="A52"/>
      <c r="B52"/>
      <c r="C52"/>
      <c r="D52"/>
      <c r="E52"/>
      <c r="F52"/>
      <c r="G52"/>
      <c r="I52" t="s">
        <v>536</v>
      </c>
      <c r="J52" s="77" t="s">
        <v>246</v>
      </c>
      <c r="K52" s="78">
        <v>0</v>
      </c>
      <c r="L52" s="79"/>
      <c r="M52" s="79"/>
      <c r="N52" s="76"/>
    </row>
    <row r="53" spans="1:26" ht="14.25" x14ac:dyDescent="0.2">
      <c r="A53"/>
      <c r="B53"/>
      <c r="C53"/>
      <c r="D53"/>
      <c r="E53"/>
      <c r="F53"/>
      <c r="G53"/>
      <c r="I53" t="s">
        <v>536</v>
      </c>
      <c r="J53" s="77"/>
      <c r="K53" s="80"/>
      <c r="L53" s="79"/>
      <c r="M53" s="79"/>
      <c r="N53" s="76"/>
    </row>
    <row r="54" spans="1:26" ht="15.75" x14ac:dyDescent="0.25">
      <c r="A54"/>
      <c r="B54"/>
      <c r="C54"/>
      <c r="D54"/>
      <c r="E54"/>
      <c r="F54"/>
      <c r="G54"/>
      <c r="I54" t="str">
        <f ca="1">IF($S$69=0,"","F")</f>
        <v/>
      </c>
      <c r="J54" s="682" t="s">
        <v>698</v>
      </c>
      <c r="K54" s="682"/>
      <c r="L54" s="682"/>
      <c r="M54" s="682"/>
      <c r="N54" s="682"/>
      <c r="O54" s="682"/>
      <c r="P54" s="682"/>
      <c r="Q54" s="682"/>
      <c r="R54" s="682"/>
      <c r="S54" s="682"/>
      <c r="U54" s="522" t="str">
        <f>IF(COUNTIF(ORÇAMENTO!$V$15:$V$405,BDI_2.Título)=0,"",IF(OR(Import.BDI.Tipo2="(SELECIONAR)",Import.BDI.Tipo2="",U57&lt;&gt;"",S61=0,S62=0,S63=0,S64=0,S65=0,S66=0),"Falta preencher o BDI 2",""))</f>
        <v/>
      </c>
    </row>
    <row r="55" spans="1:26" x14ac:dyDescent="0.2">
      <c r="A55"/>
      <c r="B55"/>
      <c r="C55"/>
      <c r="D55"/>
      <c r="E55"/>
      <c r="F55"/>
      <c r="G55"/>
      <c r="I55" t="str">
        <f t="shared" ref="I55:I93" ca="1" si="3">IF($S$69=0,"","F")</f>
        <v/>
      </c>
    </row>
    <row r="56" spans="1:26" x14ac:dyDescent="0.2">
      <c r="A56"/>
      <c r="B56"/>
      <c r="C56"/>
      <c r="D56"/>
      <c r="E56"/>
      <c r="F56"/>
      <c r="G56"/>
      <c r="I56" t="str">
        <f t="shared" ca="1" si="3"/>
        <v/>
      </c>
      <c r="J56" s="673" t="s">
        <v>664</v>
      </c>
      <c r="K56" s="673"/>
      <c r="L56" s="673"/>
      <c r="M56" s="673"/>
      <c r="N56" s="673"/>
      <c r="O56" s="673"/>
      <c r="P56" s="673"/>
      <c r="Q56" s="673"/>
      <c r="R56" s="673"/>
      <c r="S56" s="673"/>
    </row>
    <row r="57" spans="1:26" ht="15" x14ac:dyDescent="0.25">
      <c r="A57"/>
      <c r="B57"/>
      <c r="C57"/>
      <c r="D57"/>
      <c r="E57"/>
      <c r="F57"/>
      <c r="G57"/>
      <c r="I57" t="str">
        <f t="shared" ca="1" si="3"/>
        <v/>
      </c>
      <c r="J57" s="679" t="s">
        <v>139</v>
      </c>
      <c r="K57" s="679"/>
      <c r="L57" s="679"/>
      <c r="M57" s="679"/>
      <c r="N57" s="679"/>
      <c r="O57" s="679"/>
      <c r="P57" s="679"/>
      <c r="Q57" s="679"/>
      <c r="R57" s="679"/>
      <c r="S57" s="679"/>
      <c r="T57" s="565" t="str">
        <f ca="1">IF(U57="","","◄")</f>
        <v/>
      </c>
      <c r="U57" s="564" t="str">
        <f ca="1">IF(AND(OR(S69&gt;0,COUNTIF(ORÇAMENTO!$V$15:$V$405,BDI_2.Título)&gt;0),OR(Import.BDI.Tipo2="(SELECIONAR)",Import.BDI.Tipo2="")),"Selecione o Tipo de obra","")</f>
        <v/>
      </c>
    </row>
    <row r="58" spans="1:26" x14ac:dyDescent="0.2">
      <c r="A58"/>
      <c r="B58"/>
      <c r="C58"/>
      <c r="D58"/>
      <c r="E58"/>
      <c r="F58"/>
      <c r="G58"/>
      <c r="I58" t="str">
        <f t="shared" ca="1" si="3"/>
        <v/>
      </c>
    </row>
    <row r="59" spans="1:26" ht="12.75" customHeight="1" x14ac:dyDescent="0.2">
      <c r="A59"/>
      <c r="B59"/>
      <c r="C59"/>
      <c r="D59"/>
      <c r="E59"/>
      <c r="F59"/>
      <c r="G59"/>
      <c r="I59" t="str">
        <f t="shared" ca="1" si="3"/>
        <v/>
      </c>
      <c r="J59" s="681" t="s">
        <v>666</v>
      </c>
      <c r="K59" s="681"/>
      <c r="L59" s="681"/>
      <c r="M59" s="681"/>
      <c r="N59" s="681"/>
      <c r="O59" s="681"/>
      <c r="P59" s="681"/>
      <c r="Q59" s="681"/>
      <c r="R59" s="681" t="s">
        <v>667</v>
      </c>
      <c r="S59" s="680" t="s">
        <v>668</v>
      </c>
      <c r="U59" s="680" t="s">
        <v>669</v>
      </c>
      <c r="V59" s="680"/>
      <c r="W59" s="680"/>
      <c r="X59" s="678" t="s">
        <v>670</v>
      </c>
      <c r="Y59" s="678" t="s">
        <v>671</v>
      </c>
      <c r="Z59" s="678" t="s">
        <v>672</v>
      </c>
    </row>
    <row r="60" spans="1:26" ht="12.75" customHeight="1" x14ac:dyDescent="0.2">
      <c r="A60"/>
      <c r="B60"/>
      <c r="C60"/>
      <c r="D60"/>
      <c r="E60"/>
      <c r="F60"/>
      <c r="G60"/>
      <c r="I60" t="str">
        <f t="shared" ca="1" si="3"/>
        <v/>
      </c>
      <c r="J60" s="681"/>
      <c r="K60" s="681"/>
      <c r="L60" s="681"/>
      <c r="M60" s="681"/>
      <c r="N60" s="681"/>
      <c r="O60" s="681"/>
      <c r="P60" s="681"/>
      <c r="Q60" s="681"/>
      <c r="R60" s="681"/>
      <c r="S60" s="680"/>
      <c r="U60" s="680"/>
      <c r="V60" s="680"/>
      <c r="W60" s="680"/>
      <c r="X60" s="678"/>
      <c r="Y60" s="678"/>
      <c r="Z60" s="678"/>
    </row>
    <row r="61" spans="1:26" ht="15" customHeight="1" x14ac:dyDescent="0.2">
      <c r="A61"/>
      <c r="B61"/>
      <c r="C61"/>
      <c r="D61"/>
      <c r="E61"/>
      <c r="F61"/>
      <c r="G61"/>
      <c r="I61" t="str">
        <f t="shared" ca="1" si="3"/>
        <v/>
      </c>
      <c r="J61" s="683" t="str">
        <f>IF($J$17=$A$146,"Encargos Sociais incidentes sobre a mão de obra","Administração Central")</f>
        <v>Administração Central</v>
      </c>
      <c r="K61" s="683"/>
      <c r="L61" s="683"/>
      <c r="M61" s="683"/>
      <c r="N61" s="683"/>
      <c r="O61" s="683"/>
      <c r="P61" s="683"/>
      <c r="Q61" s="683"/>
      <c r="R61" s="60" t="str">
        <f>IF($J57=$A$146,"K1","AC")</f>
        <v>AC</v>
      </c>
      <c r="S61" s="61"/>
      <c r="T61" s="574" t="str">
        <f ca="1">IF(AND($U$14&lt;&gt;"",S61=""),"◄","")</f>
        <v/>
      </c>
      <c r="U61" s="684" t="str">
        <f>IFERROR(IF(AND(S61&gt;=X61,S61&lt;=Z61),"OK","FORA DO INTERVALO"),"-")</f>
        <v>-</v>
      </c>
      <c r="V61" s="685"/>
      <c r="W61" s="686"/>
      <c r="X61" s="62" t="e">
        <f>VLOOKUP(CONCATENATE(J57,"-",R61),$C$2:$G$136,3,FALSE)</f>
        <v>#N/A</v>
      </c>
      <c r="Y61" s="62" t="e">
        <f>VLOOKUP(CONCATENATE(J57,"-",R61),$C$2:$G$136,4,FALSE)</f>
        <v>#N/A</v>
      </c>
      <c r="Z61" s="62" t="e">
        <f>VLOOKUP(CONCATENATE(J57,"-",R61),$C$2:$G$136,5,FALSE)</f>
        <v>#N/A</v>
      </c>
    </row>
    <row r="62" spans="1:26" ht="15" customHeight="1" x14ac:dyDescent="0.2">
      <c r="A62"/>
      <c r="B62"/>
      <c r="C62"/>
      <c r="D62"/>
      <c r="E62"/>
      <c r="F62"/>
      <c r="G62"/>
      <c r="I62" t="str">
        <f t="shared" ca="1" si="3"/>
        <v/>
      </c>
      <c r="J62" s="683" t="str">
        <f>IF($J$17=$A$146,"Administração Central da empresa ou consultoria - overhead","Seguro e Garantia")</f>
        <v>Seguro e Garantia</v>
      </c>
      <c r="K62" s="683"/>
      <c r="L62" s="683"/>
      <c r="M62" s="683"/>
      <c r="N62" s="683"/>
      <c r="O62" s="683"/>
      <c r="P62" s="683"/>
      <c r="Q62" s="683"/>
      <c r="R62" s="60" t="str">
        <f>IF($J57=$A$146,"K2","SG")</f>
        <v>SG</v>
      </c>
      <c r="S62" s="61"/>
      <c r="T62" s="574" t="str">
        <f t="shared" ref="T62:T66" ca="1" si="4">IF(AND($U$14&lt;&gt;"",S62=""),"◄","")</f>
        <v/>
      </c>
      <c r="U62" s="684" t="str">
        <f t="shared" ref="U62:U67" si="5">IFERROR(IF(AND(S62&gt;=X62,S62&lt;=Z62),"OK","FORA DO INTERVALO"),"-")</f>
        <v>-</v>
      </c>
      <c r="V62" s="685"/>
      <c r="W62" s="686"/>
      <c r="X62" s="62" t="e">
        <f>VLOOKUP(CONCATENATE(J57,"-",R62),$C$2:$G$136,3,FALSE)</f>
        <v>#N/A</v>
      </c>
      <c r="Y62" s="62" t="e">
        <f>VLOOKUP(CONCATENATE(J57,"-",R62),$C$2:$G$136,4,FALSE)</f>
        <v>#N/A</v>
      </c>
      <c r="Z62" s="62" t="e">
        <f>VLOOKUP(CONCATENATE(J57,"-",R62),$C$2:$G$136,5,FALSE)</f>
        <v>#N/A</v>
      </c>
    </row>
    <row r="63" spans="1:26" ht="15" customHeight="1" x14ac:dyDescent="0.2">
      <c r="A63"/>
      <c r="B63"/>
      <c r="C63"/>
      <c r="D63"/>
      <c r="E63"/>
      <c r="F63"/>
      <c r="G63"/>
      <c r="I63" t="str">
        <f t="shared" ca="1" si="3"/>
        <v/>
      </c>
      <c r="J63" s="683" t="str">
        <f>IF($J$17=$A$146,"","Risco")</f>
        <v>Risco</v>
      </c>
      <c r="K63" s="683"/>
      <c r="L63" s="683"/>
      <c r="M63" s="683"/>
      <c r="N63" s="683"/>
      <c r="O63" s="683"/>
      <c r="P63" s="683"/>
      <c r="Q63" s="683"/>
      <c r="R63" s="60" t="str">
        <f>IF($J57=$A$146,"","R")</f>
        <v>R</v>
      </c>
      <c r="S63" s="61"/>
      <c r="T63" s="574" t="str">
        <f t="shared" ca="1" si="4"/>
        <v/>
      </c>
      <c r="U63" s="684" t="str">
        <f t="shared" si="5"/>
        <v>-</v>
      </c>
      <c r="V63" s="685"/>
      <c r="W63" s="686"/>
      <c r="X63" s="62" t="e">
        <f>VLOOKUP(CONCATENATE(J57,"-",R63),$C$2:$G$136,3,FALSE)</f>
        <v>#N/A</v>
      </c>
      <c r="Y63" s="62" t="e">
        <f>VLOOKUP(CONCATENATE(J57,"-",R63),$C$2:$G$136,4,FALSE)</f>
        <v>#N/A</v>
      </c>
      <c r="Z63" s="62" t="e">
        <f>VLOOKUP(CONCATENATE(J57,"-",R63),$C$2:$G$136,5,FALSE)</f>
        <v>#N/A</v>
      </c>
    </row>
    <row r="64" spans="1:26" ht="15" customHeight="1" x14ac:dyDescent="0.2">
      <c r="A64"/>
      <c r="B64"/>
      <c r="C64"/>
      <c r="D64"/>
      <c r="E64"/>
      <c r="F64"/>
      <c r="G64"/>
      <c r="I64" t="str">
        <f t="shared" ca="1" si="3"/>
        <v/>
      </c>
      <c r="J64" s="683" t="str">
        <f>IF($J$17=$A$146,"","Despesas Financeiras")</f>
        <v>Despesas Financeiras</v>
      </c>
      <c r="K64" s="683"/>
      <c r="L64" s="683"/>
      <c r="M64" s="683"/>
      <c r="N64" s="683"/>
      <c r="O64" s="683"/>
      <c r="P64" s="683"/>
      <c r="Q64" s="683"/>
      <c r="R64" s="60" t="str">
        <f>IF($J57=$A$146,"","DF")</f>
        <v>DF</v>
      </c>
      <c r="S64" s="61"/>
      <c r="T64" s="574" t="str">
        <f t="shared" ca="1" si="4"/>
        <v/>
      </c>
      <c r="U64" s="684" t="str">
        <f t="shared" si="5"/>
        <v>-</v>
      </c>
      <c r="V64" s="685"/>
      <c r="W64" s="686"/>
      <c r="X64" s="62" t="e">
        <f>VLOOKUP(CONCATENATE(J57,"-",R64),$C$2:$G$136,3,FALSE)</f>
        <v>#N/A</v>
      </c>
      <c r="Y64" s="62" t="e">
        <f>VLOOKUP(CONCATENATE(J57,"-",R64),$C$2:$G$136,4,FALSE)</f>
        <v>#N/A</v>
      </c>
      <c r="Z64" s="62" t="e">
        <f>VLOOKUP(CONCATENATE(J57,"-",R64),$C$2:$G$136,5,FALSE)</f>
        <v>#N/A</v>
      </c>
    </row>
    <row r="65" spans="1:26" ht="15" customHeight="1" x14ac:dyDescent="0.2">
      <c r="A65"/>
      <c r="B65"/>
      <c r="C65"/>
      <c r="D65"/>
      <c r="E65"/>
      <c r="F65"/>
      <c r="G65"/>
      <c r="I65" t="str">
        <f t="shared" ca="1" si="3"/>
        <v/>
      </c>
      <c r="J65" s="683" t="str">
        <f>IF($J$17=$A$146,"Margem bruta da empresa de consultoria","Lucro")</f>
        <v>Lucro</v>
      </c>
      <c r="K65" s="683"/>
      <c r="L65" s="683"/>
      <c r="M65" s="683"/>
      <c r="N65" s="683"/>
      <c r="O65" s="683"/>
      <c r="P65" s="683"/>
      <c r="Q65" s="683"/>
      <c r="R65" s="60" t="str">
        <f>IF($J57=$A$146,"K3","L")</f>
        <v>L</v>
      </c>
      <c r="S65" s="61"/>
      <c r="T65" s="574" t="str">
        <f t="shared" ca="1" si="4"/>
        <v/>
      </c>
      <c r="U65" s="684" t="str">
        <f t="shared" si="5"/>
        <v>-</v>
      </c>
      <c r="V65" s="685"/>
      <c r="W65" s="686"/>
      <c r="X65" s="62" t="e">
        <f>VLOOKUP(CONCATENATE(J57,"-",R65),$C$2:$G$136,3,FALSE)</f>
        <v>#N/A</v>
      </c>
      <c r="Y65" s="62" t="e">
        <f>VLOOKUP(CONCATENATE(J57,"-",R65),$C$2:$G$136,4,FALSE)</f>
        <v>#N/A</v>
      </c>
      <c r="Z65" s="62" t="e">
        <f>VLOOKUP(CONCATENATE(J57,"-",R65),$C$2:$G$136,5,FALSE)</f>
        <v>#N/A</v>
      </c>
    </row>
    <row r="66" spans="1:26" ht="15" customHeight="1" x14ac:dyDescent="0.2">
      <c r="A66"/>
      <c r="B66"/>
      <c r="C66"/>
      <c r="D66"/>
      <c r="E66"/>
      <c r="F66"/>
      <c r="G66"/>
      <c r="I66" t="str">
        <f t="shared" ca="1" si="3"/>
        <v/>
      </c>
      <c r="J66" s="683" t="s">
        <v>675</v>
      </c>
      <c r="K66" s="683"/>
      <c r="L66" s="683"/>
      <c r="M66" s="683"/>
      <c r="N66" s="683"/>
      <c r="O66" s="683"/>
      <c r="P66" s="683"/>
      <c r="Q66" s="683"/>
      <c r="R66" s="60" t="s">
        <v>456</v>
      </c>
      <c r="S66" s="61"/>
      <c r="T66" s="574" t="str">
        <f t="shared" ca="1" si="4"/>
        <v/>
      </c>
      <c r="U66" s="684" t="str">
        <f t="shared" si="5"/>
        <v>FORA DO INTERVALO</v>
      </c>
      <c r="V66" s="685"/>
      <c r="W66" s="686"/>
      <c r="X66" s="62">
        <v>3.6499999999999998E-2</v>
      </c>
      <c r="Y66" s="62">
        <v>3.6499999999999998E-2</v>
      </c>
      <c r="Z66" s="62">
        <v>3.6499999999999998E-2</v>
      </c>
    </row>
    <row r="67" spans="1:26" ht="15" customHeight="1" x14ac:dyDescent="0.2">
      <c r="A67"/>
      <c r="B67"/>
      <c r="C67"/>
      <c r="D67"/>
      <c r="E67"/>
      <c r="F67"/>
      <c r="G67"/>
      <c r="I67" t="str">
        <f t="shared" ca="1" si="3"/>
        <v/>
      </c>
      <c r="J67" s="683" t="s">
        <v>676</v>
      </c>
      <c r="K67" s="683"/>
      <c r="L67" s="683"/>
      <c r="M67" s="683"/>
      <c r="N67" s="683"/>
      <c r="O67" s="683"/>
      <c r="P67" s="683"/>
      <c r="Q67" s="683"/>
      <c r="R67" s="60" t="s">
        <v>677</v>
      </c>
      <c r="S67" s="62">
        <f ca="1">IF(AND($J57&lt;&gt;$A$145,COUNTA(OFFSET(S60,1,0,6))&gt;0),$R$11*$R$10,0)</f>
        <v>0</v>
      </c>
      <c r="U67" s="684" t="str">
        <f t="shared" ca="1" si="5"/>
        <v>OK</v>
      </c>
      <c r="V67" s="685"/>
      <c r="W67" s="686"/>
      <c r="X67" s="62">
        <v>0</v>
      </c>
      <c r="Y67" s="62">
        <v>2.5000000000000001E-2</v>
      </c>
      <c r="Z67" s="62">
        <v>0.05</v>
      </c>
    </row>
    <row r="68" spans="1:26" ht="15" customHeight="1" x14ac:dyDescent="0.2">
      <c r="A68"/>
      <c r="B68"/>
      <c r="C68"/>
      <c r="D68"/>
      <c r="E68"/>
      <c r="F68"/>
      <c r="G68"/>
      <c r="I68" t="str">
        <f t="shared" ca="1" si="3"/>
        <v/>
      </c>
      <c r="J68" s="683" t="s">
        <v>678</v>
      </c>
      <c r="K68" s="683"/>
      <c r="L68" s="683"/>
      <c r="M68" s="683"/>
      <c r="N68" s="683"/>
      <c r="O68" s="683"/>
      <c r="P68" s="683"/>
      <c r="Q68" s="683"/>
      <c r="R68" s="60" t="s">
        <v>679</v>
      </c>
      <c r="S68" s="62" cm="1">
        <f t="array" aca="1" ref="S68" ca="1">IF(BDI.Opcao&lt;&gt;"Desonerado",0,IF(AND($J57&lt;&gt;$A$145,COUNTA(OFFSET(S60,1,0,6))&gt;0),IF(YEAR(Import.DataBase)&lt;2025,4.5%,IF(YEAR(Import.DataBase)=2025,3.6%,IF(YEAR(Import.DataBase)=2026,2.7%,IF(YEAR(Import.DataBase)=2027,1.8%,0%)))),0%))</f>
        <v>0</v>
      </c>
      <c r="U68" s="684" t="s">
        <v>680</v>
      </c>
      <c r="V68" s="685"/>
      <c r="W68" s="686"/>
      <c r="X68" s="63">
        <f ca="1">$S68</f>
        <v>0</v>
      </c>
      <c r="Y68" s="63">
        <f ca="1">$S68</f>
        <v>0</v>
      </c>
      <c r="Z68" s="63">
        <f ca="1">$S68</f>
        <v>0</v>
      </c>
    </row>
    <row r="69" spans="1:26" ht="15" customHeight="1" x14ac:dyDescent="0.2">
      <c r="A69"/>
      <c r="B69"/>
      <c r="C69"/>
      <c r="D69"/>
      <c r="E69"/>
      <c r="F69"/>
      <c r="G69"/>
      <c r="I69" t="str">
        <f t="shared" ca="1" si="3"/>
        <v/>
      </c>
      <c r="J69" s="683" t="s">
        <v>681</v>
      </c>
      <c r="K69" s="683"/>
      <c r="L69" s="683"/>
      <c r="M69" s="683"/>
      <c r="N69" s="683"/>
      <c r="O69" s="683"/>
      <c r="P69" s="683"/>
      <c r="Q69" s="683"/>
      <c r="R69" s="64" t="s">
        <v>656</v>
      </c>
      <c r="S69" s="62">
        <f ca="1">IF($J57=$A$145,0,ROUND((((1+S61+S62+S63)*(1+S64)*(1+S65)/(1-(S66+S67)))-1),4))</f>
        <v>0</v>
      </c>
      <c r="U69" s="680" t="str">
        <f ca="1">IFERROR(IF(OR($J$17=$A$146,$J$17=$A$145,AND(S69&gt;=X69,S69&lt;=Z69)),"OK","FORA DO INTERVALO"),IF(S69=0,"OK","Selecione o Tipo de obra"))</f>
        <v>OK</v>
      </c>
      <c r="V69" s="680"/>
      <c r="W69" s="680"/>
      <c r="X69" s="62" t="e">
        <f>IF($J57=$A$145,0,VLOOKUP(CONCATENATE($J57,"-",$R69),$C$2:$G$136,3,FALSE))</f>
        <v>#N/A</v>
      </c>
      <c r="Y69" s="62" t="e">
        <f>IF($J57=$A$145,0,VLOOKUP(CONCATENATE($J57,"-",$R69),$C$2:$G$136,4,FALSE))</f>
        <v>#N/A</v>
      </c>
      <c r="Z69" s="62" t="e">
        <f>IF($J57=$A$145,0,VLOOKUP(CONCATENATE($J57,"-",$R69),$C$2:$G$136,5,FALSE))</f>
        <v>#N/A</v>
      </c>
    </row>
    <row r="70" spans="1:26" ht="15" customHeight="1" x14ac:dyDescent="0.2">
      <c r="A70"/>
      <c r="B70"/>
      <c r="C70"/>
      <c r="D70"/>
      <c r="E70"/>
      <c r="F70"/>
      <c r="G70"/>
      <c r="I70" t="str">
        <f t="shared" ca="1" si="3"/>
        <v/>
      </c>
      <c r="J70" s="690" t="s">
        <v>682</v>
      </c>
      <c r="K70" s="690"/>
      <c r="L70" s="690"/>
      <c r="M70" s="690"/>
      <c r="N70" s="690"/>
      <c r="O70" s="690"/>
      <c r="P70" s="690"/>
      <c r="Q70" s="690"/>
      <c r="R70" s="65" t="s">
        <v>683</v>
      </c>
      <c r="S70" s="66">
        <f ca="1">IF($J57=$A$145,0,ROUND((((1+S61+S62+S63)*(1+S64)*(1+S65)/(1-(S66+S67+S68)))-1),4))</f>
        <v>0</v>
      </c>
    </row>
    <row r="71" spans="1:26" ht="15" customHeight="1" x14ac:dyDescent="0.2">
      <c r="A71"/>
      <c r="B71"/>
      <c r="C71"/>
      <c r="D71"/>
      <c r="E71"/>
      <c r="F71"/>
      <c r="G71"/>
      <c r="I71" t="str">
        <f t="shared" ca="1" si="3"/>
        <v/>
      </c>
    </row>
    <row r="72" spans="1:26" ht="15.75" x14ac:dyDescent="0.2">
      <c r="A72"/>
      <c r="B72"/>
      <c r="C72"/>
      <c r="D72"/>
      <c r="E72"/>
      <c r="F72"/>
      <c r="G72"/>
      <c r="I72" t="str">
        <f t="shared" ca="1" si="3"/>
        <v/>
      </c>
      <c r="J72" s="67" t="str">
        <f ca="1">IF(U69&lt;&gt;"ok","X","")</f>
        <v/>
      </c>
      <c r="K72" s="691" t="str">
        <f ca="1">IF(U69&lt;&gt;"ok","Anexo: Relatório Técnico Circunstanciado justificando a adoção do percentual de cada parcela do BDI.","")</f>
        <v/>
      </c>
      <c r="L72" s="691"/>
      <c r="M72" s="691"/>
      <c r="N72" s="691"/>
      <c r="O72" s="691"/>
      <c r="P72" s="691"/>
      <c r="Q72" s="691"/>
      <c r="R72" s="691"/>
      <c r="S72" s="691"/>
    </row>
    <row r="73" spans="1:26" x14ac:dyDescent="0.2">
      <c r="A73"/>
      <c r="B73"/>
      <c r="C73"/>
      <c r="D73"/>
      <c r="E73"/>
      <c r="F73"/>
      <c r="G73"/>
      <c r="I73" t="str">
        <f t="shared" ca="1" si="3"/>
        <v/>
      </c>
    </row>
    <row r="74" spans="1:26" x14ac:dyDescent="0.2">
      <c r="A74"/>
      <c r="B74"/>
      <c r="C74"/>
      <c r="D74"/>
      <c r="E74"/>
      <c r="F74"/>
      <c r="G74"/>
      <c r="I74" t="str">
        <f t="shared" ca="1" si="3"/>
        <v/>
      </c>
      <c r="J74" s="692" t="s">
        <v>684</v>
      </c>
      <c r="K74" s="692"/>
      <c r="L74" s="692"/>
      <c r="M74" s="692"/>
      <c r="N74" s="692"/>
      <c r="O74" s="692"/>
      <c r="P74" s="692"/>
      <c r="Q74" s="692"/>
      <c r="R74" s="692"/>
      <c r="S74" s="692"/>
    </row>
    <row r="75" spans="1:26" ht="15.75" x14ac:dyDescent="0.25">
      <c r="A75"/>
      <c r="B75"/>
      <c r="C75"/>
      <c r="D75"/>
      <c r="E75"/>
      <c r="F75"/>
      <c r="G75"/>
      <c r="I75" t="str">
        <f t="shared" ca="1" si="3"/>
        <v/>
      </c>
      <c r="J75" s="68"/>
      <c r="K75" s="68"/>
      <c r="L75" s="68"/>
      <c r="M75" s="693" t="s">
        <v>685</v>
      </c>
      <c r="N75" s="699" t="str">
        <f>IF($J57=$A$146,"(1+K1+K2)*(1+K3)","(1+AC + S + R + G)*(1 + DF)*(1+L)")</f>
        <v>(1+AC + S + R + G)*(1 + DF)*(1+L)</v>
      </c>
      <c r="O75" s="699"/>
      <c r="P75" s="699"/>
      <c r="Q75" s="700" t="s">
        <v>686</v>
      </c>
      <c r="R75" s="68"/>
      <c r="S75" s="68"/>
    </row>
    <row r="76" spans="1:26" ht="15.75" x14ac:dyDescent="0.2">
      <c r="A76"/>
      <c r="B76"/>
      <c r="C76"/>
      <c r="D76"/>
      <c r="E76"/>
      <c r="F76"/>
      <c r="G76"/>
      <c r="I76" t="str">
        <f t="shared" ca="1" si="3"/>
        <v/>
      </c>
      <c r="J76" s="68"/>
      <c r="K76" s="68"/>
      <c r="L76" s="68"/>
      <c r="M76" s="693"/>
      <c r="N76" s="688" t="s">
        <v>687</v>
      </c>
      <c r="O76" s="688"/>
      <c r="P76" s="688"/>
      <c r="Q76" s="700"/>
      <c r="R76" s="68"/>
      <c r="S76" s="68"/>
    </row>
    <row r="77" spans="1:26" ht="15" customHeight="1" x14ac:dyDescent="0.2">
      <c r="A77"/>
      <c r="B77"/>
      <c r="C77"/>
      <c r="D77"/>
      <c r="E77"/>
      <c r="F77"/>
      <c r="G77"/>
      <c r="I77" t="str">
        <f t="shared" ca="1" si="3"/>
        <v/>
      </c>
      <c r="J77" s="68"/>
      <c r="K77" s="68"/>
      <c r="L77" s="68"/>
      <c r="M77" s="69"/>
      <c r="N77" s="71"/>
      <c r="O77" s="71"/>
      <c r="P77" s="71"/>
      <c r="Q77" s="70"/>
      <c r="R77" s="68"/>
      <c r="S77" s="68"/>
    </row>
    <row r="78" spans="1:26" ht="50.1" customHeight="1" x14ac:dyDescent="0.2">
      <c r="A78"/>
      <c r="B78"/>
      <c r="C78"/>
      <c r="D78"/>
      <c r="E78"/>
      <c r="F78"/>
      <c r="G78"/>
      <c r="I78" t="str">
        <f t="shared" ca="1" si="3"/>
        <v/>
      </c>
      <c r="J78" s="689" t="str">
        <f>CONCATENATE("Declaro para os devidos fins que, conforme legislação tributária municipal, a base de cálculo deste tipo de obra corresponde à ",$R$10*100,"%, com a respectiva alíquota de ",$R$11*100,"%.")</f>
        <v>Declaro para os devidos fins que, conforme legislação tributária municipal, a base de cálculo deste tipo de obra corresponde à 100%, com a respectiva alíquota de 2%.</v>
      </c>
      <c r="K78" s="689"/>
      <c r="L78" s="689"/>
      <c r="M78" s="689"/>
      <c r="N78" s="689"/>
      <c r="O78" s="689"/>
      <c r="P78" s="689"/>
      <c r="Q78" s="689"/>
      <c r="R78" s="689"/>
      <c r="S78" s="689"/>
    </row>
    <row r="79" spans="1:26" x14ac:dyDescent="0.2">
      <c r="A79"/>
      <c r="B79"/>
      <c r="C79"/>
      <c r="D79"/>
      <c r="E79"/>
      <c r="F79"/>
      <c r="G79"/>
      <c r="I79" t="str">
        <f t="shared" ca="1" si="3"/>
        <v/>
      </c>
    </row>
    <row r="80" spans="1:26" ht="50.1" customHeight="1" x14ac:dyDescent="0.2">
      <c r="A80"/>
      <c r="B80"/>
      <c r="C80"/>
      <c r="D80"/>
      <c r="E80"/>
      <c r="F80"/>
      <c r="G80"/>
      <c r="I80" t="str">
        <f t="shared" ca="1" si="3"/>
        <v/>
      </c>
      <c r="J80" s="689" t="str">
        <f ca="1">CONCATENATE("Declaro para os devidos fins que o regime de Contribuição Previdenciária sobre a Receita Bruta adotado para elaboração do orçamento foi ",IF(DESONERACAO="Sim","COM","SEM")," Desoneração, e que esta é a alternativa mais adequada para a Administração Pública.")</f>
        <v>Declaro para os devidos fins que o regime de Contribuição Previdenciária sobre a Receita Bruta adotado para elaboração do orçamento foi COM Desoneração, e que esta é a alternativa mais adequada para a Administração Pública.</v>
      </c>
      <c r="K80" s="689"/>
      <c r="L80" s="689"/>
      <c r="M80" s="689"/>
      <c r="N80" s="689"/>
      <c r="O80" s="689"/>
      <c r="P80" s="689"/>
      <c r="Q80" s="689"/>
      <c r="R80" s="689"/>
      <c r="S80" s="689"/>
    </row>
    <row r="81" spans="1:21" x14ac:dyDescent="0.2">
      <c r="A81"/>
      <c r="B81"/>
      <c r="C81"/>
      <c r="D81"/>
      <c r="E81"/>
      <c r="F81"/>
      <c r="G81"/>
      <c r="I81" t="str">
        <f t="shared" ca="1" si="3"/>
        <v/>
      </c>
    </row>
    <row r="82" spans="1:21" x14ac:dyDescent="0.2">
      <c r="A82"/>
      <c r="B82"/>
      <c r="C82"/>
      <c r="D82"/>
      <c r="E82"/>
      <c r="F82"/>
      <c r="G82"/>
      <c r="I82" t="str">
        <f t="shared" ca="1" si="3"/>
        <v/>
      </c>
      <c r="J82" s="49" t="s">
        <v>690</v>
      </c>
    </row>
    <row r="83" spans="1:21" ht="99.95" customHeight="1" x14ac:dyDescent="0.2">
      <c r="A83"/>
      <c r="B83"/>
      <c r="C83"/>
      <c r="D83"/>
      <c r="E83"/>
      <c r="F83"/>
      <c r="G83"/>
      <c r="I83" t="str">
        <f t="shared" ca="1" si="3"/>
        <v/>
      </c>
      <c r="J83" s="701"/>
      <c r="K83" s="701"/>
      <c r="L83" s="701"/>
      <c r="M83" s="701"/>
      <c r="N83" s="701"/>
      <c r="O83" s="701"/>
      <c r="P83" s="701"/>
      <c r="Q83" s="701"/>
      <c r="R83" s="701"/>
      <c r="S83" s="701"/>
    </row>
    <row r="84" spans="1:21" x14ac:dyDescent="0.2">
      <c r="A84"/>
      <c r="B84"/>
      <c r="C84"/>
      <c r="D84"/>
      <c r="E84"/>
      <c r="F84"/>
      <c r="G84"/>
      <c r="I84" t="str">
        <f t="shared" ca="1" si="3"/>
        <v/>
      </c>
    </row>
    <row r="85" spans="1:21" x14ac:dyDescent="0.2">
      <c r="A85"/>
      <c r="B85"/>
      <c r="C85"/>
      <c r="D85"/>
      <c r="E85"/>
      <c r="F85"/>
      <c r="G85"/>
      <c r="I85" t="str">
        <f t="shared" ca="1" si="3"/>
        <v/>
      </c>
      <c r="J85" s="695" t="str">
        <f>Import.Município</f>
        <v>Caçador/SC</v>
      </c>
      <c r="K85" s="695"/>
      <c r="L85" s="695"/>
      <c r="M85" s="695"/>
      <c r="P85" s="696">
        <f>DADOS!$C$25</f>
        <v>0</v>
      </c>
      <c r="Q85" s="696"/>
      <c r="R85" s="696"/>
      <c r="S85" s="696"/>
    </row>
    <row r="86" spans="1:21" x14ac:dyDescent="0.2">
      <c r="A86"/>
      <c r="B86"/>
      <c r="C86"/>
      <c r="D86"/>
      <c r="E86"/>
      <c r="F86"/>
      <c r="G86"/>
      <c r="I86" t="str">
        <f t="shared" ca="1" si="3"/>
        <v/>
      </c>
      <c r="J86" s="697" t="s">
        <v>694</v>
      </c>
      <c r="K86" s="697"/>
      <c r="L86" s="697"/>
      <c r="M86" s="697"/>
      <c r="O86" s="73"/>
      <c r="P86" s="74" t="s">
        <v>695</v>
      </c>
      <c r="Q86" s="75"/>
      <c r="R86" s="75"/>
      <c r="S86" s="75"/>
    </row>
    <row r="87" spans="1:21" ht="30" customHeight="1" x14ac:dyDescent="0.2">
      <c r="A87"/>
      <c r="B87"/>
      <c r="C87"/>
      <c r="D87"/>
      <c r="E87"/>
      <c r="F87"/>
      <c r="G87"/>
      <c r="I87" t="str">
        <f t="shared" ca="1" si="3"/>
        <v/>
      </c>
    </row>
    <row r="88" spans="1:21" ht="15" x14ac:dyDescent="0.2">
      <c r="A88"/>
      <c r="B88"/>
      <c r="C88"/>
      <c r="D88"/>
      <c r="E88"/>
      <c r="F88"/>
      <c r="G88"/>
      <c r="I88" t="str">
        <f t="shared" ca="1" si="3"/>
        <v/>
      </c>
      <c r="J88" s="698"/>
      <c r="K88" s="698"/>
      <c r="L88" s="698"/>
      <c r="M88" s="698"/>
      <c r="N88" s="76"/>
    </row>
    <row r="89" spans="1:21" x14ac:dyDescent="0.2">
      <c r="A89"/>
      <c r="B89"/>
      <c r="C89"/>
      <c r="D89"/>
      <c r="E89"/>
      <c r="F89"/>
      <c r="G89"/>
      <c r="I89" t="str">
        <f t="shared" ca="1" si="3"/>
        <v/>
      </c>
      <c r="J89" s="694" t="s">
        <v>697</v>
      </c>
      <c r="K89" s="694"/>
      <c r="L89" s="694"/>
      <c r="M89" s="694"/>
    </row>
    <row r="90" spans="1:21" ht="14.25" x14ac:dyDescent="0.2">
      <c r="A90"/>
      <c r="B90"/>
      <c r="C90"/>
      <c r="D90"/>
      <c r="E90"/>
      <c r="F90"/>
      <c r="G90"/>
      <c r="I90" t="str">
        <f t="shared" ca="1" si="3"/>
        <v/>
      </c>
      <c r="J90" s="77" t="s">
        <v>240</v>
      </c>
      <c r="K90" s="78">
        <f t="array" ref="K90:K92">Import.RespOrçamento</f>
        <v>0</v>
      </c>
      <c r="L90" s="79"/>
      <c r="M90" s="79"/>
      <c r="N90" s="76"/>
    </row>
    <row r="91" spans="1:21" ht="14.25" x14ac:dyDescent="0.2">
      <c r="A91"/>
      <c r="B91"/>
      <c r="C91"/>
      <c r="D91"/>
      <c r="E91"/>
      <c r="F91"/>
      <c r="G91"/>
      <c r="I91" t="str">
        <f t="shared" ca="1" si="3"/>
        <v/>
      </c>
      <c r="J91" s="77" t="s">
        <v>243</v>
      </c>
      <c r="K91" s="78">
        <v>0</v>
      </c>
      <c r="L91" s="79"/>
      <c r="M91" s="79"/>
      <c r="N91" s="76"/>
    </row>
    <row r="92" spans="1:21" ht="14.25" x14ac:dyDescent="0.2">
      <c r="A92"/>
      <c r="B92"/>
      <c r="C92"/>
      <c r="D92"/>
      <c r="E92"/>
      <c r="F92"/>
      <c r="G92"/>
      <c r="I92" t="str">
        <f t="shared" ca="1" si="3"/>
        <v/>
      </c>
      <c r="J92" s="77" t="s">
        <v>246</v>
      </c>
      <c r="K92" s="78">
        <v>0</v>
      </c>
      <c r="L92" s="79"/>
      <c r="M92" s="79"/>
      <c r="N92" s="76"/>
    </row>
    <row r="93" spans="1:21" ht="14.25" x14ac:dyDescent="0.2">
      <c r="A93"/>
      <c r="B93"/>
      <c r="C93"/>
      <c r="D93"/>
      <c r="E93"/>
      <c r="F93"/>
      <c r="G93"/>
      <c r="I93" t="str">
        <f t="shared" ca="1" si="3"/>
        <v/>
      </c>
      <c r="J93" s="77"/>
      <c r="K93" s="80"/>
      <c r="L93" s="79"/>
      <c r="M93" s="79"/>
      <c r="N93" s="76"/>
    </row>
    <row r="94" spans="1:21" ht="15.75" x14ac:dyDescent="0.25">
      <c r="A94"/>
      <c r="B94"/>
      <c r="C94"/>
      <c r="D94"/>
      <c r="E94"/>
      <c r="F94"/>
      <c r="G94"/>
      <c r="I94" t="str">
        <f ca="1">IF($S$109=0,"","F")</f>
        <v/>
      </c>
      <c r="J94" s="682" t="s">
        <v>699</v>
      </c>
      <c r="K94" s="682"/>
      <c r="L94" s="682"/>
      <c r="M94" s="682"/>
      <c r="N94" s="682"/>
      <c r="O94" s="682"/>
      <c r="P94" s="682"/>
      <c r="Q94" s="682"/>
      <c r="R94" s="682"/>
      <c r="S94" s="682"/>
      <c r="U94" s="522" t="str">
        <f>IF(COUNTIF(ORÇAMENTO!$V$15:$V$405,BDI_3.Título)=0,"",IF(OR(Import.BDI.Tipo3="(SELECIONAR)",Import.BDI.Tipo3="",U97&lt;&gt;"",S101=0,S102=0,S103=0,S104=0,S105=0,S106=0),"Falta preencher o BDI 3",""))</f>
        <v/>
      </c>
    </row>
    <row r="95" spans="1:21" x14ac:dyDescent="0.2">
      <c r="A95"/>
      <c r="B95"/>
      <c r="C95"/>
      <c r="D95"/>
      <c r="E95"/>
      <c r="F95"/>
      <c r="G95"/>
      <c r="I95" t="str">
        <f t="shared" ref="I95:I132" ca="1" si="6">IF($S$109=0,"","F")</f>
        <v/>
      </c>
    </row>
    <row r="96" spans="1:21" x14ac:dyDescent="0.2">
      <c r="A96"/>
      <c r="B96"/>
      <c r="C96"/>
      <c r="D96"/>
      <c r="E96"/>
      <c r="F96"/>
      <c r="G96"/>
      <c r="I96" t="str">
        <f t="shared" ca="1" si="6"/>
        <v/>
      </c>
      <c r="J96" s="673" t="s">
        <v>664</v>
      </c>
      <c r="K96" s="673"/>
      <c r="L96" s="673"/>
      <c r="M96" s="673"/>
      <c r="N96" s="673"/>
      <c r="O96" s="673"/>
      <c r="P96" s="673"/>
      <c r="Q96" s="673"/>
      <c r="R96" s="673"/>
      <c r="S96" s="673"/>
    </row>
    <row r="97" spans="1:26" ht="15" x14ac:dyDescent="0.25">
      <c r="A97"/>
      <c r="B97"/>
      <c r="C97"/>
      <c r="D97"/>
      <c r="E97"/>
      <c r="F97"/>
      <c r="G97"/>
      <c r="I97" t="str">
        <f t="shared" ca="1" si="6"/>
        <v/>
      </c>
      <c r="J97" s="679" t="s">
        <v>139</v>
      </c>
      <c r="K97" s="679"/>
      <c r="L97" s="679"/>
      <c r="M97" s="679"/>
      <c r="N97" s="679"/>
      <c r="O97" s="679"/>
      <c r="P97" s="679"/>
      <c r="Q97" s="679"/>
      <c r="R97" s="679"/>
      <c r="S97" s="679"/>
      <c r="T97" s="565" t="str">
        <f ca="1">IF(U97="","","◄")</f>
        <v/>
      </c>
      <c r="U97" s="564" t="str">
        <f ca="1">IF(AND(OR(S109&gt;0,COUNTIF(ORÇAMENTO!$V$15:$V$405,BDI_3.Título)&gt;0),OR(Import.BDI.Tipo3="(SELECIONAR)",Import.BDI.Tipo3="")),"Selecione o Tipo de obra","")</f>
        <v/>
      </c>
    </row>
    <row r="98" spans="1:26" x14ac:dyDescent="0.2">
      <c r="A98"/>
      <c r="B98"/>
      <c r="C98"/>
      <c r="D98"/>
      <c r="E98"/>
      <c r="F98"/>
      <c r="G98"/>
      <c r="I98" t="str">
        <f t="shared" ca="1" si="6"/>
        <v/>
      </c>
    </row>
    <row r="99" spans="1:26" ht="12.75" customHeight="1" x14ac:dyDescent="0.2">
      <c r="A99"/>
      <c r="B99"/>
      <c r="C99"/>
      <c r="D99"/>
      <c r="E99"/>
      <c r="F99"/>
      <c r="G99"/>
      <c r="I99" t="str">
        <f t="shared" ca="1" si="6"/>
        <v/>
      </c>
      <c r="J99" s="681" t="s">
        <v>666</v>
      </c>
      <c r="K99" s="681"/>
      <c r="L99" s="681"/>
      <c r="M99" s="681"/>
      <c r="N99" s="681"/>
      <c r="O99" s="681"/>
      <c r="P99" s="681"/>
      <c r="Q99" s="681"/>
      <c r="R99" s="681" t="s">
        <v>667</v>
      </c>
      <c r="S99" s="680" t="s">
        <v>668</v>
      </c>
      <c r="U99" s="680" t="s">
        <v>669</v>
      </c>
      <c r="V99" s="680"/>
      <c r="W99" s="680"/>
      <c r="X99" s="678" t="s">
        <v>670</v>
      </c>
      <c r="Y99" s="678" t="s">
        <v>671</v>
      </c>
      <c r="Z99" s="678" t="s">
        <v>672</v>
      </c>
    </row>
    <row r="100" spans="1:26" ht="12.75" customHeight="1" x14ac:dyDescent="0.2">
      <c r="A100"/>
      <c r="B100"/>
      <c r="C100"/>
      <c r="D100"/>
      <c r="E100"/>
      <c r="F100"/>
      <c r="G100"/>
      <c r="I100" t="str">
        <f t="shared" ca="1" si="6"/>
        <v/>
      </c>
      <c r="J100" s="681"/>
      <c r="K100" s="681"/>
      <c r="L100" s="681"/>
      <c r="M100" s="681"/>
      <c r="N100" s="681"/>
      <c r="O100" s="681"/>
      <c r="P100" s="681"/>
      <c r="Q100" s="681"/>
      <c r="R100" s="681"/>
      <c r="S100" s="680"/>
      <c r="U100" s="680"/>
      <c r="V100" s="680"/>
      <c r="W100" s="680"/>
      <c r="X100" s="678"/>
      <c r="Y100" s="678"/>
      <c r="Z100" s="678"/>
    </row>
    <row r="101" spans="1:26" ht="15" customHeight="1" x14ac:dyDescent="0.2">
      <c r="A101"/>
      <c r="B101"/>
      <c r="C101"/>
      <c r="D101"/>
      <c r="E101"/>
      <c r="F101"/>
      <c r="G101"/>
      <c r="I101" t="str">
        <f t="shared" ca="1" si="6"/>
        <v/>
      </c>
      <c r="J101" s="683" t="str">
        <f>IF($J$17=$A$146,"Encargos Sociais incidentes sobre a mão de obra","Administração Central")</f>
        <v>Administração Central</v>
      </c>
      <c r="K101" s="683"/>
      <c r="L101" s="683"/>
      <c r="M101" s="683"/>
      <c r="N101" s="683"/>
      <c r="O101" s="683"/>
      <c r="P101" s="683"/>
      <c r="Q101" s="683"/>
      <c r="R101" s="60" t="str">
        <f>IF($J97=$A$146,"K1","AC")</f>
        <v>AC</v>
      </c>
      <c r="S101" s="61"/>
      <c r="T101" s="574" t="str">
        <f ca="1">IF(AND($U$14&lt;&gt;"",S101=""),"◄","")</f>
        <v/>
      </c>
      <c r="U101" s="684" t="str">
        <f>IFERROR(IF(AND(S101&gt;=X101,S101&lt;=Z101),"OK","FORA DO INTERVALO"),"-")</f>
        <v>-</v>
      </c>
      <c r="V101" s="685"/>
      <c r="W101" s="686"/>
      <c r="X101" s="62" t="e">
        <f>VLOOKUP(CONCATENATE(J97,"-",R101),$C$2:$G$136,3,FALSE)</f>
        <v>#N/A</v>
      </c>
      <c r="Y101" s="62" t="e">
        <f>VLOOKUP(CONCATENATE(J97,"-",R101),$C$2:$G$136,4,FALSE)</f>
        <v>#N/A</v>
      </c>
      <c r="Z101" s="62" t="e">
        <f>VLOOKUP(CONCATENATE(J97,"-",R101),$C$2:$G$136,5,FALSE)</f>
        <v>#N/A</v>
      </c>
    </row>
    <row r="102" spans="1:26" ht="15" customHeight="1" x14ac:dyDescent="0.2">
      <c r="A102"/>
      <c r="B102"/>
      <c r="C102"/>
      <c r="D102"/>
      <c r="E102"/>
      <c r="F102"/>
      <c r="G102"/>
      <c r="I102" t="str">
        <f t="shared" ca="1" si="6"/>
        <v/>
      </c>
      <c r="J102" s="683" t="str">
        <f>IF($J$17=$A$146,"Administração Central da empresa ou consultoria - overhead","Seguro e Garantia")</f>
        <v>Seguro e Garantia</v>
      </c>
      <c r="K102" s="683"/>
      <c r="L102" s="683"/>
      <c r="M102" s="683"/>
      <c r="N102" s="683"/>
      <c r="O102" s="683"/>
      <c r="P102" s="683"/>
      <c r="Q102" s="683"/>
      <c r="R102" s="60" t="str">
        <f>IF($J97=$A$146,"K2","SG")</f>
        <v>SG</v>
      </c>
      <c r="S102" s="61"/>
      <c r="T102" s="574" t="str">
        <f t="shared" ref="T102:T106" ca="1" si="7">IF(AND($U$14&lt;&gt;"",S102=""),"◄","")</f>
        <v/>
      </c>
      <c r="U102" s="684" t="str">
        <f t="shared" ref="U102:U107" si="8">IFERROR(IF(AND(S102&gt;=X102,S102&lt;=Z102),"OK","FORA DO INTERVALO"),"-")</f>
        <v>-</v>
      </c>
      <c r="V102" s="685"/>
      <c r="W102" s="686"/>
      <c r="X102" s="62" t="e">
        <f>VLOOKUP(CONCATENATE(J97,"-",R102),$C$2:$G$136,3,FALSE)</f>
        <v>#N/A</v>
      </c>
      <c r="Y102" s="62" t="e">
        <f>VLOOKUP(CONCATENATE(J97,"-",R102),$C$2:$G$136,4,FALSE)</f>
        <v>#N/A</v>
      </c>
      <c r="Z102" s="62" t="e">
        <f>VLOOKUP(CONCATENATE(J97,"-",R102),$C$2:$G$136,5,FALSE)</f>
        <v>#N/A</v>
      </c>
    </row>
    <row r="103" spans="1:26" ht="15" customHeight="1" x14ac:dyDescent="0.2">
      <c r="A103"/>
      <c r="B103"/>
      <c r="C103"/>
      <c r="D103"/>
      <c r="E103"/>
      <c r="F103"/>
      <c r="G103"/>
      <c r="I103" t="str">
        <f t="shared" ca="1" si="6"/>
        <v/>
      </c>
      <c r="J103" s="683" t="str">
        <f>IF($J$17=$A$146,"","Risco")</f>
        <v>Risco</v>
      </c>
      <c r="K103" s="683"/>
      <c r="L103" s="683"/>
      <c r="M103" s="683"/>
      <c r="N103" s="683"/>
      <c r="O103" s="683"/>
      <c r="P103" s="683"/>
      <c r="Q103" s="683"/>
      <c r="R103" s="60" t="str">
        <f>IF($J97=$A$146,"","R")</f>
        <v>R</v>
      </c>
      <c r="S103" s="61"/>
      <c r="T103" s="574" t="str">
        <f t="shared" ca="1" si="7"/>
        <v/>
      </c>
      <c r="U103" s="684" t="str">
        <f t="shared" si="8"/>
        <v>-</v>
      </c>
      <c r="V103" s="685"/>
      <c r="W103" s="686"/>
      <c r="X103" s="62" t="e">
        <f>VLOOKUP(CONCATENATE(J97,"-",R103),$C$2:$G$136,3,FALSE)</f>
        <v>#N/A</v>
      </c>
      <c r="Y103" s="62" t="e">
        <f>VLOOKUP(CONCATENATE(J97,"-",R103),$C$2:$G$136,4,FALSE)</f>
        <v>#N/A</v>
      </c>
      <c r="Z103" s="62" t="e">
        <f>VLOOKUP(CONCATENATE(J97,"-",R103),$C$2:$G$136,5,FALSE)</f>
        <v>#N/A</v>
      </c>
    </row>
    <row r="104" spans="1:26" ht="15" customHeight="1" x14ac:dyDescent="0.2">
      <c r="A104"/>
      <c r="B104"/>
      <c r="C104"/>
      <c r="D104"/>
      <c r="E104"/>
      <c r="F104"/>
      <c r="G104"/>
      <c r="I104" t="str">
        <f t="shared" ca="1" si="6"/>
        <v/>
      </c>
      <c r="J104" s="683" t="str">
        <f>IF($J$17=$A$146,"","Despesas Financeiras")</f>
        <v>Despesas Financeiras</v>
      </c>
      <c r="K104" s="683"/>
      <c r="L104" s="683"/>
      <c r="M104" s="683"/>
      <c r="N104" s="683"/>
      <c r="O104" s="683"/>
      <c r="P104" s="683"/>
      <c r="Q104" s="683"/>
      <c r="R104" s="60" t="str">
        <f>IF($J97=$A$146,"","DF")</f>
        <v>DF</v>
      </c>
      <c r="S104" s="61"/>
      <c r="T104" s="574" t="str">
        <f t="shared" ca="1" si="7"/>
        <v/>
      </c>
      <c r="U104" s="684" t="str">
        <f t="shared" si="8"/>
        <v>-</v>
      </c>
      <c r="V104" s="685"/>
      <c r="W104" s="686"/>
      <c r="X104" s="62" t="e">
        <f>VLOOKUP(CONCATENATE(J97,"-",R104),$C$2:$G$136,3,FALSE)</f>
        <v>#N/A</v>
      </c>
      <c r="Y104" s="62" t="e">
        <f>VLOOKUP(CONCATENATE(J97,"-",R104),$C$2:$G$136,4,FALSE)</f>
        <v>#N/A</v>
      </c>
      <c r="Z104" s="62" t="e">
        <f>VLOOKUP(CONCATENATE(J97,"-",R104),$C$2:$G$136,5,FALSE)</f>
        <v>#N/A</v>
      </c>
    </row>
    <row r="105" spans="1:26" ht="15" customHeight="1" x14ac:dyDescent="0.2">
      <c r="A105"/>
      <c r="B105"/>
      <c r="C105"/>
      <c r="D105"/>
      <c r="E105"/>
      <c r="F105"/>
      <c r="G105"/>
      <c r="I105" t="str">
        <f t="shared" ca="1" si="6"/>
        <v/>
      </c>
      <c r="J105" s="683" t="str">
        <f>IF($J$17=$A$146,"Margem bruta da empresa de consultoria","Lucro")</f>
        <v>Lucro</v>
      </c>
      <c r="K105" s="683"/>
      <c r="L105" s="683"/>
      <c r="M105" s="683"/>
      <c r="N105" s="683"/>
      <c r="O105" s="683"/>
      <c r="P105" s="683"/>
      <c r="Q105" s="683"/>
      <c r="R105" s="60" t="str">
        <f>IF($J97=$A$146,"K3","L")</f>
        <v>L</v>
      </c>
      <c r="S105" s="61"/>
      <c r="T105" s="574" t="str">
        <f t="shared" ca="1" si="7"/>
        <v/>
      </c>
      <c r="U105" s="684" t="str">
        <f t="shared" si="8"/>
        <v>-</v>
      </c>
      <c r="V105" s="685"/>
      <c r="W105" s="686"/>
      <c r="X105" s="62" t="e">
        <f>VLOOKUP(CONCATENATE(J97,"-",R105),$C$2:$G$136,3,FALSE)</f>
        <v>#N/A</v>
      </c>
      <c r="Y105" s="62" t="e">
        <f>VLOOKUP(CONCATENATE(J97,"-",R105),$C$2:$G$136,4,FALSE)</f>
        <v>#N/A</v>
      </c>
      <c r="Z105" s="62" t="e">
        <f>VLOOKUP(CONCATENATE(J97,"-",R105),$C$2:$G$136,5,FALSE)</f>
        <v>#N/A</v>
      </c>
    </row>
    <row r="106" spans="1:26" ht="15" customHeight="1" x14ac:dyDescent="0.2">
      <c r="A106"/>
      <c r="B106"/>
      <c r="C106"/>
      <c r="D106"/>
      <c r="E106"/>
      <c r="F106"/>
      <c r="G106"/>
      <c r="I106" t="str">
        <f t="shared" ca="1" si="6"/>
        <v/>
      </c>
      <c r="J106" s="683" t="s">
        <v>675</v>
      </c>
      <c r="K106" s="683"/>
      <c r="L106" s="683"/>
      <c r="M106" s="683"/>
      <c r="N106" s="683"/>
      <c r="O106" s="683"/>
      <c r="P106" s="683"/>
      <c r="Q106" s="683"/>
      <c r="R106" s="60" t="s">
        <v>456</v>
      </c>
      <c r="S106" s="61"/>
      <c r="T106" s="574" t="str">
        <f t="shared" ca="1" si="7"/>
        <v/>
      </c>
      <c r="U106" s="684" t="str">
        <f t="shared" si="8"/>
        <v>FORA DO INTERVALO</v>
      </c>
      <c r="V106" s="685"/>
      <c r="W106" s="686"/>
      <c r="X106" s="62">
        <v>3.6499999999999998E-2</v>
      </c>
      <c r="Y106" s="62">
        <v>3.6499999999999998E-2</v>
      </c>
      <c r="Z106" s="62">
        <v>3.6499999999999998E-2</v>
      </c>
    </row>
    <row r="107" spans="1:26" ht="15" customHeight="1" x14ac:dyDescent="0.2">
      <c r="A107"/>
      <c r="B107"/>
      <c r="C107"/>
      <c r="D107"/>
      <c r="E107"/>
      <c r="F107"/>
      <c r="G107"/>
      <c r="I107" t="str">
        <f t="shared" ca="1" si="6"/>
        <v/>
      </c>
      <c r="J107" s="683" t="s">
        <v>676</v>
      </c>
      <c r="K107" s="683"/>
      <c r="L107" s="683"/>
      <c r="M107" s="683"/>
      <c r="N107" s="683"/>
      <c r="O107" s="683"/>
      <c r="P107" s="683"/>
      <c r="Q107" s="683"/>
      <c r="R107" s="60" t="s">
        <v>677</v>
      </c>
      <c r="S107" s="62">
        <f ca="1">IF(AND($J97&lt;&gt;$A$145,COUNTA(OFFSET(S100,1,0,6))&gt;0),$R$11*$R$10,0)</f>
        <v>0</v>
      </c>
      <c r="U107" s="684" t="str">
        <f t="shared" ca="1" si="8"/>
        <v>OK</v>
      </c>
      <c r="V107" s="685"/>
      <c r="W107" s="686"/>
      <c r="X107" s="62">
        <v>0</v>
      </c>
      <c r="Y107" s="62">
        <v>2.5000000000000001E-2</v>
      </c>
      <c r="Z107" s="62">
        <v>0.05</v>
      </c>
    </row>
    <row r="108" spans="1:26" ht="15" customHeight="1" x14ac:dyDescent="0.2">
      <c r="A108"/>
      <c r="B108"/>
      <c r="C108"/>
      <c r="D108"/>
      <c r="E108"/>
      <c r="F108"/>
      <c r="G108"/>
      <c r="I108" t="str">
        <f t="shared" ca="1" si="6"/>
        <v/>
      </c>
      <c r="J108" s="683" t="s">
        <v>678</v>
      </c>
      <c r="K108" s="683"/>
      <c r="L108" s="683"/>
      <c r="M108" s="683"/>
      <c r="N108" s="683"/>
      <c r="O108" s="683"/>
      <c r="P108" s="683"/>
      <c r="Q108" s="683"/>
      <c r="R108" s="60" t="s">
        <v>679</v>
      </c>
      <c r="S108" s="62" cm="1">
        <f t="array" aca="1" ref="S108" ca="1">IF(BDI.Opcao&lt;&gt;"Desonerado",0,IF(AND($J97&lt;&gt;$A$145,COUNTA(OFFSET(S100,1,0,6))&gt;0),IF(YEAR(Import.DataBase)&lt;2025,4.5%,IF(YEAR(Import.DataBase)=2025,3.6%,IF(YEAR(Import.DataBase)=2026,2.7%,IF(YEAR(Import.DataBase)=2027,1.8%,0%)))),0%))</f>
        <v>0</v>
      </c>
      <c r="U108" s="684" t="s">
        <v>680</v>
      </c>
      <c r="V108" s="685"/>
      <c r="W108" s="686"/>
      <c r="X108" s="63">
        <f ca="1">$S108</f>
        <v>0</v>
      </c>
      <c r="Y108" s="63">
        <f ca="1">$S108</f>
        <v>0</v>
      </c>
      <c r="Z108" s="63">
        <f ca="1">$S108</f>
        <v>0</v>
      </c>
    </row>
    <row r="109" spans="1:26" ht="15" customHeight="1" x14ac:dyDescent="0.2">
      <c r="A109"/>
      <c r="B109"/>
      <c r="C109"/>
      <c r="D109"/>
      <c r="E109"/>
      <c r="F109"/>
      <c r="G109"/>
      <c r="I109" t="str">
        <f t="shared" ca="1" si="6"/>
        <v/>
      </c>
      <c r="J109" s="683" t="s">
        <v>681</v>
      </c>
      <c r="K109" s="683"/>
      <c r="L109" s="683"/>
      <c r="M109" s="683"/>
      <c r="N109" s="683"/>
      <c r="O109" s="683"/>
      <c r="P109" s="683"/>
      <c r="Q109" s="683"/>
      <c r="R109" s="64" t="s">
        <v>656</v>
      </c>
      <c r="S109" s="62">
        <f ca="1">IF($J97=$A$145,0,ROUND((((1+S101+S102+S103)*(1+S104)*(1+S105)/(1-(S106+S107)))-1),4))</f>
        <v>0</v>
      </c>
      <c r="U109" s="680" t="str">
        <f ca="1">IFERROR(IF(OR($J$17=$A$146,$J$17=$A$145,AND(S109&gt;=X109,S109&lt;=Z109)),"OK","FORA DO INTERVALO"),IF(S109=0,"OK","Selecione o Tipo de obra"))</f>
        <v>OK</v>
      </c>
      <c r="V109" s="680"/>
      <c r="W109" s="680"/>
      <c r="X109" s="62" t="e">
        <f>IF($J97=$A$145,0,VLOOKUP(CONCATENATE($J97,"-",$R109),$C$2:$G$136,3,FALSE))</f>
        <v>#N/A</v>
      </c>
      <c r="Y109" s="62" t="e">
        <f>IF($J97=$A$145,0,VLOOKUP(CONCATENATE($J97,"-",$R109),$C$2:$G$136,4,FALSE))</f>
        <v>#N/A</v>
      </c>
      <c r="Z109" s="62" t="e">
        <f>IF($J97=$A$145,0,VLOOKUP(CONCATENATE($J97,"-",$R109),$C$2:$G$136,5,FALSE))</f>
        <v>#N/A</v>
      </c>
    </row>
    <row r="110" spans="1:26" ht="15" customHeight="1" x14ac:dyDescent="0.2">
      <c r="A110"/>
      <c r="B110"/>
      <c r="C110"/>
      <c r="D110"/>
      <c r="E110"/>
      <c r="F110"/>
      <c r="G110"/>
      <c r="I110" t="str">
        <f t="shared" ca="1" si="6"/>
        <v/>
      </c>
      <c r="J110" s="690" t="s">
        <v>682</v>
      </c>
      <c r="K110" s="690"/>
      <c r="L110" s="690"/>
      <c r="M110" s="690"/>
      <c r="N110" s="690"/>
      <c r="O110" s="690"/>
      <c r="P110" s="690"/>
      <c r="Q110" s="690"/>
      <c r="R110" s="65" t="s">
        <v>683</v>
      </c>
      <c r="S110" s="66">
        <f ca="1">IF($J97=$A$145,0,ROUND((((1+S101+S102+S103)*(1+S104)*(1+S105)/(1-(S106+S107+S108)))-1),4))</f>
        <v>0</v>
      </c>
    </row>
    <row r="111" spans="1:26" ht="15" customHeight="1" x14ac:dyDescent="0.2">
      <c r="A111"/>
      <c r="B111"/>
      <c r="C111"/>
      <c r="D111"/>
      <c r="E111"/>
      <c r="F111"/>
      <c r="G111"/>
      <c r="I111" t="str">
        <f t="shared" ca="1" si="6"/>
        <v/>
      </c>
    </row>
    <row r="112" spans="1:26" ht="15.75" x14ac:dyDescent="0.2">
      <c r="A112"/>
      <c r="B112"/>
      <c r="C112"/>
      <c r="D112"/>
      <c r="E112"/>
      <c r="F112"/>
      <c r="G112"/>
      <c r="I112" t="str">
        <f t="shared" ca="1" si="6"/>
        <v/>
      </c>
      <c r="J112" s="67" t="str">
        <f ca="1">IF(U109&lt;&gt;"ok","X","")</f>
        <v/>
      </c>
      <c r="K112" s="691" t="str">
        <f ca="1">IF(U109&lt;&gt;"ok","Anexo: Relatório Técnico Circunstanciado justificando a adoção do percentual de cada parcela do BDI.","")</f>
        <v/>
      </c>
      <c r="L112" s="691"/>
      <c r="M112" s="691"/>
      <c r="N112" s="691"/>
      <c r="O112" s="691"/>
      <c r="P112" s="691"/>
      <c r="Q112" s="691"/>
      <c r="R112" s="691"/>
      <c r="S112" s="691"/>
    </row>
    <row r="113" spans="1:19" x14ac:dyDescent="0.2">
      <c r="A113"/>
      <c r="B113"/>
      <c r="C113"/>
      <c r="D113"/>
      <c r="E113"/>
      <c r="F113"/>
      <c r="G113"/>
      <c r="I113" t="str">
        <f t="shared" ca="1" si="6"/>
        <v/>
      </c>
    </row>
    <row r="114" spans="1:19" x14ac:dyDescent="0.2">
      <c r="A114"/>
      <c r="B114"/>
      <c r="C114"/>
      <c r="D114"/>
      <c r="E114"/>
      <c r="F114"/>
      <c r="G114"/>
      <c r="I114" t="str">
        <f t="shared" ca="1" si="6"/>
        <v/>
      </c>
      <c r="J114" s="692" t="s">
        <v>684</v>
      </c>
      <c r="K114" s="692"/>
      <c r="L114" s="692"/>
      <c r="M114" s="692"/>
      <c r="N114" s="692"/>
      <c r="O114" s="692"/>
      <c r="P114" s="692"/>
      <c r="Q114" s="692"/>
      <c r="R114" s="692"/>
      <c r="S114" s="692"/>
    </row>
    <row r="115" spans="1:19" ht="15.75" x14ac:dyDescent="0.25">
      <c r="A115"/>
      <c r="B115"/>
      <c r="C115"/>
      <c r="D115"/>
      <c r="E115"/>
      <c r="F115"/>
      <c r="G115"/>
      <c r="I115" t="str">
        <f t="shared" ca="1" si="6"/>
        <v/>
      </c>
      <c r="J115" s="68"/>
      <c r="K115" s="68"/>
      <c r="L115" s="68"/>
      <c r="M115" s="693" t="s">
        <v>685</v>
      </c>
      <c r="N115" s="699" t="str">
        <f>IF($J97=$A$146,"(1+K1+K2)*(1+K3)","(1+AC + S + R + G)*(1 + DF)*(1+L)")</f>
        <v>(1+AC + S + R + G)*(1 + DF)*(1+L)</v>
      </c>
      <c r="O115" s="699"/>
      <c r="P115" s="699"/>
      <c r="Q115" s="700" t="s">
        <v>686</v>
      </c>
      <c r="R115" s="68"/>
      <c r="S115" s="68"/>
    </row>
    <row r="116" spans="1:19" ht="15.75" x14ac:dyDescent="0.2">
      <c r="A116"/>
      <c r="B116"/>
      <c r="C116"/>
      <c r="D116"/>
      <c r="E116"/>
      <c r="F116"/>
      <c r="G116"/>
      <c r="I116" t="str">
        <f t="shared" ca="1" si="6"/>
        <v/>
      </c>
      <c r="J116" s="68"/>
      <c r="K116" s="68"/>
      <c r="L116" s="68"/>
      <c r="M116" s="693"/>
      <c r="N116" s="688" t="s">
        <v>687</v>
      </c>
      <c r="O116" s="688"/>
      <c r="P116" s="688"/>
      <c r="Q116" s="700"/>
      <c r="R116" s="68"/>
      <c r="S116" s="68"/>
    </row>
    <row r="117" spans="1:19" ht="15" customHeight="1" x14ac:dyDescent="0.2">
      <c r="A117"/>
      <c r="B117"/>
      <c r="C117"/>
      <c r="D117"/>
      <c r="E117"/>
      <c r="F117"/>
      <c r="G117"/>
      <c r="I117" t="str">
        <f t="shared" ca="1" si="6"/>
        <v/>
      </c>
      <c r="J117" s="68"/>
      <c r="K117" s="68"/>
      <c r="L117" s="68"/>
      <c r="M117" s="69"/>
      <c r="N117" s="71"/>
      <c r="O117" s="71"/>
      <c r="P117" s="71"/>
      <c r="Q117" s="70"/>
      <c r="R117" s="68"/>
      <c r="S117" s="68"/>
    </row>
    <row r="118" spans="1:19" ht="50.1" customHeight="1" x14ac:dyDescent="0.2">
      <c r="A118"/>
      <c r="B118"/>
      <c r="C118"/>
      <c r="D118"/>
      <c r="E118"/>
      <c r="F118"/>
      <c r="G118"/>
      <c r="I118" t="str">
        <f t="shared" ca="1" si="6"/>
        <v/>
      </c>
      <c r="J118" s="689" t="str">
        <f>CONCATENATE("Declaro para os devidos fins que, conforme legislação tributária municipal, a base de cálculo deste tipo de obra corresponde à ",$R$10*100,"%, com a respectiva alíquota de ",$R$11*100,"%.")</f>
        <v>Declaro para os devidos fins que, conforme legislação tributária municipal, a base de cálculo deste tipo de obra corresponde à 100%, com a respectiva alíquota de 2%.</v>
      </c>
      <c r="K118" s="689"/>
      <c r="L118" s="689"/>
      <c r="M118" s="689"/>
      <c r="N118" s="689"/>
      <c r="O118" s="689"/>
      <c r="P118" s="689"/>
      <c r="Q118" s="689"/>
      <c r="R118" s="689"/>
      <c r="S118" s="689"/>
    </row>
    <row r="119" spans="1:19" x14ac:dyDescent="0.2">
      <c r="A119"/>
      <c r="B119"/>
      <c r="C119"/>
      <c r="D119"/>
      <c r="E119"/>
      <c r="F119"/>
      <c r="G119"/>
      <c r="I119" t="str">
        <f t="shared" ca="1" si="6"/>
        <v/>
      </c>
    </row>
    <row r="120" spans="1:19" ht="50.1" customHeight="1" x14ac:dyDescent="0.2">
      <c r="A120"/>
      <c r="B120"/>
      <c r="C120"/>
      <c r="D120"/>
      <c r="E120"/>
      <c r="F120"/>
      <c r="G120"/>
      <c r="I120" t="str">
        <f t="shared" ca="1" si="6"/>
        <v/>
      </c>
      <c r="J120" s="689" t="str">
        <f ca="1">CONCATENATE("Declaro para os devidos fins que o regime de Contribuição Previdenciária sobre a Receita Bruta adotado para elaboração do orçamento foi ",IF(DESONERACAO="Sim","COM","SEM")," Desoneração, e que esta é a alternativa mais adequada para a Administração Pública.")</f>
        <v>Declaro para os devidos fins que o regime de Contribuição Previdenciária sobre a Receita Bruta adotado para elaboração do orçamento foi COM Desoneração, e que esta é a alternativa mais adequada para a Administração Pública.</v>
      </c>
      <c r="K120" s="689"/>
      <c r="L120" s="689"/>
      <c r="M120" s="689"/>
      <c r="N120" s="689"/>
      <c r="O120" s="689"/>
      <c r="P120" s="689"/>
      <c r="Q120" s="689"/>
      <c r="R120" s="689"/>
      <c r="S120" s="689"/>
    </row>
    <row r="121" spans="1:19" x14ac:dyDescent="0.2">
      <c r="A121"/>
      <c r="B121"/>
      <c r="C121"/>
      <c r="D121"/>
      <c r="E121"/>
      <c r="F121"/>
      <c r="G121"/>
      <c r="I121" t="str">
        <f t="shared" ca="1" si="6"/>
        <v/>
      </c>
    </row>
    <row r="122" spans="1:19" x14ac:dyDescent="0.2">
      <c r="A122"/>
      <c r="B122"/>
      <c r="C122"/>
      <c r="D122"/>
      <c r="E122"/>
      <c r="F122"/>
      <c r="G122"/>
      <c r="I122" t="str">
        <f t="shared" ca="1" si="6"/>
        <v/>
      </c>
      <c r="J122" s="49" t="s">
        <v>690</v>
      </c>
    </row>
    <row r="123" spans="1:19" ht="110.1" customHeight="1" x14ac:dyDescent="0.2">
      <c r="A123"/>
      <c r="B123"/>
      <c r="C123"/>
      <c r="D123"/>
      <c r="E123"/>
      <c r="F123"/>
      <c r="G123"/>
      <c r="I123" t="str">
        <f t="shared" ca="1" si="6"/>
        <v/>
      </c>
      <c r="J123" s="701"/>
      <c r="K123" s="701"/>
      <c r="L123" s="701"/>
      <c r="M123" s="701"/>
      <c r="N123" s="701"/>
      <c r="O123" s="701"/>
      <c r="P123" s="701"/>
      <c r="Q123" s="701"/>
      <c r="R123" s="701"/>
      <c r="S123" s="701"/>
    </row>
    <row r="124" spans="1:19" x14ac:dyDescent="0.2">
      <c r="A124"/>
      <c r="B124"/>
      <c r="C124"/>
      <c r="D124"/>
      <c r="E124"/>
      <c r="F124"/>
      <c r="G124"/>
      <c r="I124" t="str">
        <f t="shared" ca="1" si="6"/>
        <v/>
      </c>
    </row>
    <row r="125" spans="1:19" x14ac:dyDescent="0.2">
      <c r="A125"/>
      <c r="B125"/>
      <c r="C125"/>
      <c r="D125"/>
      <c r="E125"/>
      <c r="F125"/>
      <c r="G125"/>
      <c r="I125" t="str">
        <f t="shared" ca="1" si="6"/>
        <v/>
      </c>
      <c r="J125" s="695" t="str">
        <f>Import.Município</f>
        <v>Caçador/SC</v>
      </c>
      <c r="K125" s="695"/>
      <c r="L125" s="695"/>
      <c r="M125" s="695"/>
      <c r="P125" s="696">
        <f>DADOS!$C$25</f>
        <v>0</v>
      </c>
      <c r="Q125" s="696"/>
      <c r="R125" s="696"/>
      <c r="S125" s="696"/>
    </row>
    <row r="126" spans="1:19" x14ac:dyDescent="0.2">
      <c r="A126"/>
      <c r="B126"/>
      <c r="C126"/>
      <c r="D126"/>
      <c r="E126"/>
      <c r="F126"/>
      <c r="G126"/>
      <c r="I126" t="str">
        <f t="shared" ca="1" si="6"/>
        <v/>
      </c>
      <c r="J126" s="697" t="s">
        <v>694</v>
      </c>
      <c r="K126" s="697"/>
      <c r="L126" s="697"/>
      <c r="M126" s="697"/>
      <c r="O126" s="73"/>
      <c r="P126" s="74" t="s">
        <v>695</v>
      </c>
      <c r="Q126" s="75"/>
      <c r="R126" s="75"/>
      <c r="S126" s="75"/>
    </row>
    <row r="127" spans="1:19" ht="30" customHeight="1" x14ac:dyDescent="0.2">
      <c r="A127"/>
      <c r="B127"/>
      <c r="C127"/>
      <c r="D127"/>
      <c r="E127"/>
      <c r="F127"/>
      <c r="G127"/>
      <c r="I127" t="str">
        <f t="shared" ca="1" si="6"/>
        <v/>
      </c>
    </row>
    <row r="128" spans="1:19" ht="15" x14ac:dyDescent="0.2">
      <c r="A128"/>
      <c r="B128"/>
      <c r="C128"/>
      <c r="D128"/>
      <c r="E128"/>
      <c r="F128"/>
      <c r="G128"/>
      <c r="I128" t="str">
        <f t="shared" ca="1" si="6"/>
        <v/>
      </c>
      <c r="J128" s="698"/>
      <c r="K128" s="698"/>
      <c r="L128" s="698"/>
      <c r="M128" s="698"/>
      <c r="N128" s="76"/>
    </row>
    <row r="129" spans="1:14" x14ac:dyDescent="0.2">
      <c r="A129"/>
      <c r="B129"/>
      <c r="C129"/>
      <c r="D129"/>
      <c r="E129"/>
      <c r="F129"/>
      <c r="G129"/>
      <c r="I129" t="str">
        <f t="shared" ca="1" si="6"/>
        <v/>
      </c>
      <c r="J129" s="694" t="s">
        <v>697</v>
      </c>
      <c r="K129" s="694"/>
      <c r="L129" s="694"/>
      <c r="M129" s="694"/>
    </row>
    <row r="130" spans="1:14" ht="14.25" x14ac:dyDescent="0.2">
      <c r="A130"/>
      <c r="B130"/>
      <c r="C130"/>
      <c r="D130"/>
      <c r="E130"/>
      <c r="F130"/>
      <c r="G130"/>
      <c r="I130" t="str">
        <f t="shared" ca="1" si="6"/>
        <v/>
      </c>
      <c r="J130" s="77" t="s">
        <v>240</v>
      </c>
      <c r="K130" s="78">
        <f t="array" ref="K130:K132">Import.RespOrçamento</f>
        <v>0</v>
      </c>
      <c r="L130" s="79"/>
      <c r="M130" s="79"/>
      <c r="N130" s="76"/>
    </row>
    <row r="131" spans="1:14" ht="14.25" x14ac:dyDescent="0.2">
      <c r="A131"/>
      <c r="B131"/>
      <c r="C131"/>
      <c r="D131"/>
      <c r="E131"/>
      <c r="F131"/>
      <c r="G131"/>
      <c r="I131" t="str">
        <f t="shared" ca="1" si="6"/>
        <v/>
      </c>
      <c r="J131" s="77" t="s">
        <v>243</v>
      </c>
      <c r="K131" s="78">
        <v>0</v>
      </c>
      <c r="L131" s="79"/>
      <c r="M131" s="79"/>
      <c r="N131" s="76"/>
    </row>
    <row r="132" spans="1:14" ht="14.25" x14ac:dyDescent="0.2">
      <c r="A132"/>
      <c r="B132"/>
      <c r="C132"/>
      <c r="D132"/>
      <c r="E132"/>
      <c r="F132"/>
      <c r="G132"/>
      <c r="I132" t="str">
        <f t="shared" ca="1" si="6"/>
        <v/>
      </c>
      <c r="J132" s="77" t="s">
        <v>246</v>
      </c>
      <c r="K132" s="78">
        <v>0</v>
      </c>
      <c r="L132" s="79"/>
      <c r="M132" s="79"/>
      <c r="N132" s="76"/>
    </row>
    <row r="133" spans="1:14" x14ac:dyDescent="0.2">
      <c r="A133"/>
      <c r="B133"/>
      <c r="C133"/>
      <c r="D133"/>
      <c r="E133"/>
      <c r="F133"/>
      <c r="G133"/>
    </row>
    <row r="134" spans="1:14" x14ac:dyDescent="0.2">
      <c r="A134"/>
      <c r="B134"/>
      <c r="C134"/>
      <c r="D134"/>
      <c r="E134"/>
      <c r="F134"/>
      <c r="G134"/>
    </row>
    <row r="135" spans="1:14" x14ac:dyDescent="0.2">
      <c r="A135"/>
      <c r="B135"/>
      <c r="C135"/>
      <c r="D135"/>
      <c r="E135"/>
      <c r="F135"/>
      <c r="G135"/>
    </row>
    <row r="136" spans="1:14" x14ac:dyDescent="0.2">
      <c r="A136"/>
      <c r="B136"/>
      <c r="C136"/>
      <c r="D136"/>
      <c r="E136"/>
      <c r="F136"/>
      <c r="G136"/>
    </row>
    <row r="137" spans="1:14" x14ac:dyDescent="0.2">
      <c r="A137"/>
      <c r="B137"/>
      <c r="C137"/>
      <c r="D137"/>
      <c r="E137"/>
      <c r="F137"/>
      <c r="G137"/>
    </row>
    <row r="138" spans="1:14" x14ac:dyDescent="0.2">
      <c r="A138" s="49" t="s">
        <v>139</v>
      </c>
    </row>
    <row r="139" spans="1:14" x14ac:dyDescent="0.2">
      <c r="A139" s="49" t="s">
        <v>645</v>
      </c>
    </row>
    <row r="140" spans="1:14" x14ac:dyDescent="0.2">
      <c r="A140" s="49" t="s">
        <v>658</v>
      </c>
    </row>
    <row r="141" spans="1:14" x14ac:dyDescent="0.2">
      <c r="A141" s="49" t="s">
        <v>662</v>
      </c>
    </row>
    <row r="142" spans="1:14" x14ac:dyDescent="0.2">
      <c r="A142" s="49" t="s">
        <v>673</v>
      </c>
    </row>
    <row r="143" spans="1:14" x14ac:dyDescent="0.2">
      <c r="A143" s="49" t="s">
        <v>674</v>
      </c>
    </row>
    <row r="144" spans="1:14" x14ac:dyDescent="0.2">
      <c r="A144" s="49" t="s">
        <v>665</v>
      </c>
    </row>
    <row r="145" spans="1:1" x14ac:dyDescent="0.2">
      <c r="A145" s="49" t="s">
        <v>688</v>
      </c>
    </row>
    <row r="146" spans="1:1" x14ac:dyDescent="0.2">
      <c r="A146" s="49" t="s">
        <v>691</v>
      </c>
    </row>
  </sheetData>
  <sheetProtection algorithmName="SHA-512" hashValue="rok0ye18qPq6t99KI1O9SbjiCc5M0gAT9D6xERuX3b0ezYABbugvNhXfj9Xrghh9eBdc7XM5YSpGw3yzmQwMtw==" saltValue="5KqzPE76+5dY6d4goM9yzA==" spinCount="100000" sheet="1" objects="1" scenarios="1" autoFilter="0"/>
  <autoFilter ref="I11:I132" xr:uid="{00000000-0009-0000-0000-000003000000}"/>
  <mergeCells count="144">
    <mergeCell ref="J129:M129"/>
    <mergeCell ref="J120:S120"/>
    <mergeCell ref="J123:S123"/>
    <mergeCell ref="J125:M125"/>
    <mergeCell ref="P125:S125"/>
    <mergeCell ref="J126:M126"/>
    <mergeCell ref="J128:M128"/>
    <mergeCell ref="N116:P116"/>
    <mergeCell ref="J108:Q108"/>
    <mergeCell ref="U108:W108"/>
    <mergeCell ref="J109:Q109"/>
    <mergeCell ref="U109:W109"/>
    <mergeCell ref="J110:Q110"/>
    <mergeCell ref="K112:S112"/>
    <mergeCell ref="J118:S118"/>
    <mergeCell ref="I6:I10"/>
    <mergeCell ref="J114:S114"/>
    <mergeCell ref="J107:Q107"/>
    <mergeCell ref="M115:M116"/>
    <mergeCell ref="J105:Q105"/>
    <mergeCell ref="J103:Q103"/>
    <mergeCell ref="J69:Q69"/>
    <mergeCell ref="N115:P115"/>
    <mergeCell ref="Q115:Q116"/>
    <mergeCell ref="J102:Q102"/>
    <mergeCell ref="U102:W102"/>
    <mergeCell ref="U105:W105"/>
    <mergeCell ref="J106:Q106"/>
    <mergeCell ref="U106:W106"/>
    <mergeCell ref="J104:Q104"/>
    <mergeCell ref="U104:W104"/>
    <mergeCell ref="U103:W103"/>
    <mergeCell ref="U107:W107"/>
    <mergeCell ref="Y99:Y100"/>
    <mergeCell ref="Z99:Z100"/>
    <mergeCell ref="J99:Q100"/>
    <mergeCell ref="R99:R100"/>
    <mergeCell ref="S99:S100"/>
    <mergeCell ref="X99:X100"/>
    <mergeCell ref="J101:Q101"/>
    <mergeCell ref="U101:W101"/>
    <mergeCell ref="J96:S96"/>
    <mergeCell ref="J97:S97"/>
    <mergeCell ref="U99:W100"/>
    <mergeCell ref="J66:Q66"/>
    <mergeCell ref="U66:W66"/>
    <mergeCell ref="U67:W67"/>
    <mergeCell ref="J68:Q68"/>
    <mergeCell ref="U68:W68"/>
    <mergeCell ref="J94:S94"/>
    <mergeCell ref="J85:M85"/>
    <mergeCell ref="P85:S85"/>
    <mergeCell ref="J67:Q67"/>
    <mergeCell ref="J78:S78"/>
    <mergeCell ref="J70:Q70"/>
    <mergeCell ref="K72:S72"/>
    <mergeCell ref="J89:M89"/>
    <mergeCell ref="U69:W69"/>
    <mergeCell ref="J86:M86"/>
    <mergeCell ref="J88:M88"/>
    <mergeCell ref="J74:S74"/>
    <mergeCell ref="M75:M76"/>
    <mergeCell ref="J80:S80"/>
    <mergeCell ref="J83:S83"/>
    <mergeCell ref="N76:P76"/>
    <mergeCell ref="N75:P75"/>
    <mergeCell ref="Q75:Q76"/>
    <mergeCell ref="J56:S56"/>
    <mergeCell ref="J57:S57"/>
    <mergeCell ref="J64:Q64"/>
    <mergeCell ref="U64:W64"/>
    <mergeCell ref="J62:Q62"/>
    <mergeCell ref="U62:W62"/>
    <mergeCell ref="J63:Q63"/>
    <mergeCell ref="U63:W63"/>
    <mergeCell ref="J65:Q65"/>
    <mergeCell ref="U65:W65"/>
    <mergeCell ref="Y59:Y60"/>
    <mergeCell ref="Z59:Z60"/>
    <mergeCell ref="J59:Q60"/>
    <mergeCell ref="R59:R60"/>
    <mergeCell ref="S59:S60"/>
    <mergeCell ref="U59:W60"/>
    <mergeCell ref="X59:X60"/>
    <mergeCell ref="J61:Q61"/>
    <mergeCell ref="U61:W61"/>
    <mergeCell ref="J49:M49"/>
    <mergeCell ref="J54:S54"/>
    <mergeCell ref="J45:M45"/>
    <mergeCell ref="P45:S45"/>
    <mergeCell ref="J46:M46"/>
    <mergeCell ref="J48:M48"/>
    <mergeCell ref="N35:P35"/>
    <mergeCell ref="Q35:Q36"/>
    <mergeCell ref="J40:S40"/>
    <mergeCell ref="J43:S43"/>
    <mergeCell ref="J27:Q27"/>
    <mergeCell ref="U27:W27"/>
    <mergeCell ref="J28:Q28"/>
    <mergeCell ref="U28:W28"/>
    <mergeCell ref="J24:Q24"/>
    <mergeCell ref="U24:W24"/>
    <mergeCell ref="N36:P36"/>
    <mergeCell ref="J38:S38"/>
    <mergeCell ref="J30:Q30"/>
    <mergeCell ref="K32:S32"/>
    <mergeCell ref="J29:Q29"/>
    <mergeCell ref="U29:W29"/>
    <mergeCell ref="J34:S34"/>
    <mergeCell ref="M35:M36"/>
    <mergeCell ref="J23:Q23"/>
    <mergeCell ref="U23:W23"/>
    <mergeCell ref="J21:Q21"/>
    <mergeCell ref="U21:W21"/>
    <mergeCell ref="J22:Q22"/>
    <mergeCell ref="U22:W22"/>
    <mergeCell ref="J25:Q25"/>
    <mergeCell ref="U25:W25"/>
    <mergeCell ref="J26:Q26"/>
    <mergeCell ref="U26:W26"/>
    <mergeCell ref="X19:X20"/>
    <mergeCell ref="Y19:Y20"/>
    <mergeCell ref="J17:S17"/>
    <mergeCell ref="Z19:Z20"/>
    <mergeCell ref="U19:W20"/>
    <mergeCell ref="J19:Q20"/>
    <mergeCell ref="R19:R20"/>
    <mergeCell ref="S19:S20"/>
    <mergeCell ref="J14:S14"/>
    <mergeCell ref="J16:S16"/>
    <mergeCell ref="J5:K5"/>
    <mergeCell ref="L5:M5"/>
    <mergeCell ref="N5:S5"/>
    <mergeCell ref="R1:S1"/>
    <mergeCell ref="R2:S2"/>
    <mergeCell ref="J4:K4"/>
    <mergeCell ref="L4:M4"/>
    <mergeCell ref="N4:S4"/>
    <mergeCell ref="J11:Q11"/>
    <mergeCell ref="R11:S11"/>
    <mergeCell ref="J7:S7"/>
    <mergeCell ref="J8:S8"/>
    <mergeCell ref="J10:Q10"/>
    <mergeCell ref="R10:S10"/>
  </mergeCells>
  <phoneticPr fontId="38" type="noConversion"/>
  <conditionalFormatting sqref="J30:S30 J70:S70 J110:S110">
    <cfRule type="expression" dxfId="1085" priority="2" stopIfTrue="1">
      <formula>DESONERACAO="não"</formula>
    </cfRule>
  </conditionalFormatting>
  <conditionalFormatting sqref="U69:W69 U109:W109 U29:W29">
    <cfRule type="expression" dxfId="1084" priority="3" stopIfTrue="1">
      <formula>AND(U29&lt;&gt;"OK",U29&lt;&gt;"-",U29&lt;&gt;"")</formula>
    </cfRule>
    <cfRule type="cellIs" dxfId="1083" priority="4" stopIfTrue="1" operator="equal">
      <formula>"OK"</formula>
    </cfRule>
  </conditionalFormatting>
  <conditionalFormatting sqref="S29 S69 S109">
    <cfRule type="expression" dxfId="1082" priority="5" stopIfTrue="1">
      <formula>DESONERACAO="não"</formula>
    </cfRule>
  </conditionalFormatting>
  <dataValidations count="6">
    <dataValidation type="decimal" allowBlank="1" showErrorMessage="1" errorTitle="Erro de valores" error="Digite um valor entre 0% e 100%" sqref="S21:S26 S61:S66 S101:S106" xr:uid="{00000000-0002-0000-0300-000000000000}">
      <formula1>0</formula1>
      <formula2>1</formula2>
    </dataValidation>
    <dataValidation type="decimal" allowBlank="1" showErrorMessage="1" errorTitle="Erro de valores" error="Digite um valor maior do que 0." sqref="S27 S107 S67" xr:uid="{00000000-0002-0000-0300-000001000000}">
      <formula1>0</formula1>
      <formula2>1</formula2>
    </dataValidation>
    <dataValidation operator="greaterThanOrEqual" allowBlank="1" showErrorMessage="1" errorTitle="Erro de valores" error="Digite um valor igual a 0% ou 2%." sqref="S28 S68 S108" xr:uid="{00000000-0002-0000-0300-000002000000}">
      <formula1>0</formula1>
      <formula2>0</formula2>
    </dataValidation>
    <dataValidation type="decimal" operator="greaterThanOrEqual" allowBlank="1" showInputMessage="1" showErrorMessage="1" errorTitle="Valor não permitido" error="Digite um percentual entre 0% e 100%." promptTitle="Valores comuns:" prompt="Normalmente entre 2 e 5%." sqref="R11:S11" xr:uid="{00000000-0002-0000-0300-000003000000}">
      <formula1>0</formula1>
      <formula2>0</formula2>
    </dataValidation>
    <dataValidation type="decimal" allowBlank="1" showInputMessage="1" showErrorMessage="1" errorTitle="Valor não permitido" error="Digite um percentual entre 0% e 100%." promptTitle="Valores admissíveis:" prompt="Insira valores entre 0 e 100%." sqref="R10:S10" xr:uid="{00000000-0002-0000-0300-000004000000}">
      <formula1>0</formula1>
      <formula2>1</formula2>
    </dataValidation>
    <dataValidation type="list" allowBlank="1" showErrorMessage="1" sqref="J17:S17 J57:S57 J97:S97" xr:uid="{00000000-0002-0000-0300-000005000000}">
      <formula1>BDI.TipoObra</formula1>
      <formula2>0</formula2>
    </dataValidation>
  </dataValidations>
  <pageMargins left="0.78740157480314998" right="0.78740157480314998" top="0.78740157480314998" bottom="0.78740157480314998" header="5.7086614173228396" footer="0.59055118110236204"/>
  <pageSetup paperSize="9" scale="80" firstPageNumber="0" fitToHeight="0" orientation="portrait" horizontalDpi="300" verticalDpi="300" r:id="rId1"/>
  <headerFooter alignWithMargins="0">
    <oddHeader>&amp;L_</oddHeader>
    <oddFooter>&amp;LPMv3.11&amp;R&amp;P /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5">
    <pageSetUpPr fitToPage="1"/>
  </sheetPr>
  <dimension ref="A1:AN422"/>
  <sheetViews>
    <sheetView showGridLines="0" zoomScale="90" zoomScaleNormal="90" zoomScaleSheetLayoutView="90" workbookViewId="0">
      <pane xSplit="19" ySplit="15" topLeftCell="T16" activePane="bottomRight" state="frozen"/>
      <selection pane="topRight" activeCell="T1" sqref="T1"/>
      <selection pane="bottomLeft" activeCell="L16" sqref="L16"/>
      <selection pane="bottomRight" activeCell="R222" sqref="R222"/>
    </sheetView>
  </sheetViews>
  <sheetFormatPr defaultRowHeight="12.75" x14ac:dyDescent="0.2"/>
  <cols>
    <col min="1" max="1" width="5.5703125" hidden="1" customWidth="1"/>
    <col min="2" max="2" width="10.42578125" hidden="1" customWidth="1"/>
    <col min="3" max="3" width="5.5703125" hidden="1" customWidth="1"/>
    <col min="4" max="4" width="12.85546875" hidden="1" customWidth="1"/>
    <col min="5" max="5" width="8.5703125" hidden="1" customWidth="1"/>
    <col min="6" max="6" width="12.42578125" hidden="1" customWidth="1"/>
    <col min="7" max="7" width="14.5703125" hidden="1" customWidth="1"/>
    <col min="8" max="8" width="11.42578125" hidden="1" customWidth="1"/>
    <col min="9" max="9" width="13.42578125" hidden="1" customWidth="1"/>
    <col min="10" max="10" width="7.42578125" hidden="1" customWidth="1"/>
    <col min="11" max="11" width="7.5703125" hidden="1" customWidth="1"/>
    <col min="12" max="12" width="3.5703125" customWidth="1"/>
    <col min="13" max="14" width="8.5703125" customWidth="1"/>
    <col min="15" max="15" width="12.5703125" customWidth="1"/>
    <col min="16" max="17" width="15.5703125" customWidth="1"/>
    <col min="18" max="18" width="65.5703125" customWidth="1"/>
    <col min="19" max="19" width="10.5703125" customWidth="1"/>
    <col min="20" max="21" width="14.5703125" customWidth="1"/>
    <col min="22" max="22" width="10.5703125" customWidth="1"/>
    <col min="23" max="23" width="14.5703125" customWidth="1"/>
    <col min="24" max="24" width="15.5703125" customWidth="1"/>
    <col min="25" max="25" width="3.5703125" customWidth="1"/>
    <col min="26" max="26" width="3.5703125" hidden="1" customWidth="1"/>
    <col min="27" max="28" width="14.5703125" hidden="1" customWidth="1"/>
    <col min="29" max="29" width="15.5703125" customWidth="1"/>
    <col min="30" max="31" width="9.140625" hidden="1" customWidth="1"/>
    <col min="32" max="32" width="15.5703125" hidden="1" customWidth="1"/>
    <col min="33" max="33" width="15.5703125" customWidth="1"/>
    <col min="35" max="35" width="1.5703125" customWidth="1"/>
    <col min="36" max="36" width="14.5703125" customWidth="1"/>
    <col min="37" max="37" width="1.5703125" customWidth="1"/>
    <col min="38" max="38" width="14.5703125" customWidth="1"/>
    <col min="39" max="40" width="15.5703125" customWidth="1"/>
  </cols>
  <sheetData>
    <row r="1" spans="1:40" ht="18" x14ac:dyDescent="0.2">
      <c r="M1" s="81"/>
      <c r="N1" s="81"/>
      <c r="R1" s="82" t="s">
        <v>700</v>
      </c>
      <c r="T1" s="82"/>
      <c r="X1" s="52" t="s">
        <v>644</v>
      </c>
      <c r="Y1" s="7"/>
      <c r="Z1" s="7"/>
      <c r="AA1" s="7"/>
      <c r="AB1" s="7"/>
    </row>
    <row r="2" spans="1:40" ht="15" x14ac:dyDescent="0.2">
      <c r="D2" t="s">
        <v>701</v>
      </c>
      <c r="E2" t="s">
        <v>702</v>
      </c>
      <c r="F2" t="s">
        <v>703</v>
      </c>
      <c r="G2" t="s">
        <v>704</v>
      </c>
      <c r="H2" t="s">
        <v>705</v>
      </c>
      <c r="I2" t="s">
        <v>706</v>
      </c>
      <c r="R2" s="83" t="str" cm="1">
        <f t="array" ref="R2">IF(TIPOORCAMENTO="licitado","Orçamento Licitado","Orçamento Base para Licitação")&amp;" - "&amp;import.recurso</f>
        <v>Orçamento Base para Licitação - (SELECIONAR)</v>
      </c>
      <c r="X2" s="11" t="s">
        <v>647</v>
      </c>
      <c r="Y2" s="84"/>
      <c r="Z2" s="84"/>
      <c r="AA2" s="84"/>
      <c r="AB2" s="84"/>
    </row>
    <row r="3" spans="1:40" x14ac:dyDescent="0.2">
      <c r="H3" s="85"/>
      <c r="R3" s="86"/>
    </row>
    <row r="4" spans="1:40" x14ac:dyDescent="0.2">
      <c r="A4" t="s">
        <v>707</v>
      </c>
      <c r="F4" t="s">
        <v>663</v>
      </c>
      <c r="G4" t="s">
        <v>698</v>
      </c>
      <c r="H4" t="s">
        <v>699</v>
      </c>
      <c r="I4" s="87">
        <v>0</v>
      </c>
      <c r="O4" s="673" t="s">
        <v>650</v>
      </c>
      <c r="P4" s="673"/>
      <c r="Q4" s="88" t="s">
        <v>708</v>
      </c>
      <c r="R4" s="88" t="s">
        <v>652</v>
      </c>
      <c r="S4" s="673" t="s">
        <v>709</v>
      </c>
      <c r="T4" s="673"/>
      <c r="U4" s="673"/>
      <c r="V4" s="673"/>
      <c r="W4" s="673"/>
      <c r="X4" s="673"/>
      <c r="Y4" s="77"/>
      <c r="Z4" s="77"/>
      <c r="AA4" s="77"/>
      <c r="AB4" s="77"/>
    </row>
    <row r="5" spans="1:40" ht="12.75" customHeight="1" x14ac:dyDescent="0.2">
      <c r="A5" s="7">
        <f ca="1">MAX($C$15:$C$405)</f>
        <v>3</v>
      </c>
      <c r="B5" s="7"/>
      <c r="C5" s="7"/>
      <c r="F5" s="87">
        <f ca="1">IF(BDI.Opcao="DESONERADO",BDI!$S$30,BDI!$S$29)</f>
        <v>0.31190000000000001</v>
      </c>
      <c r="G5" s="87">
        <f ca="1">IF(BDI.Opcao="DESONERADO",BDI!$S$70,BDI!$S$69)</f>
        <v>0</v>
      </c>
      <c r="H5" s="87">
        <f ca="1">IF(BDI.Opcao="DESONERADO",BDI!$S$110,BDI!$S$109)</f>
        <v>0</v>
      </c>
      <c r="O5" s="670">
        <f>Import.CR</f>
        <v>0</v>
      </c>
      <c r="P5" s="670"/>
      <c r="Q5" s="91" t="str" cm="1">
        <f t="array" ref="Q5">Import.TransfereGOV</f>
        <v>958977</v>
      </c>
      <c r="R5" s="92" t="str">
        <f>Import.Proponente</f>
        <v>PREFEITURA MUNICIPAL DE CAÇADOR</v>
      </c>
      <c r="S5" s="670" t="str">
        <f>Import.Apelido</f>
        <v>CMEI Sorgatto</v>
      </c>
      <c r="T5" s="670"/>
      <c r="U5" s="670"/>
      <c r="V5" s="670"/>
      <c r="W5" s="670"/>
      <c r="X5" s="670"/>
      <c r="Y5" s="93"/>
      <c r="Z5" s="93"/>
      <c r="AA5" s="93"/>
      <c r="AB5" s="93"/>
      <c r="AE5" s="713" t="s">
        <v>710</v>
      </c>
      <c r="AF5" s="713"/>
    </row>
    <row r="6" spans="1:40" ht="5.0999999999999996" customHeight="1" x14ac:dyDescent="0.2">
      <c r="A6" s="7"/>
      <c r="B6" s="7"/>
      <c r="C6" s="7"/>
      <c r="H6" s="85"/>
      <c r="O6" s="94"/>
      <c r="P6" s="94"/>
      <c r="Q6" s="95"/>
      <c r="R6" s="95"/>
      <c r="S6" s="94"/>
      <c r="T6" s="94"/>
      <c r="U6" s="94"/>
      <c r="V6" s="94"/>
      <c r="W6" s="94"/>
      <c r="X6" s="94"/>
      <c r="Y6" s="93"/>
      <c r="Z6" s="93"/>
      <c r="AA6" s="93"/>
      <c r="AB6" s="93"/>
      <c r="AC6" s="96"/>
      <c r="AE6" s="89"/>
      <c r="AF6" s="90"/>
    </row>
    <row r="7" spans="1:40" ht="12.75" customHeight="1" x14ac:dyDescent="0.2">
      <c r="H7" s="85"/>
      <c r="O7" s="673" t="s">
        <v>711</v>
      </c>
      <c r="P7" s="673"/>
      <c r="Q7" s="88" t="s">
        <v>712</v>
      </c>
      <c r="R7" s="88" t="str" cm="1">
        <f t="array" ref="R7">IF(TIPOORCAMENTO="Licitado","NOME DA EMPRESA","DESCRIÇÃO DO LOTE")</f>
        <v>DESCRIÇÃO DO LOTE</v>
      </c>
      <c r="S7" s="714" t="str" cm="1">
        <f t="array" ref="S7">IF(TIPOORCAMENTO="Licitado","REGIME DE EXECUÇÃO","MUNICÍPIO / UF")</f>
        <v>MUNICÍPIO / UF</v>
      </c>
      <c r="T7" s="714"/>
      <c r="U7" s="714"/>
      <c r="V7" s="98" t="str" cm="1">
        <f t="array" ref="V7">IF(TIPOORCAMENTO="Licitado","","BDI 1")</f>
        <v>BDI 1</v>
      </c>
      <c r="W7" s="98" t="str" cm="1">
        <f t="array" ref="W7">IF(TIPOORCAMENTO="Licitado","","BDI 2")</f>
        <v>BDI 2</v>
      </c>
      <c r="X7" s="99" t="str" cm="1">
        <f t="array" ref="X7">IF(TIPOORCAMENTO="Licitado","Nº CTEF","BDI 3")</f>
        <v>BDI 3</v>
      </c>
      <c r="Y7" s="98"/>
      <c r="Z7" s="98"/>
      <c r="AE7" s="89" t="s">
        <v>713</v>
      </c>
      <c r="AF7" s="90" t="b">
        <v>1</v>
      </c>
      <c r="AJ7" s="717" t="s">
        <v>714</v>
      </c>
      <c r="AL7" s="715" t="s">
        <v>715</v>
      </c>
    </row>
    <row r="8" spans="1:40" ht="12.75" customHeight="1" x14ac:dyDescent="0.2">
      <c r="A8" s="7"/>
      <c r="B8" s="7"/>
      <c r="C8" s="7"/>
      <c r="F8" s="711" t="str">
        <f ca="1">IF(LEN(INFO("release"))&gt;5,"'Referência "&amp;Excel_BuiltIn_Database&amp;".xlsm'#Banco.$a5:$a$65536","'[Referência "&amp;Excel_BuiltIn_Database&amp;".xlsm]Banco'!$a5:$a$65536")</f>
        <v>'[Referência 12-2024.xlsm]Banco'!$a5:$a$65536</v>
      </c>
      <c r="G8" s="711"/>
      <c r="H8" s="711"/>
      <c r="I8" s="711"/>
      <c r="J8" s="711"/>
      <c r="K8" s="711"/>
      <c r="L8" s="702" t="s">
        <v>655</v>
      </c>
      <c r="O8" s="670" t="str">
        <f ca="1">IF(ISERROR(INDIRECT($F$9)),"(N/D: 'Referência "&amp;Excel_BuiltIn_Database&amp;".xlsm)",INDIRECT($F$9))</f>
        <v>(N/D: 'Referência 12-2024.xlsm)</v>
      </c>
      <c r="P8" s="670"/>
      <c r="Q8" s="100" t="str" cm="1">
        <f t="array" aca="1" ref="Q8" ca="1">TEXT(Import.DataBase,"mm-aa")&amp;IF(DESONERACAO="Sim"," (DES.)"," (N DES.)")</f>
        <v>12-24 (DES.)</v>
      </c>
      <c r="R8" s="92" cm="1">
        <f t="array" ref="R8">IF(TIPOORCAMENTO="Licitado",Import.empresa,Import.DescLote)</f>
        <v>0</v>
      </c>
      <c r="S8" s="712" t="str" cm="1">
        <f t="array" ref="S8">IF(TIPOORCAMENTO="Licitado",Import.RegimeExecução,Import.Município)</f>
        <v>Caçador/SC</v>
      </c>
      <c r="T8" s="712"/>
      <c r="U8" s="712"/>
      <c r="V8" s="101" t="str" cm="1">
        <f t="array" aca="1" ref="V8" ca="1">IF(TIPOORCAMENTO="Licitado","",TEXT(F5,"0,00%"))</f>
        <v>31,19%</v>
      </c>
      <c r="W8" s="101" t="str" cm="1">
        <f t="array" aca="1" ref="W8" ca="1">IF(TIPOORCAMENTO="Licitado","",TEXT(G5,"0,00%"))</f>
        <v>0,00%</v>
      </c>
      <c r="X8" s="102" t="str" cm="1">
        <f t="array" aca="1" ref="X8" ca="1">IF(TIPOORCAMENTO="Licitado",Import.CTEF,TEXT(H5,"0,00%"))</f>
        <v>0,00%</v>
      </c>
      <c r="Y8" s="702" t="s">
        <v>716</v>
      </c>
      <c r="Z8" s="702" t="s">
        <v>717</v>
      </c>
      <c r="AA8" s="103"/>
      <c r="AB8" s="103"/>
      <c r="AE8" s="89" t="s">
        <v>718</v>
      </c>
      <c r="AF8" s="90" t="b">
        <v>1</v>
      </c>
      <c r="AJ8" s="717"/>
      <c r="AL8" s="715"/>
    </row>
    <row r="9" spans="1:40" ht="12.75" customHeight="1" x14ac:dyDescent="0.2">
      <c r="F9" s="711" t="str">
        <f ca="1">IF(LEN(INFO("release"))&gt;5,"'Referência "&amp;Excel_BuiltIn_Database&amp;".xlsm'#Banco.$d$3","'[Referência "&amp;Excel_BuiltIn_Database&amp;".xlsm]Banco'!$d$3")</f>
        <v>'[Referência 12-2024.xlsm]Banco'!$d$3</v>
      </c>
      <c r="G9" s="711"/>
      <c r="H9" s="711"/>
      <c r="I9" s="711"/>
      <c r="J9" s="711"/>
      <c r="K9" s="711"/>
      <c r="L9" s="702"/>
      <c r="Y9" s="702"/>
      <c r="Z9" s="702"/>
      <c r="AE9" s="89" t="s">
        <v>23</v>
      </c>
      <c r="AF9" s="90" t="b">
        <v>1</v>
      </c>
      <c r="AJ9" s="717"/>
      <c r="AL9" s="715"/>
    </row>
    <row r="10" spans="1:40" x14ac:dyDescent="0.2">
      <c r="G10" s="85"/>
      <c r="H10" s="85"/>
      <c r="L10" s="702"/>
      <c r="Y10" s="702"/>
      <c r="Z10" s="702"/>
      <c r="AC10" s="104" t="s">
        <v>719</v>
      </c>
      <c r="AE10" s="89" t="s">
        <v>720</v>
      </c>
      <c r="AF10" s="90" t="b">
        <v>1</v>
      </c>
      <c r="AJ10" s="717"/>
      <c r="AL10" s="715"/>
    </row>
    <row r="11" spans="1:40" x14ac:dyDescent="0.2">
      <c r="G11" s="85"/>
      <c r="H11" s="105"/>
      <c r="L11" s="702"/>
      <c r="Y11" s="702"/>
      <c r="Z11" s="702"/>
      <c r="AC11" s="106" t="str">
        <f ca="1">IF(COUNTIFS($L$15:$L$405,"F",$AC$15:$AC$405,"&lt;&gt;"&amp;" ")&gt;0,"NÃO OK","OK")</f>
        <v>OK</v>
      </c>
      <c r="AE11" s="89" t="s">
        <v>721</v>
      </c>
      <c r="AF11" s="90" t="b">
        <v>1</v>
      </c>
      <c r="AJ11" s="717"/>
      <c r="AL11" s="715"/>
    </row>
    <row r="12" spans="1:40" ht="20.100000000000001" customHeight="1" x14ac:dyDescent="0.2">
      <c r="G12" s="85"/>
      <c r="H12" s="85"/>
      <c r="L12" s="702"/>
      <c r="O12" s="591" t="str" cm="1">
        <f t="array" aca="1" ref="O12" ca="1">IF(COUNTIF($AC$15:$AC$405,"FONTE")&gt;0,"Falta preencher a Fonte (coluna P) na Linha "&amp;(14+MATCH("FONTE",$AC$15:$AC$405,0)),
 IF(COUNTIF($AC$15:$AC$405,"CÓDIGO")&gt;0,"Falta preencher o Código (coluna Q) na Linha "&amp;(14+MATCH("CÓDIGO",$AC$15:$AC$405,0)),
 IF(COUNTIF($AC$15:$AC$405,"CÓDIGO N/ID")&gt;0,"Código (coluna Q) não identificado na Linha "&amp;(14+MATCH("CÓDIGO N/ID",$AC$15:$AC$405,0))&amp;". Verifique se o código está correto ou busque outro código",
 IF(COUNTIF($AC$15:$AC$405,"DESCRIÇÃO")&gt;0,"Falta preencher a Descrição (coluna R) na Linha "&amp;(14+MATCH("DESCRIÇÃO",$AC$15:$AC$405,0)),
 IF(COUNTIF($AC$15:$AC$405,"UNIDADE")&gt;0,"Falta preencher a Unidade (coluna S) na Linha "&amp;(14+MATCH("UNIDADE",$AC$15:$AC$405,0)),
 IF(COUNTIF($AC$15:$AC$405,"SEM CUSTO")&gt;0,"Falta preencher o Custo Unitário (coluna U) na Linha "&amp;(14+MATCH("SEM CUSTO",$AC$15:$AC$405,0)),
 IF(COUNTIF($AC$15:$AC$405,"SEM PREÇO")&gt;0,"Falta preencher o Preço Unitário licitado (coluna AL) na Linha "&amp;(14+MATCH("SEM CUSTO",$AC$15:$AC$405,0)),
 IF(COUNTIF($AC$15:$AC$405,"BDI")&gt;0,"Falta definir o BDI (coluna V) na Linha "&amp;(14+MATCH("BDI",$AC$15:$AC$405,0)),
 IF(COUNTIF($AC$15:$AC$405,"ACIMA REF.")&gt;0,
         IF(_xlfn.SINGLE(TIPOORCAMENTO)="Proposto","O custo unitário (coluna U) na Linha "&amp;(14+MATCH("ACIMA REF.",$AC$15:$AC$405,0))&amp;" está acima do custo referencial (coluna AG)",
            "O preço unitário licitado (coluna AL) na Linha "&amp;(14+MATCH("ACIMA REF.",$AC$15:$AC$405,0))&amp;" está acima do preço referencial do edital (coluna AN)"),
 IF(COUNTIF($AC$15:$AC$405,"QUANT.")&gt;0,"Falta a Quantidade do serviço na Linha "&amp;(14+MATCH("QUANT.",$AC$15:$AC$405,0))&amp;IF(ACOMPANHAMENTO="PLE",". Preencher na aba CÁLCULO",". Preencher na coluna AJ"),
 IF(COUNTIF($AC$15:$AC$405,"Código &gt;13")&gt;0,"O tamanho do código do serviço no TransfereGOV é limitado a 13 caracteres. Resuma o código (coluna Q) na Linha "&amp;(14+MATCH("Código &gt;13",$AC$15:$AC$405,0)),
 IF(COUNTIF($AC$15:$AC$405,"Descrição &gt;100")&gt;0,"O tamanho da descrição de macrosserviço no TransfereGOV é limitado a 100 caracteres. Resuma a descrição (coluna R) na Linha "&amp;(14+MATCH("Descrição &gt;100",$AC$15:$AC$405,0)),
 IF(COUNTIF($AC$15:$AC$405,"Descrição &gt;500")&gt;0,"O tamanho da descrição de serviço no TransfereGOV é limitado a 500 caracteres. Resuma a descrição (coluna R) na Linha "&amp;(14+MATCH("Descrição &gt;500",$AC$15:$AC$405,0)),
 IF(COUNTIF($AC$15:$AC$405,"Unid. Não Disp")&gt;0,"Unidade não disponível na lista do TransfereGOV. Reveja a unidade (coluna S) na Linha "&amp;(14+MATCH("Unid. Não Disp",$AC$15:$AC$405,0)),""))))))))))))))</f>
        <v>Falta preencher o Custo Unitário (coluna U) na Linha 18</v>
      </c>
      <c r="Y12" s="702"/>
      <c r="Z12" s="702"/>
      <c r="AA12" s="716" t="s">
        <v>722</v>
      </c>
      <c r="AB12" s="716"/>
      <c r="AJ12" s="107" t="s">
        <v>660</v>
      </c>
      <c r="AL12" s="459" t="s">
        <v>660</v>
      </c>
    </row>
    <row r="13" spans="1:40" ht="35.1" customHeight="1" x14ac:dyDescent="0.2">
      <c r="A13" s="108" t="s">
        <v>723</v>
      </c>
      <c r="B13" s="108" t="s">
        <v>724</v>
      </c>
      <c r="C13" s="108" t="s">
        <v>725</v>
      </c>
      <c r="D13" s="108" t="s">
        <v>726</v>
      </c>
      <c r="E13" s="108" t="s">
        <v>727</v>
      </c>
      <c r="F13" s="108" t="s">
        <v>728</v>
      </c>
      <c r="G13" s="108" t="s">
        <v>729</v>
      </c>
      <c r="H13" s="108" t="s">
        <v>730</v>
      </c>
      <c r="I13" s="108" t="s">
        <v>731</v>
      </c>
      <c r="J13" s="108" t="s">
        <v>732</v>
      </c>
      <c r="K13" s="108" t="s">
        <v>733</v>
      </c>
      <c r="L13" s="107" t="s">
        <v>660</v>
      </c>
      <c r="M13" s="108" t="s">
        <v>734</v>
      </c>
      <c r="N13" s="109" t="s">
        <v>735</v>
      </c>
      <c r="O13" s="108" t="s">
        <v>736</v>
      </c>
      <c r="P13" s="108" t="s">
        <v>737</v>
      </c>
      <c r="Q13" s="108" t="s">
        <v>738</v>
      </c>
      <c r="R13" s="108" t="s">
        <v>118</v>
      </c>
      <c r="S13" s="110" t="s">
        <v>739</v>
      </c>
      <c r="T13" s="108" t="s">
        <v>713</v>
      </c>
      <c r="U13" s="108" t="str" cm="1">
        <f t="array" ref="U13">IF(TIPOORCAMENTO="Licitado","","Custo Unitário (sem BDI) (R$)")</f>
        <v>Custo Unitário (sem BDI) (R$)</v>
      </c>
      <c r="V13" s="108" t="str" cm="1">
        <f t="array" ref="V13">IF(TIPOORCAMENTO="Licitado","","BDI
(%)")</f>
        <v>BDI
(%)</v>
      </c>
      <c r="W13" s="108" t="s">
        <v>740</v>
      </c>
      <c r="X13" s="108" t="s">
        <v>741</v>
      </c>
      <c r="Y13" s="107" t="s">
        <v>660</v>
      </c>
      <c r="Z13" s="107" t="s">
        <v>660</v>
      </c>
      <c r="AA13" s="111" t="s">
        <v>742</v>
      </c>
      <c r="AB13" s="112" t="s">
        <v>743</v>
      </c>
      <c r="AC13" s="108" t="s">
        <v>744</v>
      </c>
      <c r="AD13" s="113" t="s">
        <v>745</v>
      </c>
      <c r="AE13" s="113" t="s">
        <v>746</v>
      </c>
      <c r="AF13" s="113" t="s">
        <v>747</v>
      </c>
      <c r="AG13" s="160" t="s">
        <v>748</v>
      </c>
      <c r="AH13" s="428" t="str" cm="1">
        <f t="array" ref="AH13">IF(TIPOORCAMENTO="LICITADO","Valor BDI Edital","Valor BDI")</f>
        <v>Valor BDI</v>
      </c>
      <c r="AJ13" s="293" t="s">
        <v>713</v>
      </c>
      <c r="AL13" s="293" t="s">
        <v>740</v>
      </c>
      <c r="AM13" s="160" t="s">
        <v>749</v>
      </c>
      <c r="AN13" s="161" t="s">
        <v>750</v>
      </c>
    </row>
    <row r="14" spans="1:40" hidden="1" x14ac:dyDescent="0.2">
      <c r="A14" t="str">
        <f>CHOOSE(1+LOG(1+2*(ORÇAMENTO.Nivel="Meta")+4*(ORÇAMENTO.Nivel="Nível 2")+8*(ORÇAMENTO.Nivel="Nível 3")+16*(ORÇAMENTO.Nivel="Nível 4")+32*(ORÇAMENTO.Nivel="Serviço"),2),0,1,2,3,4,"S")</f>
        <v>S</v>
      </c>
      <c r="B14" t="str">
        <f ca="1">IF(OR(C14="s",C14=0),OFFSET(B14,-1,0),C14)</f>
        <v>Save Nivel</v>
      </c>
      <c r="C14" t="str">
        <f ca="1">IF(OFFSET(C14,-1,0)="L",1,IF(OFFSET(C14,-1,0)=1,2,IF(OR(A14="s",A14=0),"S",IF(AND(OFFSET(C14,-1,0)=2,A14=4),3,IF(AND(OR(OFFSET(C14,-1,0)="s",OFFSET(C14,-1,0)=0),A14&lt;&gt;"s",A14&gt;OFFSET(B14,-1,0)),OFFSET(B14,-1,0),A14)))))</f>
        <v>S</v>
      </c>
      <c r="D14">
        <f ca="1">IF(OR(C14="S",C14=0),0,IF(ISERROR(K14),J14,SMALL(J14:K14,1)))</f>
        <v>0</v>
      </c>
      <c r="E14" t="str">
        <f ca="1">IF($C14=1,OFFSET(E14,-1,0)+MAX(1,COUNTIF(QCI!$A$13:$A$24,OFFSET(ORÇAMENTO!E14,-1,0))),OFFSET(E14,-1,0))</f>
        <v>n1</v>
      </c>
      <c r="F14" t="str">
        <f ca="1">IF($C14=1,0,IF($C14=2,OFFSET(F14,-1,0)+1,OFFSET(F14,-1,0)))</f>
        <v>n2</v>
      </c>
      <c r="G14" t="str">
        <f ca="1">IF(AND($C14&lt;=2,$C14&lt;&gt;0),0,IF($C14=3,OFFSET(G14,-1,0)+1,OFFSET(G14,-1,0)))</f>
        <v>n3</v>
      </c>
      <c r="H14" t="str">
        <f ca="1">IF(AND($C14&lt;=3,$C14&lt;&gt;0),0,IF($C14=4,OFFSET(H14,-1,0)+1,OFFSET(H14,-1,0)))</f>
        <v>n4</v>
      </c>
      <c r="I14" t="str">
        <f ca="1">IF(AND($C14&lt;=4,$C14&lt;&gt;0),0,IF(AND($C14="S",$X14&gt;0),OFFSET(I14,-1,0)+1,OFFSET(I14,-1,0)))</f>
        <v>n5</v>
      </c>
      <c r="J14">
        <f ca="1">IF(OR($C14="S",$C14=0),0,MATCH(0,OFFSET($D14,1,$C14,ROW($C$405)-ROW($C14)),0))</f>
        <v>0</v>
      </c>
      <c r="K14">
        <f ca="1">IF(OR($C14="S",$C14=0),0,MATCH(OFFSET($D14,0,$C14)+IF($C14&lt;&gt;1,1,COUNTIF(QCI!$A$13:$A$24,ORÇAMENTO!E14)),OFFSET($D14,1,$C14,ROW($C$405)-ROW($C14)),0))</f>
        <v>0</v>
      </c>
      <c r="L14" s="115" t="str">
        <f ca="1">IF(OR($X14&gt;0,$C14=1,$C14=2,$C14=3,$C14=4),"F","")</f>
        <v/>
      </c>
      <c r="M14" s="116" t="s">
        <v>706</v>
      </c>
      <c r="N14" s="117" t="str">
        <f ca="1">CHOOSE(1+LOG(1+2*(C14=1)+4*(C14=2)+8*(C14=3)+16*(C14=4)+32*(C14="S"),2),"","Meta","Nível 2","Nível 3","Nível 4","Serviço")</f>
        <v>Serviço</v>
      </c>
      <c r="O14" s="118" t="str">
        <f ca="1">IF(OR($C14=0,$L14=""),"-",CONCATENATE(E14&amp;".",IF(AND($A$5&gt;=2,$C14&gt;=2),F14&amp;".",""),IF(AND($A$5&gt;=3,$C14&gt;=3),G14&amp;".",""),IF(AND($A$5&gt;=4,$C14&gt;=4),H14&amp;".",""),IF($C14="S",I14&amp;".","")))</f>
        <v>-</v>
      </c>
      <c r="P14" s="119" t="s">
        <v>751</v>
      </c>
      <c r="Q14" s="120"/>
      <c r="R14" s="121" t="str">
        <f ca="1">IF($C14="S",REFERENCIA.Descricao,"(digite a descrição aqui)")</f>
        <v>(abra o arquivo 'Referência 12-2024.xlsm)</v>
      </c>
      <c r="S14" s="122" t="str">
        <f ca="1">REFERENCIA.Unidade</f>
        <v>-</v>
      </c>
      <c r="T14" s="123">
        <f ca="1">OFFSET(CÁLCULO!H$15,ROW($T14)-ROW(T$15),0)</f>
        <v>0</v>
      </c>
      <c r="U14" s="124"/>
      <c r="V14" s="125" t="s">
        <v>663</v>
      </c>
      <c r="W14" s="123">
        <f ca="1">IF($C14="S",ROUND(IF(TIPOORCAMENTO="Proposto",ORÇAMENTO.CustoUnitario*(1+$AH14),ORÇAMENTO.PrecoUnitarioLicitado),15-13*$AF$10),0)</f>
        <v>0</v>
      </c>
      <c r="X14" s="126" cm="1">
        <f t="array" aca="1" ref="X14" ca="1">IF($C14="S",IF(OR(Import.TipoArredondamento&lt;&gt;"TransfereGOV",ACOMPANHAMENTO="BM"),VTOTAL1,SUM(OFFSET(CÁLCULO!$AA$15,ROW($X14)-ROW($X$15),1):OFFSET(CÁLCULO!$AL$15,ROW($X14)-ROW($X$15),-1))),IF($C14=0,0,ROUND(SomaAgrup,15-13*$AF$11)))</f>
        <v>0</v>
      </c>
      <c r="Y14" s="127" t="s">
        <v>752</v>
      </c>
      <c r="Z14" t="str">
        <f ca="1">IF(AND($C14="S",$X14&gt;0),IF(ISBLANK($Y14),"RA",LEFT($Y14,2)),"")</f>
        <v/>
      </c>
      <c r="AA14" s="128">
        <f ca="1">IF($C14="S",IF($Z14="CP",$X14,IF($Z14="RA",(($X14)*QCI!$AA$3),0)),SomaAgrup)</f>
        <v>0</v>
      </c>
      <c r="AB14" s="129">
        <f ca="1">IF($C14="S",IF($Z14="OU",ROUND($X14,2),0),SomaAgrup)</f>
        <v>0</v>
      </c>
      <c r="AC14" s="567" t="str">
        <f ca="1">IF($N14=""," ",
IF(AND($C14&lt;&gt;"S",OR($R14="",$R14="(digite a descrição aqui)")),"DESCRIÇÃO",
IF(AND($C14="S",OR($Q14&lt;&gt;0,$T14&gt;0,$U14&gt;0),$P14=0),"FONTE",
IF(AND($C14="S",$P14&lt;&gt;0,OR($T14&gt;0,$U14&gt;0),$Q14=0),"CÓDIGO",
IF(AND($C14="S",$P14&lt;&gt;0,$Q14&lt;&gt;0,$R14="(Código não identificado nas referências)"),"CÓDIGO N/ID",
IF(AND($C14="S",OR($R14="",$R14="(digite a descrição aqui)"),OR($Q14&lt;&gt;0,$T14&gt;0,$U14&gt;0)),"DESCRIÇÃO",
IF(AND($C14="S",$P14&lt;&gt;0,$Q14&lt;&gt;0,$S14=""),"UNIDADE",
IF(AND($C14="S",$P14&lt;&gt;0,$Q14&lt;&gt;0,$U14=0),"SEM CUSTO",
IF(AND(TIPOORCAMENTO="Licitado",$AL14=0,$AN14&gt;0),"SEM PREÇO",
IF(AND($C14="S",$P14&lt;&gt;0,$Q14&lt;&gt;0,$U14&gt;0,$V14=0),"BDI",
IF(OR(AND(TIPOORCAMENTO="Proposto",$AG14&lt;&gt;"",$AG14&gt;0,ORÇAMENTO.CustoUnitario&gt;$AG14),AND(TIPOORCAMENTO="LICITADO",ORÇAMENTO.PrecoUnitarioLicitado&gt;$AN14)),"ACIMA REF.",
IF(AND($C14="S",$P14&lt;&gt;0,$Q14&lt;&gt;0,$T14=0,$U14&gt;0),"QUANT.",
IF(AND(Import.TipoArredondamento="TransfereGOV",$L14="F",$C14="S",LEN($Q14)&gt;13),"Código &gt;13",
IF(AND(Import.TipoArredondamento="TransfereGOV",$L14="F",$C14&lt;&gt;"S",LEN($R14)&gt;100),"Descrição &gt;100",
IF(AND(Import.TipoArredondamento="TransfereGOV",$L14="F",$C14="S",LEN($R14)&gt;500),"Descrição &gt;500",
IF(AND(Import.TipoArredondamento="TransfereGOV",$L14="F",$C14="S",LEFT(TRIM(UPPER($P14)),6)&lt;&gt;"SINAPI",ISNA(VLOOKUP(TRIM(UPPER($S14)),ListaTgov.Unidades,1,FALSE))),"Unid. Não Disp",
" "))))))))))))))))</f>
        <v xml:space="preserve"> </v>
      </c>
      <c r="AD14" t="str">
        <f ca="1">IF(C14&lt;=CRONO.NivelExibicao,MAX($AD$15:OFFSET(AD14,-1,0))+IF($C14&lt;&gt;1,1,MAX(1,COUNTIF(QCI!$A$13:$A$24,OFFSET($E14,-1,0)))),"")</f>
        <v/>
      </c>
      <c r="AE14" s="7" t="b">
        <f ca="1">IF(AND($C14="S",ORÇAMENTO.CodBarra&lt;&gt;""),IF(ORÇAMENTO.Fonte="",ORÇAMENTO.CodBarra,CONCATENATE(ORÇAMENTO.Fonte," ",ORÇAMENTO.CodBarra)))</f>
        <v>0</v>
      </c>
      <c r="AF14" s="12" t="str">
        <f ca="1">IF(ISERROR(INDIRECT(ORÇAMENTO.BancoRef)),"(abra o arquivo 'Referência "&amp;Excel_BuiltIn_Database&amp;".xlsm)",IF(OR($C14&lt;&gt;"S",ORÇAMENTO.CodBarra=""),"(Sem Código)",IF(ISERROR(MATCH($AE14,INDIRECT(ORÇAMENTO.BancoRef),0)),"(Código não identificado nas referências)",MATCH($AE14,INDIRECT(ORÇAMENTO.BancoRef),0))))</f>
        <v>(abra o arquivo 'Referência 12-2024.xlsm)</v>
      </c>
      <c r="AG14" s="429">
        <f ca="1">ROUND(IF(DESONERACAO="sim",REFERENCIA.Desonerado,REFERENCIA.NaoDesonerado),2)</f>
        <v>0</v>
      </c>
      <c r="AH14" s="430">
        <f ca="1">ROUND(IF(ISNUMBER(ORÇAMENTO.OpcaoBDI),ORÇAMENTO.OpcaoBDI,IF(LEFT(ORÇAMENTO.OpcaoBDI,3)="BDI",HLOOKUP(ORÇAMENTO.OpcaoBDI,$F$4:$H$5,2,FALSE),0)),15-11*$AF$9)</f>
        <v>0.31190000000000001</v>
      </c>
      <c r="AJ14" s="432"/>
      <c r="AL14" s="440"/>
      <c r="AM14" s="337">
        <f t="shared" ref="AM14:AM268" ca="1" si="0">$X14</f>
        <v>0</v>
      </c>
      <c r="AN14" s="471">
        <f ca="1">ROUND(ORÇAMENTO.CustoUnitario*(1+$AH14),2)</f>
        <v>0</v>
      </c>
    </row>
    <row r="15" spans="1:40" ht="12.75" customHeight="1" x14ac:dyDescent="0.2">
      <c r="A15">
        <v>0</v>
      </c>
      <c r="C15" t="s">
        <v>654</v>
      </c>
      <c r="D15">
        <f ca="1">COUNTA(OFFSET(D15,1,0):D$405)</f>
        <v>389</v>
      </c>
      <c r="E15">
        <v>0</v>
      </c>
      <c r="L15" s="115" t="s">
        <v>536</v>
      </c>
      <c r="M15" s="131" t="str">
        <f>IF(TIPOORCAMENTO="LICITADO","CTEF","LOTE")</f>
        <v>LOTE</v>
      </c>
      <c r="N15" s="131" t="str">
        <f>IF(TIPOORCAMENTO="LICITADO","CTEF","LOTE")</f>
        <v>LOTE</v>
      </c>
      <c r="O15" s="704">
        <f>Import.DescLote</f>
        <v>0</v>
      </c>
      <c r="P15" s="705"/>
      <c r="Q15" s="705"/>
      <c r="R15" s="705"/>
      <c r="S15" s="606"/>
      <c r="T15" s="607"/>
      <c r="U15" s="607"/>
      <c r="V15" s="608"/>
      <c r="W15" s="607"/>
      <c r="X15" s="132">
        <f ca="1">SUMIF(OFFSET($C15,1,0,ROW(X405)-ROW(X15)-1),"S",OFFSET(X15,1,0,ROW(X405)-ROW(X15)-1))</f>
        <v>0</v>
      </c>
      <c r="Y15" s="7"/>
      <c r="Z15" t="str">
        <f ca="1">IF(AND($C15="S",$X15&gt;0),LEFT($Y15,2),"")</f>
        <v/>
      </c>
      <c r="AA15" s="427">
        <f ca="1">SUMIF(OFFSET($C15,1,0,ROW(AA405)-ROW(AA15)-1),"S",OFFSET(AA15,1,0,ROW(AA405)-ROW(AA15)-1))</f>
        <v>0</v>
      </c>
      <c r="AB15" s="133">
        <f ca="1">SUMIF(OFFSET($C15,1,0,ROW(AB405)-ROW(AB15)-1),"S",OFFSET(AB15,1,0,ROW(AB405)-ROW(AB15)-1))</f>
        <v>0</v>
      </c>
      <c r="AC15" s="130" t="s">
        <v>753</v>
      </c>
      <c r="AG15" s="442"/>
      <c r="AH15" s="443"/>
      <c r="AJ15" s="431"/>
      <c r="AL15" s="441"/>
      <c r="AM15" s="472">
        <f t="shared" ca="1" si="0"/>
        <v>0</v>
      </c>
      <c r="AN15" s="473"/>
    </row>
    <row r="16" spans="1:40" x14ac:dyDescent="0.2">
      <c r="A16">
        <f t="shared" ref="A16:A78" si="1">CHOOSE(1+LOG(1+2*(ORÇAMENTO.Nivel="Meta")+4*(ORÇAMENTO.Nivel="Nível 2")+8*(ORÇAMENTO.Nivel="Nível 3")+16*(ORÇAMENTO.Nivel="Nível 4")+32*(ORÇAMENTO.Nivel="Serviço"),2),0,1,2,3,4,"S")</f>
        <v>1</v>
      </c>
      <c r="B16">
        <f t="shared" ref="B16:B78" ca="1" si="2">IF(OR(C16="s",C16=0),OFFSET(B16,-1,0),C16)</f>
        <v>1</v>
      </c>
      <c r="C16">
        <f t="shared" ref="C16:C78" ca="1" si="3">IF(OFFSET(C16,-1,0)="L",1,IF(OFFSET(C16,-1,0)=1,2,IF(OR(A16="s",A16=0),"S",IF(AND(OFFSET(C16,-1,0)=2,A16=4),3,IF(AND(OR(OFFSET(C16,-1,0)="s",OFFSET(C16,-1,0)=0),A16&lt;&gt;"s",A16&gt;OFFSET(B16,-1,0)),OFFSET(B16,-1,0),A16)))))</f>
        <v>1</v>
      </c>
      <c r="D16">
        <f t="shared" ref="D16:D78" ca="1" si="4">IF(OR(C16="S",C16=0),0,IF(ISERROR(K16),J16,SMALL(J16:K16,1)))</f>
        <v>389</v>
      </c>
      <c r="E16">
        <f ca="1">IF($C16=1,OFFSET(E16,-1,0)+MAX(1,COUNTIF(QCI!$A$13:$A$24,OFFSET(ORÇAMENTO!E16,-1,0))),OFFSET(E16,-1,0))</f>
        <v>1</v>
      </c>
      <c r="F16">
        <f t="shared" ref="F16:F78" ca="1" si="5">IF($C16=1,0,IF($C16=2,OFFSET(F16,-1,0)+1,OFFSET(F16,-1,0)))</f>
        <v>0</v>
      </c>
      <c r="G16">
        <f t="shared" ref="G16:G78" ca="1" si="6">IF(AND($C16&lt;=2,$C16&lt;&gt;0),0,IF($C16=3,OFFSET(G16,-1,0)+1,OFFSET(G16,-1,0)))</f>
        <v>0</v>
      </c>
      <c r="H16">
        <f t="shared" ref="H16:H78" ca="1" si="7">IF(AND($C16&lt;=3,$C16&lt;&gt;0),0,IF($C16=4,OFFSET(H16,-1,0)+1,OFFSET(H16,-1,0)))</f>
        <v>0</v>
      </c>
      <c r="I16">
        <f t="shared" ref="I16:I78" ca="1" si="8">IF(AND($C16&lt;=4,$C16&lt;&gt;0),0,IF(AND($C16="S",$X16&gt;0),OFFSET(I16,-1,0)+1,OFFSET(I16,-1,0)))</f>
        <v>0</v>
      </c>
      <c r="J16">
        <f t="shared" ref="J16:J47" ca="1" si="9">IF(OR($C16="S",$C16=0),0,MATCH(0,OFFSET($D16,1,$C16,ROW($C$405)-ROW($C16)),0))</f>
        <v>389</v>
      </c>
      <c r="K16" t="e">
        <f ca="1">IF(OR($C16="S",$C16=0),0,MATCH(OFFSET($D16,0,$C16)+IF($C16&lt;&gt;1,1,COUNTIF(QCI!$A$13:$A$24,ORÇAMENTO!E16)),OFFSET($D16,1,$C16,ROW($C$405)-ROW($C16)),0))</f>
        <v>#N/A</v>
      </c>
      <c r="L16" s="115" t="str">
        <f t="shared" ref="L16:L78" ca="1" si="10">IF(OR($X16&gt;0,$C16=1,$C16=2,$C16=3,$C16=4),"F","")</f>
        <v>F</v>
      </c>
      <c r="M16" s="116" t="s">
        <v>702</v>
      </c>
      <c r="N16" s="117" t="str">
        <f t="shared" ref="N16:N78" ca="1" si="11">CHOOSE(1+LOG(1+2*(C16=1)+4*(C16=2)+8*(C16=3)+16*(C16=4)+32*(C16="S"),2),"","Meta","Nível 2","Nível 3","Nível 4","Serviço")</f>
        <v>Meta</v>
      </c>
      <c r="O16" s="118" t="str">
        <f t="shared" ref="O16:O78" ca="1" si="12">IF(OR($C16=0,$L16=""),"-",CONCATENATE(E16&amp;".",IF(AND($A$5&gt;=2,$C16&gt;=2),F16&amp;".",""),IF(AND($A$5&gt;=3,$C16&gt;=3),G16&amp;".",""),IF(AND($A$5&gt;=4,$C16&gt;=4),H16&amp;".",""),IF($C16="S",I16&amp;".","")))</f>
        <v>1.</v>
      </c>
      <c r="P16" s="119" t="s">
        <v>751</v>
      </c>
      <c r="Q16" s="120"/>
      <c r="R16" s="121" t="s">
        <v>1271</v>
      </c>
      <c r="S16" s="122" t="s">
        <v>689</v>
      </c>
      <c r="T16" s="123">
        <f ca="1">OFFSET(CÁLCULO!H$15,ROW($T16)-ROW(T$15),0)</f>
        <v>0</v>
      </c>
      <c r="U16" s="124"/>
      <c r="V16" s="125" t="s">
        <v>663</v>
      </c>
      <c r="W16" s="123">
        <f ca="1">IF($C16="S",ROUND(IF(TIPOORCAMENTO="Proposto",ORÇAMENTO.CustoUnitario*(1+$AH16),ORÇAMENTO.PrecoUnitarioLicitado),15-13*$AF$10),0)</f>
        <v>0</v>
      </c>
      <c r="X16" s="126" cm="1">
        <f t="array" aca="1" ref="X16" ca="1">IF($C16="S",IF(OR(Import.TipoArredondamento&lt;&gt;"TransfereGOV",ACOMPANHAMENTO="BM"),VTOTAL1,SUM(OFFSET(CÁLCULO!$AA$15,ROW($X16)-ROW($X$15),1):OFFSET(CÁLCULO!$AL$15,ROW($X16)-ROW($X$15),-1))),IF($C16=0,0,ROUND(SomaAgrup,15-13*$AF$11)))</f>
        <v>0</v>
      </c>
      <c r="Y16" s="127" t="s">
        <v>752</v>
      </c>
      <c r="Z16" t="str">
        <f t="shared" ref="Z16:Z78" ca="1" si="13">IF(AND($C16="S",$X16&gt;0),IF(ISBLANK($Y16),"RA",LEFT($Y16,2)),"")</f>
        <v/>
      </c>
      <c r="AA16" s="128">
        <f ca="1">IF($C16="S",IF($Z16="CP",$X16,IF($Z16="RA",(($X16)*QCI!$AA$3),0)),SomaAgrup)</f>
        <v>0</v>
      </c>
      <c r="AB16" s="129">
        <f t="shared" ref="AB16:AB78" ca="1" si="14">IF($C16="S",IF($Z16="OU",ROUND($X16,2),0),SomaAgrup)</f>
        <v>0</v>
      </c>
      <c r="AC16" s="567" t="str">
        <f ca="1">IF($N16=""," ",
IF(AND($C16&lt;&gt;"S",OR($R16="",$R16="(digite a descrição aqui)")),"DESCRIÇÃO",
IF(AND($C16="S",OR($Q16&lt;&gt;0,$T16&gt;0,$U16&gt;0),$P16=0),"FONTE",
IF(AND($C16="S",$P16&lt;&gt;0,OR($T16&gt;0,$U16&gt;0),$Q16=0),"CÓDIGO",
IF(AND($C16="S",$P16&lt;&gt;0,$Q16&lt;&gt;0,$R16="(Código não identificado nas referências)"),"CÓDIGO N/ID",
IF(AND($C16="S",OR($R16="",$R16="(digite a descrição aqui)"),OR($Q16&lt;&gt;0,$T16&gt;0,$U16&gt;0)),"DESCRIÇÃO",
IF(AND($C16="S",$P16&lt;&gt;0,$Q16&lt;&gt;0,$S16=""),"UNIDADE",
IF(AND($C16="S",$P16&lt;&gt;0,$Q16&lt;&gt;0,$U16=0),"SEM CUSTO",
IF(AND(TIPOORCAMENTO="Licitado",$AL16=0,$AN16&gt;0),"SEM PREÇO",
IF(AND($C16="S",$P16&lt;&gt;0,$Q16&lt;&gt;0,$U16&gt;0,$V16=0),"BDI",
IF(OR(AND(TIPOORCAMENTO="Proposto",$AG16&lt;&gt;"",$AG16&gt;0,ORÇAMENTO.CustoUnitario&gt;$AG16),AND(TIPOORCAMENTO="LICITADO",ORÇAMENTO.PrecoUnitarioLicitado&gt;$AN16)),"ACIMA REF.",
IF(AND($C16="S",$P16&lt;&gt;0,$Q16&lt;&gt;0,$T16=0,$U16&gt;0),"QUANT.",
IF(AND(Import.TipoArredondamento="TransfereGOV",$L16="F",$C16="S",LEN($Q16)&gt;13),"Código &gt;13",
IF(AND(Import.TipoArredondamento="TransfereGOV",$L16="F",$C16&lt;&gt;"S",LEN($R16)&gt;100),"Descrição &gt;100",
IF(AND(Import.TipoArredondamento="TransfereGOV",$L16="F",$C16="S",LEN($R16)&gt;500),"Descrição &gt;500",
IF(AND(Import.TipoArredondamento="TransfereGOV",$L16="F",$C16="S",LEFT(TRIM(UPPER($P16)),6)&lt;&gt;"SINAPI",ISNA(VLOOKUP(TRIM(UPPER($S16)),ListaTgov.Unidades,1,FALSE))),"Unid. Não Disp",
" "))))))))))))))))</f>
        <v xml:space="preserve"> </v>
      </c>
      <c r="AD16">
        <f ca="1">IF(C16&lt;=CRONO.NivelExibicao,MAX($AD$15:OFFSET(AD16,-1,0))+IF($C16&lt;&gt;1,1,MAX(1,COUNTIF(QCI!$A$13:$A$24,OFFSET($E16,-1,0)))),"")</f>
        <v>1</v>
      </c>
      <c r="AE16" s="7" t="b">
        <f ca="1">IF(AND($C16="S",ORÇAMENTO.CodBarra&lt;&gt;""),IF(ORÇAMENTO.Fonte="",ORÇAMENTO.CodBarra,CONCATENATE(ORÇAMENTO.Fonte," ",ORÇAMENTO.CodBarra)))</f>
        <v>0</v>
      </c>
      <c r="AF16" s="12" t="str">
        <f ca="1">IF(ISERROR(INDIRECT(ORÇAMENTO.BancoRef)),"(abra o arquivo 'Referência "&amp;Excel_BuiltIn_Database&amp;".xlsm)",IF(OR($C16&lt;&gt;"S",ORÇAMENTO.CodBarra=""),"(Sem Código)",IF(ISERROR(MATCH($AE16,INDIRECT(ORÇAMENTO.BancoRef),0)),"(Código não identificado nas referências)",MATCH($AE16,INDIRECT(ORÇAMENTO.BancoRef),0))))</f>
        <v>(abra o arquivo 'Referência 12-2024.xlsm)</v>
      </c>
      <c r="AG16" s="429">
        <f ca="1">ROUND(IF(DESONERACAO="sim",REFERENCIA.Desonerado,REFERENCIA.NaoDesonerado),2)</f>
        <v>0</v>
      </c>
      <c r="AH16" s="430">
        <f t="shared" ref="AH16:AH78" ca="1" si="15">ROUND(IF(ISNUMBER(ORÇAMENTO.OpcaoBDI),ORÇAMENTO.OpcaoBDI,IF(LEFT(ORÇAMENTO.OpcaoBDI,3)="BDI",HLOOKUP(ORÇAMENTO.OpcaoBDI,$F$4:$H$5,2,FALSE),0)),15-11*$AF$9)</f>
        <v>0.31190000000000001</v>
      </c>
      <c r="AJ16" s="432"/>
      <c r="AL16" s="440"/>
      <c r="AM16" s="337">
        <f t="shared" ca="1" si="0"/>
        <v>0</v>
      </c>
      <c r="AN16" s="471">
        <f t="shared" ref="AN16:AN78" ca="1" si="16">ROUND(ORÇAMENTO.CustoUnitario*(1+$AH16),2)</f>
        <v>0</v>
      </c>
    </row>
    <row r="17" spans="1:40" x14ac:dyDescent="0.2">
      <c r="A17">
        <f t="shared" si="1"/>
        <v>2</v>
      </c>
      <c r="B17">
        <f t="shared" ca="1" si="2"/>
        <v>2</v>
      </c>
      <c r="C17">
        <f t="shared" ca="1" si="3"/>
        <v>2</v>
      </c>
      <c r="D17">
        <f t="shared" ca="1" si="4"/>
        <v>4</v>
      </c>
      <c r="E17">
        <f ca="1">IF($C17=1,OFFSET(E17,-1,0)+MAX(1,COUNTIF(QCI!$A$13:$A$24,OFFSET(ORÇAMENTO!E17,-1,0))),OFFSET(E17,-1,0))</f>
        <v>1</v>
      </c>
      <c r="F17">
        <f t="shared" ca="1" si="5"/>
        <v>1</v>
      </c>
      <c r="G17">
        <f t="shared" ca="1" si="6"/>
        <v>0</v>
      </c>
      <c r="H17">
        <f t="shared" ca="1" si="7"/>
        <v>0</v>
      </c>
      <c r="I17">
        <f t="shared" ca="1" si="8"/>
        <v>0</v>
      </c>
      <c r="J17">
        <f t="shared" ca="1" si="9"/>
        <v>388</v>
      </c>
      <c r="K17">
        <f ca="1">IF(OR($C17="S",$C17=0),0,MATCH(OFFSET($D17,0,$C17)+IF($C17&lt;&gt;1,1,COUNTIF(QCI!$A$13:$A$24,ORÇAMENTO!E17)),OFFSET($D17,1,$C17,ROW($C$405)-ROW($C17)),0))</f>
        <v>4</v>
      </c>
      <c r="L17" s="115" t="str">
        <f t="shared" ca="1" si="10"/>
        <v>F</v>
      </c>
      <c r="M17" s="116" t="s">
        <v>703</v>
      </c>
      <c r="N17" s="117" t="str">
        <f t="shared" ca="1" si="11"/>
        <v>Nível 2</v>
      </c>
      <c r="O17" s="118" t="str">
        <f t="shared" ca="1" si="12"/>
        <v>1.1.</v>
      </c>
      <c r="P17" s="119" t="s">
        <v>751</v>
      </c>
      <c r="Q17" s="120"/>
      <c r="R17" s="121" t="s">
        <v>1272</v>
      </c>
      <c r="S17" s="122" t="s">
        <v>689</v>
      </c>
      <c r="T17" s="123">
        <f ca="1">OFFSET(CÁLCULO!H$15,ROW($T17)-ROW(T$15),0)</f>
        <v>0</v>
      </c>
      <c r="U17" s="124"/>
      <c r="V17" s="125" t="s">
        <v>663</v>
      </c>
      <c r="W17" s="123">
        <f ca="1">IF($C17="S",ROUND(IF(TIPOORCAMENTO="Proposto",ORÇAMENTO.CustoUnitario*(1+$AH17),ORÇAMENTO.PrecoUnitarioLicitado),15-13*$AF$10),0)</f>
        <v>0</v>
      </c>
      <c r="X17" s="126" cm="1">
        <f t="array" aca="1" ref="X17" ca="1">IF($C17="S",IF(OR(Import.TipoArredondamento&lt;&gt;"TransfereGOV",ACOMPANHAMENTO="BM"),VTOTAL1,SUM(OFFSET(CÁLCULO!$AA$15,ROW($X17)-ROW($X$15),1):OFFSET(CÁLCULO!$AL$15,ROW($X17)-ROW($X$15),-1))),IF($C17=0,0,ROUND(SomaAgrup,15-13*$AF$11)))</f>
        <v>0</v>
      </c>
      <c r="Y17" s="127" t="s">
        <v>752</v>
      </c>
      <c r="Z17" t="str">
        <f t="shared" ca="1" si="13"/>
        <v/>
      </c>
      <c r="AA17" s="128">
        <f ca="1">IF($C17="S",IF($Z17="CP",$X17,IF($Z17="RA",(($X17)*QCI!$AA$3),0)),SomaAgrup)</f>
        <v>0</v>
      </c>
      <c r="AB17" s="129">
        <f t="shared" ca="1" si="14"/>
        <v>0</v>
      </c>
      <c r="AC17" s="567" t="str">
        <f ca="1">IF($N17=""," ",
IF(AND($C17&lt;&gt;"S",OR($R17="",$R17="(digite a descrição aqui)")),"DESCRIÇÃO",
IF(AND($C17="S",OR($Q17&lt;&gt;0,$T17&gt;0,$U17&gt;0),$P17=0),"FONTE",
IF(AND($C17="S",$P17&lt;&gt;0,OR($T17&gt;0,$U17&gt;0),$Q17=0),"CÓDIGO",
IF(AND($C17="S",$P17&lt;&gt;0,$Q17&lt;&gt;0,$R17="(Código não identificado nas referências)"),"CÓDIGO N/ID",
IF(AND($C17="S",OR($R17="",$R17="(digite a descrição aqui)"),OR($Q17&lt;&gt;0,$T17&gt;0,$U17&gt;0)),"DESCRIÇÃO",
IF(AND($C17="S",$P17&lt;&gt;0,$Q17&lt;&gt;0,$S17=""),"UNIDADE",
IF(AND($C17="S",$P17&lt;&gt;0,$Q17&lt;&gt;0,$U17=0),"SEM CUSTO",
IF(AND(TIPOORCAMENTO="Licitado",$AL17=0,$AN17&gt;0),"SEM PREÇO",
IF(AND($C17="S",$P17&lt;&gt;0,$Q17&lt;&gt;0,$U17&gt;0,$V17=0),"BDI",
IF(OR(AND(TIPOORCAMENTO="Proposto",$AG17&lt;&gt;"",$AG17&gt;0,ORÇAMENTO.CustoUnitario&gt;$AG17),AND(TIPOORCAMENTO="LICITADO",ORÇAMENTO.PrecoUnitarioLicitado&gt;$AN17)),"ACIMA REF.",
IF(AND($C17="S",$P17&lt;&gt;0,$Q17&lt;&gt;0,$T17=0,$U17&gt;0),"QUANT.",
IF(AND(Import.TipoArredondamento="TransfereGOV",$L17="F",$C17="S",LEN($Q17)&gt;13),"Código &gt;13",
IF(AND(Import.TipoArredondamento="TransfereGOV",$L17="F",$C17&lt;&gt;"S",LEN($R17)&gt;100),"Descrição &gt;100",
IF(AND(Import.TipoArredondamento="TransfereGOV",$L17="F",$C17="S",LEN($R17)&gt;500),"Descrição &gt;500",
IF(AND(Import.TipoArredondamento="TransfereGOV",$L17="F",$C17="S",LEFT(TRIM(UPPER($P17)),6)&lt;&gt;"SINAPI",ISNA(VLOOKUP(TRIM(UPPER($S17)),ListaTgov.Unidades,1,FALSE))),"Unid. Não Disp",
" "))))))))))))))))</f>
        <v xml:space="preserve"> </v>
      </c>
      <c r="AD17">
        <f ca="1">IF(C17&lt;=CRONO.NivelExibicao,MAX($AD$15:OFFSET(AD17,-1,0))+IF($C17&lt;&gt;1,1,MAX(1,COUNTIF(QCI!$A$13:$A$24,OFFSET($E17,-1,0)))),"")</f>
        <v>2</v>
      </c>
      <c r="AE17" s="7" t="b">
        <f ca="1">IF(AND($C17="S",ORÇAMENTO.CodBarra&lt;&gt;""),IF(ORÇAMENTO.Fonte="",ORÇAMENTO.CodBarra,CONCATENATE(ORÇAMENTO.Fonte," ",ORÇAMENTO.CodBarra)))</f>
        <v>0</v>
      </c>
      <c r="AF17" s="12" t="str">
        <f ca="1">IF(ISERROR(INDIRECT(ORÇAMENTO.BancoRef)),"(abra o arquivo 'Referência "&amp;Excel_BuiltIn_Database&amp;".xlsm)",IF(OR($C17&lt;&gt;"S",ORÇAMENTO.CodBarra=""),"(Sem Código)",IF(ISERROR(MATCH($AE17,INDIRECT(ORÇAMENTO.BancoRef),0)),"(Código não identificado nas referências)",MATCH($AE17,INDIRECT(ORÇAMENTO.BancoRef),0))))</f>
        <v>(abra o arquivo 'Referência 12-2024.xlsm)</v>
      </c>
      <c r="AG17" s="429">
        <f ca="1">ROUND(IF(DESONERACAO="sim",REFERENCIA.Desonerado,REFERENCIA.NaoDesonerado),2)</f>
        <v>0</v>
      </c>
      <c r="AH17" s="430">
        <f t="shared" ca="1" si="15"/>
        <v>0.31190000000000001</v>
      </c>
      <c r="AJ17" s="432"/>
      <c r="AL17" s="440"/>
      <c r="AM17" s="337">
        <f t="shared" ca="1" si="0"/>
        <v>0</v>
      </c>
      <c r="AN17" s="471">
        <f t="shared" ca="1" si="16"/>
        <v>0</v>
      </c>
    </row>
    <row r="18" spans="1:40" x14ac:dyDescent="0.2">
      <c r="A18" t="str">
        <f t="shared" si="1"/>
        <v>S</v>
      </c>
      <c r="B18">
        <f t="shared" ca="1" si="2"/>
        <v>2</v>
      </c>
      <c r="C18" t="str">
        <f t="shared" ca="1" si="3"/>
        <v>S</v>
      </c>
      <c r="D18">
        <f t="shared" ca="1" si="4"/>
        <v>0</v>
      </c>
      <c r="E18">
        <f ca="1">IF($C18=1,OFFSET(E18,-1,0)+MAX(1,COUNTIF(QCI!$A$13:$A$24,OFFSET(ORÇAMENTO!E18,-1,0))),OFFSET(E18,-1,0))</f>
        <v>1</v>
      </c>
      <c r="F18">
        <f t="shared" ca="1" si="5"/>
        <v>1</v>
      </c>
      <c r="G18">
        <f t="shared" ca="1" si="6"/>
        <v>0</v>
      </c>
      <c r="H18">
        <f t="shared" ca="1" si="7"/>
        <v>0</v>
      </c>
      <c r="I18">
        <f t="shared" ca="1" si="8"/>
        <v>0</v>
      </c>
      <c r="J18">
        <f t="shared" ca="1" si="9"/>
        <v>0</v>
      </c>
      <c r="K18">
        <f ca="1">IF(OR($C18="S",$C18=0),0,MATCH(OFFSET($D18,0,$C18)+IF($C18&lt;&gt;1,1,COUNTIF(QCI!$A$13:$A$24,ORÇAMENTO!E18)),OFFSET($D18,1,$C18,ROW($C$405)-ROW($C18)),0))</f>
        <v>0</v>
      </c>
      <c r="L18" s="115" t="str">
        <f t="shared" ca="1" si="10"/>
        <v/>
      </c>
      <c r="M18" s="116" t="s">
        <v>706</v>
      </c>
      <c r="N18" s="117" t="str">
        <f t="shared" ca="1" si="11"/>
        <v>Serviço</v>
      </c>
      <c r="O18" s="118" t="str">
        <f t="shared" ca="1" si="12"/>
        <v>-</v>
      </c>
      <c r="P18" s="119" t="s">
        <v>751</v>
      </c>
      <c r="Q18" s="120" t="s">
        <v>943</v>
      </c>
      <c r="R18" s="121" t="s">
        <v>1323</v>
      </c>
      <c r="S18" s="122" t="s">
        <v>628</v>
      </c>
      <c r="T18" s="123">
        <f ca="1">OFFSET(CÁLCULO!H$15,ROW($T18)-ROW(T$15),0)</f>
        <v>6</v>
      </c>
      <c r="U18" s="124"/>
      <c r="V18" s="125" t="s">
        <v>663</v>
      </c>
      <c r="W18" s="123">
        <f ca="1">IF($C18="S",ROUND(IF(TIPOORCAMENTO="Proposto",ORÇAMENTO.CustoUnitario*(1+$AH18),ORÇAMENTO.PrecoUnitarioLicitado),15-13*$AF$10),0)</f>
        <v>0</v>
      </c>
      <c r="X18" s="126" cm="1">
        <f t="array" aca="1" ref="X18" ca="1">IF($C18="S",IF(OR(Import.TipoArredondamento&lt;&gt;"TransfereGOV",ACOMPANHAMENTO="BM"),VTOTAL1,SUM(OFFSET(CÁLCULO!$AA$15,ROW($X18)-ROW($X$15),1):OFFSET(CÁLCULO!$AL$15,ROW($X18)-ROW($X$15),-1))),IF($C18=0,0,ROUND(SomaAgrup,15-13*$AF$11)))</f>
        <v>0</v>
      </c>
      <c r="Y18" s="127" t="s">
        <v>752</v>
      </c>
      <c r="Z18" t="str">
        <f t="shared" ca="1" si="13"/>
        <v/>
      </c>
      <c r="AA18" s="128">
        <f ca="1">IF($C18="S",IF($Z18="CP",$X18,IF($Z18="RA",(($X18)*QCI!$AA$3),0)),SomaAgrup)</f>
        <v>0</v>
      </c>
      <c r="AB18" s="129">
        <f t="shared" ca="1" si="14"/>
        <v>0</v>
      </c>
      <c r="AC18" s="567" t="str">
        <f ca="1">IF($N18=""," ",
IF(AND($C18&lt;&gt;"S",OR($R18="",$R18="(digite a descrição aqui)")),"DESCRIÇÃO",
IF(AND($C18="S",OR($Q18&lt;&gt;0,$T18&gt;0,$U18&gt;0),$P18=0),"FONTE",
IF(AND($C18="S",$P18&lt;&gt;0,OR($T18&gt;0,$U18&gt;0),$Q18=0),"CÓDIGO",
IF(AND($C18="S",$P18&lt;&gt;0,$Q18&lt;&gt;0,$R18="(Código não identificado nas referências)"),"CÓDIGO N/ID",
IF(AND($C18="S",OR($R18="",$R18="(digite a descrição aqui)"),OR($Q18&lt;&gt;0,$T18&gt;0,$U18&gt;0)),"DESCRIÇÃO",
IF(AND($C18="S",$P18&lt;&gt;0,$Q18&lt;&gt;0,$S18=""),"UNIDADE",
IF(AND($C18="S",$P18&lt;&gt;0,$Q18&lt;&gt;0,$U18=0),"SEM CUSTO",
IF(AND(TIPOORCAMENTO="Licitado",$AL18=0,$AN18&gt;0),"SEM PREÇO",
IF(AND($C18="S",$P18&lt;&gt;0,$Q18&lt;&gt;0,$U18&gt;0,$V18=0),"BDI",
IF(OR(AND(TIPOORCAMENTO="Proposto",$AG18&lt;&gt;"",$AG18&gt;0,ORÇAMENTO.CustoUnitario&gt;$AG18),AND(TIPOORCAMENTO="LICITADO",ORÇAMENTO.PrecoUnitarioLicitado&gt;$AN18)),"ACIMA REF.",
IF(AND($C18="S",$P18&lt;&gt;0,$Q18&lt;&gt;0,$T18=0,$U18&gt;0),"QUANT.",
IF(AND(Import.TipoArredondamento="TransfereGOV",$L18="F",$C18="S",LEN($Q18)&gt;13),"Código &gt;13",
IF(AND(Import.TipoArredondamento="TransfereGOV",$L18="F",$C18&lt;&gt;"S",LEN($R18)&gt;100),"Descrição &gt;100",
IF(AND(Import.TipoArredondamento="TransfereGOV",$L18="F",$C18="S",LEN($R18)&gt;500),"Descrição &gt;500",
IF(AND(Import.TipoArredondamento="TransfereGOV",$L18="F",$C18="S",LEFT(TRIM(UPPER($P18)),6)&lt;&gt;"SINAPI",ISNA(VLOOKUP(TRIM(UPPER($S18)),ListaTgov.Unidades,1,FALSE))),"Unid. Não Disp",
" "))))))))))))))))</f>
        <v>SEM CUSTO</v>
      </c>
      <c r="AD18" t="str">
        <f ca="1">IF(C18&lt;=CRONO.NivelExibicao,MAX($AD$15:OFFSET(AD18,-1,0))+IF($C18&lt;&gt;1,1,MAX(1,COUNTIF(QCI!$A$13:$A$24,OFFSET($E18,-1,0)))),"")</f>
        <v/>
      </c>
      <c r="AE18" s="7" t="str">
        <f ca="1">IF(AND($C18="S",ORÇAMENTO.CodBarra&lt;&gt;""),IF(ORÇAMENTO.Fonte="",ORÇAMENTO.CodBarra,CONCATENATE(ORÇAMENTO.Fonte," ",ORÇAMENTO.CodBarra)))</f>
        <v>SINAPI 94295</v>
      </c>
      <c r="AF18" s="12" t="str">
        <f ca="1">IF(ISERROR(INDIRECT(ORÇAMENTO.BancoRef)),"(abra o arquivo 'Referência "&amp;Excel_BuiltIn_Database&amp;".xlsm)",IF(OR($C18&lt;&gt;"S",ORÇAMENTO.CodBarra=""),"(Sem Código)",IF(ISERROR(MATCH($AE18,INDIRECT(ORÇAMENTO.BancoRef),0)),"(Código não identificado nas referências)",MATCH($AE18,INDIRECT(ORÇAMENTO.BancoRef),0))))</f>
        <v>(abra o arquivo 'Referência 12-2024.xlsm)</v>
      </c>
      <c r="AG18" s="429">
        <f ca="1">ROUND(IF(DESONERACAO="sim",REFERENCIA.Desonerado,REFERENCIA.NaoDesonerado),2)</f>
        <v>0</v>
      </c>
      <c r="AH18" s="430">
        <f t="shared" ca="1" si="15"/>
        <v>0.31190000000000001</v>
      </c>
      <c r="AJ18" s="432">
        <v>6</v>
      </c>
      <c r="AL18" s="440"/>
      <c r="AM18" s="337">
        <f t="shared" ca="1" si="0"/>
        <v>0</v>
      </c>
      <c r="AN18" s="471">
        <f t="shared" ca="1" si="16"/>
        <v>0</v>
      </c>
    </row>
    <row r="19" spans="1:40" ht="25.5" x14ac:dyDescent="0.2">
      <c r="A19" t="str">
        <f t="shared" si="1"/>
        <v>S</v>
      </c>
      <c r="B19">
        <f t="shared" ca="1" si="2"/>
        <v>2</v>
      </c>
      <c r="C19" t="str">
        <f t="shared" ca="1" si="3"/>
        <v>S</v>
      </c>
      <c r="D19">
        <f t="shared" ca="1" si="4"/>
        <v>0</v>
      </c>
      <c r="E19">
        <f ca="1">IF($C19=1,OFFSET(E19,-1,0)+MAX(1,COUNTIF(QCI!$A$13:$A$24,OFFSET(ORÇAMENTO!E19,-1,0))),OFFSET(E19,-1,0))</f>
        <v>1</v>
      </c>
      <c r="F19">
        <f t="shared" ca="1" si="5"/>
        <v>1</v>
      </c>
      <c r="G19">
        <f t="shared" ca="1" si="6"/>
        <v>0</v>
      </c>
      <c r="H19">
        <f t="shared" ca="1" si="7"/>
        <v>0</v>
      </c>
      <c r="I19">
        <f t="shared" ca="1" si="8"/>
        <v>0</v>
      </c>
      <c r="J19">
        <f t="shared" ca="1" si="9"/>
        <v>0</v>
      </c>
      <c r="K19">
        <f ca="1">IF(OR($C19="S",$C19=0),0,MATCH(OFFSET($D19,0,$C19)+IF($C19&lt;&gt;1,1,COUNTIF(QCI!$A$13:$A$24,ORÇAMENTO!E19)),OFFSET($D19,1,$C19,ROW($C$405)-ROW($C19)),0))</f>
        <v>0</v>
      </c>
      <c r="L19" s="115" t="str">
        <f t="shared" ca="1" si="10"/>
        <v/>
      </c>
      <c r="M19" s="116" t="s">
        <v>706</v>
      </c>
      <c r="N19" s="117" t="str">
        <f t="shared" ca="1" si="11"/>
        <v>Serviço</v>
      </c>
      <c r="O19" s="118" t="str">
        <f t="shared" ca="1" si="12"/>
        <v>-</v>
      </c>
      <c r="P19" s="119" t="s">
        <v>751</v>
      </c>
      <c r="Q19" s="120" t="s">
        <v>944</v>
      </c>
      <c r="R19" s="121" t="s">
        <v>1324</v>
      </c>
      <c r="S19" s="122" t="s">
        <v>615</v>
      </c>
      <c r="T19" s="123">
        <f ca="1">OFFSET(CÁLCULO!H$15,ROW($T19)-ROW(T$15),0)</f>
        <v>246</v>
      </c>
      <c r="U19" s="124"/>
      <c r="V19" s="125" t="s">
        <v>663</v>
      </c>
      <c r="W19" s="123">
        <f ca="1">IF($C19="S",ROUND(IF(TIPOORCAMENTO="Proposto",ORÇAMENTO.CustoUnitario*(1+$AH19),ORÇAMENTO.PrecoUnitarioLicitado),15-13*$AF$10),0)</f>
        <v>0</v>
      </c>
      <c r="X19" s="126" cm="1">
        <f t="array" aca="1" ref="X19" ca="1">IF($C19="S",IF(OR(Import.TipoArredondamento&lt;&gt;"TransfereGOV",ACOMPANHAMENTO="BM"),VTOTAL1,SUM(OFFSET(CÁLCULO!$AA$15,ROW($X19)-ROW($X$15),1):OFFSET(CÁLCULO!$AL$15,ROW($X19)-ROW($X$15),-1))),IF($C19=0,0,ROUND(SomaAgrup,15-13*$AF$11)))</f>
        <v>0</v>
      </c>
      <c r="Y19" s="127" t="s">
        <v>752</v>
      </c>
      <c r="Z19" t="str">
        <f t="shared" ca="1" si="13"/>
        <v/>
      </c>
      <c r="AA19" s="128">
        <f ca="1">IF($C19="S",IF($Z19="CP",$X19,IF($Z19="RA",(($X19)*QCI!$AA$3),0)),SomaAgrup)</f>
        <v>0</v>
      </c>
      <c r="AB19" s="129">
        <f t="shared" ca="1" si="14"/>
        <v>0</v>
      </c>
      <c r="AC19" s="567" t="str">
        <f ca="1">IF($N19=""," ",
IF(AND($C19&lt;&gt;"S",OR($R19="",$R19="(digite a descrição aqui)")),"DESCRIÇÃO",
IF(AND($C19="S",OR($Q19&lt;&gt;0,$T19&gt;0,$U19&gt;0),$P19=0),"FONTE",
IF(AND($C19="S",$P19&lt;&gt;0,OR($T19&gt;0,$U19&gt;0),$Q19=0),"CÓDIGO",
IF(AND($C19="S",$P19&lt;&gt;0,$Q19&lt;&gt;0,$R19="(Código não identificado nas referências)"),"CÓDIGO N/ID",
IF(AND($C19="S",OR($R19="",$R19="(digite a descrição aqui)"),OR($Q19&lt;&gt;0,$T19&gt;0,$U19&gt;0)),"DESCRIÇÃO",
IF(AND($C19="S",$P19&lt;&gt;0,$Q19&lt;&gt;0,$S19=""),"UNIDADE",
IF(AND($C19="S",$P19&lt;&gt;0,$Q19&lt;&gt;0,$U19=0),"SEM CUSTO",
IF(AND(TIPOORCAMENTO="Licitado",$AL19=0,$AN19&gt;0),"SEM PREÇO",
IF(AND($C19="S",$P19&lt;&gt;0,$Q19&lt;&gt;0,$U19&gt;0,$V19=0),"BDI",
IF(OR(AND(TIPOORCAMENTO="Proposto",$AG19&lt;&gt;"",$AG19&gt;0,ORÇAMENTO.CustoUnitario&gt;$AG19),AND(TIPOORCAMENTO="LICITADO",ORÇAMENTO.PrecoUnitarioLicitado&gt;$AN19)),"ACIMA REF.",
IF(AND($C19="S",$P19&lt;&gt;0,$Q19&lt;&gt;0,$T19=0,$U19&gt;0),"QUANT.",
IF(AND(Import.TipoArredondamento="TransfereGOV",$L19="F",$C19="S",LEN($Q19)&gt;13),"Código &gt;13",
IF(AND(Import.TipoArredondamento="TransfereGOV",$L19="F",$C19&lt;&gt;"S",LEN($R19)&gt;100),"Descrição &gt;100",
IF(AND(Import.TipoArredondamento="TransfereGOV",$L19="F",$C19="S",LEN($R19)&gt;500),"Descrição &gt;500",
IF(AND(Import.TipoArredondamento="TransfereGOV",$L19="F",$C19="S",LEFT(TRIM(UPPER($P19)),6)&lt;&gt;"SINAPI",ISNA(VLOOKUP(TRIM(UPPER($S19)),ListaTgov.Unidades,1,FALSE))),"Unid. Não Disp",
" "))))))))))))))))</f>
        <v>SEM CUSTO</v>
      </c>
      <c r="AD19" t="str">
        <f ca="1">IF(C19&lt;=CRONO.NivelExibicao,MAX($AD$15:OFFSET(AD19,-1,0))+IF($C19&lt;&gt;1,1,MAX(1,COUNTIF(QCI!$A$13:$A$24,OFFSET($E19,-1,0)))),"")</f>
        <v/>
      </c>
      <c r="AE19" s="7" t="str">
        <f ca="1">IF(AND($C19="S",ORÇAMENTO.CodBarra&lt;&gt;""),IF(ORÇAMENTO.Fonte="",ORÇAMENTO.CodBarra,CONCATENATE(ORÇAMENTO.Fonte," ",ORÇAMENTO.CodBarra)))</f>
        <v>SINAPI 90778</v>
      </c>
      <c r="AF19" s="12" t="str">
        <f ca="1">IF(ISERROR(INDIRECT(ORÇAMENTO.BancoRef)),"(abra o arquivo 'Referência "&amp;Excel_BuiltIn_Database&amp;".xlsm)",IF(OR($C19&lt;&gt;"S",ORÇAMENTO.CodBarra=""),"(Sem Código)",IF(ISERROR(MATCH($AE19,INDIRECT(ORÇAMENTO.BancoRef),0)),"(Código não identificado nas referências)",MATCH($AE19,INDIRECT(ORÇAMENTO.BancoRef),0))))</f>
        <v>(abra o arquivo 'Referência 12-2024.xlsm)</v>
      </c>
      <c r="AG19" s="429">
        <f ca="1">ROUND(IF(DESONERACAO="sim",REFERENCIA.Desonerado,REFERENCIA.NaoDesonerado),2)</f>
        <v>0</v>
      </c>
      <c r="AH19" s="430">
        <f t="shared" ca="1" si="15"/>
        <v>0.31190000000000001</v>
      </c>
      <c r="AJ19" s="432">
        <v>246</v>
      </c>
      <c r="AL19" s="440"/>
      <c r="AM19" s="337">
        <f t="shared" ca="1" si="0"/>
        <v>0</v>
      </c>
      <c r="AN19" s="471">
        <f t="shared" ca="1" si="16"/>
        <v>0</v>
      </c>
    </row>
    <row r="20" spans="1:40" ht="25.5" x14ac:dyDescent="0.2">
      <c r="A20" t="str">
        <f t="shared" si="1"/>
        <v>S</v>
      </c>
      <c r="B20">
        <f t="shared" ca="1" si="2"/>
        <v>2</v>
      </c>
      <c r="C20" t="str">
        <f t="shared" ca="1" si="3"/>
        <v>S</v>
      </c>
      <c r="D20">
        <f t="shared" ca="1" si="4"/>
        <v>0</v>
      </c>
      <c r="E20">
        <f ca="1">IF($C20=1,OFFSET(E20,-1,0)+MAX(1,COUNTIF(QCI!$A$13:$A$24,OFFSET(ORÇAMENTO!E20,-1,0))),OFFSET(E20,-1,0))</f>
        <v>1</v>
      </c>
      <c r="F20">
        <f t="shared" ca="1" si="5"/>
        <v>1</v>
      </c>
      <c r="G20">
        <f t="shared" ca="1" si="6"/>
        <v>0</v>
      </c>
      <c r="H20">
        <f t="shared" ca="1" si="7"/>
        <v>0</v>
      </c>
      <c r="I20">
        <f t="shared" ca="1" si="8"/>
        <v>0</v>
      </c>
      <c r="J20">
        <f t="shared" ca="1" si="9"/>
        <v>0</v>
      </c>
      <c r="K20">
        <f ca="1">IF(OR($C20="S",$C20=0),0,MATCH(OFFSET($D20,0,$C20)+IF($C20&lt;&gt;1,1,COUNTIF(QCI!$A$13:$A$24,ORÇAMENTO!E20)),OFFSET($D20,1,$C20,ROW($C$405)-ROW($C20)),0))</f>
        <v>0</v>
      </c>
      <c r="L20" s="115" t="str">
        <f t="shared" ca="1" si="10"/>
        <v/>
      </c>
      <c r="M20" s="116" t="s">
        <v>706</v>
      </c>
      <c r="N20" s="117" t="str">
        <f t="shared" ca="1" si="11"/>
        <v>Serviço</v>
      </c>
      <c r="O20" s="118" t="str">
        <f t="shared" ca="1" si="12"/>
        <v>-</v>
      </c>
      <c r="P20" s="119" t="s">
        <v>751</v>
      </c>
      <c r="Q20" s="120" t="s">
        <v>945</v>
      </c>
      <c r="R20" s="121" t="s">
        <v>1325</v>
      </c>
      <c r="S20" s="122" t="s">
        <v>615</v>
      </c>
      <c r="T20" s="123">
        <f ca="1">OFFSET(CÁLCULO!H$15,ROW($T20)-ROW(T$15),0)</f>
        <v>246</v>
      </c>
      <c r="U20" s="124"/>
      <c r="V20" s="125" t="s">
        <v>663</v>
      </c>
      <c r="W20" s="123">
        <f ca="1">IF($C20="S",ROUND(IF(TIPOORCAMENTO="Proposto",ORÇAMENTO.CustoUnitario*(1+$AH20),ORÇAMENTO.PrecoUnitarioLicitado),15-13*$AF$10),0)</f>
        <v>0</v>
      </c>
      <c r="X20" s="126" cm="1">
        <f t="array" aca="1" ref="X20" ca="1">IF($C20="S",IF(OR(Import.TipoArredondamento&lt;&gt;"TransfereGOV",ACOMPANHAMENTO="BM"),VTOTAL1,SUM(OFFSET(CÁLCULO!$AA$15,ROW($X20)-ROW($X$15),1):OFFSET(CÁLCULO!$AL$15,ROW($X20)-ROW($X$15),-1))),IF($C20=0,0,ROUND(SomaAgrup,15-13*$AF$11)))</f>
        <v>0</v>
      </c>
      <c r="Y20" s="127" t="s">
        <v>752</v>
      </c>
      <c r="Z20" t="str">
        <f t="shared" ca="1" si="13"/>
        <v/>
      </c>
      <c r="AA20" s="128">
        <f ca="1">IF($C20="S",IF($Z20="CP",$X20,IF($Z20="RA",(($X20)*QCI!$AA$3),0)),SomaAgrup)</f>
        <v>0</v>
      </c>
      <c r="AB20" s="129">
        <f t="shared" ca="1" si="14"/>
        <v>0</v>
      </c>
      <c r="AC20" s="567" t="str">
        <f ca="1">IF($N20=""," ",
IF(AND($C20&lt;&gt;"S",OR($R20="",$R20="(digite a descrição aqui)")),"DESCRIÇÃO",
IF(AND($C20="S",OR($Q20&lt;&gt;0,$T20&gt;0,$U20&gt;0),$P20=0),"FONTE",
IF(AND($C20="S",$P20&lt;&gt;0,OR($T20&gt;0,$U20&gt;0),$Q20=0),"CÓDIGO",
IF(AND($C20="S",$P20&lt;&gt;0,$Q20&lt;&gt;0,$R20="(Código não identificado nas referências)"),"CÓDIGO N/ID",
IF(AND($C20="S",OR($R20="",$R20="(digite a descrição aqui)"),OR($Q20&lt;&gt;0,$T20&gt;0,$U20&gt;0)),"DESCRIÇÃO",
IF(AND($C20="S",$P20&lt;&gt;0,$Q20&lt;&gt;0,$S20=""),"UNIDADE",
IF(AND($C20="S",$P20&lt;&gt;0,$Q20&lt;&gt;0,$U20=0),"SEM CUSTO",
IF(AND(TIPOORCAMENTO="Licitado",$AL20=0,$AN20&gt;0),"SEM PREÇO",
IF(AND($C20="S",$P20&lt;&gt;0,$Q20&lt;&gt;0,$U20&gt;0,$V20=0),"BDI",
IF(OR(AND(TIPOORCAMENTO="Proposto",$AG20&lt;&gt;"",$AG20&gt;0,ORÇAMENTO.CustoUnitario&gt;$AG20),AND(TIPOORCAMENTO="LICITADO",ORÇAMENTO.PrecoUnitarioLicitado&gt;$AN20)),"ACIMA REF.",
IF(AND($C20="S",$P20&lt;&gt;0,$Q20&lt;&gt;0,$T20=0,$U20&gt;0),"QUANT.",
IF(AND(Import.TipoArredondamento="TransfereGOV",$L20="F",$C20="S",LEN($Q20)&gt;13),"Código &gt;13",
IF(AND(Import.TipoArredondamento="TransfereGOV",$L20="F",$C20&lt;&gt;"S",LEN($R20)&gt;100),"Descrição &gt;100",
IF(AND(Import.TipoArredondamento="TransfereGOV",$L20="F",$C20="S",LEN($R20)&gt;500),"Descrição &gt;500",
IF(AND(Import.TipoArredondamento="TransfereGOV",$L20="F",$C20="S",LEFT(TRIM(UPPER($P20)),6)&lt;&gt;"SINAPI",ISNA(VLOOKUP(TRIM(UPPER($S20)),ListaTgov.Unidades,1,FALSE))),"Unid. Não Disp",
" "))))))))))))))))</f>
        <v>SEM CUSTO</v>
      </c>
      <c r="AD20" t="str">
        <f ca="1">IF(C20&lt;=CRONO.NivelExibicao,MAX($AD$15:OFFSET(AD20,-1,0))+IF($C20&lt;&gt;1,1,MAX(1,COUNTIF(QCI!$A$13:$A$24,OFFSET($E20,-1,0)))),"")</f>
        <v/>
      </c>
      <c r="AE20" s="7" t="str">
        <f ca="1">IF(AND($C20="S",ORÇAMENTO.CodBarra&lt;&gt;""),IF(ORÇAMENTO.Fonte="",ORÇAMENTO.CodBarra,CONCATENATE(ORÇAMENTO.Fonte," ",ORÇAMENTO.CodBarra)))</f>
        <v>SINAPI 100309</v>
      </c>
      <c r="AF20" s="12" t="str">
        <f ca="1">IF(ISERROR(INDIRECT(ORÇAMENTO.BancoRef)),"(abra o arquivo 'Referência "&amp;Excel_BuiltIn_Database&amp;".xlsm)",IF(OR($C20&lt;&gt;"S",ORÇAMENTO.CodBarra=""),"(Sem Código)",IF(ISERROR(MATCH($AE20,INDIRECT(ORÇAMENTO.BancoRef),0)),"(Código não identificado nas referências)",MATCH($AE20,INDIRECT(ORÇAMENTO.BancoRef),0))))</f>
        <v>(abra o arquivo 'Referência 12-2024.xlsm)</v>
      </c>
      <c r="AG20" s="429">
        <f ca="1">ROUND(IF(DESONERACAO="sim",REFERENCIA.Desonerado,REFERENCIA.NaoDesonerado),2)</f>
        <v>0</v>
      </c>
      <c r="AH20" s="430">
        <f t="shared" ca="1" si="15"/>
        <v>0.31190000000000001</v>
      </c>
      <c r="AJ20" s="432">
        <v>246</v>
      </c>
      <c r="AL20" s="440"/>
      <c r="AM20" s="337">
        <f t="shared" ca="1" si="0"/>
        <v>0</v>
      </c>
      <c r="AN20" s="471">
        <f t="shared" ca="1" si="16"/>
        <v>0</v>
      </c>
    </row>
    <row r="21" spans="1:40" x14ac:dyDescent="0.2">
      <c r="A21">
        <f t="shared" si="1"/>
        <v>2</v>
      </c>
      <c r="B21">
        <f t="shared" ca="1" si="2"/>
        <v>2</v>
      </c>
      <c r="C21">
        <f t="shared" ca="1" si="3"/>
        <v>2</v>
      </c>
      <c r="D21">
        <f t="shared" ca="1" si="4"/>
        <v>7</v>
      </c>
      <c r="E21">
        <f ca="1">IF($C21=1,OFFSET(E21,-1,0)+MAX(1,COUNTIF(QCI!$A$13:$A$24,OFFSET(ORÇAMENTO!E21,-1,0))),OFFSET(E21,-1,0))</f>
        <v>1</v>
      </c>
      <c r="F21">
        <f t="shared" ca="1" si="5"/>
        <v>2</v>
      </c>
      <c r="G21">
        <f t="shared" ca="1" si="6"/>
        <v>0</v>
      </c>
      <c r="H21">
        <f t="shared" ca="1" si="7"/>
        <v>0</v>
      </c>
      <c r="I21">
        <f t="shared" ca="1" si="8"/>
        <v>0</v>
      </c>
      <c r="J21">
        <f t="shared" ca="1" si="9"/>
        <v>384</v>
      </c>
      <c r="K21">
        <f ca="1">IF(OR($C21="S",$C21=0),0,MATCH(OFFSET($D21,0,$C21)+IF($C21&lt;&gt;1,1,COUNTIF(QCI!$A$13:$A$24,ORÇAMENTO!E21)),OFFSET($D21,1,$C21,ROW($C$405)-ROW($C21)),0))</f>
        <v>7</v>
      </c>
      <c r="L21" s="115" t="str">
        <f t="shared" ca="1" si="10"/>
        <v>F</v>
      </c>
      <c r="M21" s="116" t="s">
        <v>703</v>
      </c>
      <c r="N21" s="117" t="str">
        <f t="shared" ca="1" si="11"/>
        <v>Nível 2</v>
      </c>
      <c r="O21" s="118" t="str">
        <f t="shared" ca="1" si="12"/>
        <v>1.2.</v>
      </c>
      <c r="P21" s="119" t="s">
        <v>751</v>
      </c>
      <c r="Q21" s="120"/>
      <c r="R21" s="121" t="s">
        <v>1273</v>
      </c>
      <c r="S21" s="122" t="s">
        <v>689</v>
      </c>
      <c r="T21" s="123">
        <f ca="1">OFFSET(CÁLCULO!H$15,ROW($T21)-ROW(T$15),0)</f>
        <v>0</v>
      </c>
      <c r="U21" s="124"/>
      <c r="V21" s="125" t="s">
        <v>663</v>
      </c>
      <c r="W21" s="123">
        <f ca="1">IF($C21="S",ROUND(IF(TIPOORCAMENTO="Proposto",ORÇAMENTO.CustoUnitario*(1+$AH21),ORÇAMENTO.PrecoUnitarioLicitado),15-13*$AF$10),0)</f>
        <v>0</v>
      </c>
      <c r="X21" s="126" cm="1">
        <f t="array" aca="1" ref="X21" ca="1">IF($C21="S",IF(OR(Import.TipoArredondamento&lt;&gt;"TransfereGOV",ACOMPANHAMENTO="BM"),VTOTAL1,SUM(OFFSET(CÁLCULO!$AA$15,ROW($X21)-ROW($X$15),1):OFFSET(CÁLCULO!$AL$15,ROW($X21)-ROW($X$15),-1))),IF($C21=0,0,ROUND(SomaAgrup,15-13*$AF$11)))</f>
        <v>0</v>
      </c>
      <c r="Y21" s="127" t="s">
        <v>752</v>
      </c>
      <c r="Z21" t="str">
        <f t="shared" ca="1" si="13"/>
        <v/>
      </c>
      <c r="AA21" s="128">
        <f ca="1">IF($C21="S",IF($Z21="CP",$X21,IF($Z21="RA",(($X21)*QCI!$AA$3),0)),SomaAgrup)</f>
        <v>0</v>
      </c>
      <c r="AB21" s="129">
        <f t="shared" ca="1" si="14"/>
        <v>0</v>
      </c>
      <c r="AC21" s="567" t="str">
        <f ca="1">IF($N21=""," ",
IF(AND($C21&lt;&gt;"S",OR($R21="",$R21="(digite a descrição aqui)")),"DESCRIÇÃO",
IF(AND($C21="S",OR($Q21&lt;&gt;0,$T21&gt;0,$U21&gt;0),$P21=0),"FONTE",
IF(AND($C21="S",$P21&lt;&gt;0,OR($T21&gt;0,$U21&gt;0),$Q21=0),"CÓDIGO",
IF(AND($C21="S",$P21&lt;&gt;0,$Q21&lt;&gt;0,$R21="(Código não identificado nas referências)"),"CÓDIGO N/ID",
IF(AND($C21="S",OR($R21="",$R21="(digite a descrição aqui)"),OR($Q21&lt;&gt;0,$T21&gt;0,$U21&gt;0)),"DESCRIÇÃO",
IF(AND($C21="S",$P21&lt;&gt;0,$Q21&lt;&gt;0,$S21=""),"UNIDADE",
IF(AND($C21="S",$P21&lt;&gt;0,$Q21&lt;&gt;0,$U21=0),"SEM CUSTO",
IF(AND(TIPOORCAMENTO="Licitado",$AL21=0,$AN21&gt;0),"SEM PREÇO",
IF(AND($C21="S",$P21&lt;&gt;0,$Q21&lt;&gt;0,$U21&gt;0,$V21=0),"BDI",
IF(OR(AND(TIPOORCAMENTO="Proposto",$AG21&lt;&gt;"",$AG21&gt;0,ORÇAMENTO.CustoUnitario&gt;$AG21),AND(TIPOORCAMENTO="LICITADO",ORÇAMENTO.PrecoUnitarioLicitado&gt;$AN21)),"ACIMA REF.",
IF(AND($C21="S",$P21&lt;&gt;0,$Q21&lt;&gt;0,$T21=0,$U21&gt;0),"QUANT.",
IF(AND(Import.TipoArredondamento="TransfereGOV",$L21="F",$C21="S",LEN($Q21)&gt;13),"Código &gt;13",
IF(AND(Import.TipoArredondamento="TransfereGOV",$L21="F",$C21&lt;&gt;"S",LEN($R21)&gt;100),"Descrição &gt;100",
IF(AND(Import.TipoArredondamento="TransfereGOV",$L21="F",$C21="S",LEN($R21)&gt;500),"Descrição &gt;500",
IF(AND(Import.TipoArredondamento="TransfereGOV",$L21="F",$C21="S",LEFT(TRIM(UPPER($P21)),6)&lt;&gt;"SINAPI",ISNA(VLOOKUP(TRIM(UPPER($S21)),ListaTgov.Unidades,1,FALSE))),"Unid. Não Disp",
" "))))))))))))))))</f>
        <v xml:space="preserve"> </v>
      </c>
      <c r="AD21">
        <f ca="1">IF(C21&lt;=CRONO.NivelExibicao,MAX($AD$15:OFFSET(AD21,-1,0))+IF($C21&lt;&gt;1,1,MAX(1,COUNTIF(QCI!$A$13:$A$24,OFFSET($E21,-1,0)))),"")</f>
        <v>3</v>
      </c>
      <c r="AE21" s="7" t="b">
        <f ca="1">IF(AND($C21="S",ORÇAMENTO.CodBarra&lt;&gt;""),IF(ORÇAMENTO.Fonte="",ORÇAMENTO.CodBarra,CONCATENATE(ORÇAMENTO.Fonte," ",ORÇAMENTO.CodBarra)))</f>
        <v>0</v>
      </c>
      <c r="AF21" s="12" t="str">
        <f ca="1">IF(ISERROR(INDIRECT(ORÇAMENTO.BancoRef)),"(abra o arquivo 'Referência "&amp;Excel_BuiltIn_Database&amp;".xlsm)",IF(OR($C21&lt;&gt;"S",ORÇAMENTO.CodBarra=""),"(Sem Código)",IF(ISERROR(MATCH($AE21,INDIRECT(ORÇAMENTO.BancoRef),0)),"(Código não identificado nas referências)",MATCH($AE21,INDIRECT(ORÇAMENTO.BancoRef),0))))</f>
        <v>(abra o arquivo 'Referência 12-2024.xlsm)</v>
      </c>
      <c r="AG21" s="429">
        <f ca="1">ROUND(IF(DESONERACAO="sim",REFERENCIA.Desonerado,REFERENCIA.NaoDesonerado),2)</f>
        <v>0</v>
      </c>
      <c r="AH21" s="430">
        <f t="shared" ca="1" si="15"/>
        <v>0.31190000000000001</v>
      </c>
      <c r="AJ21" s="432"/>
      <c r="AL21" s="440"/>
      <c r="AM21" s="337">
        <f t="shared" ca="1" si="0"/>
        <v>0</v>
      </c>
      <c r="AN21" s="471">
        <f t="shared" ca="1" si="16"/>
        <v>0</v>
      </c>
    </row>
    <row r="22" spans="1:40" ht="25.5" x14ac:dyDescent="0.2">
      <c r="A22" t="str">
        <f t="shared" si="1"/>
        <v>S</v>
      </c>
      <c r="B22">
        <f t="shared" ca="1" si="2"/>
        <v>2</v>
      </c>
      <c r="C22" t="str">
        <f t="shared" ca="1" si="3"/>
        <v>S</v>
      </c>
      <c r="D22">
        <f t="shared" ca="1" si="4"/>
        <v>0</v>
      </c>
      <c r="E22">
        <f ca="1">IF($C22=1,OFFSET(E22,-1,0)+MAX(1,COUNTIF(QCI!$A$13:$A$24,OFFSET(ORÇAMENTO!E22,-1,0))),OFFSET(E22,-1,0))</f>
        <v>1</v>
      </c>
      <c r="F22">
        <f t="shared" ca="1" si="5"/>
        <v>2</v>
      </c>
      <c r="G22">
        <f t="shared" ca="1" si="6"/>
        <v>0</v>
      </c>
      <c r="H22">
        <f t="shared" ca="1" si="7"/>
        <v>0</v>
      </c>
      <c r="I22">
        <f t="shared" ca="1" si="8"/>
        <v>0</v>
      </c>
      <c r="J22">
        <f t="shared" ca="1" si="9"/>
        <v>0</v>
      </c>
      <c r="K22">
        <f ca="1">IF(OR($C22="S",$C22=0),0,MATCH(OFFSET($D22,0,$C22)+IF($C22&lt;&gt;1,1,COUNTIF(QCI!$A$13:$A$24,ORÇAMENTO!E22)),OFFSET($D22,1,$C22,ROW($C$405)-ROW($C22)),0))</f>
        <v>0</v>
      </c>
      <c r="L22" s="115" t="str">
        <f t="shared" ca="1" si="10"/>
        <v/>
      </c>
      <c r="M22" s="116" t="s">
        <v>706</v>
      </c>
      <c r="N22" s="117" t="str">
        <f t="shared" ca="1" si="11"/>
        <v>Serviço</v>
      </c>
      <c r="O22" s="118" t="str">
        <f t="shared" ca="1" si="12"/>
        <v>-</v>
      </c>
      <c r="P22" s="119" t="s">
        <v>751</v>
      </c>
      <c r="Q22" s="120" t="s">
        <v>946</v>
      </c>
      <c r="R22" s="121" t="s">
        <v>1326</v>
      </c>
      <c r="S22" s="122" t="s">
        <v>623</v>
      </c>
      <c r="T22" s="123">
        <f ca="1">OFFSET(CÁLCULO!H$15,ROW($T22)-ROW(T$15),0)</f>
        <v>4.5</v>
      </c>
      <c r="U22" s="124"/>
      <c r="V22" s="125" t="s">
        <v>663</v>
      </c>
      <c r="W22" s="123">
        <f ca="1">IF($C22="S",ROUND(IF(TIPOORCAMENTO="Proposto",ORÇAMENTO.CustoUnitario*(1+$AH22),ORÇAMENTO.PrecoUnitarioLicitado),15-13*$AF$10),0)</f>
        <v>0</v>
      </c>
      <c r="X22" s="126" cm="1">
        <f t="array" aca="1" ref="X22" ca="1">IF($C22="S",IF(OR(Import.TipoArredondamento&lt;&gt;"TransfereGOV",ACOMPANHAMENTO="BM"),VTOTAL1,SUM(OFFSET(CÁLCULO!$AA$15,ROW($X22)-ROW($X$15),1):OFFSET(CÁLCULO!$AL$15,ROW($X22)-ROW($X$15),-1))),IF($C22=0,0,ROUND(SomaAgrup,15-13*$AF$11)))</f>
        <v>0</v>
      </c>
      <c r="Y22" s="127" t="s">
        <v>752</v>
      </c>
      <c r="Z22" t="str">
        <f t="shared" ca="1" si="13"/>
        <v/>
      </c>
      <c r="AA22" s="128">
        <f ca="1">IF($C22="S",IF($Z22="CP",$X22,IF($Z22="RA",(($X22)*QCI!$AA$3),0)),SomaAgrup)</f>
        <v>0</v>
      </c>
      <c r="AB22" s="129">
        <f t="shared" ca="1" si="14"/>
        <v>0</v>
      </c>
      <c r="AC22" s="567" t="str">
        <f ca="1">IF($N22=""," ",
IF(AND($C22&lt;&gt;"S",OR($R22="",$R22="(digite a descrição aqui)")),"DESCRIÇÃO",
IF(AND($C22="S",OR($Q22&lt;&gt;0,$T22&gt;0,$U22&gt;0),$P22=0),"FONTE",
IF(AND($C22="S",$P22&lt;&gt;0,OR($T22&gt;0,$U22&gt;0),$Q22=0),"CÓDIGO",
IF(AND($C22="S",$P22&lt;&gt;0,$Q22&lt;&gt;0,$R22="(Código não identificado nas referências)"),"CÓDIGO N/ID",
IF(AND($C22="S",OR($R22="",$R22="(digite a descrição aqui)"),OR($Q22&lt;&gt;0,$T22&gt;0,$U22&gt;0)),"DESCRIÇÃO",
IF(AND($C22="S",$P22&lt;&gt;0,$Q22&lt;&gt;0,$S22=""),"UNIDADE",
IF(AND($C22="S",$P22&lt;&gt;0,$Q22&lt;&gt;0,$U22=0),"SEM CUSTO",
IF(AND(TIPOORCAMENTO="Licitado",$AL22=0,$AN22&gt;0),"SEM PREÇO",
IF(AND($C22="S",$P22&lt;&gt;0,$Q22&lt;&gt;0,$U22&gt;0,$V22=0),"BDI",
IF(OR(AND(TIPOORCAMENTO="Proposto",$AG22&lt;&gt;"",$AG22&gt;0,ORÇAMENTO.CustoUnitario&gt;$AG22),AND(TIPOORCAMENTO="LICITADO",ORÇAMENTO.PrecoUnitarioLicitado&gt;$AN22)),"ACIMA REF.",
IF(AND($C22="S",$P22&lt;&gt;0,$Q22&lt;&gt;0,$T22=0,$U22&gt;0),"QUANT.",
IF(AND(Import.TipoArredondamento="TransfereGOV",$L22="F",$C22="S",LEN($Q22)&gt;13),"Código &gt;13",
IF(AND(Import.TipoArredondamento="TransfereGOV",$L22="F",$C22&lt;&gt;"S",LEN($R22)&gt;100),"Descrição &gt;100",
IF(AND(Import.TipoArredondamento="TransfereGOV",$L22="F",$C22="S",LEN($R22)&gt;500),"Descrição &gt;500",
IF(AND(Import.TipoArredondamento="TransfereGOV",$L22="F",$C22="S",LEFT(TRIM(UPPER($P22)),6)&lt;&gt;"SINAPI",ISNA(VLOOKUP(TRIM(UPPER($S22)),ListaTgov.Unidades,1,FALSE))),"Unid. Não Disp",
" "))))))))))))))))</f>
        <v>SEM CUSTO</v>
      </c>
      <c r="AD22" t="str">
        <f ca="1">IF(C22&lt;=CRONO.NivelExibicao,MAX($AD$15:OFFSET(AD22,-1,0))+IF($C22&lt;&gt;1,1,MAX(1,COUNTIF(QCI!$A$13:$A$24,OFFSET($E22,-1,0)))),"")</f>
        <v/>
      </c>
      <c r="AE22" s="7" t="str">
        <f ca="1">IF(AND($C22="S",ORÇAMENTO.CodBarra&lt;&gt;""),IF(ORÇAMENTO.Fonte="",ORÇAMENTO.CodBarra,CONCATENATE(ORÇAMENTO.Fonte," ",ORÇAMENTO.CodBarra)))</f>
        <v>SINAPI 103689</v>
      </c>
      <c r="AF22" s="12" t="str">
        <f ca="1">IF(ISERROR(INDIRECT(ORÇAMENTO.BancoRef)),"(abra o arquivo 'Referência "&amp;Excel_BuiltIn_Database&amp;".xlsm)",IF(OR($C22&lt;&gt;"S",ORÇAMENTO.CodBarra=""),"(Sem Código)",IF(ISERROR(MATCH($AE22,INDIRECT(ORÇAMENTO.BancoRef),0)),"(Código não identificado nas referências)",MATCH($AE22,INDIRECT(ORÇAMENTO.BancoRef),0))))</f>
        <v>(abra o arquivo 'Referência 12-2024.xlsm)</v>
      </c>
      <c r="AG22" s="429">
        <f ca="1">ROUND(IF(DESONERACAO="sim",REFERENCIA.Desonerado,REFERENCIA.NaoDesonerado),2)</f>
        <v>0</v>
      </c>
      <c r="AH22" s="430">
        <f t="shared" ca="1" si="15"/>
        <v>0.31190000000000001</v>
      </c>
      <c r="AJ22" s="432">
        <v>4.5</v>
      </c>
      <c r="AL22" s="440"/>
      <c r="AM22" s="337">
        <f t="shared" ca="1" si="0"/>
        <v>0</v>
      </c>
      <c r="AN22" s="471">
        <f t="shared" ca="1" si="16"/>
        <v>0</v>
      </c>
    </row>
    <row r="23" spans="1:40" ht="38.25" x14ac:dyDescent="0.2">
      <c r="A23" t="str">
        <f t="shared" si="1"/>
        <v>S</v>
      </c>
      <c r="B23">
        <f t="shared" ca="1" si="2"/>
        <v>2</v>
      </c>
      <c r="C23" t="str">
        <f t="shared" ca="1" si="3"/>
        <v>S</v>
      </c>
      <c r="D23">
        <f t="shared" ca="1" si="4"/>
        <v>0</v>
      </c>
      <c r="E23">
        <f ca="1">IF($C23=1,OFFSET(E23,-1,0)+MAX(1,COUNTIF(QCI!$A$13:$A$24,OFFSET(ORÇAMENTO!E23,-1,0))),OFFSET(E23,-1,0))</f>
        <v>1</v>
      </c>
      <c r="F23">
        <f t="shared" ca="1" si="5"/>
        <v>2</v>
      </c>
      <c r="G23">
        <f t="shared" ca="1" si="6"/>
        <v>0</v>
      </c>
      <c r="H23">
        <f t="shared" ca="1" si="7"/>
        <v>0</v>
      </c>
      <c r="I23">
        <f t="shared" ca="1" si="8"/>
        <v>0</v>
      </c>
      <c r="J23">
        <f t="shared" ca="1" si="9"/>
        <v>0</v>
      </c>
      <c r="K23">
        <f ca="1">IF(OR($C23="S",$C23=0),0,MATCH(OFFSET($D23,0,$C23)+IF($C23&lt;&gt;1,1,COUNTIF(QCI!$A$13:$A$24,ORÇAMENTO!E23)),OFFSET($D23,1,$C23,ROW($C$405)-ROW($C23)),0))</f>
        <v>0</v>
      </c>
      <c r="L23" s="115" t="str">
        <f t="shared" ca="1" si="10"/>
        <v/>
      </c>
      <c r="M23" s="116" t="s">
        <v>706</v>
      </c>
      <c r="N23" s="117" t="str">
        <f t="shared" ca="1" si="11"/>
        <v>Serviço</v>
      </c>
      <c r="O23" s="118" t="str">
        <f t="shared" ca="1" si="12"/>
        <v>-</v>
      </c>
      <c r="P23" s="119" t="s">
        <v>751</v>
      </c>
      <c r="Q23" s="120" t="s">
        <v>947</v>
      </c>
      <c r="R23" s="121" t="s">
        <v>1327</v>
      </c>
      <c r="S23" s="122" t="s">
        <v>623</v>
      </c>
      <c r="T23" s="123">
        <f ca="1">OFFSET(CÁLCULO!H$15,ROW($T23)-ROW(T$15),0)</f>
        <v>3710</v>
      </c>
      <c r="U23" s="124"/>
      <c r="V23" s="125" t="s">
        <v>663</v>
      </c>
      <c r="W23" s="123">
        <f ca="1">IF($C23="S",ROUND(IF(TIPOORCAMENTO="Proposto",ORÇAMENTO.CustoUnitario*(1+$AH23),ORÇAMENTO.PrecoUnitarioLicitado),15-13*$AF$10),0)</f>
        <v>0</v>
      </c>
      <c r="X23" s="126" cm="1">
        <f t="array" aca="1" ref="X23" ca="1">IF($C23="S",IF(OR(Import.TipoArredondamento&lt;&gt;"TransfereGOV",ACOMPANHAMENTO="BM"),VTOTAL1,SUM(OFFSET(CÁLCULO!$AA$15,ROW($X23)-ROW($X$15),1):OFFSET(CÁLCULO!$AL$15,ROW($X23)-ROW($X$15),-1))),IF($C23=0,0,ROUND(SomaAgrup,15-13*$AF$11)))</f>
        <v>0</v>
      </c>
      <c r="Y23" s="127" t="s">
        <v>752</v>
      </c>
      <c r="Z23" t="str">
        <f t="shared" ca="1" si="13"/>
        <v/>
      </c>
      <c r="AA23" s="128">
        <f ca="1">IF($C23="S",IF($Z23="CP",$X23,IF($Z23="RA",(($X23)*QCI!$AA$3),0)),SomaAgrup)</f>
        <v>0</v>
      </c>
      <c r="AB23" s="129">
        <f t="shared" ca="1" si="14"/>
        <v>0</v>
      </c>
      <c r="AC23" s="567" t="str">
        <f ca="1">IF($N23=""," ",
IF(AND($C23&lt;&gt;"S",OR($R23="",$R23="(digite a descrição aqui)")),"DESCRIÇÃO",
IF(AND($C23="S",OR($Q23&lt;&gt;0,$T23&gt;0,$U23&gt;0),$P23=0),"FONTE",
IF(AND($C23="S",$P23&lt;&gt;0,OR($T23&gt;0,$U23&gt;0),$Q23=0),"CÓDIGO",
IF(AND($C23="S",$P23&lt;&gt;0,$Q23&lt;&gt;0,$R23="(Código não identificado nas referências)"),"CÓDIGO N/ID",
IF(AND($C23="S",OR($R23="",$R23="(digite a descrição aqui)"),OR($Q23&lt;&gt;0,$T23&gt;0,$U23&gt;0)),"DESCRIÇÃO",
IF(AND($C23="S",$P23&lt;&gt;0,$Q23&lt;&gt;0,$S23=""),"UNIDADE",
IF(AND($C23="S",$P23&lt;&gt;0,$Q23&lt;&gt;0,$U23=0),"SEM CUSTO",
IF(AND(TIPOORCAMENTO="Licitado",$AL23=0,$AN23&gt;0),"SEM PREÇO",
IF(AND($C23="S",$P23&lt;&gt;0,$Q23&lt;&gt;0,$U23&gt;0,$V23=0),"BDI",
IF(OR(AND(TIPOORCAMENTO="Proposto",$AG23&lt;&gt;"",$AG23&gt;0,ORÇAMENTO.CustoUnitario&gt;$AG23),AND(TIPOORCAMENTO="LICITADO",ORÇAMENTO.PrecoUnitarioLicitado&gt;$AN23)),"ACIMA REF.",
IF(AND($C23="S",$P23&lt;&gt;0,$Q23&lt;&gt;0,$T23=0,$U23&gt;0),"QUANT.",
IF(AND(Import.TipoArredondamento="TransfereGOV",$L23="F",$C23="S",LEN($Q23)&gt;13),"Código &gt;13",
IF(AND(Import.TipoArredondamento="TransfereGOV",$L23="F",$C23&lt;&gt;"S",LEN($R23)&gt;100),"Descrição &gt;100",
IF(AND(Import.TipoArredondamento="TransfereGOV",$L23="F",$C23="S",LEN($R23)&gt;500),"Descrição &gt;500",
IF(AND(Import.TipoArredondamento="TransfereGOV",$L23="F",$C23="S",LEFT(TRIM(UPPER($P23)),6)&lt;&gt;"SINAPI",ISNA(VLOOKUP(TRIM(UPPER($S23)),ListaTgov.Unidades,1,FALSE))),"Unid. Não Disp",
" "))))))))))))))))</f>
        <v>SEM CUSTO</v>
      </c>
      <c r="AD23" t="str">
        <f ca="1">IF(C23&lt;=CRONO.NivelExibicao,MAX($AD$15:OFFSET(AD23,-1,0))+IF($C23&lt;&gt;1,1,MAX(1,COUNTIF(QCI!$A$13:$A$24,OFFSET($E23,-1,0)))),"")</f>
        <v/>
      </c>
      <c r="AE23" s="7" t="str">
        <f ca="1">IF(AND($C23="S",ORÇAMENTO.CodBarra&lt;&gt;""),IF(ORÇAMENTO.Fonte="",ORÇAMENTO.CodBarra,CONCATENATE(ORÇAMENTO.Fonte," ",ORÇAMENTO.CodBarra)))</f>
        <v>SINAPI 98525</v>
      </c>
      <c r="AF23" s="12" t="str">
        <f ca="1">IF(ISERROR(INDIRECT(ORÇAMENTO.BancoRef)),"(abra o arquivo 'Referência "&amp;Excel_BuiltIn_Database&amp;".xlsm)",IF(OR($C23&lt;&gt;"S",ORÇAMENTO.CodBarra=""),"(Sem Código)",IF(ISERROR(MATCH($AE23,INDIRECT(ORÇAMENTO.BancoRef),0)),"(Código não identificado nas referências)",MATCH($AE23,INDIRECT(ORÇAMENTO.BancoRef),0))))</f>
        <v>(abra o arquivo 'Referência 12-2024.xlsm)</v>
      </c>
      <c r="AG23" s="429">
        <f ca="1">ROUND(IF(DESONERACAO="sim",REFERENCIA.Desonerado,REFERENCIA.NaoDesonerado),2)</f>
        <v>0</v>
      </c>
      <c r="AH23" s="430">
        <f t="shared" ca="1" si="15"/>
        <v>0.31190000000000001</v>
      </c>
      <c r="AJ23" s="432">
        <v>3710</v>
      </c>
      <c r="AL23" s="440"/>
      <c r="AM23" s="337">
        <f t="shared" ca="1" si="0"/>
        <v>0</v>
      </c>
      <c r="AN23" s="471">
        <f t="shared" ca="1" si="16"/>
        <v>0</v>
      </c>
    </row>
    <row r="24" spans="1:40" x14ac:dyDescent="0.2">
      <c r="A24" t="str">
        <f t="shared" si="1"/>
        <v>S</v>
      </c>
      <c r="B24">
        <f t="shared" ca="1" si="2"/>
        <v>2</v>
      </c>
      <c r="C24" t="str">
        <f t="shared" ca="1" si="3"/>
        <v>S</v>
      </c>
      <c r="D24">
        <f t="shared" ca="1" si="4"/>
        <v>0</v>
      </c>
      <c r="E24">
        <f ca="1">IF($C24=1,OFFSET(E24,-1,0)+MAX(1,COUNTIF(QCI!$A$13:$A$24,OFFSET(ORÇAMENTO!E24,-1,0))),OFFSET(E24,-1,0))</f>
        <v>1</v>
      </c>
      <c r="F24">
        <f t="shared" ca="1" si="5"/>
        <v>2</v>
      </c>
      <c r="G24">
        <f t="shared" ca="1" si="6"/>
        <v>0</v>
      </c>
      <c r="H24">
        <f t="shared" ca="1" si="7"/>
        <v>0</v>
      </c>
      <c r="I24">
        <f t="shared" ca="1" si="8"/>
        <v>0</v>
      </c>
      <c r="J24">
        <f t="shared" ca="1" si="9"/>
        <v>0</v>
      </c>
      <c r="K24">
        <f ca="1">IF(OR($C24="S",$C24=0),0,MATCH(OFFSET($D24,0,$C24)+IF($C24&lt;&gt;1,1,COUNTIF(QCI!$A$13:$A$24,ORÇAMENTO!E24)),OFFSET($D24,1,$C24,ROW($C$405)-ROW($C24)),0))</f>
        <v>0</v>
      </c>
      <c r="L24" s="115" t="str">
        <f t="shared" ca="1" si="10"/>
        <v/>
      </c>
      <c r="M24" s="116" t="s">
        <v>706</v>
      </c>
      <c r="N24" s="117" t="str">
        <f t="shared" ca="1" si="11"/>
        <v>Serviço</v>
      </c>
      <c r="O24" s="118" t="str">
        <f t="shared" ca="1" si="12"/>
        <v>-</v>
      </c>
      <c r="P24" s="119" t="s">
        <v>1313</v>
      </c>
      <c r="Q24" s="120" t="s">
        <v>948</v>
      </c>
      <c r="R24" s="121" t="s">
        <v>1274</v>
      </c>
      <c r="S24" s="122" t="s">
        <v>1642</v>
      </c>
      <c r="T24" s="123">
        <f ca="1">OFFSET(CÁLCULO!H$15,ROW($T24)-ROW(T$15),0)</f>
        <v>6</v>
      </c>
      <c r="U24" s="124"/>
      <c r="V24" s="125" t="s">
        <v>663</v>
      </c>
      <c r="W24" s="123">
        <f ca="1">IF($C24="S",ROUND(IF(TIPOORCAMENTO="Proposto",ORÇAMENTO.CustoUnitario*(1+$AH24),ORÇAMENTO.PrecoUnitarioLicitado),15-13*$AF$10),0)</f>
        <v>0</v>
      </c>
      <c r="X24" s="126" cm="1">
        <f t="array" aca="1" ref="X24" ca="1">IF($C24="S",IF(OR(Import.TipoArredondamento&lt;&gt;"TransfereGOV",ACOMPANHAMENTO="BM"),VTOTAL1,SUM(OFFSET(CÁLCULO!$AA$15,ROW($X24)-ROW($X$15),1):OFFSET(CÁLCULO!$AL$15,ROW($X24)-ROW($X$15),-1))),IF($C24=0,0,ROUND(SomaAgrup,15-13*$AF$11)))</f>
        <v>0</v>
      </c>
      <c r="Y24" s="127" t="s">
        <v>752</v>
      </c>
      <c r="Z24" t="str">
        <f t="shared" ca="1" si="13"/>
        <v/>
      </c>
      <c r="AA24" s="128">
        <f ca="1">IF($C24="S",IF($Z24="CP",$X24,IF($Z24="RA",(($X24)*QCI!$AA$3),0)),SomaAgrup)</f>
        <v>0</v>
      </c>
      <c r="AB24" s="129">
        <f t="shared" ca="1" si="14"/>
        <v>0</v>
      </c>
      <c r="AC24" s="567" t="str">
        <f ca="1">IF($N24=""," ",
IF(AND($C24&lt;&gt;"S",OR($R24="",$R24="(digite a descrição aqui)")),"DESCRIÇÃO",
IF(AND($C24="S",OR($Q24&lt;&gt;0,$T24&gt;0,$U24&gt;0),$P24=0),"FONTE",
IF(AND($C24="S",$P24&lt;&gt;0,OR($T24&gt;0,$U24&gt;0),$Q24=0),"CÓDIGO",
IF(AND($C24="S",$P24&lt;&gt;0,$Q24&lt;&gt;0,$R24="(Código não identificado nas referências)"),"CÓDIGO N/ID",
IF(AND($C24="S",OR($R24="",$R24="(digite a descrição aqui)"),OR($Q24&lt;&gt;0,$T24&gt;0,$U24&gt;0)),"DESCRIÇÃO",
IF(AND($C24="S",$P24&lt;&gt;0,$Q24&lt;&gt;0,$S24=""),"UNIDADE",
IF(AND($C24="S",$P24&lt;&gt;0,$Q24&lt;&gt;0,$U24=0),"SEM CUSTO",
IF(AND(TIPOORCAMENTO="Licitado",$AL24=0,$AN24&gt;0),"SEM PREÇO",
IF(AND($C24="S",$P24&lt;&gt;0,$Q24&lt;&gt;0,$U24&gt;0,$V24=0),"BDI",
IF(OR(AND(TIPOORCAMENTO="Proposto",$AG24&lt;&gt;"",$AG24&gt;0,ORÇAMENTO.CustoUnitario&gt;$AG24),AND(TIPOORCAMENTO="LICITADO",ORÇAMENTO.PrecoUnitarioLicitado&gt;$AN24)),"ACIMA REF.",
IF(AND($C24="S",$P24&lt;&gt;0,$Q24&lt;&gt;0,$T24=0,$U24&gt;0),"QUANT.",
IF(AND(Import.TipoArredondamento="TransfereGOV",$L24="F",$C24="S",LEN($Q24)&gt;13),"Código &gt;13",
IF(AND(Import.TipoArredondamento="TransfereGOV",$L24="F",$C24&lt;&gt;"S",LEN($R24)&gt;100),"Descrição &gt;100",
IF(AND(Import.TipoArredondamento="TransfereGOV",$L24="F",$C24="S",LEN($R24)&gt;500),"Descrição &gt;500",
IF(AND(Import.TipoArredondamento="TransfereGOV",$L24="F",$C24="S",LEFT(TRIM(UPPER($P24)),6)&lt;&gt;"SINAPI",ISNA(VLOOKUP(TRIM(UPPER($S24)),ListaTgov.Unidades,1,FALSE))),"Unid. Não Disp",
" "))))))))))))))))</f>
        <v>SEM CUSTO</v>
      </c>
      <c r="AD24" t="str">
        <f ca="1">IF(C24&lt;=CRONO.NivelExibicao,MAX($AD$15:OFFSET(AD24,-1,0))+IF($C24&lt;&gt;1,1,MAX(1,COUNTIF(QCI!$A$13:$A$24,OFFSET($E24,-1,0)))),"")</f>
        <v/>
      </c>
      <c r="AE24" s="7" t="str">
        <f ca="1">IF(AND($C24="S",ORÇAMENTO.CodBarra&lt;&gt;""),IF(ORÇAMENTO.Fonte="",ORÇAMENTO.CodBarra,CONCATENATE(ORÇAMENTO.Fonte," ",ORÇAMENTO.CodBarra)))</f>
        <v>Cotação 101</v>
      </c>
      <c r="AF24" s="12" t="str">
        <f ca="1">IF(ISERROR(INDIRECT(ORÇAMENTO.BancoRef)),"(abra o arquivo 'Referência "&amp;Excel_BuiltIn_Database&amp;".xlsm)",IF(OR($C24&lt;&gt;"S",ORÇAMENTO.CodBarra=""),"(Sem Código)",IF(ISERROR(MATCH($AE24,INDIRECT(ORÇAMENTO.BancoRef),0)),"(Código não identificado nas referências)",MATCH($AE24,INDIRECT(ORÇAMENTO.BancoRef),0))))</f>
        <v>(abra o arquivo 'Referência 12-2024.xlsm)</v>
      </c>
      <c r="AG24" s="429">
        <f ca="1">ROUND(IF(DESONERACAO="sim",REFERENCIA.Desonerado,REFERENCIA.NaoDesonerado),2)</f>
        <v>0</v>
      </c>
      <c r="AH24" s="430">
        <f t="shared" ca="1" si="15"/>
        <v>0.31190000000000001</v>
      </c>
      <c r="AJ24" s="432">
        <v>6</v>
      </c>
      <c r="AL24" s="440"/>
      <c r="AM24" s="337">
        <f t="shared" ca="1" si="0"/>
        <v>0</v>
      </c>
      <c r="AN24" s="471">
        <f t="shared" ca="1" si="16"/>
        <v>0</v>
      </c>
    </row>
    <row r="25" spans="1:40" x14ac:dyDescent="0.2">
      <c r="A25" t="str">
        <f t="shared" si="1"/>
        <v>S</v>
      </c>
      <c r="B25">
        <f t="shared" ca="1" si="2"/>
        <v>2</v>
      </c>
      <c r="C25" t="str">
        <f t="shared" ca="1" si="3"/>
        <v>S</v>
      </c>
      <c r="D25">
        <f t="shared" ca="1" si="4"/>
        <v>0</v>
      </c>
      <c r="E25">
        <f ca="1">IF($C25=1,OFFSET(E25,-1,0)+MAX(1,COUNTIF(QCI!$A$13:$A$24,OFFSET(ORÇAMENTO!E25,-1,0))),OFFSET(E25,-1,0))</f>
        <v>1</v>
      </c>
      <c r="F25">
        <f t="shared" ca="1" si="5"/>
        <v>2</v>
      </c>
      <c r="G25">
        <f t="shared" ca="1" si="6"/>
        <v>0</v>
      </c>
      <c r="H25">
        <f t="shared" ca="1" si="7"/>
        <v>0</v>
      </c>
      <c r="I25">
        <f t="shared" ca="1" si="8"/>
        <v>0</v>
      </c>
      <c r="J25">
        <f t="shared" ca="1" si="9"/>
        <v>0</v>
      </c>
      <c r="K25">
        <f ca="1">IF(OR($C25="S",$C25=0),0,MATCH(OFFSET($D25,0,$C25)+IF($C25&lt;&gt;1,1,COUNTIF(QCI!$A$13:$A$24,ORÇAMENTO!E25)),OFFSET($D25,1,$C25,ROW($C$405)-ROW($C25)),0))</f>
        <v>0</v>
      </c>
      <c r="L25" s="115" t="str">
        <f t="shared" ca="1" si="10"/>
        <v/>
      </c>
      <c r="M25" s="116" t="s">
        <v>706</v>
      </c>
      <c r="N25" s="117" t="str">
        <f t="shared" ca="1" si="11"/>
        <v>Serviço</v>
      </c>
      <c r="O25" s="118" t="str">
        <f t="shared" ca="1" si="12"/>
        <v>-</v>
      </c>
      <c r="P25" s="119" t="s">
        <v>751</v>
      </c>
      <c r="Q25" s="120" t="s">
        <v>949</v>
      </c>
      <c r="R25" s="121" t="s">
        <v>1328</v>
      </c>
      <c r="S25" s="122" t="s">
        <v>628</v>
      </c>
      <c r="T25" s="123">
        <f ca="1">OFFSET(CÁLCULO!H$15,ROW($T25)-ROW(T$15),0)</f>
        <v>6</v>
      </c>
      <c r="U25" s="124"/>
      <c r="V25" s="125" t="s">
        <v>663</v>
      </c>
      <c r="W25" s="123">
        <f ca="1">IF($C25="S",ROUND(IF(TIPOORCAMENTO="Proposto",ORÇAMENTO.CustoUnitario*(1+$AH25),ORÇAMENTO.PrecoUnitarioLicitado),15-13*$AF$10),0)</f>
        <v>0</v>
      </c>
      <c r="X25" s="126" cm="1">
        <f t="array" aca="1" ref="X25" ca="1">IF($C25="S",IF(OR(Import.TipoArredondamento&lt;&gt;"TransfereGOV",ACOMPANHAMENTO="BM"),VTOTAL1,SUM(OFFSET(CÁLCULO!$AA$15,ROW($X25)-ROW($X$15),1):OFFSET(CÁLCULO!$AL$15,ROW($X25)-ROW($X$15),-1))),IF($C25=0,0,ROUND(SomaAgrup,15-13*$AF$11)))</f>
        <v>0</v>
      </c>
      <c r="Y25" s="127" t="s">
        <v>752</v>
      </c>
      <c r="Z25" t="str">
        <f t="shared" ca="1" si="13"/>
        <v/>
      </c>
      <c r="AA25" s="128">
        <f ca="1">IF($C25="S",IF($Z25="CP",$X25,IF($Z25="RA",(($X25)*QCI!$AA$3),0)),SomaAgrup)</f>
        <v>0</v>
      </c>
      <c r="AB25" s="129">
        <f t="shared" ca="1" si="14"/>
        <v>0</v>
      </c>
      <c r="AC25" s="567" t="str">
        <f ca="1">IF($N25=""," ",
IF(AND($C25&lt;&gt;"S",OR($R25="",$R25="(digite a descrição aqui)")),"DESCRIÇÃO",
IF(AND($C25="S",OR($Q25&lt;&gt;0,$T25&gt;0,$U25&gt;0),$P25=0),"FONTE",
IF(AND($C25="S",$P25&lt;&gt;0,OR($T25&gt;0,$U25&gt;0),$Q25=0),"CÓDIGO",
IF(AND($C25="S",$P25&lt;&gt;0,$Q25&lt;&gt;0,$R25="(Código não identificado nas referências)"),"CÓDIGO N/ID",
IF(AND($C25="S",OR($R25="",$R25="(digite a descrição aqui)"),OR($Q25&lt;&gt;0,$T25&gt;0,$U25&gt;0)),"DESCRIÇÃO",
IF(AND($C25="S",$P25&lt;&gt;0,$Q25&lt;&gt;0,$S25=""),"UNIDADE",
IF(AND($C25="S",$P25&lt;&gt;0,$Q25&lt;&gt;0,$U25=0),"SEM CUSTO",
IF(AND(TIPOORCAMENTO="Licitado",$AL25=0,$AN25&gt;0),"SEM PREÇO",
IF(AND($C25="S",$P25&lt;&gt;0,$Q25&lt;&gt;0,$U25&gt;0,$V25=0),"BDI",
IF(OR(AND(TIPOORCAMENTO="Proposto",$AG25&lt;&gt;"",$AG25&gt;0,ORÇAMENTO.CustoUnitario&gt;$AG25),AND(TIPOORCAMENTO="LICITADO",ORÇAMENTO.PrecoUnitarioLicitado&gt;$AN25)),"ACIMA REF.",
IF(AND($C25="S",$P25&lt;&gt;0,$Q25&lt;&gt;0,$T25=0,$U25&gt;0),"QUANT.",
IF(AND(Import.TipoArredondamento="TransfereGOV",$L25="F",$C25="S",LEN($Q25)&gt;13),"Código &gt;13",
IF(AND(Import.TipoArredondamento="TransfereGOV",$L25="F",$C25&lt;&gt;"S",LEN($R25)&gt;100),"Descrição &gt;100",
IF(AND(Import.TipoArredondamento="TransfereGOV",$L25="F",$C25="S",LEN($R25)&gt;500),"Descrição &gt;500",
IF(AND(Import.TipoArredondamento="TransfereGOV",$L25="F",$C25="S",LEFT(TRIM(UPPER($P25)),6)&lt;&gt;"SINAPI",ISNA(VLOOKUP(TRIM(UPPER($S25)),ListaTgov.Unidades,1,FALSE))),"Unid. Não Disp",
" "))))))))))))))))</f>
        <v>SEM CUSTO</v>
      </c>
      <c r="AD25" t="str">
        <f ca="1">IF(C25&lt;=CRONO.NivelExibicao,MAX($AD$15:OFFSET(AD25,-1,0))+IF($C25&lt;&gt;1,1,MAX(1,COUNTIF(QCI!$A$13:$A$24,OFFSET($E25,-1,0)))),"")</f>
        <v/>
      </c>
      <c r="AE25" s="7" t="str">
        <f ca="1">IF(AND($C25="S",ORÇAMENTO.CodBarra&lt;&gt;""),IF(ORÇAMENTO.Fonte="",ORÇAMENTO.CodBarra,CONCATENATE(ORÇAMENTO.Fonte," ",ORÇAMENTO.CodBarra)))</f>
        <v>SINAPI 93563</v>
      </c>
      <c r="AF25" s="12" t="str">
        <f ca="1">IF(ISERROR(INDIRECT(ORÇAMENTO.BancoRef)),"(abra o arquivo 'Referência "&amp;Excel_BuiltIn_Database&amp;".xlsm)",IF(OR($C25&lt;&gt;"S",ORÇAMENTO.CodBarra=""),"(Sem Código)",IF(ISERROR(MATCH($AE25,INDIRECT(ORÇAMENTO.BancoRef),0)),"(Código não identificado nas referências)",MATCH($AE25,INDIRECT(ORÇAMENTO.BancoRef),0))))</f>
        <v>(abra o arquivo 'Referência 12-2024.xlsm)</v>
      </c>
      <c r="AG25" s="429">
        <f ca="1">ROUND(IF(DESONERACAO="sim",REFERENCIA.Desonerado,REFERENCIA.NaoDesonerado),2)</f>
        <v>0</v>
      </c>
      <c r="AH25" s="430">
        <f t="shared" ca="1" si="15"/>
        <v>0.31190000000000001</v>
      </c>
      <c r="AJ25" s="432">
        <v>6</v>
      </c>
      <c r="AL25" s="440"/>
      <c r="AM25" s="337">
        <f t="shared" ca="1" si="0"/>
        <v>0</v>
      </c>
      <c r="AN25" s="471">
        <f t="shared" ca="1" si="16"/>
        <v>0</v>
      </c>
    </row>
    <row r="26" spans="1:40" x14ac:dyDescent="0.2">
      <c r="A26" t="str">
        <f t="shared" si="1"/>
        <v>S</v>
      </c>
      <c r="B26">
        <f t="shared" ca="1" si="2"/>
        <v>2</v>
      </c>
      <c r="C26" t="str">
        <f t="shared" ca="1" si="3"/>
        <v>S</v>
      </c>
      <c r="D26">
        <f t="shared" ca="1" si="4"/>
        <v>0</v>
      </c>
      <c r="E26">
        <f ca="1">IF($C26=1,OFFSET(E26,-1,0)+MAX(1,COUNTIF(QCI!$A$13:$A$24,OFFSET(ORÇAMENTO!E26,-1,0))),OFFSET(E26,-1,0))</f>
        <v>1</v>
      </c>
      <c r="F26">
        <f t="shared" ca="1" si="5"/>
        <v>2</v>
      </c>
      <c r="G26">
        <f t="shared" ca="1" si="6"/>
        <v>0</v>
      </c>
      <c r="H26">
        <f t="shared" ca="1" si="7"/>
        <v>0</v>
      </c>
      <c r="I26">
        <f t="shared" ca="1" si="8"/>
        <v>0</v>
      </c>
      <c r="J26">
        <f t="shared" ca="1" si="9"/>
        <v>0</v>
      </c>
      <c r="K26">
        <f ca="1">IF(OR($C26="S",$C26=0),0,MATCH(OFFSET($D26,0,$C26)+IF($C26&lt;&gt;1,1,COUNTIF(QCI!$A$13:$A$24,ORÇAMENTO!E26)),OFFSET($D26,1,$C26,ROW($C$405)-ROW($C26)),0))</f>
        <v>0</v>
      </c>
      <c r="L26" s="115" t="str">
        <f t="shared" ca="1" si="10"/>
        <v/>
      </c>
      <c r="M26" s="116" t="s">
        <v>706</v>
      </c>
      <c r="N26" s="117" t="str">
        <f t="shared" ca="1" si="11"/>
        <v>Serviço</v>
      </c>
      <c r="O26" s="118" t="str">
        <f t="shared" ca="1" si="12"/>
        <v>-</v>
      </c>
      <c r="P26" s="119" t="s">
        <v>1314</v>
      </c>
      <c r="Q26" s="120" t="s">
        <v>950</v>
      </c>
      <c r="R26" s="121" t="s">
        <v>1275</v>
      </c>
      <c r="S26" s="122" t="s">
        <v>639</v>
      </c>
      <c r="T26" s="123">
        <f ca="1">OFFSET(CÁLCULO!H$15,ROW($T26)-ROW(T$15),0)</f>
        <v>2</v>
      </c>
      <c r="U26" s="124"/>
      <c r="V26" s="125" t="s">
        <v>663</v>
      </c>
      <c r="W26" s="123">
        <f ca="1">IF($C26="S",ROUND(IF(TIPOORCAMENTO="Proposto",ORÇAMENTO.CustoUnitario*(1+$AH26),ORÇAMENTO.PrecoUnitarioLicitado),15-13*$AF$10),0)</f>
        <v>0</v>
      </c>
      <c r="X26" s="126" cm="1">
        <f t="array" aca="1" ref="X26" ca="1">IF($C26="S",IF(OR(Import.TipoArredondamento&lt;&gt;"TransfereGOV",ACOMPANHAMENTO="BM"),VTOTAL1,SUM(OFFSET(CÁLCULO!$AA$15,ROW($X26)-ROW($X$15),1):OFFSET(CÁLCULO!$AL$15,ROW($X26)-ROW($X$15),-1))),IF($C26=0,0,ROUND(SomaAgrup,15-13*$AF$11)))</f>
        <v>0</v>
      </c>
      <c r="Y26" s="127" t="s">
        <v>752</v>
      </c>
      <c r="Z26" t="str">
        <f t="shared" ca="1" si="13"/>
        <v/>
      </c>
      <c r="AA26" s="128">
        <f ca="1">IF($C26="S",IF($Z26="CP",$X26,IF($Z26="RA",(($X26)*QCI!$AA$3),0)),SomaAgrup)</f>
        <v>0</v>
      </c>
      <c r="AB26" s="129">
        <f t="shared" ca="1" si="14"/>
        <v>0</v>
      </c>
      <c r="AC26" s="567" t="str">
        <f ca="1">IF($N26=""," ",
IF(AND($C26&lt;&gt;"S",OR($R26="",$R26="(digite a descrição aqui)")),"DESCRIÇÃO",
IF(AND($C26="S",OR($Q26&lt;&gt;0,$T26&gt;0,$U26&gt;0),$P26=0),"FONTE",
IF(AND($C26="S",$P26&lt;&gt;0,OR($T26&gt;0,$U26&gt;0),$Q26=0),"CÓDIGO",
IF(AND($C26="S",$P26&lt;&gt;0,$Q26&lt;&gt;0,$R26="(Código não identificado nas referências)"),"CÓDIGO N/ID",
IF(AND($C26="S",OR($R26="",$R26="(digite a descrição aqui)"),OR($Q26&lt;&gt;0,$T26&gt;0,$U26&gt;0)),"DESCRIÇÃO",
IF(AND($C26="S",$P26&lt;&gt;0,$Q26&lt;&gt;0,$S26=""),"UNIDADE",
IF(AND($C26="S",$P26&lt;&gt;0,$Q26&lt;&gt;0,$U26=0),"SEM CUSTO",
IF(AND(TIPOORCAMENTO="Licitado",$AL26=0,$AN26&gt;0),"SEM PREÇO",
IF(AND($C26="S",$P26&lt;&gt;0,$Q26&lt;&gt;0,$U26&gt;0,$V26=0),"BDI",
IF(OR(AND(TIPOORCAMENTO="Proposto",$AG26&lt;&gt;"",$AG26&gt;0,ORÇAMENTO.CustoUnitario&gt;$AG26),AND(TIPOORCAMENTO="LICITADO",ORÇAMENTO.PrecoUnitarioLicitado&gt;$AN26)),"ACIMA REF.",
IF(AND($C26="S",$P26&lt;&gt;0,$Q26&lt;&gt;0,$T26=0,$U26&gt;0),"QUANT.",
IF(AND(Import.TipoArredondamento="TransfereGOV",$L26="F",$C26="S",LEN($Q26)&gt;13),"Código &gt;13",
IF(AND(Import.TipoArredondamento="TransfereGOV",$L26="F",$C26&lt;&gt;"S",LEN($R26)&gt;100),"Descrição &gt;100",
IF(AND(Import.TipoArredondamento="TransfereGOV",$L26="F",$C26="S",LEN($R26)&gt;500),"Descrição &gt;500",
IF(AND(Import.TipoArredondamento="TransfereGOV",$L26="F",$C26="S",LEFT(TRIM(UPPER($P26)),6)&lt;&gt;"SINAPI",ISNA(VLOOKUP(TRIM(UPPER($S26)),ListaTgov.Unidades,1,FALSE))),"Unid. Não Disp",
" "))))))))))))))))</f>
        <v>SEM CUSTO</v>
      </c>
      <c r="AD26" t="str">
        <f ca="1">IF(C26&lt;=CRONO.NivelExibicao,MAX($AD$15:OFFSET(AD26,-1,0))+IF($C26&lt;&gt;1,1,MAX(1,COUNTIF(QCI!$A$13:$A$24,OFFSET($E26,-1,0)))),"")</f>
        <v/>
      </c>
      <c r="AE26" s="7" t="str">
        <f ca="1">IF(AND($C26="S",ORÇAMENTO.CodBarra&lt;&gt;""),IF(ORÇAMENTO.Fonte="",ORÇAMENTO.CodBarra,CONCATENATE(ORÇAMENTO.Fonte," ",ORÇAMENTO.CodBarra)))</f>
        <v>DEINFRA/SC 43223</v>
      </c>
      <c r="AF26" s="12" t="str">
        <f ca="1">IF(ISERROR(INDIRECT(ORÇAMENTO.BancoRef)),"(abra o arquivo 'Referência "&amp;Excel_BuiltIn_Database&amp;".xlsm)",IF(OR($C26&lt;&gt;"S",ORÇAMENTO.CodBarra=""),"(Sem Código)",IF(ISERROR(MATCH($AE26,INDIRECT(ORÇAMENTO.BancoRef),0)),"(Código não identificado nas referências)",MATCH($AE26,INDIRECT(ORÇAMENTO.BancoRef),0))))</f>
        <v>(abra o arquivo 'Referência 12-2024.xlsm)</v>
      </c>
      <c r="AG26" s="429">
        <f ca="1">ROUND(IF(DESONERACAO="sim",REFERENCIA.Desonerado,REFERENCIA.NaoDesonerado),2)</f>
        <v>0</v>
      </c>
      <c r="AH26" s="430">
        <f t="shared" ca="1" si="15"/>
        <v>0.31190000000000001</v>
      </c>
      <c r="AJ26" s="432">
        <v>2</v>
      </c>
      <c r="AL26" s="440"/>
      <c r="AM26" s="337">
        <f t="shared" ca="1" si="0"/>
        <v>0</v>
      </c>
      <c r="AN26" s="471">
        <f t="shared" ca="1" si="16"/>
        <v>0</v>
      </c>
    </row>
    <row r="27" spans="1:40" x14ac:dyDescent="0.2">
      <c r="A27" t="str">
        <f t="shared" si="1"/>
        <v>S</v>
      </c>
      <c r="B27">
        <f t="shared" ca="1" si="2"/>
        <v>2</v>
      </c>
      <c r="C27" t="str">
        <f t="shared" ca="1" si="3"/>
        <v>S</v>
      </c>
      <c r="D27">
        <f t="shared" ca="1" si="4"/>
        <v>0</v>
      </c>
      <c r="E27">
        <f ca="1">IF($C27=1,OFFSET(E27,-1,0)+MAX(1,COUNTIF(QCI!$A$13:$A$24,OFFSET(ORÇAMENTO!E27,-1,0))),OFFSET(E27,-1,0))</f>
        <v>1</v>
      </c>
      <c r="F27">
        <f t="shared" ca="1" si="5"/>
        <v>2</v>
      </c>
      <c r="G27">
        <f t="shared" ca="1" si="6"/>
        <v>0</v>
      </c>
      <c r="H27">
        <f t="shared" ca="1" si="7"/>
        <v>0</v>
      </c>
      <c r="I27">
        <f t="shared" ca="1" si="8"/>
        <v>0</v>
      </c>
      <c r="J27">
        <f t="shared" ca="1" si="9"/>
        <v>0</v>
      </c>
      <c r="K27">
        <f ca="1">IF(OR($C27="S",$C27=0),0,MATCH(OFFSET($D27,0,$C27)+IF($C27&lt;&gt;1,1,COUNTIF(QCI!$A$13:$A$24,ORÇAMENTO!E27)),OFFSET($D27,1,$C27,ROW($C$405)-ROW($C27)),0))</f>
        <v>0</v>
      </c>
      <c r="L27" s="115" t="str">
        <f t="shared" ca="1" si="10"/>
        <v/>
      </c>
      <c r="M27" s="116" t="s">
        <v>706</v>
      </c>
      <c r="N27" s="117" t="str">
        <f t="shared" ca="1" si="11"/>
        <v>Serviço</v>
      </c>
      <c r="O27" s="118" t="str">
        <f t="shared" ca="1" si="12"/>
        <v>-</v>
      </c>
      <c r="P27" s="119" t="s">
        <v>751</v>
      </c>
      <c r="Q27" s="120" t="s">
        <v>951</v>
      </c>
      <c r="R27" s="121" t="s">
        <v>1329</v>
      </c>
      <c r="S27" s="122" t="s">
        <v>623</v>
      </c>
      <c r="T27" s="123">
        <f ca="1">OFFSET(CÁLCULO!H$15,ROW($T27)-ROW(T$15),0)</f>
        <v>402.6</v>
      </c>
      <c r="U27" s="124"/>
      <c r="V27" s="125" t="s">
        <v>663</v>
      </c>
      <c r="W27" s="123">
        <f ca="1">IF($C27="S",ROUND(IF(TIPOORCAMENTO="Proposto",ORÇAMENTO.CustoUnitario*(1+$AH27),ORÇAMENTO.PrecoUnitarioLicitado),15-13*$AF$10),0)</f>
        <v>0</v>
      </c>
      <c r="X27" s="126" cm="1">
        <f t="array" aca="1" ref="X27" ca="1">IF($C27="S",IF(OR(Import.TipoArredondamento&lt;&gt;"TransfereGOV",ACOMPANHAMENTO="BM"),VTOTAL1,SUM(OFFSET(CÁLCULO!$AA$15,ROW($X27)-ROW($X$15),1):OFFSET(CÁLCULO!$AL$15,ROW($X27)-ROW($X$15),-1))),IF($C27=0,0,ROUND(SomaAgrup,15-13*$AF$11)))</f>
        <v>0</v>
      </c>
      <c r="Y27" s="127" t="s">
        <v>752</v>
      </c>
      <c r="Z27" t="str">
        <f t="shared" ca="1" si="13"/>
        <v/>
      </c>
      <c r="AA27" s="128">
        <f ca="1">IF($C27="S",IF($Z27="CP",$X27,IF($Z27="RA",(($X27)*QCI!$AA$3),0)),SomaAgrup)</f>
        <v>0</v>
      </c>
      <c r="AB27" s="129">
        <f t="shared" ca="1" si="14"/>
        <v>0</v>
      </c>
      <c r="AC27" s="567" t="str">
        <f ca="1">IF($N27=""," ",
IF(AND($C27&lt;&gt;"S",OR($R27="",$R27="(digite a descrição aqui)")),"DESCRIÇÃO",
IF(AND($C27="S",OR($Q27&lt;&gt;0,$T27&gt;0,$U27&gt;0),$P27=0),"FONTE",
IF(AND($C27="S",$P27&lt;&gt;0,OR($T27&gt;0,$U27&gt;0),$Q27=0),"CÓDIGO",
IF(AND($C27="S",$P27&lt;&gt;0,$Q27&lt;&gt;0,$R27="(Código não identificado nas referências)"),"CÓDIGO N/ID",
IF(AND($C27="S",OR($R27="",$R27="(digite a descrição aqui)"),OR($Q27&lt;&gt;0,$T27&gt;0,$U27&gt;0)),"DESCRIÇÃO",
IF(AND($C27="S",$P27&lt;&gt;0,$Q27&lt;&gt;0,$S27=""),"UNIDADE",
IF(AND($C27="S",$P27&lt;&gt;0,$Q27&lt;&gt;0,$U27=0),"SEM CUSTO",
IF(AND(TIPOORCAMENTO="Licitado",$AL27=0,$AN27&gt;0),"SEM PREÇO",
IF(AND($C27="S",$P27&lt;&gt;0,$Q27&lt;&gt;0,$U27&gt;0,$V27=0),"BDI",
IF(OR(AND(TIPOORCAMENTO="Proposto",$AG27&lt;&gt;"",$AG27&gt;0,ORÇAMENTO.CustoUnitario&gt;$AG27),AND(TIPOORCAMENTO="LICITADO",ORÇAMENTO.PrecoUnitarioLicitado&gt;$AN27)),"ACIMA REF.",
IF(AND($C27="S",$P27&lt;&gt;0,$Q27&lt;&gt;0,$T27=0,$U27&gt;0),"QUANT.",
IF(AND(Import.TipoArredondamento="TransfereGOV",$L27="F",$C27="S",LEN($Q27)&gt;13),"Código &gt;13",
IF(AND(Import.TipoArredondamento="TransfereGOV",$L27="F",$C27&lt;&gt;"S",LEN($R27)&gt;100),"Descrição &gt;100",
IF(AND(Import.TipoArredondamento="TransfereGOV",$L27="F",$C27="S",LEN($R27)&gt;500),"Descrição &gt;500",
IF(AND(Import.TipoArredondamento="TransfereGOV",$L27="F",$C27="S",LEFT(TRIM(UPPER($P27)),6)&lt;&gt;"SINAPI",ISNA(VLOOKUP(TRIM(UPPER($S27)),ListaTgov.Unidades,1,FALSE))),"Unid. Não Disp",
" "))))))))))))))))</f>
        <v>SEM CUSTO</v>
      </c>
      <c r="AD27" t="str">
        <f ca="1">IF(C27&lt;=CRONO.NivelExibicao,MAX($AD$15:OFFSET(AD27,-1,0))+IF($C27&lt;&gt;1,1,MAX(1,COUNTIF(QCI!$A$13:$A$24,OFFSET($E27,-1,0)))),"")</f>
        <v/>
      </c>
      <c r="AE27" s="7" t="str">
        <f ca="1">IF(AND($C27="S",ORÇAMENTO.CodBarra&lt;&gt;""),IF(ORÇAMENTO.Fonte="",ORÇAMENTO.CodBarra,CONCATENATE(ORÇAMENTO.Fonte," ",ORÇAMENTO.CodBarra)))</f>
        <v>SINAPI 98458</v>
      </c>
      <c r="AF27" s="12" t="str">
        <f ca="1">IF(ISERROR(INDIRECT(ORÇAMENTO.BancoRef)),"(abra o arquivo 'Referência "&amp;Excel_BuiltIn_Database&amp;".xlsm)",IF(OR($C27&lt;&gt;"S",ORÇAMENTO.CodBarra=""),"(Sem Código)",IF(ISERROR(MATCH($AE27,INDIRECT(ORÇAMENTO.BancoRef),0)),"(Código não identificado nas referências)",MATCH($AE27,INDIRECT(ORÇAMENTO.BancoRef),0))))</f>
        <v>(abra o arquivo 'Referência 12-2024.xlsm)</v>
      </c>
      <c r="AG27" s="429">
        <f ca="1">ROUND(IF(DESONERACAO="sim",REFERENCIA.Desonerado,REFERENCIA.NaoDesonerado),2)</f>
        <v>0</v>
      </c>
      <c r="AH27" s="430">
        <f t="shared" ca="1" si="15"/>
        <v>0.31190000000000001</v>
      </c>
      <c r="AJ27" s="432">
        <v>402.6</v>
      </c>
      <c r="AL27" s="440"/>
      <c r="AM27" s="337">
        <f t="shared" ca="1" si="0"/>
        <v>0</v>
      </c>
      <c r="AN27" s="471">
        <f t="shared" ca="1" si="16"/>
        <v>0</v>
      </c>
    </row>
    <row r="28" spans="1:40" x14ac:dyDescent="0.2">
      <c r="A28">
        <f t="shared" si="1"/>
        <v>2</v>
      </c>
      <c r="B28">
        <f t="shared" ca="1" si="2"/>
        <v>2</v>
      </c>
      <c r="C28">
        <f t="shared" ca="1" si="3"/>
        <v>2</v>
      </c>
      <c r="D28">
        <f t="shared" ca="1" si="4"/>
        <v>6</v>
      </c>
      <c r="E28">
        <f ca="1">IF($C28=1,OFFSET(E28,-1,0)+MAX(1,COUNTIF(QCI!$A$13:$A$24,OFFSET(ORÇAMENTO!E28,-1,0))),OFFSET(E28,-1,0))</f>
        <v>1</v>
      </c>
      <c r="F28">
        <f t="shared" ca="1" si="5"/>
        <v>3</v>
      </c>
      <c r="G28">
        <f t="shared" ca="1" si="6"/>
        <v>0</v>
      </c>
      <c r="H28">
        <f t="shared" ca="1" si="7"/>
        <v>0</v>
      </c>
      <c r="I28">
        <f t="shared" ca="1" si="8"/>
        <v>0</v>
      </c>
      <c r="J28">
        <f t="shared" ca="1" si="9"/>
        <v>377</v>
      </c>
      <c r="K28">
        <f ca="1">IF(OR($C28="S",$C28=0),0,MATCH(OFFSET($D28,0,$C28)+IF($C28&lt;&gt;1,1,COUNTIF(QCI!$A$13:$A$24,ORÇAMENTO!E28)),OFFSET($D28,1,$C28,ROW($C$405)-ROW($C28)),0))</f>
        <v>6</v>
      </c>
      <c r="L28" s="115" t="str">
        <f t="shared" ca="1" si="10"/>
        <v>F</v>
      </c>
      <c r="M28" s="116" t="s">
        <v>703</v>
      </c>
      <c r="N28" s="117" t="str">
        <f t="shared" ca="1" si="11"/>
        <v>Nível 2</v>
      </c>
      <c r="O28" s="118" t="str">
        <f t="shared" ca="1" si="12"/>
        <v>1.3.</v>
      </c>
      <c r="P28" s="119" t="s">
        <v>751</v>
      </c>
      <c r="Q28" s="120"/>
      <c r="R28" s="121" t="s">
        <v>1276</v>
      </c>
      <c r="S28" s="122" t="s">
        <v>689</v>
      </c>
      <c r="T28" s="123">
        <f ca="1">OFFSET(CÁLCULO!H$15,ROW($T28)-ROW(T$15),0)</f>
        <v>0</v>
      </c>
      <c r="U28" s="124"/>
      <c r="V28" s="125" t="s">
        <v>663</v>
      </c>
      <c r="W28" s="123">
        <f ca="1">IF($C28="S",ROUND(IF(TIPOORCAMENTO="Proposto",ORÇAMENTO.CustoUnitario*(1+$AH28),ORÇAMENTO.PrecoUnitarioLicitado),15-13*$AF$10),0)</f>
        <v>0</v>
      </c>
      <c r="X28" s="126" cm="1">
        <f t="array" aca="1" ref="X28" ca="1">IF($C28="S",IF(OR(Import.TipoArredondamento&lt;&gt;"TransfereGOV",ACOMPANHAMENTO="BM"),VTOTAL1,SUM(OFFSET(CÁLCULO!$AA$15,ROW($X28)-ROW($X$15),1):OFFSET(CÁLCULO!$AL$15,ROW($X28)-ROW($X$15),-1))),IF($C28=0,0,ROUND(SomaAgrup,15-13*$AF$11)))</f>
        <v>0</v>
      </c>
      <c r="Y28" s="127" t="s">
        <v>752</v>
      </c>
      <c r="Z28" t="str">
        <f t="shared" ca="1" si="13"/>
        <v/>
      </c>
      <c r="AA28" s="128">
        <f ca="1">IF($C28="S",IF($Z28="CP",$X28,IF($Z28="RA",(($X28)*QCI!$AA$3),0)),SomaAgrup)</f>
        <v>0</v>
      </c>
      <c r="AB28" s="129">
        <f t="shared" ca="1" si="14"/>
        <v>0</v>
      </c>
      <c r="AC28" s="567" t="str">
        <f ca="1">IF($N28=""," ",
IF(AND($C28&lt;&gt;"S",OR($R28="",$R28="(digite a descrição aqui)")),"DESCRIÇÃO",
IF(AND($C28="S",OR($Q28&lt;&gt;0,$T28&gt;0,$U28&gt;0),$P28=0),"FONTE",
IF(AND($C28="S",$P28&lt;&gt;0,OR($T28&gt;0,$U28&gt;0),$Q28=0),"CÓDIGO",
IF(AND($C28="S",$P28&lt;&gt;0,$Q28&lt;&gt;0,$R28="(Código não identificado nas referências)"),"CÓDIGO N/ID",
IF(AND($C28="S",OR($R28="",$R28="(digite a descrição aqui)"),OR($Q28&lt;&gt;0,$T28&gt;0,$U28&gt;0)),"DESCRIÇÃO",
IF(AND($C28="S",$P28&lt;&gt;0,$Q28&lt;&gt;0,$S28=""),"UNIDADE",
IF(AND($C28="S",$P28&lt;&gt;0,$Q28&lt;&gt;0,$U28=0),"SEM CUSTO",
IF(AND(TIPOORCAMENTO="Licitado",$AL28=0,$AN28&gt;0),"SEM PREÇO",
IF(AND($C28="S",$P28&lt;&gt;0,$Q28&lt;&gt;0,$U28&gt;0,$V28=0),"BDI",
IF(OR(AND(TIPOORCAMENTO="Proposto",$AG28&lt;&gt;"",$AG28&gt;0,ORÇAMENTO.CustoUnitario&gt;$AG28),AND(TIPOORCAMENTO="LICITADO",ORÇAMENTO.PrecoUnitarioLicitado&gt;$AN28)),"ACIMA REF.",
IF(AND($C28="S",$P28&lt;&gt;0,$Q28&lt;&gt;0,$T28=0,$U28&gt;0),"QUANT.",
IF(AND(Import.TipoArredondamento="TransfereGOV",$L28="F",$C28="S",LEN($Q28)&gt;13),"Código &gt;13",
IF(AND(Import.TipoArredondamento="TransfereGOV",$L28="F",$C28&lt;&gt;"S",LEN($R28)&gt;100),"Descrição &gt;100",
IF(AND(Import.TipoArredondamento="TransfereGOV",$L28="F",$C28="S",LEN($R28)&gt;500),"Descrição &gt;500",
IF(AND(Import.TipoArredondamento="TransfereGOV",$L28="F",$C28="S",LEFT(TRIM(UPPER($P28)),6)&lt;&gt;"SINAPI",ISNA(VLOOKUP(TRIM(UPPER($S28)),ListaTgov.Unidades,1,FALSE))),"Unid. Não Disp",
" "))))))))))))))))</f>
        <v xml:space="preserve"> </v>
      </c>
      <c r="AD28">
        <f ca="1">IF(C28&lt;=CRONO.NivelExibicao,MAX($AD$15:OFFSET(AD28,-1,0))+IF($C28&lt;&gt;1,1,MAX(1,COUNTIF(QCI!$A$13:$A$24,OFFSET($E28,-1,0)))),"")</f>
        <v>4</v>
      </c>
      <c r="AE28" s="7" t="b">
        <f ca="1">IF(AND($C28="S",ORÇAMENTO.CodBarra&lt;&gt;""),IF(ORÇAMENTO.Fonte="",ORÇAMENTO.CodBarra,CONCATENATE(ORÇAMENTO.Fonte," ",ORÇAMENTO.CodBarra)))</f>
        <v>0</v>
      </c>
      <c r="AF28" s="12" t="str">
        <f ca="1">IF(ISERROR(INDIRECT(ORÇAMENTO.BancoRef)),"(abra o arquivo 'Referência "&amp;Excel_BuiltIn_Database&amp;".xlsm)",IF(OR($C28&lt;&gt;"S",ORÇAMENTO.CodBarra=""),"(Sem Código)",IF(ISERROR(MATCH($AE28,INDIRECT(ORÇAMENTO.BancoRef),0)),"(Código não identificado nas referências)",MATCH($AE28,INDIRECT(ORÇAMENTO.BancoRef),0))))</f>
        <v>(abra o arquivo 'Referência 12-2024.xlsm)</v>
      </c>
      <c r="AG28" s="429">
        <f ca="1">ROUND(IF(DESONERACAO="sim",REFERENCIA.Desonerado,REFERENCIA.NaoDesonerado),2)</f>
        <v>0</v>
      </c>
      <c r="AH28" s="430">
        <f t="shared" ca="1" si="15"/>
        <v>0.31190000000000001</v>
      </c>
      <c r="AJ28" s="432"/>
      <c r="AL28" s="440"/>
      <c r="AM28" s="337">
        <f t="shared" ca="1" si="0"/>
        <v>0</v>
      </c>
      <c r="AN28" s="471">
        <f t="shared" ca="1" si="16"/>
        <v>0</v>
      </c>
    </row>
    <row r="29" spans="1:40" ht="38.25" x14ac:dyDescent="0.2">
      <c r="A29" t="str">
        <f t="shared" si="1"/>
        <v>S</v>
      </c>
      <c r="B29">
        <f t="shared" ca="1" si="2"/>
        <v>2</v>
      </c>
      <c r="C29" t="str">
        <f t="shared" ca="1" si="3"/>
        <v>S</v>
      </c>
      <c r="D29">
        <f t="shared" ca="1" si="4"/>
        <v>0</v>
      </c>
      <c r="E29">
        <f ca="1">IF($C29=1,OFFSET(E29,-1,0)+MAX(1,COUNTIF(QCI!$A$13:$A$24,OFFSET(ORÇAMENTO!E29,-1,0))),OFFSET(E29,-1,0))</f>
        <v>1</v>
      </c>
      <c r="F29">
        <f t="shared" ca="1" si="5"/>
        <v>3</v>
      </c>
      <c r="G29">
        <f t="shared" ca="1" si="6"/>
        <v>0</v>
      </c>
      <c r="H29">
        <f t="shared" ca="1" si="7"/>
        <v>0</v>
      </c>
      <c r="I29">
        <f t="shared" ca="1" si="8"/>
        <v>0</v>
      </c>
      <c r="J29">
        <f t="shared" ca="1" si="9"/>
        <v>0</v>
      </c>
      <c r="K29">
        <f ca="1">IF(OR($C29="S",$C29=0),0,MATCH(OFFSET($D29,0,$C29)+IF($C29&lt;&gt;1,1,COUNTIF(QCI!$A$13:$A$24,ORÇAMENTO!E29)),OFFSET($D29,1,$C29,ROW($C$405)-ROW($C29)),0))</f>
        <v>0</v>
      </c>
      <c r="L29" s="115" t="str">
        <f t="shared" ca="1" si="10"/>
        <v/>
      </c>
      <c r="M29" s="116" t="s">
        <v>706</v>
      </c>
      <c r="N29" s="117" t="str">
        <f t="shared" ca="1" si="11"/>
        <v>Serviço</v>
      </c>
      <c r="O29" s="118" t="str">
        <f t="shared" ca="1" si="12"/>
        <v>-</v>
      </c>
      <c r="P29" s="119" t="s">
        <v>751</v>
      </c>
      <c r="Q29" s="120" t="s">
        <v>952</v>
      </c>
      <c r="R29" s="121" t="s">
        <v>1330</v>
      </c>
      <c r="S29" s="122" t="s">
        <v>621</v>
      </c>
      <c r="T29" s="123">
        <f ca="1">OFFSET(CÁLCULO!H$15,ROW($T29)-ROW(T$15),0)</f>
        <v>215</v>
      </c>
      <c r="U29" s="124"/>
      <c r="V29" s="125" t="s">
        <v>663</v>
      </c>
      <c r="W29" s="123">
        <f ca="1">IF($C29="S",ROUND(IF(TIPOORCAMENTO="Proposto",ORÇAMENTO.CustoUnitario*(1+$AH29),ORÇAMENTO.PrecoUnitarioLicitado),15-13*$AF$10),0)</f>
        <v>0</v>
      </c>
      <c r="X29" s="126" cm="1">
        <f t="array" aca="1" ref="X29" ca="1">IF($C29="S",IF(OR(Import.TipoArredondamento&lt;&gt;"TransfereGOV",ACOMPANHAMENTO="BM"),VTOTAL1,SUM(OFFSET(CÁLCULO!$AA$15,ROW($X29)-ROW($X$15),1):OFFSET(CÁLCULO!$AL$15,ROW($X29)-ROW($X$15),-1))),IF($C29=0,0,ROUND(SomaAgrup,15-13*$AF$11)))</f>
        <v>0</v>
      </c>
      <c r="Y29" s="127" t="s">
        <v>752</v>
      </c>
      <c r="Z29" t="str">
        <f t="shared" ca="1" si="13"/>
        <v/>
      </c>
      <c r="AA29" s="128">
        <f ca="1">IF($C29="S",IF($Z29="CP",$X29,IF($Z29="RA",(($X29)*QCI!$AA$3),0)),SomaAgrup)</f>
        <v>0</v>
      </c>
      <c r="AB29" s="129">
        <f t="shared" ca="1" si="14"/>
        <v>0</v>
      </c>
      <c r="AC29" s="567" t="str">
        <f ca="1">IF($N29=""," ",
IF(AND($C29&lt;&gt;"S",OR($R29="",$R29="(digite a descrição aqui)")),"DESCRIÇÃO",
IF(AND($C29="S",OR($Q29&lt;&gt;0,$T29&gt;0,$U29&gt;0),$P29=0),"FONTE",
IF(AND($C29="S",$P29&lt;&gt;0,OR($T29&gt;0,$U29&gt;0),$Q29=0),"CÓDIGO",
IF(AND($C29="S",$P29&lt;&gt;0,$Q29&lt;&gt;0,$R29="(Código não identificado nas referências)"),"CÓDIGO N/ID",
IF(AND($C29="S",OR($R29="",$R29="(digite a descrição aqui)"),OR($Q29&lt;&gt;0,$T29&gt;0,$U29&gt;0)),"DESCRIÇÃO",
IF(AND($C29="S",$P29&lt;&gt;0,$Q29&lt;&gt;0,$S29=""),"UNIDADE",
IF(AND($C29="S",$P29&lt;&gt;0,$Q29&lt;&gt;0,$U29=0),"SEM CUSTO",
IF(AND(TIPOORCAMENTO="Licitado",$AL29=0,$AN29&gt;0),"SEM PREÇO",
IF(AND($C29="S",$P29&lt;&gt;0,$Q29&lt;&gt;0,$U29&gt;0,$V29=0),"BDI",
IF(OR(AND(TIPOORCAMENTO="Proposto",$AG29&lt;&gt;"",$AG29&gt;0,ORÇAMENTO.CustoUnitario&gt;$AG29),AND(TIPOORCAMENTO="LICITADO",ORÇAMENTO.PrecoUnitarioLicitado&gt;$AN29)),"ACIMA REF.",
IF(AND($C29="S",$P29&lt;&gt;0,$Q29&lt;&gt;0,$T29=0,$U29&gt;0),"QUANT.",
IF(AND(Import.TipoArredondamento="TransfereGOV",$L29="F",$C29="S",LEN($Q29)&gt;13),"Código &gt;13",
IF(AND(Import.TipoArredondamento="TransfereGOV",$L29="F",$C29&lt;&gt;"S",LEN($R29)&gt;100),"Descrição &gt;100",
IF(AND(Import.TipoArredondamento="TransfereGOV",$L29="F",$C29="S",LEN($R29)&gt;500),"Descrição &gt;500",
IF(AND(Import.TipoArredondamento="TransfereGOV",$L29="F",$C29="S",LEFT(TRIM(UPPER($P29)),6)&lt;&gt;"SINAPI",ISNA(VLOOKUP(TRIM(UPPER($S29)),ListaTgov.Unidades,1,FALSE))),"Unid. Não Disp",
" "))))))))))))))))</f>
        <v>SEM CUSTO</v>
      </c>
      <c r="AD29" t="str">
        <f ca="1">IF(C29&lt;=CRONO.NivelExibicao,MAX($AD$15:OFFSET(AD29,-1,0))+IF($C29&lt;&gt;1,1,MAX(1,COUNTIF(QCI!$A$13:$A$24,OFFSET($E29,-1,0)))),"")</f>
        <v/>
      </c>
      <c r="AE29" s="7" t="str">
        <f ca="1">IF(AND($C29="S",ORÇAMENTO.CodBarra&lt;&gt;""),IF(ORÇAMENTO.Fonte="",ORÇAMENTO.CodBarra,CONCATENATE(ORÇAMENTO.Fonte," ",ORÇAMENTO.CodBarra)))</f>
        <v>SINAPI 99059</v>
      </c>
      <c r="AF29" s="12" t="str">
        <f ca="1">IF(ISERROR(INDIRECT(ORÇAMENTO.BancoRef)),"(abra o arquivo 'Referência "&amp;Excel_BuiltIn_Database&amp;".xlsm)",IF(OR($C29&lt;&gt;"S",ORÇAMENTO.CodBarra=""),"(Sem Código)",IF(ISERROR(MATCH($AE29,INDIRECT(ORÇAMENTO.BancoRef),0)),"(Código não identificado nas referências)",MATCH($AE29,INDIRECT(ORÇAMENTO.BancoRef),0))))</f>
        <v>(abra o arquivo 'Referência 12-2024.xlsm)</v>
      </c>
      <c r="AG29" s="429">
        <f ca="1">ROUND(IF(DESONERACAO="sim",REFERENCIA.Desonerado,REFERENCIA.NaoDesonerado),2)</f>
        <v>0</v>
      </c>
      <c r="AH29" s="430">
        <f t="shared" ca="1" si="15"/>
        <v>0.31190000000000001</v>
      </c>
      <c r="AJ29" s="432">
        <v>215</v>
      </c>
      <c r="AL29" s="440"/>
      <c r="AM29" s="337">
        <f t="shared" ca="1" si="0"/>
        <v>0</v>
      </c>
      <c r="AN29" s="471">
        <f t="shared" ca="1" si="16"/>
        <v>0</v>
      </c>
    </row>
    <row r="30" spans="1:40" ht="25.5" x14ac:dyDescent="0.2">
      <c r="A30" t="str">
        <f t="shared" si="1"/>
        <v>S</v>
      </c>
      <c r="B30">
        <f t="shared" ca="1" si="2"/>
        <v>2</v>
      </c>
      <c r="C30" t="str">
        <f t="shared" ca="1" si="3"/>
        <v>S</v>
      </c>
      <c r="D30">
        <f t="shared" ca="1" si="4"/>
        <v>0</v>
      </c>
      <c r="E30">
        <f ca="1">IF($C30=1,OFFSET(E30,-1,0)+MAX(1,COUNTIF(QCI!$A$13:$A$24,OFFSET(ORÇAMENTO!E30,-1,0))),OFFSET(E30,-1,0))</f>
        <v>1</v>
      </c>
      <c r="F30">
        <f t="shared" ca="1" si="5"/>
        <v>3</v>
      </c>
      <c r="G30">
        <f t="shared" ca="1" si="6"/>
        <v>0</v>
      </c>
      <c r="H30">
        <f t="shared" ca="1" si="7"/>
        <v>0</v>
      </c>
      <c r="I30">
        <f t="shared" ca="1" si="8"/>
        <v>0</v>
      </c>
      <c r="J30">
        <f t="shared" ca="1" si="9"/>
        <v>0</v>
      </c>
      <c r="K30">
        <f ca="1">IF(OR($C30="S",$C30=0),0,MATCH(OFFSET($D30,0,$C30)+IF($C30&lt;&gt;1,1,COUNTIF(QCI!$A$13:$A$24,ORÇAMENTO!E30)),OFFSET($D30,1,$C30,ROW($C$405)-ROW($C30)),0))</f>
        <v>0</v>
      </c>
      <c r="L30" s="115" t="str">
        <f t="shared" ca="1" si="10"/>
        <v/>
      </c>
      <c r="M30" s="116" t="s">
        <v>706</v>
      </c>
      <c r="N30" s="117" t="str">
        <f t="shared" ca="1" si="11"/>
        <v>Serviço</v>
      </c>
      <c r="O30" s="118" t="str">
        <f t="shared" ca="1" si="12"/>
        <v>-</v>
      </c>
      <c r="P30" s="119" t="s">
        <v>751</v>
      </c>
      <c r="Q30" s="120" t="s">
        <v>953</v>
      </c>
      <c r="R30" s="121" t="s">
        <v>1331</v>
      </c>
      <c r="S30" s="122" t="s">
        <v>623</v>
      </c>
      <c r="T30" s="123">
        <f ca="1">OFFSET(CÁLCULO!H$15,ROW($T30)-ROW(T$15),0)</f>
        <v>935.72</v>
      </c>
      <c r="U30" s="124"/>
      <c r="V30" s="125" t="s">
        <v>663</v>
      </c>
      <c r="W30" s="123">
        <f ca="1">IF($C30="S",ROUND(IF(TIPOORCAMENTO="Proposto",ORÇAMENTO.CustoUnitario*(1+$AH30),ORÇAMENTO.PrecoUnitarioLicitado),15-13*$AF$10),0)</f>
        <v>0</v>
      </c>
      <c r="X30" s="126" cm="1">
        <f t="array" aca="1" ref="X30" ca="1">IF($C30="S",IF(OR(Import.TipoArredondamento&lt;&gt;"TransfereGOV",ACOMPANHAMENTO="BM"),VTOTAL1,SUM(OFFSET(CÁLCULO!$AA$15,ROW($X30)-ROW($X$15),1):OFFSET(CÁLCULO!$AL$15,ROW($X30)-ROW($X$15),-1))),IF($C30=0,0,ROUND(SomaAgrup,15-13*$AF$11)))</f>
        <v>0</v>
      </c>
      <c r="Y30" s="127" t="s">
        <v>752</v>
      </c>
      <c r="Z30" t="str">
        <f t="shared" ca="1" si="13"/>
        <v/>
      </c>
      <c r="AA30" s="128">
        <f ca="1">IF($C30="S",IF($Z30="CP",$X30,IF($Z30="RA",(($X30)*QCI!$AA$3),0)),SomaAgrup)</f>
        <v>0</v>
      </c>
      <c r="AB30" s="129">
        <f t="shared" ca="1" si="14"/>
        <v>0</v>
      </c>
      <c r="AC30" s="567" t="str">
        <f ca="1">IF($N30=""," ",
IF(AND($C30&lt;&gt;"S",OR($R30="",$R30="(digite a descrição aqui)")),"DESCRIÇÃO",
IF(AND($C30="S",OR($Q30&lt;&gt;0,$T30&gt;0,$U30&gt;0),$P30=0),"FONTE",
IF(AND($C30="S",$P30&lt;&gt;0,OR($T30&gt;0,$U30&gt;0),$Q30=0),"CÓDIGO",
IF(AND($C30="S",$P30&lt;&gt;0,$Q30&lt;&gt;0,$R30="(Código não identificado nas referências)"),"CÓDIGO N/ID",
IF(AND($C30="S",OR($R30="",$R30="(digite a descrição aqui)"),OR($Q30&lt;&gt;0,$T30&gt;0,$U30&gt;0)),"DESCRIÇÃO",
IF(AND($C30="S",$P30&lt;&gt;0,$Q30&lt;&gt;0,$S30=""),"UNIDADE",
IF(AND($C30="S",$P30&lt;&gt;0,$Q30&lt;&gt;0,$U30=0),"SEM CUSTO",
IF(AND(TIPOORCAMENTO="Licitado",$AL30=0,$AN30&gt;0),"SEM PREÇO",
IF(AND($C30="S",$P30&lt;&gt;0,$Q30&lt;&gt;0,$U30&gt;0,$V30=0),"BDI",
IF(OR(AND(TIPOORCAMENTO="Proposto",$AG30&lt;&gt;"",$AG30&gt;0,ORÇAMENTO.CustoUnitario&gt;$AG30),AND(TIPOORCAMENTO="LICITADO",ORÇAMENTO.PrecoUnitarioLicitado&gt;$AN30)),"ACIMA REF.",
IF(AND($C30="S",$P30&lt;&gt;0,$Q30&lt;&gt;0,$T30=0,$U30&gt;0),"QUANT.",
IF(AND(Import.TipoArredondamento="TransfereGOV",$L30="F",$C30="S",LEN($Q30)&gt;13),"Código &gt;13",
IF(AND(Import.TipoArredondamento="TransfereGOV",$L30="F",$C30&lt;&gt;"S",LEN($R30)&gt;100),"Descrição &gt;100",
IF(AND(Import.TipoArredondamento="TransfereGOV",$L30="F",$C30="S",LEN($R30)&gt;500),"Descrição &gt;500",
IF(AND(Import.TipoArredondamento="TransfereGOV",$L30="F",$C30="S",LEFT(TRIM(UPPER($P30)),6)&lt;&gt;"SINAPI",ISNA(VLOOKUP(TRIM(UPPER($S30)),ListaTgov.Unidades,1,FALSE))),"Unid. Não Disp",
" "))))))))))))))))</f>
        <v>SEM CUSTO</v>
      </c>
      <c r="AD30" t="str">
        <f ca="1">IF(C30&lt;=CRONO.NivelExibicao,MAX($AD$15:OFFSET(AD30,-1,0))+IF($C30&lt;&gt;1,1,MAX(1,COUNTIF(QCI!$A$13:$A$24,OFFSET($E30,-1,0)))),"")</f>
        <v/>
      </c>
      <c r="AE30" s="7" t="str">
        <f ca="1">IF(AND($C30="S",ORÇAMENTO.CodBarra&lt;&gt;""),IF(ORÇAMENTO.Fonte="",ORÇAMENTO.CodBarra,CONCATENATE(ORÇAMENTO.Fonte," ",ORÇAMENTO.CodBarra)))</f>
        <v>SINAPI 97102</v>
      </c>
      <c r="AF30" s="12" t="str">
        <f ca="1">IF(ISERROR(INDIRECT(ORÇAMENTO.BancoRef)),"(abra o arquivo 'Referência "&amp;Excel_BuiltIn_Database&amp;".xlsm)",IF(OR($C30&lt;&gt;"S",ORÇAMENTO.CodBarra=""),"(Sem Código)",IF(ISERROR(MATCH($AE30,INDIRECT(ORÇAMENTO.BancoRef),0)),"(Código não identificado nas referências)",MATCH($AE30,INDIRECT(ORÇAMENTO.BancoRef),0))))</f>
        <v>(abra o arquivo 'Referência 12-2024.xlsm)</v>
      </c>
      <c r="AG30" s="429">
        <f ca="1">ROUND(IF(DESONERACAO="sim",REFERENCIA.Desonerado,REFERENCIA.NaoDesonerado),2)</f>
        <v>0</v>
      </c>
      <c r="AH30" s="430">
        <f t="shared" ca="1" si="15"/>
        <v>0.31190000000000001</v>
      </c>
      <c r="AJ30" s="432">
        <v>935.72</v>
      </c>
      <c r="AL30" s="440"/>
      <c r="AM30" s="337">
        <f t="shared" ca="1" si="0"/>
        <v>0</v>
      </c>
      <c r="AN30" s="471">
        <f t="shared" ca="1" si="16"/>
        <v>0</v>
      </c>
    </row>
    <row r="31" spans="1:40" ht="25.5" x14ac:dyDescent="0.2">
      <c r="A31" t="str">
        <f t="shared" si="1"/>
        <v>S</v>
      </c>
      <c r="B31">
        <f t="shared" ca="1" si="2"/>
        <v>2</v>
      </c>
      <c r="C31" t="str">
        <f t="shared" ca="1" si="3"/>
        <v>S</v>
      </c>
      <c r="D31">
        <f t="shared" ca="1" si="4"/>
        <v>0</v>
      </c>
      <c r="E31">
        <f ca="1">IF($C31=1,OFFSET(E31,-1,0)+MAX(1,COUNTIF(QCI!$A$13:$A$24,OFFSET(ORÇAMENTO!E31,-1,0))),OFFSET(E31,-1,0))</f>
        <v>1</v>
      </c>
      <c r="F31">
        <f t="shared" ca="1" si="5"/>
        <v>3</v>
      </c>
      <c r="G31">
        <f t="shared" ca="1" si="6"/>
        <v>0</v>
      </c>
      <c r="H31">
        <f t="shared" ca="1" si="7"/>
        <v>0</v>
      </c>
      <c r="I31">
        <f t="shared" ca="1" si="8"/>
        <v>0</v>
      </c>
      <c r="J31">
        <f t="shared" ca="1" si="9"/>
        <v>0</v>
      </c>
      <c r="K31">
        <f ca="1">IF(OR($C31="S",$C31=0),0,MATCH(OFFSET($D31,0,$C31)+IF($C31&lt;&gt;1,1,COUNTIF(QCI!$A$13:$A$24,ORÇAMENTO!E31)),OFFSET($D31,1,$C31,ROW($C$405)-ROW($C31)),0))</f>
        <v>0</v>
      </c>
      <c r="L31" s="115" t="str">
        <f t="shared" ca="1" si="10"/>
        <v/>
      </c>
      <c r="M31" s="116" t="s">
        <v>706</v>
      </c>
      <c r="N31" s="117" t="str">
        <f t="shared" ca="1" si="11"/>
        <v>Serviço</v>
      </c>
      <c r="O31" s="118" t="str">
        <f t="shared" ca="1" si="12"/>
        <v>-</v>
      </c>
      <c r="P31" s="119" t="s">
        <v>751</v>
      </c>
      <c r="Q31" s="120" t="s">
        <v>954</v>
      </c>
      <c r="R31" s="121" t="s">
        <v>1332</v>
      </c>
      <c r="S31" s="122" t="s">
        <v>623</v>
      </c>
      <c r="T31" s="123">
        <f ca="1">OFFSET(CÁLCULO!H$15,ROW($T31)-ROW(T$15),0)</f>
        <v>469.76</v>
      </c>
      <c r="U31" s="124"/>
      <c r="V31" s="125" t="s">
        <v>663</v>
      </c>
      <c r="W31" s="123">
        <f ca="1">IF($C31="S",ROUND(IF(TIPOORCAMENTO="Proposto",ORÇAMENTO.CustoUnitario*(1+$AH31),ORÇAMENTO.PrecoUnitarioLicitado),15-13*$AF$10),0)</f>
        <v>0</v>
      </c>
      <c r="X31" s="126" cm="1">
        <f t="array" aca="1" ref="X31" ca="1">IF($C31="S",IF(OR(Import.TipoArredondamento&lt;&gt;"TransfereGOV",ACOMPANHAMENTO="BM"),VTOTAL1,SUM(OFFSET(CÁLCULO!$AA$15,ROW($X31)-ROW($X$15),1):OFFSET(CÁLCULO!$AL$15,ROW($X31)-ROW($X$15),-1))),IF($C31=0,0,ROUND(SomaAgrup,15-13*$AF$11)))</f>
        <v>0</v>
      </c>
      <c r="Y31" s="127" t="s">
        <v>752</v>
      </c>
      <c r="Z31" t="str">
        <f t="shared" ca="1" si="13"/>
        <v/>
      </c>
      <c r="AA31" s="128">
        <f ca="1">IF($C31="S",IF($Z31="CP",$X31,IF($Z31="RA",(($X31)*QCI!$AA$3),0)),SomaAgrup)</f>
        <v>0</v>
      </c>
      <c r="AB31" s="129">
        <f t="shared" ca="1" si="14"/>
        <v>0</v>
      </c>
      <c r="AC31" s="567" t="str">
        <f ca="1">IF($N31=""," ",
IF(AND($C31&lt;&gt;"S",OR($R31="",$R31="(digite a descrição aqui)")),"DESCRIÇÃO",
IF(AND($C31="S",OR($Q31&lt;&gt;0,$T31&gt;0,$U31&gt;0),$P31=0),"FONTE",
IF(AND($C31="S",$P31&lt;&gt;0,OR($T31&gt;0,$U31&gt;0),$Q31=0),"CÓDIGO",
IF(AND($C31="S",$P31&lt;&gt;0,$Q31&lt;&gt;0,$R31="(Código não identificado nas referências)"),"CÓDIGO N/ID",
IF(AND($C31="S",OR($R31="",$R31="(digite a descrição aqui)"),OR($Q31&lt;&gt;0,$T31&gt;0,$U31&gt;0)),"DESCRIÇÃO",
IF(AND($C31="S",$P31&lt;&gt;0,$Q31&lt;&gt;0,$S31=""),"UNIDADE",
IF(AND($C31="S",$P31&lt;&gt;0,$Q31&lt;&gt;0,$U31=0),"SEM CUSTO",
IF(AND(TIPOORCAMENTO="Licitado",$AL31=0,$AN31&gt;0),"SEM PREÇO",
IF(AND($C31="S",$P31&lt;&gt;0,$Q31&lt;&gt;0,$U31&gt;0,$V31=0),"BDI",
IF(OR(AND(TIPOORCAMENTO="Proposto",$AG31&lt;&gt;"",$AG31&gt;0,ORÇAMENTO.CustoUnitario&gt;$AG31),AND(TIPOORCAMENTO="LICITADO",ORÇAMENTO.PrecoUnitarioLicitado&gt;$AN31)),"ACIMA REF.",
IF(AND($C31="S",$P31&lt;&gt;0,$Q31&lt;&gt;0,$T31=0,$U31&gt;0),"QUANT.",
IF(AND(Import.TipoArredondamento="TransfereGOV",$L31="F",$C31="S",LEN($Q31)&gt;13),"Código &gt;13",
IF(AND(Import.TipoArredondamento="TransfereGOV",$L31="F",$C31&lt;&gt;"S",LEN($R31)&gt;100),"Descrição &gt;100",
IF(AND(Import.TipoArredondamento="TransfereGOV",$L31="F",$C31="S",LEN($R31)&gt;500),"Descrição &gt;500",
IF(AND(Import.TipoArredondamento="TransfereGOV",$L31="F",$C31="S",LEFT(TRIM(UPPER($P31)),6)&lt;&gt;"SINAPI",ISNA(VLOOKUP(TRIM(UPPER($S31)),ListaTgov.Unidades,1,FALSE))),"Unid. Não Disp",
" "))))))))))))))))</f>
        <v>SEM CUSTO</v>
      </c>
      <c r="AD31" t="str">
        <f ca="1">IF(C31&lt;=CRONO.NivelExibicao,MAX($AD$15:OFFSET(AD31,-1,0))+IF($C31&lt;&gt;1,1,MAX(1,COUNTIF(QCI!$A$13:$A$24,OFFSET($E31,-1,0)))),"")</f>
        <v/>
      </c>
      <c r="AE31" s="7" t="str">
        <f ca="1">IF(AND($C31="S",ORÇAMENTO.CodBarra&lt;&gt;""),IF(ORÇAMENTO.Fonte="",ORÇAMENTO.CodBarra,CONCATENATE(ORÇAMENTO.Fonte," ",ORÇAMENTO.CodBarra)))</f>
        <v>SINAPI 103072</v>
      </c>
      <c r="AF31" s="12" t="str">
        <f ca="1">IF(ISERROR(INDIRECT(ORÇAMENTO.BancoRef)),"(abra o arquivo 'Referência "&amp;Excel_BuiltIn_Database&amp;".xlsm)",IF(OR($C31&lt;&gt;"S",ORÇAMENTO.CodBarra=""),"(Sem Código)",IF(ISERROR(MATCH($AE31,INDIRECT(ORÇAMENTO.BancoRef),0)),"(Código não identificado nas referências)",MATCH($AE31,INDIRECT(ORÇAMENTO.BancoRef),0))))</f>
        <v>(abra o arquivo 'Referência 12-2024.xlsm)</v>
      </c>
      <c r="AG31" s="429">
        <f ca="1">ROUND(IF(DESONERACAO="sim",REFERENCIA.Desonerado,REFERENCIA.NaoDesonerado),2)</f>
        <v>0</v>
      </c>
      <c r="AH31" s="430">
        <f t="shared" ca="1" si="15"/>
        <v>0.31190000000000001</v>
      </c>
      <c r="AJ31" s="432">
        <v>469.76</v>
      </c>
      <c r="AL31" s="440"/>
      <c r="AM31" s="337">
        <f t="shared" ca="1" si="0"/>
        <v>0</v>
      </c>
      <c r="AN31" s="471">
        <f t="shared" ca="1" si="16"/>
        <v>0</v>
      </c>
    </row>
    <row r="32" spans="1:40" ht="25.5" x14ac:dyDescent="0.2">
      <c r="A32" t="str">
        <f t="shared" si="1"/>
        <v>S</v>
      </c>
      <c r="B32">
        <f t="shared" ca="1" si="2"/>
        <v>2</v>
      </c>
      <c r="C32" t="str">
        <f t="shared" ca="1" si="3"/>
        <v>S</v>
      </c>
      <c r="D32">
        <f t="shared" ca="1" si="4"/>
        <v>0</v>
      </c>
      <c r="E32">
        <f ca="1">IF($C32=1,OFFSET(E32,-1,0)+MAX(1,COUNTIF(QCI!$A$13:$A$24,OFFSET(ORÇAMENTO!E32,-1,0))),OFFSET(E32,-1,0))</f>
        <v>1</v>
      </c>
      <c r="F32">
        <f t="shared" ca="1" si="5"/>
        <v>3</v>
      </c>
      <c r="G32">
        <f t="shared" ca="1" si="6"/>
        <v>0</v>
      </c>
      <c r="H32">
        <f t="shared" ca="1" si="7"/>
        <v>0</v>
      </c>
      <c r="I32">
        <f t="shared" ca="1" si="8"/>
        <v>0</v>
      </c>
      <c r="J32">
        <f t="shared" ca="1" si="9"/>
        <v>0</v>
      </c>
      <c r="K32">
        <f ca="1">IF(OR($C32="S",$C32=0),0,MATCH(OFFSET($D32,0,$C32)+IF($C32&lt;&gt;1,1,COUNTIF(QCI!$A$13:$A$24,ORÇAMENTO!E32)),OFFSET($D32,1,$C32,ROW($C$405)-ROW($C32)),0))</f>
        <v>0</v>
      </c>
      <c r="L32" s="115" t="str">
        <f t="shared" ca="1" si="10"/>
        <v/>
      </c>
      <c r="M32" s="116" t="s">
        <v>706</v>
      </c>
      <c r="N32" s="117" t="str">
        <f t="shared" ca="1" si="11"/>
        <v>Serviço</v>
      </c>
      <c r="O32" s="118" t="str">
        <f t="shared" ca="1" si="12"/>
        <v>-</v>
      </c>
      <c r="P32" s="119" t="s">
        <v>1315</v>
      </c>
      <c r="Q32" s="120" t="s">
        <v>955</v>
      </c>
      <c r="R32" s="121" t="s">
        <v>1333</v>
      </c>
      <c r="S32" s="122" t="s">
        <v>1643</v>
      </c>
      <c r="T32" s="123">
        <f ca="1">OFFSET(CÁLCULO!H$15,ROW($T32)-ROW(T$15),0)</f>
        <v>280</v>
      </c>
      <c r="U32" s="124"/>
      <c r="V32" s="125" t="s">
        <v>663</v>
      </c>
      <c r="W32" s="123">
        <f ca="1">IF($C32="S",ROUND(IF(TIPOORCAMENTO="Proposto",ORÇAMENTO.CustoUnitario*(1+$AH32),ORÇAMENTO.PrecoUnitarioLicitado),15-13*$AF$10),0)</f>
        <v>0</v>
      </c>
      <c r="X32" s="126" cm="1">
        <f t="array" aca="1" ref="X32" ca="1">IF($C32="S",IF(OR(Import.TipoArredondamento&lt;&gt;"TransfereGOV",ACOMPANHAMENTO="BM"),VTOTAL1,SUM(OFFSET(CÁLCULO!$AA$15,ROW($X32)-ROW($X$15),1):OFFSET(CÁLCULO!$AL$15,ROW($X32)-ROW($X$15),-1))),IF($C32=0,0,ROUND(SomaAgrup,15-13*$AF$11)))</f>
        <v>0</v>
      </c>
      <c r="Y32" s="127" t="s">
        <v>752</v>
      </c>
      <c r="Z32" t="str">
        <f t="shared" ca="1" si="13"/>
        <v/>
      </c>
      <c r="AA32" s="128">
        <f ca="1">IF($C32="S",IF($Z32="CP",$X32,IF($Z32="RA",(($X32)*QCI!$AA$3),0)),SomaAgrup)</f>
        <v>0</v>
      </c>
      <c r="AB32" s="129">
        <f t="shared" ca="1" si="14"/>
        <v>0</v>
      </c>
      <c r="AC32" s="567" t="str">
        <f ca="1">IF($N32=""," ",
IF(AND($C32&lt;&gt;"S",OR($R32="",$R32="(digite a descrição aqui)")),"DESCRIÇÃO",
IF(AND($C32="S",OR($Q32&lt;&gt;0,$T32&gt;0,$U32&gt;0),$P32=0),"FONTE",
IF(AND($C32="S",$P32&lt;&gt;0,OR($T32&gt;0,$U32&gt;0),$Q32=0),"CÓDIGO",
IF(AND($C32="S",$P32&lt;&gt;0,$Q32&lt;&gt;0,$R32="(Código não identificado nas referências)"),"CÓDIGO N/ID",
IF(AND($C32="S",OR($R32="",$R32="(digite a descrição aqui)"),OR($Q32&lt;&gt;0,$T32&gt;0,$U32&gt;0)),"DESCRIÇÃO",
IF(AND($C32="S",$P32&lt;&gt;0,$Q32&lt;&gt;0,$S32=""),"UNIDADE",
IF(AND($C32="S",$P32&lt;&gt;0,$Q32&lt;&gt;0,$U32=0),"SEM CUSTO",
IF(AND(TIPOORCAMENTO="Licitado",$AL32=0,$AN32&gt;0),"SEM PREÇO",
IF(AND($C32="S",$P32&lt;&gt;0,$Q32&lt;&gt;0,$U32&gt;0,$V32=0),"BDI",
IF(OR(AND(TIPOORCAMENTO="Proposto",$AG32&lt;&gt;"",$AG32&gt;0,ORÇAMENTO.CustoUnitario&gt;$AG32),AND(TIPOORCAMENTO="LICITADO",ORÇAMENTO.PrecoUnitarioLicitado&gt;$AN32)),"ACIMA REF.",
IF(AND($C32="S",$P32&lt;&gt;0,$Q32&lt;&gt;0,$T32=0,$U32&gt;0),"QUANT.",
IF(AND(Import.TipoArredondamento="TransfereGOV",$L32="F",$C32="S",LEN($Q32)&gt;13),"Código &gt;13",
IF(AND(Import.TipoArredondamento="TransfereGOV",$L32="F",$C32&lt;&gt;"S",LEN($R32)&gt;100),"Descrição &gt;100",
IF(AND(Import.TipoArredondamento="TransfereGOV",$L32="F",$C32="S",LEN($R32)&gt;500),"Descrição &gt;500",
IF(AND(Import.TipoArredondamento="TransfereGOV",$L32="F",$C32="S",LEFT(TRIM(UPPER($P32)),6)&lt;&gt;"SINAPI",ISNA(VLOOKUP(TRIM(UPPER($S32)),ListaTgov.Unidades,1,FALSE))),"Unid. Não Disp",
" "))))))))))))))))</f>
        <v>SEM CUSTO</v>
      </c>
      <c r="AD32" t="str">
        <f ca="1">IF(C32&lt;=CRONO.NivelExibicao,MAX($AD$15:OFFSET(AD32,-1,0))+IF($C32&lt;&gt;1,1,MAX(1,COUNTIF(QCI!$A$13:$A$24,OFFSET($E32,-1,0)))),"")</f>
        <v/>
      </c>
      <c r="AE32" s="7" t="str">
        <f ca="1">IF(AND($C32="S",ORÇAMENTO.CodBarra&lt;&gt;""),IF(ORÇAMENTO.Fonte="",ORÇAMENTO.CodBarra,CONCATENATE(ORÇAMENTO.Fonte," ",ORÇAMENTO.CodBarra)))</f>
        <v>SINAPI-I 20065</v>
      </c>
      <c r="AF32" s="12" t="str">
        <f ca="1">IF(ISERROR(INDIRECT(ORÇAMENTO.BancoRef)),"(abra o arquivo 'Referência "&amp;Excel_BuiltIn_Database&amp;".xlsm)",IF(OR($C32&lt;&gt;"S",ORÇAMENTO.CodBarra=""),"(Sem Código)",IF(ISERROR(MATCH($AE32,INDIRECT(ORÇAMENTO.BancoRef),0)),"(Código não identificado nas referências)",MATCH($AE32,INDIRECT(ORÇAMENTO.BancoRef),0))))</f>
        <v>(abra o arquivo 'Referência 12-2024.xlsm)</v>
      </c>
      <c r="AG32" s="429">
        <f ca="1">ROUND(IF(DESONERACAO="sim",REFERENCIA.Desonerado,REFERENCIA.NaoDesonerado),2)</f>
        <v>0</v>
      </c>
      <c r="AH32" s="430">
        <f t="shared" ca="1" si="15"/>
        <v>0.31190000000000001</v>
      </c>
      <c r="AJ32" s="432">
        <v>280</v>
      </c>
      <c r="AL32" s="440"/>
      <c r="AM32" s="337">
        <f t="shared" ca="1" si="0"/>
        <v>0</v>
      </c>
      <c r="AN32" s="471">
        <f t="shared" ca="1" si="16"/>
        <v>0</v>
      </c>
    </row>
    <row r="33" spans="1:40" x14ac:dyDescent="0.2">
      <c r="A33" t="str">
        <f t="shared" si="1"/>
        <v>S</v>
      </c>
      <c r="B33">
        <f t="shared" ca="1" si="2"/>
        <v>2</v>
      </c>
      <c r="C33" t="str">
        <f t="shared" ca="1" si="3"/>
        <v>S</v>
      </c>
      <c r="D33">
        <f t="shared" ca="1" si="4"/>
        <v>0</v>
      </c>
      <c r="E33">
        <f ca="1">IF($C33=1,OFFSET(E33,-1,0)+MAX(1,COUNTIF(QCI!$A$13:$A$24,OFFSET(ORÇAMENTO!E33,-1,0))),OFFSET(E33,-1,0))</f>
        <v>1</v>
      </c>
      <c r="F33">
        <f t="shared" ca="1" si="5"/>
        <v>3</v>
      </c>
      <c r="G33">
        <f t="shared" ca="1" si="6"/>
        <v>0</v>
      </c>
      <c r="H33">
        <f t="shared" ca="1" si="7"/>
        <v>0</v>
      </c>
      <c r="I33">
        <f t="shared" ca="1" si="8"/>
        <v>0</v>
      </c>
      <c r="J33">
        <f t="shared" ca="1" si="9"/>
        <v>0</v>
      </c>
      <c r="K33">
        <f ca="1">IF(OR($C33="S",$C33=0),0,MATCH(OFFSET($D33,0,$C33)+IF($C33&lt;&gt;1,1,COUNTIF(QCI!$A$13:$A$24,ORÇAMENTO!E33)),OFFSET($D33,1,$C33,ROW($C$405)-ROW($C33)),0))</f>
        <v>0</v>
      </c>
      <c r="L33" s="115" t="str">
        <f t="shared" ca="1" si="10"/>
        <v/>
      </c>
      <c r="M33" s="116" t="s">
        <v>706</v>
      </c>
      <c r="N33" s="117" t="str">
        <f t="shared" ca="1" si="11"/>
        <v>Serviço</v>
      </c>
      <c r="O33" s="118" t="str">
        <f t="shared" ca="1" si="12"/>
        <v>-</v>
      </c>
      <c r="P33" s="119" t="s">
        <v>751</v>
      </c>
      <c r="Q33" s="120" t="s">
        <v>956</v>
      </c>
      <c r="R33" s="121" t="s">
        <v>1334</v>
      </c>
      <c r="S33" s="122" t="s">
        <v>615</v>
      </c>
      <c r="T33" s="123">
        <f ca="1">OFFSET(CÁLCULO!H$15,ROW($T33)-ROW(T$15),0)</f>
        <v>6</v>
      </c>
      <c r="U33" s="124"/>
      <c r="V33" s="125" t="s">
        <v>663</v>
      </c>
      <c r="W33" s="123">
        <f ca="1">IF($C33="S",ROUND(IF(TIPOORCAMENTO="Proposto",ORÇAMENTO.CustoUnitario*(1+$AH33),ORÇAMENTO.PrecoUnitarioLicitado),15-13*$AF$10),0)</f>
        <v>0</v>
      </c>
      <c r="X33" s="126" cm="1">
        <f t="array" aca="1" ref="X33" ca="1">IF($C33="S",IF(OR(Import.TipoArredondamento&lt;&gt;"TransfereGOV",ACOMPANHAMENTO="BM"),VTOTAL1,SUM(OFFSET(CÁLCULO!$AA$15,ROW($X33)-ROW($X$15),1):OFFSET(CÁLCULO!$AL$15,ROW($X33)-ROW($X$15),-1))),IF($C33=0,0,ROUND(SomaAgrup,15-13*$AF$11)))</f>
        <v>0</v>
      </c>
      <c r="Y33" s="127" t="s">
        <v>752</v>
      </c>
      <c r="Z33" t="str">
        <f t="shared" ca="1" si="13"/>
        <v/>
      </c>
      <c r="AA33" s="128">
        <f ca="1">IF($C33="S",IF($Z33="CP",$X33,IF($Z33="RA",(($X33)*QCI!$AA$3),0)),SomaAgrup)</f>
        <v>0</v>
      </c>
      <c r="AB33" s="129">
        <f t="shared" ca="1" si="14"/>
        <v>0</v>
      </c>
      <c r="AC33" s="567" t="str">
        <f ca="1">IF($N33=""," ",
IF(AND($C33&lt;&gt;"S",OR($R33="",$R33="(digite a descrição aqui)")),"DESCRIÇÃO",
IF(AND($C33="S",OR($Q33&lt;&gt;0,$T33&gt;0,$U33&gt;0),$P33=0),"FONTE",
IF(AND($C33="S",$P33&lt;&gt;0,OR($T33&gt;0,$U33&gt;0),$Q33=0),"CÓDIGO",
IF(AND($C33="S",$P33&lt;&gt;0,$Q33&lt;&gt;0,$R33="(Código não identificado nas referências)"),"CÓDIGO N/ID",
IF(AND($C33="S",OR($R33="",$R33="(digite a descrição aqui)"),OR($Q33&lt;&gt;0,$T33&gt;0,$U33&gt;0)),"DESCRIÇÃO",
IF(AND($C33="S",$P33&lt;&gt;0,$Q33&lt;&gt;0,$S33=""),"UNIDADE",
IF(AND($C33="S",$P33&lt;&gt;0,$Q33&lt;&gt;0,$U33=0),"SEM CUSTO",
IF(AND(TIPOORCAMENTO="Licitado",$AL33=0,$AN33&gt;0),"SEM PREÇO",
IF(AND($C33="S",$P33&lt;&gt;0,$Q33&lt;&gt;0,$U33&gt;0,$V33=0),"BDI",
IF(OR(AND(TIPOORCAMENTO="Proposto",$AG33&lt;&gt;"",$AG33&gt;0,ORÇAMENTO.CustoUnitario&gt;$AG33),AND(TIPOORCAMENTO="LICITADO",ORÇAMENTO.PrecoUnitarioLicitado&gt;$AN33)),"ACIMA REF.",
IF(AND($C33="S",$P33&lt;&gt;0,$Q33&lt;&gt;0,$T33=0,$U33&gt;0),"QUANT.",
IF(AND(Import.TipoArredondamento="TransfereGOV",$L33="F",$C33="S",LEN($Q33)&gt;13),"Código &gt;13",
IF(AND(Import.TipoArredondamento="TransfereGOV",$L33="F",$C33&lt;&gt;"S",LEN($R33)&gt;100),"Descrição &gt;100",
IF(AND(Import.TipoArredondamento="TransfereGOV",$L33="F",$C33="S",LEN($R33)&gt;500),"Descrição &gt;500",
IF(AND(Import.TipoArredondamento="TransfereGOV",$L33="F",$C33="S",LEFT(TRIM(UPPER($P33)),6)&lt;&gt;"SINAPI",ISNA(VLOOKUP(TRIM(UPPER($S33)),ListaTgov.Unidades,1,FALSE))),"Unid. Não Disp",
" "))))))))))))))))</f>
        <v>SEM CUSTO</v>
      </c>
      <c r="AD33" t="str">
        <f ca="1">IF(C33&lt;=CRONO.NivelExibicao,MAX($AD$15:OFFSET(AD33,-1,0))+IF($C33&lt;&gt;1,1,MAX(1,COUNTIF(QCI!$A$13:$A$24,OFFSET($E33,-1,0)))),"")</f>
        <v/>
      </c>
      <c r="AE33" s="7" t="str">
        <f ca="1">IF(AND($C33="S",ORÇAMENTO.CodBarra&lt;&gt;""),IF(ORÇAMENTO.Fonte="",ORÇAMENTO.CodBarra,CONCATENATE(ORÇAMENTO.Fonte," ",ORÇAMENTO.CodBarra)))</f>
        <v>SINAPI 88242</v>
      </c>
      <c r="AF33" s="12" t="str">
        <f ca="1">IF(ISERROR(INDIRECT(ORÇAMENTO.BancoRef)),"(abra o arquivo 'Referência "&amp;Excel_BuiltIn_Database&amp;".xlsm)",IF(OR($C33&lt;&gt;"S",ORÇAMENTO.CodBarra=""),"(Sem Código)",IF(ISERROR(MATCH($AE33,INDIRECT(ORÇAMENTO.BancoRef),0)),"(Código não identificado nas referências)",MATCH($AE33,INDIRECT(ORÇAMENTO.BancoRef),0))))</f>
        <v>(abra o arquivo 'Referência 12-2024.xlsm)</v>
      </c>
      <c r="AG33" s="429">
        <f ca="1">ROUND(IF(DESONERACAO="sim",REFERENCIA.Desonerado,REFERENCIA.NaoDesonerado),2)</f>
        <v>0</v>
      </c>
      <c r="AH33" s="430">
        <f t="shared" ca="1" si="15"/>
        <v>0.31190000000000001</v>
      </c>
      <c r="AJ33" s="432">
        <v>6</v>
      </c>
      <c r="AL33" s="440"/>
      <c r="AM33" s="337">
        <f t="shared" ca="1" si="0"/>
        <v>0</v>
      </c>
      <c r="AN33" s="471">
        <f t="shared" ca="1" si="16"/>
        <v>0</v>
      </c>
    </row>
    <row r="34" spans="1:40" x14ac:dyDescent="0.2">
      <c r="A34">
        <f t="shared" si="1"/>
        <v>2</v>
      </c>
      <c r="B34">
        <f t="shared" ca="1" si="2"/>
        <v>2</v>
      </c>
      <c r="C34">
        <f t="shared" ca="1" si="3"/>
        <v>2</v>
      </c>
      <c r="D34">
        <f t="shared" ca="1" si="4"/>
        <v>3</v>
      </c>
      <c r="E34">
        <f ca="1">IF($C34=1,OFFSET(E34,-1,0)+MAX(1,COUNTIF(QCI!$A$13:$A$24,OFFSET(ORÇAMENTO!E34,-1,0))),OFFSET(E34,-1,0))</f>
        <v>1</v>
      </c>
      <c r="F34">
        <f t="shared" ca="1" si="5"/>
        <v>4</v>
      </c>
      <c r="G34">
        <f t="shared" ca="1" si="6"/>
        <v>0</v>
      </c>
      <c r="H34">
        <f t="shared" ca="1" si="7"/>
        <v>0</v>
      </c>
      <c r="I34">
        <f t="shared" ca="1" si="8"/>
        <v>0</v>
      </c>
      <c r="J34">
        <f t="shared" ca="1" si="9"/>
        <v>371</v>
      </c>
      <c r="K34">
        <f ca="1">IF(OR($C34="S",$C34=0),0,MATCH(OFFSET($D34,0,$C34)+IF($C34&lt;&gt;1,1,COUNTIF(QCI!$A$13:$A$24,ORÇAMENTO!E34)),OFFSET($D34,1,$C34,ROW($C$405)-ROW($C34)),0))</f>
        <v>3</v>
      </c>
      <c r="L34" s="115" t="str">
        <f t="shared" ca="1" si="10"/>
        <v>F</v>
      </c>
      <c r="M34" s="116" t="s">
        <v>703</v>
      </c>
      <c r="N34" s="117" t="str">
        <f t="shared" ca="1" si="11"/>
        <v>Nível 2</v>
      </c>
      <c r="O34" s="118" t="str">
        <f t="shared" ca="1" si="12"/>
        <v>1.4.</v>
      </c>
      <c r="P34" s="119" t="s">
        <v>751</v>
      </c>
      <c r="Q34" s="120"/>
      <c r="R34" s="121" t="s">
        <v>1277</v>
      </c>
      <c r="S34" s="122" t="s">
        <v>689</v>
      </c>
      <c r="T34" s="123">
        <f ca="1">OFFSET(CÁLCULO!H$15,ROW($T34)-ROW(T$15),0)</f>
        <v>0</v>
      </c>
      <c r="U34" s="124"/>
      <c r="V34" s="125" t="s">
        <v>663</v>
      </c>
      <c r="W34" s="123">
        <f ca="1">IF($C34="S",ROUND(IF(TIPOORCAMENTO="Proposto",ORÇAMENTO.CustoUnitario*(1+$AH34),ORÇAMENTO.PrecoUnitarioLicitado),15-13*$AF$10),0)</f>
        <v>0</v>
      </c>
      <c r="X34" s="126" cm="1">
        <f t="array" aca="1" ref="X34" ca="1">IF($C34="S",IF(OR(Import.TipoArredondamento&lt;&gt;"TransfereGOV",ACOMPANHAMENTO="BM"),VTOTAL1,SUM(OFFSET(CÁLCULO!$AA$15,ROW($X34)-ROW($X$15),1):OFFSET(CÁLCULO!$AL$15,ROW($X34)-ROW($X$15),-1))),IF($C34=0,0,ROUND(SomaAgrup,15-13*$AF$11)))</f>
        <v>0</v>
      </c>
      <c r="Y34" s="127" t="s">
        <v>752</v>
      </c>
      <c r="Z34" t="str">
        <f t="shared" ca="1" si="13"/>
        <v/>
      </c>
      <c r="AA34" s="128">
        <f ca="1">IF($C34="S",IF($Z34="CP",$X34,IF($Z34="RA",(($X34)*QCI!$AA$3),0)),SomaAgrup)</f>
        <v>0</v>
      </c>
      <c r="AB34" s="129">
        <f t="shared" ca="1" si="14"/>
        <v>0</v>
      </c>
      <c r="AC34" s="567" t="str">
        <f ca="1">IF($N34=""," ",
IF(AND($C34&lt;&gt;"S",OR($R34="",$R34="(digite a descrição aqui)")),"DESCRIÇÃO",
IF(AND($C34="S",OR($Q34&lt;&gt;0,$T34&gt;0,$U34&gt;0),$P34=0),"FONTE",
IF(AND($C34="S",$P34&lt;&gt;0,OR($T34&gt;0,$U34&gt;0),$Q34=0),"CÓDIGO",
IF(AND($C34="S",$P34&lt;&gt;0,$Q34&lt;&gt;0,$R34="(Código não identificado nas referências)"),"CÓDIGO N/ID",
IF(AND($C34="S",OR($R34="",$R34="(digite a descrição aqui)"),OR($Q34&lt;&gt;0,$T34&gt;0,$U34&gt;0)),"DESCRIÇÃO",
IF(AND($C34="S",$P34&lt;&gt;0,$Q34&lt;&gt;0,$S34=""),"UNIDADE",
IF(AND($C34="S",$P34&lt;&gt;0,$Q34&lt;&gt;0,$U34=0),"SEM CUSTO",
IF(AND(TIPOORCAMENTO="Licitado",$AL34=0,$AN34&gt;0),"SEM PREÇO",
IF(AND($C34="S",$P34&lt;&gt;0,$Q34&lt;&gt;0,$U34&gt;0,$V34=0),"BDI",
IF(OR(AND(TIPOORCAMENTO="Proposto",$AG34&lt;&gt;"",$AG34&gt;0,ORÇAMENTO.CustoUnitario&gt;$AG34),AND(TIPOORCAMENTO="LICITADO",ORÇAMENTO.PrecoUnitarioLicitado&gt;$AN34)),"ACIMA REF.",
IF(AND($C34="S",$P34&lt;&gt;0,$Q34&lt;&gt;0,$T34=0,$U34&gt;0),"QUANT.",
IF(AND(Import.TipoArredondamento="TransfereGOV",$L34="F",$C34="S",LEN($Q34)&gt;13),"Código &gt;13",
IF(AND(Import.TipoArredondamento="TransfereGOV",$L34="F",$C34&lt;&gt;"S",LEN($R34)&gt;100),"Descrição &gt;100",
IF(AND(Import.TipoArredondamento="TransfereGOV",$L34="F",$C34="S",LEN($R34)&gt;500),"Descrição &gt;500",
IF(AND(Import.TipoArredondamento="TransfereGOV",$L34="F",$C34="S",LEFT(TRIM(UPPER($P34)),6)&lt;&gt;"SINAPI",ISNA(VLOOKUP(TRIM(UPPER($S34)),ListaTgov.Unidades,1,FALSE))),"Unid. Não Disp",
" "))))))))))))))))</f>
        <v xml:space="preserve"> </v>
      </c>
      <c r="AD34">
        <f ca="1">IF(C34&lt;=CRONO.NivelExibicao,MAX($AD$15:OFFSET(AD34,-1,0))+IF($C34&lt;&gt;1,1,MAX(1,COUNTIF(QCI!$A$13:$A$24,OFFSET($E34,-1,0)))),"")</f>
        <v>5</v>
      </c>
      <c r="AE34" s="7" t="b">
        <f ca="1">IF(AND($C34="S",ORÇAMENTO.CodBarra&lt;&gt;""),IF(ORÇAMENTO.Fonte="",ORÇAMENTO.CodBarra,CONCATENATE(ORÇAMENTO.Fonte," ",ORÇAMENTO.CodBarra)))</f>
        <v>0</v>
      </c>
      <c r="AF34" s="12" t="str">
        <f ca="1">IF(ISERROR(INDIRECT(ORÇAMENTO.BancoRef)),"(abra o arquivo 'Referência "&amp;Excel_BuiltIn_Database&amp;".xlsm)",IF(OR($C34&lt;&gt;"S",ORÇAMENTO.CodBarra=""),"(Sem Código)",IF(ISERROR(MATCH($AE34,INDIRECT(ORÇAMENTO.BancoRef),0)),"(Código não identificado nas referências)",MATCH($AE34,INDIRECT(ORÇAMENTO.BancoRef),0))))</f>
        <v>(abra o arquivo 'Referência 12-2024.xlsm)</v>
      </c>
      <c r="AG34" s="429">
        <f ca="1">ROUND(IF(DESONERACAO="sim",REFERENCIA.Desonerado,REFERENCIA.NaoDesonerado),2)</f>
        <v>0</v>
      </c>
      <c r="AH34" s="430">
        <f t="shared" ca="1" si="15"/>
        <v>0.31190000000000001</v>
      </c>
      <c r="AJ34" s="432"/>
      <c r="AL34" s="440"/>
      <c r="AM34" s="337">
        <f t="shared" ca="1" si="0"/>
        <v>0</v>
      </c>
      <c r="AN34" s="471">
        <f t="shared" ca="1" si="16"/>
        <v>0</v>
      </c>
    </row>
    <row r="35" spans="1:40" ht="25.5" x14ac:dyDescent="0.2">
      <c r="A35" t="str">
        <f t="shared" si="1"/>
        <v>S</v>
      </c>
      <c r="B35">
        <f t="shared" ca="1" si="2"/>
        <v>2</v>
      </c>
      <c r="C35" t="str">
        <f t="shared" ca="1" si="3"/>
        <v>S</v>
      </c>
      <c r="D35">
        <f t="shared" ca="1" si="4"/>
        <v>0</v>
      </c>
      <c r="E35">
        <f ca="1">IF($C35=1,OFFSET(E35,-1,0)+MAX(1,COUNTIF(QCI!$A$13:$A$24,OFFSET(ORÇAMENTO!E35,-1,0))),OFFSET(E35,-1,0))</f>
        <v>1</v>
      </c>
      <c r="F35">
        <f t="shared" ca="1" si="5"/>
        <v>4</v>
      </c>
      <c r="G35">
        <f t="shared" ca="1" si="6"/>
        <v>0</v>
      </c>
      <c r="H35">
        <f t="shared" ca="1" si="7"/>
        <v>0</v>
      </c>
      <c r="I35">
        <f t="shared" ca="1" si="8"/>
        <v>0</v>
      </c>
      <c r="J35">
        <f t="shared" ca="1" si="9"/>
        <v>0</v>
      </c>
      <c r="K35">
        <f ca="1">IF(OR($C35="S",$C35=0),0,MATCH(OFFSET($D35,0,$C35)+IF($C35&lt;&gt;1,1,COUNTIF(QCI!$A$13:$A$24,ORÇAMENTO!E35)),OFFSET($D35,1,$C35,ROW($C$405)-ROW($C35)),0))</f>
        <v>0</v>
      </c>
      <c r="L35" s="115" t="str">
        <f t="shared" ca="1" si="10"/>
        <v/>
      </c>
      <c r="M35" s="116" t="s">
        <v>706</v>
      </c>
      <c r="N35" s="117" t="str">
        <f t="shared" ca="1" si="11"/>
        <v>Serviço</v>
      </c>
      <c r="O35" s="118" t="str">
        <f t="shared" ca="1" si="12"/>
        <v>-</v>
      </c>
      <c r="P35" s="119" t="s">
        <v>1316</v>
      </c>
      <c r="Q35" s="120" t="s">
        <v>957</v>
      </c>
      <c r="R35" s="121" t="s">
        <v>1335</v>
      </c>
      <c r="S35" s="122" t="s">
        <v>424</v>
      </c>
      <c r="T35" s="123">
        <f ca="1">OFFSET(CÁLCULO!H$15,ROW($T35)-ROW(T$15),0)</f>
        <v>1</v>
      </c>
      <c r="U35" s="124"/>
      <c r="V35" s="125" t="s">
        <v>663</v>
      </c>
      <c r="W35" s="123">
        <f ca="1">IF($C35="S",ROUND(IF(TIPOORCAMENTO="Proposto",ORÇAMENTO.CustoUnitario*(1+$AH35),ORÇAMENTO.PrecoUnitarioLicitado),15-13*$AF$10),0)</f>
        <v>0</v>
      </c>
      <c r="X35" s="126" cm="1">
        <f t="array" aca="1" ref="X35" ca="1">IF($C35="S",IF(OR(Import.TipoArredondamento&lt;&gt;"TransfereGOV",ACOMPANHAMENTO="BM"),VTOTAL1,SUM(OFFSET(CÁLCULO!$AA$15,ROW($X35)-ROW($X$15),1):OFFSET(CÁLCULO!$AL$15,ROW($X35)-ROW($X$15),-1))),IF($C35=0,0,ROUND(SomaAgrup,15-13*$AF$11)))</f>
        <v>0</v>
      </c>
      <c r="Y35" s="127" t="s">
        <v>752</v>
      </c>
      <c r="Z35" t="str">
        <f t="shared" ca="1" si="13"/>
        <v/>
      </c>
      <c r="AA35" s="128">
        <f ca="1">IF($C35="S",IF($Z35="CP",$X35,IF($Z35="RA",(($X35)*QCI!$AA$3),0)),SomaAgrup)</f>
        <v>0</v>
      </c>
      <c r="AB35" s="129">
        <f t="shared" ca="1" si="14"/>
        <v>0</v>
      </c>
      <c r="AC35" s="567" t="str">
        <f ca="1">IF($N35=""," ",
IF(AND($C35&lt;&gt;"S",OR($R35="",$R35="(digite a descrição aqui)")),"DESCRIÇÃO",
IF(AND($C35="S",OR($Q35&lt;&gt;0,$T35&gt;0,$U35&gt;0),$P35=0),"FONTE",
IF(AND($C35="S",$P35&lt;&gt;0,OR($T35&gt;0,$U35&gt;0),$Q35=0),"CÓDIGO",
IF(AND($C35="S",$P35&lt;&gt;0,$Q35&lt;&gt;0,$R35="(Código não identificado nas referências)"),"CÓDIGO N/ID",
IF(AND($C35="S",OR($R35="",$R35="(digite a descrição aqui)"),OR($Q35&lt;&gt;0,$T35&gt;0,$U35&gt;0)),"DESCRIÇÃO",
IF(AND($C35="S",$P35&lt;&gt;0,$Q35&lt;&gt;0,$S35=""),"UNIDADE",
IF(AND($C35="S",$P35&lt;&gt;0,$Q35&lt;&gt;0,$U35=0),"SEM CUSTO",
IF(AND(TIPOORCAMENTO="Licitado",$AL35=0,$AN35&gt;0),"SEM PREÇO",
IF(AND($C35="S",$P35&lt;&gt;0,$Q35&lt;&gt;0,$U35&gt;0,$V35=0),"BDI",
IF(OR(AND(TIPOORCAMENTO="Proposto",$AG35&lt;&gt;"",$AG35&gt;0,ORÇAMENTO.CustoUnitario&gt;$AG35),AND(TIPOORCAMENTO="LICITADO",ORÇAMENTO.PrecoUnitarioLicitado&gt;$AN35)),"ACIMA REF.",
IF(AND($C35="S",$P35&lt;&gt;0,$Q35&lt;&gt;0,$T35=0,$U35&gt;0),"QUANT.",
IF(AND(Import.TipoArredondamento="TransfereGOV",$L35="F",$C35="S",LEN($Q35)&gt;13),"Código &gt;13",
IF(AND(Import.TipoArredondamento="TransfereGOV",$L35="F",$C35&lt;&gt;"S",LEN($R35)&gt;100),"Descrição &gt;100",
IF(AND(Import.TipoArredondamento="TransfereGOV",$L35="F",$C35="S",LEN($R35)&gt;500),"Descrição &gt;500",
IF(AND(Import.TipoArredondamento="TransfereGOV",$L35="F",$C35="S",LEFT(TRIM(UPPER($P35)),6)&lt;&gt;"SINAPI",ISNA(VLOOKUP(TRIM(UPPER($S35)),ListaTgov.Unidades,1,FALSE))),"Unid. Não Disp",
" "))))))))))))))))</f>
        <v>SEM CUSTO</v>
      </c>
      <c r="AD35" t="str">
        <f ca="1">IF(C35&lt;=CRONO.NivelExibicao,MAX($AD$15:OFFSET(AD35,-1,0))+IF($C35&lt;&gt;1,1,MAX(1,COUNTIF(QCI!$A$13:$A$24,OFFSET($E35,-1,0)))),"")</f>
        <v/>
      </c>
      <c r="AE35" s="7" t="str">
        <f ca="1">IF(AND($C35="S",ORÇAMENTO.CodBarra&lt;&gt;""),IF(ORÇAMENTO.Fonte="",ORÇAMENTO.CodBarra,CONCATENATE(ORÇAMENTO.Fonte," ",ORÇAMENTO.CodBarra)))</f>
        <v>Composiçao 120</v>
      </c>
      <c r="AF35" s="12" t="str">
        <f ca="1">IF(ISERROR(INDIRECT(ORÇAMENTO.BancoRef)),"(abra o arquivo 'Referência "&amp;Excel_BuiltIn_Database&amp;".xlsm)",IF(OR($C35&lt;&gt;"S",ORÇAMENTO.CodBarra=""),"(Sem Código)",IF(ISERROR(MATCH($AE35,INDIRECT(ORÇAMENTO.BancoRef),0)),"(Código não identificado nas referências)",MATCH($AE35,INDIRECT(ORÇAMENTO.BancoRef),0))))</f>
        <v>(abra o arquivo 'Referência 12-2024.xlsm)</v>
      </c>
      <c r="AG35" s="429">
        <f ca="1">ROUND(IF(DESONERACAO="sim",REFERENCIA.Desonerado,REFERENCIA.NaoDesonerado),2)</f>
        <v>0</v>
      </c>
      <c r="AH35" s="430">
        <f t="shared" ca="1" si="15"/>
        <v>0.31190000000000001</v>
      </c>
      <c r="AJ35" s="432">
        <v>1</v>
      </c>
      <c r="AL35" s="440"/>
      <c r="AM35" s="337">
        <f t="shared" ca="1" si="0"/>
        <v>0</v>
      </c>
      <c r="AN35" s="471">
        <f t="shared" ca="1" si="16"/>
        <v>0</v>
      </c>
    </row>
    <row r="36" spans="1:40" ht="25.5" x14ac:dyDescent="0.2">
      <c r="A36" t="str">
        <f t="shared" si="1"/>
        <v>S</v>
      </c>
      <c r="B36">
        <f t="shared" ca="1" si="2"/>
        <v>2</v>
      </c>
      <c r="C36" t="str">
        <f t="shared" ca="1" si="3"/>
        <v>S</v>
      </c>
      <c r="D36">
        <f t="shared" ca="1" si="4"/>
        <v>0</v>
      </c>
      <c r="E36">
        <f ca="1">IF($C36=1,OFFSET(E36,-1,0)+MAX(1,COUNTIF(QCI!$A$13:$A$24,OFFSET(ORÇAMENTO!E36,-1,0))),OFFSET(E36,-1,0))</f>
        <v>1</v>
      </c>
      <c r="F36">
        <f t="shared" ca="1" si="5"/>
        <v>4</v>
      </c>
      <c r="G36">
        <f t="shared" ca="1" si="6"/>
        <v>0</v>
      </c>
      <c r="H36">
        <f t="shared" ca="1" si="7"/>
        <v>0</v>
      </c>
      <c r="I36">
        <f t="shared" ca="1" si="8"/>
        <v>0</v>
      </c>
      <c r="J36">
        <f t="shared" ca="1" si="9"/>
        <v>0</v>
      </c>
      <c r="K36">
        <f ca="1">IF(OR($C36="S",$C36=0),0,MATCH(OFFSET($D36,0,$C36)+IF($C36&lt;&gt;1,1,COUNTIF(QCI!$A$13:$A$24,ORÇAMENTO!E36)),OFFSET($D36,1,$C36,ROW($C$405)-ROW($C36)),0))</f>
        <v>0</v>
      </c>
      <c r="L36" s="115" t="str">
        <f t="shared" ca="1" si="10"/>
        <v/>
      </c>
      <c r="M36" s="116" t="s">
        <v>706</v>
      </c>
      <c r="N36" s="117" t="str">
        <f t="shared" ca="1" si="11"/>
        <v>Serviço</v>
      </c>
      <c r="O36" s="118" t="str">
        <f t="shared" ca="1" si="12"/>
        <v>-</v>
      </c>
      <c r="P36" s="119" t="s">
        <v>1316</v>
      </c>
      <c r="Q36" s="120" t="s">
        <v>958</v>
      </c>
      <c r="R36" s="121" t="s">
        <v>1336</v>
      </c>
      <c r="S36" s="122" t="s">
        <v>1644</v>
      </c>
      <c r="T36" s="123">
        <f ca="1">OFFSET(CÁLCULO!H$15,ROW($T36)-ROW(T$15),0)</f>
        <v>2</v>
      </c>
      <c r="U36" s="124"/>
      <c r="V36" s="125" t="s">
        <v>663</v>
      </c>
      <c r="W36" s="123">
        <f ca="1">IF($C36="S",ROUND(IF(TIPOORCAMENTO="Proposto",ORÇAMENTO.CustoUnitario*(1+$AH36),ORÇAMENTO.PrecoUnitarioLicitado),15-13*$AF$10),0)</f>
        <v>0</v>
      </c>
      <c r="X36" s="126" cm="1">
        <f t="array" aca="1" ref="X36" ca="1">IF($C36="S",IF(OR(Import.TipoArredondamento&lt;&gt;"TransfereGOV",ACOMPANHAMENTO="BM"),VTOTAL1,SUM(OFFSET(CÁLCULO!$AA$15,ROW($X36)-ROW($X$15),1):OFFSET(CÁLCULO!$AL$15,ROW($X36)-ROW($X$15),-1))),IF($C36=0,0,ROUND(SomaAgrup,15-13*$AF$11)))</f>
        <v>0</v>
      </c>
      <c r="Y36" s="127" t="s">
        <v>752</v>
      </c>
      <c r="Z36" t="str">
        <f t="shared" ca="1" si="13"/>
        <v/>
      </c>
      <c r="AA36" s="128">
        <f ca="1">IF($C36="S",IF($Z36="CP",$X36,IF($Z36="RA",(($X36)*QCI!$AA$3),0)),SomaAgrup)</f>
        <v>0</v>
      </c>
      <c r="AB36" s="129">
        <f t="shared" ca="1" si="14"/>
        <v>0</v>
      </c>
      <c r="AC36" s="567" t="str">
        <f ca="1">IF($N36=""," ",
IF(AND($C36&lt;&gt;"S",OR($R36="",$R36="(digite a descrição aqui)")),"DESCRIÇÃO",
IF(AND($C36="S",OR($Q36&lt;&gt;0,$T36&gt;0,$U36&gt;0),$P36=0),"FONTE",
IF(AND($C36="S",$P36&lt;&gt;0,OR($T36&gt;0,$U36&gt;0),$Q36=0),"CÓDIGO",
IF(AND($C36="S",$P36&lt;&gt;0,$Q36&lt;&gt;0,$R36="(Código não identificado nas referências)"),"CÓDIGO N/ID",
IF(AND($C36="S",OR($R36="",$R36="(digite a descrição aqui)"),OR($Q36&lt;&gt;0,$T36&gt;0,$U36&gt;0)),"DESCRIÇÃO",
IF(AND($C36="S",$P36&lt;&gt;0,$Q36&lt;&gt;0,$S36=""),"UNIDADE",
IF(AND($C36="S",$P36&lt;&gt;0,$Q36&lt;&gt;0,$U36=0),"SEM CUSTO",
IF(AND(TIPOORCAMENTO="Licitado",$AL36=0,$AN36&gt;0),"SEM PREÇO",
IF(AND($C36="S",$P36&lt;&gt;0,$Q36&lt;&gt;0,$U36&gt;0,$V36=0),"BDI",
IF(OR(AND(TIPOORCAMENTO="Proposto",$AG36&lt;&gt;"",$AG36&gt;0,ORÇAMENTO.CustoUnitario&gt;$AG36),AND(TIPOORCAMENTO="LICITADO",ORÇAMENTO.PrecoUnitarioLicitado&gt;$AN36)),"ACIMA REF.",
IF(AND($C36="S",$P36&lt;&gt;0,$Q36&lt;&gt;0,$T36=0,$U36&gt;0),"QUANT.",
IF(AND(Import.TipoArredondamento="TransfereGOV",$L36="F",$C36="S",LEN($Q36)&gt;13),"Código &gt;13",
IF(AND(Import.TipoArredondamento="TransfereGOV",$L36="F",$C36&lt;&gt;"S",LEN($R36)&gt;100),"Descrição &gt;100",
IF(AND(Import.TipoArredondamento="TransfereGOV",$L36="F",$C36="S",LEN($R36)&gt;500),"Descrição &gt;500",
IF(AND(Import.TipoArredondamento="TransfereGOV",$L36="F",$C36="S",LEFT(TRIM(UPPER($P36)),6)&lt;&gt;"SINAPI",ISNA(VLOOKUP(TRIM(UPPER($S36)),ListaTgov.Unidades,1,FALSE))),"Unid. Não Disp",
" "))))))))))))))))</f>
        <v>SEM CUSTO</v>
      </c>
      <c r="AD36" t="str">
        <f ca="1">IF(C36&lt;=CRONO.NivelExibicao,MAX($AD$15:OFFSET(AD36,-1,0))+IF($C36&lt;&gt;1,1,MAX(1,COUNTIF(QCI!$A$13:$A$24,OFFSET($E36,-1,0)))),"")</f>
        <v/>
      </c>
      <c r="AE36" s="7" t="str">
        <f ca="1">IF(AND($C36="S",ORÇAMENTO.CodBarra&lt;&gt;""),IF(ORÇAMENTO.Fonte="",ORÇAMENTO.CodBarra,CONCATENATE(ORÇAMENTO.Fonte," ",ORÇAMENTO.CodBarra)))</f>
        <v>Composiçao 237</v>
      </c>
      <c r="AF36" s="12" t="str">
        <f ca="1">IF(ISERROR(INDIRECT(ORÇAMENTO.BancoRef)),"(abra o arquivo 'Referência "&amp;Excel_BuiltIn_Database&amp;".xlsm)",IF(OR($C36&lt;&gt;"S",ORÇAMENTO.CodBarra=""),"(Sem Código)",IF(ISERROR(MATCH($AE36,INDIRECT(ORÇAMENTO.BancoRef),0)),"(Código não identificado nas referências)",MATCH($AE36,INDIRECT(ORÇAMENTO.BancoRef),0))))</f>
        <v>(abra o arquivo 'Referência 12-2024.xlsm)</v>
      </c>
      <c r="AG36" s="429">
        <f ca="1">ROUND(IF(DESONERACAO="sim",REFERENCIA.Desonerado,REFERENCIA.NaoDesonerado),2)</f>
        <v>0</v>
      </c>
      <c r="AH36" s="430">
        <f t="shared" ca="1" si="15"/>
        <v>0.31190000000000001</v>
      </c>
      <c r="AJ36" s="432">
        <v>2</v>
      </c>
      <c r="AL36" s="440"/>
      <c r="AM36" s="337">
        <f t="shared" ca="1" si="0"/>
        <v>0</v>
      </c>
      <c r="AN36" s="471">
        <f t="shared" ca="1" si="16"/>
        <v>0</v>
      </c>
    </row>
    <row r="37" spans="1:40" x14ac:dyDescent="0.2">
      <c r="A37">
        <f t="shared" si="1"/>
        <v>2</v>
      </c>
      <c r="B37">
        <f t="shared" ca="1" si="2"/>
        <v>2</v>
      </c>
      <c r="C37">
        <f t="shared" ca="1" si="3"/>
        <v>2</v>
      </c>
      <c r="D37">
        <f t="shared" ca="1" si="4"/>
        <v>4</v>
      </c>
      <c r="E37">
        <f ca="1">IF($C37=1,OFFSET(E37,-1,0)+MAX(1,COUNTIF(QCI!$A$13:$A$24,OFFSET(ORÇAMENTO!E37,-1,0))),OFFSET(E37,-1,0))</f>
        <v>1</v>
      </c>
      <c r="F37">
        <f t="shared" ca="1" si="5"/>
        <v>5</v>
      </c>
      <c r="G37">
        <f t="shared" ca="1" si="6"/>
        <v>0</v>
      </c>
      <c r="H37">
        <f t="shared" ca="1" si="7"/>
        <v>0</v>
      </c>
      <c r="I37">
        <f t="shared" ca="1" si="8"/>
        <v>0</v>
      </c>
      <c r="J37">
        <f t="shared" ca="1" si="9"/>
        <v>368</v>
      </c>
      <c r="K37">
        <f ca="1">IF(OR($C37="S",$C37=0),0,MATCH(OFFSET($D37,0,$C37)+IF($C37&lt;&gt;1,1,COUNTIF(QCI!$A$13:$A$24,ORÇAMENTO!E37)),OFFSET($D37,1,$C37,ROW($C$405)-ROW($C37)),0))</f>
        <v>4</v>
      </c>
      <c r="L37" s="115" t="str">
        <f t="shared" ca="1" si="10"/>
        <v>F</v>
      </c>
      <c r="M37" s="116" t="s">
        <v>703</v>
      </c>
      <c r="N37" s="117" t="str">
        <f t="shared" ca="1" si="11"/>
        <v>Nível 2</v>
      </c>
      <c r="O37" s="118" t="str">
        <f t="shared" ca="1" si="12"/>
        <v>1.5.</v>
      </c>
      <c r="P37" s="119" t="s">
        <v>751</v>
      </c>
      <c r="Q37" s="120"/>
      <c r="R37" s="121" t="s">
        <v>1278</v>
      </c>
      <c r="S37" s="122" t="s">
        <v>689</v>
      </c>
      <c r="T37" s="123">
        <f ca="1">OFFSET(CÁLCULO!H$15,ROW($T37)-ROW(T$15),0)</f>
        <v>0</v>
      </c>
      <c r="U37" s="124"/>
      <c r="V37" s="125" t="s">
        <v>663</v>
      </c>
      <c r="W37" s="123">
        <f ca="1">IF($C37="S",ROUND(IF(TIPOORCAMENTO="Proposto",ORÇAMENTO.CustoUnitario*(1+$AH37),ORÇAMENTO.PrecoUnitarioLicitado),15-13*$AF$10),0)</f>
        <v>0</v>
      </c>
      <c r="X37" s="126" cm="1">
        <f t="array" aca="1" ref="X37" ca="1">IF($C37="S",IF(OR(Import.TipoArredondamento&lt;&gt;"TransfereGOV",ACOMPANHAMENTO="BM"),VTOTAL1,SUM(OFFSET(CÁLCULO!$AA$15,ROW($X37)-ROW($X$15),1):OFFSET(CÁLCULO!$AL$15,ROW($X37)-ROW($X$15),-1))),IF($C37=0,0,ROUND(SomaAgrup,15-13*$AF$11)))</f>
        <v>0</v>
      </c>
      <c r="Y37" s="127" t="s">
        <v>752</v>
      </c>
      <c r="Z37" t="str">
        <f t="shared" ca="1" si="13"/>
        <v/>
      </c>
      <c r="AA37" s="128">
        <f ca="1">IF($C37="S",IF($Z37="CP",$X37,IF($Z37="RA",(($X37)*QCI!$AA$3),0)),SomaAgrup)</f>
        <v>0</v>
      </c>
      <c r="AB37" s="129">
        <f t="shared" ca="1" si="14"/>
        <v>0</v>
      </c>
      <c r="AC37" s="567" t="str">
        <f ca="1">IF($N37=""," ",
IF(AND($C37&lt;&gt;"S",OR($R37="",$R37="(digite a descrição aqui)")),"DESCRIÇÃO",
IF(AND($C37="S",OR($Q37&lt;&gt;0,$T37&gt;0,$U37&gt;0),$P37=0),"FONTE",
IF(AND($C37="S",$P37&lt;&gt;0,OR($T37&gt;0,$U37&gt;0),$Q37=0),"CÓDIGO",
IF(AND($C37="S",$P37&lt;&gt;0,$Q37&lt;&gt;0,$R37="(Código não identificado nas referências)"),"CÓDIGO N/ID",
IF(AND($C37="S",OR($R37="",$R37="(digite a descrição aqui)"),OR($Q37&lt;&gt;0,$T37&gt;0,$U37&gt;0)),"DESCRIÇÃO",
IF(AND($C37="S",$P37&lt;&gt;0,$Q37&lt;&gt;0,$S37=""),"UNIDADE",
IF(AND($C37="S",$P37&lt;&gt;0,$Q37&lt;&gt;0,$U37=0),"SEM CUSTO",
IF(AND(TIPOORCAMENTO="Licitado",$AL37=0,$AN37&gt;0),"SEM PREÇO",
IF(AND($C37="S",$P37&lt;&gt;0,$Q37&lt;&gt;0,$U37&gt;0,$V37=0),"BDI",
IF(OR(AND(TIPOORCAMENTO="Proposto",$AG37&lt;&gt;"",$AG37&gt;0,ORÇAMENTO.CustoUnitario&gt;$AG37),AND(TIPOORCAMENTO="LICITADO",ORÇAMENTO.PrecoUnitarioLicitado&gt;$AN37)),"ACIMA REF.",
IF(AND($C37="S",$P37&lt;&gt;0,$Q37&lt;&gt;0,$T37=0,$U37&gt;0),"QUANT.",
IF(AND(Import.TipoArredondamento="TransfereGOV",$L37="F",$C37="S",LEN($Q37)&gt;13),"Código &gt;13",
IF(AND(Import.TipoArredondamento="TransfereGOV",$L37="F",$C37&lt;&gt;"S",LEN($R37)&gt;100),"Descrição &gt;100",
IF(AND(Import.TipoArredondamento="TransfereGOV",$L37="F",$C37="S",LEN($R37)&gt;500),"Descrição &gt;500",
IF(AND(Import.TipoArredondamento="TransfereGOV",$L37="F",$C37="S",LEFT(TRIM(UPPER($P37)),6)&lt;&gt;"SINAPI",ISNA(VLOOKUP(TRIM(UPPER($S37)),ListaTgov.Unidades,1,FALSE))),"Unid. Não Disp",
" "))))))))))))))))</f>
        <v xml:space="preserve"> </v>
      </c>
      <c r="AD37">
        <f ca="1">IF(C37&lt;=CRONO.NivelExibicao,MAX($AD$15:OFFSET(AD37,-1,0))+IF($C37&lt;&gt;1,1,MAX(1,COUNTIF(QCI!$A$13:$A$24,OFFSET($E37,-1,0)))),"")</f>
        <v>6</v>
      </c>
      <c r="AE37" s="7" t="b">
        <f ca="1">IF(AND($C37="S",ORÇAMENTO.CodBarra&lt;&gt;""),IF(ORÇAMENTO.Fonte="",ORÇAMENTO.CodBarra,CONCATENATE(ORÇAMENTO.Fonte," ",ORÇAMENTO.CodBarra)))</f>
        <v>0</v>
      </c>
      <c r="AF37" s="12" t="str">
        <f ca="1">IF(ISERROR(INDIRECT(ORÇAMENTO.BancoRef)),"(abra o arquivo 'Referência "&amp;Excel_BuiltIn_Database&amp;".xlsm)",IF(OR($C37&lt;&gt;"S",ORÇAMENTO.CodBarra=""),"(Sem Código)",IF(ISERROR(MATCH($AE37,INDIRECT(ORÇAMENTO.BancoRef),0)),"(Código não identificado nas referências)",MATCH($AE37,INDIRECT(ORÇAMENTO.BancoRef),0))))</f>
        <v>(abra o arquivo 'Referência 12-2024.xlsm)</v>
      </c>
      <c r="AG37" s="429">
        <f ca="1">ROUND(IF(DESONERACAO="sim",REFERENCIA.Desonerado,REFERENCIA.NaoDesonerado),2)</f>
        <v>0</v>
      </c>
      <c r="AH37" s="430">
        <f t="shared" ca="1" si="15"/>
        <v>0.31190000000000001</v>
      </c>
      <c r="AJ37" s="432"/>
      <c r="AL37" s="440"/>
      <c r="AM37" s="337">
        <f t="shared" ca="1" si="0"/>
        <v>0</v>
      </c>
      <c r="AN37" s="471">
        <f t="shared" ca="1" si="16"/>
        <v>0</v>
      </c>
    </row>
    <row r="38" spans="1:40" ht="51" x14ac:dyDescent="0.2">
      <c r="A38" t="str">
        <f t="shared" si="1"/>
        <v>S</v>
      </c>
      <c r="B38">
        <f t="shared" ca="1" si="2"/>
        <v>2</v>
      </c>
      <c r="C38" t="str">
        <f t="shared" ca="1" si="3"/>
        <v>S</v>
      </c>
      <c r="D38">
        <f t="shared" ca="1" si="4"/>
        <v>0</v>
      </c>
      <c r="E38">
        <f ca="1">IF($C38=1,OFFSET(E38,-1,0)+MAX(1,COUNTIF(QCI!$A$13:$A$24,OFFSET(ORÇAMENTO!E38,-1,0))),OFFSET(E38,-1,0))</f>
        <v>1</v>
      </c>
      <c r="F38">
        <f t="shared" ca="1" si="5"/>
        <v>5</v>
      </c>
      <c r="G38">
        <f t="shared" ca="1" si="6"/>
        <v>0</v>
      </c>
      <c r="H38">
        <f t="shared" ca="1" si="7"/>
        <v>0</v>
      </c>
      <c r="I38">
        <f t="shared" ca="1" si="8"/>
        <v>0</v>
      </c>
      <c r="J38">
        <f t="shared" ca="1" si="9"/>
        <v>0</v>
      </c>
      <c r="K38">
        <f ca="1">IF(OR($C38="S",$C38=0),0,MATCH(OFFSET($D38,0,$C38)+IF($C38&lt;&gt;1,1,COUNTIF(QCI!$A$13:$A$24,ORÇAMENTO!E38)),OFFSET($D38,1,$C38,ROW($C$405)-ROW($C38)),0))</f>
        <v>0</v>
      </c>
      <c r="L38" s="115" t="str">
        <f t="shared" ca="1" si="10"/>
        <v/>
      </c>
      <c r="M38" s="116" t="s">
        <v>706</v>
      </c>
      <c r="N38" s="117" t="str">
        <f t="shared" ca="1" si="11"/>
        <v>Serviço</v>
      </c>
      <c r="O38" s="118" t="str">
        <f t="shared" ca="1" si="12"/>
        <v>-</v>
      </c>
      <c r="P38" s="119" t="s">
        <v>751</v>
      </c>
      <c r="Q38" s="120" t="s">
        <v>959</v>
      </c>
      <c r="R38" s="121" t="s">
        <v>1337</v>
      </c>
      <c r="S38" s="122" t="s">
        <v>617</v>
      </c>
      <c r="T38" s="123">
        <f ca="1">OFFSET(CÁLCULO!H$15,ROW($T38)-ROW(T$15),0)</f>
        <v>38082</v>
      </c>
      <c r="U38" s="124"/>
      <c r="V38" s="125" t="s">
        <v>663</v>
      </c>
      <c r="W38" s="123">
        <f ca="1">IF($C38="S",ROUND(IF(TIPOORCAMENTO="Proposto",ORÇAMENTO.CustoUnitario*(1+$AH38),ORÇAMENTO.PrecoUnitarioLicitado),15-13*$AF$10),0)</f>
        <v>0</v>
      </c>
      <c r="X38" s="126" cm="1">
        <f t="array" aca="1" ref="X38" ca="1">IF($C38="S",IF(OR(Import.TipoArredondamento&lt;&gt;"TransfereGOV",ACOMPANHAMENTO="BM"),VTOTAL1,SUM(OFFSET(CÁLCULO!$AA$15,ROW($X38)-ROW($X$15),1):OFFSET(CÁLCULO!$AL$15,ROW($X38)-ROW($X$15),-1))),IF($C38=0,0,ROUND(SomaAgrup,15-13*$AF$11)))</f>
        <v>0</v>
      </c>
      <c r="Y38" s="127" t="s">
        <v>752</v>
      </c>
      <c r="Z38" t="str">
        <f t="shared" ca="1" si="13"/>
        <v/>
      </c>
      <c r="AA38" s="128">
        <f ca="1">IF($C38="S",IF($Z38="CP",$X38,IF($Z38="RA",(($X38)*QCI!$AA$3),0)),SomaAgrup)</f>
        <v>0</v>
      </c>
      <c r="AB38" s="129">
        <f t="shared" ca="1" si="14"/>
        <v>0</v>
      </c>
      <c r="AC38" s="567" t="str">
        <f ca="1">IF($N38=""," ",
IF(AND($C38&lt;&gt;"S",OR($R38="",$R38="(digite a descrição aqui)")),"DESCRIÇÃO",
IF(AND($C38="S",OR($Q38&lt;&gt;0,$T38&gt;0,$U38&gt;0),$P38=0),"FONTE",
IF(AND($C38="S",$P38&lt;&gt;0,OR($T38&gt;0,$U38&gt;0),$Q38=0),"CÓDIGO",
IF(AND($C38="S",$P38&lt;&gt;0,$Q38&lt;&gt;0,$R38="(Código não identificado nas referências)"),"CÓDIGO N/ID",
IF(AND($C38="S",OR($R38="",$R38="(digite a descrição aqui)"),OR($Q38&lt;&gt;0,$T38&gt;0,$U38&gt;0)),"DESCRIÇÃO",
IF(AND($C38="S",$P38&lt;&gt;0,$Q38&lt;&gt;0,$S38=""),"UNIDADE",
IF(AND($C38="S",$P38&lt;&gt;0,$Q38&lt;&gt;0,$U38=0),"SEM CUSTO",
IF(AND(TIPOORCAMENTO="Licitado",$AL38=0,$AN38&gt;0),"SEM PREÇO",
IF(AND($C38="S",$P38&lt;&gt;0,$Q38&lt;&gt;0,$U38&gt;0,$V38=0),"BDI",
IF(OR(AND(TIPOORCAMENTO="Proposto",$AG38&lt;&gt;"",$AG38&gt;0,ORÇAMENTO.CustoUnitario&gt;$AG38),AND(TIPOORCAMENTO="LICITADO",ORÇAMENTO.PrecoUnitarioLicitado&gt;$AN38)),"ACIMA REF.",
IF(AND($C38="S",$P38&lt;&gt;0,$Q38&lt;&gt;0,$T38=0,$U38&gt;0),"QUANT.",
IF(AND(Import.TipoArredondamento="TransfereGOV",$L38="F",$C38="S",LEN($Q38)&gt;13),"Código &gt;13",
IF(AND(Import.TipoArredondamento="TransfereGOV",$L38="F",$C38&lt;&gt;"S",LEN($R38)&gt;100),"Descrição &gt;100",
IF(AND(Import.TipoArredondamento="TransfereGOV",$L38="F",$C38="S",LEN($R38)&gt;500),"Descrição &gt;500",
IF(AND(Import.TipoArredondamento="TransfereGOV",$L38="F",$C38="S",LEFT(TRIM(UPPER($P38)),6)&lt;&gt;"SINAPI",ISNA(VLOOKUP(TRIM(UPPER($S38)),ListaTgov.Unidades,1,FALSE))),"Unid. Não Disp",
" "))))))))))))))))</f>
        <v>SEM CUSTO</v>
      </c>
      <c r="AD38" t="str">
        <f ca="1">IF(C38&lt;=CRONO.NivelExibicao,MAX($AD$15:OFFSET(AD38,-1,0))+IF($C38&lt;&gt;1,1,MAX(1,COUNTIF(QCI!$A$13:$A$24,OFFSET($E38,-1,0)))),"")</f>
        <v/>
      </c>
      <c r="AE38" s="7" t="str">
        <f ca="1">IF(AND($C38="S",ORÇAMENTO.CodBarra&lt;&gt;""),IF(ORÇAMENTO.Fonte="",ORÇAMENTO.CodBarra,CONCATENATE(ORÇAMENTO.Fonte," ",ORÇAMENTO.CodBarra)))</f>
        <v>SINAPI 100764</v>
      </c>
      <c r="AF38" s="12" t="str">
        <f ca="1">IF(ISERROR(INDIRECT(ORÇAMENTO.BancoRef)),"(abra o arquivo 'Referência "&amp;Excel_BuiltIn_Database&amp;".xlsm)",IF(OR($C38&lt;&gt;"S",ORÇAMENTO.CodBarra=""),"(Sem Código)",IF(ISERROR(MATCH($AE38,INDIRECT(ORÇAMENTO.BancoRef),0)),"(Código não identificado nas referências)",MATCH($AE38,INDIRECT(ORÇAMENTO.BancoRef),0))))</f>
        <v>(abra o arquivo 'Referência 12-2024.xlsm)</v>
      </c>
      <c r="AG38" s="429">
        <f ca="1">ROUND(IF(DESONERACAO="sim",REFERENCIA.Desonerado,REFERENCIA.NaoDesonerado),2)</f>
        <v>0</v>
      </c>
      <c r="AH38" s="430">
        <f t="shared" ca="1" si="15"/>
        <v>0.31190000000000001</v>
      </c>
      <c r="AJ38" s="432">
        <v>38082</v>
      </c>
      <c r="AL38" s="440"/>
      <c r="AM38" s="337">
        <f t="shared" ca="1" si="0"/>
        <v>0</v>
      </c>
      <c r="AN38" s="471">
        <f t="shared" ca="1" si="16"/>
        <v>0</v>
      </c>
    </row>
    <row r="39" spans="1:40" ht="51" x14ac:dyDescent="0.2">
      <c r="A39" t="str">
        <f t="shared" si="1"/>
        <v>S</v>
      </c>
      <c r="B39">
        <f t="shared" ca="1" si="2"/>
        <v>2</v>
      </c>
      <c r="C39" t="str">
        <f t="shared" ca="1" si="3"/>
        <v>S</v>
      </c>
      <c r="D39">
        <f t="shared" ca="1" si="4"/>
        <v>0</v>
      </c>
      <c r="E39">
        <f ca="1">IF($C39=1,OFFSET(E39,-1,0)+MAX(1,COUNTIF(QCI!$A$13:$A$24,OFFSET(ORÇAMENTO!E39,-1,0))),OFFSET(E39,-1,0))</f>
        <v>1</v>
      </c>
      <c r="F39">
        <f t="shared" ca="1" si="5"/>
        <v>5</v>
      </c>
      <c r="G39">
        <f t="shared" ca="1" si="6"/>
        <v>0</v>
      </c>
      <c r="H39">
        <f t="shared" ca="1" si="7"/>
        <v>0</v>
      </c>
      <c r="I39">
        <f t="shared" ca="1" si="8"/>
        <v>0</v>
      </c>
      <c r="J39">
        <f t="shared" ca="1" si="9"/>
        <v>0</v>
      </c>
      <c r="K39">
        <f ca="1">IF(OR($C39="S",$C39=0),0,MATCH(OFFSET($D39,0,$C39)+IF($C39&lt;&gt;1,1,COUNTIF(QCI!$A$13:$A$24,ORÇAMENTO!E39)),OFFSET($D39,1,$C39,ROW($C$405)-ROW($C39)),0))</f>
        <v>0</v>
      </c>
      <c r="L39" s="115" t="str">
        <f t="shared" ca="1" si="10"/>
        <v/>
      </c>
      <c r="M39" s="116" t="s">
        <v>706</v>
      </c>
      <c r="N39" s="117" t="str">
        <f t="shared" ca="1" si="11"/>
        <v>Serviço</v>
      </c>
      <c r="O39" s="118" t="str">
        <f t="shared" ca="1" si="12"/>
        <v>-</v>
      </c>
      <c r="P39" s="119" t="s">
        <v>751</v>
      </c>
      <c r="Q39" s="120" t="s">
        <v>960</v>
      </c>
      <c r="R39" s="121" t="s">
        <v>1338</v>
      </c>
      <c r="S39" s="122" t="s">
        <v>617</v>
      </c>
      <c r="T39" s="123">
        <f ca="1">OFFSET(CÁLCULO!H$15,ROW($T39)-ROW(T$15),0)</f>
        <v>9182</v>
      </c>
      <c r="U39" s="124"/>
      <c r="V39" s="125" t="s">
        <v>663</v>
      </c>
      <c r="W39" s="123">
        <f ca="1">IF($C39="S",ROUND(IF(TIPOORCAMENTO="Proposto",ORÇAMENTO.CustoUnitario*(1+$AH39),ORÇAMENTO.PrecoUnitarioLicitado),15-13*$AF$10),0)</f>
        <v>0</v>
      </c>
      <c r="X39" s="126" cm="1">
        <f t="array" aca="1" ref="X39" ca="1">IF($C39="S",IF(OR(Import.TipoArredondamento&lt;&gt;"TransfereGOV",ACOMPANHAMENTO="BM"),VTOTAL1,SUM(OFFSET(CÁLCULO!$AA$15,ROW($X39)-ROW($X$15),1):OFFSET(CÁLCULO!$AL$15,ROW($X39)-ROW($X$15),-1))),IF($C39=0,0,ROUND(SomaAgrup,15-13*$AF$11)))</f>
        <v>0</v>
      </c>
      <c r="Y39" s="127" t="s">
        <v>752</v>
      </c>
      <c r="Z39" t="str">
        <f t="shared" ca="1" si="13"/>
        <v/>
      </c>
      <c r="AA39" s="128">
        <f ca="1">IF($C39="S",IF($Z39="CP",$X39,IF($Z39="RA",(($X39)*QCI!$AA$3),0)),SomaAgrup)</f>
        <v>0</v>
      </c>
      <c r="AB39" s="129">
        <f t="shared" ca="1" si="14"/>
        <v>0</v>
      </c>
      <c r="AC39" s="567" t="str">
        <f ca="1">IF($N39=""," ",
IF(AND($C39&lt;&gt;"S",OR($R39="",$R39="(digite a descrição aqui)")),"DESCRIÇÃO",
IF(AND($C39="S",OR($Q39&lt;&gt;0,$T39&gt;0,$U39&gt;0),$P39=0),"FONTE",
IF(AND($C39="S",$P39&lt;&gt;0,OR($T39&gt;0,$U39&gt;0),$Q39=0),"CÓDIGO",
IF(AND($C39="S",$P39&lt;&gt;0,$Q39&lt;&gt;0,$R39="(Código não identificado nas referências)"),"CÓDIGO N/ID",
IF(AND($C39="S",OR($R39="",$R39="(digite a descrição aqui)"),OR($Q39&lt;&gt;0,$T39&gt;0,$U39&gt;0)),"DESCRIÇÃO",
IF(AND($C39="S",$P39&lt;&gt;0,$Q39&lt;&gt;0,$S39=""),"UNIDADE",
IF(AND($C39="S",$P39&lt;&gt;0,$Q39&lt;&gt;0,$U39=0),"SEM CUSTO",
IF(AND(TIPOORCAMENTO="Licitado",$AL39=0,$AN39&gt;0),"SEM PREÇO",
IF(AND($C39="S",$P39&lt;&gt;0,$Q39&lt;&gt;0,$U39&gt;0,$V39=0),"BDI",
IF(OR(AND(TIPOORCAMENTO="Proposto",$AG39&lt;&gt;"",$AG39&gt;0,ORÇAMENTO.CustoUnitario&gt;$AG39),AND(TIPOORCAMENTO="LICITADO",ORÇAMENTO.PrecoUnitarioLicitado&gt;$AN39)),"ACIMA REF.",
IF(AND($C39="S",$P39&lt;&gt;0,$Q39&lt;&gt;0,$T39=0,$U39&gt;0),"QUANT.",
IF(AND(Import.TipoArredondamento="TransfereGOV",$L39="F",$C39="S",LEN($Q39)&gt;13),"Código &gt;13",
IF(AND(Import.TipoArredondamento="TransfereGOV",$L39="F",$C39&lt;&gt;"S",LEN($R39)&gt;100),"Descrição &gt;100",
IF(AND(Import.TipoArredondamento="TransfereGOV",$L39="F",$C39="S",LEN($R39)&gt;500),"Descrição &gt;500",
IF(AND(Import.TipoArredondamento="TransfereGOV",$L39="F",$C39="S",LEFT(TRIM(UPPER($P39)),6)&lt;&gt;"SINAPI",ISNA(VLOOKUP(TRIM(UPPER($S39)),ListaTgov.Unidades,1,FALSE))),"Unid. Não Disp",
" "))))))))))))))))</f>
        <v>SEM CUSTO</v>
      </c>
      <c r="AD39" t="str">
        <f ca="1">IF(C39&lt;=CRONO.NivelExibicao,MAX($AD$15:OFFSET(AD39,-1,0))+IF($C39&lt;&gt;1,1,MAX(1,COUNTIF(QCI!$A$13:$A$24,OFFSET($E39,-1,0)))),"")</f>
        <v/>
      </c>
      <c r="AE39" s="7" t="str">
        <f ca="1">IF(AND($C39="S",ORÇAMENTO.CodBarra&lt;&gt;""),IF(ORÇAMENTO.Fonte="",ORÇAMENTO.CodBarra,CONCATENATE(ORÇAMENTO.Fonte," ",ORÇAMENTO.CodBarra)))</f>
        <v>SINAPI 100766</v>
      </c>
      <c r="AF39" s="12" t="str">
        <f ca="1">IF(ISERROR(INDIRECT(ORÇAMENTO.BancoRef)),"(abra o arquivo 'Referência "&amp;Excel_BuiltIn_Database&amp;".xlsm)",IF(OR($C39&lt;&gt;"S",ORÇAMENTO.CodBarra=""),"(Sem Código)",IF(ISERROR(MATCH($AE39,INDIRECT(ORÇAMENTO.BancoRef),0)),"(Código não identificado nas referências)",MATCH($AE39,INDIRECT(ORÇAMENTO.BancoRef),0))))</f>
        <v>(abra o arquivo 'Referência 12-2024.xlsm)</v>
      </c>
      <c r="AG39" s="429">
        <f ca="1">ROUND(IF(DESONERACAO="sim",REFERENCIA.Desonerado,REFERENCIA.NaoDesonerado),2)</f>
        <v>0</v>
      </c>
      <c r="AH39" s="430">
        <f t="shared" ca="1" si="15"/>
        <v>0.31190000000000001</v>
      </c>
      <c r="AJ39" s="432">
        <v>9182</v>
      </c>
      <c r="AL39" s="440"/>
      <c r="AM39" s="337">
        <f t="shared" ca="1" si="0"/>
        <v>0</v>
      </c>
      <c r="AN39" s="471">
        <f t="shared" ca="1" si="16"/>
        <v>0</v>
      </c>
    </row>
    <row r="40" spans="1:40" x14ac:dyDescent="0.2">
      <c r="A40" t="str">
        <f t="shared" si="1"/>
        <v>S</v>
      </c>
      <c r="B40">
        <f t="shared" ca="1" si="2"/>
        <v>2</v>
      </c>
      <c r="C40" t="str">
        <f t="shared" ca="1" si="3"/>
        <v>S</v>
      </c>
      <c r="D40">
        <f t="shared" ca="1" si="4"/>
        <v>0</v>
      </c>
      <c r="E40">
        <f ca="1">IF($C40=1,OFFSET(E40,-1,0)+MAX(1,COUNTIF(QCI!$A$13:$A$24,OFFSET(ORÇAMENTO!E40,-1,0))),OFFSET(E40,-1,0))</f>
        <v>1</v>
      </c>
      <c r="F40">
        <f t="shared" ca="1" si="5"/>
        <v>5</v>
      </c>
      <c r="G40">
        <f t="shared" ca="1" si="6"/>
        <v>0</v>
      </c>
      <c r="H40">
        <f t="shared" ca="1" si="7"/>
        <v>0</v>
      </c>
      <c r="I40">
        <f t="shared" ca="1" si="8"/>
        <v>0</v>
      </c>
      <c r="J40">
        <f t="shared" ca="1" si="9"/>
        <v>0</v>
      </c>
      <c r="K40">
        <f ca="1">IF(OR($C40="S",$C40=0),0,MATCH(OFFSET($D40,0,$C40)+IF($C40&lt;&gt;1,1,COUNTIF(QCI!$A$13:$A$24,ORÇAMENTO!E40)),OFFSET($D40,1,$C40,ROW($C$405)-ROW($C40)),0))</f>
        <v>0</v>
      </c>
      <c r="L40" s="115" t="str">
        <f t="shared" ca="1" si="10"/>
        <v/>
      </c>
      <c r="M40" s="116" t="s">
        <v>706</v>
      </c>
      <c r="N40" s="117" t="str">
        <f t="shared" ca="1" si="11"/>
        <v>Serviço</v>
      </c>
      <c r="O40" s="118" t="str">
        <f t="shared" ca="1" si="12"/>
        <v>-</v>
      </c>
      <c r="P40" s="119" t="s">
        <v>1317</v>
      </c>
      <c r="Q40" s="120" t="s">
        <v>961</v>
      </c>
      <c r="R40" s="121" t="s">
        <v>1279</v>
      </c>
      <c r="S40" s="122" t="s">
        <v>629</v>
      </c>
      <c r="T40" s="123">
        <f ca="1">OFFSET(CÁLCULO!H$15,ROW($T40)-ROW(T$15),0)</f>
        <v>3</v>
      </c>
      <c r="U40" s="124"/>
      <c r="V40" s="125" t="s">
        <v>663</v>
      </c>
      <c r="W40" s="123">
        <f ca="1">IF($C40="S",ROUND(IF(TIPOORCAMENTO="Proposto",ORÇAMENTO.CustoUnitario*(1+$AH40),ORÇAMENTO.PrecoUnitarioLicitado),15-13*$AF$10),0)</f>
        <v>0</v>
      </c>
      <c r="X40" s="126" cm="1">
        <f t="array" aca="1" ref="X40" ca="1">IF($C40="S",IF(OR(Import.TipoArredondamento&lt;&gt;"TransfereGOV",ACOMPANHAMENTO="BM"),VTOTAL1,SUM(OFFSET(CÁLCULO!$AA$15,ROW($X40)-ROW($X$15),1):OFFSET(CÁLCULO!$AL$15,ROW($X40)-ROW($X$15),-1))),IF($C40=0,0,ROUND(SomaAgrup,15-13*$AF$11)))</f>
        <v>0</v>
      </c>
      <c r="Y40" s="127" t="s">
        <v>752</v>
      </c>
      <c r="Z40" t="str">
        <f t="shared" ca="1" si="13"/>
        <v/>
      </c>
      <c r="AA40" s="128">
        <f ca="1">IF($C40="S",IF($Z40="CP",$X40,IF($Z40="RA",(($X40)*QCI!$AA$3),0)),SomaAgrup)</f>
        <v>0</v>
      </c>
      <c r="AB40" s="129">
        <f t="shared" ca="1" si="14"/>
        <v>0</v>
      </c>
      <c r="AC40" s="567" t="str">
        <f ca="1">IF($N40=""," ",
IF(AND($C40&lt;&gt;"S",OR($R40="",$R40="(digite a descrição aqui)")),"DESCRIÇÃO",
IF(AND($C40="S",OR($Q40&lt;&gt;0,$T40&gt;0,$U40&gt;0),$P40=0),"FONTE",
IF(AND($C40="S",$P40&lt;&gt;0,OR($T40&gt;0,$U40&gt;0),$Q40=0),"CÓDIGO",
IF(AND($C40="S",$P40&lt;&gt;0,$Q40&lt;&gt;0,$R40="(Código não identificado nas referências)"),"CÓDIGO N/ID",
IF(AND($C40="S",OR($R40="",$R40="(digite a descrição aqui)"),OR($Q40&lt;&gt;0,$T40&gt;0,$U40&gt;0)),"DESCRIÇÃO",
IF(AND($C40="S",$P40&lt;&gt;0,$Q40&lt;&gt;0,$S40=""),"UNIDADE",
IF(AND($C40="S",$P40&lt;&gt;0,$Q40&lt;&gt;0,$U40=0),"SEM CUSTO",
IF(AND(TIPOORCAMENTO="Licitado",$AL40=0,$AN40&gt;0),"SEM PREÇO",
IF(AND($C40="S",$P40&lt;&gt;0,$Q40&lt;&gt;0,$U40&gt;0,$V40=0),"BDI",
IF(OR(AND(TIPOORCAMENTO="Proposto",$AG40&lt;&gt;"",$AG40&gt;0,ORÇAMENTO.CustoUnitario&gt;$AG40),AND(TIPOORCAMENTO="LICITADO",ORÇAMENTO.PrecoUnitarioLicitado&gt;$AN40)),"ACIMA REF.",
IF(AND($C40="S",$P40&lt;&gt;0,$Q40&lt;&gt;0,$T40=0,$U40&gt;0),"QUANT.",
IF(AND(Import.TipoArredondamento="TransfereGOV",$L40="F",$C40="S",LEN($Q40)&gt;13),"Código &gt;13",
IF(AND(Import.TipoArredondamento="TransfereGOV",$L40="F",$C40&lt;&gt;"S",LEN($R40)&gt;100),"Descrição &gt;100",
IF(AND(Import.TipoArredondamento="TransfereGOV",$L40="F",$C40="S",LEN($R40)&gt;500),"Descrição &gt;500",
IF(AND(Import.TipoArredondamento="TransfereGOV",$L40="F",$C40="S",LEFT(TRIM(UPPER($P40)),6)&lt;&gt;"SINAPI",ISNA(VLOOKUP(TRIM(UPPER($S40)),ListaTgov.Unidades,1,FALSE))),"Unid. Não Disp",
" "))))))))))))))))</f>
        <v>SEM CUSTO</v>
      </c>
      <c r="AD40" t="str">
        <f ca="1">IF(C40&lt;=CRONO.NivelExibicao,MAX($AD$15:OFFSET(AD40,-1,0))+IF($C40&lt;&gt;1,1,MAX(1,COUNTIF(QCI!$A$13:$A$24,OFFSET($E40,-1,0)))),"")</f>
        <v/>
      </c>
      <c r="AE40" s="7" t="str">
        <f ca="1">IF(AND($C40="S",ORÇAMENTO.CodBarra&lt;&gt;""),IF(ORÇAMENTO.Fonte="",ORÇAMENTO.CodBarra,CONCATENATE(ORÇAMENTO.Fonte," ",ORÇAMENTO.CodBarra)))</f>
        <v>SICRO P9812</v>
      </c>
      <c r="AF40" s="12" t="str">
        <f ca="1">IF(ISERROR(INDIRECT(ORÇAMENTO.BancoRef)),"(abra o arquivo 'Referência "&amp;Excel_BuiltIn_Database&amp;".xlsm)",IF(OR($C40&lt;&gt;"S",ORÇAMENTO.CodBarra=""),"(Sem Código)",IF(ISERROR(MATCH($AE40,INDIRECT(ORÇAMENTO.BancoRef),0)),"(Código não identificado nas referências)",MATCH($AE40,INDIRECT(ORÇAMENTO.BancoRef),0))))</f>
        <v>(abra o arquivo 'Referência 12-2024.xlsm)</v>
      </c>
      <c r="AG40" s="429">
        <f ca="1">ROUND(IF(DESONERACAO="sim",REFERENCIA.Desonerado,REFERENCIA.NaoDesonerado),2)</f>
        <v>0</v>
      </c>
      <c r="AH40" s="430">
        <f t="shared" ca="1" si="15"/>
        <v>0.31190000000000001</v>
      </c>
      <c r="AJ40" s="432">
        <v>3</v>
      </c>
      <c r="AL40" s="440"/>
      <c r="AM40" s="337">
        <f t="shared" ca="1" si="0"/>
        <v>0</v>
      </c>
      <c r="AN40" s="471">
        <f t="shared" ca="1" si="16"/>
        <v>0</v>
      </c>
    </row>
    <row r="41" spans="1:40" x14ac:dyDescent="0.2">
      <c r="A41">
        <f t="shared" si="1"/>
        <v>2</v>
      </c>
      <c r="B41">
        <f t="shared" ca="1" si="2"/>
        <v>2</v>
      </c>
      <c r="C41">
        <f t="shared" ca="1" si="3"/>
        <v>2</v>
      </c>
      <c r="D41">
        <f t="shared" ca="1" si="4"/>
        <v>6</v>
      </c>
      <c r="E41">
        <f ca="1">IF($C41=1,OFFSET(E41,-1,0)+MAX(1,COUNTIF(QCI!$A$13:$A$24,OFFSET(ORÇAMENTO!E41,-1,0))),OFFSET(E41,-1,0))</f>
        <v>1</v>
      </c>
      <c r="F41">
        <f t="shared" ca="1" si="5"/>
        <v>6</v>
      </c>
      <c r="G41">
        <f t="shared" ca="1" si="6"/>
        <v>0</v>
      </c>
      <c r="H41">
        <f t="shared" ca="1" si="7"/>
        <v>0</v>
      </c>
      <c r="I41">
        <f t="shared" ca="1" si="8"/>
        <v>0</v>
      </c>
      <c r="J41">
        <f t="shared" ca="1" si="9"/>
        <v>364</v>
      </c>
      <c r="K41">
        <f ca="1">IF(OR($C41="S",$C41=0),0,MATCH(OFFSET($D41,0,$C41)+IF($C41&lt;&gt;1,1,COUNTIF(QCI!$A$13:$A$24,ORÇAMENTO!E41)),OFFSET($D41,1,$C41,ROW($C$405)-ROW($C41)),0))</f>
        <v>6</v>
      </c>
      <c r="L41" s="115" t="str">
        <f t="shared" ca="1" si="10"/>
        <v>F</v>
      </c>
      <c r="M41" s="116" t="s">
        <v>703</v>
      </c>
      <c r="N41" s="117" t="str">
        <f t="shared" ca="1" si="11"/>
        <v>Nível 2</v>
      </c>
      <c r="O41" s="118" t="str">
        <f t="shared" ca="1" si="12"/>
        <v>1.6.</v>
      </c>
      <c r="P41" s="119" t="s">
        <v>751</v>
      </c>
      <c r="Q41" s="120"/>
      <c r="R41" s="121" t="s">
        <v>1280</v>
      </c>
      <c r="S41" s="122" t="s">
        <v>689</v>
      </c>
      <c r="T41" s="123">
        <f ca="1">OFFSET(CÁLCULO!H$15,ROW($T41)-ROW(T$15),0)</f>
        <v>0</v>
      </c>
      <c r="U41" s="124"/>
      <c r="V41" s="125" t="s">
        <v>663</v>
      </c>
      <c r="W41" s="123">
        <f ca="1">IF($C41="S",ROUND(IF(TIPOORCAMENTO="Proposto",ORÇAMENTO.CustoUnitario*(1+$AH41),ORÇAMENTO.PrecoUnitarioLicitado),15-13*$AF$10),0)</f>
        <v>0</v>
      </c>
      <c r="X41" s="126" cm="1">
        <f t="array" aca="1" ref="X41" ca="1">IF($C41="S",IF(OR(Import.TipoArredondamento&lt;&gt;"TransfereGOV",ACOMPANHAMENTO="BM"),VTOTAL1,SUM(OFFSET(CÁLCULO!$AA$15,ROW($X41)-ROW($X$15),1):OFFSET(CÁLCULO!$AL$15,ROW($X41)-ROW($X$15),-1))),IF($C41=0,0,ROUND(SomaAgrup,15-13*$AF$11)))</f>
        <v>0</v>
      </c>
      <c r="Y41" s="127" t="s">
        <v>752</v>
      </c>
      <c r="Z41" t="str">
        <f t="shared" ca="1" si="13"/>
        <v/>
      </c>
      <c r="AA41" s="128">
        <f ca="1">IF($C41="S",IF($Z41="CP",$X41,IF($Z41="RA",(($X41)*QCI!$AA$3),0)),SomaAgrup)</f>
        <v>0</v>
      </c>
      <c r="AB41" s="129">
        <f t="shared" ca="1" si="14"/>
        <v>0</v>
      </c>
      <c r="AC41" s="567" t="str">
        <f ca="1">IF($N41=""," ",
IF(AND($C41&lt;&gt;"S",OR($R41="",$R41="(digite a descrição aqui)")),"DESCRIÇÃO",
IF(AND($C41="S",OR($Q41&lt;&gt;0,$T41&gt;0,$U41&gt;0),$P41=0),"FONTE",
IF(AND($C41="S",$P41&lt;&gt;0,OR($T41&gt;0,$U41&gt;0),$Q41=0),"CÓDIGO",
IF(AND($C41="S",$P41&lt;&gt;0,$Q41&lt;&gt;0,$R41="(Código não identificado nas referências)"),"CÓDIGO N/ID",
IF(AND($C41="S",OR($R41="",$R41="(digite a descrição aqui)"),OR($Q41&lt;&gt;0,$T41&gt;0,$U41&gt;0)),"DESCRIÇÃO",
IF(AND($C41="S",$P41&lt;&gt;0,$Q41&lt;&gt;0,$S41=""),"UNIDADE",
IF(AND($C41="S",$P41&lt;&gt;0,$Q41&lt;&gt;0,$U41=0),"SEM CUSTO",
IF(AND(TIPOORCAMENTO="Licitado",$AL41=0,$AN41&gt;0),"SEM PREÇO",
IF(AND($C41="S",$P41&lt;&gt;0,$Q41&lt;&gt;0,$U41&gt;0,$V41=0),"BDI",
IF(OR(AND(TIPOORCAMENTO="Proposto",$AG41&lt;&gt;"",$AG41&gt;0,ORÇAMENTO.CustoUnitario&gt;$AG41),AND(TIPOORCAMENTO="LICITADO",ORÇAMENTO.PrecoUnitarioLicitado&gt;$AN41)),"ACIMA REF.",
IF(AND($C41="S",$P41&lt;&gt;0,$Q41&lt;&gt;0,$T41=0,$U41&gt;0),"QUANT.",
IF(AND(Import.TipoArredondamento="TransfereGOV",$L41="F",$C41="S",LEN($Q41)&gt;13),"Código &gt;13",
IF(AND(Import.TipoArredondamento="TransfereGOV",$L41="F",$C41&lt;&gt;"S",LEN($R41)&gt;100),"Descrição &gt;100",
IF(AND(Import.TipoArredondamento="TransfereGOV",$L41="F",$C41="S",LEN($R41)&gt;500),"Descrição &gt;500",
IF(AND(Import.TipoArredondamento="TransfereGOV",$L41="F",$C41="S",LEFT(TRIM(UPPER($P41)),6)&lt;&gt;"SINAPI",ISNA(VLOOKUP(TRIM(UPPER($S41)),ListaTgov.Unidades,1,FALSE))),"Unid. Não Disp",
" "))))))))))))))))</f>
        <v xml:space="preserve"> </v>
      </c>
      <c r="AD41">
        <f ca="1">IF(C41&lt;=CRONO.NivelExibicao,MAX($AD$15:OFFSET(AD41,-1,0))+IF($C41&lt;&gt;1,1,MAX(1,COUNTIF(QCI!$A$13:$A$24,OFFSET($E41,-1,0)))),"")</f>
        <v>7</v>
      </c>
      <c r="AE41" s="7" t="b">
        <f ca="1">IF(AND($C41="S",ORÇAMENTO.CodBarra&lt;&gt;""),IF(ORÇAMENTO.Fonte="",ORÇAMENTO.CodBarra,CONCATENATE(ORÇAMENTO.Fonte," ",ORÇAMENTO.CodBarra)))</f>
        <v>0</v>
      </c>
      <c r="AF41" s="12" t="str">
        <f ca="1">IF(ISERROR(INDIRECT(ORÇAMENTO.BancoRef)),"(abra o arquivo 'Referência "&amp;Excel_BuiltIn_Database&amp;".xlsm)",IF(OR($C41&lt;&gt;"S",ORÇAMENTO.CodBarra=""),"(Sem Código)",IF(ISERROR(MATCH($AE41,INDIRECT(ORÇAMENTO.BancoRef),0)),"(Código não identificado nas referências)",MATCH($AE41,INDIRECT(ORÇAMENTO.BancoRef),0))))</f>
        <v>(abra o arquivo 'Referência 12-2024.xlsm)</v>
      </c>
      <c r="AG41" s="429">
        <f ca="1">ROUND(IF(DESONERACAO="sim",REFERENCIA.Desonerado,REFERENCIA.NaoDesonerado),2)</f>
        <v>0</v>
      </c>
      <c r="AH41" s="430">
        <f t="shared" ca="1" si="15"/>
        <v>0.31190000000000001</v>
      </c>
      <c r="AJ41" s="432"/>
      <c r="AL41" s="440"/>
      <c r="AM41" s="337">
        <f t="shared" ca="1" si="0"/>
        <v>0</v>
      </c>
      <c r="AN41" s="471">
        <f t="shared" ca="1" si="16"/>
        <v>0</v>
      </c>
    </row>
    <row r="42" spans="1:40" ht="25.5" x14ac:dyDescent="0.2">
      <c r="A42" t="str">
        <f t="shared" si="1"/>
        <v>S</v>
      </c>
      <c r="B42">
        <f t="shared" ca="1" si="2"/>
        <v>2</v>
      </c>
      <c r="C42" t="str">
        <f t="shared" ca="1" si="3"/>
        <v>S</v>
      </c>
      <c r="D42">
        <f t="shared" ca="1" si="4"/>
        <v>0</v>
      </c>
      <c r="E42">
        <f ca="1">IF($C42=1,OFFSET(E42,-1,0)+MAX(1,COUNTIF(QCI!$A$13:$A$24,OFFSET(ORÇAMENTO!E42,-1,0))),OFFSET(E42,-1,0))</f>
        <v>1</v>
      </c>
      <c r="F42">
        <f t="shared" ca="1" si="5"/>
        <v>6</v>
      </c>
      <c r="G42">
        <f t="shared" ca="1" si="6"/>
        <v>0</v>
      </c>
      <c r="H42">
        <f t="shared" ca="1" si="7"/>
        <v>0</v>
      </c>
      <c r="I42">
        <f t="shared" ca="1" si="8"/>
        <v>0</v>
      </c>
      <c r="J42">
        <f t="shared" ca="1" si="9"/>
        <v>0</v>
      </c>
      <c r="K42">
        <f ca="1">IF(OR($C42="S",$C42=0),0,MATCH(OFFSET($D42,0,$C42)+IF($C42&lt;&gt;1,1,COUNTIF(QCI!$A$13:$A$24,ORÇAMENTO!E42)),OFFSET($D42,1,$C42,ROW($C$405)-ROW($C42)),0))</f>
        <v>0</v>
      </c>
      <c r="L42" s="115" t="str">
        <f t="shared" ca="1" si="10"/>
        <v/>
      </c>
      <c r="M42" s="116" t="s">
        <v>706</v>
      </c>
      <c r="N42" s="117" t="str">
        <f t="shared" ca="1" si="11"/>
        <v>Serviço</v>
      </c>
      <c r="O42" s="118" t="str">
        <f t="shared" ca="1" si="12"/>
        <v>-</v>
      </c>
      <c r="P42" s="119" t="s">
        <v>751</v>
      </c>
      <c r="Q42" s="120" t="s">
        <v>962</v>
      </c>
      <c r="R42" s="121" t="s">
        <v>1339</v>
      </c>
      <c r="S42" s="122" t="s">
        <v>623</v>
      </c>
      <c r="T42" s="123">
        <f ca="1">OFFSET(CÁLCULO!H$15,ROW($T42)-ROW(T$15),0)</f>
        <v>1541.5</v>
      </c>
      <c r="U42" s="124"/>
      <c r="V42" s="125" t="s">
        <v>663</v>
      </c>
      <c r="W42" s="123">
        <f ca="1">IF($C42="S",ROUND(IF(TIPOORCAMENTO="Proposto",ORÇAMENTO.CustoUnitario*(1+$AH42),ORÇAMENTO.PrecoUnitarioLicitado),15-13*$AF$10),0)</f>
        <v>0</v>
      </c>
      <c r="X42" s="126" cm="1">
        <f t="array" aca="1" ref="X42" ca="1">IF($C42="S",IF(OR(Import.TipoArredondamento&lt;&gt;"TransfereGOV",ACOMPANHAMENTO="BM"),VTOTAL1,SUM(OFFSET(CÁLCULO!$AA$15,ROW($X42)-ROW($X$15),1):OFFSET(CÁLCULO!$AL$15,ROW($X42)-ROW($X$15),-1))),IF($C42=0,0,ROUND(SomaAgrup,15-13*$AF$11)))</f>
        <v>0</v>
      </c>
      <c r="Y42" s="127" t="s">
        <v>752</v>
      </c>
      <c r="Z42" t="str">
        <f t="shared" ca="1" si="13"/>
        <v/>
      </c>
      <c r="AA42" s="128">
        <f ca="1">IF($C42="S",IF($Z42="CP",$X42,IF($Z42="RA",(($X42)*QCI!$AA$3),0)),SomaAgrup)</f>
        <v>0</v>
      </c>
      <c r="AB42" s="129">
        <f t="shared" ca="1" si="14"/>
        <v>0</v>
      </c>
      <c r="AC42" s="567" t="str">
        <f ca="1">IF($N42=""," ",
IF(AND($C42&lt;&gt;"S",OR($R42="",$R42="(digite a descrição aqui)")),"DESCRIÇÃO",
IF(AND($C42="S",OR($Q42&lt;&gt;0,$T42&gt;0,$U42&gt;0),$P42=0),"FONTE",
IF(AND($C42="S",$P42&lt;&gt;0,OR($T42&gt;0,$U42&gt;0),$Q42=0),"CÓDIGO",
IF(AND($C42="S",$P42&lt;&gt;0,$Q42&lt;&gt;0,$R42="(Código não identificado nas referências)"),"CÓDIGO N/ID",
IF(AND($C42="S",OR($R42="",$R42="(digite a descrição aqui)"),OR($Q42&lt;&gt;0,$T42&gt;0,$U42&gt;0)),"DESCRIÇÃO",
IF(AND($C42="S",$P42&lt;&gt;0,$Q42&lt;&gt;0,$S42=""),"UNIDADE",
IF(AND($C42="S",$P42&lt;&gt;0,$Q42&lt;&gt;0,$U42=0),"SEM CUSTO",
IF(AND(TIPOORCAMENTO="Licitado",$AL42=0,$AN42&gt;0),"SEM PREÇO",
IF(AND($C42="S",$P42&lt;&gt;0,$Q42&lt;&gt;0,$U42&gt;0,$V42=0),"BDI",
IF(OR(AND(TIPOORCAMENTO="Proposto",$AG42&lt;&gt;"",$AG42&gt;0,ORÇAMENTO.CustoUnitario&gt;$AG42),AND(TIPOORCAMENTO="LICITADO",ORÇAMENTO.PrecoUnitarioLicitado&gt;$AN42)),"ACIMA REF.",
IF(AND($C42="S",$P42&lt;&gt;0,$Q42&lt;&gt;0,$T42=0,$U42&gt;0),"QUANT.",
IF(AND(Import.TipoArredondamento="TransfereGOV",$L42="F",$C42="S",LEN($Q42)&gt;13),"Código &gt;13",
IF(AND(Import.TipoArredondamento="TransfereGOV",$L42="F",$C42&lt;&gt;"S",LEN($R42)&gt;100),"Descrição &gt;100",
IF(AND(Import.TipoArredondamento="TransfereGOV",$L42="F",$C42="S",LEN($R42)&gt;500),"Descrição &gt;500",
IF(AND(Import.TipoArredondamento="TransfereGOV",$L42="F",$C42="S",LEFT(TRIM(UPPER($P42)),6)&lt;&gt;"SINAPI",ISNA(VLOOKUP(TRIM(UPPER($S42)),ListaTgov.Unidades,1,FALSE))),"Unid. Não Disp",
" "))))))))))))))))</f>
        <v>SEM CUSTO</v>
      </c>
      <c r="AD42" t="str">
        <f ca="1">IF(C42&lt;=CRONO.NivelExibicao,MAX($AD$15:OFFSET(AD42,-1,0))+IF($C42&lt;&gt;1,1,MAX(1,COUNTIF(QCI!$A$13:$A$24,OFFSET($E42,-1,0)))),"")</f>
        <v/>
      </c>
      <c r="AE42" s="7" t="str">
        <f ca="1">IF(AND($C42="S",ORÇAMENTO.CodBarra&lt;&gt;""),IF(ORÇAMENTO.Fonte="",ORÇAMENTO.CodBarra,CONCATENATE(ORÇAMENTO.Fonte," ",ORÇAMENTO.CodBarra)))</f>
        <v>SINAPI 94216</v>
      </c>
      <c r="AF42" s="12" t="str">
        <f ca="1">IF(ISERROR(INDIRECT(ORÇAMENTO.BancoRef)),"(abra o arquivo 'Referência "&amp;Excel_BuiltIn_Database&amp;".xlsm)",IF(OR($C42&lt;&gt;"S",ORÇAMENTO.CodBarra=""),"(Sem Código)",IF(ISERROR(MATCH($AE42,INDIRECT(ORÇAMENTO.BancoRef),0)),"(Código não identificado nas referências)",MATCH($AE42,INDIRECT(ORÇAMENTO.BancoRef),0))))</f>
        <v>(abra o arquivo 'Referência 12-2024.xlsm)</v>
      </c>
      <c r="AG42" s="429">
        <f ca="1">ROUND(IF(DESONERACAO="sim",REFERENCIA.Desonerado,REFERENCIA.NaoDesonerado),2)</f>
        <v>0</v>
      </c>
      <c r="AH42" s="430">
        <f t="shared" ca="1" si="15"/>
        <v>0.31190000000000001</v>
      </c>
      <c r="AJ42" s="432">
        <v>1541.5</v>
      </c>
      <c r="AL42" s="440"/>
      <c r="AM42" s="337">
        <f t="shared" ca="1" si="0"/>
        <v>0</v>
      </c>
      <c r="AN42" s="471">
        <f t="shared" ca="1" si="16"/>
        <v>0</v>
      </c>
    </row>
    <row r="43" spans="1:40" ht="38.25" x14ac:dyDescent="0.2">
      <c r="A43" t="str">
        <f t="shared" si="1"/>
        <v>S</v>
      </c>
      <c r="B43">
        <f t="shared" ca="1" si="2"/>
        <v>2</v>
      </c>
      <c r="C43" t="str">
        <f t="shared" ca="1" si="3"/>
        <v>S</v>
      </c>
      <c r="D43">
        <f t="shared" ca="1" si="4"/>
        <v>0</v>
      </c>
      <c r="E43">
        <f ca="1">IF($C43=1,OFFSET(E43,-1,0)+MAX(1,COUNTIF(QCI!$A$13:$A$24,OFFSET(ORÇAMENTO!E43,-1,0))),OFFSET(E43,-1,0))</f>
        <v>1</v>
      </c>
      <c r="F43">
        <f t="shared" ca="1" si="5"/>
        <v>6</v>
      </c>
      <c r="G43">
        <f t="shared" ca="1" si="6"/>
        <v>0</v>
      </c>
      <c r="H43">
        <f t="shared" ca="1" si="7"/>
        <v>0</v>
      </c>
      <c r="I43">
        <f t="shared" ca="1" si="8"/>
        <v>0</v>
      </c>
      <c r="J43">
        <f t="shared" ca="1" si="9"/>
        <v>0</v>
      </c>
      <c r="K43">
        <f ca="1">IF(OR($C43="S",$C43=0),0,MATCH(OFFSET($D43,0,$C43)+IF($C43&lt;&gt;1,1,COUNTIF(QCI!$A$13:$A$24,ORÇAMENTO!E43)),OFFSET($D43,1,$C43,ROW($C$405)-ROW($C43)),0))</f>
        <v>0</v>
      </c>
      <c r="L43" s="115" t="str">
        <f t="shared" ca="1" si="10"/>
        <v/>
      </c>
      <c r="M43" s="116" t="s">
        <v>706</v>
      </c>
      <c r="N43" s="117" t="str">
        <f t="shared" ca="1" si="11"/>
        <v>Serviço</v>
      </c>
      <c r="O43" s="118" t="str">
        <f t="shared" ca="1" si="12"/>
        <v>-</v>
      </c>
      <c r="P43" s="119" t="s">
        <v>751</v>
      </c>
      <c r="Q43" s="120" t="s">
        <v>963</v>
      </c>
      <c r="R43" s="121" t="s">
        <v>1340</v>
      </c>
      <c r="S43" s="122" t="s">
        <v>621</v>
      </c>
      <c r="T43" s="123">
        <f ca="1">OFFSET(CÁLCULO!H$15,ROW($T43)-ROW(T$15),0)</f>
        <v>352</v>
      </c>
      <c r="U43" s="124"/>
      <c r="V43" s="125" t="s">
        <v>663</v>
      </c>
      <c r="W43" s="123">
        <f ca="1">IF($C43="S",ROUND(IF(TIPOORCAMENTO="Proposto",ORÇAMENTO.CustoUnitario*(1+$AH43),ORÇAMENTO.PrecoUnitarioLicitado),15-13*$AF$10),0)</f>
        <v>0</v>
      </c>
      <c r="X43" s="126" cm="1">
        <f t="array" aca="1" ref="X43" ca="1">IF($C43="S",IF(OR(Import.TipoArredondamento&lt;&gt;"TransfereGOV",ACOMPANHAMENTO="BM"),VTOTAL1,SUM(OFFSET(CÁLCULO!$AA$15,ROW($X43)-ROW($X$15),1):OFFSET(CÁLCULO!$AL$15,ROW($X43)-ROW($X$15),-1))),IF($C43=0,0,ROUND(SomaAgrup,15-13*$AF$11)))</f>
        <v>0</v>
      </c>
      <c r="Y43" s="127" t="s">
        <v>752</v>
      </c>
      <c r="Z43" t="str">
        <f t="shared" ca="1" si="13"/>
        <v/>
      </c>
      <c r="AA43" s="128">
        <f ca="1">IF($C43="S",IF($Z43="CP",$X43,IF($Z43="RA",(($X43)*QCI!$AA$3),0)),SomaAgrup)</f>
        <v>0</v>
      </c>
      <c r="AB43" s="129">
        <f t="shared" ca="1" si="14"/>
        <v>0</v>
      </c>
      <c r="AC43" s="567" t="str">
        <f ca="1">IF($N43=""," ",
IF(AND($C43&lt;&gt;"S",OR($R43="",$R43="(digite a descrição aqui)")),"DESCRIÇÃO",
IF(AND($C43="S",OR($Q43&lt;&gt;0,$T43&gt;0,$U43&gt;0),$P43=0),"FONTE",
IF(AND($C43="S",$P43&lt;&gt;0,OR($T43&gt;0,$U43&gt;0),$Q43=0),"CÓDIGO",
IF(AND($C43="S",$P43&lt;&gt;0,$Q43&lt;&gt;0,$R43="(Código não identificado nas referências)"),"CÓDIGO N/ID",
IF(AND($C43="S",OR($R43="",$R43="(digite a descrição aqui)"),OR($Q43&lt;&gt;0,$T43&gt;0,$U43&gt;0)),"DESCRIÇÃO",
IF(AND($C43="S",$P43&lt;&gt;0,$Q43&lt;&gt;0,$S43=""),"UNIDADE",
IF(AND($C43="S",$P43&lt;&gt;0,$Q43&lt;&gt;0,$U43=0),"SEM CUSTO",
IF(AND(TIPOORCAMENTO="Licitado",$AL43=0,$AN43&gt;0),"SEM PREÇO",
IF(AND($C43="S",$P43&lt;&gt;0,$Q43&lt;&gt;0,$U43&gt;0,$V43=0),"BDI",
IF(OR(AND(TIPOORCAMENTO="Proposto",$AG43&lt;&gt;"",$AG43&gt;0,ORÇAMENTO.CustoUnitario&gt;$AG43),AND(TIPOORCAMENTO="LICITADO",ORÇAMENTO.PrecoUnitarioLicitado&gt;$AN43)),"ACIMA REF.",
IF(AND($C43="S",$P43&lt;&gt;0,$Q43&lt;&gt;0,$T43=0,$U43&gt;0),"QUANT.",
IF(AND(Import.TipoArredondamento="TransfereGOV",$L43="F",$C43="S",LEN($Q43)&gt;13),"Código &gt;13",
IF(AND(Import.TipoArredondamento="TransfereGOV",$L43="F",$C43&lt;&gt;"S",LEN($R43)&gt;100),"Descrição &gt;100",
IF(AND(Import.TipoArredondamento="TransfereGOV",$L43="F",$C43="S",LEN($R43)&gt;500),"Descrição &gt;500",
IF(AND(Import.TipoArredondamento="TransfereGOV",$L43="F",$C43="S",LEFT(TRIM(UPPER($P43)),6)&lt;&gt;"SINAPI",ISNA(VLOOKUP(TRIM(UPPER($S43)),ListaTgov.Unidades,1,FALSE))),"Unid. Não Disp",
" "))))))))))))))))</f>
        <v>SEM CUSTO</v>
      </c>
      <c r="AD43" t="str">
        <f ca="1">IF(C43&lt;=CRONO.NivelExibicao,MAX($AD$15:OFFSET(AD43,-1,0))+IF($C43&lt;&gt;1,1,MAX(1,COUNTIF(QCI!$A$13:$A$24,OFFSET($E43,-1,0)))),"")</f>
        <v/>
      </c>
      <c r="AE43" s="7" t="str">
        <f ca="1">IF(AND($C43="S",ORÇAMENTO.CodBarra&lt;&gt;""),IF(ORÇAMENTO.Fonte="",ORÇAMENTO.CodBarra,CONCATENATE(ORÇAMENTO.Fonte," ",ORÇAMENTO.CodBarra)))</f>
        <v>SINAPI 94228</v>
      </c>
      <c r="AF43" s="12" t="str">
        <f ca="1">IF(ISERROR(INDIRECT(ORÇAMENTO.BancoRef)),"(abra o arquivo 'Referência "&amp;Excel_BuiltIn_Database&amp;".xlsm)",IF(OR($C43&lt;&gt;"S",ORÇAMENTO.CodBarra=""),"(Sem Código)",IF(ISERROR(MATCH($AE43,INDIRECT(ORÇAMENTO.BancoRef),0)),"(Código não identificado nas referências)",MATCH($AE43,INDIRECT(ORÇAMENTO.BancoRef),0))))</f>
        <v>(abra o arquivo 'Referência 12-2024.xlsm)</v>
      </c>
      <c r="AG43" s="429">
        <f ca="1">ROUND(IF(DESONERACAO="sim",REFERENCIA.Desonerado,REFERENCIA.NaoDesonerado),2)</f>
        <v>0</v>
      </c>
      <c r="AH43" s="430">
        <f t="shared" ca="1" si="15"/>
        <v>0.31190000000000001</v>
      </c>
      <c r="AJ43" s="432">
        <v>352</v>
      </c>
      <c r="AL43" s="440"/>
      <c r="AM43" s="337">
        <f t="shared" ca="1" si="0"/>
        <v>0</v>
      </c>
      <c r="AN43" s="471">
        <f t="shared" ca="1" si="16"/>
        <v>0</v>
      </c>
    </row>
    <row r="44" spans="1:40" ht="38.25" x14ac:dyDescent="0.2">
      <c r="A44" t="str">
        <f t="shared" si="1"/>
        <v>S</v>
      </c>
      <c r="B44">
        <f t="shared" ca="1" si="2"/>
        <v>2</v>
      </c>
      <c r="C44" t="str">
        <f t="shared" ca="1" si="3"/>
        <v>S</v>
      </c>
      <c r="D44">
        <f t="shared" ca="1" si="4"/>
        <v>0</v>
      </c>
      <c r="E44">
        <f ca="1">IF($C44=1,OFFSET(E44,-1,0)+MAX(1,COUNTIF(QCI!$A$13:$A$24,OFFSET(ORÇAMENTO!E44,-1,0))),OFFSET(E44,-1,0))</f>
        <v>1</v>
      </c>
      <c r="F44">
        <f t="shared" ca="1" si="5"/>
        <v>6</v>
      </c>
      <c r="G44">
        <f t="shared" ca="1" si="6"/>
        <v>0</v>
      </c>
      <c r="H44">
        <f t="shared" ca="1" si="7"/>
        <v>0</v>
      </c>
      <c r="I44">
        <f t="shared" ca="1" si="8"/>
        <v>0</v>
      </c>
      <c r="J44">
        <f t="shared" ca="1" si="9"/>
        <v>0</v>
      </c>
      <c r="K44">
        <f ca="1">IF(OR($C44="S",$C44=0),0,MATCH(OFFSET($D44,0,$C44)+IF($C44&lt;&gt;1,1,COUNTIF(QCI!$A$13:$A$24,ORÇAMENTO!E44)),OFFSET($D44,1,$C44,ROW($C$405)-ROW($C44)),0))</f>
        <v>0</v>
      </c>
      <c r="L44" s="115" t="str">
        <f t="shared" ca="1" si="10"/>
        <v/>
      </c>
      <c r="M44" s="116" t="s">
        <v>706</v>
      </c>
      <c r="N44" s="117" t="str">
        <f t="shared" ca="1" si="11"/>
        <v>Serviço</v>
      </c>
      <c r="O44" s="118" t="str">
        <f t="shared" ca="1" si="12"/>
        <v>-</v>
      </c>
      <c r="P44" s="119" t="s">
        <v>751</v>
      </c>
      <c r="Q44" s="120" t="s">
        <v>964</v>
      </c>
      <c r="R44" s="121" t="s">
        <v>1341</v>
      </c>
      <c r="S44" s="122" t="s">
        <v>621</v>
      </c>
      <c r="T44" s="123">
        <f ca="1">OFFSET(CÁLCULO!H$15,ROW($T44)-ROW(T$15),0)</f>
        <v>65</v>
      </c>
      <c r="U44" s="124"/>
      <c r="V44" s="125" t="s">
        <v>663</v>
      </c>
      <c r="W44" s="123">
        <f ca="1">IF($C44="S",ROUND(IF(TIPOORCAMENTO="Proposto",ORÇAMENTO.CustoUnitario*(1+$AH44),ORÇAMENTO.PrecoUnitarioLicitado),15-13*$AF$10),0)</f>
        <v>0</v>
      </c>
      <c r="X44" s="126" cm="1">
        <f t="array" aca="1" ref="X44" ca="1">IF($C44="S",IF(OR(Import.TipoArredondamento&lt;&gt;"TransfereGOV",ACOMPANHAMENTO="BM"),VTOTAL1,SUM(OFFSET(CÁLCULO!$AA$15,ROW($X44)-ROW($X$15),1):OFFSET(CÁLCULO!$AL$15,ROW($X44)-ROW($X$15),-1))),IF($C44=0,0,ROUND(SomaAgrup,15-13*$AF$11)))</f>
        <v>0</v>
      </c>
      <c r="Y44" s="127" t="s">
        <v>752</v>
      </c>
      <c r="Z44" t="str">
        <f t="shared" ca="1" si="13"/>
        <v/>
      </c>
      <c r="AA44" s="128">
        <f ca="1">IF($C44="S",IF($Z44="CP",$X44,IF($Z44="RA",(($X44)*QCI!$AA$3),0)),SomaAgrup)</f>
        <v>0</v>
      </c>
      <c r="AB44" s="129">
        <f t="shared" ca="1" si="14"/>
        <v>0</v>
      </c>
      <c r="AC44" s="567" t="str">
        <f ca="1">IF($N44=""," ",
IF(AND($C44&lt;&gt;"S",OR($R44="",$R44="(digite a descrição aqui)")),"DESCRIÇÃO",
IF(AND($C44="S",OR($Q44&lt;&gt;0,$T44&gt;0,$U44&gt;0),$P44=0),"FONTE",
IF(AND($C44="S",$P44&lt;&gt;0,OR($T44&gt;0,$U44&gt;0),$Q44=0),"CÓDIGO",
IF(AND($C44="S",$P44&lt;&gt;0,$Q44&lt;&gt;0,$R44="(Código não identificado nas referências)"),"CÓDIGO N/ID",
IF(AND($C44="S",OR($R44="",$R44="(digite a descrição aqui)"),OR($Q44&lt;&gt;0,$T44&gt;0,$U44&gt;0)),"DESCRIÇÃO",
IF(AND($C44="S",$P44&lt;&gt;0,$Q44&lt;&gt;0,$S44=""),"UNIDADE",
IF(AND($C44="S",$P44&lt;&gt;0,$Q44&lt;&gt;0,$U44=0),"SEM CUSTO",
IF(AND(TIPOORCAMENTO="Licitado",$AL44=0,$AN44&gt;0),"SEM PREÇO",
IF(AND($C44="S",$P44&lt;&gt;0,$Q44&lt;&gt;0,$U44&gt;0,$V44=0),"BDI",
IF(OR(AND(TIPOORCAMENTO="Proposto",$AG44&lt;&gt;"",$AG44&gt;0,ORÇAMENTO.CustoUnitario&gt;$AG44),AND(TIPOORCAMENTO="LICITADO",ORÇAMENTO.PrecoUnitarioLicitado&gt;$AN44)),"ACIMA REF.",
IF(AND($C44="S",$P44&lt;&gt;0,$Q44&lt;&gt;0,$T44=0,$U44&gt;0),"QUANT.",
IF(AND(Import.TipoArredondamento="TransfereGOV",$L44="F",$C44="S",LEN($Q44)&gt;13),"Código &gt;13",
IF(AND(Import.TipoArredondamento="TransfereGOV",$L44="F",$C44&lt;&gt;"S",LEN($R44)&gt;100),"Descrição &gt;100",
IF(AND(Import.TipoArredondamento="TransfereGOV",$L44="F",$C44="S",LEN($R44)&gt;500),"Descrição &gt;500",
IF(AND(Import.TipoArredondamento="TransfereGOV",$L44="F",$C44="S",LEFT(TRIM(UPPER($P44)),6)&lt;&gt;"SINAPI",ISNA(VLOOKUP(TRIM(UPPER($S44)),ListaTgov.Unidades,1,FALSE))),"Unid. Não Disp",
" "))))))))))))))))</f>
        <v>SEM CUSTO</v>
      </c>
      <c r="AD44" t="str">
        <f ca="1">IF(C44&lt;=CRONO.NivelExibicao,MAX($AD$15:OFFSET(AD44,-1,0))+IF($C44&lt;&gt;1,1,MAX(1,COUNTIF(QCI!$A$13:$A$24,OFFSET($E44,-1,0)))),"")</f>
        <v/>
      </c>
      <c r="AE44" s="7" t="str">
        <f ca="1">IF(AND($C44="S",ORÇAMENTO.CodBarra&lt;&gt;""),IF(ORÇAMENTO.Fonte="",ORÇAMENTO.CodBarra,CONCATENATE(ORÇAMENTO.Fonte," ",ORÇAMENTO.CodBarra)))</f>
        <v>SINAPI 94229</v>
      </c>
      <c r="AF44" s="12" t="str">
        <f ca="1">IF(ISERROR(INDIRECT(ORÇAMENTO.BancoRef)),"(abra o arquivo 'Referência "&amp;Excel_BuiltIn_Database&amp;".xlsm)",IF(OR($C44&lt;&gt;"S",ORÇAMENTO.CodBarra=""),"(Sem Código)",IF(ISERROR(MATCH($AE44,INDIRECT(ORÇAMENTO.BancoRef),0)),"(Código não identificado nas referências)",MATCH($AE44,INDIRECT(ORÇAMENTO.BancoRef),0))))</f>
        <v>(abra o arquivo 'Referência 12-2024.xlsm)</v>
      </c>
      <c r="AG44" s="429">
        <f ca="1">ROUND(IF(DESONERACAO="sim",REFERENCIA.Desonerado,REFERENCIA.NaoDesonerado),2)</f>
        <v>0</v>
      </c>
      <c r="AH44" s="430">
        <f t="shared" ca="1" si="15"/>
        <v>0.31190000000000001</v>
      </c>
      <c r="AJ44" s="432">
        <v>65</v>
      </c>
      <c r="AL44" s="440"/>
      <c r="AM44" s="337">
        <f t="shared" ca="1" si="0"/>
        <v>0</v>
      </c>
      <c r="AN44" s="471">
        <f t="shared" ca="1" si="16"/>
        <v>0</v>
      </c>
    </row>
    <row r="45" spans="1:40" ht="25.5" x14ac:dyDescent="0.2">
      <c r="A45" t="str">
        <f t="shared" si="1"/>
        <v>S</v>
      </c>
      <c r="B45">
        <f t="shared" ca="1" si="2"/>
        <v>2</v>
      </c>
      <c r="C45" t="str">
        <f t="shared" ca="1" si="3"/>
        <v>S</v>
      </c>
      <c r="D45">
        <f t="shared" ca="1" si="4"/>
        <v>0</v>
      </c>
      <c r="E45">
        <f ca="1">IF($C45=1,OFFSET(E45,-1,0)+MAX(1,COUNTIF(QCI!$A$13:$A$24,OFFSET(ORÇAMENTO!E45,-1,0))),OFFSET(E45,-1,0))</f>
        <v>1</v>
      </c>
      <c r="F45">
        <f t="shared" ca="1" si="5"/>
        <v>6</v>
      </c>
      <c r="G45">
        <f t="shared" ca="1" si="6"/>
        <v>0</v>
      </c>
      <c r="H45">
        <f t="shared" ca="1" si="7"/>
        <v>0</v>
      </c>
      <c r="I45">
        <f t="shared" ca="1" si="8"/>
        <v>0</v>
      </c>
      <c r="J45">
        <f t="shared" ca="1" si="9"/>
        <v>0</v>
      </c>
      <c r="K45">
        <f ca="1">IF(OR($C45="S",$C45=0),0,MATCH(OFFSET($D45,0,$C45)+IF($C45&lt;&gt;1,1,COUNTIF(QCI!$A$13:$A$24,ORÇAMENTO!E45)),OFFSET($D45,1,$C45,ROW($C$405)-ROW($C45)),0))</f>
        <v>0</v>
      </c>
      <c r="L45" s="115" t="str">
        <f t="shared" ca="1" si="10"/>
        <v/>
      </c>
      <c r="M45" s="116" t="s">
        <v>706</v>
      </c>
      <c r="N45" s="117" t="str">
        <f t="shared" ca="1" si="11"/>
        <v>Serviço</v>
      </c>
      <c r="O45" s="118" t="str">
        <f t="shared" ca="1" si="12"/>
        <v>-</v>
      </c>
      <c r="P45" s="119" t="s">
        <v>751</v>
      </c>
      <c r="Q45" s="120" t="s">
        <v>965</v>
      </c>
      <c r="R45" s="121" t="s">
        <v>1342</v>
      </c>
      <c r="S45" s="122" t="s">
        <v>621</v>
      </c>
      <c r="T45" s="123">
        <f ca="1">OFFSET(CÁLCULO!H$15,ROW($T45)-ROW(T$15),0)</f>
        <v>999.1</v>
      </c>
      <c r="U45" s="124"/>
      <c r="V45" s="125" t="s">
        <v>663</v>
      </c>
      <c r="W45" s="123">
        <f ca="1">IF($C45="S",ROUND(IF(TIPOORCAMENTO="Proposto",ORÇAMENTO.CustoUnitario*(1+$AH45),ORÇAMENTO.PrecoUnitarioLicitado),15-13*$AF$10),0)</f>
        <v>0</v>
      </c>
      <c r="X45" s="126" cm="1">
        <f t="array" aca="1" ref="X45" ca="1">IF($C45="S",IF(OR(Import.TipoArredondamento&lt;&gt;"TransfereGOV",ACOMPANHAMENTO="BM"),VTOTAL1,SUM(OFFSET(CÁLCULO!$AA$15,ROW($X45)-ROW($X$15),1):OFFSET(CÁLCULO!$AL$15,ROW($X45)-ROW($X$15),-1))),IF($C45=0,0,ROUND(SomaAgrup,15-13*$AF$11)))</f>
        <v>0</v>
      </c>
      <c r="Y45" s="127" t="s">
        <v>752</v>
      </c>
      <c r="Z45" t="str">
        <f t="shared" ca="1" si="13"/>
        <v/>
      </c>
      <c r="AA45" s="128">
        <f ca="1">IF($C45="S",IF($Z45="CP",$X45,IF($Z45="RA",(($X45)*QCI!$AA$3),0)),SomaAgrup)</f>
        <v>0</v>
      </c>
      <c r="AB45" s="129">
        <f t="shared" ca="1" si="14"/>
        <v>0</v>
      </c>
      <c r="AC45" s="567" t="str">
        <f ca="1">IF($N45=""," ",
IF(AND($C45&lt;&gt;"S",OR($R45="",$R45="(digite a descrição aqui)")),"DESCRIÇÃO",
IF(AND($C45="S",OR($Q45&lt;&gt;0,$T45&gt;0,$U45&gt;0),$P45=0),"FONTE",
IF(AND($C45="S",$P45&lt;&gt;0,OR($T45&gt;0,$U45&gt;0),$Q45=0),"CÓDIGO",
IF(AND($C45="S",$P45&lt;&gt;0,$Q45&lt;&gt;0,$R45="(Código não identificado nas referências)"),"CÓDIGO N/ID",
IF(AND($C45="S",OR($R45="",$R45="(digite a descrição aqui)"),OR($Q45&lt;&gt;0,$T45&gt;0,$U45&gt;0)),"DESCRIÇÃO",
IF(AND($C45="S",$P45&lt;&gt;0,$Q45&lt;&gt;0,$S45=""),"UNIDADE",
IF(AND($C45="S",$P45&lt;&gt;0,$Q45&lt;&gt;0,$U45=0),"SEM CUSTO",
IF(AND(TIPOORCAMENTO="Licitado",$AL45=0,$AN45&gt;0),"SEM PREÇO",
IF(AND($C45="S",$P45&lt;&gt;0,$Q45&lt;&gt;0,$U45&gt;0,$V45=0),"BDI",
IF(OR(AND(TIPOORCAMENTO="Proposto",$AG45&lt;&gt;"",$AG45&gt;0,ORÇAMENTO.CustoUnitario&gt;$AG45),AND(TIPOORCAMENTO="LICITADO",ORÇAMENTO.PrecoUnitarioLicitado&gt;$AN45)),"ACIMA REF.",
IF(AND($C45="S",$P45&lt;&gt;0,$Q45&lt;&gt;0,$T45=0,$U45&gt;0),"QUANT.",
IF(AND(Import.TipoArredondamento="TransfereGOV",$L45="F",$C45="S",LEN($Q45)&gt;13),"Código &gt;13",
IF(AND(Import.TipoArredondamento="TransfereGOV",$L45="F",$C45&lt;&gt;"S",LEN($R45)&gt;100),"Descrição &gt;100",
IF(AND(Import.TipoArredondamento="TransfereGOV",$L45="F",$C45="S",LEN($R45)&gt;500),"Descrição &gt;500",
IF(AND(Import.TipoArredondamento="TransfereGOV",$L45="F",$C45="S",LEFT(TRIM(UPPER($P45)),6)&lt;&gt;"SINAPI",ISNA(VLOOKUP(TRIM(UPPER($S45)),ListaTgov.Unidades,1,FALSE))),"Unid. Não Disp",
" "))))))))))))))))</f>
        <v>SEM CUSTO</v>
      </c>
      <c r="AD45" t="str">
        <f ca="1">IF(C45&lt;=CRONO.NivelExibicao,MAX($AD$15:OFFSET(AD45,-1,0))+IF($C45&lt;&gt;1,1,MAX(1,COUNTIF(QCI!$A$13:$A$24,OFFSET($E45,-1,0)))),"")</f>
        <v/>
      </c>
      <c r="AE45" s="7" t="str">
        <f ca="1">IF(AND($C45="S",ORÇAMENTO.CodBarra&lt;&gt;""),IF(ORÇAMENTO.Fonte="",ORÇAMENTO.CodBarra,CONCATENATE(ORÇAMENTO.Fonte," ",ORÇAMENTO.CodBarra)))</f>
        <v>SINAPI 100327</v>
      </c>
      <c r="AF45" s="12" t="str">
        <f ca="1">IF(ISERROR(INDIRECT(ORÇAMENTO.BancoRef)),"(abra o arquivo 'Referência "&amp;Excel_BuiltIn_Database&amp;".xlsm)",IF(OR($C45&lt;&gt;"S",ORÇAMENTO.CodBarra=""),"(Sem Código)",IF(ISERROR(MATCH($AE45,INDIRECT(ORÇAMENTO.BancoRef),0)),"(Código não identificado nas referências)",MATCH($AE45,INDIRECT(ORÇAMENTO.BancoRef),0))))</f>
        <v>(abra o arquivo 'Referência 12-2024.xlsm)</v>
      </c>
      <c r="AG45" s="429">
        <f ca="1">ROUND(IF(DESONERACAO="sim",REFERENCIA.Desonerado,REFERENCIA.NaoDesonerado),2)</f>
        <v>0</v>
      </c>
      <c r="AH45" s="430">
        <f t="shared" ca="1" si="15"/>
        <v>0.31190000000000001</v>
      </c>
      <c r="AJ45" s="432">
        <v>999.1</v>
      </c>
      <c r="AL45" s="440"/>
      <c r="AM45" s="337">
        <f t="shared" ca="1" si="0"/>
        <v>0</v>
      </c>
      <c r="AN45" s="471">
        <f t="shared" ca="1" si="16"/>
        <v>0</v>
      </c>
    </row>
    <row r="46" spans="1:40" ht="25.5" x14ac:dyDescent="0.2">
      <c r="A46" t="str">
        <f t="shared" si="1"/>
        <v>S</v>
      </c>
      <c r="B46">
        <f t="shared" ca="1" si="2"/>
        <v>2</v>
      </c>
      <c r="C46" t="str">
        <f t="shared" ca="1" si="3"/>
        <v>S</v>
      </c>
      <c r="D46">
        <f t="shared" ca="1" si="4"/>
        <v>0</v>
      </c>
      <c r="E46">
        <f ca="1">IF($C46=1,OFFSET(E46,-1,0)+MAX(1,COUNTIF(QCI!$A$13:$A$24,OFFSET(ORÇAMENTO!E46,-1,0))),OFFSET(E46,-1,0))</f>
        <v>1</v>
      </c>
      <c r="F46">
        <f t="shared" ca="1" si="5"/>
        <v>6</v>
      </c>
      <c r="G46">
        <f t="shared" ca="1" si="6"/>
        <v>0</v>
      </c>
      <c r="H46">
        <f t="shared" ca="1" si="7"/>
        <v>0</v>
      </c>
      <c r="I46">
        <f t="shared" ca="1" si="8"/>
        <v>0</v>
      </c>
      <c r="J46">
        <f t="shared" ca="1" si="9"/>
        <v>0</v>
      </c>
      <c r="K46">
        <f ca="1">IF(OR($C46="S",$C46=0),0,MATCH(OFFSET($D46,0,$C46)+IF($C46&lt;&gt;1,1,COUNTIF(QCI!$A$13:$A$24,ORÇAMENTO!E46)),OFFSET($D46,1,$C46,ROW($C$405)-ROW($C46)),0))</f>
        <v>0</v>
      </c>
      <c r="L46" s="115" t="str">
        <f t="shared" ca="1" si="10"/>
        <v/>
      </c>
      <c r="M46" s="116" t="s">
        <v>706</v>
      </c>
      <c r="N46" s="117" t="str">
        <f t="shared" ca="1" si="11"/>
        <v>Serviço</v>
      </c>
      <c r="O46" s="118" t="str">
        <f t="shared" ca="1" si="12"/>
        <v>-</v>
      </c>
      <c r="P46" s="119" t="s">
        <v>1315</v>
      </c>
      <c r="Q46" s="120" t="s">
        <v>966</v>
      </c>
      <c r="R46" s="121" t="s">
        <v>1343</v>
      </c>
      <c r="S46" s="122" t="s">
        <v>1645</v>
      </c>
      <c r="T46" s="123">
        <f ca="1">OFFSET(CÁLCULO!H$15,ROW($T46)-ROW(T$15),0)</f>
        <v>770.75</v>
      </c>
      <c r="U46" s="124"/>
      <c r="V46" s="125" t="s">
        <v>663</v>
      </c>
      <c r="W46" s="123">
        <f ca="1">IF($C46="S",ROUND(IF(TIPOORCAMENTO="Proposto",ORÇAMENTO.CustoUnitario*(1+$AH46),ORÇAMENTO.PrecoUnitarioLicitado),15-13*$AF$10),0)</f>
        <v>0</v>
      </c>
      <c r="X46" s="126" cm="1">
        <f t="array" aca="1" ref="X46" ca="1">IF($C46="S",IF(OR(Import.TipoArredondamento&lt;&gt;"TransfereGOV",ACOMPANHAMENTO="BM"),VTOTAL1,SUM(OFFSET(CÁLCULO!$AA$15,ROW($X46)-ROW($X$15),1):OFFSET(CÁLCULO!$AL$15,ROW($X46)-ROW($X$15),-1))),IF($C46=0,0,ROUND(SomaAgrup,15-13*$AF$11)))</f>
        <v>0</v>
      </c>
      <c r="Y46" s="127" t="s">
        <v>752</v>
      </c>
      <c r="Z46" t="str">
        <f t="shared" ca="1" si="13"/>
        <v/>
      </c>
      <c r="AA46" s="128">
        <f ca="1">IF($C46="S",IF($Z46="CP",$X46,IF($Z46="RA",(($X46)*QCI!$AA$3),0)),SomaAgrup)</f>
        <v>0</v>
      </c>
      <c r="AB46" s="129">
        <f t="shared" ca="1" si="14"/>
        <v>0</v>
      </c>
      <c r="AC46" s="567" t="str">
        <f ca="1">IF($N46=""," ",
IF(AND($C46&lt;&gt;"S",OR($R46="",$R46="(digite a descrição aqui)")),"DESCRIÇÃO",
IF(AND($C46="S",OR($Q46&lt;&gt;0,$T46&gt;0,$U46&gt;0),$P46=0),"FONTE",
IF(AND($C46="S",$P46&lt;&gt;0,OR($T46&gt;0,$U46&gt;0),$Q46=0),"CÓDIGO",
IF(AND($C46="S",$P46&lt;&gt;0,$Q46&lt;&gt;0,$R46="(Código não identificado nas referências)"),"CÓDIGO N/ID",
IF(AND($C46="S",OR($R46="",$R46="(digite a descrição aqui)"),OR($Q46&lt;&gt;0,$T46&gt;0,$U46&gt;0)),"DESCRIÇÃO",
IF(AND($C46="S",$P46&lt;&gt;0,$Q46&lt;&gt;0,$S46=""),"UNIDADE",
IF(AND($C46="S",$P46&lt;&gt;0,$Q46&lt;&gt;0,$U46=0),"SEM CUSTO",
IF(AND(TIPOORCAMENTO="Licitado",$AL46=0,$AN46&gt;0),"SEM PREÇO",
IF(AND($C46="S",$P46&lt;&gt;0,$Q46&lt;&gt;0,$U46&gt;0,$V46=0),"BDI",
IF(OR(AND(TIPOORCAMENTO="Proposto",$AG46&lt;&gt;"",$AG46&gt;0,ORÇAMENTO.CustoUnitario&gt;$AG46),AND(TIPOORCAMENTO="LICITADO",ORÇAMENTO.PrecoUnitarioLicitado&gt;$AN46)),"ACIMA REF.",
IF(AND($C46="S",$P46&lt;&gt;0,$Q46&lt;&gt;0,$T46=0,$U46&gt;0),"QUANT.",
IF(AND(Import.TipoArredondamento="TransfereGOV",$L46="F",$C46="S",LEN($Q46)&gt;13),"Código &gt;13",
IF(AND(Import.TipoArredondamento="TransfereGOV",$L46="F",$C46&lt;&gt;"S",LEN($R46)&gt;100),"Descrição &gt;100",
IF(AND(Import.TipoArredondamento="TransfereGOV",$L46="F",$C46="S",LEN($R46)&gt;500),"Descrição &gt;500",
IF(AND(Import.TipoArredondamento="TransfereGOV",$L46="F",$C46="S",LEFT(TRIM(UPPER($P46)),6)&lt;&gt;"SINAPI",ISNA(VLOOKUP(TRIM(UPPER($S46)),ListaTgov.Unidades,1,FALSE))),"Unid. Não Disp",
" "))))))))))))))))</f>
        <v>SEM CUSTO</v>
      </c>
      <c r="AD46" t="str">
        <f ca="1">IF(C46&lt;=CRONO.NivelExibicao,MAX($AD$15:OFFSET(AD46,-1,0))+IF($C46&lt;&gt;1,1,MAX(1,COUNTIF(QCI!$A$13:$A$24,OFFSET($E46,-1,0)))),"")</f>
        <v/>
      </c>
      <c r="AE46" s="7" t="str">
        <f ca="1">IF(AND($C46="S",ORÇAMENTO.CodBarra&lt;&gt;""),IF(ORÇAMENTO.Fonte="",ORÇAMENTO.CodBarra,CONCATENATE(ORÇAMENTO.Fonte," ",ORÇAMENTO.CodBarra)))</f>
        <v>SINAPI-I 142</v>
      </c>
      <c r="AF46" s="12" t="str">
        <f ca="1">IF(ISERROR(INDIRECT(ORÇAMENTO.BancoRef)),"(abra o arquivo 'Referência "&amp;Excel_BuiltIn_Database&amp;".xlsm)",IF(OR($C46&lt;&gt;"S",ORÇAMENTO.CodBarra=""),"(Sem Código)",IF(ISERROR(MATCH($AE46,INDIRECT(ORÇAMENTO.BancoRef),0)),"(Código não identificado nas referências)",MATCH($AE46,INDIRECT(ORÇAMENTO.BancoRef),0))))</f>
        <v>(abra o arquivo 'Referência 12-2024.xlsm)</v>
      </c>
      <c r="AG46" s="429">
        <f ca="1">ROUND(IF(DESONERACAO="sim",REFERENCIA.Desonerado,REFERENCIA.NaoDesonerado),2)</f>
        <v>0</v>
      </c>
      <c r="AH46" s="430">
        <f t="shared" ca="1" si="15"/>
        <v>0.31190000000000001</v>
      </c>
      <c r="AJ46" s="432">
        <v>770.75</v>
      </c>
      <c r="AL46" s="440"/>
      <c r="AM46" s="337">
        <f t="shared" ca="1" si="0"/>
        <v>0</v>
      </c>
      <c r="AN46" s="471">
        <f t="shared" ca="1" si="16"/>
        <v>0</v>
      </c>
    </row>
    <row r="47" spans="1:40" x14ac:dyDescent="0.2">
      <c r="A47">
        <f t="shared" si="1"/>
        <v>2</v>
      </c>
      <c r="B47">
        <f t="shared" ca="1" si="2"/>
        <v>2</v>
      </c>
      <c r="C47">
        <f t="shared" ca="1" si="3"/>
        <v>2</v>
      </c>
      <c r="D47">
        <f t="shared" ca="1" si="4"/>
        <v>5</v>
      </c>
      <c r="E47">
        <f ca="1">IF($C47=1,OFFSET(E47,-1,0)+MAX(1,COUNTIF(QCI!$A$13:$A$24,OFFSET(ORÇAMENTO!E47,-1,0))),OFFSET(E47,-1,0))</f>
        <v>1</v>
      </c>
      <c r="F47">
        <f t="shared" ca="1" si="5"/>
        <v>7</v>
      </c>
      <c r="G47">
        <f t="shared" ca="1" si="6"/>
        <v>0</v>
      </c>
      <c r="H47">
        <f t="shared" ca="1" si="7"/>
        <v>0</v>
      </c>
      <c r="I47">
        <f t="shared" ca="1" si="8"/>
        <v>0</v>
      </c>
      <c r="J47">
        <f t="shared" ca="1" si="9"/>
        <v>358</v>
      </c>
      <c r="K47">
        <f ca="1">IF(OR($C47="S",$C47=0),0,MATCH(OFFSET($D47,0,$C47)+IF($C47&lt;&gt;1,1,COUNTIF(QCI!$A$13:$A$24,ORÇAMENTO!E47)),OFFSET($D47,1,$C47,ROW($C$405)-ROW($C47)),0))</f>
        <v>5</v>
      </c>
      <c r="L47" s="115" t="str">
        <f t="shared" ca="1" si="10"/>
        <v>F</v>
      </c>
      <c r="M47" s="116" t="s">
        <v>703</v>
      </c>
      <c r="N47" s="117" t="str">
        <f t="shared" ca="1" si="11"/>
        <v>Nível 2</v>
      </c>
      <c r="O47" s="118" t="str">
        <f t="shared" ca="1" si="12"/>
        <v>1.7.</v>
      </c>
      <c r="P47" s="119" t="s">
        <v>751</v>
      </c>
      <c r="Q47" s="120"/>
      <c r="R47" s="121" t="s">
        <v>1281</v>
      </c>
      <c r="S47" s="122" t="s">
        <v>689</v>
      </c>
      <c r="T47" s="123">
        <f ca="1">OFFSET(CÁLCULO!H$15,ROW($T47)-ROW(T$15),0)</f>
        <v>0</v>
      </c>
      <c r="U47" s="124"/>
      <c r="V47" s="125" t="s">
        <v>663</v>
      </c>
      <c r="W47" s="123">
        <f ca="1">IF($C47="S",ROUND(IF(TIPOORCAMENTO="Proposto",ORÇAMENTO.CustoUnitario*(1+$AH47),ORÇAMENTO.PrecoUnitarioLicitado),15-13*$AF$10),0)</f>
        <v>0</v>
      </c>
      <c r="X47" s="126" cm="1">
        <f t="array" aca="1" ref="X47" ca="1">IF($C47="S",IF(OR(Import.TipoArredondamento&lt;&gt;"TransfereGOV",ACOMPANHAMENTO="BM"),VTOTAL1,SUM(OFFSET(CÁLCULO!$AA$15,ROW($X47)-ROW($X$15),1):OFFSET(CÁLCULO!$AL$15,ROW($X47)-ROW($X$15),-1))),IF($C47=0,0,ROUND(SomaAgrup,15-13*$AF$11)))</f>
        <v>0</v>
      </c>
      <c r="Y47" s="127" t="s">
        <v>752</v>
      </c>
      <c r="Z47" t="str">
        <f t="shared" ca="1" si="13"/>
        <v/>
      </c>
      <c r="AA47" s="128">
        <f ca="1">IF($C47="S",IF($Z47="CP",$X47,IF($Z47="RA",(($X47)*QCI!$AA$3),0)),SomaAgrup)</f>
        <v>0</v>
      </c>
      <c r="AB47" s="129">
        <f t="shared" ca="1" si="14"/>
        <v>0</v>
      </c>
      <c r="AC47" s="567" t="str">
        <f ca="1">IF($N47=""," ",
IF(AND($C47&lt;&gt;"S",OR($R47="",$R47="(digite a descrição aqui)")),"DESCRIÇÃO",
IF(AND($C47="S",OR($Q47&lt;&gt;0,$T47&gt;0,$U47&gt;0),$P47=0),"FONTE",
IF(AND($C47="S",$P47&lt;&gt;0,OR($T47&gt;0,$U47&gt;0),$Q47=0),"CÓDIGO",
IF(AND($C47="S",$P47&lt;&gt;0,$Q47&lt;&gt;0,$R47="(Código não identificado nas referências)"),"CÓDIGO N/ID",
IF(AND($C47="S",OR($R47="",$R47="(digite a descrição aqui)"),OR($Q47&lt;&gt;0,$T47&gt;0,$U47&gt;0)),"DESCRIÇÃO",
IF(AND($C47="S",$P47&lt;&gt;0,$Q47&lt;&gt;0,$S47=""),"UNIDADE",
IF(AND($C47="S",$P47&lt;&gt;0,$Q47&lt;&gt;0,$U47=0),"SEM CUSTO",
IF(AND(TIPOORCAMENTO="Licitado",$AL47=0,$AN47&gt;0),"SEM PREÇO",
IF(AND($C47="S",$P47&lt;&gt;0,$Q47&lt;&gt;0,$U47&gt;0,$V47=0),"BDI",
IF(OR(AND(TIPOORCAMENTO="Proposto",$AG47&lt;&gt;"",$AG47&gt;0,ORÇAMENTO.CustoUnitario&gt;$AG47),AND(TIPOORCAMENTO="LICITADO",ORÇAMENTO.PrecoUnitarioLicitado&gt;$AN47)),"ACIMA REF.",
IF(AND($C47="S",$P47&lt;&gt;0,$Q47&lt;&gt;0,$T47=0,$U47&gt;0),"QUANT.",
IF(AND(Import.TipoArredondamento="TransfereGOV",$L47="F",$C47="S",LEN($Q47)&gt;13),"Código &gt;13",
IF(AND(Import.TipoArredondamento="TransfereGOV",$L47="F",$C47&lt;&gt;"S",LEN($R47)&gt;100),"Descrição &gt;100",
IF(AND(Import.TipoArredondamento="TransfereGOV",$L47="F",$C47="S",LEN($R47)&gt;500),"Descrição &gt;500",
IF(AND(Import.TipoArredondamento="TransfereGOV",$L47="F",$C47="S",LEFT(TRIM(UPPER($P47)),6)&lt;&gt;"SINAPI",ISNA(VLOOKUP(TRIM(UPPER($S47)),ListaTgov.Unidades,1,FALSE))),"Unid. Não Disp",
" "))))))))))))))))</f>
        <v xml:space="preserve"> </v>
      </c>
      <c r="AD47">
        <f ca="1">IF(C47&lt;=CRONO.NivelExibicao,MAX($AD$15:OFFSET(AD47,-1,0))+IF($C47&lt;&gt;1,1,MAX(1,COUNTIF(QCI!$A$13:$A$24,OFFSET($E47,-1,0)))),"")</f>
        <v>8</v>
      </c>
      <c r="AE47" s="7" t="b">
        <f ca="1">IF(AND($C47="S",ORÇAMENTO.CodBarra&lt;&gt;""),IF(ORÇAMENTO.Fonte="",ORÇAMENTO.CodBarra,CONCATENATE(ORÇAMENTO.Fonte," ",ORÇAMENTO.CodBarra)))</f>
        <v>0</v>
      </c>
      <c r="AF47" s="12" t="str">
        <f ca="1">IF(ISERROR(INDIRECT(ORÇAMENTO.BancoRef)),"(abra o arquivo 'Referência "&amp;Excel_BuiltIn_Database&amp;".xlsm)",IF(OR($C47&lt;&gt;"S",ORÇAMENTO.CodBarra=""),"(Sem Código)",IF(ISERROR(MATCH($AE47,INDIRECT(ORÇAMENTO.BancoRef),0)),"(Código não identificado nas referências)",MATCH($AE47,INDIRECT(ORÇAMENTO.BancoRef),0))))</f>
        <v>(abra o arquivo 'Referência 12-2024.xlsm)</v>
      </c>
      <c r="AG47" s="429">
        <f ca="1">ROUND(IF(DESONERACAO="sim",REFERENCIA.Desonerado,REFERENCIA.NaoDesonerado),2)</f>
        <v>0</v>
      </c>
      <c r="AH47" s="430">
        <f t="shared" ca="1" si="15"/>
        <v>0.31190000000000001</v>
      </c>
      <c r="AJ47" s="432"/>
      <c r="AL47" s="440"/>
      <c r="AM47" s="337">
        <f t="shared" ca="1" si="0"/>
        <v>0</v>
      </c>
      <c r="AN47" s="471">
        <f t="shared" ca="1" si="16"/>
        <v>0</v>
      </c>
    </row>
    <row r="48" spans="1:40" ht="38.25" x14ac:dyDescent="0.2">
      <c r="A48" t="str">
        <f t="shared" si="1"/>
        <v>S</v>
      </c>
      <c r="B48">
        <f t="shared" ca="1" si="2"/>
        <v>2</v>
      </c>
      <c r="C48" t="str">
        <f t="shared" ca="1" si="3"/>
        <v>S</v>
      </c>
      <c r="D48">
        <f t="shared" ca="1" si="4"/>
        <v>0</v>
      </c>
      <c r="E48">
        <f ca="1">IF($C48=1,OFFSET(E48,-1,0)+MAX(1,COUNTIF(QCI!$A$13:$A$24,OFFSET(ORÇAMENTO!E48,-1,0))),OFFSET(E48,-1,0))</f>
        <v>1</v>
      </c>
      <c r="F48">
        <f t="shared" ca="1" si="5"/>
        <v>7</v>
      </c>
      <c r="G48">
        <f t="shared" ca="1" si="6"/>
        <v>0</v>
      </c>
      <c r="H48">
        <f t="shared" ca="1" si="7"/>
        <v>0</v>
      </c>
      <c r="I48">
        <f t="shared" ca="1" si="8"/>
        <v>0</v>
      </c>
      <c r="J48">
        <f t="shared" ref="J48:J78" ca="1" si="17">IF(OR($C48="S",$C48=0),0,MATCH(0,OFFSET($D48,1,$C48,ROW($C$405)-ROW($C48)),0))</f>
        <v>0</v>
      </c>
      <c r="K48">
        <f ca="1">IF(OR($C48="S",$C48=0),0,MATCH(OFFSET($D48,0,$C48)+IF($C48&lt;&gt;1,1,COUNTIF(QCI!$A$13:$A$24,ORÇAMENTO!E48)),OFFSET($D48,1,$C48,ROW($C$405)-ROW($C48)),0))</f>
        <v>0</v>
      </c>
      <c r="L48" s="115" t="str">
        <f t="shared" ca="1" si="10"/>
        <v/>
      </c>
      <c r="M48" s="116" t="s">
        <v>706</v>
      </c>
      <c r="N48" s="117" t="str">
        <f t="shared" ca="1" si="11"/>
        <v>Serviço</v>
      </c>
      <c r="O48" s="118" t="str">
        <f t="shared" ca="1" si="12"/>
        <v>-</v>
      </c>
      <c r="P48" s="119" t="s">
        <v>1316</v>
      </c>
      <c r="Q48" s="120" t="s">
        <v>967</v>
      </c>
      <c r="R48" s="121" t="s">
        <v>1344</v>
      </c>
      <c r="S48" s="122" t="s">
        <v>623</v>
      </c>
      <c r="T48" s="123">
        <f ca="1">OFFSET(CÁLCULO!H$15,ROW($T48)-ROW(T$15),0)</f>
        <v>1042</v>
      </c>
      <c r="U48" s="124"/>
      <c r="V48" s="125" t="s">
        <v>663</v>
      </c>
      <c r="W48" s="123">
        <f ca="1">IF($C48="S",ROUND(IF(TIPOORCAMENTO="Proposto",ORÇAMENTO.CustoUnitario*(1+$AH48),ORÇAMENTO.PrecoUnitarioLicitado),15-13*$AF$10),0)</f>
        <v>0</v>
      </c>
      <c r="X48" s="126" cm="1">
        <f t="array" aca="1" ref="X48" ca="1">IF($C48="S",IF(OR(Import.TipoArredondamento&lt;&gt;"TransfereGOV",ACOMPANHAMENTO="BM"),VTOTAL1,SUM(OFFSET(CÁLCULO!$AA$15,ROW($X48)-ROW($X$15),1):OFFSET(CÁLCULO!$AL$15,ROW($X48)-ROW($X$15),-1))),IF($C48=0,0,ROUND(SomaAgrup,15-13*$AF$11)))</f>
        <v>0</v>
      </c>
      <c r="Y48" s="127" t="s">
        <v>752</v>
      </c>
      <c r="Z48" t="str">
        <f t="shared" ca="1" si="13"/>
        <v/>
      </c>
      <c r="AA48" s="128">
        <f ca="1">IF($C48="S",IF($Z48="CP",$X48,IF($Z48="RA",(($X48)*QCI!$AA$3),0)),SomaAgrup)</f>
        <v>0</v>
      </c>
      <c r="AB48" s="129">
        <f t="shared" ca="1" si="14"/>
        <v>0</v>
      </c>
      <c r="AC48" s="567" t="str">
        <f ca="1">IF($N48=""," ",
IF(AND($C48&lt;&gt;"S",OR($R48="",$R48="(digite a descrição aqui)")),"DESCRIÇÃO",
IF(AND($C48="S",OR($Q48&lt;&gt;0,$T48&gt;0,$U48&gt;0),$P48=0),"FONTE",
IF(AND($C48="S",$P48&lt;&gt;0,OR($T48&gt;0,$U48&gt;0),$Q48=0),"CÓDIGO",
IF(AND($C48="S",$P48&lt;&gt;0,$Q48&lt;&gt;0,$R48="(Código não identificado nas referências)"),"CÓDIGO N/ID",
IF(AND($C48="S",OR($R48="",$R48="(digite a descrição aqui)"),OR($Q48&lt;&gt;0,$T48&gt;0,$U48&gt;0)),"DESCRIÇÃO",
IF(AND($C48="S",$P48&lt;&gt;0,$Q48&lt;&gt;0,$S48=""),"UNIDADE",
IF(AND($C48="S",$P48&lt;&gt;0,$Q48&lt;&gt;0,$U48=0),"SEM CUSTO",
IF(AND(TIPOORCAMENTO="Licitado",$AL48=0,$AN48&gt;0),"SEM PREÇO",
IF(AND($C48="S",$P48&lt;&gt;0,$Q48&lt;&gt;0,$U48&gt;0,$V48=0),"BDI",
IF(OR(AND(TIPOORCAMENTO="Proposto",$AG48&lt;&gt;"",$AG48&gt;0,ORÇAMENTO.CustoUnitario&gt;$AG48),AND(TIPOORCAMENTO="LICITADO",ORÇAMENTO.PrecoUnitarioLicitado&gt;$AN48)),"ACIMA REF.",
IF(AND($C48="S",$P48&lt;&gt;0,$Q48&lt;&gt;0,$T48=0,$U48&gt;0),"QUANT.",
IF(AND(Import.TipoArredondamento="TransfereGOV",$L48="F",$C48="S",LEN($Q48)&gt;13),"Código &gt;13",
IF(AND(Import.TipoArredondamento="TransfereGOV",$L48="F",$C48&lt;&gt;"S",LEN($R48)&gt;100),"Descrição &gt;100",
IF(AND(Import.TipoArredondamento="TransfereGOV",$L48="F",$C48="S",LEN($R48)&gt;500),"Descrição &gt;500",
IF(AND(Import.TipoArredondamento="TransfereGOV",$L48="F",$C48="S",LEFT(TRIM(UPPER($P48)),6)&lt;&gt;"SINAPI",ISNA(VLOOKUP(TRIM(UPPER($S48)),ListaTgov.Unidades,1,FALSE))),"Unid. Não Disp",
" "))))))))))))))))</f>
        <v>SEM CUSTO</v>
      </c>
      <c r="AD48" t="str">
        <f ca="1">IF(C48&lt;=CRONO.NivelExibicao,MAX($AD$15:OFFSET(AD48,-1,0))+IF($C48&lt;&gt;1,1,MAX(1,COUNTIF(QCI!$A$13:$A$24,OFFSET($E48,-1,0)))),"")</f>
        <v/>
      </c>
      <c r="AE48" s="7" t="str">
        <f ca="1">IF(AND($C48="S",ORÇAMENTO.CodBarra&lt;&gt;""),IF(ORÇAMENTO.Fonte="",ORÇAMENTO.CodBarra,CONCATENATE(ORÇAMENTO.Fonte," ",ORÇAMENTO.CodBarra)))</f>
        <v>Composiçao 004</v>
      </c>
      <c r="AF48" s="12" t="str">
        <f ca="1">IF(ISERROR(INDIRECT(ORÇAMENTO.BancoRef)),"(abra o arquivo 'Referência "&amp;Excel_BuiltIn_Database&amp;".xlsm)",IF(OR($C48&lt;&gt;"S",ORÇAMENTO.CodBarra=""),"(Sem Código)",IF(ISERROR(MATCH($AE48,INDIRECT(ORÇAMENTO.BancoRef),0)),"(Código não identificado nas referências)",MATCH($AE48,INDIRECT(ORÇAMENTO.BancoRef),0))))</f>
        <v>(abra o arquivo 'Referência 12-2024.xlsm)</v>
      </c>
      <c r="AG48" s="429">
        <f ca="1">ROUND(IF(DESONERACAO="sim",REFERENCIA.Desonerado,REFERENCIA.NaoDesonerado),2)</f>
        <v>0</v>
      </c>
      <c r="AH48" s="430">
        <f t="shared" ca="1" si="15"/>
        <v>0.31190000000000001</v>
      </c>
      <c r="AJ48" s="432">
        <v>1042</v>
      </c>
      <c r="AL48" s="440"/>
      <c r="AM48" s="337">
        <f t="shared" ca="1" si="0"/>
        <v>0</v>
      </c>
      <c r="AN48" s="471">
        <f t="shared" ca="1" si="16"/>
        <v>0</v>
      </c>
    </row>
    <row r="49" spans="1:40" ht="38.25" x14ac:dyDescent="0.2">
      <c r="A49" t="str">
        <f t="shared" si="1"/>
        <v>S</v>
      </c>
      <c r="B49">
        <f t="shared" ca="1" si="2"/>
        <v>2</v>
      </c>
      <c r="C49" t="str">
        <f t="shared" ca="1" si="3"/>
        <v>S</v>
      </c>
      <c r="D49">
        <f t="shared" ca="1" si="4"/>
        <v>0</v>
      </c>
      <c r="E49">
        <f ca="1">IF($C49=1,OFFSET(E49,-1,0)+MAX(1,COUNTIF(QCI!$A$13:$A$24,OFFSET(ORÇAMENTO!E49,-1,0))),OFFSET(E49,-1,0))</f>
        <v>1</v>
      </c>
      <c r="F49">
        <f t="shared" ca="1" si="5"/>
        <v>7</v>
      </c>
      <c r="G49">
        <f t="shared" ca="1" si="6"/>
        <v>0</v>
      </c>
      <c r="H49">
        <f t="shared" ca="1" si="7"/>
        <v>0</v>
      </c>
      <c r="I49">
        <f t="shared" ca="1" si="8"/>
        <v>0</v>
      </c>
      <c r="J49">
        <f t="shared" ca="1" si="17"/>
        <v>0</v>
      </c>
      <c r="K49">
        <f ca="1">IF(OR($C49="S",$C49=0),0,MATCH(OFFSET($D49,0,$C49)+IF($C49&lt;&gt;1,1,COUNTIF(QCI!$A$13:$A$24,ORÇAMENTO!E49)),OFFSET($D49,1,$C49,ROW($C$405)-ROW($C49)),0))</f>
        <v>0</v>
      </c>
      <c r="L49" s="115" t="str">
        <f t="shared" ca="1" si="10"/>
        <v/>
      </c>
      <c r="M49" s="116" t="s">
        <v>706</v>
      </c>
      <c r="N49" s="117" t="str">
        <f t="shared" ca="1" si="11"/>
        <v>Serviço</v>
      </c>
      <c r="O49" s="118" t="str">
        <f t="shared" ca="1" si="12"/>
        <v>-</v>
      </c>
      <c r="P49" s="119" t="s">
        <v>1316</v>
      </c>
      <c r="Q49" s="120" t="s">
        <v>968</v>
      </c>
      <c r="R49" s="121" t="s">
        <v>1345</v>
      </c>
      <c r="S49" s="122" t="s">
        <v>623</v>
      </c>
      <c r="T49" s="123">
        <f ca="1">OFFSET(CÁLCULO!H$15,ROW($T49)-ROW(T$15),0)</f>
        <v>1072.5</v>
      </c>
      <c r="U49" s="124"/>
      <c r="V49" s="125" t="s">
        <v>663</v>
      </c>
      <c r="W49" s="123">
        <f ca="1">IF($C49="S",ROUND(IF(TIPOORCAMENTO="Proposto",ORÇAMENTO.CustoUnitario*(1+$AH49),ORÇAMENTO.PrecoUnitarioLicitado),15-13*$AF$10),0)</f>
        <v>0</v>
      </c>
      <c r="X49" s="126" cm="1">
        <f t="array" aca="1" ref="X49" ca="1">IF($C49="S",IF(OR(Import.TipoArredondamento&lt;&gt;"TransfereGOV",ACOMPANHAMENTO="BM"),VTOTAL1,SUM(OFFSET(CÁLCULO!$AA$15,ROW($X49)-ROW($X$15),1):OFFSET(CÁLCULO!$AL$15,ROW($X49)-ROW($X$15),-1))),IF($C49=0,0,ROUND(SomaAgrup,15-13*$AF$11)))</f>
        <v>0</v>
      </c>
      <c r="Y49" s="127" t="s">
        <v>752</v>
      </c>
      <c r="Z49" t="str">
        <f t="shared" ca="1" si="13"/>
        <v/>
      </c>
      <c r="AA49" s="128">
        <f ca="1">IF($C49="S",IF($Z49="CP",$X49,IF($Z49="RA",(($X49)*QCI!$AA$3),0)),SomaAgrup)</f>
        <v>0</v>
      </c>
      <c r="AB49" s="129">
        <f t="shared" ca="1" si="14"/>
        <v>0</v>
      </c>
      <c r="AC49" s="567" t="str">
        <f ca="1">IF($N49=""," ",
IF(AND($C49&lt;&gt;"S",OR($R49="",$R49="(digite a descrição aqui)")),"DESCRIÇÃO",
IF(AND($C49="S",OR($Q49&lt;&gt;0,$T49&gt;0,$U49&gt;0),$P49=0),"FONTE",
IF(AND($C49="S",$P49&lt;&gt;0,OR($T49&gt;0,$U49&gt;0),$Q49=0),"CÓDIGO",
IF(AND($C49="S",$P49&lt;&gt;0,$Q49&lt;&gt;0,$R49="(Código não identificado nas referências)"),"CÓDIGO N/ID",
IF(AND($C49="S",OR($R49="",$R49="(digite a descrição aqui)"),OR($Q49&lt;&gt;0,$T49&gt;0,$U49&gt;0)),"DESCRIÇÃO",
IF(AND($C49="S",$P49&lt;&gt;0,$Q49&lt;&gt;0,$S49=""),"UNIDADE",
IF(AND($C49="S",$P49&lt;&gt;0,$Q49&lt;&gt;0,$U49=0),"SEM CUSTO",
IF(AND(TIPOORCAMENTO="Licitado",$AL49=0,$AN49&gt;0),"SEM PREÇO",
IF(AND($C49="S",$P49&lt;&gt;0,$Q49&lt;&gt;0,$U49&gt;0,$V49=0),"BDI",
IF(OR(AND(TIPOORCAMENTO="Proposto",$AG49&lt;&gt;"",$AG49&gt;0,ORÇAMENTO.CustoUnitario&gt;$AG49),AND(TIPOORCAMENTO="LICITADO",ORÇAMENTO.PrecoUnitarioLicitado&gt;$AN49)),"ACIMA REF.",
IF(AND($C49="S",$P49&lt;&gt;0,$Q49&lt;&gt;0,$T49=0,$U49&gt;0),"QUANT.",
IF(AND(Import.TipoArredondamento="TransfereGOV",$L49="F",$C49="S",LEN($Q49)&gt;13),"Código &gt;13",
IF(AND(Import.TipoArredondamento="TransfereGOV",$L49="F",$C49&lt;&gt;"S",LEN($R49)&gt;100),"Descrição &gt;100",
IF(AND(Import.TipoArredondamento="TransfereGOV",$L49="F",$C49="S",LEN($R49)&gt;500),"Descrição &gt;500",
IF(AND(Import.TipoArredondamento="TransfereGOV",$L49="F",$C49="S",LEFT(TRIM(UPPER($P49)),6)&lt;&gt;"SINAPI",ISNA(VLOOKUP(TRIM(UPPER($S49)),ListaTgov.Unidades,1,FALSE))),"Unid. Não Disp",
" "))))))))))))))))</f>
        <v>SEM CUSTO</v>
      </c>
      <c r="AD49" t="str">
        <f ca="1">IF(C49&lt;=CRONO.NivelExibicao,MAX($AD$15:OFFSET(AD49,-1,0))+IF($C49&lt;&gt;1,1,MAX(1,COUNTIF(QCI!$A$13:$A$24,OFFSET($E49,-1,0)))),"")</f>
        <v/>
      </c>
      <c r="AE49" s="7" t="str">
        <f ca="1">IF(AND($C49="S",ORÇAMENTO.CodBarra&lt;&gt;""),IF(ORÇAMENTO.Fonte="",ORÇAMENTO.CodBarra,CONCATENATE(ORÇAMENTO.Fonte," ",ORÇAMENTO.CodBarra)))</f>
        <v>Composiçao 006</v>
      </c>
      <c r="AF49" s="12" t="str">
        <f ca="1">IF(ISERROR(INDIRECT(ORÇAMENTO.BancoRef)),"(abra o arquivo 'Referência "&amp;Excel_BuiltIn_Database&amp;".xlsm)",IF(OR($C49&lt;&gt;"S",ORÇAMENTO.CodBarra=""),"(Sem Código)",IF(ISERROR(MATCH($AE49,INDIRECT(ORÇAMENTO.BancoRef),0)),"(Código não identificado nas referências)",MATCH($AE49,INDIRECT(ORÇAMENTO.BancoRef),0))))</f>
        <v>(abra o arquivo 'Referência 12-2024.xlsm)</v>
      </c>
      <c r="AG49" s="429">
        <f ca="1">ROUND(IF(DESONERACAO="sim",REFERENCIA.Desonerado,REFERENCIA.NaoDesonerado),2)</f>
        <v>0</v>
      </c>
      <c r="AH49" s="430">
        <f t="shared" ca="1" si="15"/>
        <v>0.31190000000000001</v>
      </c>
      <c r="AJ49" s="432">
        <v>1072.5</v>
      </c>
      <c r="AL49" s="440"/>
      <c r="AM49" s="337">
        <f t="shared" ca="1" si="0"/>
        <v>0</v>
      </c>
      <c r="AN49" s="471">
        <f t="shared" ca="1" si="16"/>
        <v>0</v>
      </c>
    </row>
    <row r="50" spans="1:40" ht="38.25" x14ac:dyDescent="0.2">
      <c r="A50" t="str">
        <f t="shared" si="1"/>
        <v>S</v>
      </c>
      <c r="B50">
        <f t="shared" ca="1" si="2"/>
        <v>2</v>
      </c>
      <c r="C50" t="str">
        <f t="shared" ca="1" si="3"/>
        <v>S</v>
      </c>
      <c r="D50">
        <f t="shared" ca="1" si="4"/>
        <v>0</v>
      </c>
      <c r="E50">
        <f ca="1">IF($C50=1,OFFSET(E50,-1,0)+MAX(1,COUNTIF(QCI!$A$13:$A$24,OFFSET(ORÇAMENTO!E50,-1,0))),OFFSET(E50,-1,0))</f>
        <v>1</v>
      </c>
      <c r="F50">
        <f t="shared" ca="1" si="5"/>
        <v>7</v>
      </c>
      <c r="G50">
        <f t="shared" ca="1" si="6"/>
        <v>0</v>
      </c>
      <c r="H50">
        <f t="shared" ca="1" si="7"/>
        <v>0</v>
      </c>
      <c r="I50">
        <f t="shared" ca="1" si="8"/>
        <v>0</v>
      </c>
      <c r="J50">
        <f t="shared" ca="1" si="17"/>
        <v>0</v>
      </c>
      <c r="K50">
        <f ca="1">IF(OR($C50="S",$C50=0),0,MATCH(OFFSET($D50,0,$C50)+IF($C50&lt;&gt;1,1,COUNTIF(QCI!$A$13:$A$24,ORÇAMENTO!E50)),OFFSET($D50,1,$C50,ROW($C$405)-ROW($C50)),0))</f>
        <v>0</v>
      </c>
      <c r="L50" s="115" t="str">
        <f t="shared" ca="1" si="10"/>
        <v/>
      </c>
      <c r="M50" s="116" t="s">
        <v>706</v>
      </c>
      <c r="N50" s="117" t="str">
        <f t="shared" ca="1" si="11"/>
        <v>Serviço</v>
      </c>
      <c r="O50" s="118" t="str">
        <f t="shared" ca="1" si="12"/>
        <v>-</v>
      </c>
      <c r="P50" s="119" t="s">
        <v>1316</v>
      </c>
      <c r="Q50" s="120" t="s">
        <v>969</v>
      </c>
      <c r="R50" s="121" t="s">
        <v>1346</v>
      </c>
      <c r="S50" s="122" t="s">
        <v>623</v>
      </c>
      <c r="T50" s="123">
        <f ca="1">OFFSET(CÁLCULO!H$15,ROW($T50)-ROW(T$15),0)</f>
        <v>3042.6</v>
      </c>
      <c r="U50" s="124"/>
      <c r="V50" s="125" t="s">
        <v>663</v>
      </c>
      <c r="W50" s="123">
        <f ca="1">IF($C50="S",ROUND(IF(TIPOORCAMENTO="Proposto",ORÇAMENTO.CustoUnitario*(1+$AH50),ORÇAMENTO.PrecoUnitarioLicitado),15-13*$AF$10),0)</f>
        <v>0</v>
      </c>
      <c r="X50" s="126" cm="1">
        <f t="array" aca="1" ref="X50" ca="1">IF($C50="S",IF(OR(Import.TipoArredondamento&lt;&gt;"TransfereGOV",ACOMPANHAMENTO="BM"),VTOTAL1,SUM(OFFSET(CÁLCULO!$AA$15,ROW($X50)-ROW($X$15),1):OFFSET(CÁLCULO!$AL$15,ROW($X50)-ROW($X$15),-1))),IF($C50=0,0,ROUND(SomaAgrup,15-13*$AF$11)))</f>
        <v>0</v>
      </c>
      <c r="Y50" s="127" t="s">
        <v>752</v>
      </c>
      <c r="Z50" t="str">
        <f t="shared" ca="1" si="13"/>
        <v/>
      </c>
      <c r="AA50" s="128">
        <f ca="1">IF($C50="S",IF($Z50="CP",$X50,IF($Z50="RA",(($X50)*QCI!$AA$3),0)),SomaAgrup)</f>
        <v>0</v>
      </c>
      <c r="AB50" s="129">
        <f t="shared" ca="1" si="14"/>
        <v>0</v>
      </c>
      <c r="AC50" s="567" t="str">
        <f ca="1">IF($N50=""," ",
IF(AND($C50&lt;&gt;"S",OR($R50="",$R50="(digite a descrição aqui)")),"DESCRIÇÃO",
IF(AND($C50="S",OR($Q50&lt;&gt;0,$T50&gt;0,$U50&gt;0),$P50=0),"FONTE",
IF(AND($C50="S",$P50&lt;&gt;0,OR($T50&gt;0,$U50&gt;0),$Q50=0),"CÓDIGO",
IF(AND($C50="S",$P50&lt;&gt;0,$Q50&lt;&gt;0,$R50="(Código não identificado nas referências)"),"CÓDIGO N/ID",
IF(AND($C50="S",OR($R50="",$R50="(digite a descrição aqui)"),OR($Q50&lt;&gt;0,$T50&gt;0,$U50&gt;0)),"DESCRIÇÃO",
IF(AND($C50="S",$P50&lt;&gt;0,$Q50&lt;&gt;0,$S50=""),"UNIDADE",
IF(AND($C50="S",$P50&lt;&gt;0,$Q50&lt;&gt;0,$U50=0),"SEM CUSTO",
IF(AND(TIPOORCAMENTO="Licitado",$AL50=0,$AN50&gt;0),"SEM PREÇO",
IF(AND($C50="S",$P50&lt;&gt;0,$Q50&lt;&gt;0,$U50&gt;0,$V50=0),"BDI",
IF(OR(AND(TIPOORCAMENTO="Proposto",$AG50&lt;&gt;"",$AG50&gt;0,ORÇAMENTO.CustoUnitario&gt;$AG50),AND(TIPOORCAMENTO="LICITADO",ORÇAMENTO.PrecoUnitarioLicitado&gt;$AN50)),"ACIMA REF.",
IF(AND($C50="S",$P50&lt;&gt;0,$Q50&lt;&gt;0,$T50=0,$U50&gt;0),"QUANT.",
IF(AND(Import.TipoArredondamento="TransfereGOV",$L50="F",$C50="S",LEN($Q50)&gt;13),"Código &gt;13",
IF(AND(Import.TipoArredondamento="TransfereGOV",$L50="F",$C50&lt;&gt;"S",LEN($R50)&gt;100),"Descrição &gt;100",
IF(AND(Import.TipoArredondamento="TransfereGOV",$L50="F",$C50="S",LEN($R50)&gt;500),"Descrição &gt;500",
IF(AND(Import.TipoArredondamento="TransfereGOV",$L50="F",$C50="S",LEFT(TRIM(UPPER($P50)),6)&lt;&gt;"SINAPI",ISNA(VLOOKUP(TRIM(UPPER($S50)),ListaTgov.Unidades,1,FALSE))),"Unid. Não Disp",
" "))))))))))))))))</f>
        <v>SEM CUSTO</v>
      </c>
      <c r="AD50" t="str">
        <f ca="1">IF(C50&lt;=CRONO.NivelExibicao,MAX($AD$15:OFFSET(AD50,-1,0))+IF($C50&lt;&gt;1,1,MAX(1,COUNTIF(QCI!$A$13:$A$24,OFFSET($E50,-1,0)))),"")</f>
        <v/>
      </c>
      <c r="AE50" s="7" t="str">
        <f ca="1">IF(AND($C50="S",ORÇAMENTO.CodBarra&lt;&gt;""),IF(ORÇAMENTO.Fonte="",ORÇAMENTO.CodBarra,CONCATENATE(ORÇAMENTO.Fonte," ",ORÇAMENTO.CodBarra)))</f>
        <v>Composiçao 005</v>
      </c>
      <c r="AF50" s="12" t="str">
        <f ca="1">IF(ISERROR(INDIRECT(ORÇAMENTO.BancoRef)),"(abra o arquivo 'Referência "&amp;Excel_BuiltIn_Database&amp;".xlsm)",IF(OR($C50&lt;&gt;"S",ORÇAMENTO.CodBarra=""),"(Sem Código)",IF(ISERROR(MATCH($AE50,INDIRECT(ORÇAMENTO.BancoRef),0)),"(Código não identificado nas referências)",MATCH($AE50,INDIRECT(ORÇAMENTO.BancoRef),0))))</f>
        <v>(abra o arquivo 'Referência 12-2024.xlsm)</v>
      </c>
      <c r="AG50" s="429">
        <f ca="1">ROUND(IF(DESONERACAO="sim",REFERENCIA.Desonerado,REFERENCIA.NaoDesonerado),2)</f>
        <v>0</v>
      </c>
      <c r="AH50" s="430">
        <f t="shared" ca="1" si="15"/>
        <v>0.31190000000000001</v>
      </c>
      <c r="AJ50" s="432">
        <v>3042.6</v>
      </c>
      <c r="AL50" s="440"/>
      <c r="AM50" s="337">
        <f t="shared" ca="1" si="0"/>
        <v>0</v>
      </c>
      <c r="AN50" s="471">
        <f t="shared" ca="1" si="16"/>
        <v>0</v>
      </c>
    </row>
    <row r="51" spans="1:40" ht="25.5" x14ac:dyDescent="0.2">
      <c r="A51" t="str">
        <f t="shared" si="1"/>
        <v>S</v>
      </c>
      <c r="B51">
        <f t="shared" ca="1" si="2"/>
        <v>2</v>
      </c>
      <c r="C51" t="str">
        <f t="shared" ca="1" si="3"/>
        <v>S</v>
      </c>
      <c r="D51">
        <f t="shared" ca="1" si="4"/>
        <v>0</v>
      </c>
      <c r="E51">
        <f ca="1">IF($C51=1,OFFSET(E51,-1,0)+MAX(1,COUNTIF(QCI!$A$13:$A$24,OFFSET(ORÇAMENTO!E51,-1,0))),OFFSET(E51,-1,0))</f>
        <v>1</v>
      </c>
      <c r="F51">
        <f t="shared" ca="1" si="5"/>
        <v>7</v>
      </c>
      <c r="G51">
        <f t="shared" ca="1" si="6"/>
        <v>0</v>
      </c>
      <c r="H51">
        <f t="shared" ca="1" si="7"/>
        <v>0</v>
      </c>
      <c r="I51">
        <f t="shared" ca="1" si="8"/>
        <v>0</v>
      </c>
      <c r="J51">
        <f t="shared" ca="1" si="17"/>
        <v>0</v>
      </c>
      <c r="K51">
        <f ca="1">IF(OR($C51="S",$C51=0),0,MATCH(OFFSET($D51,0,$C51)+IF($C51&lt;&gt;1,1,COUNTIF(QCI!$A$13:$A$24,ORÇAMENTO!E51)),OFFSET($D51,1,$C51,ROW($C$405)-ROW($C51)),0))</f>
        <v>0</v>
      </c>
      <c r="L51" s="115" t="str">
        <f t="shared" ca="1" si="10"/>
        <v/>
      </c>
      <c r="M51" s="116" t="s">
        <v>706</v>
      </c>
      <c r="N51" s="117" t="str">
        <f t="shared" ca="1" si="11"/>
        <v>Serviço</v>
      </c>
      <c r="O51" s="118" t="str">
        <f t="shared" ca="1" si="12"/>
        <v>-</v>
      </c>
      <c r="P51" s="119" t="s">
        <v>1316</v>
      </c>
      <c r="Q51" s="120" t="s">
        <v>970</v>
      </c>
      <c r="R51" s="121" t="s">
        <v>1347</v>
      </c>
      <c r="S51" s="122" t="s">
        <v>621</v>
      </c>
      <c r="T51" s="123">
        <f ca="1">OFFSET(CÁLCULO!H$15,ROW($T51)-ROW(T$15),0)</f>
        <v>2101.2600000000002</v>
      </c>
      <c r="U51" s="124"/>
      <c r="V51" s="125" t="s">
        <v>663</v>
      </c>
      <c r="W51" s="123">
        <f ca="1">IF($C51="S",ROUND(IF(TIPOORCAMENTO="Proposto",ORÇAMENTO.CustoUnitario*(1+$AH51),ORÇAMENTO.PrecoUnitarioLicitado),15-13*$AF$10),0)</f>
        <v>0</v>
      </c>
      <c r="X51" s="126" cm="1">
        <f t="array" aca="1" ref="X51" ca="1">IF($C51="S",IF(OR(Import.TipoArredondamento&lt;&gt;"TransfereGOV",ACOMPANHAMENTO="BM"),VTOTAL1,SUM(OFFSET(CÁLCULO!$AA$15,ROW($X51)-ROW($X$15),1):OFFSET(CÁLCULO!$AL$15,ROW($X51)-ROW($X$15),-1))),IF($C51=0,0,ROUND(SomaAgrup,15-13*$AF$11)))</f>
        <v>0</v>
      </c>
      <c r="Y51" s="127" t="s">
        <v>752</v>
      </c>
      <c r="Z51" t="str">
        <f t="shared" ca="1" si="13"/>
        <v/>
      </c>
      <c r="AA51" s="128">
        <f ca="1">IF($C51="S",IF($Z51="CP",$X51,IF($Z51="RA",(($X51)*QCI!$AA$3),0)),SomaAgrup)</f>
        <v>0</v>
      </c>
      <c r="AB51" s="129">
        <f t="shared" ca="1" si="14"/>
        <v>0</v>
      </c>
      <c r="AC51" s="567" t="str">
        <f ca="1">IF($N51=""," ",
IF(AND($C51&lt;&gt;"S",OR($R51="",$R51="(digite a descrição aqui)")),"DESCRIÇÃO",
IF(AND($C51="S",OR($Q51&lt;&gt;0,$T51&gt;0,$U51&gt;0),$P51=0),"FONTE",
IF(AND($C51="S",$P51&lt;&gt;0,OR($T51&gt;0,$U51&gt;0),$Q51=0),"CÓDIGO",
IF(AND($C51="S",$P51&lt;&gt;0,$Q51&lt;&gt;0,$R51="(Código não identificado nas referências)"),"CÓDIGO N/ID",
IF(AND($C51="S",OR($R51="",$R51="(digite a descrição aqui)"),OR($Q51&lt;&gt;0,$T51&gt;0,$U51&gt;0)),"DESCRIÇÃO",
IF(AND($C51="S",$P51&lt;&gt;0,$Q51&lt;&gt;0,$S51=""),"UNIDADE",
IF(AND($C51="S",$P51&lt;&gt;0,$Q51&lt;&gt;0,$U51=0),"SEM CUSTO",
IF(AND(TIPOORCAMENTO="Licitado",$AL51=0,$AN51&gt;0),"SEM PREÇO",
IF(AND($C51="S",$P51&lt;&gt;0,$Q51&lt;&gt;0,$U51&gt;0,$V51=0),"BDI",
IF(OR(AND(TIPOORCAMENTO="Proposto",$AG51&lt;&gt;"",$AG51&gt;0,ORÇAMENTO.CustoUnitario&gt;$AG51),AND(TIPOORCAMENTO="LICITADO",ORÇAMENTO.PrecoUnitarioLicitado&gt;$AN51)),"ACIMA REF.",
IF(AND($C51="S",$P51&lt;&gt;0,$Q51&lt;&gt;0,$T51=0,$U51&gt;0),"QUANT.",
IF(AND(Import.TipoArredondamento="TransfereGOV",$L51="F",$C51="S",LEN($Q51)&gt;13),"Código &gt;13",
IF(AND(Import.TipoArredondamento="TransfereGOV",$L51="F",$C51&lt;&gt;"S",LEN($R51)&gt;100),"Descrição &gt;100",
IF(AND(Import.TipoArredondamento="TransfereGOV",$L51="F",$C51="S",LEN($R51)&gt;500),"Descrição &gt;500",
IF(AND(Import.TipoArredondamento="TransfereGOV",$L51="F",$C51="S",LEFT(TRIM(UPPER($P51)),6)&lt;&gt;"SINAPI",ISNA(VLOOKUP(TRIM(UPPER($S51)),ListaTgov.Unidades,1,FALSE))),"Unid. Não Disp",
" "))))))))))))))))</f>
        <v>SEM CUSTO</v>
      </c>
      <c r="AD51" t="str">
        <f ca="1">IF(C51&lt;=CRONO.NivelExibicao,MAX($AD$15:OFFSET(AD51,-1,0))+IF($C51&lt;&gt;1,1,MAX(1,COUNTIF(QCI!$A$13:$A$24,OFFSET($E51,-1,0)))),"")</f>
        <v/>
      </c>
      <c r="AE51" s="7" t="str">
        <f ca="1">IF(AND($C51="S",ORÇAMENTO.CodBarra&lt;&gt;""),IF(ORÇAMENTO.Fonte="",ORÇAMENTO.CodBarra,CONCATENATE(ORÇAMENTO.Fonte," ",ORÇAMENTO.CodBarra)))</f>
        <v>Composiçao 007</v>
      </c>
      <c r="AF51" s="12" t="str">
        <f ca="1">IF(ISERROR(INDIRECT(ORÇAMENTO.BancoRef)),"(abra o arquivo 'Referência "&amp;Excel_BuiltIn_Database&amp;".xlsm)",IF(OR($C51&lt;&gt;"S",ORÇAMENTO.CodBarra=""),"(Sem Código)",IF(ISERROR(MATCH($AE51,INDIRECT(ORÇAMENTO.BancoRef),0)),"(Código não identificado nas referências)",MATCH($AE51,INDIRECT(ORÇAMENTO.BancoRef),0))))</f>
        <v>(abra o arquivo 'Referência 12-2024.xlsm)</v>
      </c>
      <c r="AG51" s="429">
        <f ca="1">ROUND(IF(DESONERACAO="sim",REFERENCIA.Desonerado,REFERENCIA.NaoDesonerado),2)</f>
        <v>0</v>
      </c>
      <c r="AH51" s="430">
        <f t="shared" ca="1" si="15"/>
        <v>0.31190000000000001</v>
      </c>
      <c r="AJ51" s="432">
        <v>2101.2600000000002</v>
      </c>
      <c r="AL51" s="440"/>
      <c r="AM51" s="337">
        <f t="shared" ca="1" si="0"/>
        <v>0</v>
      </c>
      <c r="AN51" s="471">
        <f t="shared" ca="1" si="16"/>
        <v>0</v>
      </c>
    </row>
    <row r="52" spans="1:40" x14ac:dyDescent="0.2">
      <c r="A52">
        <f t="shared" si="1"/>
        <v>2</v>
      </c>
      <c r="B52">
        <f t="shared" ca="1" si="2"/>
        <v>2</v>
      </c>
      <c r="C52">
        <f t="shared" ca="1" si="3"/>
        <v>2</v>
      </c>
      <c r="D52">
        <f t="shared" ca="1" si="4"/>
        <v>2</v>
      </c>
      <c r="E52">
        <f ca="1">IF($C52=1,OFFSET(E52,-1,0)+MAX(1,COUNTIF(QCI!$A$13:$A$24,OFFSET(ORÇAMENTO!E52,-1,0))),OFFSET(E52,-1,0))</f>
        <v>1</v>
      </c>
      <c r="F52">
        <f t="shared" ca="1" si="5"/>
        <v>8</v>
      </c>
      <c r="G52">
        <f t="shared" ca="1" si="6"/>
        <v>0</v>
      </c>
      <c r="H52">
        <f t="shared" ca="1" si="7"/>
        <v>0</v>
      </c>
      <c r="I52">
        <f t="shared" ca="1" si="8"/>
        <v>0</v>
      </c>
      <c r="J52">
        <f t="shared" ca="1" si="17"/>
        <v>353</v>
      </c>
      <c r="K52">
        <f ca="1">IF(OR($C52="S",$C52=0),0,MATCH(OFFSET($D52,0,$C52)+IF($C52&lt;&gt;1,1,COUNTIF(QCI!$A$13:$A$24,ORÇAMENTO!E52)),OFFSET($D52,1,$C52,ROW($C$405)-ROW($C52)),0))</f>
        <v>2</v>
      </c>
      <c r="L52" s="115" t="str">
        <f t="shared" ca="1" si="10"/>
        <v>F</v>
      </c>
      <c r="M52" s="116" t="s">
        <v>703</v>
      </c>
      <c r="N52" s="117" t="str">
        <f t="shared" ca="1" si="11"/>
        <v>Nível 2</v>
      </c>
      <c r="O52" s="118" t="str">
        <f t="shared" ca="1" si="12"/>
        <v>1.8.</v>
      </c>
      <c r="P52" s="119" t="s">
        <v>751</v>
      </c>
      <c r="Q52" s="120"/>
      <c r="R52" s="121" t="s">
        <v>1282</v>
      </c>
      <c r="S52" s="122" t="s">
        <v>689</v>
      </c>
      <c r="T52" s="123">
        <f ca="1">OFFSET(CÁLCULO!H$15,ROW($T52)-ROW(T$15),0)</f>
        <v>0</v>
      </c>
      <c r="U52" s="124"/>
      <c r="V52" s="125" t="s">
        <v>663</v>
      </c>
      <c r="W52" s="123">
        <f ca="1">IF($C52="S",ROUND(IF(TIPOORCAMENTO="Proposto",ORÇAMENTO.CustoUnitario*(1+$AH52),ORÇAMENTO.PrecoUnitarioLicitado),15-13*$AF$10),0)</f>
        <v>0</v>
      </c>
      <c r="X52" s="126" cm="1">
        <f t="array" aca="1" ref="X52" ca="1">IF($C52="S",IF(OR(Import.TipoArredondamento&lt;&gt;"TransfereGOV",ACOMPANHAMENTO="BM"),VTOTAL1,SUM(OFFSET(CÁLCULO!$AA$15,ROW($X52)-ROW($X$15),1):OFFSET(CÁLCULO!$AL$15,ROW($X52)-ROW($X$15),-1))),IF($C52=0,0,ROUND(SomaAgrup,15-13*$AF$11)))</f>
        <v>0</v>
      </c>
      <c r="Y52" s="127" t="s">
        <v>752</v>
      </c>
      <c r="Z52" t="str">
        <f t="shared" ca="1" si="13"/>
        <v/>
      </c>
      <c r="AA52" s="128">
        <f ca="1">IF($C52="S",IF($Z52="CP",$X52,IF($Z52="RA",(($X52)*QCI!$AA$3),0)),SomaAgrup)</f>
        <v>0</v>
      </c>
      <c r="AB52" s="129">
        <f t="shared" ca="1" si="14"/>
        <v>0</v>
      </c>
      <c r="AC52" s="567" t="str">
        <f ca="1">IF($N52=""," ",
IF(AND($C52&lt;&gt;"S",OR($R52="",$R52="(digite a descrição aqui)")),"DESCRIÇÃO",
IF(AND($C52="S",OR($Q52&lt;&gt;0,$T52&gt;0,$U52&gt;0),$P52=0),"FONTE",
IF(AND($C52="S",$P52&lt;&gt;0,OR($T52&gt;0,$U52&gt;0),$Q52=0),"CÓDIGO",
IF(AND($C52="S",$P52&lt;&gt;0,$Q52&lt;&gt;0,$R52="(Código não identificado nas referências)"),"CÓDIGO N/ID",
IF(AND($C52="S",OR($R52="",$R52="(digite a descrição aqui)"),OR($Q52&lt;&gt;0,$T52&gt;0,$U52&gt;0)),"DESCRIÇÃO",
IF(AND($C52="S",$P52&lt;&gt;0,$Q52&lt;&gt;0,$S52=""),"UNIDADE",
IF(AND($C52="S",$P52&lt;&gt;0,$Q52&lt;&gt;0,$U52=0),"SEM CUSTO",
IF(AND(TIPOORCAMENTO="Licitado",$AL52=0,$AN52&gt;0),"SEM PREÇO",
IF(AND($C52="S",$P52&lt;&gt;0,$Q52&lt;&gt;0,$U52&gt;0,$V52=0),"BDI",
IF(OR(AND(TIPOORCAMENTO="Proposto",$AG52&lt;&gt;"",$AG52&gt;0,ORÇAMENTO.CustoUnitario&gt;$AG52),AND(TIPOORCAMENTO="LICITADO",ORÇAMENTO.PrecoUnitarioLicitado&gt;$AN52)),"ACIMA REF.",
IF(AND($C52="S",$P52&lt;&gt;0,$Q52&lt;&gt;0,$T52=0,$U52&gt;0),"QUANT.",
IF(AND(Import.TipoArredondamento="TransfereGOV",$L52="F",$C52="S",LEN($Q52)&gt;13),"Código &gt;13",
IF(AND(Import.TipoArredondamento="TransfereGOV",$L52="F",$C52&lt;&gt;"S",LEN($R52)&gt;100),"Descrição &gt;100",
IF(AND(Import.TipoArredondamento="TransfereGOV",$L52="F",$C52="S",LEN($R52)&gt;500),"Descrição &gt;500",
IF(AND(Import.TipoArredondamento="TransfereGOV",$L52="F",$C52="S",LEFT(TRIM(UPPER($P52)),6)&lt;&gt;"SINAPI",ISNA(VLOOKUP(TRIM(UPPER($S52)),ListaTgov.Unidades,1,FALSE))),"Unid. Não Disp",
" "))))))))))))))))</f>
        <v xml:space="preserve"> </v>
      </c>
      <c r="AD52">
        <f ca="1">IF(C52&lt;=CRONO.NivelExibicao,MAX($AD$15:OFFSET(AD52,-1,0))+IF($C52&lt;&gt;1,1,MAX(1,COUNTIF(QCI!$A$13:$A$24,OFFSET($E52,-1,0)))),"")</f>
        <v>9</v>
      </c>
      <c r="AE52" s="7" t="b">
        <f ca="1">IF(AND($C52="S",ORÇAMENTO.CodBarra&lt;&gt;""),IF(ORÇAMENTO.Fonte="",ORÇAMENTO.CodBarra,CONCATENATE(ORÇAMENTO.Fonte," ",ORÇAMENTO.CodBarra)))</f>
        <v>0</v>
      </c>
      <c r="AF52" s="12" t="str">
        <f ca="1">IF(ISERROR(INDIRECT(ORÇAMENTO.BancoRef)),"(abra o arquivo 'Referência "&amp;Excel_BuiltIn_Database&amp;".xlsm)",IF(OR($C52&lt;&gt;"S",ORÇAMENTO.CodBarra=""),"(Sem Código)",IF(ISERROR(MATCH($AE52,INDIRECT(ORÇAMENTO.BancoRef),0)),"(Código não identificado nas referências)",MATCH($AE52,INDIRECT(ORÇAMENTO.BancoRef),0))))</f>
        <v>(abra o arquivo 'Referência 12-2024.xlsm)</v>
      </c>
      <c r="AG52" s="429">
        <f ca="1">ROUND(IF(DESONERACAO="sim",REFERENCIA.Desonerado,REFERENCIA.NaoDesonerado),2)</f>
        <v>0</v>
      </c>
      <c r="AH52" s="430">
        <f t="shared" ca="1" si="15"/>
        <v>0.31190000000000001</v>
      </c>
      <c r="AJ52" s="432"/>
      <c r="AL52" s="440"/>
      <c r="AM52" s="337">
        <f t="shared" ca="1" si="0"/>
        <v>0</v>
      </c>
      <c r="AN52" s="471">
        <f t="shared" ca="1" si="16"/>
        <v>0</v>
      </c>
    </row>
    <row r="53" spans="1:40" ht="38.25" x14ac:dyDescent="0.2">
      <c r="A53" t="str">
        <f t="shared" si="1"/>
        <v>S</v>
      </c>
      <c r="B53">
        <f t="shared" ca="1" si="2"/>
        <v>2</v>
      </c>
      <c r="C53" t="str">
        <f t="shared" ca="1" si="3"/>
        <v>S</v>
      </c>
      <c r="D53">
        <f t="shared" ca="1" si="4"/>
        <v>0</v>
      </c>
      <c r="E53">
        <f ca="1">IF($C53=1,OFFSET(E53,-1,0)+MAX(1,COUNTIF(QCI!$A$13:$A$24,OFFSET(ORÇAMENTO!E53,-1,0))),OFFSET(E53,-1,0))</f>
        <v>1</v>
      </c>
      <c r="F53">
        <f t="shared" ca="1" si="5"/>
        <v>8</v>
      </c>
      <c r="G53">
        <f t="shared" ca="1" si="6"/>
        <v>0</v>
      </c>
      <c r="H53">
        <f t="shared" ca="1" si="7"/>
        <v>0</v>
      </c>
      <c r="I53">
        <f t="shared" ca="1" si="8"/>
        <v>0</v>
      </c>
      <c r="J53">
        <f t="shared" ca="1" si="17"/>
        <v>0</v>
      </c>
      <c r="K53">
        <f ca="1">IF(OR($C53="S",$C53=0),0,MATCH(OFFSET($D53,0,$C53)+IF($C53&lt;&gt;1,1,COUNTIF(QCI!$A$13:$A$24,ORÇAMENTO!E53)),OFFSET($D53,1,$C53,ROW($C$405)-ROW($C53)),0))</f>
        <v>0</v>
      </c>
      <c r="L53" s="115" t="str">
        <f t="shared" ca="1" si="10"/>
        <v/>
      </c>
      <c r="M53" s="116" t="s">
        <v>706</v>
      </c>
      <c r="N53" s="117" t="str">
        <f t="shared" ca="1" si="11"/>
        <v>Serviço</v>
      </c>
      <c r="O53" s="118" t="str">
        <f t="shared" ca="1" si="12"/>
        <v>-</v>
      </c>
      <c r="P53" s="119" t="s">
        <v>751</v>
      </c>
      <c r="Q53" s="120" t="s">
        <v>972</v>
      </c>
      <c r="R53" s="121" t="s">
        <v>1348</v>
      </c>
      <c r="S53" s="122" t="s">
        <v>623</v>
      </c>
      <c r="T53" s="123">
        <f ca="1">OFFSET(CÁLCULO!H$15,ROW($T53)-ROW(T$15),0)</f>
        <v>1573.37</v>
      </c>
      <c r="U53" s="124"/>
      <c r="V53" s="125" t="s">
        <v>663</v>
      </c>
      <c r="W53" s="123">
        <f ca="1">IF($C53="S",ROUND(IF(TIPOORCAMENTO="Proposto",ORÇAMENTO.CustoUnitario*(1+$AH53),ORÇAMENTO.PrecoUnitarioLicitado),15-13*$AF$10),0)</f>
        <v>0</v>
      </c>
      <c r="X53" s="126" cm="1">
        <f t="array" aca="1" ref="X53" ca="1">IF($C53="S",IF(OR(Import.TipoArredondamento&lt;&gt;"TransfereGOV",ACOMPANHAMENTO="BM"),VTOTAL1,SUM(OFFSET(CÁLCULO!$AA$15,ROW($X53)-ROW($X$15),1):OFFSET(CÁLCULO!$AL$15,ROW($X53)-ROW($X$15),-1))),IF($C53=0,0,ROUND(SomaAgrup,15-13*$AF$11)))</f>
        <v>0</v>
      </c>
      <c r="Y53" s="127" t="s">
        <v>752</v>
      </c>
      <c r="Z53" t="str">
        <f t="shared" ca="1" si="13"/>
        <v/>
      </c>
      <c r="AA53" s="128">
        <f ca="1">IF($C53="S",IF($Z53="CP",$X53,IF($Z53="RA",(($X53)*QCI!$AA$3),0)),SomaAgrup)</f>
        <v>0</v>
      </c>
      <c r="AB53" s="129">
        <f t="shared" ca="1" si="14"/>
        <v>0</v>
      </c>
      <c r="AC53" s="567" t="str">
        <f ca="1">IF($N53=""," ",
IF(AND($C53&lt;&gt;"S",OR($R53="",$R53="(digite a descrição aqui)")),"DESCRIÇÃO",
IF(AND($C53="S",OR($Q53&lt;&gt;0,$T53&gt;0,$U53&gt;0),$P53=0),"FONTE",
IF(AND($C53="S",$P53&lt;&gt;0,OR($T53&gt;0,$U53&gt;0),$Q53=0),"CÓDIGO",
IF(AND($C53="S",$P53&lt;&gt;0,$Q53&lt;&gt;0,$R53="(Código não identificado nas referências)"),"CÓDIGO N/ID",
IF(AND($C53="S",OR($R53="",$R53="(digite a descrição aqui)"),OR($Q53&lt;&gt;0,$T53&gt;0,$U53&gt;0)),"DESCRIÇÃO",
IF(AND($C53="S",$P53&lt;&gt;0,$Q53&lt;&gt;0,$S53=""),"UNIDADE",
IF(AND($C53="S",$P53&lt;&gt;0,$Q53&lt;&gt;0,$U53=0),"SEM CUSTO",
IF(AND(TIPOORCAMENTO="Licitado",$AL53=0,$AN53&gt;0),"SEM PREÇO",
IF(AND($C53="S",$P53&lt;&gt;0,$Q53&lt;&gt;0,$U53&gt;0,$V53=0),"BDI",
IF(OR(AND(TIPOORCAMENTO="Proposto",$AG53&lt;&gt;"",$AG53&gt;0,ORÇAMENTO.CustoUnitario&gt;$AG53),AND(TIPOORCAMENTO="LICITADO",ORÇAMENTO.PrecoUnitarioLicitado&gt;$AN53)),"ACIMA REF.",
IF(AND($C53="S",$P53&lt;&gt;0,$Q53&lt;&gt;0,$T53=0,$U53&gt;0),"QUANT.",
IF(AND(Import.TipoArredondamento="TransfereGOV",$L53="F",$C53="S",LEN($Q53)&gt;13),"Código &gt;13",
IF(AND(Import.TipoArredondamento="TransfereGOV",$L53="F",$C53&lt;&gt;"S",LEN($R53)&gt;100),"Descrição &gt;100",
IF(AND(Import.TipoArredondamento="TransfereGOV",$L53="F",$C53="S",LEN($R53)&gt;500),"Descrição &gt;500",
IF(AND(Import.TipoArredondamento="TransfereGOV",$L53="F",$C53="S",LEFT(TRIM(UPPER($P53)),6)&lt;&gt;"SINAPI",ISNA(VLOOKUP(TRIM(UPPER($S53)),ListaTgov.Unidades,1,FALSE))),"Unid. Não Disp",
" "))))))))))))))))</f>
        <v>SEM CUSTO</v>
      </c>
      <c r="AD53" t="str">
        <f ca="1">IF(C53&lt;=CRONO.NivelExibicao,MAX($AD$15:OFFSET(AD53,-1,0))+IF($C53&lt;&gt;1,1,MAX(1,COUNTIF(QCI!$A$13:$A$24,OFFSET($E53,-1,0)))),"")</f>
        <v/>
      </c>
      <c r="AE53" s="7" t="str">
        <f ca="1">IF(AND($C53="S",ORÇAMENTO.CodBarra&lt;&gt;""),IF(ORÇAMENTO.Fonte="",ORÇAMENTO.CodBarra,CONCATENATE(ORÇAMENTO.Fonte," ",ORÇAMENTO.CodBarra)))</f>
        <v>SINAPI 100751</v>
      </c>
      <c r="AF53" s="12" t="str">
        <f ca="1">IF(ISERROR(INDIRECT(ORÇAMENTO.BancoRef)),"(abra o arquivo 'Referência "&amp;Excel_BuiltIn_Database&amp;".xlsm)",IF(OR($C53&lt;&gt;"S",ORÇAMENTO.CodBarra=""),"(Sem Código)",IF(ISERROR(MATCH($AE53,INDIRECT(ORÇAMENTO.BancoRef),0)),"(Código não identificado nas referências)",MATCH($AE53,INDIRECT(ORÇAMENTO.BancoRef),0))))</f>
        <v>(abra o arquivo 'Referência 12-2024.xlsm)</v>
      </c>
      <c r="AG53" s="429">
        <f ca="1">ROUND(IF(DESONERACAO="sim",REFERENCIA.Desonerado,REFERENCIA.NaoDesonerado),2)</f>
        <v>0</v>
      </c>
      <c r="AH53" s="430">
        <f t="shared" ca="1" si="15"/>
        <v>0.31190000000000001</v>
      </c>
      <c r="AJ53" s="432">
        <v>1573.37</v>
      </c>
      <c r="AL53" s="440"/>
      <c r="AM53" s="337">
        <f t="shared" ca="1" si="0"/>
        <v>0</v>
      </c>
      <c r="AN53" s="471">
        <f t="shared" ca="1" si="16"/>
        <v>0</v>
      </c>
    </row>
    <row r="54" spans="1:40" x14ac:dyDescent="0.2">
      <c r="A54">
        <f t="shared" si="1"/>
        <v>2</v>
      </c>
      <c r="B54">
        <f t="shared" ca="1" si="2"/>
        <v>2</v>
      </c>
      <c r="C54">
        <f t="shared" ca="1" si="3"/>
        <v>2</v>
      </c>
      <c r="D54">
        <f t="shared" ca="1" si="4"/>
        <v>61</v>
      </c>
      <c r="E54">
        <f ca="1">IF($C54=1,OFFSET(E54,-1,0)+MAX(1,COUNTIF(QCI!$A$13:$A$24,OFFSET(ORÇAMENTO!E54,-1,0))),OFFSET(E54,-1,0))</f>
        <v>1</v>
      </c>
      <c r="F54">
        <f t="shared" ca="1" si="5"/>
        <v>9</v>
      </c>
      <c r="G54">
        <f t="shared" ca="1" si="6"/>
        <v>0</v>
      </c>
      <c r="H54">
        <f t="shared" ca="1" si="7"/>
        <v>0</v>
      </c>
      <c r="I54">
        <f t="shared" ca="1" si="8"/>
        <v>0</v>
      </c>
      <c r="J54">
        <f t="shared" ca="1" si="17"/>
        <v>351</v>
      </c>
      <c r="K54">
        <f ca="1">IF(OR($C54="S",$C54=0),0,MATCH(OFFSET($D54,0,$C54)+IF($C54&lt;&gt;1,1,COUNTIF(QCI!$A$13:$A$24,ORÇAMENTO!E54)),OFFSET($D54,1,$C54,ROW($C$405)-ROW($C54)),0))</f>
        <v>61</v>
      </c>
      <c r="L54" s="115" t="str">
        <f t="shared" ca="1" si="10"/>
        <v>F</v>
      </c>
      <c r="M54" s="116" t="s">
        <v>703</v>
      </c>
      <c r="N54" s="117" t="str">
        <f t="shared" ca="1" si="11"/>
        <v>Nível 2</v>
      </c>
      <c r="O54" s="118" t="str">
        <f t="shared" ca="1" si="12"/>
        <v>1.9.</v>
      </c>
      <c r="P54" s="119" t="s">
        <v>751</v>
      </c>
      <c r="Q54" s="120"/>
      <c r="R54" s="121" t="s">
        <v>1283</v>
      </c>
      <c r="S54" s="122" t="s">
        <v>689</v>
      </c>
      <c r="T54" s="123">
        <f ca="1">OFFSET(CÁLCULO!H$15,ROW($T54)-ROW(T$15),0)</f>
        <v>0</v>
      </c>
      <c r="U54" s="124"/>
      <c r="V54" s="125" t="s">
        <v>663</v>
      </c>
      <c r="W54" s="123">
        <f ca="1">IF($C54="S",ROUND(IF(TIPOORCAMENTO="Proposto",ORÇAMENTO.CustoUnitario*(1+$AH54),ORÇAMENTO.PrecoUnitarioLicitado),15-13*$AF$10),0)</f>
        <v>0</v>
      </c>
      <c r="X54" s="126" cm="1">
        <f t="array" aca="1" ref="X54" ca="1">IF($C54="S",IF(OR(Import.TipoArredondamento&lt;&gt;"TransfereGOV",ACOMPANHAMENTO="BM"),VTOTAL1,SUM(OFFSET(CÁLCULO!$AA$15,ROW($X54)-ROW($X$15),1):OFFSET(CÁLCULO!$AL$15,ROW($X54)-ROW($X$15),-1))),IF($C54=0,0,ROUND(SomaAgrup,15-13*$AF$11)))</f>
        <v>0</v>
      </c>
      <c r="Y54" s="127" t="s">
        <v>752</v>
      </c>
      <c r="Z54" t="str">
        <f t="shared" ca="1" si="13"/>
        <v/>
      </c>
      <c r="AA54" s="128">
        <f ca="1">IF($C54="S",IF($Z54="CP",$X54,IF($Z54="RA",(($X54)*QCI!$AA$3),0)),SomaAgrup)</f>
        <v>0</v>
      </c>
      <c r="AB54" s="129">
        <f t="shared" ca="1" si="14"/>
        <v>0</v>
      </c>
      <c r="AC54" s="567" t="str">
        <f ca="1">IF($N54=""," ",
IF(AND($C54&lt;&gt;"S",OR($R54="",$R54="(digite a descrição aqui)")),"DESCRIÇÃO",
IF(AND($C54="S",OR($Q54&lt;&gt;0,$T54&gt;0,$U54&gt;0),$P54=0),"FONTE",
IF(AND($C54="S",$P54&lt;&gt;0,OR($T54&gt;0,$U54&gt;0),$Q54=0),"CÓDIGO",
IF(AND($C54="S",$P54&lt;&gt;0,$Q54&lt;&gt;0,$R54="(Código não identificado nas referências)"),"CÓDIGO N/ID",
IF(AND($C54="S",OR($R54="",$R54="(digite a descrição aqui)"),OR($Q54&lt;&gt;0,$T54&gt;0,$U54&gt;0)),"DESCRIÇÃO",
IF(AND($C54="S",$P54&lt;&gt;0,$Q54&lt;&gt;0,$S54=""),"UNIDADE",
IF(AND($C54="S",$P54&lt;&gt;0,$Q54&lt;&gt;0,$U54=0),"SEM CUSTO",
IF(AND(TIPOORCAMENTO="Licitado",$AL54=0,$AN54&gt;0),"SEM PREÇO",
IF(AND($C54="S",$P54&lt;&gt;0,$Q54&lt;&gt;0,$U54&gt;0,$V54=0),"BDI",
IF(OR(AND(TIPOORCAMENTO="Proposto",$AG54&lt;&gt;"",$AG54&gt;0,ORÇAMENTO.CustoUnitario&gt;$AG54),AND(TIPOORCAMENTO="LICITADO",ORÇAMENTO.PrecoUnitarioLicitado&gt;$AN54)),"ACIMA REF.",
IF(AND($C54="S",$P54&lt;&gt;0,$Q54&lt;&gt;0,$T54=0,$U54&gt;0),"QUANT.",
IF(AND(Import.TipoArredondamento="TransfereGOV",$L54="F",$C54="S",LEN($Q54)&gt;13),"Código &gt;13",
IF(AND(Import.TipoArredondamento="TransfereGOV",$L54="F",$C54&lt;&gt;"S",LEN($R54)&gt;100),"Descrição &gt;100",
IF(AND(Import.TipoArredondamento="TransfereGOV",$L54="F",$C54="S",LEN($R54)&gt;500),"Descrição &gt;500",
IF(AND(Import.TipoArredondamento="TransfereGOV",$L54="F",$C54="S",LEFT(TRIM(UPPER($P54)),6)&lt;&gt;"SINAPI",ISNA(VLOOKUP(TRIM(UPPER($S54)),ListaTgov.Unidades,1,FALSE))),"Unid. Não Disp",
" "))))))))))))))))</f>
        <v xml:space="preserve"> </v>
      </c>
      <c r="AD54">
        <f ca="1">IF(C54&lt;=CRONO.NivelExibicao,MAX($AD$15:OFFSET(AD54,-1,0))+IF($C54&lt;&gt;1,1,MAX(1,COUNTIF(QCI!$A$13:$A$24,OFFSET($E54,-1,0)))),"")</f>
        <v>10</v>
      </c>
      <c r="AE54" s="7" t="b">
        <f ca="1">IF(AND($C54="S",ORÇAMENTO.CodBarra&lt;&gt;""),IF(ORÇAMENTO.Fonte="",ORÇAMENTO.CodBarra,CONCATENATE(ORÇAMENTO.Fonte," ",ORÇAMENTO.CodBarra)))</f>
        <v>0</v>
      </c>
      <c r="AF54" s="12" t="str">
        <f ca="1">IF(ISERROR(INDIRECT(ORÇAMENTO.BancoRef)),"(abra o arquivo 'Referência "&amp;Excel_BuiltIn_Database&amp;".xlsm)",IF(OR($C54&lt;&gt;"S",ORÇAMENTO.CodBarra=""),"(Sem Código)",IF(ISERROR(MATCH($AE54,INDIRECT(ORÇAMENTO.BancoRef),0)),"(Código não identificado nas referências)",MATCH($AE54,INDIRECT(ORÇAMENTO.BancoRef),0))))</f>
        <v>(abra o arquivo 'Referência 12-2024.xlsm)</v>
      </c>
      <c r="AG54" s="429">
        <f ca="1">ROUND(IF(DESONERACAO="sim",REFERENCIA.Desonerado,REFERENCIA.NaoDesonerado),2)</f>
        <v>0</v>
      </c>
      <c r="AH54" s="430">
        <f t="shared" ca="1" si="15"/>
        <v>0.31190000000000001</v>
      </c>
      <c r="AJ54" s="432"/>
      <c r="AL54" s="440"/>
      <c r="AM54" s="337">
        <f t="shared" ca="1" si="0"/>
        <v>0</v>
      </c>
      <c r="AN54" s="471">
        <f t="shared" ca="1" si="16"/>
        <v>0</v>
      </c>
    </row>
    <row r="55" spans="1:40" ht="38.25" x14ac:dyDescent="0.2">
      <c r="A55" t="str">
        <f t="shared" si="1"/>
        <v>S</v>
      </c>
      <c r="B55">
        <f t="shared" ca="1" si="2"/>
        <v>2</v>
      </c>
      <c r="C55" t="str">
        <f t="shared" ca="1" si="3"/>
        <v>S</v>
      </c>
      <c r="D55">
        <f t="shared" ca="1" si="4"/>
        <v>0</v>
      </c>
      <c r="E55">
        <f ca="1">IF($C55=1,OFFSET(E55,-1,0)+MAX(1,COUNTIF(QCI!$A$13:$A$24,OFFSET(ORÇAMENTO!E55,-1,0))),OFFSET(E55,-1,0))</f>
        <v>1</v>
      </c>
      <c r="F55">
        <f t="shared" ca="1" si="5"/>
        <v>9</v>
      </c>
      <c r="G55">
        <f t="shared" ca="1" si="6"/>
        <v>0</v>
      </c>
      <c r="H55">
        <f t="shared" ca="1" si="7"/>
        <v>0</v>
      </c>
      <c r="I55">
        <f t="shared" ca="1" si="8"/>
        <v>0</v>
      </c>
      <c r="J55">
        <f t="shared" ca="1" si="17"/>
        <v>0</v>
      </c>
      <c r="K55">
        <f ca="1">IF(OR($C55="S",$C55=0),0,MATCH(OFFSET($D55,0,$C55)+IF($C55&lt;&gt;1,1,COUNTIF(QCI!$A$13:$A$24,ORÇAMENTO!E55)),OFFSET($D55,1,$C55,ROW($C$405)-ROW($C55)),0))</f>
        <v>0</v>
      </c>
      <c r="L55" s="115" t="str">
        <f t="shared" ca="1" si="10"/>
        <v/>
      </c>
      <c r="M55" s="116" t="s">
        <v>706</v>
      </c>
      <c r="N55" s="117" t="str">
        <f t="shared" ca="1" si="11"/>
        <v>Serviço</v>
      </c>
      <c r="O55" s="118" t="str">
        <f t="shared" ca="1" si="12"/>
        <v>-</v>
      </c>
      <c r="P55" s="119" t="s">
        <v>751</v>
      </c>
      <c r="Q55" s="120" t="s">
        <v>973</v>
      </c>
      <c r="R55" s="121" t="s">
        <v>1349</v>
      </c>
      <c r="S55" s="122" t="s">
        <v>639</v>
      </c>
      <c r="T55" s="123">
        <f ca="1">OFFSET(CÁLCULO!H$15,ROW($T55)-ROW(T$15),0)</f>
        <v>22</v>
      </c>
      <c r="U55" s="124"/>
      <c r="V55" s="125" t="s">
        <v>663</v>
      </c>
      <c r="W55" s="123">
        <f ca="1">IF($C55="S",ROUND(IF(TIPOORCAMENTO="Proposto",ORÇAMENTO.CustoUnitario*(1+$AH55),ORÇAMENTO.PrecoUnitarioLicitado),15-13*$AF$10),0)</f>
        <v>0</v>
      </c>
      <c r="X55" s="126" cm="1">
        <f t="array" aca="1" ref="X55" ca="1">IF($C55="S",IF(OR(Import.TipoArredondamento&lt;&gt;"TransfereGOV",ACOMPANHAMENTO="BM"),VTOTAL1,SUM(OFFSET(CÁLCULO!$AA$15,ROW($X55)-ROW($X$15),1):OFFSET(CÁLCULO!$AL$15,ROW($X55)-ROW($X$15),-1))),IF($C55=0,0,ROUND(SomaAgrup,15-13*$AF$11)))</f>
        <v>0</v>
      </c>
      <c r="Y55" s="127" t="s">
        <v>752</v>
      </c>
      <c r="Z55" t="str">
        <f t="shared" ca="1" si="13"/>
        <v/>
      </c>
      <c r="AA55" s="128">
        <f ca="1">IF($C55="S",IF($Z55="CP",$X55,IF($Z55="RA",(($X55)*QCI!$AA$3),0)),SomaAgrup)</f>
        <v>0</v>
      </c>
      <c r="AB55" s="129">
        <f t="shared" ca="1" si="14"/>
        <v>0</v>
      </c>
      <c r="AC55" s="567" t="str">
        <f ca="1">IF($N55=""," ",
IF(AND($C55&lt;&gt;"S",OR($R55="",$R55="(digite a descrição aqui)")),"DESCRIÇÃO",
IF(AND($C55="S",OR($Q55&lt;&gt;0,$T55&gt;0,$U55&gt;0),$P55=0),"FONTE",
IF(AND($C55="S",$P55&lt;&gt;0,OR($T55&gt;0,$U55&gt;0),$Q55=0),"CÓDIGO",
IF(AND($C55="S",$P55&lt;&gt;0,$Q55&lt;&gt;0,$R55="(Código não identificado nas referências)"),"CÓDIGO N/ID",
IF(AND($C55="S",OR($R55="",$R55="(digite a descrição aqui)"),OR($Q55&lt;&gt;0,$T55&gt;0,$U55&gt;0)),"DESCRIÇÃO",
IF(AND($C55="S",$P55&lt;&gt;0,$Q55&lt;&gt;0,$S55=""),"UNIDADE",
IF(AND($C55="S",$P55&lt;&gt;0,$Q55&lt;&gt;0,$U55=0),"SEM CUSTO",
IF(AND(TIPOORCAMENTO="Licitado",$AL55=0,$AN55&gt;0),"SEM PREÇO",
IF(AND($C55="S",$P55&lt;&gt;0,$Q55&lt;&gt;0,$U55&gt;0,$V55=0),"BDI",
IF(OR(AND(TIPOORCAMENTO="Proposto",$AG55&lt;&gt;"",$AG55&gt;0,ORÇAMENTO.CustoUnitario&gt;$AG55),AND(TIPOORCAMENTO="LICITADO",ORÇAMENTO.PrecoUnitarioLicitado&gt;$AN55)),"ACIMA REF.",
IF(AND($C55="S",$P55&lt;&gt;0,$Q55&lt;&gt;0,$T55=0,$U55&gt;0),"QUANT.",
IF(AND(Import.TipoArredondamento="TransfereGOV",$L55="F",$C55="S",LEN($Q55)&gt;13),"Código &gt;13",
IF(AND(Import.TipoArredondamento="TransfereGOV",$L55="F",$C55&lt;&gt;"S",LEN($R55)&gt;100),"Descrição &gt;100",
IF(AND(Import.TipoArredondamento="TransfereGOV",$L55="F",$C55="S",LEN($R55)&gt;500),"Descrição &gt;500",
IF(AND(Import.TipoArredondamento="TransfereGOV",$L55="F",$C55="S",LEFT(TRIM(UPPER($P55)),6)&lt;&gt;"SINAPI",ISNA(VLOOKUP(TRIM(UPPER($S55)),ListaTgov.Unidades,1,FALSE))),"Unid. Não Disp",
" "))))))))))))))))</f>
        <v>SEM CUSTO</v>
      </c>
      <c r="AD55" t="str">
        <f ca="1">IF(C55&lt;=CRONO.NivelExibicao,MAX($AD$15:OFFSET(AD55,-1,0))+IF($C55&lt;&gt;1,1,MAX(1,COUNTIF(QCI!$A$13:$A$24,OFFSET($E55,-1,0)))),"")</f>
        <v/>
      </c>
      <c r="AE55" s="7" t="str">
        <f ca="1">IF(AND($C55="S",ORÇAMENTO.CodBarra&lt;&gt;""),IF(ORÇAMENTO.Fonte="",ORÇAMENTO.CodBarra,CONCATENATE(ORÇAMENTO.Fonte," ",ORÇAMENTO.CodBarra)))</f>
        <v>SINAPI 92023</v>
      </c>
      <c r="AF55" s="12" t="str">
        <f ca="1">IF(ISERROR(INDIRECT(ORÇAMENTO.BancoRef)),"(abra o arquivo 'Referência "&amp;Excel_BuiltIn_Database&amp;".xlsm)",IF(OR($C55&lt;&gt;"S",ORÇAMENTO.CodBarra=""),"(Sem Código)",IF(ISERROR(MATCH($AE55,INDIRECT(ORÇAMENTO.BancoRef),0)),"(Código não identificado nas referências)",MATCH($AE55,INDIRECT(ORÇAMENTO.BancoRef),0))))</f>
        <v>(abra o arquivo 'Referência 12-2024.xlsm)</v>
      </c>
      <c r="AG55" s="429">
        <f ca="1">ROUND(IF(DESONERACAO="sim",REFERENCIA.Desonerado,REFERENCIA.NaoDesonerado),2)</f>
        <v>0</v>
      </c>
      <c r="AH55" s="430">
        <f t="shared" ca="1" si="15"/>
        <v>0.31190000000000001</v>
      </c>
      <c r="AJ55" s="432">
        <v>22</v>
      </c>
      <c r="AL55" s="440"/>
      <c r="AM55" s="337">
        <f t="shared" ca="1" si="0"/>
        <v>0</v>
      </c>
      <c r="AN55" s="471">
        <f t="shared" ca="1" si="16"/>
        <v>0</v>
      </c>
    </row>
    <row r="56" spans="1:40" ht="38.25" x14ac:dyDescent="0.2">
      <c r="A56" t="str">
        <f t="shared" si="1"/>
        <v>S</v>
      </c>
      <c r="B56">
        <f t="shared" ca="1" si="2"/>
        <v>2</v>
      </c>
      <c r="C56" t="str">
        <f t="shared" ca="1" si="3"/>
        <v>S</v>
      </c>
      <c r="D56">
        <f t="shared" ca="1" si="4"/>
        <v>0</v>
      </c>
      <c r="E56">
        <f ca="1">IF($C56=1,OFFSET(E56,-1,0)+MAX(1,COUNTIF(QCI!$A$13:$A$24,OFFSET(ORÇAMENTO!E56,-1,0))),OFFSET(E56,-1,0))</f>
        <v>1</v>
      </c>
      <c r="F56">
        <f t="shared" ca="1" si="5"/>
        <v>9</v>
      </c>
      <c r="G56">
        <f t="shared" ca="1" si="6"/>
        <v>0</v>
      </c>
      <c r="H56">
        <f t="shared" ca="1" si="7"/>
        <v>0</v>
      </c>
      <c r="I56">
        <f t="shared" ca="1" si="8"/>
        <v>0</v>
      </c>
      <c r="J56">
        <f t="shared" ca="1" si="17"/>
        <v>0</v>
      </c>
      <c r="K56">
        <f ca="1">IF(OR($C56="S",$C56=0),0,MATCH(OFFSET($D56,0,$C56)+IF($C56&lt;&gt;1,1,COUNTIF(QCI!$A$13:$A$24,ORÇAMENTO!E56)),OFFSET($D56,1,$C56,ROW($C$405)-ROW($C56)),0))</f>
        <v>0</v>
      </c>
      <c r="L56" s="115" t="str">
        <f t="shared" ca="1" si="10"/>
        <v/>
      </c>
      <c r="M56" s="116" t="s">
        <v>706</v>
      </c>
      <c r="N56" s="117" t="str">
        <f t="shared" ca="1" si="11"/>
        <v>Serviço</v>
      </c>
      <c r="O56" s="118" t="str">
        <f t="shared" ca="1" si="12"/>
        <v>-</v>
      </c>
      <c r="P56" s="119" t="s">
        <v>751</v>
      </c>
      <c r="Q56" s="120" t="s">
        <v>974</v>
      </c>
      <c r="R56" s="121" t="s">
        <v>1350</v>
      </c>
      <c r="S56" s="122" t="s">
        <v>639</v>
      </c>
      <c r="T56" s="123">
        <f ca="1">OFFSET(CÁLCULO!H$15,ROW($T56)-ROW(T$15),0)</f>
        <v>5</v>
      </c>
      <c r="U56" s="124"/>
      <c r="V56" s="125" t="s">
        <v>663</v>
      </c>
      <c r="W56" s="123">
        <f ca="1">IF($C56="S",ROUND(IF(TIPOORCAMENTO="Proposto",ORÇAMENTO.CustoUnitario*(1+$AH56),ORÇAMENTO.PrecoUnitarioLicitado),15-13*$AF$10),0)</f>
        <v>0</v>
      </c>
      <c r="X56" s="126" cm="1">
        <f t="array" aca="1" ref="X56" ca="1">IF($C56="S",IF(OR(Import.TipoArredondamento&lt;&gt;"TransfereGOV",ACOMPANHAMENTO="BM"),VTOTAL1,SUM(OFFSET(CÁLCULO!$AA$15,ROW($X56)-ROW($X$15),1):OFFSET(CÁLCULO!$AL$15,ROW($X56)-ROW($X$15),-1))),IF($C56=0,0,ROUND(SomaAgrup,15-13*$AF$11)))</f>
        <v>0</v>
      </c>
      <c r="Y56" s="127" t="s">
        <v>752</v>
      </c>
      <c r="Z56" t="str">
        <f t="shared" ca="1" si="13"/>
        <v/>
      </c>
      <c r="AA56" s="128">
        <f ca="1">IF($C56="S",IF($Z56="CP",$X56,IF($Z56="RA",(($X56)*QCI!$AA$3),0)),SomaAgrup)</f>
        <v>0</v>
      </c>
      <c r="AB56" s="129">
        <f t="shared" ca="1" si="14"/>
        <v>0</v>
      </c>
      <c r="AC56" s="567" t="str">
        <f ca="1">IF($N56=""," ",
IF(AND($C56&lt;&gt;"S",OR($R56="",$R56="(digite a descrição aqui)")),"DESCRIÇÃO",
IF(AND($C56="S",OR($Q56&lt;&gt;0,$T56&gt;0,$U56&gt;0),$P56=0),"FONTE",
IF(AND($C56="S",$P56&lt;&gt;0,OR($T56&gt;0,$U56&gt;0),$Q56=0),"CÓDIGO",
IF(AND($C56="S",$P56&lt;&gt;0,$Q56&lt;&gt;0,$R56="(Código não identificado nas referências)"),"CÓDIGO N/ID",
IF(AND($C56="S",OR($R56="",$R56="(digite a descrição aqui)"),OR($Q56&lt;&gt;0,$T56&gt;0,$U56&gt;0)),"DESCRIÇÃO",
IF(AND($C56="S",$P56&lt;&gt;0,$Q56&lt;&gt;0,$S56=""),"UNIDADE",
IF(AND($C56="S",$P56&lt;&gt;0,$Q56&lt;&gt;0,$U56=0),"SEM CUSTO",
IF(AND(TIPOORCAMENTO="Licitado",$AL56=0,$AN56&gt;0),"SEM PREÇO",
IF(AND($C56="S",$P56&lt;&gt;0,$Q56&lt;&gt;0,$U56&gt;0,$V56=0),"BDI",
IF(OR(AND(TIPOORCAMENTO="Proposto",$AG56&lt;&gt;"",$AG56&gt;0,ORÇAMENTO.CustoUnitario&gt;$AG56),AND(TIPOORCAMENTO="LICITADO",ORÇAMENTO.PrecoUnitarioLicitado&gt;$AN56)),"ACIMA REF.",
IF(AND($C56="S",$P56&lt;&gt;0,$Q56&lt;&gt;0,$T56=0,$U56&gt;0),"QUANT.",
IF(AND(Import.TipoArredondamento="TransfereGOV",$L56="F",$C56="S",LEN($Q56)&gt;13),"Código &gt;13",
IF(AND(Import.TipoArredondamento="TransfereGOV",$L56="F",$C56&lt;&gt;"S",LEN($R56)&gt;100),"Descrição &gt;100",
IF(AND(Import.TipoArredondamento="TransfereGOV",$L56="F",$C56="S",LEN($R56)&gt;500),"Descrição &gt;500",
IF(AND(Import.TipoArredondamento="TransfereGOV",$L56="F",$C56="S",LEFT(TRIM(UPPER($P56)),6)&lt;&gt;"SINAPI",ISNA(VLOOKUP(TRIM(UPPER($S56)),ListaTgov.Unidades,1,FALSE))),"Unid. Não Disp",
" "))))))))))))))))</f>
        <v>SEM CUSTO</v>
      </c>
      <c r="AD56" t="str">
        <f ca="1">IF(C56&lt;=CRONO.NivelExibicao,MAX($AD$15:OFFSET(AD56,-1,0))+IF($C56&lt;&gt;1,1,MAX(1,COUNTIF(QCI!$A$13:$A$24,OFFSET($E56,-1,0)))),"")</f>
        <v/>
      </c>
      <c r="AE56" s="7" t="str">
        <f ca="1">IF(AND($C56="S",ORÇAMENTO.CodBarra&lt;&gt;""),IF(ORÇAMENTO.Fonte="",ORÇAMENTO.CodBarra,CONCATENATE(ORÇAMENTO.Fonte," ",ORÇAMENTO.CodBarra)))</f>
        <v>SINAPI 92029</v>
      </c>
      <c r="AF56" s="12" t="str">
        <f ca="1">IF(ISERROR(INDIRECT(ORÇAMENTO.BancoRef)),"(abra o arquivo 'Referência "&amp;Excel_BuiltIn_Database&amp;".xlsm)",IF(OR($C56&lt;&gt;"S",ORÇAMENTO.CodBarra=""),"(Sem Código)",IF(ISERROR(MATCH($AE56,INDIRECT(ORÇAMENTO.BancoRef),0)),"(Código não identificado nas referências)",MATCH($AE56,INDIRECT(ORÇAMENTO.BancoRef),0))))</f>
        <v>(abra o arquivo 'Referência 12-2024.xlsm)</v>
      </c>
      <c r="AG56" s="429">
        <f ca="1">ROUND(IF(DESONERACAO="sim",REFERENCIA.Desonerado,REFERENCIA.NaoDesonerado),2)</f>
        <v>0</v>
      </c>
      <c r="AH56" s="430">
        <f t="shared" ca="1" si="15"/>
        <v>0.31190000000000001</v>
      </c>
      <c r="AJ56" s="432">
        <v>5</v>
      </c>
      <c r="AL56" s="440"/>
      <c r="AM56" s="337">
        <f t="shared" ca="1" si="0"/>
        <v>0</v>
      </c>
      <c r="AN56" s="471">
        <f t="shared" ca="1" si="16"/>
        <v>0</v>
      </c>
    </row>
    <row r="57" spans="1:40" ht="38.25" x14ac:dyDescent="0.2">
      <c r="A57" t="str">
        <f t="shared" si="1"/>
        <v>S</v>
      </c>
      <c r="B57">
        <f t="shared" ca="1" si="2"/>
        <v>2</v>
      </c>
      <c r="C57" t="str">
        <f t="shared" ca="1" si="3"/>
        <v>S</v>
      </c>
      <c r="D57">
        <f t="shared" ca="1" si="4"/>
        <v>0</v>
      </c>
      <c r="E57">
        <f ca="1">IF($C57=1,OFFSET(E57,-1,0)+MAX(1,COUNTIF(QCI!$A$13:$A$24,OFFSET(ORÇAMENTO!E57,-1,0))),OFFSET(E57,-1,0))</f>
        <v>1</v>
      </c>
      <c r="F57">
        <f t="shared" ca="1" si="5"/>
        <v>9</v>
      </c>
      <c r="G57">
        <f t="shared" ca="1" si="6"/>
        <v>0</v>
      </c>
      <c r="H57">
        <f t="shared" ca="1" si="7"/>
        <v>0</v>
      </c>
      <c r="I57">
        <f t="shared" ca="1" si="8"/>
        <v>0</v>
      </c>
      <c r="J57">
        <f t="shared" ca="1" si="17"/>
        <v>0</v>
      </c>
      <c r="K57">
        <f ca="1">IF(OR($C57="S",$C57=0),0,MATCH(OFFSET($D57,0,$C57)+IF($C57&lt;&gt;1,1,COUNTIF(QCI!$A$13:$A$24,ORÇAMENTO!E57)),OFFSET($D57,1,$C57,ROW($C$405)-ROW($C57)),0))</f>
        <v>0</v>
      </c>
      <c r="L57" s="115" t="str">
        <f t="shared" ca="1" si="10"/>
        <v/>
      </c>
      <c r="M57" s="116" t="s">
        <v>706</v>
      </c>
      <c r="N57" s="117" t="str">
        <f t="shared" ca="1" si="11"/>
        <v>Serviço</v>
      </c>
      <c r="O57" s="118" t="str">
        <f t="shared" ca="1" si="12"/>
        <v>-</v>
      </c>
      <c r="P57" s="119" t="s">
        <v>751</v>
      </c>
      <c r="Q57" s="120" t="s">
        <v>975</v>
      </c>
      <c r="R57" s="121" t="s">
        <v>1351</v>
      </c>
      <c r="S57" s="122" t="s">
        <v>639</v>
      </c>
      <c r="T57" s="123">
        <f ca="1">OFFSET(CÁLCULO!H$15,ROW($T57)-ROW(T$15),0)</f>
        <v>1</v>
      </c>
      <c r="U57" s="124"/>
      <c r="V57" s="125" t="s">
        <v>663</v>
      </c>
      <c r="W57" s="123">
        <f ca="1">IF($C57="S",ROUND(IF(TIPOORCAMENTO="Proposto",ORÇAMENTO.CustoUnitario*(1+$AH57),ORÇAMENTO.PrecoUnitarioLicitado),15-13*$AF$10),0)</f>
        <v>0</v>
      </c>
      <c r="X57" s="126" cm="1">
        <f t="array" aca="1" ref="X57" ca="1">IF($C57="S",IF(OR(Import.TipoArredondamento&lt;&gt;"TransfereGOV",ACOMPANHAMENTO="BM"),VTOTAL1,SUM(OFFSET(CÁLCULO!$AA$15,ROW($X57)-ROW($X$15),1):OFFSET(CÁLCULO!$AL$15,ROW($X57)-ROW($X$15),-1))),IF($C57=0,0,ROUND(SomaAgrup,15-13*$AF$11)))</f>
        <v>0</v>
      </c>
      <c r="Y57" s="127" t="s">
        <v>752</v>
      </c>
      <c r="Z57" t="str">
        <f t="shared" ca="1" si="13"/>
        <v/>
      </c>
      <c r="AA57" s="128">
        <f ca="1">IF($C57="S",IF($Z57="CP",$X57,IF($Z57="RA",(($X57)*QCI!$AA$3),0)),SomaAgrup)</f>
        <v>0</v>
      </c>
      <c r="AB57" s="129">
        <f t="shared" ca="1" si="14"/>
        <v>0</v>
      </c>
      <c r="AC57" s="567" t="str">
        <f ca="1">IF($N57=""," ",
IF(AND($C57&lt;&gt;"S",OR($R57="",$R57="(digite a descrição aqui)")),"DESCRIÇÃO",
IF(AND($C57="S",OR($Q57&lt;&gt;0,$T57&gt;0,$U57&gt;0),$P57=0),"FONTE",
IF(AND($C57="S",$P57&lt;&gt;0,OR($T57&gt;0,$U57&gt;0),$Q57=0),"CÓDIGO",
IF(AND($C57="S",$P57&lt;&gt;0,$Q57&lt;&gt;0,$R57="(Código não identificado nas referências)"),"CÓDIGO N/ID",
IF(AND($C57="S",OR($R57="",$R57="(digite a descrição aqui)"),OR($Q57&lt;&gt;0,$T57&gt;0,$U57&gt;0)),"DESCRIÇÃO",
IF(AND($C57="S",$P57&lt;&gt;0,$Q57&lt;&gt;0,$S57=""),"UNIDADE",
IF(AND($C57="S",$P57&lt;&gt;0,$Q57&lt;&gt;0,$U57=0),"SEM CUSTO",
IF(AND(TIPOORCAMENTO="Licitado",$AL57=0,$AN57&gt;0),"SEM PREÇO",
IF(AND($C57="S",$P57&lt;&gt;0,$Q57&lt;&gt;0,$U57&gt;0,$V57=0),"BDI",
IF(OR(AND(TIPOORCAMENTO="Proposto",$AG57&lt;&gt;"",$AG57&gt;0,ORÇAMENTO.CustoUnitario&gt;$AG57),AND(TIPOORCAMENTO="LICITADO",ORÇAMENTO.PrecoUnitarioLicitado&gt;$AN57)),"ACIMA REF.",
IF(AND($C57="S",$P57&lt;&gt;0,$Q57&lt;&gt;0,$T57=0,$U57&gt;0),"QUANT.",
IF(AND(Import.TipoArredondamento="TransfereGOV",$L57="F",$C57="S",LEN($Q57)&gt;13),"Código &gt;13",
IF(AND(Import.TipoArredondamento="TransfereGOV",$L57="F",$C57&lt;&gt;"S",LEN($R57)&gt;100),"Descrição &gt;100",
IF(AND(Import.TipoArredondamento="TransfereGOV",$L57="F",$C57="S",LEN($R57)&gt;500),"Descrição &gt;500",
IF(AND(Import.TipoArredondamento="TransfereGOV",$L57="F",$C57="S",LEFT(TRIM(UPPER($P57)),6)&lt;&gt;"SINAPI",ISNA(VLOOKUP(TRIM(UPPER($S57)),ListaTgov.Unidades,1,FALSE))),"Unid. Não Disp",
" "))))))))))))))))</f>
        <v>SEM CUSTO</v>
      </c>
      <c r="AD57" t="str">
        <f ca="1">IF(C57&lt;=CRONO.NivelExibicao,MAX($AD$15:OFFSET(AD57,-1,0))+IF($C57&lt;&gt;1,1,MAX(1,COUNTIF(QCI!$A$13:$A$24,OFFSET($E57,-1,0)))),"")</f>
        <v/>
      </c>
      <c r="AE57" s="7" t="str">
        <f ca="1">IF(AND($C57="S",ORÇAMENTO.CodBarra&lt;&gt;""),IF(ORÇAMENTO.Fonte="",ORÇAMENTO.CodBarra,CONCATENATE(ORÇAMENTO.Fonte," ",ORÇAMENTO.CodBarra)))</f>
        <v>SINAPI 91963</v>
      </c>
      <c r="AF57" s="12" t="str">
        <f ca="1">IF(ISERROR(INDIRECT(ORÇAMENTO.BancoRef)),"(abra o arquivo 'Referência "&amp;Excel_BuiltIn_Database&amp;".xlsm)",IF(OR($C57&lt;&gt;"S",ORÇAMENTO.CodBarra=""),"(Sem Código)",IF(ISERROR(MATCH($AE57,INDIRECT(ORÇAMENTO.BancoRef),0)),"(Código não identificado nas referências)",MATCH($AE57,INDIRECT(ORÇAMENTO.BancoRef),0))))</f>
        <v>(abra o arquivo 'Referência 12-2024.xlsm)</v>
      </c>
      <c r="AG57" s="429">
        <f ca="1">ROUND(IF(DESONERACAO="sim",REFERENCIA.Desonerado,REFERENCIA.NaoDesonerado),2)</f>
        <v>0</v>
      </c>
      <c r="AH57" s="430">
        <f t="shared" ca="1" si="15"/>
        <v>0.31190000000000001</v>
      </c>
      <c r="AJ57" s="432">
        <v>1</v>
      </c>
      <c r="AL57" s="440"/>
      <c r="AM57" s="337">
        <f t="shared" ca="1" si="0"/>
        <v>0</v>
      </c>
      <c r="AN57" s="471">
        <f t="shared" ca="1" si="16"/>
        <v>0</v>
      </c>
    </row>
    <row r="58" spans="1:40" ht="38.25" x14ac:dyDescent="0.2">
      <c r="A58" t="str">
        <f t="shared" si="1"/>
        <v>S</v>
      </c>
      <c r="B58">
        <f t="shared" ca="1" si="2"/>
        <v>2</v>
      </c>
      <c r="C58" t="str">
        <f t="shared" ca="1" si="3"/>
        <v>S</v>
      </c>
      <c r="D58">
        <f t="shared" ca="1" si="4"/>
        <v>0</v>
      </c>
      <c r="E58">
        <f ca="1">IF($C58=1,OFFSET(E58,-1,0)+MAX(1,COUNTIF(QCI!$A$13:$A$24,OFFSET(ORÇAMENTO!E58,-1,0))),OFFSET(E58,-1,0))</f>
        <v>1</v>
      </c>
      <c r="F58">
        <f t="shared" ca="1" si="5"/>
        <v>9</v>
      </c>
      <c r="G58">
        <f t="shared" ca="1" si="6"/>
        <v>0</v>
      </c>
      <c r="H58">
        <f t="shared" ca="1" si="7"/>
        <v>0</v>
      </c>
      <c r="I58">
        <f t="shared" ca="1" si="8"/>
        <v>0</v>
      </c>
      <c r="J58">
        <f t="shared" ca="1" si="17"/>
        <v>0</v>
      </c>
      <c r="K58">
        <f ca="1">IF(OR($C58="S",$C58=0),0,MATCH(OFFSET($D58,0,$C58)+IF($C58&lt;&gt;1,1,COUNTIF(QCI!$A$13:$A$24,ORÇAMENTO!E58)),OFFSET($D58,1,$C58,ROW($C$405)-ROW($C58)),0))</f>
        <v>0</v>
      </c>
      <c r="L58" s="115" t="str">
        <f t="shared" ca="1" si="10"/>
        <v/>
      </c>
      <c r="M58" s="116" t="s">
        <v>706</v>
      </c>
      <c r="N58" s="117" t="str">
        <f t="shared" ca="1" si="11"/>
        <v>Serviço</v>
      </c>
      <c r="O58" s="118" t="str">
        <f t="shared" ca="1" si="12"/>
        <v>-</v>
      </c>
      <c r="P58" s="119" t="s">
        <v>751</v>
      </c>
      <c r="Q58" s="120" t="s">
        <v>976</v>
      </c>
      <c r="R58" s="121" t="s">
        <v>1352</v>
      </c>
      <c r="S58" s="122" t="s">
        <v>639</v>
      </c>
      <c r="T58" s="123">
        <f ca="1">OFFSET(CÁLCULO!H$15,ROW($T58)-ROW(T$15),0)</f>
        <v>6</v>
      </c>
      <c r="U58" s="124"/>
      <c r="V58" s="125" t="s">
        <v>663</v>
      </c>
      <c r="W58" s="123">
        <f ca="1">IF($C58="S",ROUND(IF(TIPOORCAMENTO="Proposto",ORÇAMENTO.CustoUnitario*(1+$AH58),ORÇAMENTO.PrecoUnitarioLicitado),15-13*$AF$10),0)</f>
        <v>0</v>
      </c>
      <c r="X58" s="126" cm="1">
        <f t="array" aca="1" ref="X58" ca="1">IF($C58="S",IF(OR(Import.TipoArredondamento&lt;&gt;"TransfereGOV",ACOMPANHAMENTO="BM"),VTOTAL1,SUM(OFFSET(CÁLCULO!$AA$15,ROW($X58)-ROW($X$15),1):OFFSET(CÁLCULO!$AL$15,ROW($X58)-ROW($X$15),-1))),IF($C58=0,0,ROUND(SomaAgrup,15-13*$AF$11)))</f>
        <v>0</v>
      </c>
      <c r="Y58" s="127" t="s">
        <v>752</v>
      </c>
      <c r="Z58" t="str">
        <f t="shared" ca="1" si="13"/>
        <v/>
      </c>
      <c r="AA58" s="128">
        <f ca="1">IF($C58="S",IF($Z58="CP",$X58,IF($Z58="RA",(($X58)*QCI!$AA$3),0)),SomaAgrup)</f>
        <v>0</v>
      </c>
      <c r="AB58" s="129">
        <f t="shared" ca="1" si="14"/>
        <v>0</v>
      </c>
      <c r="AC58" s="567" t="str">
        <f ca="1">IF($N58=""," ",
IF(AND($C58&lt;&gt;"S",OR($R58="",$R58="(digite a descrição aqui)")),"DESCRIÇÃO",
IF(AND($C58="S",OR($Q58&lt;&gt;0,$T58&gt;0,$U58&gt;0),$P58=0),"FONTE",
IF(AND($C58="S",$P58&lt;&gt;0,OR($T58&gt;0,$U58&gt;0),$Q58=0),"CÓDIGO",
IF(AND($C58="S",$P58&lt;&gt;0,$Q58&lt;&gt;0,$R58="(Código não identificado nas referências)"),"CÓDIGO N/ID",
IF(AND($C58="S",OR($R58="",$R58="(digite a descrição aqui)"),OR($Q58&lt;&gt;0,$T58&gt;0,$U58&gt;0)),"DESCRIÇÃO",
IF(AND($C58="S",$P58&lt;&gt;0,$Q58&lt;&gt;0,$S58=""),"UNIDADE",
IF(AND($C58="S",$P58&lt;&gt;0,$Q58&lt;&gt;0,$U58=0),"SEM CUSTO",
IF(AND(TIPOORCAMENTO="Licitado",$AL58=0,$AN58&gt;0),"SEM PREÇO",
IF(AND($C58="S",$P58&lt;&gt;0,$Q58&lt;&gt;0,$U58&gt;0,$V58=0),"BDI",
IF(OR(AND(TIPOORCAMENTO="Proposto",$AG58&lt;&gt;"",$AG58&gt;0,ORÇAMENTO.CustoUnitario&gt;$AG58),AND(TIPOORCAMENTO="LICITADO",ORÇAMENTO.PrecoUnitarioLicitado&gt;$AN58)),"ACIMA REF.",
IF(AND($C58="S",$P58&lt;&gt;0,$Q58&lt;&gt;0,$T58=0,$U58&gt;0),"QUANT.",
IF(AND(Import.TipoArredondamento="TransfereGOV",$L58="F",$C58="S",LEN($Q58)&gt;13),"Código &gt;13",
IF(AND(Import.TipoArredondamento="TransfereGOV",$L58="F",$C58&lt;&gt;"S",LEN($R58)&gt;100),"Descrição &gt;100",
IF(AND(Import.TipoArredondamento="TransfereGOV",$L58="F",$C58="S",LEN($R58)&gt;500),"Descrição &gt;500",
IF(AND(Import.TipoArredondamento="TransfereGOV",$L58="F",$C58="S",LEFT(TRIM(UPPER($P58)),6)&lt;&gt;"SINAPI",ISNA(VLOOKUP(TRIM(UPPER($S58)),ListaTgov.Unidades,1,FALSE))),"Unid. Não Disp",
" "))))))))))))))))</f>
        <v>SEM CUSTO</v>
      </c>
      <c r="AD58" t="str">
        <f ca="1">IF(C58&lt;=CRONO.NivelExibicao,MAX($AD$15:OFFSET(AD58,-1,0))+IF($C58&lt;&gt;1,1,MAX(1,COUNTIF(QCI!$A$13:$A$24,OFFSET($E58,-1,0)))),"")</f>
        <v/>
      </c>
      <c r="AE58" s="7" t="str">
        <f ca="1">IF(AND($C58="S",ORÇAMENTO.CodBarra&lt;&gt;""),IF(ORÇAMENTO.Fonte="",ORÇAMENTO.CodBarra,CONCATENATE(ORÇAMENTO.Fonte," ",ORÇAMENTO.CodBarra)))</f>
        <v>SINAPI 91989</v>
      </c>
      <c r="AF58" s="12" t="str">
        <f ca="1">IF(ISERROR(INDIRECT(ORÇAMENTO.BancoRef)),"(abra o arquivo 'Referência "&amp;Excel_BuiltIn_Database&amp;".xlsm)",IF(OR($C58&lt;&gt;"S",ORÇAMENTO.CodBarra=""),"(Sem Código)",IF(ISERROR(MATCH($AE58,INDIRECT(ORÇAMENTO.BancoRef),0)),"(Código não identificado nas referências)",MATCH($AE58,INDIRECT(ORÇAMENTO.BancoRef),0))))</f>
        <v>(abra o arquivo 'Referência 12-2024.xlsm)</v>
      </c>
      <c r="AG58" s="429">
        <f ca="1">ROUND(IF(DESONERACAO="sim",REFERENCIA.Desonerado,REFERENCIA.NaoDesonerado),2)</f>
        <v>0</v>
      </c>
      <c r="AH58" s="430">
        <f t="shared" ca="1" si="15"/>
        <v>0.31190000000000001</v>
      </c>
      <c r="AJ58" s="432">
        <v>6</v>
      </c>
      <c r="AL58" s="440"/>
      <c r="AM58" s="337">
        <f t="shared" ca="1" si="0"/>
        <v>0</v>
      </c>
      <c r="AN58" s="471">
        <f t="shared" ca="1" si="16"/>
        <v>0</v>
      </c>
    </row>
    <row r="59" spans="1:40" ht="25.5" x14ac:dyDescent="0.2">
      <c r="A59" t="str">
        <f t="shared" si="1"/>
        <v>S</v>
      </c>
      <c r="B59">
        <f t="shared" ca="1" si="2"/>
        <v>2</v>
      </c>
      <c r="C59" t="str">
        <f t="shared" ca="1" si="3"/>
        <v>S</v>
      </c>
      <c r="D59">
        <f t="shared" ca="1" si="4"/>
        <v>0</v>
      </c>
      <c r="E59">
        <f ca="1">IF($C59=1,OFFSET(E59,-1,0)+MAX(1,COUNTIF(QCI!$A$13:$A$24,OFFSET(ORÇAMENTO!E59,-1,0))),OFFSET(E59,-1,0))</f>
        <v>1</v>
      </c>
      <c r="F59">
        <f t="shared" ca="1" si="5"/>
        <v>9</v>
      </c>
      <c r="G59">
        <f t="shared" ca="1" si="6"/>
        <v>0</v>
      </c>
      <c r="H59">
        <f t="shared" ca="1" si="7"/>
        <v>0</v>
      </c>
      <c r="I59">
        <f t="shared" ca="1" si="8"/>
        <v>0</v>
      </c>
      <c r="J59">
        <f t="shared" ca="1" si="17"/>
        <v>0</v>
      </c>
      <c r="K59">
        <f ca="1">IF(OR($C59="S",$C59=0),0,MATCH(OFFSET($D59,0,$C59)+IF($C59&lt;&gt;1,1,COUNTIF(QCI!$A$13:$A$24,ORÇAMENTO!E59)),OFFSET($D59,1,$C59,ROW($C$405)-ROW($C59)),0))</f>
        <v>0</v>
      </c>
      <c r="L59" s="115" t="str">
        <f t="shared" ca="1" si="10"/>
        <v/>
      </c>
      <c r="M59" s="116" t="s">
        <v>706</v>
      </c>
      <c r="N59" s="117" t="str">
        <f t="shared" ca="1" si="11"/>
        <v>Serviço</v>
      </c>
      <c r="O59" s="118" t="str">
        <f t="shared" ca="1" si="12"/>
        <v>-</v>
      </c>
      <c r="P59" s="119" t="s">
        <v>751</v>
      </c>
      <c r="Q59" s="120" t="s">
        <v>977</v>
      </c>
      <c r="R59" s="121" t="s">
        <v>1353</v>
      </c>
      <c r="S59" s="122" t="s">
        <v>639</v>
      </c>
      <c r="T59" s="123">
        <f ca="1">OFFSET(CÁLCULO!H$15,ROW($T59)-ROW(T$15),0)</f>
        <v>121</v>
      </c>
      <c r="U59" s="124"/>
      <c r="V59" s="125" t="s">
        <v>663</v>
      </c>
      <c r="W59" s="123">
        <f ca="1">IF($C59="S",ROUND(IF(TIPOORCAMENTO="Proposto",ORÇAMENTO.CustoUnitario*(1+$AH59),ORÇAMENTO.PrecoUnitarioLicitado),15-13*$AF$10),0)</f>
        <v>0</v>
      </c>
      <c r="X59" s="126" cm="1">
        <f t="array" aca="1" ref="X59" ca="1">IF($C59="S",IF(OR(Import.TipoArredondamento&lt;&gt;"TransfereGOV",ACOMPANHAMENTO="BM"),VTOTAL1,SUM(OFFSET(CÁLCULO!$AA$15,ROW($X59)-ROW($X$15),1):OFFSET(CÁLCULO!$AL$15,ROW($X59)-ROW($X$15),-1))),IF($C59=0,0,ROUND(SomaAgrup,15-13*$AF$11)))</f>
        <v>0</v>
      </c>
      <c r="Y59" s="127" t="s">
        <v>752</v>
      </c>
      <c r="Z59" t="str">
        <f t="shared" ca="1" si="13"/>
        <v/>
      </c>
      <c r="AA59" s="128">
        <f ca="1">IF($C59="S",IF($Z59="CP",$X59,IF($Z59="RA",(($X59)*QCI!$AA$3),0)),SomaAgrup)</f>
        <v>0</v>
      </c>
      <c r="AB59" s="129">
        <f t="shared" ca="1" si="14"/>
        <v>0</v>
      </c>
      <c r="AC59" s="567" t="str">
        <f ca="1">IF($N59=""," ",
IF(AND($C59&lt;&gt;"S",OR($R59="",$R59="(digite a descrição aqui)")),"DESCRIÇÃO",
IF(AND($C59="S",OR($Q59&lt;&gt;0,$T59&gt;0,$U59&gt;0),$P59=0),"FONTE",
IF(AND($C59="S",$P59&lt;&gt;0,OR($T59&gt;0,$U59&gt;0),$Q59=0),"CÓDIGO",
IF(AND($C59="S",$P59&lt;&gt;0,$Q59&lt;&gt;0,$R59="(Código não identificado nas referências)"),"CÓDIGO N/ID",
IF(AND($C59="S",OR($R59="",$R59="(digite a descrição aqui)"),OR($Q59&lt;&gt;0,$T59&gt;0,$U59&gt;0)),"DESCRIÇÃO",
IF(AND($C59="S",$P59&lt;&gt;0,$Q59&lt;&gt;0,$S59=""),"UNIDADE",
IF(AND($C59="S",$P59&lt;&gt;0,$Q59&lt;&gt;0,$U59=0),"SEM CUSTO",
IF(AND(TIPOORCAMENTO="Licitado",$AL59=0,$AN59&gt;0),"SEM PREÇO",
IF(AND($C59="S",$P59&lt;&gt;0,$Q59&lt;&gt;0,$U59&gt;0,$V59=0),"BDI",
IF(OR(AND(TIPOORCAMENTO="Proposto",$AG59&lt;&gt;"",$AG59&gt;0,ORÇAMENTO.CustoUnitario&gt;$AG59),AND(TIPOORCAMENTO="LICITADO",ORÇAMENTO.PrecoUnitarioLicitado&gt;$AN59)),"ACIMA REF.",
IF(AND($C59="S",$P59&lt;&gt;0,$Q59&lt;&gt;0,$T59=0,$U59&gt;0),"QUANT.",
IF(AND(Import.TipoArredondamento="TransfereGOV",$L59="F",$C59="S",LEN($Q59)&gt;13),"Código &gt;13",
IF(AND(Import.TipoArredondamento="TransfereGOV",$L59="F",$C59&lt;&gt;"S",LEN($R59)&gt;100),"Descrição &gt;100",
IF(AND(Import.TipoArredondamento="TransfereGOV",$L59="F",$C59="S",LEN($R59)&gt;500),"Descrição &gt;500",
IF(AND(Import.TipoArredondamento="TransfereGOV",$L59="F",$C59="S",LEFT(TRIM(UPPER($P59)),6)&lt;&gt;"SINAPI",ISNA(VLOOKUP(TRIM(UPPER($S59)),ListaTgov.Unidades,1,FALSE))),"Unid. Não Disp",
" "))))))))))))))))</f>
        <v>SEM CUSTO</v>
      </c>
      <c r="AD59" t="str">
        <f ca="1">IF(C59&lt;=CRONO.NivelExibicao,MAX($AD$15:OFFSET(AD59,-1,0))+IF($C59&lt;&gt;1,1,MAX(1,COUNTIF(QCI!$A$13:$A$24,OFFSET($E59,-1,0)))),"")</f>
        <v/>
      </c>
      <c r="AE59" s="7" t="str">
        <f ca="1">IF(AND($C59="S",ORÇAMENTO.CodBarra&lt;&gt;""),IF(ORÇAMENTO.Fonte="",ORÇAMENTO.CodBarra,CONCATENATE(ORÇAMENTO.Fonte," ",ORÇAMENTO.CodBarra)))</f>
        <v>SINAPI 91992</v>
      </c>
      <c r="AF59" s="12" t="str">
        <f ca="1">IF(ISERROR(INDIRECT(ORÇAMENTO.BancoRef)),"(abra o arquivo 'Referência "&amp;Excel_BuiltIn_Database&amp;".xlsm)",IF(OR($C59&lt;&gt;"S",ORÇAMENTO.CodBarra=""),"(Sem Código)",IF(ISERROR(MATCH($AE59,INDIRECT(ORÇAMENTO.BancoRef),0)),"(Código não identificado nas referências)",MATCH($AE59,INDIRECT(ORÇAMENTO.BancoRef),0))))</f>
        <v>(abra o arquivo 'Referência 12-2024.xlsm)</v>
      </c>
      <c r="AG59" s="429">
        <f ca="1">ROUND(IF(DESONERACAO="sim",REFERENCIA.Desonerado,REFERENCIA.NaoDesonerado),2)</f>
        <v>0</v>
      </c>
      <c r="AH59" s="430">
        <f t="shared" ca="1" si="15"/>
        <v>0.31190000000000001</v>
      </c>
      <c r="AJ59" s="432">
        <v>121</v>
      </c>
      <c r="AL59" s="440"/>
      <c r="AM59" s="337">
        <f t="shared" ca="1" si="0"/>
        <v>0</v>
      </c>
      <c r="AN59" s="471">
        <f t="shared" ca="1" si="16"/>
        <v>0</v>
      </c>
    </row>
    <row r="60" spans="1:40" ht="25.5" x14ac:dyDescent="0.2">
      <c r="A60" t="str">
        <f t="shared" si="1"/>
        <v>S</v>
      </c>
      <c r="B60">
        <f t="shared" ca="1" si="2"/>
        <v>2</v>
      </c>
      <c r="C60" t="str">
        <f t="shared" ca="1" si="3"/>
        <v>S</v>
      </c>
      <c r="D60">
        <f t="shared" ca="1" si="4"/>
        <v>0</v>
      </c>
      <c r="E60">
        <f ca="1">IF($C60=1,OFFSET(E60,-1,0)+MAX(1,COUNTIF(QCI!$A$13:$A$24,OFFSET(ORÇAMENTO!E60,-1,0))),OFFSET(E60,-1,0))</f>
        <v>1</v>
      </c>
      <c r="F60">
        <f t="shared" ca="1" si="5"/>
        <v>9</v>
      </c>
      <c r="G60">
        <f t="shared" ca="1" si="6"/>
        <v>0</v>
      </c>
      <c r="H60">
        <f t="shared" ca="1" si="7"/>
        <v>0</v>
      </c>
      <c r="I60">
        <f t="shared" ca="1" si="8"/>
        <v>0</v>
      </c>
      <c r="J60">
        <f t="shared" ca="1" si="17"/>
        <v>0</v>
      </c>
      <c r="K60">
        <f ca="1">IF(OR($C60="S",$C60=0),0,MATCH(OFFSET($D60,0,$C60)+IF($C60&lt;&gt;1,1,COUNTIF(QCI!$A$13:$A$24,ORÇAMENTO!E60)),OFFSET($D60,1,$C60,ROW($C$405)-ROW($C60)),0))</f>
        <v>0</v>
      </c>
      <c r="L60" s="115" t="str">
        <f t="shared" ca="1" si="10"/>
        <v/>
      </c>
      <c r="M60" s="116" t="s">
        <v>706</v>
      </c>
      <c r="N60" s="117" t="str">
        <f t="shared" ca="1" si="11"/>
        <v>Serviço</v>
      </c>
      <c r="O60" s="118" t="str">
        <f t="shared" ca="1" si="12"/>
        <v>-</v>
      </c>
      <c r="P60" s="119" t="s">
        <v>751</v>
      </c>
      <c r="Q60" s="120" t="s">
        <v>978</v>
      </c>
      <c r="R60" s="121" t="s">
        <v>1354</v>
      </c>
      <c r="S60" s="122" t="s">
        <v>639</v>
      </c>
      <c r="T60" s="123">
        <f ca="1">OFFSET(CÁLCULO!H$15,ROW($T60)-ROW(T$15),0)</f>
        <v>8</v>
      </c>
      <c r="U60" s="124"/>
      <c r="V60" s="125" t="s">
        <v>663</v>
      </c>
      <c r="W60" s="123">
        <f ca="1">IF($C60="S",ROUND(IF(TIPOORCAMENTO="Proposto",ORÇAMENTO.CustoUnitario*(1+$AH60),ORÇAMENTO.PrecoUnitarioLicitado),15-13*$AF$10),0)</f>
        <v>0</v>
      </c>
      <c r="X60" s="126" cm="1">
        <f t="array" aca="1" ref="X60" ca="1">IF($C60="S",IF(OR(Import.TipoArredondamento&lt;&gt;"TransfereGOV",ACOMPANHAMENTO="BM"),VTOTAL1,SUM(OFFSET(CÁLCULO!$AA$15,ROW($X60)-ROW($X$15),1):OFFSET(CÁLCULO!$AL$15,ROW($X60)-ROW($X$15),-1))),IF($C60=0,0,ROUND(SomaAgrup,15-13*$AF$11)))</f>
        <v>0</v>
      </c>
      <c r="Y60" s="127" t="s">
        <v>752</v>
      </c>
      <c r="Z60" t="str">
        <f t="shared" ca="1" si="13"/>
        <v/>
      </c>
      <c r="AA60" s="128">
        <f ca="1">IF($C60="S",IF($Z60="CP",$X60,IF($Z60="RA",(($X60)*QCI!$AA$3),0)),SomaAgrup)</f>
        <v>0</v>
      </c>
      <c r="AB60" s="129">
        <f t="shared" ca="1" si="14"/>
        <v>0</v>
      </c>
      <c r="AC60" s="567" t="str">
        <f ca="1">IF($N60=""," ",
IF(AND($C60&lt;&gt;"S",OR($R60="",$R60="(digite a descrição aqui)")),"DESCRIÇÃO",
IF(AND($C60="S",OR($Q60&lt;&gt;0,$T60&gt;0,$U60&gt;0),$P60=0),"FONTE",
IF(AND($C60="S",$P60&lt;&gt;0,OR($T60&gt;0,$U60&gt;0),$Q60=0),"CÓDIGO",
IF(AND($C60="S",$P60&lt;&gt;0,$Q60&lt;&gt;0,$R60="(Código não identificado nas referências)"),"CÓDIGO N/ID",
IF(AND($C60="S",OR($R60="",$R60="(digite a descrição aqui)"),OR($Q60&lt;&gt;0,$T60&gt;0,$U60&gt;0)),"DESCRIÇÃO",
IF(AND($C60="S",$P60&lt;&gt;0,$Q60&lt;&gt;0,$S60=""),"UNIDADE",
IF(AND($C60="S",$P60&lt;&gt;0,$Q60&lt;&gt;0,$U60=0),"SEM CUSTO",
IF(AND(TIPOORCAMENTO="Licitado",$AL60=0,$AN60&gt;0),"SEM PREÇO",
IF(AND($C60="S",$P60&lt;&gt;0,$Q60&lt;&gt;0,$U60&gt;0,$V60=0),"BDI",
IF(OR(AND(TIPOORCAMENTO="Proposto",$AG60&lt;&gt;"",$AG60&gt;0,ORÇAMENTO.CustoUnitario&gt;$AG60),AND(TIPOORCAMENTO="LICITADO",ORÇAMENTO.PrecoUnitarioLicitado&gt;$AN60)),"ACIMA REF.",
IF(AND($C60="S",$P60&lt;&gt;0,$Q60&lt;&gt;0,$T60=0,$U60&gt;0),"QUANT.",
IF(AND(Import.TipoArredondamento="TransfereGOV",$L60="F",$C60="S",LEN($Q60)&gt;13),"Código &gt;13",
IF(AND(Import.TipoArredondamento="TransfereGOV",$L60="F",$C60&lt;&gt;"S",LEN($R60)&gt;100),"Descrição &gt;100",
IF(AND(Import.TipoArredondamento="TransfereGOV",$L60="F",$C60="S",LEN($R60)&gt;500),"Descrição &gt;500",
IF(AND(Import.TipoArredondamento="TransfereGOV",$L60="F",$C60="S",LEFT(TRIM(UPPER($P60)),6)&lt;&gt;"SINAPI",ISNA(VLOOKUP(TRIM(UPPER($S60)),ListaTgov.Unidades,1,FALSE))),"Unid. Não Disp",
" "))))))))))))))))</f>
        <v>SEM CUSTO</v>
      </c>
      <c r="AD60" t="str">
        <f ca="1">IF(C60&lt;=CRONO.NivelExibicao,MAX($AD$15:OFFSET(AD60,-1,0))+IF($C60&lt;&gt;1,1,MAX(1,COUNTIF(QCI!$A$13:$A$24,OFFSET($E60,-1,0)))),"")</f>
        <v/>
      </c>
      <c r="AE60" s="7" t="str">
        <f ca="1">IF(AND($C60="S",ORÇAMENTO.CodBarra&lt;&gt;""),IF(ORÇAMENTO.Fonte="",ORÇAMENTO.CodBarra,CONCATENATE(ORÇAMENTO.Fonte," ",ORÇAMENTO.CodBarra)))</f>
        <v>SINAPI 92008</v>
      </c>
      <c r="AF60" s="12" t="str">
        <f ca="1">IF(ISERROR(INDIRECT(ORÇAMENTO.BancoRef)),"(abra o arquivo 'Referência "&amp;Excel_BuiltIn_Database&amp;".xlsm)",IF(OR($C60&lt;&gt;"S",ORÇAMENTO.CodBarra=""),"(Sem Código)",IF(ISERROR(MATCH($AE60,INDIRECT(ORÇAMENTO.BancoRef),0)),"(Código não identificado nas referências)",MATCH($AE60,INDIRECT(ORÇAMENTO.BancoRef),0))))</f>
        <v>(abra o arquivo 'Referência 12-2024.xlsm)</v>
      </c>
      <c r="AG60" s="429">
        <f ca="1">ROUND(IF(DESONERACAO="sim",REFERENCIA.Desonerado,REFERENCIA.NaoDesonerado),2)</f>
        <v>0</v>
      </c>
      <c r="AH60" s="430">
        <f t="shared" ca="1" si="15"/>
        <v>0.31190000000000001</v>
      </c>
      <c r="AJ60" s="432">
        <v>8</v>
      </c>
      <c r="AL60" s="440"/>
      <c r="AM60" s="337">
        <f t="shared" ca="1" si="0"/>
        <v>0</v>
      </c>
      <c r="AN60" s="471">
        <f t="shared" ca="1" si="16"/>
        <v>0</v>
      </c>
    </row>
    <row r="61" spans="1:40" ht="25.5" x14ac:dyDescent="0.2">
      <c r="A61" t="str">
        <f t="shared" si="1"/>
        <v>S</v>
      </c>
      <c r="B61">
        <f t="shared" ca="1" si="2"/>
        <v>2</v>
      </c>
      <c r="C61" t="str">
        <f t="shared" ca="1" si="3"/>
        <v>S</v>
      </c>
      <c r="D61">
        <f t="shared" ca="1" si="4"/>
        <v>0</v>
      </c>
      <c r="E61">
        <f ca="1">IF($C61=1,OFFSET(E61,-1,0)+MAX(1,COUNTIF(QCI!$A$13:$A$24,OFFSET(ORÇAMENTO!E61,-1,0))),OFFSET(E61,-1,0))</f>
        <v>1</v>
      </c>
      <c r="F61">
        <f t="shared" ca="1" si="5"/>
        <v>9</v>
      </c>
      <c r="G61">
        <f t="shared" ca="1" si="6"/>
        <v>0</v>
      </c>
      <c r="H61">
        <f t="shared" ca="1" si="7"/>
        <v>0</v>
      </c>
      <c r="I61">
        <f t="shared" ca="1" si="8"/>
        <v>0</v>
      </c>
      <c r="J61">
        <f t="shared" ca="1" si="17"/>
        <v>0</v>
      </c>
      <c r="K61">
        <f ca="1">IF(OR($C61="S",$C61=0),0,MATCH(OFFSET($D61,0,$C61)+IF($C61&lt;&gt;1,1,COUNTIF(QCI!$A$13:$A$24,ORÇAMENTO!E61)),OFFSET($D61,1,$C61,ROW($C$405)-ROW($C61)),0))</f>
        <v>0</v>
      </c>
      <c r="L61" s="115" t="str">
        <f t="shared" ca="1" si="10"/>
        <v/>
      </c>
      <c r="M61" s="116" t="s">
        <v>706</v>
      </c>
      <c r="N61" s="117" t="str">
        <f t="shared" ca="1" si="11"/>
        <v>Serviço</v>
      </c>
      <c r="O61" s="118" t="str">
        <f t="shared" ca="1" si="12"/>
        <v>-</v>
      </c>
      <c r="P61" s="119" t="s">
        <v>751</v>
      </c>
      <c r="Q61" s="120" t="s">
        <v>979</v>
      </c>
      <c r="R61" s="121" t="s">
        <v>1355</v>
      </c>
      <c r="S61" s="122" t="s">
        <v>639</v>
      </c>
      <c r="T61" s="123">
        <f ca="1">OFFSET(CÁLCULO!H$15,ROW($T61)-ROW(T$15),0)</f>
        <v>2</v>
      </c>
      <c r="U61" s="124"/>
      <c r="V61" s="125" t="s">
        <v>663</v>
      </c>
      <c r="W61" s="123">
        <f ca="1">IF($C61="S",ROUND(IF(TIPOORCAMENTO="Proposto",ORÇAMENTO.CustoUnitario*(1+$AH61),ORÇAMENTO.PrecoUnitarioLicitado),15-13*$AF$10),0)</f>
        <v>0</v>
      </c>
      <c r="X61" s="126" cm="1">
        <f t="array" aca="1" ref="X61" ca="1">IF($C61="S",IF(OR(Import.TipoArredondamento&lt;&gt;"TransfereGOV",ACOMPANHAMENTO="BM"),VTOTAL1,SUM(OFFSET(CÁLCULO!$AA$15,ROW($X61)-ROW($X$15),1):OFFSET(CÁLCULO!$AL$15,ROW($X61)-ROW($X$15),-1))),IF($C61=0,0,ROUND(SomaAgrup,15-13*$AF$11)))</f>
        <v>0</v>
      </c>
      <c r="Y61" s="127" t="s">
        <v>752</v>
      </c>
      <c r="Z61" t="str">
        <f t="shared" ca="1" si="13"/>
        <v/>
      </c>
      <c r="AA61" s="128">
        <f ca="1">IF($C61="S",IF($Z61="CP",$X61,IF($Z61="RA",(($X61)*QCI!$AA$3),0)),SomaAgrup)</f>
        <v>0</v>
      </c>
      <c r="AB61" s="129">
        <f t="shared" ca="1" si="14"/>
        <v>0</v>
      </c>
      <c r="AC61" s="567" t="str">
        <f ca="1">IF($N61=""," ",
IF(AND($C61&lt;&gt;"S",OR($R61="",$R61="(digite a descrição aqui)")),"DESCRIÇÃO",
IF(AND($C61="S",OR($Q61&lt;&gt;0,$T61&gt;0,$U61&gt;0),$P61=0),"FONTE",
IF(AND($C61="S",$P61&lt;&gt;0,OR($T61&gt;0,$U61&gt;0),$Q61=0),"CÓDIGO",
IF(AND($C61="S",$P61&lt;&gt;0,$Q61&lt;&gt;0,$R61="(Código não identificado nas referências)"),"CÓDIGO N/ID",
IF(AND($C61="S",OR($R61="",$R61="(digite a descrição aqui)"),OR($Q61&lt;&gt;0,$T61&gt;0,$U61&gt;0)),"DESCRIÇÃO",
IF(AND($C61="S",$P61&lt;&gt;0,$Q61&lt;&gt;0,$S61=""),"UNIDADE",
IF(AND($C61="S",$P61&lt;&gt;0,$Q61&lt;&gt;0,$U61=0),"SEM CUSTO",
IF(AND(TIPOORCAMENTO="Licitado",$AL61=0,$AN61&gt;0),"SEM PREÇO",
IF(AND($C61="S",$P61&lt;&gt;0,$Q61&lt;&gt;0,$U61&gt;0,$V61=0),"BDI",
IF(OR(AND(TIPOORCAMENTO="Proposto",$AG61&lt;&gt;"",$AG61&gt;0,ORÇAMENTO.CustoUnitario&gt;$AG61),AND(TIPOORCAMENTO="LICITADO",ORÇAMENTO.PrecoUnitarioLicitado&gt;$AN61)),"ACIMA REF.",
IF(AND($C61="S",$P61&lt;&gt;0,$Q61&lt;&gt;0,$T61=0,$U61&gt;0),"QUANT.",
IF(AND(Import.TipoArredondamento="TransfereGOV",$L61="F",$C61="S",LEN($Q61)&gt;13),"Código &gt;13",
IF(AND(Import.TipoArredondamento="TransfereGOV",$L61="F",$C61&lt;&gt;"S",LEN($R61)&gt;100),"Descrição &gt;100",
IF(AND(Import.TipoArredondamento="TransfereGOV",$L61="F",$C61="S",LEN($R61)&gt;500),"Descrição &gt;500",
IF(AND(Import.TipoArredondamento="TransfereGOV",$L61="F",$C61="S",LEFT(TRIM(UPPER($P61)),6)&lt;&gt;"SINAPI",ISNA(VLOOKUP(TRIM(UPPER($S61)),ListaTgov.Unidades,1,FALSE))),"Unid. Não Disp",
" "))))))))))))))))</f>
        <v>SEM CUSTO</v>
      </c>
      <c r="AD61" t="str">
        <f ca="1">IF(C61&lt;=CRONO.NivelExibicao,MAX($AD$15:OFFSET(AD61,-1,0))+IF($C61&lt;&gt;1,1,MAX(1,COUNTIF(QCI!$A$13:$A$24,OFFSET($E61,-1,0)))),"")</f>
        <v/>
      </c>
      <c r="AE61" s="7" t="str">
        <f ca="1">IF(AND($C61="S",ORÇAMENTO.CodBarra&lt;&gt;""),IF(ORÇAMENTO.Fonte="",ORÇAMENTO.CodBarra,CONCATENATE(ORÇAMENTO.Fonte," ",ORÇAMENTO.CodBarra)))</f>
        <v>SINAPI 91993</v>
      </c>
      <c r="AF61" s="12" t="str">
        <f ca="1">IF(ISERROR(INDIRECT(ORÇAMENTO.BancoRef)),"(abra o arquivo 'Referência "&amp;Excel_BuiltIn_Database&amp;".xlsm)",IF(OR($C61&lt;&gt;"S",ORÇAMENTO.CodBarra=""),"(Sem Código)",IF(ISERROR(MATCH($AE61,INDIRECT(ORÇAMENTO.BancoRef),0)),"(Código não identificado nas referências)",MATCH($AE61,INDIRECT(ORÇAMENTO.BancoRef),0))))</f>
        <v>(abra o arquivo 'Referência 12-2024.xlsm)</v>
      </c>
      <c r="AG61" s="429">
        <f ca="1">ROUND(IF(DESONERACAO="sim",REFERENCIA.Desonerado,REFERENCIA.NaoDesonerado),2)</f>
        <v>0</v>
      </c>
      <c r="AH61" s="430">
        <f t="shared" ca="1" si="15"/>
        <v>0.31190000000000001</v>
      </c>
      <c r="AJ61" s="432">
        <v>2</v>
      </c>
      <c r="AL61" s="440"/>
      <c r="AM61" s="337">
        <f t="shared" ca="1" si="0"/>
        <v>0</v>
      </c>
      <c r="AN61" s="471">
        <f t="shared" ca="1" si="16"/>
        <v>0</v>
      </c>
    </row>
    <row r="62" spans="1:40" ht="25.5" x14ac:dyDescent="0.2">
      <c r="A62" t="str">
        <f t="shared" si="1"/>
        <v>S</v>
      </c>
      <c r="B62">
        <f t="shared" ca="1" si="2"/>
        <v>2</v>
      </c>
      <c r="C62" t="str">
        <f t="shared" ca="1" si="3"/>
        <v>S</v>
      </c>
      <c r="D62">
        <f t="shared" ca="1" si="4"/>
        <v>0</v>
      </c>
      <c r="E62">
        <f ca="1">IF($C62=1,OFFSET(E62,-1,0)+MAX(1,COUNTIF(QCI!$A$13:$A$24,OFFSET(ORÇAMENTO!E62,-1,0))),OFFSET(E62,-1,0))</f>
        <v>1</v>
      </c>
      <c r="F62">
        <f t="shared" ca="1" si="5"/>
        <v>9</v>
      </c>
      <c r="G62">
        <f t="shared" ca="1" si="6"/>
        <v>0</v>
      </c>
      <c r="H62">
        <f t="shared" ca="1" si="7"/>
        <v>0</v>
      </c>
      <c r="I62">
        <f t="shared" ca="1" si="8"/>
        <v>0</v>
      </c>
      <c r="J62">
        <f t="shared" ca="1" si="17"/>
        <v>0</v>
      </c>
      <c r="K62">
        <f ca="1">IF(OR($C62="S",$C62=0),0,MATCH(OFFSET($D62,0,$C62)+IF($C62&lt;&gt;1,1,COUNTIF(QCI!$A$13:$A$24,ORÇAMENTO!E62)),OFFSET($D62,1,$C62,ROW($C$405)-ROW($C62)),0))</f>
        <v>0</v>
      </c>
      <c r="L62" s="115" t="str">
        <f t="shared" ca="1" si="10"/>
        <v/>
      </c>
      <c r="M62" s="116" t="s">
        <v>706</v>
      </c>
      <c r="N62" s="117" t="str">
        <f t="shared" ca="1" si="11"/>
        <v>Serviço</v>
      </c>
      <c r="O62" s="118" t="str">
        <f t="shared" ca="1" si="12"/>
        <v>-</v>
      </c>
      <c r="P62" s="119" t="s">
        <v>751</v>
      </c>
      <c r="Q62" s="120" t="s">
        <v>980</v>
      </c>
      <c r="R62" s="121" t="s">
        <v>1356</v>
      </c>
      <c r="S62" s="122" t="s">
        <v>639</v>
      </c>
      <c r="T62" s="123">
        <f ca="1">OFFSET(CÁLCULO!H$15,ROW($T62)-ROW(T$15),0)</f>
        <v>6</v>
      </c>
      <c r="U62" s="124"/>
      <c r="V62" s="125" t="s">
        <v>663</v>
      </c>
      <c r="W62" s="123">
        <f ca="1">IF($C62="S",ROUND(IF(TIPOORCAMENTO="Proposto",ORÇAMENTO.CustoUnitario*(1+$AH62),ORÇAMENTO.PrecoUnitarioLicitado),15-13*$AF$10),0)</f>
        <v>0</v>
      </c>
      <c r="X62" s="126" cm="1">
        <f t="array" aca="1" ref="X62" ca="1">IF($C62="S",IF(OR(Import.TipoArredondamento&lt;&gt;"TransfereGOV",ACOMPANHAMENTO="BM"),VTOTAL1,SUM(OFFSET(CÁLCULO!$AA$15,ROW($X62)-ROW($X$15),1):OFFSET(CÁLCULO!$AL$15,ROW($X62)-ROW($X$15),-1))),IF($C62=0,0,ROUND(SomaAgrup,15-13*$AF$11)))</f>
        <v>0</v>
      </c>
      <c r="Y62" s="127" t="s">
        <v>752</v>
      </c>
      <c r="Z62" t="str">
        <f t="shared" ca="1" si="13"/>
        <v/>
      </c>
      <c r="AA62" s="128">
        <f ca="1">IF($C62="S",IF($Z62="CP",$X62,IF($Z62="RA",(($X62)*QCI!$AA$3),0)),SomaAgrup)</f>
        <v>0</v>
      </c>
      <c r="AB62" s="129">
        <f t="shared" ca="1" si="14"/>
        <v>0</v>
      </c>
      <c r="AC62" s="567" t="str">
        <f ca="1">IF($N62=""," ",
IF(AND($C62&lt;&gt;"S",OR($R62="",$R62="(digite a descrição aqui)")),"DESCRIÇÃO",
IF(AND($C62="S",OR($Q62&lt;&gt;0,$T62&gt;0,$U62&gt;0),$P62=0),"FONTE",
IF(AND($C62="S",$P62&lt;&gt;0,OR($T62&gt;0,$U62&gt;0),$Q62=0),"CÓDIGO",
IF(AND($C62="S",$P62&lt;&gt;0,$Q62&lt;&gt;0,$R62="(Código não identificado nas referências)"),"CÓDIGO N/ID",
IF(AND($C62="S",OR($R62="",$R62="(digite a descrição aqui)"),OR($Q62&lt;&gt;0,$T62&gt;0,$U62&gt;0)),"DESCRIÇÃO",
IF(AND($C62="S",$P62&lt;&gt;0,$Q62&lt;&gt;0,$S62=""),"UNIDADE",
IF(AND($C62="S",$P62&lt;&gt;0,$Q62&lt;&gt;0,$U62=0),"SEM CUSTO",
IF(AND(TIPOORCAMENTO="Licitado",$AL62=0,$AN62&gt;0),"SEM PREÇO",
IF(AND($C62="S",$P62&lt;&gt;0,$Q62&lt;&gt;0,$U62&gt;0,$V62=0),"BDI",
IF(OR(AND(TIPOORCAMENTO="Proposto",$AG62&lt;&gt;"",$AG62&gt;0,ORÇAMENTO.CustoUnitario&gt;$AG62),AND(TIPOORCAMENTO="LICITADO",ORÇAMENTO.PrecoUnitarioLicitado&gt;$AN62)),"ACIMA REF.",
IF(AND($C62="S",$P62&lt;&gt;0,$Q62&lt;&gt;0,$T62=0,$U62&gt;0),"QUANT.",
IF(AND(Import.TipoArredondamento="TransfereGOV",$L62="F",$C62="S",LEN($Q62)&gt;13),"Código &gt;13",
IF(AND(Import.TipoArredondamento="TransfereGOV",$L62="F",$C62&lt;&gt;"S",LEN($R62)&gt;100),"Descrição &gt;100",
IF(AND(Import.TipoArredondamento="TransfereGOV",$L62="F",$C62="S",LEN($R62)&gt;500),"Descrição &gt;500",
IF(AND(Import.TipoArredondamento="TransfereGOV",$L62="F",$C62="S",LEFT(TRIM(UPPER($P62)),6)&lt;&gt;"SINAPI",ISNA(VLOOKUP(TRIM(UPPER($S62)),ListaTgov.Unidades,1,FALSE))),"Unid. Não Disp",
" "))))))))))))))))</f>
        <v>SEM CUSTO</v>
      </c>
      <c r="AD62" t="str">
        <f ca="1">IF(C62&lt;=CRONO.NivelExibicao,MAX($AD$15:OFFSET(AD62,-1,0))+IF($C62&lt;&gt;1,1,MAX(1,COUNTIF(QCI!$A$13:$A$24,OFFSET($E62,-1,0)))),"")</f>
        <v/>
      </c>
      <c r="AE62" s="7" t="str">
        <f ca="1">IF(AND($C62="S",ORÇAMENTO.CodBarra&lt;&gt;""),IF(ORÇAMENTO.Fonte="",ORÇAMENTO.CodBarra,CONCATENATE(ORÇAMENTO.Fonte," ",ORÇAMENTO.CodBarra)))</f>
        <v>SINAPI 91987</v>
      </c>
      <c r="AF62" s="12" t="str">
        <f ca="1">IF(ISERROR(INDIRECT(ORÇAMENTO.BancoRef)),"(abra o arquivo 'Referência "&amp;Excel_BuiltIn_Database&amp;".xlsm)",IF(OR($C62&lt;&gt;"S",ORÇAMENTO.CodBarra=""),"(Sem Código)",IF(ISERROR(MATCH($AE62,INDIRECT(ORÇAMENTO.BancoRef),0)),"(Código não identificado nas referências)",MATCH($AE62,INDIRECT(ORÇAMENTO.BancoRef),0))))</f>
        <v>(abra o arquivo 'Referência 12-2024.xlsm)</v>
      </c>
      <c r="AG62" s="429">
        <f ca="1">ROUND(IF(DESONERACAO="sim",REFERENCIA.Desonerado,REFERENCIA.NaoDesonerado),2)</f>
        <v>0</v>
      </c>
      <c r="AH62" s="430">
        <f t="shared" ca="1" si="15"/>
        <v>0.31190000000000001</v>
      </c>
      <c r="AJ62" s="432">
        <v>6</v>
      </c>
      <c r="AL62" s="440"/>
      <c r="AM62" s="337">
        <f t="shared" ca="1" si="0"/>
        <v>0</v>
      </c>
      <c r="AN62" s="471">
        <f t="shared" ca="1" si="16"/>
        <v>0</v>
      </c>
    </row>
    <row r="63" spans="1:40" x14ac:dyDescent="0.2">
      <c r="A63" t="str">
        <f t="shared" si="1"/>
        <v>S</v>
      </c>
      <c r="B63">
        <f t="shared" ca="1" si="2"/>
        <v>2</v>
      </c>
      <c r="C63" t="str">
        <f t="shared" ca="1" si="3"/>
        <v>S</v>
      </c>
      <c r="D63">
        <f t="shared" ca="1" si="4"/>
        <v>0</v>
      </c>
      <c r="E63">
        <f ca="1">IF($C63=1,OFFSET(E63,-1,0)+MAX(1,COUNTIF(QCI!$A$13:$A$24,OFFSET(ORÇAMENTO!E63,-1,0))),OFFSET(E63,-1,0))</f>
        <v>1</v>
      </c>
      <c r="F63">
        <f t="shared" ca="1" si="5"/>
        <v>9</v>
      </c>
      <c r="G63">
        <f t="shared" ca="1" si="6"/>
        <v>0</v>
      </c>
      <c r="H63">
        <f t="shared" ca="1" si="7"/>
        <v>0</v>
      </c>
      <c r="I63">
        <f t="shared" ca="1" si="8"/>
        <v>0</v>
      </c>
      <c r="J63">
        <f t="shared" ca="1" si="17"/>
        <v>0</v>
      </c>
      <c r="K63">
        <f ca="1">IF(OR($C63="S",$C63=0),0,MATCH(OFFSET($D63,0,$C63)+IF($C63&lt;&gt;1,1,COUNTIF(QCI!$A$13:$A$24,ORÇAMENTO!E63)),OFFSET($D63,1,$C63,ROW($C$405)-ROW($C63)),0))</f>
        <v>0</v>
      </c>
      <c r="L63" s="115" t="str">
        <f t="shared" ca="1" si="10"/>
        <v/>
      </c>
      <c r="M63" s="116" t="s">
        <v>706</v>
      </c>
      <c r="N63" s="117" t="str">
        <f t="shared" ca="1" si="11"/>
        <v>Serviço</v>
      </c>
      <c r="O63" s="118" t="str">
        <f t="shared" ca="1" si="12"/>
        <v>-</v>
      </c>
      <c r="P63" s="119" t="s">
        <v>1313</v>
      </c>
      <c r="Q63" s="120" t="s">
        <v>981</v>
      </c>
      <c r="R63" s="121" t="s">
        <v>1357</v>
      </c>
      <c r="S63" s="122" t="s">
        <v>639</v>
      </c>
      <c r="T63" s="123">
        <f ca="1">OFFSET(CÁLCULO!H$15,ROW($T63)-ROW(T$15),0)</f>
        <v>4</v>
      </c>
      <c r="U63" s="124"/>
      <c r="V63" s="125" t="s">
        <v>663</v>
      </c>
      <c r="W63" s="123">
        <f ca="1">IF($C63="S",ROUND(IF(TIPOORCAMENTO="Proposto",ORÇAMENTO.CustoUnitario*(1+$AH63),ORÇAMENTO.PrecoUnitarioLicitado),15-13*$AF$10),0)</f>
        <v>0</v>
      </c>
      <c r="X63" s="126" cm="1">
        <f t="array" aca="1" ref="X63" ca="1">IF($C63="S",IF(OR(Import.TipoArredondamento&lt;&gt;"TransfereGOV",ACOMPANHAMENTO="BM"),VTOTAL1,SUM(OFFSET(CÁLCULO!$AA$15,ROW($X63)-ROW($X$15),1):OFFSET(CÁLCULO!$AL$15,ROW($X63)-ROW($X$15),-1))),IF($C63=0,0,ROUND(SomaAgrup,15-13*$AF$11)))</f>
        <v>0</v>
      </c>
      <c r="Y63" s="127" t="s">
        <v>752</v>
      </c>
      <c r="Z63" t="str">
        <f t="shared" ca="1" si="13"/>
        <v/>
      </c>
      <c r="AA63" s="128">
        <f ca="1">IF($C63="S",IF($Z63="CP",$X63,IF($Z63="RA",(($X63)*QCI!$AA$3),0)),SomaAgrup)</f>
        <v>0</v>
      </c>
      <c r="AB63" s="129">
        <f t="shared" ca="1" si="14"/>
        <v>0</v>
      </c>
      <c r="AC63" s="567" t="str">
        <f ca="1">IF($N63=""," ",
IF(AND($C63&lt;&gt;"S",OR($R63="",$R63="(digite a descrição aqui)")),"DESCRIÇÃO",
IF(AND($C63="S",OR($Q63&lt;&gt;0,$T63&gt;0,$U63&gt;0),$P63=0),"FONTE",
IF(AND($C63="S",$P63&lt;&gt;0,OR($T63&gt;0,$U63&gt;0),$Q63=0),"CÓDIGO",
IF(AND($C63="S",$P63&lt;&gt;0,$Q63&lt;&gt;0,$R63="(Código não identificado nas referências)"),"CÓDIGO N/ID",
IF(AND($C63="S",OR($R63="",$R63="(digite a descrição aqui)"),OR($Q63&lt;&gt;0,$T63&gt;0,$U63&gt;0)),"DESCRIÇÃO",
IF(AND($C63="S",$P63&lt;&gt;0,$Q63&lt;&gt;0,$S63=""),"UNIDADE",
IF(AND($C63="S",$P63&lt;&gt;0,$Q63&lt;&gt;0,$U63=0),"SEM CUSTO",
IF(AND(TIPOORCAMENTO="Licitado",$AL63=0,$AN63&gt;0),"SEM PREÇO",
IF(AND($C63="S",$P63&lt;&gt;0,$Q63&lt;&gt;0,$U63&gt;0,$V63=0),"BDI",
IF(OR(AND(TIPOORCAMENTO="Proposto",$AG63&lt;&gt;"",$AG63&gt;0,ORÇAMENTO.CustoUnitario&gt;$AG63),AND(TIPOORCAMENTO="LICITADO",ORÇAMENTO.PrecoUnitarioLicitado&gt;$AN63)),"ACIMA REF.",
IF(AND($C63="S",$P63&lt;&gt;0,$Q63&lt;&gt;0,$T63=0,$U63&gt;0),"QUANT.",
IF(AND(Import.TipoArredondamento="TransfereGOV",$L63="F",$C63="S",LEN($Q63)&gt;13),"Código &gt;13",
IF(AND(Import.TipoArredondamento="TransfereGOV",$L63="F",$C63&lt;&gt;"S",LEN($R63)&gt;100),"Descrição &gt;100",
IF(AND(Import.TipoArredondamento="TransfereGOV",$L63="F",$C63="S",LEN($R63)&gt;500),"Descrição &gt;500",
IF(AND(Import.TipoArredondamento="TransfereGOV",$L63="F",$C63="S",LEFT(TRIM(UPPER($P63)),6)&lt;&gt;"SINAPI",ISNA(VLOOKUP(TRIM(UPPER($S63)),ListaTgov.Unidades,1,FALSE))),"Unid. Não Disp",
" "))))))))))))))))</f>
        <v>SEM CUSTO</v>
      </c>
      <c r="AD63" t="str">
        <f ca="1">IF(C63&lt;=CRONO.NivelExibicao,MAX($AD$15:OFFSET(AD63,-1,0))+IF($C63&lt;&gt;1,1,MAX(1,COUNTIF(QCI!$A$13:$A$24,OFFSET($E63,-1,0)))),"")</f>
        <v/>
      </c>
      <c r="AE63" s="7" t="str">
        <f ca="1">IF(AND($C63="S",ORÇAMENTO.CodBarra&lt;&gt;""),IF(ORÇAMENTO.Fonte="",ORÇAMENTO.CodBarra,CONCATENATE(ORÇAMENTO.Fonte," ",ORÇAMENTO.CodBarra)))</f>
        <v>Cotação 117</v>
      </c>
      <c r="AF63" s="12" t="str">
        <f ca="1">IF(ISERROR(INDIRECT(ORÇAMENTO.BancoRef)),"(abra o arquivo 'Referência "&amp;Excel_BuiltIn_Database&amp;".xlsm)",IF(OR($C63&lt;&gt;"S",ORÇAMENTO.CodBarra=""),"(Sem Código)",IF(ISERROR(MATCH($AE63,INDIRECT(ORÇAMENTO.BancoRef),0)),"(Código não identificado nas referências)",MATCH($AE63,INDIRECT(ORÇAMENTO.BancoRef),0))))</f>
        <v>(abra o arquivo 'Referência 12-2024.xlsm)</v>
      </c>
      <c r="AG63" s="429">
        <f ca="1">ROUND(IF(DESONERACAO="sim",REFERENCIA.Desonerado,REFERENCIA.NaoDesonerado),2)</f>
        <v>0</v>
      </c>
      <c r="AH63" s="430">
        <f t="shared" ca="1" si="15"/>
        <v>0.31190000000000001</v>
      </c>
      <c r="AJ63" s="432">
        <v>4</v>
      </c>
      <c r="AL63" s="440"/>
      <c r="AM63" s="337">
        <f t="shared" ca="1" si="0"/>
        <v>0</v>
      </c>
      <c r="AN63" s="471">
        <f t="shared" ca="1" si="16"/>
        <v>0</v>
      </c>
    </row>
    <row r="64" spans="1:40" ht="38.25" x14ac:dyDescent="0.2">
      <c r="A64" t="str">
        <f t="shared" si="1"/>
        <v>S</v>
      </c>
      <c r="B64">
        <f t="shared" ca="1" si="2"/>
        <v>2</v>
      </c>
      <c r="C64" t="str">
        <f t="shared" ca="1" si="3"/>
        <v>S</v>
      </c>
      <c r="D64">
        <f t="shared" ca="1" si="4"/>
        <v>0</v>
      </c>
      <c r="E64">
        <f ca="1">IF($C64=1,OFFSET(E64,-1,0)+MAX(1,COUNTIF(QCI!$A$13:$A$24,OFFSET(ORÇAMENTO!E64,-1,0))),OFFSET(E64,-1,0))</f>
        <v>1</v>
      </c>
      <c r="F64">
        <f t="shared" ca="1" si="5"/>
        <v>9</v>
      </c>
      <c r="G64">
        <f t="shared" ca="1" si="6"/>
        <v>0</v>
      </c>
      <c r="H64">
        <f t="shared" ca="1" si="7"/>
        <v>0</v>
      </c>
      <c r="I64">
        <f t="shared" ca="1" si="8"/>
        <v>0</v>
      </c>
      <c r="J64">
        <f t="shared" ca="1" si="17"/>
        <v>0</v>
      </c>
      <c r="K64">
        <f ca="1">IF(OR($C64="S",$C64=0),0,MATCH(OFFSET($D64,0,$C64)+IF($C64&lt;&gt;1,1,COUNTIF(QCI!$A$13:$A$24,ORÇAMENTO!E64)),OFFSET($D64,1,$C64,ROW($C$405)-ROW($C64)),0))</f>
        <v>0</v>
      </c>
      <c r="L64" s="115" t="str">
        <f t="shared" ca="1" si="10"/>
        <v/>
      </c>
      <c r="M64" s="116" t="s">
        <v>706</v>
      </c>
      <c r="N64" s="117" t="str">
        <f t="shared" ca="1" si="11"/>
        <v>Serviço</v>
      </c>
      <c r="O64" s="118" t="str">
        <f t="shared" ca="1" si="12"/>
        <v>-</v>
      </c>
      <c r="P64" s="119" t="s">
        <v>751</v>
      </c>
      <c r="Q64" s="120" t="s">
        <v>982</v>
      </c>
      <c r="R64" s="121" t="s">
        <v>1358</v>
      </c>
      <c r="S64" s="122" t="s">
        <v>639</v>
      </c>
      <c r="T64" s="123">
        <f ca="1">OFFSET(CÁLCULO!H$15,ROW($T64)-ROW(T$15),0)</f>
        <v>23</v>
      </c>
      <c r="U64" s="124"/>
      <c r="V64" s="125" t="s">
        <v>663</v>
      </c>
      <c r="W64" s="123">
        <f ca="1">IF($C64="S",ROUND(IF(TIPOORCAMENTO="Proposto",ORÇAMENTO.CustoUnitario*(1+$AH64),ORÇAMENTO.PrecoUnitarioLicitado),15-13*$AF$10),0)</f>
        <v>0</v>
      </c>
      <c r="X64" s="126" cm="1">
        <f t="array" aca="1" ref="X64" ca="1">IF($C64="S",IF(OR(Import.TipoArredondamento&lt;&gt;"TransfereGOV",ACOMPANHAMENTO="BM"),VTOTAL1,SUM(OFFSET(CÁLCULO!$AA$15,ROW($X64)-ROW($X$15),1):OFFSET(CÁLCULO!$AL$15,ROW($X64)-ROW($X$15),-1))),IF($C64=0,0,ROUND(SomaAgrup,15-13*$AF$11)))</f>
        <v>0</v>
      </c>
      <c r="Y64" s="127" t="s">
        <v>752</v>
      </c>
      <c r="Z64" t="str">
        <f t="shared" ca="1" si="13"/>
        <v/>
      </c>
      <c r="AA64" s="128">
        <f ca="1">IF($C64="S",IF($Z64="CP",$X64,IF($Z64="RA",(($X64)*QCI!$AA$3),0)),SomaAgrup)</f>
        <v>0</v>
      </c>
      <c r="AB64" s="129">
        <f t="shared" ca="1" si="14"/>
        <v>0</v>
      </c>
      <c r="AC64" s="567" t="str">
        <f ca="1">IF($N64=""," ",
IF(AND($C64&lt;&gt;"S",OR($R64="",$R64="(digite a descrição aqui)")),"DESCRIÇÃO",
IF(AND($C64="S",OR($Q64&lt;&gt;0,$T64&gt;0,$U64&gt;0),$P64=0),"FONTE",
IF(AND($C64="S",$P64&lt;&gt;0,OR($T64&gt;0,$U64&gt;0),$Q64=0),"CÓDIGO",
IF(AND($C64="S",$P64&lt;&gt;0,$Q64&lt;&gt;0,$R64="(Código não identificado nas referências)"),"CÓDIGO N/ID",
IF(AND($C64="S",OR($R64="",$R64="(digite a descrição aqui)"),OR($Q64&lt;&gt;0,$T64&gt;0,$U64&gt;0)),"DESCRIÇÃO",
IF(AND($C64="S",$P64&lt;&gt;0,$Q64&lt;&gt;0,$S64=""),"UNIDADE",
IF(AND($C64="S",$P64&lt;&gt;0,$Q64&lt;&gt;0,$U64=0),"SEM CUSTO",
IF(AND(TIPOORCAMENTO="Licitado",$AL64=0,$AN64&gt;0),"SEM PREÇO",
IF(AND($C64="S",$P64&lt;&gt;0,$Q64&lt;&gt;0,$U64&gt;0,$V64=0),"BDI",
IF(OR(AND(TIPOORCAMENTO="Proposto",$AG64&lt;&gt;"",$AG64&gt;0,ORÇAMENTO.CustoUnitario&gt;$AG64),AND(TIPOORCAMENTO="LICITADO",ORÇAMENTO.PrecoUnitarioLicitado&gt;$AN64)),"ACIMA REF.",
IF(AND($C64="S",$P64&lt;&gt;0,$Q64&lt;&gt;0,$T64=0,$U64&gt;0),"QUANT.",
IF(AND(Import.TipoArredondamento="TransfereGOV",$L64="F",$C64="S",LEN($Q64)&gt;13),"Código &gt;13",
IF(AND(Import.TipoArredondamento="TransfereGOV",$L64="F",$C64&lt;&gt;"S",LEN($R64)&gt;100),"Descrição &gt;100",
IF(AND(Import.TipoArredondamento="TransfereGOV",$L64="F",$C64="S",LEN($R64)&gt;500),"Descrição &gt;500",
IF(AND(Import.TipoArredondamento="TransfereGOV",$L64="F",$C64="S",LEFT(TRIM(UPPER($P64)),6)&lt;&gt;"SINAPI",ISNA(VLOOKUP(TRIM(UPPER($S64)),ListaTgov.Unidades,1,FALSE))),"Unid. Não Disp",
" "))))))))))))))))</f>
        <v>SEM CUSTO</v>
      </c>
      <c r="AD64" t="str">
        <f ca="1">IF(C64&lt;=CRONO.NivelExibicao,MAX($AD$15:OFFSET(AD64,-1,0))+IF($C64&lt;&gt;1,1,MAX(1,COUNTIF(QCI!$A$13:$A$24,OFFSET($E64,-1,0)))),"")</f>
        <v/>
      </c>
      <c r="AE64" s="7" t="str">
        <f ca="1">IF(AND($C64="S",ORÇAMENTO.CodBarra&lt;&gt;""),IF(ORÇAMENTO.Fonte="",ORÇAMENTO.CodBarra,CONCATENATE(ORÇAMENTO.Fonte," ",ORÇAMENTO.CodBarra)))</f>
        <v>SINAPI 97605</v>
      </c>
      <c r="AF64" s="12" t="str">
        <f ca="1">IF(ISERROR(INDIRECT(ORÇAMENTO.BancoRef)),"(abra o arquivo 'Referência "&amp;Excel_BuiltIn_Database&amp;".xlsm)",IF(OR($C64&lt;&gt;"S",ORÇAMENTO.CodBarra=""),"(Sem Código)",IF(ISERROR(MATCH($AE64,INDIRECT(ORÇAMENTO.BancoRef),0)),"(Código não identificado nas referências)",MATCH($AE64,INDIRECT(ORÇAMENTO.BancoRef),0))))</f>
        <v>(abra o arquivo 'Referência 12-2024.xlsm)</v>
      </c>
      <c r="AG64" s="429">
        <f ca="1">ROUND(IF(DESONERACAO="sim",REFERENCIA.Desonerado,REFERENCIA.NaoDesonerado),2)</f>
        <v>0</v>
      </c>
      <c r="AH64" s="430">
        <f t="shared" ca="1" si="15"/>
        <v>0.31190000000000001</v>
      </c>
      <c r="AJ64" s="432">
        <v>23</v>
      </c>
      <c r="AL64" s="440"/>
      <c r="AM64" s="337">
        <f t="shared" ca="1" si="0"/>
        <v>0</v>
      </c>
      <c r="AN64" s="471">
        <f t="shared" ca="1" si="16"/>
        <v>0</v>
      </c>
    </row>
    <row r="65" spans="1:40" ht="38.25" x14ac:dyDescent="0.2">
      <c r="A65" t="str">
        <f t="shared" si="1"/>
        <v>S</v>
      </c>
      <c r="B65">
        <f t="shared" ca="1" si="2"/>
        <v>2</v>
      </c>
      <c r="C65" t="str">
        <f t="shared" ca="1" si="3"/>
        <v>S</v>
      </c>
      <c r="D65">
        <f t="shared" ca="1" si="4"/>
        <v>0</v>
      </c>
      <c r="E65">
        <f ca="1">IF($C65=1,OFFSET(E65,-1,0)+MAX(1,COUNTIF(QCI!$A$13:$A$24,OFFSET(ORÇAMENTO!E65,-1,0))),OFFSET(E65,-1,0))</f>
        <v>1</v>
      </c>
      <c r="F65">
        <f t="shared" ca="1" si="5"/>
        <v>9</v>
      </c>
      <c r="G65">
        <f t="shared" ca="1" si="6"/>
        <v>0</v>
      </c>
      <c r="H65">
        <f t="shared" ca="1" si="7"/>
        <v>0</v>
      </c>
      <c r="I65">
        <f t="shared" ca="1" si="8"/>
        <v>0</v>
      </c>
      <c r="J65">
        <f t="shared" ca="1" si="17"/>
        <v>0</v>
      </c>
      <c r="K65">
        <f ca="1">IF(OR($C65="S",$C65=0),0,MATCH(OFFSET($D65,0,$C65)+IF($C65&lt;&gt;1,1,COUNTIF(QCI!$A$13:$A$24,ORÇAMENTO!E65)),OFFSET($D65,1,$C65,ROW($C$405)-ROW($C65)),0))</f>
        <v>0</v>
      </c>
      <c r="L65" s="115" t="str">
        <f t="shared" ca="1" si="10"/>
        <v/>
      </c>
      <c r="M65" s="116" t="s">
        <v>706</v>
      </c>
      <c r="N65" s="117" t="str">
        <f t="shared" ca="1" si="11"/>
        <v>Serviço</v>
      </c>
      <c r="O65" s="118" t="str">
        <f t="shared" ca="1" si="12"/>
        <v>-</v>
      </c>
      <c r="P65" s="119" t="s">
        <v>1315</v>
      </c>
      <c r="Q65" s="120" t="s">
        <v>983</v>
      </c>
      <c r="R65" s="121" t="s">
        <v>1359</v>
      </c>
      <c r="S65" s="122" t="s">
        <v>1644</v>
      </c>
      <c r="T65" s="123">
        <f ca="1">OFFSET(CÁLCULO!H$15,ROW($T65)-ROW(T$15),0)</f>
        <v>2</v>
      </c>
      <c r="U65" s="124"/>
      <c r="V65" s="125" t="s">
        <v>663</v>
      </c>
      <c r="W65" s="123">
        <f ca="1">IF($C65="S",ROUND(IF(TIPOORCAMENTO="Proposto",ORÇAMENTO.CustoUnitario*(1+$AH65),ORÇAMENTO.PrecoUnitarioLicitado),15-13*$AF$10),0)</f>
        <v>0</v>
      </c>
      <c r="X65" s="126" cm="1">
        <f t="array" aca="1" ref="X65" ca="1">IF($C65="S",IF(OR(Import.TipoArredondamento&lt;&gt;"TransfereGOV",ACOMPANHAMENTO="BM"),VTOTAL1,SUM(OFFSET(CÁLCULO!$AA$15,ROW($X65)-ROW($X$15),1):OFFSET(CÁLCULO!$AL$15,ROW($X65)-ROW($X$15),-1))),IF($C65=0,0,ROUND(SomaAgrup,15-13*$AF$11)))</f>
        <v>0</v>
      </c>
      <c r="Y65" s="127" t="s">
        <v>752</v>
      </c>
      <c r="Z65" t="str">
        <f t="shared" ca="1" si="13"/>
        <v/>
      </c>
      <c r="AA65" s="128">
        <f ca="1">IF($C65="S",IF($Z65="CP",$X65,IF($Z65="RA",(($X65)*QCI!$AA$3),0)),SomaAgrup)</f>
        <v>0</v>
      </c>
      <c r="AB65" s="129">
        <f t="shared" ca="1" si="14"/>
        <v>0</v>
      </c>
      <c r="AC65" s="567" t="str">
        <f ca="1">IF($N65=""," ",
IF(AND($C65&lt;&gt;"S",OR($R65="",$R65="(digite a descrição aqui)")),"DESCRIÇÃO",
IF(AND($C65="S",OR($Q65&lt;&gt;0,$T65&gt;0,$U65&gt;0),$P65=0),"FONTE",
IF(AND($C65="S",$P65&lt;&gt;0,OR($T65&gt;0,$U65&gt;0),$Q65=0),"CÓDIGO",
IF(AND($C65="S",$P65&lt;&gt;0,$Q65&lt;&gt;0,$R65="(Código não identificado nas referências)"),"CÓDIGO N/ID",
IF(AND($C65="S",OR($R65="",$R65="(digite a descrição aqui)"),OR($Q65&lt;&gt;0,$T65&gt;0,$U65&gt;0)),"DESCRIÇÃO",
IF(AND($C65="S",$P65&lt;&gt;0,$Q65&lt;&gt;0,$S65=""),"UNIDADE",
IF(AND($C65="S",$P65&lt;&gt;0,$Q65&lt;&gt;0,$U65=0),"SEM CUSTO",
IF(AND(TIPOORCAMENTO="Licitado",$AL65=0,$AN65&gt;0),"SEM PREÇO",
IF(AND($C65="S",$P65&lt;&gt;0,$Q65&lt;&gt;0,$U65&gt;0,$V65=0),"BDI",
IF(OR(AND(TIPOORCAMENTO="Proposto",$AG65&lt;&gt;"",$AG65&gt;0,ORÇAMENTO.CustoUnitario&gt;$AG65),AND(TIPOORCAMENTO="LICITADO",ORÇAMENTO.PrecoUnitarioLicitado&gt;$AN65)),"ACIMA REF.",
IF(AND($C65="S",$P65&lt;&gt;0,$Q65&lt;&gt;0,$T65=0,$U65&gt;0),"QUANT.",
IF(AND(Import.TipoArredondamento="TransfereGOV",$L65="F",$C65="S",LEN($Q65)&gt;13),"Código &gt;13",
IF(AND(Import.TipoArredondamento="TransfereGOV",$L65="F",$C65&lt;&gt;"S",LEN($R65)&gt;100),"Descrição &gt;100",
IF(AND(Import.TipoArredondamento="TransfereGOV",$L65="F",$C65="S",LEN($R65)&gt;500),"Descrição &gt;500",
IF(AND(Import.TipoArredondamento="TransfereGOV",$L65="F",$C65="S",LEFT(TRIM(UPPER($P65)),6)&lt;&gt;"SINAPI",ISNA(VLOOKUP(TRIM(UPPER($S65)),ListaTgov.Unidades,1,FALSE))),"Unid. Não Disp",
" "))))))))))))))))</f>
        <v>SEM CUSTO</v>
      </c>
      <c r="AD65" t="str">
        <f ca="1">IF(C65&lt;=CRONO.NivelExibicao,MAX($AD$15:OFFSET(AD65,-1,0))+IF($C65&lt;&gt;1,1,MAX(1,COUNTIF(QCI!$A$13:$A$24,OFFSET($E65,-1,0)))),"")</f>
        <v/>
      </c>
      <c r="AE65" s="7" t="str">
        <f ca="1">IF(AND($C65="S",ORÇAMENTO.CodBarra&lt;&gt;""),IF(ORÇAMENTO.Fonte="",ORÇAMENTO.CodBarra,CONCATENATE(ORÇAMENTO.Fonte," ",ORÇAMENTO.CodBarra)))</f>
        <v>SINAPI-I 39757</v>
      </c>
      <c r="AF65" s="12" t="str">
        <f ca="1">IF(ISERROR(INDIRECT(ORÇAMENTO.BancoRef)),"(abra o arquivo 'Referência "&amp;Excel_BuiltIn_Database&amp;".xlsm)",IF(OR($C65&lt;&gt;"S",ORÇAMENTO.CodBarra=""),"(Sem Código)",IF(ISERROR(MATCH($AE65,INDIRECT(ORÇAMENTO.BancoRef),0)),"(Código não identificado nas referências)",MATCH($AE65,INDIRECT(ORÇAMENTO.BancoRef),0))))</f>
        <v>(abra o arquivo 'Referência 12-2024.xlsm)</v>
      </c>
      <c r="AG65" s="429">
        <f ca="1">ROUND(IF(DESONERACAO="sim",REFERENCIA.Desonerado,REFERENCIA.NaoDesonerado),2)</f>
        <v>0</v>
      </c>
      <c r="AH65" s="430">
        <f t="shared" ca="1" si="15"/>
        <v>0.31190000000000001</v>
      </c>
      <c r="AJ65" s="432">
        <v>2</v>
      </c>
      <c r="AL65" s="440"/>
      <c r="AM65" s="337">
        <f t="shared" ca="1" si="0"/>
        <v>0</v>
      </c>
      <c r="AN65" s="471">
        <f t="shared" ca="1" si="16"/>
        <v>0</v>
      </c>
    </row>
    <row r="66" spans="1:40" ht="38.25" x14ac:dyDescent="0.2">
      <c r="A66" t="str">
        <f t="shared" si="1"/>
        <v>S</v>
      </c>
      <c r="B66">
        <f t="shared" ca="1" si="2"/>
        <v>2</v>
      </c>
      <c r="C66" t="str">
        <f t="shared" ca="1" si="3"/>
        <v>S</v>
      </c>
      <c r="D66">
        <f t="shared" ca="1" si="4"/>
        <v>0</v>
      </c>
      <c r="E66">
        <f ca="1">IF($C66=1,OFFSET(E66,-1,0)+MAX(1,COUNTIF(QCI!$A$13:$A$24,OFFSET(ORÇAMENTO!E66,-1,0))),OFFSET(E66,-1,0))</f>
        <v>1</v>
      </c>
      <c r="F66">
        <f t="shared" ca="1" si="5"/>
        <v>9</v>
      </c>
      <c r="G66">
        <f t="shared" ca="1" si="6"/>
        <v>0</v>
      </c>
      <c r="H66">
        <f t="shared" ca="1" si="7"/>
        <v>0</v>
      </c>
      <c r="I66">
        <f t="shared" ca="1" si="8"/>
        <v>0</v>
      </c>
      <c r="J66">
        <f t="shared" ca="1" si="17"/>
        <v>0</v>
      </c>
      <c r="K66">
        <f ca="1">IF(OR($C66="S",$C66=0),0,MATCH(OFFSET($D66,0,$C66)+IF($C66&lt;&gt;1,1,COUNTIF(QCI!$A$13:$A$24,ORÇAMENTO!E66)),OFFSET($D66,1,$C66,ROW($C$405)-ROW($C66)),0))</f>
        <v>0</v>
      </c>
      <c r="L66" s="115" t="str">
        <f t="shared" ca="1" si="10"/>
        <v/>
      </c>
      <c r="M66" s="116" t="s">
        <v>706</v>
      </c>
      <c r="N66" s="117" t="str">
        <f t="shared" ca="1" si="11"/>
        <v>Serviço</v>
      </c>
      <c r="O66" s="118" t="str">
        <f t="shared" ca="1" si="12"/>
        <v>-</v>
      </c>
      <c r="P66" s="119" t="s">
        <v>1315</v>
      </c>
      <c r="Q66" s="120" t="s">
        <v>984</v>
      </c>
      <c r="R66" s="121" t="s">
        <v>1360</v>
      </c>
      <c r="S66" s="122" t="s">
        <v>1644</v>
      </c>
      <c r="T66" s="123">
        <f ca="1">OFFSET(CÁLCULO!H$15,ROW($T66)-ROW(T$15),0)</f>
        <v>1</v>
      </c>
      <c r="U66" s="124"/>
      <c r="V66" s="125" t="s">
        <v>663</v>
      </c>
      <c r="W66" s="123">
        <f ca="1">IF($C66="S",ROUND(IF(TIPOORCAMENTO="Proposto",ORÇAMENTO.CustoUnitario*(1+$AH66),ORÇAMENTO.PrecoUnitarioLicitado),15-13*$AF$10),0)</f>
        <v>0</v>
      </c>
      <c r="X66" s="126" cm="1">
        <f t="array" aca="1" ref="X66" ca="1">IF($C66="S",IF(OR(Import.TipoArredondamento&lt;&gt;"TransfereGOV",ACOMPANHAMENTO="BM"),VTOTAL1,SUM(OFFSET(CÁLCULO!$AA$15,ROW($X66)-ROW($X$15),1):OFFSET(CÁLCULO!$AL$15,ROW($X66)-ROW($X$15),-1))),IF($C66=0,0,ROUND(SomaAgrup,15-13*$AF$11)))</f>
        <v>0</v>
      </c>
      <c r="Y66" s="127" t="s">
        <v>752</v>
      </c>
      <c r="Z66" t="str">
        <f t="shared" ca="1" si="13"/>
        <v/>
      </c>
      <c r="AA66" s="128">
        <f ca="1">IF($C66="S",IF($Z66="CP",$X66,IF($Z66="RA",(($X66)*QCI!$AA$3),0)),SomaAgrup)</f>
        <v>0</v>
      </c>
      <c r="AB66" s="129">
        <f t="shared" ca="1" si="14"/>
        <v>0</v>
      </c>
      <c r="AC66" s="567" t="str">
        <f ca="1">IF($N66=""," ",
IF(AND($C66&lt;&gt;"S",OR($R66="",$R66="(digite a descrição aqui)")),"DESCRIÇÃO",
IF(AND($C66="S",OR($Q66&lt;&gt;0,$T66&gt;0,$U66&gt;0),$P66=0),"FONTE",
IF(AND($C66="S",$P66&lt;&gt;0,OR($T66&gt;0,$U66&gt;0),$Q66=0),"CÓDIGO",
IF(AND($C66="S",$P66&lt;&gt;0,$Q66&lt;&gt;0,$R66="(Código não identificado nas referências)"),"CÓDIGO N/ID",
IF(AND($C66="S",OR($R66="",$R66="(digite a descrição aqui)"),OR($Q66&lt;&gt;0,$T66&gt;0,$U66&gt;0)),"DESCRIÇÃO",
IF(AND($C66="S",$P66&lt;&gt;0,$Q66&lt;&gt;0,$S66=""),"UNIDADE",
IF(AND($C66="S",$P66&lt;&gt;0,$Q66&lt;&gt;0,$U66=0),"SEM CUSTO",
IF(AND(TIPOORCAMENTO="Licitado",$AL66=0,$AN66&gt;0),"SEM PREÇO",
IF(AND($C66="S",$P66&lt;&gt;0,$Q66&lt;&gt;0,$U66&gt;0,$V66=0),"BDI",
IF(OR(AND(TIPOORCAMENTO="Proposto",$AG66&lt;&gt;"",$AG66&gt;0,ORÇAMENTO.CustoUnitario&gt;$AG66),AND(TIPOORCAMENTO="LICITADO",ORÇAMENTO.PrecoUnitarioLicitado&gt;$AN66)),"ACIMA REF.",
IF(AND($C66="S",$P66&lt;&gt;0,$Q66&lt;&gt;0,$T66=0,$U66&gt;0),"QUANT.",
IF(AND(Import.TipoArredondamento="TransfereGOV",$L66="F",$C66="S",LEN($Q66)&gt;13),"Código &gt;13",
IF(AND(Import.TipoArredondamento="TransfereGOV",$L66="F",$C66&lt;&gt;"S",LEN($R66)&gt;100),"Descrição &gt;100",
IF(AND(Import.TipoArredondamento="TransfereGOV",$L66="F",$C66="S",LEN($R66)&gt;500),"Descrição &gt;500",
IF(AND(Import.TipoArredondamento="TransfereGOV",$L66="F",$C66="S",LEFT(TRIM(UPPER($P66)),6)&lt;&gt;"SINAPI",ISNA(VLOOKUP(TRIM(UPPER($S66)),ListaTgov.Unidades,1,FALSE))),"Unid. Não Disp",
" "))))))))))))))))</f>
        <v>SEM CUSTO</v>
      </c>
      <c r="AD66" t="str">
        <f ca="1">IF(C66&lt;=CRONO.NivelExibicao,MAX($AD$15:OFFSET(AD66,-1,0))+IF($C66&lt;&gt;1,1,MAX(1,COUNTIF(QCI!$A$13:$A$24,OFFSET($E66,-1,0)))),"")</f>
        <v/>
      </c>
      <c r="AE66" s="7" t="str">
        <f ca="1">IF(AND($C66="S",ORÇAMENTO.CodBarra&lt;&gt;""),IF(ORÇAMENTO.Fonte="",ORÇAMENTO.CodBarra,CONCATENATE(ORÇAMENTO.Fonte," ",ORÇAMENTO.CodBarra)))</f>
        <v>SINAPI-I 12038</v>
      </c>
      <c r="AF66" s="12" t="str">
        <f ca="1">IF(ISERROR(INDIRECT(ORÇAMENTO.BancoRef)),"(abra o arquivo 'Referência "&amp;Excel_BuiltIn_Database&amp;".xlsm)",IF(OR($C66&lt;&gt;"S",ORÇAMENTO.CodBarra=""),"(Sem Código)",IF(ISERROR(MATCH($AE66,INDIRECT(ORÇAMENTO.BancoRef),0)),"(Código não identificado nas referências)",MATCH($AE66,INDIRECT(ORÇAMENTO.BancoRef),0))))</f>
        <v>(abra o arquivo 'Referência 12-2024.xlsm)</v>
      </c>
      <c r="AG66" s="429">
        <f ca="1">ROUND(IF(DESONERACAO="sim",REFERENCIA.Desonerado,REFERENCIA.NaoDesonerado),2)</f>
        <v>0</v>
      </c>
      <c r="AH66" s="430">
        <f t="shared" ca="1" si="15"/>
        <v>0.31190000000000001</v>
      </c>
      <c r="AJ66" s="432">
        <v>1</v>
      </c>
      <c r="AL66" s="440"/>
      <c r="AM66" s="337">
        <f t="shared" ca="1" si="0"/>
        <v>0</v>
      </c>
      <c r="AN66" s="471">
        <f t="shared" ca="1" si="16"/>
        <v>0</v>
      </c>
    </row>
    <row r="67" spans="1:40" ht="38.25" x14ac:dyDescent="0.2">
      <c r="A67" t="str">
        <f t="shared" si="1"/>
        <v>S</v>
      </c>
      <c r="B67">
        <f t="shared" ca="1" si="2"/>
        <v>2</v>
      </c>
      <c r="C67" t="str">
        <f t="shared" ca="1" si="3"/>
        <v>S</v>
      </c>
      <c r="D67">
        <f t="shared" ca="1" si="4"/>
        <v>0</v>
      </c>
      <c r="E67">
        <f ca="1">IF($C67=1,OFFSET(E67,-1,0)+MAX(1,COUNTIF(QCI!$A$13:$A$24,OFFSET(ORÇAMENTO!E67,-1,0))),OFFSET(E67,-1,0))</f>
        <v>1</v>
      </c>
      <c r="F67">
        <f t="shared" ca="1" si="5"/>
        <v>9</v>
      </c>
      <c r="G67">
        <f t="shared" ca="1" si="6"/>
        <v>0</v>
      </c>
      <c r="H67">
        <f t="shared" ca="1" si="7"/>
        <v>0</v>
      </c>
      <c r="I67">
        <f t="shared" ca="1" si="8"/>
        <v>0</v>
      </c>
      <c r="J67">
        <f t="shared" ca="1" si="17"/>
        <v>0</v>
      </c>
      <c r="K67">
        <f ca="1">IF(OR($C67="S",$C67=0),0,MATCH(OFFSET($D67,0,$C67)+IF($C67&lt;&gt;1,1,COUNTIF(QCI!$A$13:$A$24,ORÇAMENTO!E67)),OFFSET($D67,1,$C67,ROW($C$405)-ROW($C67)),0))</f>
        <v>0</v>
      </c>
      <c r="L67" s="115" t="str">
        <f t="shared" ca="1" si="10"/>
        <v/>
      </c>
      <c r="M67" s="116" t="s">
        <v>706</v>
      </c>
      <c r="N67" s="117" t="str">
        <f t="shared" ca="1" si="11"/>
        <v>Serviço</v>
      </c>
      <c r="O67" s="118" t="str">
        <f t="shared" ca="1" si="12"/>
        <v>-</v>
      </c>
      <c r="P67" s="119" t="s">
        <v>1315</v>
      </c>
      <c r="Q67" s="120" t="s">
        <v>985</v>
      </c>
      <c r="R67" s="121" t="s">
        <v>1361</v>
      </c>
      <c r="S67" s="122" t="s">
        <v>1644</v>
      </c>
      <c r="T67" s="123">
        <f ca="1">OFFSET(CÁLCULO!H$15,ROW($T67)-ROW(T$15),0)</f>
        <v>1</v>
      </c>
      <c r="U67" s="124"/>
      <c r="V67" s="125" t="s">
        <v>663</v>
      </c>
      <c r="W67" s="123">
        <f ca="1">IF($C67="S",ROUND(IF(TIPOORCAMENTO="Proposto",ORÇAMENTO.CustoUnitario*(1+$AH67),ORÇAMENTO.PrecoUnitarioLicitado),15-13*$AF$10),0)</f>
        <v>0</v>
      </c>
      <c r="X67" s="126" cm="1">
        <f t="array" aca="1" ref="X67" ca="1">IF($C67="S",IF(OR(Import.TipoArredondamento&lt;&gt;"TransfereGOV",ACOMPANHAMENTO="BM"),VTOTAL1,SUM(OFFSET(CÁLCULO!$AA$15,ROW($X67)-ROW($X$15),1):OFFSET(CÁLCULO!$AL$15,ROW($X67)-ROW($X$15),-1))),IF($C67=0,0,ROUND(SomaAgrup,15-13*$AF$11)))</f>
        <v>0</v>
      </c>
      <c r="Y67" s="127" t="s">
        <v>752</v>
      </c>
      <c r="Z67" t="str">
        <f t="shared" ca="1" si="13"/>
        <v/>
      </c>
      <c r="AA67" s="128">
        <f ca="1">IF($C67="S",IF($Z67="CP",$X67,IF($Z67="RA",(($X67)*QCI!$AA$3),0)),SomaAgrup)</f>
        <v>0</v>
      </c>
      <c r="AB67" s="129">
        <f t="shared" ca="1" si="14"/>
        <v>0</v>
      </c>
      <c r="AC67" s="567" t="str">
        <f ca="1">IF($N67=""," ",
IF(AND($C67&lt;&gt;"S",OR($R67="",$R67="(digite a descrição aqui)")),"DESCRIÇÃO",
IF(AND($C67="S",OR($Q67&lt;&gt;0,$T67&gt;0,$U67&gt;0),$P67=0),"FONTE",
IF(AND($C67="S",$P67&lt;&gt;0,OR($T67&gt;0,$U67&gt;0),$Q67=0),"CÓDIGO",
IF(AND($C67="S",$P67&lt;&gt;0,$Q67&lt;&gt;0,$R67="(Código não identificado nas referências)"),"CÓDIGO N/ID",
IF(AND($C67="S",OR($R67="",$R67="(digite a descrição aqui)"),OR($Q67&lt;&gt;0,$T67&gt;0,$U67&gt;0)),"DESCRIÇÃO",
IF(AND($C67="S",$P67&lt;&gt;0,$Q67&lt;&gt;0,$S67=""),"UNIDADE",
IF(AND($C67="S",$P67&lt;&gt;0,$Q67&lt;&gt;0,$U67=0),"SEM CUSTO",
IF(AND(TIPOORCAMENTO="Licitado",$AL67=0,$AN67&gt;0),"SEM PREÇO",
IF(AND($C67="S",$P67&lt;&gt;0,$Q67&lt;&gt;0,$U67&gt;0,$V67=0),"BDI",
IF(OR(AND(TIPOORCAMENTO="Proposto",$AG67&lt;&gt;"",$AG67&gt;0,ORÇAMENTO.CustoUnitario&gt;$AG67),AND(TIPOORCAMENTO="LICITADO",ORÇAMENTO.PrecoUnitarioLicitado&gt;$AN67)),"ACIMA REF.",
IF(AND($C67="S",$P67&lt;&gt;0,$Q67&lt;&gt;0,$T67=0,$U67&gt;0),"QUANT.",
IF(AND(Import.TipoArredondamento="TransfereGOV",$L67="F",$C67="S",LEN($Q67)&gt;13),"Código &gt;13",
IF(AND(Import.TipoArredondamento="TransfereGOV",$L67="F",$C67&lt;&gt;"S",LEN($R67)&gt;100),"Descrição &gt;100",
IF(AND(Import.TipoArredondamento="TransfereGOV",$L67="F",$C67="S",LEN($R67)&gt;500),"Descrição &gt;500",
IF(AND(Import.TipoArredondamento="TransfereGOV",$L67="F",$C67="S",LEFT(TRIM(UPPER($P67)),6)&lt;&gt;"SINAPI",ISNA(VLOOKUP(TRIM(UPPER($S67)),ListaTgov.Unidades,1,FALSE))),"Unid. Não Disp",
" "))))))))))))))))</f>
        <v>SEM CUSTO</v>
      </c>
      <c r="AD67" t="str">
        <f ca="1">IF(C67&lt;=CRONO.NivelExibicao,MAX($AD$15:OFFSET(AD67,-1,0))+IF($C67&lt;&gt;1,1,MAX(1,COUNTIF(QCI!$A$13:$A$24,OFFSET($E67,-1,0)))),"")</f>
        <v/>
      </c>
      <c r="AE67" s="7" t="str">
        <f ca="1">IF(AND($C67="S",ORÇAMENTO.CodBarra&lt;&gt;""),IF(ORÇAMENTO.Fonte="",ORÇAMENTO.CodBarra,CONCATENATE(ORÇAMENTO.Fonte," ",ORÇAMENTO.CodBarra)))</f>
        <v>SINAPI-I 39759</v>
      </c>
      <c r="AF67" s="12" t="str">
        <f ca="1">IF(ISERROR(INDIRECT(ORÇAMENTO.BancoRef)),"(abra o arquivo 'Referência "&amp;Excel_BuiltIn_Database&amp;".xlsm)",IF(OR($C67&lt;&gt;"S",ORÇAMENTO.CodBarra=""),"(Sem Código)",IF(ISERROR(MATCH($AE67,INDIRECT(ORÇAMENTO.BancoRef),0)),"(Código não identificado nas referências)",MATCH($AE67,INDIRECT(ORÇAMENTO.BancoRef),0))))</f>
        <v>(abra o arquivo 'Referência 12-2024.xlsm)</v>
      </c>
      <c r="AG67" s="429">
        <f ca="1">ROUND(IF(DESONERACAO="sim",REFERENCIA.Desonerado,REFERENCIA.NaoDesonerado),2)</f>
        <v>0</v>
      </c>
      <c r="AH67" s="430">
        <f t="shared" ca="1" si="15"/>
        <v>0.31190000000000001</v>
      </c>
      <c r="AJ67" s="432">
        <v>1</v>
      </c>
      <c r="AL67" s="440"/>
      <c r="AM67" s="337">
        <f t="shared" ca="1" si="0"/>
        <v>0</v>
      </c>
      <c r="AN67" s="471">
        <f t="shared" ca="1" si="16"/>
        <v>0</v>
      </c>
    </row>
    <row r="68" spans="1:40" ht="38.25" x14ac:dyDescent="0.2">
      <c r="A68" t="str">
        <f t="shared" si="1"/>
        <v>S</v>
      </c>
      <c r="B68">
        <f t="shared" ca="1" si="2"/>
        <v>2</v>
      </c>
      <c r="C68" t="str">
        <f t="shared" ca="1" si="3"/>
        <v>S</v>
      </c>
      <c r="D68">
        <f t="shared" ca="1" si="4"/>
        <v>0</v>
      </c>
      <c r="E68">
        <f ca="1">IF($C68=1,OFFSET(E68,-1,0)+MAX(1,COUNTIF(QCI!$A$13:$A$24,OFFSET(ORÇAMENTO!E68,-1,0))),OFFSET(E68,-1,0))</f>
        <v>1</v>
      </c>
      <c r="F68">
        <f t="shared" ca="1" si="5"/>
        <v>9</v>
      </c>
      <c r="G68">
        <f t="shared" ca="1" si="6"/>
        <v>0</v>
      </c>
      <c r="H68">
        <f t="shared" ca="1" si="7"/>
        <v>0</v>
      </c>
      <c r="I68">
        <f t="shared" ca="1" si="8"/>
        <v>0</v>
      </c>
      <c r="J68">
        <f t="shared" ca="1" si="17"/>
        <v>0</v>
      </c>
      <c r="K68">
        <f ca="1">IF(OR($C68="S",$C68=0),0,MATCH(OFFSET($D68,0,$C68)+IF($C68&lt;&gt;1,1,COUNTIF(QCI!$A$13:$A$24,ORÇAMENTO!E68)),OFFSET($D68,1,$C68,ROW($C$405)-ROW($C68)),0))</f>
        <v>0</v>
      </c>
      <c r="L68" s="115" t="str">
        <f t="shared" ca="1" si="10"/>
        <v/>
      </c>
      <c r="M68" s="116" t="s">
        <v>706</v>
      </c>
      <c r="N68" s="117" t="str">
        <f t="shared" ca="1" si="11"/>
        <v>Serviço</v>
      </c>
      <c r="O68" s="118" t="str">
        <f t="shared" ca="1" si="12"/>
        <v>-</v>
      </c>
      <c r="P68" s="119" t="s">
        <v>1315</v>
      </c>
      <c r="Q68" s="120" t="s">
        <v>986</v>
      </c>
      <c r="R68" s="121" t="s">
        <v>1362</v>
      </c>
      <c r="S68" s="122" t="s">
        <v>1644</v>
      </c>
      <c r="T68" s="123">
        <f ca="1">OFFSET(CÁLCULO!H$15,ROW($T68)-ROW(T$15),0)</f>
        <v>1</v>
      </c>
      <c r="U68" s="124"/>
      <c r="V68" s="125" t="s">
        <v>663</v>
      </c>
      <c r="W68" s="123">
        <f ca="1">IF($C68="S",ROUND(IF(TIPOORCAMENTO="Proposto",ORÇAMENTO.CustoUnitario*(1+$AH68),ORÇAMENTO.PrecoUnitarioLicitado),15-13*$AF$10),0)</f>
        <v>0</v>
      </c>
      <c r="X68" s="126" cm="1">
        <f t="array" aca="1" ref="X68" ca="1">IF($C68="S",IF(OR(Import.TipoArredondamento&lt;&gt;"TransfereGOV",ACOMPANHAMENTO="BM"),VTOTAL1,SUM(OFFSET(CÁLCULO!$AA$15,ROW($X68)-ROW($X$15),1):OFFSET(CÁLCULO!$AL$15,ROW($X68)-ROW($X$15),-1))),IF($C68=0,0,ROUND(SomaAgrup,15-13*$AF$11)))</f>
        <v>0</v>
      </c>
      <c r="Y68" s="127" t="s">
        <v>752</v>
      </c>
      <c r="Z68" t="str">
        <f t="shared" ca="1" si="13"/>
        <v/>
      </c>
      <c r="AA68" s="128">
        <f ca="1">IF($C68="S",IF($Z68="CP",$X68,IF($Z68="RA",(($X68)*QCI!$AA$3),0)),SomaAgrup)</f>
        <v>0</v>
      </c>
      <c r="AB68" s="129">
        <f t="shared" ca="1" si="14"/>
        <v>0</v>
      </c>
      <c r="AC68" s="567" t="str">
        <f ca="1">IF($N68=""," ",
IF(AND($C68&lt;&gt;"S",OR($R68="",$R68="(digite a descrição aqui)")),"DESCRIÇÃO",
IF(AND($C68="S",OR($Q68&lt;&gt;0,$T68&gt;0,$U68&gt;0),$P68=0),"FONTE",
IF(AND($C68="S",$P68&lt;&gt;0,OR($T68&gt;0,$U68&gt;0),$Q68=0),"CÓDIGO",
IF(AND($C68="S",$P68&lt;&gt;0,$Q68&lt;&gt;0,$R68="(Código não identificado nas referências)"),"CÓDIGO N/ID",
IF(AND($C68="S",OR($R68="",$R68="(digite a descrição aqui)"),OR($Q68&lt;&gt;0,$T68&gt;0,$U68&gt;0)),"DESCRIÇÃO",
IF(AND($C68="S",$P68&lt;&gt;0,$Q68&lt;&gt;0,$S68=""),"UNIDADE",
IF(AND($C68="S",$P68&lt;&gt;0,$Q68&lt;&gt;0,$U68=0),"SEM CUSTO",
IF(AND(TIPOORCAMENTO="Licitado",$AL68=0,$AN68&gt;0),"SEM PREÇO",
IF(AND($C68="S",$P68&lt;&gt;0,$Q68&lt;&gt;0,$U68&gt;0,$V68=0),"BDI",
IF(OR(AND(TIPOORCAMENTO="Proposto",$AG68&lt;&gt;"",$AG68&gt;0,ORÇAMENTO.CustoUnitario&gt;$AG68),AND(TIPOORCAMENTO="LICITADO",ORÇAMENTO.PrecoUnitarioLicitado&gt;$AN68)),"ACIMA REF.",
IF(AND($C68="S",$P68&lt;&gt;0,$Q68&lt;&gt;0,$T68=0,$U68&gt;0),"QUANT.",
IF(AND(Import.TipoArredondamento="TransfereGOV",$L68="F",$C68="S",LEN($Q68)&gt;13),"Código &gt;13",
IF(AND(Import.TipoArredondamento="TransfereGOV",$L68="F",$C68&lt;&gt;"S",LEN($R68)&gt;100),"Descrição &gt;100",
IF(AND(Import.TipoArredondamento="TransfereGOV",$L68="F",$C68="S",LEN($R68)&gt;500),"Descrição &gt;500",
IF(AND(Import.TipoArredondamento="TransfereGOV",$L68="F",$C68="S",LEFT(TRIM(UPPER($P68)),6)&lt;&gt;"SINAPI",ISNA(VLOOKUP(TRIM(UPPER($S68)),ListaTgov.Unidades,1,FALSE))),"Unid. Não Disp",
" "))))))))))))))))</f>
        <v>SEM CUSTO</v>
      </c>
      <c r="AD68" t="str">
        <f ca="1">IF(C68&lt;=CRONO.NivelExibicao,MAX($AD$15:OFFSET(AD68,-1,0))+IF($C68&lt;&gt;1,1,MAX(1,COUNTIF(QCI!$A$13:$A$24,OFFSET($E68,-1,0)))),"")</f>
        <v/>
      </c>
      <c r="AE68" s="7" t="str">
        <f ca="1">IF(AND($C68="S",ORÇAMENTO.CodBarra&lt;&gt;""),IF(ORÇAMENTO.Fonte="",ORÇAMENTO.CodBarra,CONCATENATE(ORÇAMENTO.Fonte," ",ORÇAMENTO.CodBarra)))</f>
        <v>SINAPI-I 39761</v>
      </c>
      <c r="AF68" s="12" t="str">
        <f ca="1">IF(ISERROR(INDIRECT(ORÇAMENTO.BancoRef)),"(abra o arquivo 'Referência "&amp;Excel_BuiltIn_Database&amp;".xlsm)",IF(OR($C68&lt;&gt;"S",ORÇAMENTO.CodBarra=""),"(Sem Código)",IF(ISERROR(MATCH($AE68,INDIRECT(ORÇAMENTO.BancoRef),0)),"(Código não identificado nas referências)",MATCH($AE68,INDIRECT(ORÇAMENTO.BancoRef),0))))</f>
        <v>(abra o arquivo 'Referência 12-2024.xlsm)</v>
      </c>
      <c r="AG68" s="429">
        <f ca="1">ROUND(IF(DESONERACAO="sim",REFERENCIA.Desonerado,REFERENCIA.NaoDesonerado),2)</f>
        <v>0</v>
      </c>
      <c r="AH68" s="430">
        <f t="shared" ca="1" si="15"/>
        <v>0.31190000000000001</v>
      </c>
      <c r="AJ68" s="432">
        <v>1</v>
      </c>
      <c r="AL68" s="440"/>
      <c r="AM68" s="337">
        <f t="shared" ca="1" si="0"/>
        <v>0</v>
      </c>
      <c r="AN68" s="471">
        <f t="shared" ca="1" si="16"/>
        <v>0</v>
      </c>
    </row>
    <row r="69" spans="1:40" ht="38.25" x14ac:dyDescent="0.2">
      <c r="A69" t="str">
        <f t="shared" si="1"/>
        <v>S</v>
      </c>
      <c r="B69">
        <f t="shared" ca="1" si="2"/>
        <v>2</v>
      </c>
      <c r="C69" t="str">
        <f t="shared" ca="1" si="3"/>
        <v>S</v>
      </c>
      <c r="D69">
        <f t="shared" ca="1" si="4"/>
        <v>0</v>
      </c>
      <c r="E69">
        <f ca="1">IF($C69=1,OFFSET(E69,-1,0)+MAX(1,COUNTIF(QCI!$A$13:$A$24,OFFSET(ORÇAMENTO!E69,-1,0))),OFFSET(E69,-1,0))</f>
        <v>1</v>
      </c>
      <c r="F69">
        <f t="shared" ca="1" si="5"/>
        <v>9</v>
      </c>
      <c r="G69">
        <f t="shared" ca="1" si="6"/>
        <v>0</v>
      </c>
      <c r="H69">
        <f t="shared" ca="1" si="7"/>
        <v>0</v>
      </c>
      <c r="I69">
        <f t="shared" ca="1" si="8"/>
        <v>0</v>
      </c>
      <c r="J69">
        <f t="shared" ca="1" si="17"/>
        <v>0</v>
      </c>
      <c r="K69">
        <f ca="1">IF(OR($C69="S",$C69=0),0,MATCH(OFFSET($D69,0,$C69)+IF($C69&lt;&gt;1,1,COUNTIF(QCI!$A$13:$A$24,ORÇAMENTO!E69)),OFFSET($D69,1,$C69,ROW($C$405)-ROW($C69)),0))</f>
        <v>0</v>
      </c>
      <c r="L69" s="115" t="str">
        <f t="shared" ca="1" si="10"/>
        <v/>
      </c>
      <c r="M69" s="116" t="s">
        <v>706</v>
      </c>
      <c r="N69" s="117" t="str">
        <f t="shared" ca="1" si="11"/>
        <v>Serviço</v>
      </c>
      <c r="O69" s="118" t="str">
        <f t="shared" ca="1" si="12"/>
        <v>-</v>
      </c>
      <c r="P69" s="119" t="s">
        <v>1316</v>
      </c>
      <c r="Q69" s="120" t="s">
        <v>987</v>
      </c>
      <c r="R69" s="121" t="s">
        <v>1363</v>
      </c>
      <c r="S69" s="122" t="s">
        <v>1644</v>
      </c>
      <c r="T69" s="123">
        <f ca="1">OFFSET(CÁLCULO!H$15,ROW($T69)-ROW(T$15),0)</f>
        <v>1</v>
      </c>
      <c r="U69" s="124"/>
      <c r="V69" s="125" t="s">
        <v>663</v>
      </c>
      <c r="W69" s="123">
        <f ca="1">IF($C69="S",ROUND(IF(TIPOORCAMENTO="Proposto",ORÇAMENTO.CustoUnitario*(1+$AH69),ORÇAMENTO.PrecoUnitarioLicitado),15-13*$AF$10),0)</f>
        <v>0</v>
      </c>
      <c r="X69" s="126" cm="1">
        <f t="array" aca="1" ref="X69" ca="1">IF($C69="S",IF(OR(Import.TipoArredondamento&lt;&gt;"TransfereGOV",ACOMPANHAMENTO="BM"),VTOTAL1,SUM(OFFSET(CÁLCULO!$AA$15,ROW($X69)-ROW($X$15),1):OFFSET(CÁLCULO!$AL$15,ROW($X69)-ROW($X$15),-1))),IF($C69=0,0,ROUND(SomaAgrup,15-13*$AF$11)))</f>
        <v>0</v>
      </c>
      <c r="Y69" s="127" t="s">
        <v>752</v>
      </c>
      <c r="Z69" t="str">
        <f t="shared" ca="1" si="13"/>
        <v/>
      </c>
      <c r="AA69" s="128">
        <f ca="1">IF($C69="S",IF($Z69="CP",$X69,IF($Z69="RA",(($X69)*QCI!$AA$3),0)),SomaAgrup)</f>
        <v>0</v>
      </c>
      <c r="AB69" s="129">
        <f t="shared" ca="1" si="14"/>
        <v>0</v>
      </c>
      <c r="AC69" s="567" t="str">
        <f ca="1">IF($N69=""," ",
IF(AND($C69&lt;&gt;"S",OR($R69="",$R69="(digite a descrição aqui)")),"DESCRIÇÃO",
IF(AND($C69="S",OR($Q69&lt;&gt;0,$T69&gt;0,$U69&gt;0),$P69=0),"FONTE",
IF(AND($C69="S",$P69&lt;&gt;0,OR($T69&gt;0,$U69&gt;0),$Q69=0),"CÓDIGO",
IF(AND($C69="S",$P69&lt;&gt;0,$Q69&lt;&gt;0,$R69="(Código não identificado nas referências)"),"CÓDIGO N/ID",
IF(AND($C69="S",OR($R69="",$R69="(digite a descrição aqui)"),OR($Q69&lt;&gt;0,$T69&gt;0,$U69&gt;0)),"DESCRIÇÃO",
IF(AND($C69="S",$P69&lt;&gt;0,$Q69&lt;&gt;0,$S69=""),"UNIDADE",
IF(AND($C69="S",$P69&lt;&gt;0,$Q69&lt;&gt;0,$U69=0),"SEM CUSTO",
IF(AND(TIPOORCAMENTO="Licitado",$AL69=0,$AN69&gt;0),"SEM PREÇO",
IF(AND($C69="S",$P69&lt;&gt;0,$Q69&lt;&gt;0,$U69&gt;0,$V69=0),"BDI",
IF(OR(AND(TIPOORCAMENTO="Proposto",$AG69&lt;&gt;"",$AG69&gt;0,ORÇAMENTO.CustoUnitario&gt;$AG69),AND(TIPOORCAMENTO="LICITADO",ORÇAMENTO.PrecoUnitarioLicitado&gt;$AN69)),"ACIMA REF.",
IF(AND($C69="S",$P69&lt;&gt;0,$Q69&lt;&gt;0,$T69=0,$U69&gt;0),"QUANT.",
IF(AND(Import.TipoArredondamento="TransfereGOV",$L69="F",$C69="S",LEN($Q69)&gt;13),"Código &gt;13",
IF(AND(Import.TipoArredondamento="TransfereGOV",$L69="F",$C69&lt;&gt;"S",LEN($R69)&gt;100),"Descrição &gt;100",
IF(AND(Import.TipoArredondamento="TransfereGOV",$L69="F",$C69="S",LEN($R69)&gt;500),"Descrição &gt;500",
IF(AND(Import.TipoArredondamento="TransfereGOV",$L69="F",$C69="S",LEFT(TRIM(UPPER($P69)),6)&lt;&gt;"SINAPI",ISNA(VLOOKUP(TRIM(UPPER($S69)),ListaTgov.Unidades,1,FALSE))),"Unid. Não Disp",
" "))))))))))))))))</f>
        <v>SEM CUSTO</v>
      </c>
      <c r="AD69" t="str">
        <f ca="1">IF(C69&lt;=CRONO.NivelExibicao,MAX($AD$15:OFFSET(AD69,-1,0))+IF($C69&lt;&gt;1,1,MAX(1,COUNTIF(QCI!$A$13:$A$24,OFFSET($E69,-1,0)))),"")</f>
        <v/>
      </c>
      <c r="AE69" s="7" t="str">
        <f ca="1">IF(AND($C69="S",ORÇAMENTO.CodBarra&lt;&gt;""),IF(ORÇAMENTO.Fonte="",ORÇAMENTO.CodBarra,CONCATENATE(ORÇAMENTO.Fonte," ",ORÇAMENTO.CodBarra)))</f>
        <v>Composiçao 214</v>
      </c>
      <c r="AF69" s="12" t="str">
        <f ca="1">IF(ISERROR(INDIRECT(ORÇAMENTO.BancoRef)),"(abra o arquivo 'Referência "&amp;Excel_BuiltIn_Database&amp;".xlsm)",IF(OR($C69&lt;&gt;"S",ORÇAMENTO.CodBarra=""),"(Sem Código)",IF(ISERROR(MATCH($AE69,INDIRECT(ORÇAMENTO.BancoRef),0)),"(Código não identificado nas referências)",MATCH($AE69,INDIRECT(ORÇAMENTO.BancoRef),0))))</f>
        <v>(abra o arquivo 'Referência 12-2024.xlsm)</v>
      </c>
      <c r="AG69" s="429">
        <f ca="1">ROUND(IF(DESONERACAO="sim",REFERENCIA.Desonerado,REFERENCIA.NaoDesonerado),2)</f>
        <v>0</v>
      </c>
      <c r="AH69" s="430">
        <f t="shared" ca="1" si="15"/>
        <v>0.31190000000000001</v>
      </c>
      <c r="AJ69" s="432">
        <v>1</v>
      </c>
      <c r="AL69" s="440"/>
      <c r="AM69" s="337">
        <f t="shared" ca="1" si="0"/>
        <v>0</v>
      </c>
      <c r="AN69" s="471">
        <f t="shared" ca="1" si="16"/>
        <v>0</v>
      </c>
    </row>
    <row r="70" spans="1:40" ht="25.5" x14ac:dyDescent="0.2">
      <c r="A70" t="str">
        <f t="shared" si="1"/>
        <v>S</v>
      </c>
      <c r="B70">
        <f t="shared" ca="1" si="2"/>
        <v>2</v>
      </c>
      <c r="C70" t="str">
        <f t="shared" ca="1" si="3"/>
        <v>S</v>
      </c>
      <c r="D70">
        <f t="shared" ca="1" si="4"/>
        <v>0</v>
      </c>
      <c r="E70">
        <f ca="1">IF($C70=1,OFFSET(E70,-1,0)+MAX(1,COUNTIF(QCI!$A$13:$A$24,OFFSET(ORÇAMENTO!E70,-1,0))),OFFSET(E70,-1,0))</f>
        <v>1</v>
      </c>
      <c r="F70">
        <f t="shared" ca="1" si="5"/>
        <v>9</v>
      </c>
      <c r="G70">
        <f t="shared" ca="1" si="6"/>
        <v>0</v>
      </c>
      <c r="H70">
        <f t="shared" ca="1" si="7"/>
        <v>0</v>
      </c>
      <c r="I70">
        <f t="shared" ca="1" si="8"/>
        <v>0</v>
      </c>
      <c r="J70">
        <f t="shared" ca="1" si="17"/>
        <v>0</v>
      </c>
      <c r="K70">
        <f ca="1">IF(OR($C70="S",$C70=0),0,MATCH(OFFSET($D70,0,$C70)+IF($C70&lt;&gt;1,1,COUNTIF(QCI!$A$13:$A$24,ORÇAMENTO!E70)),OFFSET($D70,1,$C70,ROW($C$405)-ROW($C70)),0))</f>
        <v>0</v>
      </c>
      <c r="L70" s="115" t="str">
        <f t="shared" ca="1" si="10"/>
        <v/>
      </c>
      <c r="M70" s="116" t="s">
        <v>706</v>
      </c>
      <c r="N70" s="117" t="str">
        <f t="shared" ca="1" si="11"/>
        <v>Serviço</v>
      </c>
      <c r="O70" s="118" t="str">
        <f t="shared" ca="1" si="12"/>
        <v>-</v>
      </c>
      <c r="P70" s="119" t="s">
        <v>751</v>
      </c>
      <c r="Q70" s="120" t="s">
        <v>988</v>
      </c>
      <c r="R70" s="121" t="s">
        <v>1364</v>
      </c>
      <c r="S70" s="122" t="s">
        <v>639</v>
      </c>
      <c r="T70" s="123">
        <f ca="1">OFFSET(CÁLCULO!H$15,ROW($T70)-ROW(T$15),0)</f>
        <v>3</v>
      </c>
      <c r="U70" s="124"/>
      <c r="V70" s="125" t="s">
        <v>663</v>
      </c>
      <c r="W70" s="123">
        <f ca="1">IF($C70="S",ROUND(IF(TIPOORCAMENTO="Proposto",ORÇAMENTO.CustoUnitario*(1+$AH70),ORÇAMENTO.PrecoUnitarioLicitado),15-13*$AF$10),0)</f>
        <v>0</v>
      </c>
      <c r="X70" s="126" cm="1">
        <f t="array" aca="1" ref="X70" ca="1">IF($C70="S",IF(OR(Import.TipoArredondamento&lt;&gt;"TransfereGOV",ACOMPANHAMENTO="BM"),VTOTAL1,SUM(OFFSET(CÁLCULO!$AA$15,ROW($X70)-ROW($X$15),1):OFFSET(CÁLCULO!$AL$15,ROW($X70)-ROW($X$15),-1))),IF($C70=0,0,ROUND(SomaAgrup,15-13*$AF$11)))</f>
        <v>0</v>
      </c>
      <c r="Y70" s="127" t="s">
        <v>752</v>
      </c>
      <c r="Z70" t="str">
        <f t="shared" ca="1" si="13"/>
        <v/>
      </c>
      <c r="AA70" s="128">
        <f ca="1">IF($C70="S",IF($Z70="CP",$X70,IF($Z70="RA",(($X70)*QCI!$AA$3),0)),SomaAgrup)</f>
        <v>0</v>
      </c>
      <c r="AB70" s="129">
        <f t="shared" ca="1" si="14"/>
        <v>0</v>
      </c>
      <c r="AC70" s="567" t="str">
        <f ca="1">IF($N70=""," ",
IF(AND($C70&lt;&gt;"S",OR($R70="",$R70="(digite a descrição aqui)")),"DESCRIÇÃO",
IF(AND($C70="S",OR($Q70&lt;&gt;0,$T70&gt;0,$U70&gt;0),$P70=0),"FONTE",
IF(AND($C70="S",$P70&lt;&gt;0,OR($T70&gt;0,$U70&gt;0),$Q70=0),"CÓDIGO",
IF(AND($C70="S",$P70&lt;&gt;0,$Q70&lt;&gt;0,$R70="(Código não identificado nas referências)"),"CÓDIGO N/ID",
IF(AND($C70="S",OR($R70="",$R70="(digite a descrição aqui)"),OR($Q70&lt;&gt;0,$T70&gt;0,$U70&gt;0)),"DESCRIÇÃO",
IF(AND($C70="S",$P70&lt;&gt;0,$Q70&lt;&gt;0,$S70=""),"UNIDADE",
IF(AND($C70="S",$P70&lt;&gt;0,$Q70&lt;&gt;0,$U70=0),"SEM CUSTO",
IF(AND(TIPOORCAMENTO="Licitado",$AL70=0,$AN70&gt;0),"SEM PREÇO",
IF(AND($C70="S",$P70&lt;&gt;0,$Q70&lt;&gt;0,$U70&gt;0,$V70=0),"BDI",
IF(OR(AND(TIPOORCAMENTO="Proposto",$AG70&lt;&gt;"",$AG70&gt;0,ORÇAMENTO.CustoUnitario&gt;$AG70),AND(TIPOORCAMENTO="LICITADO",ORÇAMENTO.PrecoUnitarioLicitado&gt;$AN70)),"ACIMA REF.",
IF(AND($C70="S",$P70&lt;&gt;0,$Q70&lt;&gt;0,$T70=0,$U70&gt;0),"QUANT.",
IF(AND(Import.TipoArredondamento="TransfereGOV",$L70="F",$C70="S",LEN($Q70)&gt;13),"Código &gt;13",
IF(AND(Import.TipoArredondamento="TransfereGOV",$L70="F",$C70&lt;&gt;"S",LEN($R70)&gt;100),"Descrição &gt;100",
IF(AND(Import.TipoArredondamento="TransfereGOV",$L70="F",$C70="S",LEN($R70)&gt;500),"Descrição &gt;500",
IF(AND(Import.TipoArredondamento="TransfereGOV",$L70="F",$C70="S",LEFT(TRIM(UPPER($P70)),6)&lt;&gt;"SINAPI",ISNA(VLOOKUP(TRIM(UPPER($S70)),ListaTgov.Unidades,1,FALSE))),"Unid. Não Disp",
" "))))))))))))))))</f>
        <v>SEM CUSTO</v>
      </c>
      <c r="AD70" t="str">
        <f ca="1">IF(C70&lt;=CRONO.NivelExibicao,MAX($AD$15:OFFSET(AD70,-1,0))+IF($C70&lt;&gt;1,1,MAX(1,COUNTIF(QCI!$A$13:$A$24,OFFSET($E70,-1,0)))),"")</f>
        <v/>
      </c>
      <c r="AE70" s="7" t="str">
        <f ca="1">IF(AND($C70="S",ORÇAMENTO.CodBarra&lt;&gt;""),IF(ORÇAMENTO.Fonte="",ORÇAMENTO.CodBarra,CONCATENATE(ORÇAMENTO.Fonte," ",ORÇAMENTO.CodBarra)))</f>
        <v>SINAPI 93667</v>
      </c>
      <c r="AF70" s="12" t="str">
        <f ca="1">IF(ISERROR(INDIRECT(ORÇAMENTO.BancoRef)),"(abra o arquivo 'Referência "&amp;Excel_BuiltIn_Database&amp;".xlsm)",IF(OR($C70&lt;&gt;"S",ORÇAMENTO.CodBarra=""),"(Sem Código)",IF(ISERROR(MATCH($AE70,INDIRECT(ORÇAMENTO.BancoRef),0)),"(Código não identificado nas referências)",MATCH($AE70,INDIRECT(ORÇAMENTO.BancoRef),0))))</f>
        <v>(abra o arquivo 'Referência 12-2024.xlsm)</v>
      </c>
      <c r="AG70" s="429">
        <f ca="1">ROUND(IF(DESONERACAO="sim",REFERENCIA.Desonerado,REFERENCIA.NaoDesonerado),2)</f>
        <v>0</v>
      </c>
      <c r="AH70" s="430">
        <f t="shared" ca="1" si="15"/>
        <v>0.31190000000000001</v>
      </c>
      <c r="AJ70" s="432">
        <v>3</v>
      </c>
      <c r="AL70" s="440"/>
      <c r="AM70" s="337">
        <f t="shared" ca="1" si="0"/>
        <v>0</v>
      </c>
      <c r="AN70" s="471">
        <f t="shared" ca="1" si="16"/>
        <v>0</v>
      </c>
    </row>
    <row r="71" spans="1:40" ht="25.5" x14ac:dyDescent="0.2">
      <c r="A71" t="str">
        <f t="shared" si="1"/>
        <v>S</v>
      </c>
      <c r="B71">
        <f t="shared" ca="1" si="2"/>
        <v>2</v>
      </c>
      <c r="C71" t="str">
        <f t="shared" ca="1" si="3"/>
        <v>S</v>
      </c>
      <c r="D71">
        <f t="shared" ca="1" si="4"/>
        <v>0</v>
      </c>
      <c r="E71">
        <f ca="1">IF($C71=1,OFFSET(E71,-1,0)+MAX(1,COUNTIF(QCI!$A$13:$A$24,OFFSET(ORÇAMENTO!E71,-1,0))),OFFSET(E71,-1,0))</f>
        <v>1</v>
      </c>
      <c r="F71">
        <f t="shared" ca="1" si="5"/>
        <v>9</v>
      </c>
      <c r="G71">
        <f t="shared" ca="1" si="6"/>
        <v>0</v>
      </c>
      <c r="H71">
        <f t="shared" ca="1" si="7"/>
        <v>0</v>
      </c>
      <c r="I71">
        <f t="shared" ca="1" si="8"/>
        <v>0</v>
      </c>
      <c r="J71">
        <f t="shared" ca="1" si="17"/>
        <v>0</v>
      </c>
      <c r="K71">
        <f ca="1">IF(OR($C71="S",$C71=0),0,MATCH(OFFSET($D71,0,$C71)+IF($C71&lt;&gt;1,1,COUNTIF(QCI!$A$13:$A$24,ORÇAMENTO!E71)),OFFSET($D71,1,$C71,ROW($C$405)-ROW($C71)),0))</f>
        <v>0</v>
      </c>
      <c r="L71" s="115" t="str">
        <f t="shared" ca="1" si="10"/>
        <v/>
      </c>
      <c r="M71" s="116" t="s">
        <v>706</v>
      </c>
      <c r="N71" s="117" t="str">
        <f t="shared" ca="1" si="11"/>
        <v>Serviço</v>
      </c>
      <c r="O71" s="118" t="str">
        <f t="shared" ca="1" si="12"/>
        <v>-</v>
      </c>
      <c r="P71" s="119" t="s">
        <v>751</v>
      </c>
      <c r="Q71" s="120" t="s">
        <v>989</v>
      </c>
      <c r="R71" s="121" t="s">
        <v>1365</v>
      </c>
      <c r="S71" s="122" t="s">
        <v>639</v>
      </c>
      <c r="T71" s="123">
        <f ca="1">OFFSET(CÁLCULO!H$15,ROW($T71)-ROW(T$15),0)</f>
        <v>1</v>
      </c>
      <c r="U71" s="124"/>
      <c r="V71" s="125" t="s">
        <v>663</v>
      </c>
      <c r="W71" s="123">
        <f ca="1">IF($C71="S",ROUND(IF(TIPOORCAMENTO="Proposto",ORÇAMENTO.CustoUnitario*(1+$AH71),ORÇAMENTO.PrecoUnitarioLicitado),15-13*$AF$10),0)</f>
        <v>0</v>
      </c>
      <c r="X71" s="126" cm="1">
        <f t="array" aca="1" ref="X71" ca="1">IF($C71="S",IF(OR(Import.TipoArredondamento&lt;&gt;"TransfereGOV",ACOMPANHAMENTO="BM"),VTOTAL1,SUM(OFFSET(CÁLCULO!$AA$15,ROW($X71)-ROW($X$15),1):OFFSET(CÁLCULO!$AL$15,ROW($X71)-ROW($X$15),-1))),IF($C71=0,0,ROUND(SomaAgrup,15-13*$AF$11)))</f>
        <v>0</v>
      </c>
      <c r="Y71" s="127" t="s">
        <v>752</v>
      </c>
      <c r="Z71" t="str">
        <f t="shared" ca="1" si="13"/>
        <v/>
      </c>
      <c r="AA71" s="128">
        <f ca="1">IF($C71="S",IF($Z71="CP",$X71,IF($Z71="RA",(($X71)*QCI!$AA$3),0)),SomaAgrup)</f>
        <v>0</v>
      </c>
      <c r="AB71" s="129">
        <f t="shared" ca="1" si="14"/>
        <v>0</v>
      </c>
      <c r="AC71" s="567" t="str">
        <f ca="1">IF($N71=""," ",
IF(AND($C71&lt;&gt;"S",OR($R71="",$R71="(digite a descrição aqui)")),"DESCRIÇÃO",
IF(AND($C71="S",OR($Q71&lt;&gt;0,$T71&gt;0,$U71&gt;0),$P71=0),"FONTE",
IF(AND($C71="S",$P71&lt;&gt;0,OR($T71&gt;0,$U71&gt;0),$Q71=0),"CÓDIGO",
IF(AND($C71="S",$P71&lt;&gt;0,$Q71&lt;&gt;0,$R71="(Código não identificado nas referências)"),"CÓDIGO N/ID",
IF(AND($C71="S",OR($R71="",$R71="(digite a descrição aqui)"),OR($Q71&lt;&gt;0,$T71&gt;0,$U71&gt;0)),"DESCRIÇÃO",
IF(AND($C71="S",$P71&lt;&gt;0,$Q71&lt;&gt;0,$S71=""),"UNIDADE",
IF(AND($C71="S",$P71&lt;&gt;0,$Q71&lt;&gt;0,$U71=0),"SEM CUSTO",
IF(AND(TIPOORCAMENTO="Licitado",$AL71=0,$AN71&gt;0),"SEM PREÇO",
IF(AND($C71="S",$P71&lt;&gt;0,$Q71&lt;&gt;0,$U71&gt;0,$V71=0),"BDI",
IF(OR(AND(TIPOORCAMENTO="Proposto",$AG71&lt;&gt;"",$AG71&gt;0,ORÇAMENTO.CustoUnitario&gt;$AG71),AND(TIPOORCAMENTO="LICITADO",ORÇAMENTO.PrecoUnitarioLicitado&gt;$AN71)),"ACIMA REF.",
IF(AND($C71="S",$P71&lt;&gt;0,$Q71&lt;&gt;0,$T71=0,$U71&gt;0),"QUANT.",
IF(AND(Import.TipoArredondamento="TransfereGOV",$L71="F",$C71="S",LEN($Q71)&gt;13),"Código &gt;13",
IF(AND(Import.TipoArredondamento="TransfereGOV",$L71="F",$C71&lt;&gt;"S",LEN($R71)&gt;100),"Descrição &gt;100",
IF(AND(Import.TipoArredondamento="TransfereGOV",$L71="F",$C71="S",LEN($R71)&gt;500),"Descrição &gt;500",
IF(AND(Import.TipoArredondamento="TransfereGOV",$L71="F",$C71="S",LEFT(TRIM(UPPER($P71)),6)&lt;&gt;"SINAPI",ISNA(VLOOKUP(TRIM(UPPER($S71)),ListaTgov.Unidades,1,FALSE))),"Unid. Não Disp",
" "))))))))))))))))</f>
        <v>SEM CUSTO</v>
      </c>
      <c r="AD71" t="str">
        <f ca="1">IF(C71&lt;=CRONO.NivelExibicao,MAX($AD$15:OFFSET(AD71,-1,0))+IF($C71&lt;&gt;1,1,MAX(1,COUNTIF(QCI!$A$13:$A$24,OFFSET($E71,-1,0)))),"")</f>
        <v/>
      </c>
      <c r="AE71" s="7" t="str">
        <f ca="1">IF(AND($C71="S",ORÇAMENTO.CodBarra&lt;&gt;""),IF(ORÇAMENTO.Fonte="",ORÇAMENTO.CodBarra,CONCATENATE(ORÇAMENTO.Fonte," ",ORÇAMENTO.CodBarra)))</f>
        <v>SINAPI 101895</v>
      </c>
      <c r="AF71" s="12" t="str">
        <f ca="1">IF(ISERROR(INDIRECT(ORÇAMENTO.BancoRef)),"(abra o arquivo 'Referência "&amp;Excel_BuiltIn_Database&amp;".xlsm)",IF(OR($C71&lt;&gt;"S",ORÇAMENTO.CodBarra=""),"(Sem Código)",IF(ISERROR(MATCH($AE71,INDIRECT(ORÇAMENTO.BancoRef),0)),"(Código não identificado nas referências)",MATCH($AE71,INDIRECT(ORÇAMENTO.BancoRef),0))))</f>
        <v>(abra o arquivo 'Referência 12-2024.xlsm)</v>
      </c>
      <c r="AG71" s="429">
        <f ca="1">ROUND(IF(DESONERACAO="sim",REFERENCIA.Desonerado,REFERENCIA.NaoDesonerado),2)</f>
        <v>0</v>
      </c>
      <c r="AH71" s="430">
        <f t="shared" ca="1" si="15"/>
        <v>0.31190000000000001</v>
      </c>
      <c r="AJ71" s="432">
        <v>1</v>
      </c>
      <c r="AL71" s="440"/>
      <c r="AM71" s="337">
        <f t="shared" ca="1" si="0"/>
        <v>0</v>
      </c>
      <c r="AN71" s="471">
        <f t="shared" ca="1" si="16"/>
        <v>0</v>
      </c>
    </row>
    <row r="72" spans="1:40" ht="25.5" x14ac:dyDescent="0.2">
      <c r="A72" t="str">
        <f t="shared" si="1"/>
        <v>S</v>
      </c>
      <c r="B72">
        <f t="shared" ca="1" si="2"/>
        <v>2</v>
      </c>
      <c r="C72" t="str">
        <f t="shared" ca="1" si="3"/>
        <v>S</v>
      </c>
      <c r="D72">
        <f t="shared" ca="1" si="4"/>
        <v>0</v>
      </c>
      <c r="E72">
        <f ca="1">IF($C72=1,OFFSET(E72,-1,0)+MAX(1,COUNTIF(QCI!$A$13:$A$24,OFFSET(ORÇAMENTO!E72,-1,0))),OFFSET(E72,-1,0))</f>
        <v>1</v>
      </c>
      <c r="F72">
        <f t="shared" ca="1" si="5"/>
        <v>9</v>
      </c>
      <c r="G72">
        <f t="shared" ca="1" si="6"/>
        <v>0</v>
      </c>
      <c r="H72">
        <f t="shared" ca="1" si="7"/>
        <v>0</v>
      </c>
      <c r="I72">
        <f t="shared" ca="1" si="8"/>
        <v>0</v>
      </c>
      <c r="J72">
        <f t="shared" ca="1" si="17"/>
        <v>0</v>
      </c>
      <c r="K72">
        <f ca="1">IF(OR($C72="S",$C72=0),0,MATCH(OFFSET($D72,0,$C72)+IF($C72&lt;&gt;1,1,COUNTIF(QCI!$A$13:$A$24,ORÇAMENTO!E72)),OFFSET($D72,1,$C72,ROW($C$405)-ROW($C72)),0))</f>
        <v>0</v>
      </c>
      <c r="L72" s="115" t="str">
        <f t="shared" ca="1" si="10"/>
        <v/>
      </c>
      <c r="M72" s="116" t="s">
        <v>706</v>
      </c>
      <c r="N72" s="117" t="str">
        <f t="shared" ca="1" si="11"/>
        <v>Serviço</v>
      </c>
      <c r="O72" s="118" t="str">
        <f t="shared" ca="1" si="12"/>
        <v>-</v>
      </c>
      <c r="P72" s="119" t="s">
        <v>751</v>
      </c>
      <c r="Q72" s="120" t="s">
        <v>990</v>
      </c>
      <c r="R72" s="121" t="s">
        <v>1366</v>
      </c>
      <c r="S72" s="122" t="s">
        <v>639</v>
      </c>
      <c r="T72" s="123">
        <f ca="1">OFFSET(CÁLCULO!H$15,ROW($T72)-ROW(T$15),0)</f>
        <v>1</v>
      </c>
      <c r="U72" s="124"/>
      <c r="V72" s="125" t="s">
        <v>663</v>
      </c>
      <c r="W72" s="123">
        <f ca="1">IF($C72="S",ROUND(IF(TIPOORCAMENTO="Proposto",ORÇAMENTO.CustoUnitario*(1+$AH72),ORÇAMENTO.PrecoUnitarioLicitado),15-13*$AF$10),0)</f>
        <v>0</v>
      </c>
      <c r="X72" s="126" cm="1">
        <f t="array" aca="1" ref="X72" ca="1">IF($C72="S",IF(OR(Import.TipoArredondamento&lt;&gt;"TransfereGOV",ACOMPANHAMENTO="BM"),VTOTAL1,SUM(OFFSET(CÁLCULO!$AA$15,ROW($X72)-ROW($X$15),1):OFFSET(CÁLCULO!$AL$15,ROW($X72)-ROW($X$15),-1))),IF($C72=0,0,ROUND(SomaAgrup,15-13*$AF$11)))</f>
        <v>0</v>
      </c>
      <c r="Y72" s="127" t="s">
        <v>752</v>
      </c>
      <c r="Z72" t="str">
        <f t="shared" ca="1" si="13"/>
        <v/>
      </c>
      <c r="AA72" s="128">
        <f ca="1">IF($C72="S",IF($Z72="CP",$X72,IF($Z72="RA",(($X72)*QCI!$AA$3),0)),SomaAgrup)</f>
        <v>0</v>
      </c>
      <c r="AB72" s="129">
        <f t="shared" ca="1" si="14"/>
        <v>0</v>
      </c>
      <c r="AC72" s="567" t="str">
        <f ca="1">IF($N72=""," ",
IF(AND($C72&lt;&gt;"S",OR($R72="",$R72="(digite a descrição aqui)")),"DESCRIÇÃO",
IF(AND($C72="S",OR($Q72&lt;&gt;0,$T72&gt;0,$U72&gt;0),$P72=0),"FONTE",
IF(AND($C72="S",$P72&lt;&gt;0,OR($T72&gt;0,$U72&gt;0),$Q72=0),"CÓDIGO",
IF(AND($C72="S",$P72&lt;&gt;0,$Q72&lt;&gt;0,$R72="(Código não identificado nas referências)"),"CÓDIGO N/ID",
IF(AND($C72="S",OR($R72="",$R72="(digite a descrição aqui)"),OR($Q72&lt;&gt;0,$T72&gt;0,$U72&gt;0)),"DESCRIÇÃO",
IF(AND($C72="S",$P72&lt;&gt;0,$Q72&lt;&gt;0,$S72=""),"UNIDADE",
IF(AND($C72="S",$P72&lt;&gt;0,$Q72&lt;&gt;0,$U72=0),"SEM CUSTO",
IF(AND(TIPOORCAMENTO="Licitado",$AL72=0,$AN72&gt;0),"SEM PREÇO",
IF(AND($C72="S",$P72&lt;&gt;0,$Q72&lt;&gt;0,$U72&gt;0,$V72=0),"BDI",
IF(OR(AND(TIPOORCAMENTO="Proposto",$AG72&lt;&gt;"",$AG72&gt;0,ORÇAMENTO.CustoUnitario&gt;$AG72),AND(TIPOORCAMENTO="LICITADO",ORÇAMENTO.PrecoUnitarioLicitado&gt;$AN72)),"ACIMA REF.",
IF(AND($C72="S",$P72&lt;&gt;0,$Q72&lt;&gt;0,$T72=0,$U72&gt;0),"QUANT.",
IF(AND(Import.TipoArredondamento="TransfereGOV",$L72="F",$C72="S",LEN($Q72)&gt;13),"Código &gt;13",
IF(AND(Import.TipoArredondamento="TransfereGOV",$L72="F",$C72&lt;&gt;"S",LEN($R72)&gt;100),"Descrição &gt;100",
IF(AND(Import.TipoArredondamento="TransfereGOV",$L72="F",$C72="S",LEN($R72)&gt;500),"Descrição &gt;500",
IF(AND(Import.TipoArredondamento="TransfereGOV",$L72="F",$C72="S",LEFT(TRIM(UPPER($P72)),6)&lt;&gt;"SINAPI",ISNA(VLOOKUP(TRIM(UPPER($S72)),ListaTgov.Unidades,1,FALSE))),"Unid. Não Disp",
" "))))))))))))))))</f>
        <v>SEM CUSTO</v>
      </c>
      <c r="AD72" t="str">
        <f ca="1">IF(C72&lt;=CRONO.NivelExibicao,MAX($AD$15:OFFSET(AD72,-1,0))+IF($C72&lt;&gt;1,1,MAX(1,COUNTIF(QCI!$A$13:$A$24,OFFSET($E72,-1,0)))),"")</f>
        <v/>
      </c>
      <c r="AE72" s="7" t="str">
        <f ca="1">IF(AND($C72="S",ORÇAMENTO.CodBarra&lt;&gt;""),IF(ORÇAMENTO.Fonte="",ORÇAMENTO.CodBarra,CONCATENATE(ORÇAMENTO.Fonte," ",ORÇAMENTO.CodBarra)))</f>
        <v>SINAPI 93668</v>
      </c>
      <c r="AF72" s="12" t="str">
        <f ca="1">IF(ISERROR(INDIRECT(ORÇAMENTO.BancoRef)),"(abra o arquivo 'Referência "&amp;Excel_BuiltIn_Database&amp;".xlsm)",IF(OR($C72&lt;&gt;"S",ORÇAMENTO.CodBarra=""),"(Sem Código)",IF(ISERROR(MATCH($AE72,INDIRECT(ORÇAMENTO.BancoRef),0)),"(Código não identificado nas referências)",MATCH($AE72,INDIRECT(ORÇAMENTO.BancoRef),0))))</f>
        <v>(abra o arquivo 'Referência 12-2024.xlsm)</v>
      </c>
      <c r="AG72" s="429">
        <f ca="1">ROUND(IF(DESONERACAO="sim",REFERENCIA.Desonerado,REFERENCIA.NaoDesonerado),2)</f>
        <v>0</v>
      </c>
      <c r="AH72" s="430">
        <f t="shared" ca="1" si="15"/>
        <v>0.31190000000000001</v>
      </c>
      <c r="AJ72" s="432">
        <v>1</v>
      </c>
      <c r="AL72" s="440"/>
      <c r="AM72" s="337">
        <f t="shared" ca="1" si="0"/>
        <v>0</v>
      </c>
      <c r="AN72" s="471">
        <f t="shared" ca="1" si="16"/>
        <v>0</v>
      </c>
    </row>
    <row r="73" spans="1:40" ht="25.5" x14ac:dyDescent="0.2">
      <c r="A73" t="str">
        <f t="shared" si="1"/>
        <v>S</v>
      </c>
      <c r="B73">
        <f t="shared" ca="1" si="2"/>
        <v>2</v>
      </c>
      <c r="C73" t="str">
        <f t="shared" ca="1" si="3"/>
        <v>S</v>
      </c>
      <c r="D73">
        <f t="shared" ca="1" si="4"/>
        <v>0</v>
      </c>
      <c r="E73">
        <f ca="1">IF($C73=1,OFFSET(E73,-1,0)+MAX(1,COUNTIF(QCI!$A$13:$A$24,OFFSET(ORÇAMENTO!E73,-1,0))),OFFSET(E73,-1,0))</f>
        <v>1</v>
      </c>
      <c r="F73">
        <f t="shared" ca="1" si="5"/>
        <v>9</v>
      </c>
      <c r="G73">
        <f t="shared" ca="1" si="6"/>
        <v>0</v>
      </c>
      <c r="H73">
        <f t="shared" ca="1" si="7"/>
        <v>0</v>
      </c>
      <c r="I73">
        <f t="shared" ca="1" si="8"/>
        <v>0</v>
      </c>
      <c r="J73">
        <f t="shared" ca="1" si="17"/>
        <v>0</v>
      </c>
      <c r="K73">
        <f ca="1">IF(OR($C73="S",$C73=0),0,MATCH(OFFSET($D73,0,$C73)+IF($C73&lt;&gt;1,1,COUNTIF(QCI!$A$13:$A$24,ORÇAMENTO!E73)),OFFSET($D73,1,$C73,ROW($C$405)-ROW($C73)),0))</f>
        <v>0</v>
      </c>
      <c r="L73" s="115" t="str">
        <f t="shared" ca="1" si="10"/>
        <v/>
      </c>
      <c r="M73" s="116" t="s">
        <v>706</v>
      </c>
      <c r="N73" s="117" t="str">
        <f t="shared" ca="1" si="11"/>
        <v>Serviço</v>
      </c>
      <c r="O73" s="118" t="str">
        <f t="shared" ca="1" si="12"/>
        <v>-</v>
      </c>
      <c r="P73" s="119" t="s">
        <v>751</v>
      </c>
      <c r="Q73" s="120" t="s">
        <v>991</v>
      </c>
      <c r="R73" s="121" t="s">
        <v>1367</v>
      </c>
      <c r="S73" s="122" t="s">
        <v>639</v>
      </c>
      <c r="T73" s="123">
        <f ca="1">OFFSET(CÁLCULO!H$15,ROW($T73)-ROW(T$15),0)</f>
        <v>3</v>
      </c>
      <c r="U73" s="124"/>
      <c r="V73" s="125" t="s">
        <v>663</v>
      </c>
      <c r="W73" s="123">
        <f ca="1">IF($C73="S",ROUND(IF(TIPOORCAMENTO="Proposto",ORÇAMENTO.CustoUnitario*(1+$AH73),ORÇAMENTO.PrecoUnitarioLicitado),15-13*$AF$10),0)</f>
        <v>0</v>
      </c>
      <c r="X73" s="126" cm="1">
        <f t="array" aca="1" ref="X73" ca="1">IF($C73="S",IF(OR(Import.TipoArredondamento&lt;&gt;"TransfereGOV",ACOMPANHAMENTO="BM"),VTOTAL1,SUM(OFFSET(CÁLCULO!$AA$15,ROW($X73)-ROW($X$15),1):OFFSET(CÁLCULO!$AL$15,ROW($X73)-ROW($X$15),-1))),IF($C73=0,0,ROUND(SomaAgrup,15-13*$AF$11)))</f>
        <v>0</v>
      </c>
      <c r="Y73" s="127" t="s">
        <v>752</v>
      </c>
      <c r="Z73" t="str">
        <f t="shared" ca="1" si="13"/>
        <v/>
      </c>
      <c r="AA73" s="128">
        <f ca="1">IF($C73="S",IF($Z73="CP",$X73,IF($Z73="RA",(($X73)*QCI!$AA$3),0)),SomaAgrup)</f>
        <v>0</v>
      </c>
      <c r="AB73" s="129">
        <f t="shared" ca="1" si="14"/>
        <v>0</v>
      </c>
      <c r="AC73" s="567" t="str">
        <f ca="1">IF($N73=""," ",
IF(AND($C73&lt;&gt;"S",OR($R73="",$R73="(digite a descrição aqui)")),"DESCRIÇÃO",
IF(AND($C73="S",OR($Q73&lt;&gt;0,$T73&gt;0,$U73&gt;0),$P73=0),"FONTE",
IF(AND($C73="S",$P73&lt;&gt;0,OR($T73&gt;0,$U73&gt;0),$Q73=0),"CÓDIGO",
IF(AND($C73="S",$P73&lt;&gt;0,$Q73&lt;&gt;0,$R73="(Código não identificado nas referências)"),"CÓDIGO N/ID",
IF(AND($C73="S",OR($R73="",$R73="(digite a descrição aqui)"),OR($Q73&lt;&gt;0,$T73&gt;0,$U73&gt;0)),"DESCRIÇÃO",
IF(AND($C73="S",$P73&lt;&gt;0,$Q73&lt;&gt;0,$S73=""),"UNIDADE",
IF(AND($C73="S",$P73&lt;&gt;0,$Q73&lt;&gt;0,$U73=0),"SEM CUSTO",
IF(AND(TIPOORCAMENTO="Licitado",$AL73=0,$AN73&gt;0),"SEM PREÇO",
IF(AND($C73="S",$P73&lt;&gt;0,$Q73&lt;&gt;0,$U73&gt;0,$V73=0),"BDI",
IF(OR(AND(TIPOORCAMENTO="Proposto",$AG73&lt;&gt;"",$AG73&gt;0,ORÇAMENTO.CustoUnitario&gt;$AG73),AND(TIPOORCAMENTO="LICITADO",ORÇAMENTO.PrecoUnitarioLicitado&gt;$AN73)),"ACIMA REF.",
IF(AND($C73="S",$P73&lt;&gt;0,$Q73&lt;&gt;0,$T73=0,$U73&gt;0),"QUANT.",
IF(AND(Import.TipoArredondamento="TransfereGOV",$L73="F",$C73="S",LEN($Q73)&gt;13),"Código &gt;13",
IF(AND(Import.TipoArredondamento="TransfereGOV",$L73="F",$C73&lt;&gt;"S",LEN($R73)&gt;100),"Descrição &gt;100",
IF(AND(Import.TipoArredondamento="TransfereGOV",$L73="F",$C73="S",LEN($R73)&gt;500),"Descrição &gt;500",
IF(AND(Import.TipoArredondamento="TransfereGOV",$L73="F",$C73="S",LEFT(TRIM(UPPER($P73)),6)&lt;&gt;"SINAPI",ISNA(VLOOKUP(TRIM(UPPER($S73)),ListaTgov.Unidades,1,FALSE))),"Unid. Não Disp",
" "))))))))))))))))</f>
        <v>SEM CUSTO</v>
      </c>
      <c r="AD73" t="str">
        <f ca="1">IF(C73&lt;=CRONO.NivelExibicao,MAX($AD$15:OFFSET(AD73,-1,0))+IF($C73&lt;&gt;1,1,MAX(1,COUNTIF(QCI!$A$13:$A$24,OFFSET($E73,-1,0)))),"")</f>
        <v/>
      </c>
      <c r="AE73" s="7" t="str">
        <f ca="1">IF(AND($C73="S",ORÇAMENTO.CodBarra&lt;&gt;""),IF(ORÇAMENTO.Fonte="",ORÇAMENTO.CodBarra,CONCATENATE(ORÇAMENTO.Fonte," ",ORÇAMENTO.CodBarra)))</f>
        <v>SINAPI 93673</v>
      </c>
      <c r="AF73" s="12" t="str">
        <f ca="1">IF(ISERROR(INDIRECT(ORÇAMENTO.BancoRef)),"(abra o arquivo 'Referência "&amp;Excel_BuiltIn_Database&amp;".xlsm)",IF(OR($C73&lt;&gt;"S",ORÇAMENTO.CodBarra=""),"(Sem Código)",IF(ISERROR(MATCH($AE73,INDIRECT(ORÇAMENTO.BancoRef),0)),"(Código não identificado nas referências)",MATCH($AE73,INDIRECT(ORÇAMENTO.BancoRef),0))))</f>
        <v>(abra o arquivo 'Referência 12-2024.xlsm)</v>
      </c>
      <c r="AG73" s="429">
        <f ca="1">ROUND(IF(DESONERACAO="sim",REFERENCIA.Desonerado,REFERENCIA.NaoDesonerado),2)</f>
        <v>0</v>
      </c>
      <c r="AH73" s="430">
        <f t="shared" ca="1" si="15"/>
        <v>0.31190000000000001</v>
      </c>
      <c r="AJ73" s="432">
        <v>3</v>
      </c>
      <c r="AL73" s="440"/>
      <c r="AM73" s="337">
        <f t="shared" ca="1" si="0"/>
        <v>0</v>
      </c>
      <c r="AN73" s="471">
        <f t="shared" ca="1" si="16"/>
        <v>0</v>
      </c>
    </row>
    <row r="74" spans="1:40" ht="25.5" x14ac:dyDescent="0.2">
      <c r="A74" t="str">
        <f t="shared" si="1"/>
        <v>S</v>
      </c>
      <c r="B74">
        <f t="shared" ca="1" si="2"/>
        <v>2</v>
      </c>
      <c r="C74" t="str">
        <f t="shared" ca="1" si="3"/>
        <v>S</v>
      </c>
      <c r="D74">
        <f t="shared" ca="1" si="4"/>
        <v>0</v>
      </c>
      <c r="E74">
        <f ca="1">IF($C74=1,OFFSET(E74,-1,0)+MAX(1,COUNTIF(QCI!$A$13:$A$24,OFFSET(ORÇAMENTO!E74,-1,0))),OFFSET(E74,-1,0))</f>
        <v>1</v>
      </c>
      <c r="F74">
        <f t="shared" ca="1" si="5"/>
        <v>9</v>
      </c>
      <c r="G74">
        <f t="shared" ca="1" si="6"/>
        <v>0</v>
      </c>
      <c r="H74">
        <f t="shared" ca="1" si="7"/>
        <v>0</v>
      </c>
      <c r="I74">
        <f t="shared" ca="1" si="8"/>
        <v>0</v>
      </c>
      <c r="J74">
        <f t="shared" ca="1" si="17"/>
        <v>0</v>
      </c>
      <c r="K74">
        <f ca="1">IF(OR($C74="S",$C74=0),0,MATCH(OFFSET($D74,0,$C74)+IF($C74&lt;&gt;1,1,COUNTIF(QCI!$A$13:$A$24,ORÇAMENTO!E74)),OFFSET($D74,1,$C74,ROW($C$405)-ROW($C74)),0))</f>
        <v>0</v>
      </c>
      <c r="L74" s="115" t="str">
        <f t="shared" ca="1" si="10"/>
        <v/>
      </c>
      <c r="M74" s="116" t="s">
        <v>706</v>
      </c>
      <c r="N74" s="117" t="str">
        <f t="shared" ca="1" si="11"/>
        <v>Serviço</v>
      </c>
      <c r="O74" s="118" t="str">
        <f t="shared" ca="1" si="12"/>
        <v>-</v>
      </c>
      <c r="P74" s="119" t="s">
        <v>751</v>
      </c>
      <c r="Q74" s="120" t="s">
        <v>992</v>
      </c>
      <c r="R74" s="121" t="s">
        <v>1368</v>
      </c>
      <c r="S74" s="122" t="s">
        <v>639</v>
      </c>
      <c r="T74" s="123">
        <f ca="1">OFFSET(CÁLCULO!H$15,ROW($T74)-ROW(T$15),0)</f>
        <v>25</v>
      </c>
      <c r="U74" s="124"/>
      <c r="V74" s="125" t="s">
        <v>663</v>
      </c>
      <c r="W74" s="123">
        <f ca="1">IF($C74="S",ROUND(IF(TIPOORCAMENTO="Proposto",ORÇAMENTO.CustoUnitario*(1+$AH74),ORÇAMENTO.PrecoUnitarioLicitado),15-13*$AF$10),0)</f>
        <v>0</v>
      </c>
      <c r="X74" s="126" cm="1">
        <f t="array" aca="1" ref="X74" ca="1">IF($C74="S",IF(OR(Import.TipoArredondamento&lt;&gt;"TransfereGOV",ACOMPANHAMENTO="BM"),VTOTAL1,SUM(OFFSET(CÁLCULO!$AA$15,ROW($X74)-ROW($X$15),1):OFFSET(CÁLCULO!$AL$15,ROW($X74)-ROW($X$15),-1))),IF($C74=0,0,ROUND(SomaAgrup,15-13*$AF$11)))</f>
        <v>0</v>
      </c>
      <c r="Y74" s="127" t="s">
        <v>752</v>
      </c>
      <c r="Z74" t="str">
        <f t="shared" ca="1" si="13"/>
        <v/>
      </c>
      <c r="AA74" s="128">
        <f ca="1">IF($C74="S",IF($Z74="CP",$X74,IF($Z74="RA",(($X74)*QCI!$AA$3),0)),SomaAgrup)</f>
        <v>0</v>
      </c>
      <c r="AB74" s="129">
        <f t="shared" ca="1" si="14"/>
        <v>0</v>
      </c>
      <c r="AC74" s="567" t="str">
        <f ca="1">IF($N74=""," ",
IF(AND($C74&lt;&gt;"S",OR($R74="",$R74="(digite a descrição aqui)")),"DESCRIÇÃO",
IF(AND($C74="S",OR($Q74&lt;&gt;0,$T74&gt;0,$U74&gt;0),$P74=0),"FONTE",
IF(AND($C74="S",$P74&lt;&gt;0,OR($T74&gt;0,$U74&gt;0),$Q74=0),"CÓDIGO",
IF(AND($C74="S",$P74&lt;&gt;0,$Q74&lt;&gt;0,$R74="(Código não identificado nas referências)"),"CÓDIGO N/ID",
IF(AND($C74="S",OR($R74="",$R74="(digite a descrição aqui)"),OR($Q74&lt;&gt;0,$T74&gt;0,$U74&gt;0)),"DESCRIÇÃO",
IF(AND($C74="S",$P74&lt;&gt;0,$Q74&lt;&gt;0,$S74=""),"UNIDADE",
IF(AND($C74="S",$P74&lt;&gt;0,$Q74&lt;&gt;0,$U74=0),"SEM CUSTO",
IF(AND(TIPOORCAMENTO="Licitado",$AL74=0,$AN74&gt;0),"SEM PREÇO",
IF(AND($C74="S",$P74&lt;&gt;0,$Q74&lt;&gt;0,$U74&gt;0,$V74=0),"BDI",
IF(OR(AND(TIPOORCAMENTO="Proposto",$AG74&lt;&gt;"",$AG74&gt;0,ORÇAMENTO.CustoUnitario&gt;$AG74),AND(TIPOORCAMENTO="LICITADO",ORÇAMENTO.PrecoUnitarioLicitado&gt;$AN74)),"ACIMA REF.",
IF(AND($C74="S",$P74&lt;&gt;0,$Q74&lt;&gt;0,$T74=0,$U74&gt;0),"QUANT.",
IF(AND(Import.TipoArredondamento="TransfereGOV",$L74="F",$C74="S",LEN($Q74)&gt;13),"Código &gt;13",
IF(AND(Import.TipoArredondamento="TransfereGOV",$L74="F",$C74&lt;&gt;"S",LEN($R74)&gt;100),"Descrição &gt;100",
IF(AND(Import.TipoArredondamento="TransfereGOV",$L74="F",$C74="S",LEN($R74)&gt;500),"Descrição &gt;500",
IF(AND(Import.TipoArredondamento="TransfereGOV",$L74="F",$C74="S",LEFT(TRIM(UPPER($P74)),6)&lt;&gt;"SINAPI",ISNA(VLOOKUP(TRIM(UPPER($S74)),ListaTgov.Unidades,1,FALSE))),"Unid. Não Disp",
" "))))))))))))))))</f>
        <v>SEM CUSTO</v>
      </c>
      <c r="AD74" t="str">
        <f ca="1">IF(C74&lt;=CRONO.NivelExibicao,MAX($AD$15:OFFSET(AD74,-1,0))+IF($C74&lt;&gt;1,1,MAX(1,COUNTIF(QCI!$A$13:$A$24,OFFSET($E74,-1,0)))),"")</f>
        <v/>
      </c>
      <c r="AE74" s="7" t="str">
        <f ca="1">IF(AND($C74="S",ORÇAMENTO.CodBarra&lt;&gt;""),IF(ORÇAMENTO.Fonte="",ORÇAMENTO.CodBarra,CONCATENATE(ORÇAMENTO.Fonte," ",ORÇAMENTO.CodBarra)))</f>
        <v>SINAPI 93653</v>
      </c>
      <c r="AF74" s="12" t="str">
        <f ca="1">IF(ISERROR(INDIRECT(ORÇAMENTO.BancoRef)),"(abra o arquivo 'Referência "&amp;Excel_BuiltIn_Database&amp;".xlsm)",IF(OR($C74&lt;&gt;"S",ORÇAMENTO.CodBarra=""),"(Sem Código)",IF(ISERROR(MATCH($AE74,INDIRECT(ORÇAMENTO.BancoRef),0)),"(Código não identificado nas referências)",MATCH($AE74,INDIRECT(ORÇAMENTO.BancoRef),0))))</f>
        <v>(abra o arquivo 'Referência 12-2024.xlsm)</v>
      </c>
      <c r="AG74" s="429">
        <f ca="1">ROUND(IF(DESONERACAO="sim",REFERENCIA.Desonerado,REFERENCIA.NaoDesonerado),2)</f>
        <v>0</v>
      </c>
      <c r="AH74" s="430">
        <f t="shared" ca="1" si="15"/>
        <v>0.31190000000000001</v>
      </c>
      <c r="AJ74" s="432">
        <v>25</v>
      </c>
      <c r="AL74" s="440"/>
      <c r="AM74" s="337">
        <f t="shared" ca="1" si="0"/>
        <v>0</v>
      </c>
      <c r="AN74" s="471">
        <f t="shared" ca="1" si="16"/>
        <v>0</v>
      </c>
    </row>
    <row r="75" spans="1:40" ht="25.5" x14ac:dyDescent="0.2">
      <c r="A75" t="str">
        <f t="shared" si="1"/>
        <v>S</v>
      </c>
      <c r="B75">
        <f t="shared" ca="1" si="2"/>
        <v>2</v>
      </c>
      <c r="C75" t="str">
        <f t="shared" ca="1" si="3"/>
        <v>S</v>
      </c>
      <c r="D75">
        <f t="shared" ca="1" si="4"/>
        <v>0</v>
      </c>
      <c r="E75">
        <f ca="1">IF($C75=1,OFFSET(E75,-1,0)+MAX(1,COUNTIF(QCI!$A$13:$A$24,OFFSET(ORÇAMENTO!E75,-1,0))),OFFSET(E75,-1,0))</f>
        <v>1</v>
      </c>
      <c r="F75">
        <f t="shared" ca="1" si="5"/>
        <v>9</v>
      </c>
      <c r="G75">
        <f t="shared" ca="1" si="6"/>
        <v>0</v>
      </c>
      <c r="H75">
        <f t="shared" ca="1" si="7"/>
        <v>0</v>
      </c>
      <c r="I75">
        <f t="shared" ca="1" si="8"/>
        <v>0</v>
      </c>
      <c r="J75">
        <f t="shared" ca="1" si="17"/>
        <v>0</v>
      </c>
      <c r="K75">
        <f ca="1">IF(OR($C75="S",$C75=0),0,MATCH(OFFSET($D75,0,$C75)+IF($C75&lt;&gt;1,1,COUNTIF(QCI!$A$13:$A$24,ORÇAMENTO!E75)),OFFSET($D75,1,$C75,ROW($C$405)-ROW($C75)),0))</f>
        <v>0</v>
      </c>
      <c r="L75" s="115" t="str">
        <f t="shared" ca="1" si="10"/>
        <v/>
      </c>
      <c r="M75" s="116" t="s">
        <v>706</v>
      </c>
      <c r="N75" s="117" t="str">
        <f t="shared" ca="1" si="11"/>
        <v>Serviço</v>
      </c>
      <c r="O75" s="118" t="str">
        <f t="shared" ca="1" si="12"/>
        <v>-</v>
      </c>
      <c r="P75" s="119" t="s">
        <v>751</v>
      </c>
      <c r="Q75" s="120" t="s">
        <v>993</v>
      </c>
      <c r="R75" s="121" t="s">
        <v>1369</v>
      </c>
      <c r="S75" s="122" t="s">
        <v>639</v>
      </c>
      <c r="T75" s="123">
        <f ca="1">OFFSET(CÁLCULO!H$15,ROW($T75)-ROW(T$15),0)</f>
        <v>19</v>
      </c>
      <c r="U75" s="124"/>
      <c r="V75" s="125" t="s">
        <v>663</v>
      </c>
      <c r="W75" s="123">
        <f ca="1">IF($C75="S",ROUND(IF(TIPOORCAMENTO="Proposto",ORÇAMENTO.CustoUnitario*(1+$AH75),ORÇAMENTO.PrecoUnitarioLicitado),15-13*$AF$10),0)</f>
        <v>0</v>
      </c>
      <c r="X75" s="126" cm="1">
        <f t="array" aca="1" ref="X75" ca="1">IF($C75="S",IF(OR(Import.TipoArredondamento&lt;&gt;"TransfereGOV",ACOMPANHAMENTO="BM"),VTOTAL1,SUM(OFFSET(CÁLCULO!$AA$15,ROW($X75)-ROW($X$15),1):OFFSET(CÁLCULO!$AL$15,ROW($X75)-ROW($X$15),-1))),IF($C75=0,0,ROUND(SomaAgrup,15-13*$AF$11)))</f>
        <v>0</v>
      </c>
      <c r="Y75" s="127" t="s">
        <v>752</v>
      </c>
      <c r="Z75" t="str">
        <f t="shared" ca="1" si="13"/>
        <v/>
      </c>
      <c r="AA75" s="128">
        <f ca="1">IF($C75="S",IF($Z75="CP",$X75,IF($Z75="RA",(($X75)*QCI!$AA$3),0)),SomaAgrup)</f>
        <v>0</v>
      </c>
      <c r="AB75" s="129">
        <f t="shared" ca="1" si="14"/>
        <v>0</v>
      </c>
      <c r="AC75" s="567" t="str">
        <f ca="1">IF($N75=""," ",
IF(AND($C75&lt;&gt;"S",OR($R75="",$R75="(digite a descrição aqui)")),"DESCRIÇÃO",
IF(AND($C75="S",OR($Q75&lt;&gt;0,$T75&gt;0,$U75&gt;0),$P75=0),"FONTE",
IF(AND($C75="S",$P75&lt;&gt;0,OR($T75&gt;0,$U75&gt;0),$Q75=0),"CÓDIGO",
IF(AND($C75="S",$P75&lt;&gt;0,$Q75&lt;&gt;0,$R75="(Código não identificado nas referências)"),"CÓDIGO N/ID",
IF(AND($C75="S",OR($R75="",$R75="(digite a descrição aqui)"),OR($Q75&lt;&gt;0,$T75&gt;0,$U75&gt;0)),"DESCRIÇÃO",
IF(AND($C75="S",$P75&lt;&gt;0,$Q75&lt;&gt;0,$S75=""),"UNIDADE",
IF(AND($C75="S",$P75&lt;&gt;0,$Q75&lt;&gt;0,$U75=0),"SEM CUSTO",
IF(AND(TIPOORCAMENTO="Licitado",$AL75=0,$AN75&gt;0),"SEM PREÇO",
IF(AND($C75="S",$P75&lt;&gt;0,$Q75&lt;&gt;0,$U75&gt;0,$V75=0),"BDI",
IF(OR(AND(TIPOORCAMENTO="Proposto",$AG75&lt;&gt;"",$AG75&gt;0,ORÇAMENTO.CustoUnitario&gt;$AG75),AND(TIPOORCAMENTO="LICITADO",ORÇAMENTO.PrecoUnitarioLicitado&gt;$AN75)),"ACIMA REF.",
IF(AND($C75="S",$P75&lt;&gt;0,$Q75&lt;&gt;0,$T75=0,$U75&gt;0),"QUANT.",
IF(AND(Import.TipoArredondamento="TransfereGOV",$L75="F",$C75="S",LEN($Q75)&gt;13),"Código &gt;13",
IF(AND(Import.TipoArredondamento="TransfereGOV",$L75="F",$C75&lt;&gt;"S",LEN($R75)&gt;100),"Descrição &gt;100",
IF(AND(Import.TipoArredondamento="TransfereGOV",$L75="F",$C75="S",LEN($R75)&gt;500),"Descrição &gt;500",
IF(AND(Import.TipoArredondamento="TransfereGOV",$L75="F",$C75="S",LEFT(TRIM(UPPER($P75)),6)&lt;&gt;"SINAPI",ISNA(VLOOKUP(TRIM(UPPER($S75)),ListaTgov.Unidades,1,FALSE))),"Unid. Não Disp",
" "))))))))))))))))</f>
        <v>SEM CUSTO</v>
      </c>
      <c r="AD75" t="str">
        <f ca="1">IF(C75&lt;=CRONO.NivelExibicao,MAX($AD$15:OFFSET(AD75,-1,0))+IF($C75&lt;&gt;1,1,MAX(1,COUNTIF(QCI!$A$13:$A$24,OFFSET($E75,-1,0)))),"")</f>
        <v/>
      </c>
      <c r="AE75" s="7" t="str">
        <f ca="1">IF(AND($C75="S",ORÇAMENTO.CodBarra&lt;&gt;""),IF(ORÇAMENTO.Fonte="",ORÇAMENTO.CodBarra,CONCATENATE(ORÇAMENTO.Fonte," ",ORÇAMENTO.CodBarra)))</f>
        <v>SINAPI 93654</v>
      </c>
      <c r="AF75" s="12" t="str">
        <f ca="1">IF(ISERROR(INDIRECT(ORÇAMENTO.BancoRef)),"(abra o arquivo 'Referência "&amp;Excel_BuiltIn_Database&amp;".xlsm)",IF(OR($C75&lt;&gt;"S",ORÇAMENTO.CodBarra=""),"(Sem Código)",IF(ISERROR(MATCH($AE75,INDIRECT(ORÇAMENTO.BancoRef),0)),"(Código não identificado nas referências)",MATCH($AE75,INDIRECT(ORÇAMENTO.BancoRef),0))))</f>
        <v>(abra o arquivo 'Referência 12-2024.xlsm)</v>
      </c>
      <c r="AG75" s="429">
        <f ca="1">ROUND(IF(DESONERACAO="sim",REFERENCIA.Desonerado,REFERENCIA.NaoDesonerado),2)</f>
        <v>0</v>
      </c>
      <c r="AH75" s="430">
        <f t="shared" ca="1" si="15"/>
        <v>0.31190000000000001</v>
      </c>
      <c r="AJ75" s="432">
        <v>19</v>
      </c>
      <c r="AL75" s="440"/>
      <c r="AM75" s="337">
        <f t="shared" ca="1" si="0"/>
        <v>0</v>
      </c>
      <c r="AN75" s="471">
        <f t="shared" ca="1" si="16"/>
        <v>0</v>
      </c>
    </row>
    <row r="76" spans="1:40" ht="25.5" x14ac:dyDescent="0.2">
      <c r="A76" t="str">
        <f t="shared" si="1"/>
        <v>S</v>
      </c>
      <c r="B76">
        <f t="shared" ca="1" si="2"/>
        <v>2</v>
      </c>
      <c r="C76" t="str">
        <f t="shared" ca="1" si="3"/>
        <v>S</v>
      </c>
      <c r="D76">
        <f t="shared" ca="1" si="4"/>
        <v>0</v>
      </c>
      <c r="E76">
        <f ca="1">IF($C76=1,OFFSET(E76,-1,0)+MAX(1,COUNTIF(QCI!$A$13:$A$24,OFFSET(ORÇAMENTO!E76,-1,0))),OFFSET(E76,-1,0))</f>
        <v>1</v>
      </c>
      <c r="F76">
        <f t="shared" ca="1" si="5"/>
        <v>9</v>
      </c>
      <c r="G76">
        <f t="shared" ca="1" si="6"/>
        <v>0</v>
      </c>
      <c r="H76">
        <f t="shared" ca="1" si="7"/>
        <v>0</v>
      </c>
      <c r="I76">
        <f t="shared" ca="1" si="8"/>
        <v>0</v>
      </c>
      <c r="J76">
        <f t="shared" ca="1" si="17"/>
        <v>0</v>
      </c>
      <c r="K76">
        <f ca="1">IF(OR($C76="S",$C76=0),0,MATCH(OFFSET($D76,0,$C76)+IF($C76&lt;&gt;1,1,COUNTIF(QCI!$A$13:$A$24,ORÇAMENTO!E76)),OFFSET($D76,1,$C76,ROW($C$405)-ROW($C76)),0))</f>
        <v>0</v>
      </c>
      <c r="L76" s="115" t="str">
        <f t="shared" ca="1" si="10"/>
        <v/>
      </c>
      <c r="M76" s="116" t="s">
        <v>706</v>
      </c>
      <c r="N76" s="117" t="str">
        <f t="shared" ca="1" si="11"/>
        <v>Serviço</v>
      </c>
      <c r="O76" s="118" t="str">
        <f t="shared" ca="1" si="12"/>
        <v>-</v>
      </c>
      <c r="P76" s="119" t="s">
        <v>751</v>
      </c>
      <c r="Q76" s="120" t="s">
        <v>994</v>
      </c>
      <c r="R76" s="121" t="s">
        <v>1370</v>
      </c>
      <c r="S76" s="122" t="s">
        <v>639</v>
      </c>
      <c r="T76" s="123">
        <f ca="1">OFFSET(CÁLCULO!H$15,ROW($T76)-ROW(T$15),0)</f>
        <v>10</v>
      </c>
      <c r="U76" s="124"/>
      <c r="V76" s="125" t="s">
        <v>663</v>
      </c>
      <c r="W76" s="123">
        <f ca="1">IF($C76="S",ROUND(IF(TIPOORCAMENTO="Proposto",ORÇAMENTO.CustoUnitario*(1+$AH76),ORÇAMENTO.PrecoUnitarioLicitado),15-13*$AF$10),0)</f>
        <v>0</v>
      </c>
      <c r="X76" s="126" cm="1">
        <f t="array" aca="1" ref="X76" ca="1">IF($C76="S",IF(OR(Import.TipoArredondamento&lt;&gt;"TransfereGOV",ACOMPANHAMENTO="BM"),VTOTAL1,SUM(OFFSET(CÁLCULO!$AA$15,ROW($X76)-ROW($X$15),1):OFFSET(CÁLCULO!$AL$15,ROW($X76)-ROW($X$15),-1))),IF($C76=0,0,ROUND(SomaAgrup,15-13*$AF$11)))</f>
        <v>0</v>
      </c>
      <c r="Y76" s="127" t="s">
        <v>752</v>
      </c>
      <c r="Z76" t="str">
        <f t="shared" ca="1" si="13"/>
        <v/>
      </c>
      <c r="AA76" s="128">
        <f ca="1">IF($C76="S",IF($Z76="CP",$X76,IF($Z76="RA",(($X76)*QCI!$AA$3),0)),SomaAgrup)</f>
        <v>0</v>
      </c>
      <c r="AB76" s="129">
        <f t="shared" ca="1" si="14"/>
        <v>0</v>
      </c>
      <c r="AC76" s="567" t="str">
        <f ca="1">IF($N76=""," ",
IF(AND($C76&lt;&gt;"S",OR($R76="",$R76="(digite a descrição aqui)")),"DESCRIÇÃO",
IF(AND($C76="S",OR($Q76&lt;&gt;0,$T76&gt;0,$U76&gt;0),$P76=0),"FONTE",
IF(AND($C76="S",$P76&lt;&gt;0,OR($T76&gt;0,$U76&gt;0),$Q76=0),"CÓDIGO",
IF(AND($C76="S",$P76&lt;&gt;0,$Q76&lt;&gt;0,$R76="(Código não identificado nas referências)"),"CÓDIGO N/ID",
IF(AND($C76="S",OR($R76="",$R76="(digite a descrição aqui)"),OR($Q76&lt;&gt;0,$T76&gt;0,$U76&gt;0)),"DESCRIÇÃO",
IF(AND($C76="S",$P76&lt;&gt;0,$Q76&lt;&gt;0,$S76=""),"UNIDADE",
IF(AND($C76="S",$P76&lt;&gt;0,$Q76&lt;&gt;0,$U76=0),"SEM CUSTO",
IF(AND(TIPOORCAMENTO="Licitado",$AL76=0,$AN76&gt;0),"SEM PREÇO",
IF(AND($C76="S",$P76&lt;&gt;0,$Q76&lt;&gt;0,$U76&gt;0,$V76=0),"BDI",
IF(OR(AND(TIPOORCAMENTO="Proposto",$AG76&lt;&gt;"",$AG76&gt;0,ORÇAMENTO.CustoUnitario&gt;$AG76),AND(TIPOORCAMENTO="LICITADO",ORÇAMENTO.PrecoUnitarioLicitado&gt;$AN76)),"ACIMA REF.",
IF(AND($C76="S",$P76&lt;&gt;0,$Q76&lt;&gt;0,$T76=0,$U76&gt;0),"QUANT.",
IF(AND(Import.TipoArredondamento="TransfereGOV",$L76="F",$C76="S",LEN($Q76)&gt;13),"Código &gt;13",
IF(AND(Import.TipoArredondamento="TransfereGOV",$L76="F",$C76&lt;&gt;"S",LEN($R76)&gt;100),"Descrição &gt;100",
IF(AND(Import.TipoArredondamento="TransfereGOV",$L76="F",$C76="S",LEN($R76)&gt;500),"Descrição &gt;500",
IF(AND(Import.TipoArredondamento="TransfereGOV",$L76="F",$C76="S",LEFT(TRIM(UPPER($P76)),6)&lt;&gt;"SINAPI",ISNA(VLOOKUP(TRIM(UPPER($S76)),ListaTgov.Unidades,1,FALSE))),"Unid. Não Disp",
" "))))))))))))))))</f>
        <v>SEM CUSTO</v>
      </c>
      <c r="AD76" t="str">
        <f ca="1">IF(C76&lt;=CRONO.NivelExibicao,MAX($AD$15:OFFSET(AD76,-1,0))+IF($C76&lt;&gt;1,1,MAX(1,COUNTIF(QCI!$A$13:$A$24,OFFSET($E76,-1,0)))),"")</f>
        <v/>
      </c>
      <c r="AE76" s="7" t="str">
        <f ca="1">IF(AND($C76="S",ORÇAMENTO.CodBarra&lt;&gt;""),IF(ORÇAMENTO.Fonte="",ORÇAMENTO.CodBarra,CONCATENATE(ORÇAMENTO.Fonte," ",ORÇAMENTO.CodBarra)))</f>
        <v>SINAPI 93656</v>
      </c>
      <c r="AF76" s="12" t="str">
        <f ca="1">IF(ISERROR(INDIRECT(ORÇAMENTO.BancoRef)),"(abra o arquivo 'Referência "&amp;Excel_BuiltIn_Database&amp;".xlsm)",IF(OR($C76&lt;&gt;"S",ORÇAMENTO.CodBarra=""),"(Sem Código)",IF(ISERROR(MATCH($AE76,INDIRECT(ORÇAMENTO.BancoRef),0)),"(Código não identificado nas referências)",MATCH($AE76,INDIRECT(ORÇAMENTO.BancoRef),0))))</f>
        <v>(abra o arquivo 'Referência 12-2024.xlsm)</v>
      </c>
      <c r="AG76" s="429">
        <f ca="1">ROUND(IF(DESONERACAO="sim",REFERENCIA.Desonerado,REFERENCIA.NaoDesonerado),2)</f>
        <v>0</v>
      </c>
      <c r="AH76" s="430">
        <f t="shared" ca="1" si="15"/>
        <v>0.31190000000000001</v>
      </c>
      <c r="AJ76" s="432">
        <v>10</v>
      </c>
      <c r="AL76" s="440"/>
      <c r="AM76" s="337">
        <f t="shared" ca="1" si="0"/>
        <v>0</v>
      </c>
      <c r="AN76" s="471">
        <f t="shared" ca="1" si="16"/>
        <v>0</v>
      </c>
    </row>
    <row r="77" spans="1:40" ht="25.5" x14ac:dyDescent="0.2">
      <c r="A77" t="str">
        <f t="shared" si="1"/>
        <v>S</v>
      </c>
      <c r="B77">
        <f t="shared" ca="1" si="2"/>
        <v>2</v>
      </c>
      <c r="C77" t="str">
        <f t="shared" ca="1" si="3"/>
        <v>S</v>
      </c>
      <c r="D77">
        <f t="shared" ca="1" si="4"/>
        <v>0</v>
      </c>
      <c r="E77">
        <f ca="1">IF($C77=1,OFFSET(E77,-1,0)+MAX(1,COUNTIF(QCI!$A$13:$A$24,OFFSET(ORÇAMENTO!E77,-1,0))),OFFSET(E77,-1,0))</f>
        <v>1</v>
      </c>
      <c r="F77">
        <f t="shared" ca="1" si="5"/>
        <v>9</v>
      </c>
      <c r="G77">
        <f t="shared" ca="1" si="6"/>
        <v>0</v>
      </c>
      <c r="H77">
        <f t="shared" ca="1" si="7"/>
        <v>0</v>
      </c>
      <c r="I77">
        <f t="shared" ca="1" si="8"/>
        <v>0</v>
      </c>
      <c r="J77">
        <f t="shared" ca="1" si="17"/>
        <v>0</v>
      </c>
      <c r="K77">
        <f ca="1">IF(OR($C77="S",$C77=0),0,MATCH(OFFSET($D77,0,$C77)+IF($C77&lt;&gt;1,1,COUNTIF(QCI!$A$13:$A$24,ORÇAMENTO!E77)),OFFSET($D77,1,$C77,ROW($C$405)-ROW($C77)),0))</f>
        <v>0</v>
      </c>
      <c r="L77" s="115" t="str">
        <f t="shared" ca="1" si="10"/>
        <v/>
      </c>
      <c r="M77" s="116" t="s">
        <v>706</v>
      </c>
      <c r="N77" s="117" t="str">
        <f t="shared" ca="1" si="11"/>
        <v>Serviço</v>
      </c>
      <c r="O77" s="118" t="str">
        <f t="shared" ca="1" si="12"/>
        <v>-</v>
      </c>
      <c r="P77" s="119" t="s">
        <v>751</v>
      </c>
      <c r="Q77" s="120" t="s">
        <v>995</v>
      </c>
      <c r="R77" s="121" t="s">
        <v>1371</v>
      </c>
      <c r="S77" s="122" t="s">
        <v>639</v>
      </c>
      <c r="T77" s="123">
        <f ca="1">OFFSET(CÁLCULO!H$15,ROW($T77)-ROW(T$15),0)</f>
        <v>2</v>
      </c>
      <c r="U77" s="124"/>
      <c r="V77" s="125" t="s">
        <v>663</v>
      </c>
      <c r="W77" s="123">
        <f ca="1">IF($C77="S",ROUND(IF(TIPOORCAMENTO="Proposto",ORÇAMENTO.CustoUnitario*(1+$AH77),ORÇAMENTO.PrecoUnitarioLicitado),15-13*$AF$10),0)</f>
        <v>0</v>
      </c>
      <c r="X77" s="126" cm="1">
        <f t="array" aca="1" ref="X77" ca="1">IF($C77="S",IF(OR(Import.TipoArredondamento&lt;&gt;"TransfereGOV",ACOMPANHAMENTO="BM"),VTOTAL1,SUM(OFFSET(CÁLCULO!$AA$15,ROW($X77)-ROW($X$15),1):OFFSET(CÁLCULO!$AL$15,ROW($X77)-ROW($X$15),-1))),IF($C77=0,0,ROUND(SomaAgrup,15-13*$AF$11)))</f>
        <v>0</v>
      </c>
      <c r="Y77" s="127" t="s">
        <v>752</v>
      </c>
      <c r="Z77" t="str">
        <f t="shared" ca="1" si="13"/>
        <v/>
      </c>
      <c r="AA77" s="128">
        <f ca="1">IF($C77="S",IF($Z77="CP",$X77,IF($Z77="RA",(($X77)*QCI!$AA$3),0)),SomaAgrup)</f>
        <v>0</v>
      </c>
      <c r="AB77" s="129">
        <f t="shared" ca="1" si="14"/>
        <v>0</v>
      </c>
      <c r="AC77" s="567" t="str">
        <f ca="1">IF($N77=""," ",
IF(AND($C77&lt;&gt;"S",OR($R77="",$R77="(digite a descrição aqui)")),"DESCRIÇÃO",
IF(AND($C77="S",OR($Q77&lt;&gt;0,$T77&gt;0,$U77&gt;0),$P77=0),"FONTE",
IF(AND($C77="S",$P77&lt;&gt;0,OR($T77&gt;0,$U77&gt;0),$Q77=0),"CÓDIGO",
IF(AND($C77="S",$P77&lt;&gt;0,$Q77&lt;&gt;0,$R77="(Código não identificado nas referências)"),"CÓDIGO N/ID",
IF(AND($C77="S",OR($R77="",$R77="(digite a descrição aqui)"),OR($Q77&lt;&gt;0,$T77&gt;0,$U77&gt;0)),"DESCRIÇÃO",
IF(AND($C77="S",$P77&lt;&gt;0,$Q77&lt;&gt;0,$S77=""),"UNIDADE",
IF(AND($C77="S",$P77&lt;&gt;0,$Q77&lt;&gt;0,$U77=0),"SEM CUSTO",
IF(AND(TIPOORCAMENTO="Licitado",$AL77=0,$AN77&gt;0),"SEM PREÇO",
IF(AND($C77="S",$P77&lt;&gt;0,$Q77&lt;&gt;0,$U77&gt;0,$V77=0),"BDI",
IF(OR(AND(TIPOORCAMENTO="Proposto",$AG77&lt;&gt;"",$AG77&gt;0,ORÇAMENTO.CustoUnitario&gt;$AG77),AND(TIPOORCAMENTO="LICITADO",ORÇAMENTO.PrecoUnitarioLicitado&gt;$AN77)),"ACIMA REF.",
IF(AND($C77="S",$P77&lt;&gt;0,$Q77&lt;&gt;0,$T77=0,$U77&gt;0),"QUANT.",
IF(AND(Import.TipoArredondamento="TransfereGOV",$L77="F",$C77="S",LEN($Q77)&gt;13),"Código &gt;13",
IF(AND(Import.TipoArredondamento="TransfereGOV",$L77="F",$C77&lt;&gt;"S",LEN($R77)&gt;100),"Descrição &gt;100",
IF(AND(Import.TipoArredondamento="TransfereGOV",$L77="F",$C77="S",LEN($R77)&gt;500),"Descrição &gt;500",
IF(AND(Import.TipoArredondamento="TransfereGOV",$L77="F",$C77="S",LEFT(TRIM(UPPER($P77)),6)&lt;&gt;"SINAPI",ISNA(VLOOKUP(TRIM(UPPER($S77)),ListaTgov.Unidades,1,FALSE))),"Unid. Não Disp",
" "))))))))))))))))</f>
        <v>SEM CUSTO</v>
      </c>
      <c r="AD77" t="str">
        <f ca="1">IF(C77&lt;=CRONO.NivelExibicao,MAX($AD$15:OFFSET(AD77,-1,0))+IF($C77&lt;&gt;1,1,MAX(1,COUNTIF(QCI!$A$13:$A$24,OFFSET($E77,-1,0)))),"")</f>
        <v/>
      </c>
      <c r="AE77" s="7" t="str">
        <f ca="1">IF(AND($C77="S",ORÇAMENTO.CodBarra&lt;&gt;""),IF(ORÇAMENTO.Fonte="",ORÇAMENTO.CodBarra,CONCATENATE(ORÇAMENTO.Fonte," ",ORÇAMENTO.CodBarra)))</f>
        <v>SINAPI 93657</v>
      </c>
      <c r="AF77" s="12" t="str">
        <f ca="1">IF(ISERROR(INDIRECT(ORÇAMENTO.BancoRef)),"(abra o arquivo 'Referência "&amp;Excel_BuiltIn_Database&amp;".xlsm)",IF(OR($C77&lt;&gt;"S",ORÇAMENTO.CodBarra=""),"(Sem Código)",IF(ISERROR(MATCH($AE77,INDIRECT(ORÇAMENTO.BancoRef),0)),"(Código não identificado nas referências)",MATCH($AE77,INDIRECT(ORÇAMENTO.BancoRef),0))))</f>
        <v>(abra o arquivo 'Referência 12-2024.xlsm)</v>
      </c>
      <c r="AG77" s="429">
        <f ca="1">ROUND(IF(DESONERACAO="sim",REFERENCIA.Desonerado,REFERENCIA.NaoDesonerado),2)</f>
        <v>0</v>
      </c>
      <c r="AH77" s="430">
        <f t="shared" ca="1" si="15"/>
        <v>0.31190000000000001</v>
      </c>
      <c r="AJ77" s="432">
        <v>2</v>
      </c>
      <c r="AL77" s="440"/>
      <c r="AM77" s="337">
        <f t="shared" ca="1" si="0"/>
        <v>0</v>
      </c>
      <c r="AN77" s="471">
        <f t="shared" ca="1" si="16"/>
        <v>0</v>
      </c>
    </row>
    <row r="78" spans="1:40" ht="25.5" x14ac:dyDescent="0.2">
      <c r="A78" t="str">
        <f t="shared" si="1"/>
        <v>S</v>
      </c>
      <c r="B78">
        <f t="shared" ca="1" si="2"/>
        <v>2</v>
      </c>
      <c r="C78" t="str">
        <f t="shared" ca="1" si="3"/>
        <v>S</v>
      </c>
      <c r="D78">
        <f t="shared" ca="1" si="4"/>
        <v>0</v>
      </c>
      <c r="E78">
        <f ca="1">IF($C78=1,OFFSET(E78,-1,0)+MAX(1,COUNTIF(QCI!$A$13:$A$24,OFFSET(ORÇAMENTO!E78,-1,0))),OFFSET(E78,-1,0))</f>
        <v>1</v>
      </c>
      <c r="F78">
        <f t="shared" ca="1" si="5"/>
        <v>9</v>
      </c>
      <c r="G78">
        <f t="shared" ca="1" si="6"/>
        <v>0</v>
      </c>
      <c r="H78">
        <f t="shared" ca="1" si="7"/>
        <v>0</v>
      </c>
      <c r="I78">
        <f t="shared" ca="1" si="8"/>
        <v>0</v>
      </c>
      <c r="J78">
        <f t="shared" ca="1" si="17"/>
        <v>0</v>
      </c>
      <c r="K78">
        <f ca="1">IF(OR($C78="S",$C78=0),0,MATCH(OFFSET($D78,0,$C78)+IF($C78&lt;&gt;1,1,COUNTIF(QCI!$A$13:$A$24,ORÇAMENTO!E78)),OFFSET($D78,1,$C78,ROW($C$405)-ROW($C78)),0))</f>
        <v>0</v>
      </c>
      <c r="L78" s="115" t="str">
        <f t="shared" ca="1" si="10"/>
        <v/>
      </c>
      <c r="M78" s="116" t="s">
        <v>706</v>
      </c>
      <c r="N78" s="117" t="str">
        <f t="shared" ca="1" si="11"/>
        <v>Serviço</v>
      </c>
      <c r="O78" s="118" t="str">
        <f t="shared" ca="1" si="12"/>
        <v>-</v>
      </c>
      <c r="P78" s="119" t="s">
        <v>1315</v>
      </c>
      <c r="Q78" s="120" t="s">
        <v>996</v>
      </c>
      <c r="R78" s="121" t="s">
        <v>1372</v>
      </c>
      <c r="S78" s="122" t="s">
        <v>1644</v>
      </c>
      <c r="T78" s="123">
        <f ca="1">OFFSET(CÁLCULO!H$15,ROW($T78)-ROW(T$15),0)</f>
        <v>1</v>
      </c>
      <c r="U78" s="124"/>
      <c r="V78" s="125" t="s">
        <v>663</v>
      </c>
      <c r="W78" s="123">
        <f ca="1">IF($C78="S",ROUND(IF(TIPOORCAMENTO="Proposto",ORÇAMENTO.CustoUnitario*(1+$AH78),ORÇAMENTO.PrecoUnitarioLicitado),15-13*$AF$10),0)</f>
        <v>0</v>
      </c>
      <c r="X78" s="126" cm="1">
        <f t="array" aca="1" ref="X78" ca="1">IF($C78="S",IF(OR(Import.TipoArredondamento&lt;&gt;"TransfereGOV",ACOMPANHAMENTO="BM"),VTOTAL1,SUM(OFFSET(CÁLCULO!$AA$15,ROW($X78)-ROW($X$15),1):OFFSET(CÁLCULO!$AL$15,ROW($X78)-ROW($X$15),-1))),IF($C78=0,0,ROUND(SomaAgrup,15-13*$AF$11)))</f>
        <v>0</v>
      </c>
      <c r="Y78" s="127" t="s">
        <v>752</v>
      </c>
      <c r="Z78" t="str">
        <f t="shared" ca="1" si="13"/>
        <v/>
      </c>
      <c r="AA78" s="128">
        <f ca="1">IF($C78="S",IF($Z78="CP",$X78,IF($Z78="RA",(($X78)*QCI!$AA$3),0)),SomaAgrup)</f>
        <v>0</v>
      </c>
      <c r="AB78" s="129">
        <f t="shared" ca="1" si="14"/>
        <v>0</v>
      </c>
      <c r="AC78" s="567" t="str">
        <f ca="1">IF($N78=""," ",
IF(AND($C78&lt;&gt;"S",OR($R78="",$R78="(digite a descrição aqui)")),"DESCRIÇÃO",
IF(AND($C78="S",OR($Q78&lt;&gt;0,$T78&gt;0,$U78&gt;0),$P78=0),"FONTE",
IF(AND($C78="S",$P78&lt;&gt;0,OR($T78&gt;0,$U78&gt;0),$Q78=0),"CÓDIGO",
IF(AND($C78="S",$P78&lt;&gt;0,$Q78&lt;&gt;0,$R78="(Código não identificado nas referências)"),"CÓDIGO N/ID",
IF(AND($C78="S",OR($R78="",$R78="(digite a descrição aqui)"),OR($Q78&lt;&gt;0,$T78&gt;0,$U78&gt;0)),"DESCRIÇÃO",
IF(AND($C78="S",$P78&lt;&gt;0,$Q78&lt;&gt;0,$S78=""),"UNIDADE",
IF(AND($C78="S",$P78&lt;&gt;0,$Q78&lt;&gt;0,$U78=0),"SEM CUSTO",
IF(AND(TIPOORCAMENTO="Licitado",$AL78=0,$AN78&gt;0),"SEM PREÇO",
IF(AND($C78="S",$P78&lt;&gt;0,$Q78&lt;&gt;0,$U78&gt;0,$V78=0),"BDI",
IF(OR(AND(TIPOORCAMENTO="Proposto",$AG78&lt;&gt;"",$AG78&gt;0,ORÇAMENTO.CustoUnitario&gt;$AG78),AND(TIPOORCAMENTO="LICITADO",ORÇAMENTO.PrecoUnitarioLicitado&gt;$AN78)),"ACIMA REF.",
IF(AND($C78="S",$P78&lt;&gt;0,$Q78&lt;&gt;0,$T78=0,$U78&gt;0),"QUANT.",
IF(AND(Import.TipoArredondamento="TransfereGOV",$L78="F",$C78="S",LEN($Q78)&gt;13),"Código &gt;13",
IF(AND(Import.TipoArredondamento="TransfereGOV",$L78="F",$C78&lt;&gt;"S",LEN($R78)&gt;100),"Descrição &gt;100",
IF(AND(Import.TipoArredondamento="TransfereGOV",$L78="F",$C78="S",LEN($R78)&gt;500),"Descrição &gt;500",
IF(AND(Import.TipoArredondamento="TransfereGOV",$L78="F",$C78="S",LEFT(TRIM(UPPER($P78)),6)&lt;&gt;"SINAPI",ISNA(VLOOKUP(TRIM(UPPER($S78)),ListaTgov.Unidades,1,FALSE))),"Unid. Não Disp",
" "))))))))))))))))</f>
        <v>SEM CUSTO</v>
      </c>
      <c r="AD78" t="str">
        <f ca="1">IF(C78&lt;=CRONO.NivelExibicao,MAX($AD$15:OFFSET(AD78,-1,0))+IF($C78&lt;&gt;1,1,MAX(1,COUNTIF(QCI!$A$13:$A$24,OFFSET($E78,-1,0)))),"")</f>
        <v/>
      </c>
      <c r="AE78" s="7" t="str">
        <f ca="1">IF(AND($C78="S",ORÇAMENTO.CodBarra&lt;&gt;""),IF(ORÇAMENTO.Fonte="",ORÇAMENTO.CodBarra,CONCATENATE(ORÇAMENTO.Fonte," ",ORÇAMENTO.CodBarra)))</f>
        <v>SINAPI-I 39455</v>
      </c>
      <c r="AF78" s="12" t="str">
        <f ca="1">IF(ISERROR(INDIRECT(ORÇAMENTO.BancoRef)),"(abra o arquivo 'Referência "&amp;Excel_BuiltIn_Database&amp;".xlsm)",IF(OR($C78&lt;&gt;"S",ORÇAMENTO.CodBarra=""),"(Sem Código)",IF(ISERROR(MATCH($AE78,INDIRECT(ORÇAMENTO.BancoRef),0)),"(Código não identificado nas referências)",MATCH($AE78,INDIRECT(ORÇAMENTO.BancoRef),0))))</f>
        <v>(abra o arquivo 'Referência 12-2024.xlsm)</v>
      </c>
      <c r="AG78" s="429">
        <f ca="1">ROUND(IF(DESONERACAO="sim",REFERENCIA.Desonerado,REFERENCIA.NaoDesonerado),2)</f>
        <v>0</v>
      </c>
      <c r="AH78" s="430">
        <f t="shared" ca="1" si="15"/>
        <v>0.31190000000000001</v>
      </c>
      <c r="AJ78" s="432">
        <v>1</v>
      </c>
      <c r="AL78" s="440"/>
      <c r="AM78" s="337">
        <f t="shared" ca="1" si="0"/>
        <v>0</v>
      </c>
      <c r="AN78" s="471">
        <f t="shared" ca="1" si="16"/>
        <v>0</v>
      </c>
    </row>
    <row r="79" spans="1:40" ht="25.5" x14ac:dyDescent="0.2">
      <c r="A79" t="str">
        <f t="shared" ref="A79:A142" si="18">CHOOSE(1+LOG(1+2*(ORÇAMENTO.Nivel="Meta")+4*(ORÇAMENTO.Nivel="Nível 2")+8*(ORÇAMENTO.Nivel="Nível 3")+16*(ORÇAMENTO.Nivel="Nível 4")+32*(ORÇAMENTO.Nivel="Serviço"),2),0,1,2,3,4,"S")</f>
        <v>S</v>
      </c>
      <c r="B79">
        <f t="shared" ref="B79:B142" ca="1" si="19">IF(OR(C79="s",C79=0),OFFSET(B79,-1,0),C79)</f>
        <v>2</v>
      </c>
      <c r="C79" t="str">
        <f t="shared" ref="C79:C142" ca="1" si="20">IF(OFFSET(C79,-1,0)="L",1,IF(OFFSET(C79,-1,0)=1,2,IF(OR(A79="s",A79=0),"S",IF(AND(OFFSET(C79,-1,0)=2,A79=4),3,IF(AND(OR(OFFSET(C79,-1,0)="s",OFFSET(C79,-1,0)=0),A79&lt;&gt;"s",A79&gt;OFFSET(B79,-1,0)),OFFSET(B79,-1,0),A79)))))</f>
        <v>S</v>
      </c>
      <c r="D79">
        <f t="shared" ref="D79:D142" ca="1" si="21">IF(OR(C79="S",C79=0),0,IF(ISERROR(K79),J79,SMALL(J79:K79,1)))</f>
        <v>0</v>
      </c>
      <c r="E79">
        <f ca="1">IF($C79=1,OFFSET(E79,-1,0)+MAX(1,COUNTIF(QCI!$A$13:$A$24,OFFSET(ORÇAMENTO!E79,-1,0))),OFFSET(E79,-1,0))</f>
        <v>1</v>
      </c>
      <c r="F79">
        <f t="shared" ref="F79:F142" ca="1" si="22">IF($C79=1,0,IF($C79=2,OFFSET(F79,-1,0)+1,OFFSET(F79,-1,0)))</f>
        <v>9</v>
      </c>
      <c r="G79">
        <f t="shared" ref="G79:G142" ca="1" si="23">IF(AND($C79&lt;=2,$C79&lt;&gt;0),0,IF($C79=3,OFFSET(G79,-1,0)+1,OFFSET(G79,-1,0)))</f>
        <v>0</v>
      </c>
      <c r="H79">
        <f t="shared" ref="H79:H142" ca="1" si="24">IF(AND($C79&lt;=3,$C79&lt;&gt;0),0,IF($C79=4,OFFSET(H79,-1,0)+1,OFFSET(H79,-1,0)))</f>
        <v>0</v>
      </c>
      <c r="I79">
        <f t="shared" ref="I79:I142" ca="1" si="25">IF(AND($C79&lt;=4,$C79&lt;&gt;0),0,IF(AND($C79="S",$X79&gt;0),OFFSET(I79,-1,0)+1,OFFSET(I79,-1,0)))</f>
        <v>0</v>
      </c>
      <c r="J79">
        <f t="shared" ref="J79:J142" ca="1" si="26">IF(OR($C79="S",$C79=0),0,MATCH(0,OFFSET($D79,1,$C79,ROW($C$405)-ROW($C79)),0))</f>
        <v>0</v>
      </c>
      <c r="K79">
        <f ca="1">IF(OR($C79="S",$C79=0),0,MATCH(OFFSET($D79,0,$C79)+IF($C79&lt;&gt;1,1,COUNTIF(QCI!$A$13:$A$24,ORÇAMENTO!E79)),OFFSET($D79,1,$C79,ROW($C$405)-ROW($C79)),0))</f>
        <v>0</v>
      </c>
      <c r="L79" s="115" t="str">
        <f t="shared" ref="L79:L142" ca="1" si="27">IF(OR($X79&gt;0,$C79=1,$C79=2,$C79=3,$C79=4),"F","")</f>
        <v/>
      </c>
      <c r="M79" s="116" t="s">
        <v>706</v>
      </c>
      <c r="N79" s="117" t="str">
        <f t="shared" ref="N79:N142" ca="1" si="28">CHOOSE(1+LOG(1+2*(C79=1)+4*(C79=2)+8*(C79=3)+16*(C79=4)+32*(C79="S"),2),"","Meta","Nível 2","Nível 3","Nível 4","Serviço")</f>
        <v>Serviço</v>
      </c>
      <c r="O79" s="118" t="str">
        <f t="shared" ref="O79:O142" ca="1" si="29">IF(OR($C79=0,$L79=""),"-",CONCATENATE(E79&amp;".",IF(AND($A$5&gt;=2,$C79&gt;=2),F79&amp;".",""),IF(AND($A$5&gt;=3,$C79&gt;=3),G79&amp;".",""),IF(AND($A$5&gt;=4,$C79&gt;=4),H79&amp;".",""),IF($C79="S",I79&amp;".","")))</f>
        <v>-</v>
      </c>
      <c r="P79" s="119" t="s">
        <v>1315</v>
      </c>
      <c r="Q79" s="120" t="s">
        <v>997</v>
      </c>
      <c r="R79" s="121" t="s">
        <v>1373</v>
      </c>
      <c r="S79" s="122" t="s">
        <v>1644</v>
      </c>
      <c r="T79" s="123">
        <f ca="1">OFFSET(CÁLCULO!H$15,ROW($T79)-ROW(T$15),0)</f>
        <v>25</v>
      </c>
      <c r="U79" s="124"/>
      <c r="V79" s="125" t="s">
        <v>663</v>
      </c>
      <c r="W79" s="123">
        <f ca="1">IF($C79="S",ROUND(IF(TIPOORCAMENTO="Proposto",ORÇAMENTO.CustoUnitario*(1+$AH79),ORÇAMENTO.PrecoUnitarioLicitado),15-13*$AF$10),0)</f>
        <v>0</v>
      </c>
      <c r="X79" s="126" cm="1">
        <f t="array" aca="1" ref="X79" ca="1">IF($C79="S",IF(OR(Import.TipoArredondamento&lt;&gt;"TransfereGOV",ACOMPANHAMENTO="BM"),VTOTAL1,SUM(OFFSET(CÁLCULO!$AA$15,ROW($X79)-ROW($X$15),1):OFFSET(CÁLCULO!$AL$15,ROW($X79)-ROW($X$15),-1))),IF($C79=0,0,ROUND(SomaAgrup,15-13*$AF$11)))</f>
        <v>0</v>
      </c>
      <c r="Y79" s="127" t="s">
        <v>752</v>
      </c>
      <c r="Z79" t="str">
        <f t="shared" ref="Z79:Z142" ca="1" si="30">IF(AND($C79="S",$X79&gt;0),IF(ISBLANK($Y79),"RA",LEFT($Y79,2)),"")</f>
        <v/>
      </c>
      <c r="AA79" s="128">
        <f ca="1">IF($C79="S",IF($Z79="CP",$X79,IF($Z79="RA",(($X79)*QCI!$AA$3),0)),SomaAgrup)</f>
        <v>0</v>
      </c>
      <c r="AB79" s="129">
        <f t="shared" ref="AB79:AB142" ca="1" si="31">IF($C79="S",IF($Z79="OU",ROUND($X79,2),0),SomaAgrup)</f>
        <v>0</v>
      </c>
      <c r="AC79" s="567" t="str">
        <f ca="1">IF($N79=""," ",
IF(AND($C79&lt;&gt;"S",OR($R79="",$R79="(digite a descrição aqui)")),"DESCRIÇÃO",
IF(AND($C79="S",OR($Q79&lt;&gt;0,$T79&gt;0,$U79&gt;0),$P79=0),"FONTE",
IF(AND($C79="S",$P79&lt;&gt;0,OR($T79&gt;0,$U79&gt;0),$Q79=0),"CÓDIGO",
IF(AND($C79="S",$P79&lt;&gt;0,$Q79&lt;&gt;0,$R79="(Código não identificado nas referências)"),"CÓDIGO N/ID",
IF(AND($C79="S",OR($R79="",$R79="(digite a descrição aqui)"),OR($Q79&lt;&gt;0,$T79&gt;0,$U79&gt;0)),"DESCRIÇÃO",
IF(AND($C79="S",$P79&lt;&gt;0,$Q79&lt;&gt;0,$S79=""),"UNIDADE",
IF(AND($C79="S",$P79&lt;&gt;0,$Q79&lt;&gt;0,$U79=0),"SEM CUSTO",
IF(AND(TIPOORCAMENTO="Licitado",$AL79=0,$AN79&gt;0),"SEM PREÇO",
IF(AND($C79="S",$P79&lt;&gt;0,$Q79&lt;&gt;0,$U79&gt;0,$V79=0),"BDI",
IF(OR(AND(TIPOORCAMENTO="Proposto",$AG79&lt;&gt;"",$AG79&gt;0,ORÇAMENTO.CustoUnitario&gt;$AG79),AND(TIPOORCAMENTO="LICITADO",ORÇAMENTO.PrecoUnitarioLicitado&gt;$AN79)),"ACIMA REF.",
IF(AND($C79="S",$P79&lt;&gt;0,$Q79&lt;&gt;0,$T79=0,$U79&gt;0),"QUANT.",
IF(AND(Import.TipoArredondamento="TransfereGOV",$L79="F",$C79="S",LEN($Q79)&gt;13),"Código &gt;13",
IF(AND(Import.TipoArredondamento="TransfereGOV",$L79="F",$C79&lt;&gt;"S",LEN($R79)&gt;100),"Descrição &gt;100",
IF(AND(Import.TipoArredondamento="TransfereGOV",$L79="F",$C79="S",LEN($R79)&gt;500),"Descrição &gt;500",
IF(AND(Import.TipoArredondamento="TransfereGOV",$L79="F",$C79="S",LEFT(TRIM(UPPER($P79)),6)&lt;&gt;"SINAPI",ISNA(VLOOKUP(TRIM(UPPER($S79)),ListaTgov.Unidades,1,FALSE))),"Unid. Não Disp",
" "))))))))))))))))</f>
        <v>SEM CUSTO</v>
      </c>
      <c r="AD79" t="str">
        <f ca="1">IF(C79&lt;=CRONO.NivelExibicao,MAX($AD$15:OFFSET(AD79,-1,0))+IF($C79&lt;&gt;1,1,MAX(1,COUNTIF(QCI!$A$13:$A$24,OFFSET($E79,-1,0)))),"")</f>
        <v/>
      </c>
      <c r="AE79" s="7" t="str">
        <f ca="1">IF(AND($C79="S",ORÇAMENTO.CodBarra&lt;&gt;""),IF(ORÇAMENTO.Fonte="",ORÇAMENTO.CodBarra,CONCATENATE(ORÇAMENTO.Fonte," ",ORÇAMENTO.CodBarra)))</f>
        <v>SINAPI-I 39446</v>
      </c>
      <c r="AF79" s="12" t="str">
        <f ca="1">IF(ISERROR(INDIRECT(ORÇAMENTO.BancoRef)),"(abra o arquivo 'Referência "&amp;Excel_BuiltIn_Database&amp;".xlsm)",IF(OR($C79&lt;&gt;"S",ORÇAMENTO.CodBarra=""),"(Sem Código)",IF(ISERROR(MATCH($AE79,INDIRECT(ORÇAMENTO.BancoRef),0)),"(Código não identificado nas referências)",MATCH($AE79,INDIRECT(ORÇAMENTO.BancoRef),0))))</f>
        <v>(abra o arquivo 'Referência 12-2024.xlsm)</v>
      </c>
      <c r="AG79" s="429">
        <f ca="1">ROUND(IF(DESONERACAO="sim",REFERENCIA.Desonerado,REFERENCIA.NaoDesonerado),2)</f>
        <v>0</v>
      </c>
      <c r="AH79" s="430">
        <f t="shared" ref="AH79:AH142" ca="1" si="32">ROUND(IF(ISNUMBER(ORÇAMENTO.OpcaoBDI),ORÇAMENTO.OpcaoBDI,IF(LEFT(ORÇAMENTO.OpcaoBDI,3)="BDI",HLOOKUP(ORÇAMENTO.OpcaoBDI,$F$4:$H$5,2,FALSE),0)),15-11*$AF$9)</f>
        <v>0.31190000000000001</v>
      </c>
      <c r="AJ79" s="432">
        <v>25</v>
      </c>
      <c r="AL79" s="440"/>
      <c r="AM79" s="337">
        <f t="shared" ca="1" si="0"/>
        <v>0</v>
      </c>
      <c r="AN79" s="471">
        <f t="shared" ref="AN79:AN142" ca="1" si="33">ROUND(ORÇAMENTO.CustoUnitario*(1+$AH79),2)</f>
        <v>0</v>
      </c>
    </row>
    <row r="80" spans="1:40" ht="25.5" x14ac:dyDescent="0.2">
      <c r="A80" t="str">
        <f t="shared" si="18"/>
        <v>S</v>
      </c>
      <c r="B80">
        <f t="shared" ca="1" si="19"/>
        <v>2</v>
      </c>
      <c r="C80" t="str">
        <f t="shared" ca="1" si="20"/>
        <v>S</v>
      </c>
      <c r="D80">
        <f t="shared" ca="1" si="21"/>
        <v>0</v>
      </c>
      <c r="E80">
        <f ca="1">IF($C80=1,OFFSET(E80,-1,0)+MAX(1,COUNTIF(QCI!$A$13:$A$24,OFFSET(ORÇAMENTO!E80,-1,0))),OFFSET(E80,-1,0))</f>
        <v>1</v>
      </c>
      <c r="F80">
        <f t="shared" ca="1" si="22"/>
        <v>9</v>
      </c>
      <c r="G80">
        <f t="shared" ca="1" si="23"/>
        <v>0</v>
      </c>
      <c r="H80">
        <f t="shared" ca="1" si="24"/>
        <v>0</v>
      </c>
      <c r="I80">
        <f t="shared" ca="1" si="25"/>
        <v>0</v>
      </c>
      <c r="J80">
        <f t="shared" ca="1" si="26"/>
        <v>0</v>
      </c>
      <c r="K80">
        <f ca="1">IF(OR($C80="S",$C80=0),0,MATCH(OFFSET($D80,0,$C80)+IF($C80&lt;&gt;1,1,COUNTIF(QCI!$A$13:$A$24,ORÇAMENTO!E80)),OFFSET($D80,1,$C80,ROW($C$405)-ROW($C80)),0))</f>
        <v>0</v>
      </c>
      <c r="L80" s="115" t="str">
        <f t="shared" ca="1" si="27"/>
        <v/>
      </c>
      <c r="M80" s="116" t="s">
        <v>706</v>
      </c>
      <c r="N80" s="117" t="str">
        <f t="shared" ca="1" si="28"/>
        <v>Serviço</v>
      </c>
      <c r="O80" s="118" t="str">
        <f t="shared" ca="1" si="29"/>
        <v>-</v>
      </c>
      <c r="P80" s="119" t="s">
        <v>1315</v>
      </c>
      <c r="Q80" s="120" t="s">
        <v>998</v>
      </c>
      <c r="R80" s="121" t="s">
        <v>1374</v>
      </c>
      <c r="S80" s="122" t="s">
        <v>1644</v>
      </c>
      <c r="T80" s="123">
        <f ca="1">OFFSET(CÁLCULO!H$15,ROW($T80)-ROW(T$15),0)</f>
        <v>4</v>
      </c>
      <c r="U80" s="124"/>
      <c r="V80" s="125" t="s">
        <v>663</v>
      </c>
      <c r="W80" s="123">
        <f ca="1">IF($C80="S",ROUND(IF(TIPOORCAMENTO="Proposto",ORÇAMENTO.CustoUnitario*(1+$AH80),ORÇAMENTO.PrecoUnitarioLicitado),15-13*$AF$10),0)</f>
        <v>0</v>
      </c>
      <c r="X80" s="126" cm="1">
        <f t="array" aca="1" ref="X80" ca="1">IF($C80="S",IF(OR(Import.TipoArredondamento&lt;&gt;"TransfereGOV",ACOMPANHAMENTO="BM"),VTOTAL1,SUM(OFFSET(CÁLCULO!$AA$15,ROW($X80)-ROW($X$15),1):OFFSET(CÁLCULO!$AL$15,ROW($X80)-ROW($X$15),-1))),IF($C80=0,0,ROUND(SomaAgrup,15-13*$AF$11)))</f>
        <v>0</v>
      </c>
      <c r="Y80" s="127" t="s">
        <v>752</v>
      </c>
      <c r="Z80" t="str">
        <f t="shared" ca="1" si="30"/>
        <v/>
      </c>
      <c r="AA80" s="128">
        <f ca="1">IF($C80="S",IF($Z80="CP",$X80,IF($Z80="RA",(($X80)*QCI!$AA$3),0)),SomaAgrup)</f>
        <v>0</v>
      </c>
      <c r="AB80" s="129">
        <f t="shared" ca="1" si="31"/>
        <v>0</v>
      </c>
      <c r="AC80" s="567" t="str">
        <f ca="1">IF($N80=""," ",
IF(AND($C80&lt;&gt;"S",OR($R80="",$R80="(digite a descrição aqui)")),"DESCRIÇÃO",
IF(AND($C80="S",OR($Q80&lt;&gt;0,$T80&gt;0,$U80&gt;0),$P80=0),"FONTE",
IF(AND($C80="S",$P80&lt;&gt;0,OR($T80&gt;0,$U80&gt;0),$Q80=0),"CÓDIGO",
IF(AND($C80="S",$P80&lt;&gt;0,$Q80&lt;&gt;0,$R80="(Código não identificado nas referências)"),"CÓDIGO N/ID",
IF(AND($C80="S",OR($R80="",$R80="(digite a descrição aqui)"),OR($Q80&lt;&gt;0,$T80&gt;0,$U80&gt;0)),"DESCRIÇÃO",
IF(AND($C80="S",$P80&lt;&gt;0,$Q80&lt;&gt;0,$S80=""),"UNIDADE",
IF(AND($C80="S",$P80&lt;&gt;0,$Q80&lt;&gt;0,$U80=0),"SEM CUSTO",
IF(AND(TIPOORCAMENTO="Licitado",$AL80=0,$AN80&gt;0),"SEM PREÇO",
IF(AND($C80="S",$P80&lt;&gt;0,$Q80&lt;&gt;0,$U80&gt;0,$V80=0),"BDI",
IF(OR(AND(TIPOORCAMENTO="Proposto",$AG80&lt;&gt;"",$AG80&gt;0,ORÇAMENTO.CustoUnitario&gt;$AG80),AND(TIPOORCAMENTO="LICITADO",ORÇAMENTO.PrecoUnitarioLicitado&gt;$AN80)),"ACIMA REF.",
IF(AND($C80="S",$P80&lt;&gt;0,$Q80&lt;&gt;0,$T80=0,$U80&gt;0),"QUANT.",
IF(AND(Import.TipoArredondamento="TransfereGOV",$L80="F",$C80="S",LEN($Q80)&gt;13),"Código &gt;13",
IF(AND(Import.TipoArredondamento="TransfereGOV",$L80="F",$C80&lt;&gt;"S",LEN($R80)&gt;100),"Descrição &gt;100",
IF(AND(Import.TipoArredondamento="TransfereGOV",$L80="F",$C80="S",LEN($R80)&gt;500),"Descrição &gt;500",
IF(AND(Import.TipoArredondamento="TransfereGOV",$L80="F",$C80="S",LEFT(TRIM(UPPER($P80)),6)&lt;&gt;"SINAPI",ISNA(VLOOKUP(TRIM(UPPER($S80)),ListaTgov.Unidades,1,FALSE))),"Unid. Não Disp",
" "))))))))))))))))</f>
        <v>SEM CUSTO</v>
      </c>
      <c r="AD80" t="str">
        <f ca="1">IF(C80&lt;=CRONO.NivelExibicao,MAX($AD$15:OFFSET(AD80,-1,0))+IF($C80&lt;&gt;1,1,MAX(1,COUNTIF(QCI!$A$13:$A$24,OFFSET($E80,-1,0)))),"")</f>
        <v/>
      </c>
      <c r="AE80" s="7" t="str">
        <f ca="1">IF(AND($C80="S",ORÇAMENTO.CodBarra&lt;&gt;""),IF(ORÇAMENTO.Fonte="",ORÇAMENTO.CodBarra,CONCATENATE(ORÇAMENTO.Fonte," ",ORÇAMENTO.CodBarra)))</f>
        <v>SINAPI-I 39472</v>
      </c>
      <c r="AF80" s="12" t="str">
        <f ca="1">IF(ISERROR(INDIRECT(ORÇAMENTO.BancoRef)),"(abra o arquivo 'Referência "&amp;Excel_BuiltIn_Database&amp;".xlsm)",IF(OR($C80&lt;&gt;"S",ORÇAMENTO.CodBarra=""),"(Sem Código)",IF(ISERROR(MATCH($AE80,INDIRECT(ORÇAMENTO.BancoRef),0)),"(Código não identificado nas referências)",MATCH($AE80,INDIRECT(ORÇAMENTO.BancoRef),0))))</f>
        <v>(abra o arquivo 'Referência 12-2024.xlsm)</v>
      </c>
      <c r="AG80" s="429">
        <f ca="1">ROUND(IF(DESONERACAO="sim",REFERENCIA.Desonerado,REFERENCIA.NaoDesonerado),2)</f>
        <v>0</v>
      </c>
      <c r="AH80" s="430">
        <f t="shared" ca="1" si="32"/>
        <v>0.31190000000000001</v>
      </c>
      <c r="AJ80" s="432">
        <v>4</v>
      </c>
      <c r="AL80" s="440"/>
      <c r="AM80" s="337">
        <f t="shared" ca="1" si="0"/>
        <v>0</v>
      </c>
      <c r="AN80" s="471">
        <f t="shared" ca="1" si="33"/>
        <v>0</v>
      </c>
    </row>
    <row r="81" spans="1:40" ht="38.25" x14ac:dyDescent="0.2">
      <c r="A81" t="str">
        <f t="shared" si="18"/>
        <v>S</v>
      </c>
      <c r="B81">
        <f t="shared" ca="1" si="19"/>
        <v>2</v>
      </c>
      <c r="C81" t="str">
        <f t="shared" ca="1" si="20"/>
        <v>S</v>
      </c>
      <c r="D81">
        <f t="shared" ca="1" si="21"/>
        <v>0</v>
      </c>
      <c r="E81">
        <f ca="1">IF($C81=1,OFFSET(E81,-1,0)+MAX(1,COUNTIF(QCI!$A$13:$A$24,OFFSET(ORÇAMENTO!E81,-1,0))),OFFSET(E81,-1,0))</f>
        <v>1</v>
      </c>
      <c r="F81">
        <f t="shared" ca="1" si="22"/>
        <v>9</v>
      </c>
      <c r="G81">
        <f t="shared" ca="1" si="23"/>
        <v>0</v>
      </c>
      <c r="H81">
        <f t="shared" ca="1" si="24"/>
        <v>0</v>
      </c>
      <c r="I81">
        <f t="shared" ca="1" si="25"/>
        <v>0</v>
      </c>
      <c r="J81">
        <f t="shared" ca="1" si="26"/>
        <v>0</v>
      </c>
      <c r="K81">
        <f ca="1">IF(OR($C81="S",$C81=0),0,MATCH(OFFSET($D81,0,$C81)+IF($C81&lt;&gt;1,1,COUNTIF(QCI!$A$13:$A$24,ORÇAMENTO!E81)),OFFSET($D81,1,$C81,ROW($C$405)-ROW($C81)),0))</f>
        <v>0</v>
      </c>
      <c r="L81" s="115" t="str">
        <f t="shared" ca="1" si="27"/>
        <v/>
      </c>
      <c r="M81" s="116" t="s">
        <v>706</v>
      </c>
      <c r="N81" s="117" t="str">
        <f t="shared" ca="1" si="28"/>
        <v>Serviço</v>
      </c>
      <c r="O81" s="118" t="str">
        <f t="shared" ca="1" si="29"/>
        <v>-</v>
      </c>
      <c r="P81" s="119" t="s">
        <v>751</v>
      </c>
      <c r="Q81" s="120" t="s">
        <v>999</v>
      </c>
      <c r="R81" s="121" t="s">
        <v>1375</v>
      </c>
      <c r="S81" s="122" t="s">
        <v>621</v>
      </c>
      <c r="T81" s="123">
        <f ca="1">OFFSET(CÁLCULO!H$15,ROW($T81)-ROW(T$15),0)</f>
        <v>1400</v>
      </c>
      <c r="U81" s="124"/>
      <c r="V81" s="125" t="s">
        <v>663</v>
      </c>
      <c r="W81" s="123">
        <f ca="1">IF($C81="S",ROUND(IF(TIPOORCAMENTO="Proposto",ORÇAMENTO.CustoUnitario*(1+$AH81),ORÇAMENTO.PrecoUnitarioLicitado),15-13*$AF$10),0)</f>
        <v>0</v>
      </c>
      <c r="X81" s="126" cm="1">
        <f t="array" aca="1" ref="X81" ca="1">IF($C81="S",IF(OR(Import.TipoArredondamento&lt;&gt;"TransfereGOV",ACOMPANHAMENTO="BM"),VTOTAL1,SUM(OFFSET(CÁLCULO!$AA$15,ROW($X81)-ROW($X$15),1):OFFSET(CÁLCULO!$AL$15,ROW($X81)-ROW($X$15),-1))),IF($C81=0,0,ROUND(SomaAgrup,15-13*$AF$11)))</f>
        <v>0</v>
      </c>
      <c r="Y81" s="127" t="s">
        <v>752</v>
      </c>
      <c r="Z81" t="str">
        <f t="shared" ca="1" si="30"/>
        <v/>
      </c>
      <c r="AA81" s="128">
        <f ca="1">IF($C81="S",IF($Z81="CP",$X81,IF($Z81="RA",(($X81)*QCI!$AA$3),0)),SomaAgrup)</f>
        <v>0</v>
      </c>
      <c r="AB81" s="129">
        <f t="shared" ca="1" si="31"/>
        <v>0</v>
      </c>
      <c r="AC81" s="567" t="str">
        <f ca="1">IF($N81=""," ",
IF(AND($C81&lt;&gt;"S",OR($R81="",$R81="(digite a descrição aqui)")),"DESCRIÇÃO",
IF(AND($C81="S",OR($Q81&lt;&gt;0,$T81&gt;0,$U81&gt;0),$P81=0),"FONTE",
IF(AND($C81="S",$P81&lt;&gt;0,OR($T81&gt;0,$U81&gt;0),$Q81=0),"CÓDIGO",
IF(AND($C81="S",$P81&lt;&gt;0,$Q81&lt;&gt;0,$R81="(Código não identificado nas referências)"),"CÓDIGO N/ID",
IF(AND($C81="S",OR($R81="",$R81="(digite a descrição aqui)"),OR($Q81&lt;&gt;0,$T81&gt;0,$U81&gt;0)),"DESCRIÇÃO",
IF(AND($C81="S",$P81&lt;&gt;0,$Q81&lt;&gt;0,$S81=""),"UNIDADE",
IF(AND($C81="S",$P81&lt;&gt;0,$Q81&lt;&gt;0,$U81=0),"SEM CUSTO",
IF(AND(TIPOORCAMENTO="Licitado",$AL81=0,$AN81&gt;0),"SEM PREÇO",
IF(AND($C81="S",$P81&lt;&gt;0,$Q81&lt;&gt;0,$U81&gt;0,$V81=0),"BDI",
IF(OR(AND(TIPOORCAMENTO="Proposto",$AG81&lt;&gt;"",$AG81&gt;0,ORÇAMENTO.CustoUnitario&gt;$AG81),AND(TIPOORCAMENTO="LICITADO",ORÇAMENTO.PrecoUnitarioLicitado&gt;$AN81)),"ACIMA REF.",
IF(AND($C81="S",$P81&lt;&gt;0,$Q81&lt;&gt;0,$T81=0,$U81&gt;0),"QUANT.",
IF(AND(Import.TipoArredondamento="TransfereGOV",$L81="F",$C81="S",LEN($Q81)&gt;13),"Código &gt;13",
IF(AND(Import.TipoArredondamento="TransfereGOV",$L81="F",$C81&lt;&gt;"S",LEN($R81)&gt;100),"Descrição &gt;100",
IF(AND(Import.TipoArredondamento="TransfereGOV",$L81="F",$C81="S",LEN($R81)&gt;500),"Descrição &gt;500",
IF(AND(Import.TipoArredondamento="TransfereGOV",$L81="F",$C81="S",LEFT(TRIM(UPPER($P81)),6)&lt;&gt;"SINAPI",ISNA(VLOOKUP(TRIM(UPPER($S81)),ListaTgov.Unidades,1,FALSE))),"Unid. Não Disp",
" "))))))))))))))))</f>
        <v>SEM CUSTO</v>
      </c>
      <c r="AD81" t="str">
        <f ca="1">IF(C81&lt;=CRONO.NivelExibicao,MAX($AD$15:OFFSET(AD81,-1,0))+IF($C81&lt;&gt;1,1,MAX(1,COUNTIF(QCI!$A$13:$A$24,OFFSET($E81,-1,0)))),"")</f>
        <v/>
      </c>
      <c r="AE81" s="7" t="str">
        <f ca="1">IF(AND($C81="S",ORÇAMENTO.CodBarra&lt;&gt;""),IF(ORÇAMENTO.Fonte="",ORÇAMENTO.CodBarra,CONCATENATE(ORÇAMENTO.Fonte," ",ORÇAMENTO.CodBarra)))</f>
        <v>SINAPI 91831</v>
      </c>
      <c r="AF81" s="12" t="str">
        <f ca="1">IF(ISERROR(INDIRECT(ORÇAMENTO.BancoRef)),"(abra o arquivo 'Referência "&amp;Excel_BuiltIn_Database&amp;".xlsm)",IF(OR($C81&lt;&gt;"S",ORÇAMENTO.CodBarra=""),"(Sem Código)",IF(ISERROR(MATCH($AE81,INDIRECT(ORÇAMENTO.BancoRef),0)),"(Código não identificado nas referências)",MATCH($AE81,INDIRECT(ORÇAMENTO.BancoRef),0))))</f>
        <v>(abra o arquivo 'Referência 12-2024.xlsm)</v>
      </c>
      <c r="AG81" s="429">
        <f ca="1">ROUND(IF(DESONERACAO="sim",REFERENCIA.Desonerado,REFERENCIA.NaoDesonerado),2)</f>
        <v>0</v>
      </c>
      <c r="AH81" s="430">
        <f t="shared" ca="1" si="32"/>
        <v>0.31190000000000001</v>
      </c>
      <c r="AJ81" s="432">
        <v>1400</v>
      </c>
      <c r="AL81" s="440"/>
      <c r="AM81" s="337">
        <f t="shared" ca="1" si="0"/>
        <v>0</v>
      </c>
      <c r="AN81" s="471">
        <f t="shared" ca="1" si="33"/>
        <v>0</v>
      </c>
    </row>
    <row r="82" spans="1:40" ht="38.25" x14ac:dyDescent="0.2">
      <c r="A82" t="str">
        <f t="shared" si="18"/>
        <v>S</v>
      </c>
      <c r="B82">
        <f t="shared" ca="1" si="19"/>
        <v>2</v>
      </c>
      <c r="C82" t="str">
        <f t="shared" ca="1" si="20"/>
        <v>S</v>
      </c>
      <c r="D82">
        <f t="shared" ca="1" si="21"/>
        <v>0</v>
      </c>
      <c r="E82">
        <f ca="1">IF($C82=1,OFFSET(E82,-1,0)+MAX(1,COUNTIF(QCI!$A$13:$A$24,OFFSET(ORÇAMENTO!E82,-1,0))),OFFSET(E82,-1,0))</f>
        <v>1</v>
      </c>
      <c r="F82">
        <f t="shared" ca="1" si="22"/>
        <v>9</v>
      </c>
      <c r="G82">
        <f t="shared" ca="1" si="23"/>
        <v>0</v>
      </c>
      <c r="H82">
        <f t="shared" ca="1" si="24"/>
        <v>0</v>
      </c>
      <c r="I82">
        <f t="shared" ca="1" si="25"/>
        <v>0</v>
      </c>
      <c r="J82">
        <f t="shared" ca="1" si="26"/>
        <v>0</v>
      </c>
      <c r="K82">
        <f ca="1">IF(OR($C82="S",$C82=0),0,MATCH(OFFSET($D82,0,$C82)+IF($C82&lt;&gt;1,1,COUNTIF(QCI!$A$13:$A$24,ORÇAMENTO!E82)),OFFSET($D82,1,$C82,ROW($C$405)-ROW($C82)),0))</f>
        <v>0</v>
      </c>
      <c r="L82" s="115" t="str">
        <f t="shared" ca="1" si="27"/>
        <v/>
      </c>
      <c r="M82" s="116" t="s">
        <v>706</v>
      </c>
      <c r="N82" s="117" t="str">
        <f t="shared" ca="1" si="28"/>
        <v>Serviço</v>
      </c>
      <c r="O82" s="118" t="str">
        <f t="shared" ca="1" si="29"/>
        <v>-</v>
      </c>
      <c r="P82" s="119" t="s">
        <v>751</v>
      </c>
      <c r="Q82" s="120" t="s">
        <v>1000</v>
      </c>
      <c r="R82" s="121" t="s">
        <v>1376</v>
      </c>
      <c r="S82" s="122" t="s">
        <v>621</v>
      </c>
      <c r="T82" s="123">
        <f ca="1">OFFSET(CÁLCULO!H$15,ROW($T82)-ROW(T$15),0)</f>
        <v>135</v>
      </c>
      <c r="U82" s="124"/>
      <c r="V82" s="125" t="s">
        <v>663</v>
      </c>
      <c r="W82" s="123">
        <f ca="1">IF($C82="S",ROUND(IF(TIPOORCAMENTO="Proposto",ORÇAMENTO.CustoUnitario*(1+$AH82),ORÇAMENTO.PrecoUnitarioLicitado),15-13*$AF$10),0)</f>
        <v>0</v>
      </c>
      <c r="X82" s="126" cm="1">
        <f t="array" aca="1" ref="X82" ca="1">IF($C82="S",IF(OR(Import.TipoArredondamento&lt;&gt;"TransfereGOV",ACOMPANHAMENTO="BM"),VTOTAL1,SUM(OFFSET(CÁLCULO!$AA$15,ROW($X82)-ROW($X$15),1):OFFSET(CÁLCULO!$AL$15,ROW($X82)-ROW($X$15),-1))),IF($C82=0,0,ROUND(SomaAgrup,15-13*$AF$11)))</f>
        <v>0</v>
      </c>
      <c r="Y82" s="127" t="s">
        <v>752</v>
      </c>
      <c r="Z82" t="str">
        <f t="shared" ca="1" si="30"/>
        <v/>
      </c>
      <c r="AA82" s="128">
        <f ca="1">IF($C82="S",IF($Z82="CP",$X82,IF($Z82="RA",(($X82)*QCI!$AA$3),0)),SomaAgrup)</f>
        <v>0</v>
      </c>
      <c r="AB82" s="129">
        <f t="shared" ca="1" si="31"/>
        <v>0</v>
      </c>
      <c r="AC82" s="567" t="str">
        <f ca="1">IF($N82=""," ",
IF(AND($C82&lt;&gt;"S",OR($R82="",$R82="(digite a descrição aqui)")),"DESCRIÇÃO",
IF(AND($C82="S",OR($Q82&lt;&gt;0,$T82&gt;0,$U82&gt;0),$P82=0),"FONTE",
IF(AND($C82="S",$P82&lt;&gt;0,OR($T82&gt;0,$U82&gt;0),$Q82=0),"CÓDIGO",
IF(AND($C82="S",$P82&lt;&gt;0,$Q82&lt;&gt;0,$R82="(Código não identificado nas referências)"),"CÓDIGO N/ID",
IF(AND($C82="S",OR($R82="",$R82="(digite a descrição aqui)"),OR($Q82&lt;&gt;0,$T82&gt;0,$U82&gt;0)),"DESCRIÇÃO",
IF(AND($C82="S",$P82&lt;&gt;0,$Q82&lt;&gt;0,$S82=""),"UNIDADE",
IF(AND($C82="S",$P82&lt;&gt;0,$Q82&lt;&gt;0,$U82=0),"SEM CUSTO",
IF(AND(TIPOORCAMENTO="Licitado",$AL82=0,$AN82&gt;0),"SEM PREÇO",
IF(AND($C82="S",$P82&lt;&gt;0,$Q82&lt;&gt;0,$U82&gt;0,$V82=0),"BDI",
IF(OR(AND(TIPOORCAMENTO="Proposto",$AG82&lt;&gt;"",$AG82&gt;0,ORÇAMENTO.CustoUnitario&gt;$AG82),AND(TIPOORCAMENTO="LICITADO",ORÇAMENTO.PrecoUnitarioLicitado&gt;$AN82)),"ACIMA REF.",
IF(AND($C82="S",$P82&lt;&gt;0,$Q82&lt;&gt;0,$T82=0,$U82&gt;0),"QUANT.",
IF(AND(Import.TipoArredondamento="TransfereGOV",$L82="F",$C82="S",LEN($Q82)&gt;13),"Código &gt;13",
IF(AND(Import.TipoArredondamento="TransfereGOV",$L82="F",$C82&lt;&gt;"S",LEN($R82)&gt;100),"Descrição &gt;100",
IF(AND(Import.TipoArredondamento="TransfereGOV",$L82="F",$C82="S",LEN($R82)&gt;500),"Descrição &gt;500",
IF(AND(Import.TipoArredondamento="TransfereGOV",$L82="F",$C82="S",LEFT(TRIM(UPPER($P82)),6)&lt;&gt;"SINAPI",ISNA(VLOOKUP(TRIM(UPPER($S82)),ListaTgov.Unidades,1,FALSE))),"Unid. Não Disp",
" "))))))))))))))))</f>
        <v>SEM CUSTO</v>
      </c>
      <c r="AD82" t="str">
        <f ca="1">IF(C82&lt;=CRONO.NivelExibicao,MAX($AD$15:OFFSET(AD82,-1,0))+IF($C82&lt;&gt;1,1,MAX(1,COUNTIF(QCI!$A$13:$A$24,OFFSET($E82,-1,0)))),"")</f>
        <v/>
      </c>
      <c r="AE82" s="7" t="str">
        <f ca="1">IF(AND($C82="S",ORÇAMENTO.CodBarra&lt;&gt;""),IF(ORÇAMENTO.Fonte="",ORÇAMENTO.CodBarra,CONCATENATE(ORÇAMENTO.Fonte," ",ORÇAMENTO.CodBarra)))</f>
        <v>SINAPI 91836</v>
      </c>
      <c r="AF82" s="12" t="str">
        <f ca="1">IF(ISERROR(INDIRECT(ORÇAMENTO.BancoRef)),"(abra o arquivo 'Referência "&amp;Excel_BuiltIn_Database&amp;".xlsm)",IF(OR($C82&lt;&gt;"S",ORÇAMENTO.CodBarra=""),"(Sem Código)",IF(ISERROR(MATCH($AE82,INDIRECT(ORÇAMENTO.BancoRef),0)),"(Código não identificado nas referências)",MATCH($AE82,INDIRECT(ORÇAMENTO.BancoRef),0))))</f>
        <v>(abra o arquivo 'Referência 12-2024.xlsm)</v>
      </c>
      <c r="AG82" s="429">
        <f ca="1">ROUND(IF(DESONERACAO="sim",REFERENCIA.Desonerado,REFERENCIA.NaoDesonerado),2)</f>
        <v>0</v>
      </c>
      <c r="AH82" s="430">
        <f t="shared" ca="1" si="32"/>
        <v>0.31190000000000001</v>
      </c>
      <c r="AJ82" s="432">
        <v>135</v>
      </c>
      <c r="AL82" s="440"/>
      <c r="AM82" s="337">
        <f t="shared" ca="1" si="0"/>
        <v>0</v>
      </c>
      <c r="AN82" s="471">
        <f t="shared" ca="1" si="33"/>
        <v>0</v>
      </c>
    </row>
    <row r="83" spans="1:40" ht="38.25" x14ac:dyDescent="0.2">
      <c r="A83" t="str">
        <f t="shared" si="18"/>
        <v>S</v>
      </c>
      <c r="B83">
        <f t="shared" ca="1" si="19"/>
        <v>2</v>
      </c>
      <c r="C83" t="str">
        <f t="shared" ca="1" si="20"/>
        <v>S</v>
      </c>
      <c r="D83">
        <f t="shared" ca="1" si="21"/>
        <v>0</v>
      </c>
      <c r="E83">
        <f ca="1">IF($C83=1,OFFSET(E83,-1,0)+MAX(1,COUNTIF(QCI!$A$13:$A$24,OFFSET(ORÇAMENTO!E83,-1,0))),OFFSET(E83,-1,0))</f>
        <v>1</v>
      </c>
      <c r="F83">
        <f t="shared" ca="1" si="22"/>
        <v>9</v>
      </c>
      <c r="G83">
        <f t="shared" ca="1" si="23"/>
        <v>0</v>
      </c>
      <c r="H83">
        <f t="shared" ca="1" si="24"/>
        <v>0</v>
      </c>
      <c r="I83">
        <f t="shared" ca="1" si="25"/>
        <v>0</v>
      </c>
      <c r="J83">
        <f t="shared" ca="1" si="26"/>
        <v>0</v>
      </c>
      <c r="K83">
        <f ca="1">IF(OR($C83="S",$C83=0),0,MATCH(OFFSET($D83,0,$C83)+IF($C83&lt;&gt;1,1,COUNTIF(QCI!$A$13:$A$24,ORÇAMENTO!E83)),OFFSET($D83,1,$C83,ROW($C$405)-ROW($C83)),0))</f>
        <v>0</v>
      </c>
      <c r="L83" s="115" t="str">
        <f t="shared" ca="1" si="27"/>
        <v/>
      </c>
      <c r="M83" s="116" t="s">
        <v>706</v>
      </c>
      <c r="N83" s="117" t="str">
        <f t="shared" ca="1" si="28"/>
        <v>Serviço</v>
      </c>
      <c r="O83" s="118" t="str">
        <f t="shared" ca="1" si="29"/>
        <v>-</v>
      </c>
      <c r="P83" s="119" t="s">
        <v>751</v>
      </c>
      <c r="Q83" s="120" t="s">
        <v>1001</v>
      </c>
      <c r="R83" s="121" t="s">
        <v>1377</v>
      </c>
      <c r="S83" s="122" t="s">
        <v>621</v>
      </c>
      <c r="T83" s="123">
        <f ca="1">OFFSET(CÁLCULO!H$15,ROW($T83)-ROW(T$15),0)</f>
        <v>13</v>
      </c>
      <c r="U83" s="124"/>
      <c r="V83" s="125" t="s">
        <v>663</v>
      </c>
      <c r="W83" s="123">
        <f ca="1">IF($C83="S",ROUND(IF(TIPOORCAMENTO="Proposto",ORÇAMENTO.CustoUnitario*(1+$AH83),ORÇAMENTO.PrecoUnitarioLicitado),15-13*$AF$10),0)</f>
        <v>0</v>
      </c>
      <c r="X83" s="126" cm="1">
        <f t="array" aca="1" ref="X83" ca="1">IF($C83="S",IF(OR(Import.TipoArredondamento&lt;&gt;"TransfereGOV",ACOMPANHAMENTO="BM"),VTOTAL1,SUM(OFFSET(CÁLCULO!$AA$15,ROW($X83)-ROW($X$15),1):OFFSET(CÁLCULO!$AL$15,ROW($X83)-ROW($X$15),-1))),IF($C83=0,0,ROUND(SomaAgrup,15-13*$AF$11)))</f>
        <v>0</v>
      </c>
      <c r="Y83" s="127" t="s">
        <v>752</v>
      </c>
      <c r="Z83" t="str">
        <f t="shared" ca="1" si="30"/>
        <v/>
      </c>
      <c r="AA83" s="128">
        <f ca="1">IF($C83="S",IF($Z83="CP",$X83,IF($Z83="RA",(($X83)*QCI!$AA$3),0)),SomaAgrup)</f>
        <v>0</v>
      </c>
      <c r="AB83" s="129">
        <f t="shared" ca="1" si="31"/>
        <v>0</v>
      </c>
      <c r="AC83" s="567" t="str">
        <f ca="1">IF($N83=""," ",
IF(AND($C83&lt;&gt;"S",OR($R83="",$R83="(digite a descrição aqui)")),"DESCRIÇÃO",
IF(AND($C83="S",OR($Q83&lt;&gt;0,$T83&gt;0,$U83&gt;0),$P83=0),"FONTE",
IF(AND($C83="S",$P83&lt;&gt;0,OR($T83&gt;0,$U83&gt;0),$Q83=0),"CÓDIGO",
IF(AND($C83="S",$P83&lt;&gt;0,$Q83&lt;&gt;0,$R83="(Código não identificado nas referências)"),"CÓDIGO N/ID",
IF(AND($C83="S",OR($R83="",$R83="(digite a descrição aqui)"),OR($Q83&lt;&gt;0,$T83&gt;0,$U83&gt;0)),"DESCRIÇÃO",
IF(AND($C83="S",$P83&lt;&gt;0,$Q83&lt;&gt;0,$S83=""),"UNIDADE",
IF(AND($C83="S",$P83&lt;&gt;0,$Q83&lt;&gt;0,$U83=0),"SEM CUSTO",
IF(AND(TIPOORCAMENTO="Licitado",$AL83=0,$AN83&gt;0),"SEM PREÇO",
IF(AND($C83="S",$P83&lt;&gt;0,$Q83&lt;&gt;0,$U83&gt;0,$V83=0),"BDI",
IF(OR(AND(TIPOORCAMENTO="Proposto",$AG83&lt;&gt;"",$AG83&gt;0,ORÇAMENTO.CustoUnitario&gt;$AG83),AND(TIPOORCAMENTO="LICITADO",ORÇAMENTO.PrecoUnitarioLicitado&gt;$AN83)),"ACIMA REF.",
IF(AND($C83="S",$P83&lt;&gt;0,$Q83&lt;&gt;0,$T83=0,$U83&gt;0),"QUANT.",
IF(AND(Import.TipoArredondamento="TransfereGOV",$L83="F",$C83="S",LEN($Q83)&gt;13),"Código &gt;13",
IF(AND(Import.TipoArredondamento="TransfereGOV",$L83="F",$C83&lt;&gt;"S",LEN($R83)&gt;100),"Descrição &gt;100",
IF(AND(Import.TipoArredondamento="TransfereGOV",$L83="F",$C83="S",LEN($R83)&gt;500),"Descrição &gt;500",
IF(AND(Import.TipoArredondamento="TransfereGOV",$L83="F",$C83="S",LEFT(TRIM(UPPER($P83)),6)&lt;&gt;"SINAPI",ISNA(VLOOKUP(TRIM(UPPER($S83)),ListaTgov.Unidades,1,FALSE))),"Unid. Não Disp",
" "))))))))))))))))</f>
        <v>SEM CUSTO</v>
      </c>
      <c r="AD83" t="str">
        <f ca="1">IF(C83&lt;=CRONO.NivelExibicao,MAX($AD$15:OFFSET(AD83,-1,0))+IF($C83&lt;&gt;1,1,MAX(1,COUNTIF(QCI!$A$13:$A$24,OFFSET($E83,-1,0)))),"")</f>
        <v/>
      </c>
      <c r="AE83" s="7" t="str">
        <f ca="1">IF(AND($C83="S",ORÇAMENTO.CodBarra&lt;&gt;""),IF(ORÇAMENTO.Fonte="",ORÇAMENTO.CodBarra,CONCATENATE(ORÇAMENTO.Fonte," ",ORÇAMENTO.CodBarra)))</f>
        <v>SINAPI 97667</v>
      </c>
      <c r="AF83" s="12" t="str">
        <f ca="1">IF(ISERROR(INDIRECT(ORÇAMENTO.BancoRef)),"(abra o arquivo 'Referência "&amp;Excel_BuiltIn_Database&amp;".xlsm)",IF(OR($C83&lt;&gt;"S",ORÇAMENTO.CodBarra=""),"(Sem Código)",IF(ISERROR(MATCH($AE83,INDIRECT(ORÇAMENTO.BancoRef),0)),"(Código não identificado nas referências)",MATCH($AE83,INDIRECT(ORÇAMENTO.BancoRef),0))))</f>
        <v>(abra o arquivo 'Referência 12-2024.xlsm)</v>
      </c>
      <c r="AG83" s="429">
        <f ca="1">ROUND(IF(DESONERACAO="sim",REFERENCIA.Desonerado,REFERENCIA.NaoDesonerado),2)</f>
        <v>0</v>
      </c>
      <c r="AH83" s="430">
        <f t="shared" ca="1" si="32"/>
        <v>0.31190000000000001</v>
      </c>
      <c r="AJ83" s="432">
        <v>13</v>
      </c>
      <c r="AL83" s="440"/>
      <c r="AM83" s="337">
        <f t="shared" ca="1" si="0"/>
        <v>0</v>
      </c>
      <c r="AN83" s="471">
        <f t="shared" ca="1" si="33"/>
        <v>0</v>
      </c>
    </row>
    <row r="84" spans="1:40" ht="38.25" x14ac:dyDescent="0.2">
      <c r="A84" t="str">
        <f t="shared" si="18"/>
        <v>S</v>
      </c>
      <c r="B84">
        <f t="shared" ca="1" si="19"/>
        <v>2</v>
      </c>
      <c r="C84" t="str">
        <f t="shared" ca="1" si="20"/>
        <v>S</v>
      </c>
      <c r="D84">
        <f t="shared" ca="1" si="21"/>
        <v>0</v>
      </c>
      <c r="E84">
        <f ca="1">IF($C84=1,OFFSET(E84,-1,0)+MAX(1,COUNTIF(QCI!$A$13:$A$24,OFFSET(ORÇAMENTO!E84,-1,0))),OFFSET(E84,-1,0))</f>
        <v>1</v>
      </c>
      <c r="F84">
        <f t="shared" ca="1" si="22"/>
        <v>9</v>
      </c>
      <c r="G84">
        <f t="shared" ca="1" si="23"/>
        <v>0</v>
      </c>
      <c r="H84">
        <f t="shared" ca="1" si="24"/>
        <v>0</v>
      </c>
      <c r="I84">
        <f t="shared" ca="1" si="25"/>
        <v>0</v>
      </c>
      <c r="J84">
        <f t="shared" ca="1" si="26"/>
        <v>0</v>
      </c>
      <c r="K84">
        <f ca="1">IF(OR($C84="S",$C84=0),0,MATCH(OFFSET($D84,0,$C84)+IF($C84&lt;&gt;1,1,COUNTIF(QCI!$A$13:$A$24,ORÇAMENTO!E84)),OFFSET($D84,1,$C84,ROW($C$405)-ROW($C84)),0))</f>
        <v>0</v>
      </c>
      <c r="L84" s="115" t="str">
        <f t="shared" ca="1" si="27"/>
        <v/>
      </c>
      <c r="M84" s="116" t="s">
        <v>706</v>
      </c>
      <c r="N84" s="117" t="str">
        <f t="shared" ca="1" si="28"/>
        <v>Serviço</v>
      </c>
      <c r="O84" s="118" t="str">
        <f t="shared" ca="1" si="29"/>
        <v>-</v>
      </c>
      <c r="P84" s="119" t="s">
        <v>751</v>
      </c>
      <c r="Q84" s="120" t="s">
        <v>1002</v>
      </c>
      <c r="R84" s="121" t="s">
        <v>1378</v>
      </c>
      <c r="S84" s="122" t="s">
        <v>621</v>
      </c>
      <c r="T84" s="123">
        <f ca="1">OFFSET(CÁLCULO!H$15,ROW($T84)-ROW(T$15),0)</f>
        <v>145</v>
      </c>
      <c r="U84" s="124"/>
      <c r="V84" s="125" t="s">
        <v>663</v>
      </c>
      <c r="W84" s="123">
        <f ca="1">IF($C84="S",ROUND(IF(TIPOORCAMENTO="Proposto",ORÇAMENTO.CustoUnitario*(1+$AH84),ORÇAMENTO.PrecoUnitarioLicitado),15-13*$AF$10),0)</f>
        <v>0</v>
      </c>
      <c r="X84" s="126" cm="1">
        <f t="array" aca="1" ref="X84" ca="1">IF($C84="S",IF(OR(Import.TipoArredondamento&lt;&gt;"TransfereGOV",ACOMPANHAMENTO="BM"),VTOTAL1,SUM(OFFSET(CÁLCULO!$AA$15,ROW($X84)-ROW($X$15),1):OFFSET(CÁLCULO!$AL$15,ROW($X84)-ROW($X$15),-1))),IF($C84=0,0,ROUND(SomaAgrup,15-13*$AF$11)))</f>
        <v>0</v>
      </c>
      <c r="Y84" s="127" t="s">
        <v>752</v>
      </c>
      <c r="Z84" t="str">
        <f t="shared" ca="1" si="30"/>
        <v/>
      </c>
      <c r="AA84" s="128">
        <f ca="1">IF($C84="S",IF($Z84="CP",$X84,IF($Z84="RA",(($X84)*QCI!$AA$3),0)),SomaAgrup)</f>
        <v>0</v>
      </c>
      <c r="AB84" s="129">
        <f t="shared" ca="1" si="31"/>
        <v>0</v>
      </c>
      <c r="AC84" s="567" t="str">
        <f ca="1">IF($N84=""," ",
IF(AND($C84&lt;&gt;"S",OR($R84="",$R84="(digite a descrição aqui)")),"DESCRIÇÃO",
IF(AND($C84="S",OR($Q84&lt;&gt;0,$T84&gt;0,$U84&gt;0),$P84=0),"FONTE",
IF(AND($C84="S",$P84&lt;&gt;0,OR($T84&gt;0,$U84&gt;0),$Q84=0),"CÓDIGO",
IF(AND($C84="S",$P84&lt;&gt;0,$Q84&lt;&gt;0,$R84="(Código não identificado nas referências)"),"CÓDIGO N/ID",
IF(AND($C84="S",OR($R84="",$R84="(digite a descrição aqui)"),OR($Q84&lt;&gt;0,$T84&gt;0,$U84&gt;0)),"DESCRIÇÃO",
IF(AND($C84="S",$P84&lt;&gt;0,$Q84&lt;&gt;0,$S84=""),"UNIDADE",
IF(AND($C84="S",$P84&lt;&gt;0,$Q84&lt;&gt;0,$U84=0),"SEM CUSTO",
IF(AND(TIPOORCAMENTO="Licitado",$AL84=0,$AN84&gt;0),"SEM PREÇO",
IF(AND($C84="S",$P84&lt;&gt;0,$Q84&lt;&gt;0,$U84&gt;0,$V84=0),"BDI",
IF(OR(AND(TIPOORCAMENTO="Proposto",$AG84&lt;&gt;"",$AG84&gt;0,ORÇAMENTO.CustoUnitario&gt;$AG84),AND(TIPOORCAMENTO="LICITADO",ORÇAMENTO.PrecoUnitarioLicitado&gt;$AN84)),"ACIMA REF.",
IF(AND($C84="S",$P84&lt;&gt;0,$Q84&lt;&gt;0,$T84=0,$U84&gt;0),"QUANT.",
IF(AND(Import.TipoArredondamento="TransfereGOV",$L84="F",$C84="S",LEN($Q84)&gt;13),"Código &gt;13",
IF(AND(Import.TipoArredondamento="TransfereGOV",$L84="F",$C84&lt;&gt;"S",LEN($R84)&gt;100),"Descrição &gt;100",
IF(AND(Import.TipoArredondamento="TransfereGOV",$L84="F",$C84="S",LEN($R84)&gt;500),"Descrição &gt;500",
IF(AND(Import.TipoArredondamento="TransfereGOV",$L84="F",$C84="S",LEFT(TRIM(UPPER($P84)),6)&lt;&gt;"SINAPI",ISNA(VLOOKUP(TRIM(UPPER($S84)),ListaTgov.Unidades,1,FALSE))),"Unid. Não Disp",
" "))))))))))))))))</f>
        <v>SEM CUSTO</v>
      </c>
      <c r="AD84" t="str">
        <f ca="1">IF(C84&lt;=CRONO.NivelExibicao,MAX($AD$15:OFFSET(AD84,-1,0))+IF($C84&lt;&gt;1,1,MAX(1,COUNTIF(QCI!$A$13:$A$24,OFFSET($E84,-1,0)))),"")</f>
        <v/>
      </c>
      <c r="AE84" s="7" t="str">
        <f ca="1">IF(AND($C84="S",ORÇAMENTO.CodBarra&lt;&gt;""),IF(ORÇAMENTO.Fonte="",ORÇAMENTO.CodBarra,CONCATENATE(ORÇAMENTO.Fonte," ",ORÇAMENTO.CodBarra)))</f>
        <v>SINAPI 91834</v>
      </c>
      <c r="AF84" s="12" t="str">
        <f ca="1">IF(ISERROR(INDIRECT(ORÇAMENTO.BancoRef)),"(abra o arquivo 'Referência "&amp;Excel_BuiltIn_Database&amp;".xlsm)",IF(OR($C84&lt;&gt;"S",ORÇAMENTO.CodBarra=""),"(Sem Código)",IF(ISERROR(MATCH($AE84,INDIRECT(ORÇAMENTO.BancoRef),0)),"(Código não identificado nas referências)",MATCH($AE84,INDIRECT(ORÇAMENTO.BancoRef),0))))</f>
        <v>(abra o arquivo 'Referência 12-2024.xlsm)</v>
      </c>
      <c r="AG84" s="429">
        <f ca="1">ROUND(IF(DESONERACAO="sim",REFERENCIA.Desonerado,REFERENCIA.NaoDesonerado),2)</f>
        <v>0</v>
      </c>
      <c r="AH84" s="430">
        <f t="shared" ca="1" si="32"/>
        <v>0.31190000000000001</v>
      </c>
      <c r="AJ84" s="432">
        <v>145</v>
      </c>
      <c r="AL84" s="440"/>
      <c r="AM84" s="337">
        <f t="shared" ca="1" si="0"/>
        <v>0</v>
      </c>
      <c r="AN84" s="471">
        <f t="shared" ca="1" si="33"/>
        <v>0</v>
      </c>
    </row>
    <row r="85" spans="1:40" ht="38.25" x14ac:dyDescent="0.2">
      <c r="A85" t="str">
        <f t="shared" si="18"/>
        <v>S</v>
      </c>
      <c r="B85">
        <f t="shared" ca="1" si="19"/>
        <v>2</v>
      </c>
      <c r="C85" t="str">
        <f t="shared" ca="1" si="20"/>
        <v>S</v>
      </c>
      <c r="D85">
        <f t="shared" ca="1" si="21"/>
        <v>0</v>
      </c>
      <c r="E85">
        <f ca="1">IF($C85=1,OFFSET(E85,-1,0)+MAX(1,COUNTIF(QCI!$A$13:$A$24,OFFSET(ORÇAMENTO!E85,-1,0))),OFFSET(E85,-1,0))</f>
        <v>1</v>
      </c>
      <c r="F85">
        <f t="shared" ca="1" si="22"/>
        <v>9</v>
      </c>
      <c r="G85">
        <f t="shared" ca="1" si="23"/>
        <v>0</v>
      </c>
      <c r="H85">
        <f t="shared" ca="1" si="24"/>
        <v>0</v>
      </c>
      <c r="I85">
        <f t="shared" ca="1" si="25"/>
        <v>0</v>
      </c>
      <c r="J85">
        <f t="shared" ca="1" si="26"/>
        <v>0</v>
      </c>
      <c r="K85">
        <f ca="1">IF(OR($C85="S",$C85=0),0,MATCH(OFFSET($D85,0,$C85)+IF($C85&lt;&gt;1,1,COUNTIF(QCI!$A$13:$A$24,ORÇAMENTO!E85)),OFFSET($D85,1,$C85,ROW($C$405)-ROW($C85)),0))</f>
        <v>0</v>
      </c>
      <c r="L85" s="115" t="str">
        <f t="shared" ca="1" si="27"/>
        <v/>
      </c>
      <c r="M85" s="116" t="s">
        <v>706</v>
      </c>
      <c r="N85" s="117" t="str">
        <f t="shared" ca="1" si="28"/>
        <v>Serviço</v>
      </c>
      <c r="O85" s="118" t="str">
        <f t="shared" ca="1" si="29"/>
        <v>-</v>
      </c>
      <c r="P85" s="119" t="s">
        <v>751</v>
      </c>
      <c r="Q85" s="120" t="s">
        <v>1003</v>
      </c>
      <c r="R85" s="121" t="s">
        <v>1379</v>
      </c>
      <c r="S85" s="122" t="s">
        <v>621</v>
      </c>
      <c r="T85" s="123">
        <f ca="1">OFFSET(CÁLCULO!H$15,ROW($T85)-ROW(T$15),0)</f>
        <v>90</v>
      </c>
      <c r="U85" s="124"/>
      <c r="V85" s="125" t="s">
        <v>663</v>
      </c>
      <c r="W85" s="123">
        <f ca="1">IF($C85="S",ROUND(IF(TIPOORCAMENTO="Proposto",ORÇAMENTO.CustoUnitario*(1+$AH85),ORÇAMENTO.PrecoUnitarioLicitado),15-13*$AF$10),0)</f>
        <v>0</v>
      </c>
      <c r="X85" s="126" cm="1">
        <f t="array" aca="1" ref="X85" ca="1">IF($C85="S",IF(OR(Import.TipoArredondamento&lt;&gt;"TransfereGOV",ACOMPANHAMENTO="BM"),VTOTAL1,SUM(OFFSET(CÁLCULO!$AA$15,ROW($X85)-ROW($X$15),1):OFFSET(CÁLCULO!$AL$15,ROW($X85)-ROW($X$15),-1))),IF($C85=0,0,ROUND(SomaAgrup,15-13*$AF$11)))</f>
        <v>0</v>
      </c>
      <c r="Y85" s="127" t="s">
        <v>752</v>
      </c>
      <c r="Z85" t="str">
        <f t="shared" ca="1" si="30"/>
        <v/>
      </c>
      <c r="AA85" s="128">
        <f ca="1">IF($C85="S",IF($Z85="CP",$X85,IF($Z85="RA",(($X85)*QCI!$AA$3),0)),SomaAgrup)</f>
        <v>0</v>
      </c>
      <c r="AB85" s="129">
        <f t="shared" ca="1" si="31"/>
        <v>0</v>
      </c>
      <c r="AC85" s="567" t="str">
        <f ca="1">IF($N85=""," ",
IF(AND($C85&lt;&gt;"S",OR($R85="",$R85="(digite a descrição aqui)")),"DESCRIÇÃO",
IF(AND($C85="S",OR($Q85&lt;&gt;0,$T85&gt;0,$U85&gt;0),$P85=0),"FONTE",
IF(AND($C85="S",$P85&lt;&gt;0,OR($T85&gt;0,$U85&gt;0),$Q85=0),"CÓDIGO",
IF(AND($C85="S",$P85&lt;&gt;0,$Q85&lt;&gt;0,$R85="(Código não identificado nas referências)"),"CÓDIGO N/ID",
IF(AND($C85="S",OR($R85="",$R85="(digite a descrição aqui)"),OR($Q85&lt;&gt;0,$T85&gt;0,$U85&gt;0)),"DESCRIÇÃO",
IF(AND($C85="S",$P85&lt;&gt;0,$Q85&lt;&gt;0,$S85=""),"UNIDADE",
IF(AND($C85="S",$P85&lt;&gt;0,$Q85&lt;&gt;0,$U85=0),"SEM CUSTO",
IF(AND(TIPOORCAMENTO="Licitado",$AL85=0,$AN85&gt;0),"SEM PREÇO",
IF(AND($C85="S",$P85&lt;&gt;0,$Q85&lt;&gt;0,$U85&gt;0,$V85=0),"BDI",
IF(OR(AND(TIPOORCAMENTO="Proposto",$AG85&lt;&gt;"",$AG85&gt;0,ORÇAMENTO.CustoUnitario&gt;$AG85),AND(TIPOORCAMENTO="LICITADO",ORÇAMENTO.PrecoUnitarioLicitado&gt;$AN85)),"ACIMA REF.",
IF(AND($C85="S",$P85&lt;&gt;0,$Q85&lt;&gt;0,$T85=0,$U85&gt;0),"QUANT.",
IF(AND(Import.TipoArredondamento="TransfereGOV",$L85="F",$C85="S",LEN($Q85)&gt;13),"Código &gt;13",
IF(AND(Import.TipoArredondamento="TransfereGOV",$L85="F",$C85&lt;&gt;"S",LEN($R85)&gt;100),"Descrição &gt;100",
IF(AND(Import.TipoArredondamento="TransfereGOV",$L85="F",$C85="S",LEN($R85)&gt;500),"Descrição &gt;500",
IF(AND(Import.TipoArredondamento="TransfereGOV",$L85="F",$C85="S",LEFT(TRIM(UPPER($P85)),6)&lt;&gt;"SINAPI",ISNA(VLOOKUP(TRIM(UPPER($S85)),ListaTgov.Unidades,1,FALSE))),"Unid. Não Disp",
" "))))))))))))))))</f>
        <v>SEM CUSTO</v>
      </c>
      <c r="AD85" t="str">
        <f ca="1">IF(C85&lt;=CRONO.NivelExibicao,MAX($AD$15:OFFSET(AD85,-1,0))+IF($C85&lt;&gt;1,1,MAX(1,COUNTIF(QCI!$A$13:$A$24,OFFSET($E85,-1,0)))),"")</f>
        <v/>
      </c>
      <c r="AE85" s="7" t="str">
        <f ca="1">IF(AND($C85="S",ORÇAMENTO.CodBarra&lt;&gt;""),IF(ORÇAMENTO.Fonte="",ORÇAMENTO.CodBarra,CONCATENATE(ORÇAMENTO.Fonte," ",ORÇAMENTO.CodBarra)))</f>
        <v>SINAPI 97668</v>
      </c>
      <c r="AF85" s="12" t="str">
        <f ca="1">IF(ISERROR(INDIRECT(ORÇAMENTO.BancoRef)),"(abra o arquivo 'Referência "&amp;Excel_BuiltIn_Database&amp;".xlsm)",IF(OR($C85&lt;&gt;"S",ORÇAMENTO.CodBarra=""),"(Sem Código)",IF(ISERROR(MATCH($AE85,INDIRECT(ORÇAMENTO.BancoRef),0)),"(Código não identificado nas referências)",MATCH($AE85,INDIRECT(ORÇAMENTO.BancoRef),0))))</f>
        <v>(abra o arquivo 'Referência 12-2024.xlsm)</v>
      </c>
      <c r="AG85" s="429">
        <f ca="1">ROUND(IF(DESONERACAO="sim",REFERENCIA.Desonerado,REFERENCIA.NaoDesonerado),2)</f>
        <v>0</v>
      </c>
      <c r="AH85" s="430">
        <f t="shared" ca="1" si="32"/>
        <v>0.31190000000000001</v>
      </c>
      <c r="AJ85" s="432">
        <v>90</v>
      </c>
      <c r="AL85" s="440"/>
      <c r="AM85" s="337">
        <f t="shared" ca="1" si="0"/>
        <v>0</v>
      </c>
      <c r="AN85" s="471">
        <f t="shared" ca="1" si="33"/>
        <v>0</v>
      </c>
    </row>
    <row r="86" spans="1:40" ht="38.25" x14ac:dyDescent="0.2">
      <c r="A86" t="str">
        <f t="shared" si="18"/>
        <v>S</v>
      </c>
      <c r="B86">
        <f t="shared" ca="1" si="19"/>
        <v>2</v>
      </c>
      <c r="C86" t="str">
        <f t="shared" ca="1" si="20"/>
        <v>S</v>
      </c>
      <c r="D86">
        <f t="shared" ca="1" si="21"/>
        <v>0</v>
      </c>
      <c r="E86">
        <f ca="1">IF($C86=1,OFFSET(E86,-1,0)+MAX(1,COUNTIF(QCI!$A$13:$A$24,OFFSET(ORÇAMENTO!E86,-1,0))),OFFSET(E86,-1,0))</f>
        <v>1</v>
      </c>
      <c r="F86">
        <f t="shared" ca="1" si="22"/>
        <v>9</v>
      </c>
      <c r="G86">
        <f t="shared" ca="1" si="23"/>
        <v>0</v>
      </c>
      <c r="H86">
        <f t="shared" ca="1" si="24"/>
        <v>0</v>
      </c>
      <c r="I86">
        <f t="shared" ca="1" si="25"/>
        <v>0</v>
      </c>
      <c r="J86">
        <f t="shared" ca="1" si="26"/>
        <v>0</v>
      </c>
      <c r="K86">
        <f ca="1">IF(OR($C86="S",$C86=0),0,MATCH(OFFSET($D86,0,$C86)+IF($C86&lt;&gt;1,1,COUNTIF(QCI!$A$13:$A$24,ORÇAMENTO!E86)),OFFSET($D86,1,$C86,ROW($C$405)-ROW($C86)),0))</f>
        <v>0</v>
      </c>
      <c r="L86" s="115" t="str">
        <f t="shared" ca="1" si="27"/>
        <v/>
      </c>
      <c r="M86" s="116" t="s">
        <v>706</v>
      </c>
      <c r="N86" s="117" t="str">
        <f t="shared" ca="1" si="28"/>
        <v>Serviço</v>
      </c>
      <c r="O86" s="118" t="str">
        <f t="shared" ca="1" si="29"/>
        <v>-</v>
      </c>
      <c r="P86" s="119" t="s">
        <v>751</v>
      </c>
      <c r="Q86" s="120" t="s">
        <v>1004</v>
      </c>
      <c r="R86" s="121" t="s">
        <v>1380</v>
      </c>
      <c r="S86" s="122" t="s">
        <v>621</v>
      </c>
      <c r="T86" s="123">
        <f ca="1">OFFSET(CÁLCULO!H$15,ROW($T86)-ROW(T$15),0)</f>
        <v>60</v>
      </c>
      <c r="U86" s="124"/>
      <c r="V86" s="125" t="s">
        <v>663</v>
      </c>
      <c r="W86" s="123">
        <f ca="1">IF($C86="S",ROUND(IF(TIPOORCAMENTO="Proposto",ORÇAMENTO.CustoUnitario*(1+$AH86),ORÇAMENTO.PrecoUnitarioLicitado),15-13*$AF$10),0)</f>
        <v>0</v>
      </c>
      <c r="X86" s="126" cm="1">
        <f t="array" aca="1" ref="X86" ca="1">IF($C86="S",IF(OR(Import.TipoArredondamento&lt;&gt;"TransfereGOV",ACOMPANHAMENTO="BM"),VTOTAL1,SUM(OFFSET(CÁLCULO!$AA$15,ROW($X86)-ROW($X$15),1):OFFSET(CÁLCULO!$AL$15,ROW($X86)-ROW($X$15),-1))),IF($C86=0,0,ROUND(SomaAgrup,15-13*$AF$11)))</f>
        <v>0</v>
      </c>
      <c r="Y86" s="127" t="s">
        <v>752</v>
      </c>
      <c r="Z86" t="str">
        <f t="shared" ca="1" si="30"/>
        <v/>
      </c>
      <c r="AA86" s="128">
        <f ca="1">IF($C86="S",IF($Z86="CP",$X86,IF($Z86="RA",(($X86)*QCI!$AA$3),0)),SomaAgrup)</f>
        <v>0</v>
      </c>
      <c r="AB86" s="129">
        <f t="shared" ca="1" si="31"/>
        <v>0</v>
      </c>
      <c r="AC86" s="567" t="str">
        <f ca="1">IF($N86=""," ",
IF(AND($C86&lt;&gt;"S",OR($R86="",$R86="(digite a descrição aqui)")),"DESCRIÇÃO",
IF(AND($C86="S",OR($Q86&lt;&gt;0,$T86&gt;0,$U86&gt;0),$P86=0),"FONTE",
IF(AND($C86="S",$P86&lt;&gt;0,OR($T86&gt;0,$U86&gt;0),$Q86=0),"CÓDIGO",
IF(AND($C86="S",$P86&lt;&gt;0,$Q86&lt;&gt;0,$R86="(Código não identificado nas referências)"),"CÓDIGO N/ID",
IF(AND($C86="S",OR($R86="",$R86="(digite a descrição aqui)"),OR($Q86&lt;&gt;0,$T86&gt;0,$U86&gt;0)),"DESCRIÇÃO",
IF(AND($C86="S",$P86&lt;&gt;0,$Q86&lt;&gt;0,$S86=""),"UNIDADE",
IF(AND($C86="S",$P86&lt;&gt;0,$Q86&lt;&gt;0,$U86=0),"SEM CUSTO",
IF(AND(TIPOORCAMENTO="Licitado",$AL86=0,$AN86&gt;0),"SEM PREÇO",
IF(AND($C86="S",$P86&lt;&gt;0,$Q86&lt;&gt;0,$U86&gt;0,$V86=0),"BDI",
IF(OR(AND(TIPOORCAMENTO="Proposto",$AG86&lt;&gt;"",$AG86&gt;0,ORÇAMENTO.CustoUnitario&gt;$AG86),AND(TIPOORCAMENTO="LICITADO",ORÇAMENTO.PrecoUnitarioLicitado&gt;$AN86)),"ACIMA REF.",
IF(AND($C86="S",$P86&lt;&gt;0,$Q86&lt;&gt;0,$T86=0,$U86&gt;0),"QUANT.",
IF(AND(Import.TipoArredondamento="TransfereGOV",$L86="F",$C86="S",LEN($Q86)&gt;13),"Código &gt;13",
IF(AND(Import.TipoArredondamento="TransfereGOV",$L86="F",$C86&lt;&gt;"S",LEN($R86)&gt;100),"Descrição &gt;100",
IF(AND(Import.TipoArredondamento="TransfereGOV",$L86="F",$C86="S",LEN($R86)&gt;500),"Descrição &gt;500",
IF(AND(Import.TipoArredondamento="TransfereGOV",$L86="F",$C86="S",LEFT(TRIM(UPPER($P86)),6)&lt;&gt;"SINAPI",ISNA(VLOOKUP(TRIM(UPPER($S86)),ListaTgov.Unidades,1,FALSE))),"Unid. Não Disp",
" "))))))))))))))))</f>
        <v>SEM CUSTO</v>
      </c>
      <c r="AD86" t="str">
        <f ca="1">IF(C86&lt;=CRONO.NivelExibicao,MAX($AD$15:OFFSET(AD86,-1,0))+IF($C86&lt;&gt;1,1,MAX(1,COUNTIF(QCI!$A$13:$A$24,OFFSET($E86,-1,0)))),"")</f>
        <v/>
      </c>
      <c r="AE86" s="7" t="str">
        <f ca="1">IF(AND($C86="S",ORÇAMENTO.CodBarra&lt;&gt;""),IF(ORÇAMENTO.Fonte="",ORÇAMENTO.CodBarra,CONCATENATE(ORÇAMENTO.Fonte," ",ORÇAMENTO.CodBarra)))</f>
        <v>SINAPI 91840</v>
      </c>
      <c r="AF86" s="12" t="str">
        <f ca="1">IF(ISERROR(INDIRECT(ORÇAMENTO.BancoRef)),"(abra o arquivo 'Referência "&amp;Excel_BuiltIn_Database&amp;".xlsm)",IF(OR($C86&lt;&gt;"S",ORÇAMENTO.CodBarra=""),"(Sem Código)",IF(ISERROR(MATCH($AE86,INDIRECT(ORÇAMENTO.BancoRef),0)),"(Código não identificado nas referências)",MATCH($AE86,INDIRECT(ORÇAMENTO.BancoRef),0))))</f>
        <v>(abra o arquivo 'Referência 12-2024.xlsm)</v>
      </c>
      <c r="AG86" s="429">
        <f ca="1">ROUND(IF(DESONERACAO="sim",REFERENCIA.Desonerado,REFERENCIA.NaoDesonerado),2)</f>
        <v>0</v>
      </c>
      <c r="AH86" s="430">
        <f t="shared" ca="1" si="32"/>
        <v>0.31190000000000001</v>
      </c>
      <c r="AJ86" s="432">
        <v>60</v>
      </c>
      <c r="AL86" s="440"/>
      <c r="AM86" s="337">
        <f t="shared" ca="1" si="0"/>
        <v>0</v>
      </c>
      <c r="AN86" s="471">
        <f t="shared" ca="1" si="33"/>
        <v>0</v>
      </c>
    </row>
    <row r="87" spans="1:40" ht="25.5" x14ac:dyDescent="0.2">
      <c r="A87" t="str">
        <f t="shared" si="18"/>
        <v>S</v>
      </c>
      <c r="B87">
        <f t="shared" ca="1" si="19"/>
        <v>2</v>
      </c>
      <c r="C87" t="str">
        <f t="shared" ca="1" si="20"/>
        <v>S</v>
      </c>
      <c r="D87">
        <f t="shared" ca="1" si="21"/>
        <v>0</v>
      </c>
      <c r="E87">
        <f ca="1">IF($C87=1,OFFSET(E87,-1,0)+MAX(1,COUNTIF(QCI!$A$13:$A$24,OFFSET(ORÇAMENTO!E87,-1,0))),OFFSET(E87,-1,0))</f>
        <v>1</v>
      </c>
      <c r="F87">
        <f t="shared" ca="1" si="22"/>
        <v>9</v>
      </c>
      <c r="G87">
        <f t="shared" ca="1" si="23"/>
        <v>0</v>
      </c>
      <c r="H87">
        <f t="shared" ca="1" si="24"/>
        <v>0</v>
      </c>
      <c r="I87">
        <f t="shared" ca="1" si="25"/>
        <v>0</v>
      </c>
      <c r="J87">
        <f t="shared" ca="1" si="26"/>
        <v>0</v>
      </c>
      <c r="K87">
        <f ca="1">IF(OR($C87="S",$C87=0),0,MATCH(OFFSET($D87,0,$C87)+IF($C87&lt;&gt;1,1,COUNTIF(QCI!$A$13:$A$24,ORÇAMENTO!E87)),OFFSET($D87,1,$C87,ROW($C$405)-ROW($C87)),0))</f>
        <v>0</v>
      </c>
      <c r="L87" s="115" t="str">
        <f t="shared" ca="1" si="27"/>
        <v/>
      </c>
      <c r="M87" s="116" t="s">
        <v>706</v>
      </c>
      <c r="N87" s="117" t="str">
        <f t="shared" ca="1" si="28"/>
        <v>Serviço</v>
      </c>
      <c r="O87" s="118" t="str">
        <f t="shared" ca="1" si="29"/>
        <v>-</v>
      </c>
      <c r="P87" s="119" t="s">
        <v>1313</v>
      </c>
      <c r="Q87" s="120" t="s">
        <v>1005</v>
      </c>
      <c r="R87" s="121" t="s">
        <v>1381</v>
      </c>
      <c r="S87" s="122" t="s">
        <v>639</v>
      </c>
      <c r="T87" s="123">
        <f ca="1">OFFSET(CÁLCULO!H$15,ROW($T87)-ROW(T$15),0)</f>
        <v>21</v>
      </c>
      <c r="U87" s="124"/>
      <c r="V87" s="125" t="s">
        <v>663</v>
      </c>
      <c r="W87" s="123">
        <f ca="1">IF($C87="S",ROUND(IF(TIPOORCAMENTO="Proposto",ORÇAMENTO.CustoUnitario*(1+$AH87),ORÇAMENTO.PrecoUnitarioLicitado),15-13*$AF$10),0)</f>
        <v>0</v>
      </c>
      <c r="X87" s="126" cm="1">
        <f t="array" aca="1" ref="X87" ca="1">IF($C87="S",IF(OR(Import.TipoArredondamento&lt;&gt;"TransfereGOV",ACOMPANHAMENTO="BM"),VTOTAL1,SUM(OFFSET(CÁLCULO!$AA$15,ROW($X87)-ROW($X$15),1):OFFSET(CÁLCULO!$AL$15,ROW($X87)-ROW($X$15),-1))),IF($C87=0,0,ROUND(SomaAgrup,15-13*$AF$11)))</f>
        <v>0</v>
      </c>
      <c r="Y87" s="127" t="s">
        <v>752</v>
      </c>
      <c r="Z87" t="str">
        <f t="shared" ca="1" si="30"/>
        <v/>
      </c>
      <c r="AA87" s="128">
        <f ca="1">IF($C87="S",IF($Z87="CP",$X87,IF($Z87="RA",(($X87)*QCI!$AA$3),0)),SomaAgrup)</f>
        <v>0</v>
      </c>
      <c r="AB87" s="129">
        <f t="shared" ca="1" si="31"/>
        <v>0</v>
      </c>
      <c r="AC87" s="567" t="str">
        <f ca="1">IF($N87=""," ",
IF(AND($C87&lt;&gt;"S",OR($R87="",$R87="(digite a descrição aqui)")),"DESCRIÇÃO",
IF(AND($C87="S",OR($Q87&lt;&gt;0,$T87&gt;0,$U87&gt;0),$P87=0),"FONTE",
IF(AND($C87="S",$P87&lt;&gt;0,OR($T87&gt;0,$U87&gt;0),$Q87=0),"CÓDIGO",
IF(AND($C87="S",$P87&lt;&gt;0,$Q87&lt;&gt;0,$R87="(Código não identificado nas referências)"),"CÓDIGO N/ID",
IF(AND($C87="S",OR($R87="",$R87="(digite a descrição aqui)"),OR($Q87&lt;&gt;0,$T87&gt;0,$U87&gt;0)),"DESCRIÇÃO",
IF(AND($C87="S",$P87&lt;&gt;0,$Q87&lt;&gt;0,$S87=""),"UNIDADE",
IF(AND($C87="S",$P87&lt;&gt;0,$Q87&lt;&gt;0,$U87=0),"SEM CUSTO",
IF(AND(TIPOORCAMENTO="Licitado",$AL87=0,$AN87&gt;0),"SEM PREÇO",
IF(AND($C87="S",$P87&lt;&gt;0,$Q87&lt;&gt;0,$U87&gt;0,$V87=0),"BDI",
IF(OR(AND(TIPOORCAMENTO="Proposto",$AG87&lt;&gt;"",$AG87&gt;0,ORÇAMENTO.CustoUnitario&gt;$AG87),AND(TIPOORCAMENTO="LICITADO",ORÇAMENTO.PrecoUnitarioLicitado&gt;$AN87)),"ACIMA REF.",
IF(AND($C87="S",$P87&lt;&gt;0,$Q87&lt;&gt;0,$T87=0,$U87&gt;0),"QUANT.",
IF(AND(Import.TipoArredondamento="TransfereGOV",$L87="F",$C87="S",LEN($Q87)&gt;13),"Código &gt;13",
IF(AND(Import.TipoArredondamento="TransfereGOV",$L87="F",$C87&lt;&gt;"S",LEN($R87)&gt;100),"Descrição &gt;100",
IF(AND(Import.TipoArredondamento="TransfereGOV",$L87="F",$C87="S",LEN($R87)&gt;500),"Descrição &gt;500",
IF(AND(Import.TipoArredondamento="TransfereGOV",$L87="F",$C87="S",LEFT(TRIM(UPPER($P87)),6)&lt;&gt;"SINAPI",ISNA(VLOOKUP(TRIM(UPPER($S87)),ListaTgov.Unidades,1,FALSE))),"Unid. Não Disp",
" "))))))))))))))))</f>
        <v>SEM CUSTO</v>
      </c>
      <c r="AD87" t="str">
        <f ca="1">IF(C87&lt;=CRONO.NivelExibicao,MAX($AD$15:OFFSET(AD87,-1,0))+IF($C87&lt;&gt;1,1,MAX(1,COUNTIF(QCI!$A$13:$A$24,OFFSET($E87,-1,0)))),"")</f>
        <v/>
      </c>
      <c r="AE87" s="7" t="str">
        <f ca="1">IF(AND($C87="S",ORÇAMENTO.CodBarra&lt;&gt;""),IF(ORÇAMENTO.Fonte="",ORÇAMENTO.CodBarra,CONCATENATE(ORÇAMENTO.Fonte," ",ORÇAMENTO.CodBarra)))</f>
        <v>Cotação 145</v>
      </c>
      <c r="AF87" s="12" t="str">
        <f ca="1">IF(ISERROR(INDIRECT(ORÇAMENTO.BancoRef)),"(abra o arquivo 'Referência "&amp;Excel_BuiltIn_Database&amp;".xlsm)",IF(OR($C87&lt;&gt;"S",ORÇAMENTO.CodBarra=""),"(Sem Código)",IF(ISERROR(MATCH($AE87,INDIRECT(ORÇAMENTO.BancoRef),0)),"(Código não identificado nas referências)",MATCH($AE87,INDIRECT(ORÇAMENTO.BancoRef),0))))</f>
        <v>(abra o arquivo 'Referência 12-2024.xlsm)</v>
      </c>
      <c r="AG87" s="429">
        <f ca="1">ROUND(IF(DESONERACAO="sim",REFERENCIA.Desonerado,REFERENCIA.NaoDesonerado),2)</f>
        <v>0</v>
      </c>
      <c r="AH87" s="430">
        <f t="shared" ca="1" si="32"/>
        <v>0.31190000000000001</v>
      </c>
      <c r="AJ87" s="432">
        <v>21</v>
      </c>
      <c r="AL87" s="440"/>
      <c r="AM87" s="337">
        <f t="shared" ca="1" si="0"/>
        <v>0</v>
      </c>
      <c r="AN87" s="471">
        <f t="shared" ca="1" si="33"/>
        <v>0</v>
      </c>
    </row>
    <row r="88" spans="1:40" ht="25.5" x14ac:dyDescent="0.2">
      <c r="A88" t="str">
        <f t="shared" si="18"/>
        <v>S</v>
      </c>
      <c r="B88">
        <f t="shared" ca="1" si="19"/>
        <v>2</v>
      </c>
      <c r="C88" t="str">
        <f t="shared" ca="1" si="20"/>
        <v>S</v>
      </c>
      <c r="D88">
        <f t="shared" ca="1" si="21"/>
        <v>0</v>
      </c>
      <c r="E88">
        <f ca="1">IF($C88=1,OFFSET(E88,-1,0)+MAX(1,COUNTIF(QCI!$A$13:$A$24,OFFSET(ORÇAMENTO!E88,-1,0))),OFFSET(E88,-1,0))</f>
        <v>1</v>
      </c>
      <c r="F88">
        <f t="shared" ca="1" si="22"/>
        <v>9</v>
      </c>
      <c r="G88">
        <f t="shared" ca="1" si="23"/>
        <v>0</v>
      </c>
      <c r="H88">
        <f t="shared" ca="1" si="24"/>
        <v>0</v>
      </c>
      <c r="I88">
        <f t="shared" ca="1" si="25"/>
        <v>0</v>
      </c>
      <c r="J88">
        <f t="shared" ca="1" si="26"/>
        <v>0</v>
      </c>
      <c r="K88">
        <f ca="1">IF(OR($C88="S",$C88=0),0,MATCH(OFFSET($D88,0,$C88)+IF($C88&lt;&gt;1,1,COUNTIF(QCI!$A$13:$A$24,ORÇAMENTO!E88)),OFFSET($D88,1,$C88,ROW($C$405)-ROW($C88)),0))</f>
        <v>0</v>
      </c>
      <c r="L88" s="115" t="str">
        <f t="shared" ca="1" si="27"/>
        <v/>
      </c>
      <c r="M88" s="116" t="s">
        <v>706</v>
      </c>
      <c r="N88" s="117" t="str">
        <f t="shared" ca="1" si="28"/>
        <v>Serviço</v>
      </c>
      <c r="O88" s="118" t="str">
        <f t="shared" ca="1" si="29"/>
        <v>-</v>
      </c>
      <c r="P88" s="119" t="s">
        <v>1313</v>
      </c>
      <c r="Q88" s="120" t="s">
        <v>1006</v>
      </c>
      <c r="R88" s="121" t="s">
        <v>1382</v>
      </c>
      <c r="S88" s="122" t="s">
        <v>639</v>
      </c>
      <c r="T88" s="123">
        <f ca="1">OFFSET(CÁLCULO!H$15,ROW($T88)-ROW(T$15),0)</f>
        <v>34</v>
      </c>
      <c r="U88" s="124"/>
      <c r="V88" s="125" t="s">
        <v>663</v>
      </c>
      <c r="W88" s="123">
        <f ca="1">IF($C88="S",ROUND(IF(TIPOORCAMENTO="Proposto",ORÇAMENTO.CustoUnitario*(1+$AH88),ORÇAMENTO.PrecoUnitarioLicitado),15-13*$AF$10),0)</f>
        <v>0</v>
      </c>
      <c r="X88" s="126" cm="1">
        <f t="array" aca="1" ref="X88" ca="1">IF($C88="S",IF(OR(Import.TipoArredondamento&lt;&gt;"TransfereGOV",ACOMPANHAMENTO="BM"),VTOTAL1,SUM(OFFSET(CÁLCULO!$AA$15,ROW($X88)-ROW($X$15),1):OFFSET(CÁLCULO!$AL$15,ROW($X88)-ROW($X$15),-1))),IF($C88=0,0,ROUND(SomaAgrup,15-13*$AF$11)))</f>
        <v>0</v>
      </c>
      <c r="Y88" s="127" t="s">
        <v>752</v>
      </c>
      <c r="Z88" t="str">
        <f t="shared" ca="1" si="30"/>
        <v/>
      </c>
      <c r="AA88" s="128">
        <f ca="1">IF($C88="S",IF($Z88="CP",$X88,IF($Z88="RA",(($X88)*QCI!$AA$3),0)),SomaAgrup)</f>
        <v>0</v>
      </c>
      <c r="AB88" s="129">
        <f t="shared" ca="1" si="31"/>
        <v>0</v>
      </c>
      <c r="AC88" s="567" t="str">
        <f ca="1">IF($N88=""," ",
IF(AND($C88&lt;&gt;"S",OR($R88="",$R88="(digite a descrição aqui)")),"DESCRIÇÃO",
IF(AND($C88="S",OR($Q88&lt;&gt;0,$T88&gt;0,$U88&gt;0),$P88=0),"FONTE",
IF(AND($C88="S",$P88&lt;&gt;0,OR($T88&gt;0,$U88&gt;0),$Q88=0),"CÓDIGO",
IF(AND($C88="S",$P88&lt;&gt;0,$Q88&lt;&gt;0,$R88="(Código não identificado nas referências)"),"CÓDIGO N/ID",
IF(AND($C88="S",OR($R88="",$R88="(digite a descrição aqui)"),OR($Q88&lt;&gt;0,$T88&gt;0,$U88&gt;0)),"DESCRIÇÃO",
IF(AND($C88="S",$P88&lt;&gt;0,$Q88&lt;&gt;0,$S88=""),"UNIDADE",
IF(AND($C88="S",$P88&lt;&gt;0,$Q88&lt;&gt;0,$U88=0),"SEM CUSTO",
IF(AND(TIPOORCAMENTO="Licitado",$AL88=0,$AN88&gt;0),"SEM PREÇO",
IF(AND($C88="S",$P88&lt;&gt;0,$Q88&lt;&gt;0,$U88&gt;0,$V88=0),"BDI",
IF(OR(AND(TIPOORCAMENTO="Proposto",$AG88&lt;&gt;"",$AG88&gt;0,ORÇAMENTO.CustoUnitario&gt;$AG88),AND(TIPOORCAMENTO="LICITADO",ORÇAMENTO.PrecoUnitarioLicitado&gt;$AN88)),"ACIMA REF.",
IF(AND($C88="S",$P88&lt;&gt;0,$Q88&lt;&gt;0,$T88=0,$U88&gt;0),"QUANT.",
IF(AND(Import.TipoArredondamento="TransfereGOV",$L88="F",$C88="S",LEN($Q88)&gt;13),"Código &gt;13",
IF(AND(Import.TipoArredondamento="TransfereGOV",$L88="F",$C88&lt;&gt;"S",LEN($R88)&gt;100),"Descrição &gt;100",
IF(AND(Import.TipoArredondamento="TransfereGOV",$L88="F",$C88="S",LEN($R88)&gt;500),"Descrição &gt;500",
IF(AND(Import.TipoArredondamento="TransfereGOV",$L88="F",$C88="S",LEFT(TRIM(UPPER($P88)),6)&lt;&gt;"SINAPI",ISNA(VLOOKUP(TRIM(UPPER($S88)),ListaTgov.Unidades,1,FALSE))),"Unid. Não Disp",
" "))))))))))))))))</f>
        <v>SEM CUSTO</v>
      </c>
      <c r="AD88" t="str">
        <f ca="1">IF(C88&lt;=CRONO.NivelExibicao,MAX($AD$15:OFFSET(AD88,-1,0))+IF($C88&lt;&gt;1,1,MAX(1,COUNTIF(QCI!$A$13:$A$24,OFFSET($E88,-1,0)))),"")</f>
        <v/>
      </c>
      <c r="AE88" s="7" t="str">
        <f ca="1">IF(AND($C88="S",ORÇAMENTO.CodBarra&lt;&gt;""),IF(ORÇAMENTO.Fonte="",ORÇAMENTO.CodBarra,CONCATENATE(ORÇAMENTO.Fonte," ",ORÇAMENTO.CodBarra)))</f>
        <v>Cotação 146</v>
      </c>
      <c r="AF88" s="12" t="str">
        <f ca="1">IF(ISERROR(INDIRECT(ORÇAMENTO.BancoRef)),"(abra o arquivo 'Referência "&amp;Excel_BuiltIn_Database&amp;".xlsm)",IF(OR($C88&lt;&gt;"S",ORÇAMENTO.CodBarra=""),"(Sem Código)",IF(ISERROR(MATCH($AE88,INDIRECT(ORÇAMENTO.BancoRef),0)),"(Código não identificado nas referências)",MATCH($AE88,INDIRECT(ORÇAMENTO.BancoRef),0))))</f>
        <v>(abra o arquivo 'Referência 12-2024.xlsm)</v>
      </c>
      <c r="AG88" s="429">
        <f ca="1">ROUND(IF(DESONERACAO="sim",REFERENCIA.Desonerado,REFERENCIA.NaoDesonerado),2)</f>
        <v>0</v>
      </c>
      <c r="AH88" s="430">
        <f t="shared" ca="1" si="32"/>
        <v>0.31190000000000001</v>
      </c>
      <c r="AJ88" s="432">
        <v>34</v>
      </c>
      <c r="AL88" s="440"/>
      <c r="AM88" s="337">
        <f t="shared" ca="1" si="0"/>
        <v>0</v>
      </c>
      <c r="AN88" s="471">
        <f t="shared" ca="1" si="33"/>
        <v>0</v>
      </c>
    </row>
    <row r="89" spans="1:40" ht="51" x14ac:dyDescent="0.2">
      <c r="A89" t="str">
        <f t="shared" si="18"/>
        <v>S</v>
      </c>
      <c r="B89">
        <f t="shared" ca="1" si="19"/>
        <v>2</v>
      </c>
      <c r="C89" t="str">
        <f t="shared" ca="1" si="20"/>
        <v>S</v>
      </c>
      <c r="D89">
        <f t="shared" ca="1" si="21"/>
        <v>0</v>
      </c>
      <c r="E89">
        <f ca="1">IF($C89=1,OFFSET(E89,-1,0)+MAX(1,COUNTIF(QCI!$A$13:$A$24,OFFSET(ORÇAMENTO!E89,-1,0))),OFFSET(E89,-1,0))</f>
        <v>1</v>
      </c>
      <c r="F89">
        <f t="shared" ca="1" si="22"/>
        <v>9</v>
      </c>
      <c r="G89">
        <f t="shared" ca="1" si="23"/>
        <v>0</v>
      </c>
      <c r="H89">
        <f t="shared" ca="1" si="24"/>
        <v>0</v>
      </c>
      <c r="I89">
        <f t="shared" ca="1" si="25"/>
        <v>0</v>
      </c>
      <c r="J89">
        <f t="shared" ca="1" si="26"/>
        <v>0</v>
      </c>
      <c r="K89">
        <f ca="1">IF(OR($C89="S",$C89=0),0,MATCH(OFFSET($D89,0,$C89)+IF($C89&lt;&gt;1,1,COUNTIF(QCI!$A$13:$A$24,ORÇAMENTO!E89)),OFFSET($D89,1,$C89,ROW($C$405)-ROW($C89)),0))</f>
        <v>0</v>
      </c>
      <c r="L89" s="115" t="str">
        <f t="shared" ca="1" si="27"/>
        <v/>
      </c>
      <c r="M89" s="116" t="s">
        <v>706</v>
      </c>
      <c r="N89" s="117" t="str">
        <f t="shared" ca="1" si="28"/>
        <v>Serviço</v>
      </c>
      <c r="O89" s="118" t="str">
        <f t="shared" ca="1" si="29"/>
        <v>-</v>
      </c>
      <c r="P89" s="119" t="s">
        <v>751</v>
      </c>
      <c r="Q89" s="120" t="s">
        <v>1007</v>
      </c>
      <c r="R89" s="121" t="s">
        <v>1383</v>
      </c>
      <c r="S89" s="122" t="s">
        <v>621</v>
      </c>
      <c r="T89" s="123">
        <f ca="1">OFFSET(CÁLCULO!H$15,ROW($T89)-ROW(T$15),0)</f>
        <v>50</v>
      </c>
      <c r="U89" s="124"/>
      <c r="V89" s="125" t="s">
        <v>663</v>
      </c>
      <c r="W89" s="123">
        <f ca="1">IF($C89="S",ROUND(IF(TIPOORCAMENTO="Proposto",ORÇAMENTO.CustoUnitario*(1+$AH89),ORÇAMENTO.PrecoUnitarioLicitado),15-13*$AF$10),0)</f>
        <v>0</v>
      </c>
      <c r="X89" s="126" cm="1">
        <f t="array" aca="1" ref="X89" ca="1">IF($C89="S",IF(OR(Import.TipoArredondamento&lt;&gt;"TransfereGOV",ACOMPANHAMENTO="BM"),VTOTAL1,SUM(OFFSET(CÁLCULO!$AA$15,ROW($X89)-ROW($X$15),1):OFFSET(CÁLCULO!$AL$15,ROW($X89)-ROW($X$15),-1))),IF($C89=0,0,ROUND(SomaAgrup,15-13*$AF$11)))</f>
        <v>0</v>
      </c>
      <c r="Y89" s="127" t="s">
        <v>752</v>
      </c>
      <c r="Z89" t="str">
        <f t="shared" ca="1" si="30"/>
        <v/>
      </c>
      <c r="AA89" s="128">
        <f ca="1">IF($C89="S",IF($Z89="CP",$X89,IF($Z89="RA",(($X89)*QCI!$AA$3),0)),SomaAgrup)</f>
        <v>0</v>
      </c>
      <c r="AB89" s="129">
        <f t="shared" ca="1" si="31"/>
        <v>0</v>
      </c>
      <c r="AC89" s="567" t="str">
        <f ca="1">IF($N89=""," ",
IF(AND($C89&lt;&gt;"S",OR($R89="",$R89="(digite a descrição aqui)")),"DESCRIÇÃO",
IF(AND($C89="S",OR($Q89&lt;&gt;0,$T89&gt;0,$U89&gt;0),$P89=0),"FONTE",
IF(AND($C89="S",$P89&lt;&gt;0,OR($T89&gt;0,$U89&gt;0),$Q89=0),"CÓDIGO",
IF(AND($C89="S",$P89&lt;&gt;0,$Q89&lt;&gt;0,$R89="(Código não identificado nas referências)"),"CÓDIGO N/ID",
IF(AND($C89="S",OR($R89="",$R89="(digite a descrição aqui)"),OR($Q89&lt;&gt;0,$T89&gt;0,$U89&gt;0)),"DESCRIÇÃO",
IF(AND($C89="S",$P89&lt;&gt;0,$Q89&lt;&gt;0,$S89=""),"UNIDADE",
IF(AND($C89="S",$P89&lt;&gt;0,$Q89&lt;&gt;0,$U89=0),"SEM CUSTO",
IF(AND(TIPOORCAMENTO="Licitado",$AL89=0,$AN89&gt;0),"SEM PREÇO",
IF(AND($C89="S",$P89&lt;&gt;0,$Q89&lt;&gt;0,$U89&gt;0,$V89=0),"BDI",
IF(OR(AND(TIPOORCAMENTO="Proposto",$AG89&lt;&gt;"",$AG89&gt;0,ORÇAMENTO.CustoUnitario&gt;$AG89),AND(TIPOORCAMENTO="LICITADO",ORÇAMENTO.PrecoUnitarioLicitado&gt;$AN89)),"ACIMA REF.",
IF(AND($C89="S",$P89&lt;&gt;0,$Q89&lt;&gt;0,$T89=0,$U89&gt;0),"QUANT.",
IF(AND(Import.TipoArredondamento="TransfereGOV",$L89="F",$C89="S",LEN($Q89)&gt;13),"Código &gt;13",
IF(AND(Import.TipoArredondamento="TransfereGOV",$L89="F",$C89&lt;&gt;"S",LEN($R89)&gt;100),"Descrição &gt;100",
IF(AND(Import.TipoArredondamento="TransfereGOV",$L89="F",$C89="S",LEN($R89)&gt;500),"Descrição &gt;500",
IF(AND(Import.TipoArredondamento="TransfereGOV",$L89="F",$C89="S",LEFT(TRIM(UPPER($P89)),6)&lt;&gt;"SINAPI",ISNA(VLOOKUP(TRIM(UPPER($S89)),ListaTgov.Unidades,1,FALSE))),"Unid. Não Disp",
" "))))))))))))))))</f>
        <v>SEM CUSTO</v>
      </c>
      <c r="AD89" t="str">
        <f ca="1">IF(C89&lt;=CRONO.NivelExibicao,MAX($AD$15:OFFSET(AD89,-1,0))+IF($C89&lt;&gt;1,1,MAX(1,COUNTIF(QCI!$A$13:$A$24,OFFSET($E89,-1,0)))),"")</f>
        <v/>
      </c>
      <c r="AE89" s="7" t="str">
        <f ca="1">IF(AND($C89="S",ORÇAMENTO.CodBarra&lt;&gt;""),IF(ORÇAMENTO.Fonte="",ORÇAMENTO.CodBarra,CONCATENATE(ORÇAMENTO.Fonte," ",ORÇAMENTO.CodBarra)))</f>
        <v>SINAPI 96562</v>
      </c>
      <c r="AF89" s="12" t="str">
        <f ca="1">IF(ISERROR(INDIRECT(ORÇAMENTO.BancoRef)),"(abra o arquivo 'Referência "&amp;Excel_BuiltIn_Database&amp;".xlsm)",IF(OR($C89&lt;&gt;"S",ORÇAMENTO.CodBarra=""),"(Sem Código)",IF(ISERROR(MATCH($AE89,INDIRECT(ORÇAMENTO.BancoRef),0)),"(Código não identificado nas referências)",MATCH($AE89,INDIRECT(ORÇAMENTO.BancoRef),0))))</f>
        <v>(abra o arquivo 'Referência 12-2024.xlsm)</v>
      </c>
      <c r="AG89" s="429">
        <f ca="1">ROUND(IF(DESONERACAO="sim",REFERENCIA.Desonerado,REFERENCIA.NaoDesonerado),2)</f>
        <v>0</v>
      </c>
      <c r="AH89" s="430">
        <f t="shared" ca="1" si="32"/>
        <v>0.31190000000000001</v>
      </c>
      <c r="AJ89" s="432">
        <v>50</v>
      </c>
      <c r="AL89" s="440"/>
      <c r="AM89" s="337">
        <f t="shared" ca="1" si="0"/>
        <v>0</v>
      </c>
      <c r="AN89" s="471">
        <f t="shared" ca="1" si="33"/>
        <v>0</v>
      </c>
    </row>
    <row r="90" spans="1:40" ht="25.5" x14ac:dyDescent="0.2">
      <c r="A90" t="str">
        <f t="shared" si="18"/>
        <v>S</v>
      </c>
      <c r="B90">
        <f t="shared" ca="1" si="19"/>
        <v>2</v>
      </c>
      <c r="C90" t="str">
        <f t="shared" ca="1" si="20"/>
        <v>S</v>
      </c>
      <c r="D90">
        <f t="shared" ca="1" si="21"/>
        <v>0</v>
      </c>
      <c r="E90">
        <f ca="1">IF($C90=1,OFFSET(E90,-1,0)+MAX(1,COUNTIF(QCI!$A$13:$A$24,OFFSET(ORÇAMENTO!E90,-1,0))),OFFSET(E90,-1,0))</f>
        <v>1</v>
      </c>
      <c r="F90">
        <f t="shared" ca="1" si="22"/>
        <v>9</v>
      </c>
      <c r="G90">
        <f t="shared" ca="1" si="23"/>
        <v>0</v>
      </c>
      <c r="H90">
        <f t="shared" ca="1" si="24"/>
        <v>0</v>
      </c>
      <c r="I90">
        <f t="shared" ca="1" si="25"/>
        <v>0</v>
      </c>
      <c r="J90">
        <f t="shared" ca="1" si="26"/>
        <v>0</v>
      </c>
      <c r="K90">
        <f ca="1">IF(OR($C90="S",$C90=0),0,MATCH(OFFSET($D90,0,$C90)+IF($C90&lt;&gt;1,1,COUNTIF(QCI!$A$13:$A$24,ORÇAMENTO!E90)),OFFSET($D90,1,$C90,ROW($C$405)-ROW($C90)),0))</f>
        <v>0</v>
      </c>
      <c r="L90" s="115" t="str">
        <f t="shared" ca="1" si="27"/>
        <v/>
      </c>
      <c r="M90" s="116" t="s">
        <v>706</v>
      </c>
      <c r="N90" s="117" t="str">
        <f t="shared" ca="1" si="28"/>
        <v>Serviço</v>
      </c>
      <c r="O90" s="118" t="str">
        <f t="shared" ca="1" si="29"/>
        <v>-</v>
      </c>
      <c r="P90" s="119" t="s">
        <v>1316</v>
      </c>
      <c r="Q90" s="120" t="s">
        <v>1008</v>
      </c>
      <c r="R90" s="121" t="s">
        <v>1384</v>
      </c>
      <c r="S90" s="122" t="s">
        <v>1644</v>
      </c>
      <c r="T90" s="123">
        <f ca="1">OFFSET(CÁLCULO!H$15,ROW($T90)-ROW(T$15),0)</f>
        <v>166</v>
      </c>
      <c r="U90" s="124"/>
      <c r="V90" s="125" t="s">
        <v>663</v>
      </c>
      <c r="W90" s="123">
        <f ca="1">IF($C90="S",ROUND(IF(TIPOORCAMENTO="Proposto",ORÇAMENTO.CustoUnitario*(1+$AH90),ORÇAMENTO.PrecoUnitarioLicitado),15-13*$AF$10),0)</f>
        <v>0</v>
      </c>
      <c r="X90" s="126" cm="1">
        <f t="array" aca="1" ref="X90" ca="1">IF($C90="S",IF(OR(Import.TipoArredondamento&lt;&gt;"TransfereGOV",ACOMPANHAMENTO="BM"),VTOTAL1,SUM(OFFSET(CÁLCULO!$AA$15,ROW($X90)-ROW($X$15),1):OFFSET(CÁLCULO!$AL$15,ROW($X90)-ROW($X$15),-1))),IF($C90=0,0,ROUND(SomaAgrup,15-13*$AF$11)))</f>
        <v>0</v>
      </c>
      <c r="Y90" s="127" t="s">
        <v>752</v>
      </c>
      <c r="Z90" t="str">
        <f t="shared" ca="1" si="30"/>
        <v/>
      </c>
      <c r="AA90" s="128">
        <f ca="1">IF($C90="S",IF($Z90="CP",$X90,IF($Z90="RA",(($X90)*QCI!$AA$3),0)),SomaAgrup)</f>
        <v>0</v>
      </c>
      <c r="AB90" s="129">
        <f t="shared" ca="1" si="31"/>
        <v>0</v>
      </c>
      <c r="AC90" s="567" t="str">
        <f ca="1">IF($N90=""," ",
IF(AND($C90&lt;&gt;"S",OR($R90="",$R90="(digite a descrição aqui)")),"DESCRIÇÃO",
IF(AND($C90="S",OR($Q90&lt;&gt;0,$T90&gt;0,$U90&gt;0),$P90=0),"FONTE",
IF(AND($C90="S",$P90&lt;&gt;0,OR($T90&gt;0,$U90&gt;0),$Q90=0),"CÓDIGO",
IF(AND($C90="S",$P90&lt;&gt;0,$Q90&lt;&gt;0,$R90="(Código não identificado nas referências)"),"CÓDIGO N/ID",
IF(AND($C90="S",OR($R90="",$R90="(digite a descrição aqui)"),OR($Q90&lt;&gt;0,$T90&gt;0,$U90&gt;0)),"DESCRIÇÃO",
IF(AND($C90="S",$P90&lt;&gt;0,$Q90&lt;&gt;0,$S90=""),"UNIDADE",
IF(AND($C90="S",$P90&lt;&gt;0,$Q90&lt;&gt;0,$U90=0),"SEM CUSTO",
IF(AND(TIPOORCAMENTO="Licitado",$AL90=0,$AN90&gt;0),"SEM PREÇO",
IF(AND($C90="S",$P90&lt;&gt;0,$Q90&lt;&gt;0,$U90&gt;0,$V90=0),"BDI",
IF(OR(AND(TIPOORCAMENTO="Proposto",$AG90&lt;&gt;"",$AG90&gt;0,ORÇAMENTO.CustoUnitario&gt;$AG90),AND(TIPOORCAMENTO="LICITADO",ORÇAMENTO.PrecoUnitarioLicitado&gt;$AN90)),"ACIMA REF.",
IF(AND($C90="S",$P90&lt;&gt;0,$Q90&lt;&gt;0,$T90=0,$U90&gt;0),"QUANT.",
IF(AND(Import.TipoArredondamento="TransfereGOV",$L90="F",$C90="S",LEN($Q90)&gt;13),"Código &gt;13",
IF(AND(Import.TipoArredondamento="TransfereGOV",$L90="F",$C90&lt;&gt;"S",LEN($R90)&gt;100),"Descrição &gt;100",
IF(AND(Import.TipoArredondamento="TransfereGOV",$L90="F",$C90="S",LEN($R90)&gt;500),"Descrição &gt;500",
IF(AND(Import.TipoArredondamento="TransfereGOV",$L90="F",$C90="S",LEFT(TRIM(UPPER($P90)),6)&lt;&gt;"SINAPI",ISNA(VLOOKUP(TRIM(UPPER($S90)),ListaTgov.Unidades,1,FALSE))),"Unid. Não Disp",
" "))))))))))))))))</f>
        <v>SEM CUSTO</v>
      </c>
      <c r="AD90" t="str">
        <f ca="1">IF(C90&lt;=CRONO.NivelExibicao,MAX($AD$15:OFFSET(AD90,-1,0))+IF($C90&lt;&gt;1,1,MAX(1,COUNTIF(QCI!$A$13:$A$24,OFFSET($E90,-1,0)))),"")</f>
        <v/>
      </c>
      <c r="AE90" s="7" t="str">
        <f ca="1">IF(AND($C90="S",ORÇAMENTO.CodBarra&lt;&gt;""),IF(ORÇAMENTO.Fonte="",ORÇAMENTO.CodBarra,CONCATENATE(ORÇAMENTO.Fonte," ",ORÇAMENTO.CodBarra)))</f>
        <v>Composiçao 218</v>
      </c>
      <c r="AF90" s="12" t="str">
        <f ca="1">IF(ISERROR(INDIRECT(ORÇAMENTO.BancoRef)),"(abra o arquivo 'Referência "&amp;Excel_BuiltIn_Database&amp;".xlsm)",IF(OR($C90&lt;&gt;"S",ORÇAMENTO.CodBarra=""),"(Sem Código)",IF(ISERROR(MATCH($AE90,INDIRECT(ORÇAMENTO.BancoRef),0)),"(Código não identificado nas referências)",MATCH($AE90,INDIRECT(ORÇAMENTO.BancoRef),0))))</f>
        <v>(abra o arquivo 'Referência 12-2024.xlsm)</v>
      </c>
      <c r="AG90" s="429">
        <f ca="1">ROUND(IF(DESONERACAO="sim",REFERENCIA.Desonerado,REFERENCIA.NaoDesonerado),2)</f>
        <v>0</v>
      </c>
      <c r="AH90" s="430">
        <f t="shared" ca="1" si="32"/>
        <v>0.31190000000000001</v>
      </c>
      <c r="AJ90" s="432">
        <v>166</v>
      </c>
      <c r="AL90" s="440"/>
      <c r="AM90" s="337">
        <f t="shared" ca="1" si="0"/>
        <v>0</v>
      </c>
      <c r="AN90" s="471">
        <f t="shared" ca="1" si="33"/>
        <v>0</v>
      </c>
    </row>
    <row r="91" spans="1:40" ht="25.5" x14ac:dyDescent="0.2">
      <c r="A91" t="str">
        <f t="shared" si="18"/>
        <v>S</v>
      </c>
      <c r="B91">
        <f t="shared" ca="1" si="19"/>
        <v>2</v>
      </c>
      <c r="C91" t="str">
        <f t="shared" ca="1" si="20"/>
        <v>S</v>
      </c>
      <c r="D91">
        <f t="shared" ca="1" si="21"/>
        <v>0</v>
      </c>
      <c r="E91">
        <f ca="1">IF($C91=1,OFFSET(E91,-1,0)+MAX(1,COUNTIF(QCI!$A$13:$A$24,OFFSET(ORÇAMENTO!E91,-1,0))),OFFSET(E91,-1,0))</f>
        <v>1</v>
      </c>
      <c r="F91">
        <f t="shared" ca="1" si="22"/>
        <v>9</v>
      </c>
      <c r="G91">
        <f t="shared" ca="1" si="23"/>
        <v>0</v>
      </c>
      <c r="H91">
        <f t="shared" ca="1" si="24"/>
        <v>0</v>
      </c>
      <c r="I91">
        <f t="shared" ca="1" si="25"/>
        <v>0</v>
      </c>
      <c r="J91">
        <f t="shared" ca="1" si="26"/>
        <v>0</v>
      </c>
      <c r="K91">
        <f ca="1">IF(OR($C91="S",$C91=0),0,MATCH(OFFSET($D91,0,$C91)+IF($C91&lt;&gt;1,1,COUNTIF(QCI!$A$13:$A$24,ORÇAMENTO!E91)),OFFSET($D91,1,$C91,ROW($C$405)-ROW($C91)),0))</f>
        <v>0</v>
      </c>
      <c r="L91" s="115" t="str">
        <f t="shared" ca="1" si="27"/>
        <v/>
      </c>
      <c r="M91" s="116" t="s">
        <v>706</v>
      </c>
      <c r="N91" s="117" t="str">
        <f t="shared" ca="1" si="28"/>
        <v>Serviço</v>
      </c>
      <c r="O91" s="118" t="str">
        <f t="shared" ca="1" si="29"/>
        <v>-</v>
      </c>
      <c r="P91" s="119" t="s">
        <v>1316</v>
      </c>
      <c r="Q91" s="120" t="s">
        <v>1009</v>
      </c>
      <c r="R91" s="121" t="s">
        <v>1385</v>
      </c>
      <c r="S91" s="122" t="s">
        <v>1644</v>
      </c>
      <c r="T91" s="123">
        <f ca="1">OFFSET(CÁLCULO!H$15,ROW($T91)-ROW(T$15),0)</f>
        <v>2</v>
      </c>
      <c r="U91" s="124"/>
      <c r="V91" s="125" t="s">
        <v>663</v>
      </c>
      <c r="W91" s="123">
        <f ca="1">IF($C91="S",ROUND(IF(TIPOORCAMENTO="Proposto",ORÇAMENTO.CustoUnitario*(1+$AH91),ORÇAMENTO.PrecoUnitarioLicitado),15-13*$AF$10),0)</f>
        <v>0</v>
      </c>
      <c r="X91" s="126" cm="1">
        <f t="array" aca="1" ref="X91" ca="1">IF($C91="S",IF(OR(Import.TipoArredondamento&lt;&gt;"TransfereGOV",ACOMPANHAMENTO="BM"),VTOTAL1,SUM(OFFSET(CÁLCULO!$AA$15,ROW($X91)-ROW($X$15),1):OFFSET(CÁLCULO!$AL$15,ROW($X91)-ROW($X$15),-1))),IF($C91=0,0,ROUND(SomaAgrup,15-13*$AF$11)))</f>
        <v>0</v>
      </c>
      <c r="Y91" s="127" t="s">
        <v>752</v>
      </c>
      <c r="Z91" t="str">
        <f t="shared" ca="1" si="30"/>
        <v/>
      </c>
      <c r="AA91" s="128">
        <f ca="1">IF($C91="S",IF($Z91="CP",$X91,IF($Z91="RA",(($X91)*QCI!$AA$3),0)),SomaAgrup)</f>
        <v>0</v>
      </c>
      <c r="AB91" s="129">
        <f t="shared" ca="1" si="31"/>
        <v>0</v>
      </c>
      <c r="AC91" s="567" t="str">
        <f ca="1">IF($N91=""," ",
IF(AND($C91&lt;&gt;"S",OR($R91="",$R91="(digite a descrição aqui)")),"DESCRIÇÃO",
IF(AND($C91="S",OR($Q91&lt;&gt;0,$T91&gt;0,$U91&gt;0),$P91=0),"FONTE",
IF(AND($C91="S",$P91&lt;&gt;0,OR($T91&gt;0,$U91&gt;0),$Q91=0),"CÓDIGO",
IF(AND($C91="S",$P91&lt;&gt;0,$Q91&lt;&gt;0,$R91="(Código não identificado nas referências)"),"CÓDIGO N/ID",
IF(AND($C91="S",OR($R91="",$R91="(digite a descrição aqui)"),OR($Q91&lt;&gt;0,$T91&gt;0,$U91&gt;0)),"DESCRIÇÃO",
IF(AND($C91="S",$P91&lt;&gt;0,$Q91&lt;&gt;0,$S91=""),"UNIDADE",
IF(AND($C91="S",$P91&lt;&gt;0,$Q91&lt;&gt;0,$U91=0),"SEM CUSTO",
IF(AND(TIPOORCAMENTO="Licitado",$AL91=0,$AN91&gt;0),"SEM PREÇO",
IF(AND($C91="S",$P91&lt;&gt;0,$Q91&lt;&gt;0,$U91&gt;0,$V91=0),"BDI",
IF(OR(AND(TIPOORCAMENTO="Proposto",$AG91&lt;&gt;"",$AG91&gt;0,ORÇAMENTO.CustoUnitario&gt;$AG91),AND(TIPOORCAMENTO="LICITADO",ORÇAMENTO.PrecoUnitarioLicitado&gt;$AN91)),"ACIMA REF.",
IF(AND($C91="S",$P91&lt;&gt;0,$Q91&lt;&gt;0,$T91=0,$U91&gt;0),"QUANT.",
IF(AND(Import.TipoArredondamento="TransfereGOV",$L91="F",$C91="S",LEN($Q91)&gt;13),"Código &gt;13",
IF(AND(Import.TipoArredondamento="TransfereGOV",$L91="F",$C91&lt;&gt;"S",LEN($R91)&gt;100),"Descrição &gt;100",
IF(AND(Import.TipoArredondamento="TransfereGOV",$L91="F",$C91="S",LEN($R91)&gt;500),"Descrição &gt;500",
IF(AND(Import.TipoArredondamento="TransfereGOV",$L91="F",$C91="S",LEFT(TRIM(UPPER($P91)),6)&lt;&gt;"SINAPI",ISNA(VLOOKUP(TRIM(UPPER($S91)),ListaTgov.Unidades,1,FALSE))),"Unid. Não Disp",
" "))))))))))))))))</f>
        <v>SEM CUSTO</v>
      </c>
      <c r="AD91" t="str">
        <f ca="1">IF(C91&lt;=CRONO.NivelExibicao,MAX($AD$15:OFFSET(AD91,-1,0))+IF($C91&lt;&gt;1,1,MAX(1,COUNTIF(QCI!$A$13:$A$24,OFFSET($E91,-1,0)))),"")</f>
        <v/>
      </c>
      <c r="AE91" s="7" t="str">
        <f ca="1">IF(AND($C91="S",ORÇAMENTO.CodBarra&lt;&gt;""),IF(ORÇAMENTO.Fonte="",ORÇAMENTO.CodBarra,CONCATENATE(ORÇAMENTO.Fonte," ",ORÇAMENTO.CodBarra)))</f>
        <v>Composiçao 219</v>
      </c>
      <c r="AF91" s="12" t="str">
        <f ca="1">IF(ISERROR(INDIRECT(ORÇAMENTO.BancoRef)),"(abra o arquivo 'Referência "&amp;Excel_BuiltIn_Database&amp;".xlsm)",IF(OR($C91&lt;&gt;"S",ORÇAMENTO.CodBarra=""),"(Sem Código)",IF(ISERROR(MATCH($AE91,INDIRECT(ORÇAMENTO.BancoRef),0)),"(Código não identificado nas referências)",MATCH($AE91,INDIRECT(ORÇAMENTO.BancoRef),0))))</f>
        <v>(abra o arquivo 'Referência 12-2024.xlsm)</v>
      </c>
      <c r="AG91" s="429">
        <f ca="1">ROUND(IF(DESONERACAO="sim",REFERENCIA.Desonerado,REFERENCIA.NaoDesonerado),2)</f>
        <v>0</v>
      </c>
      <c r="AH91" s="430">
        <f t="shared" ca="1" si="32"/>
        <v>0.31190000000000001</v>
      </c>
      <c r="AJ91" s="432">
        <v>2</v>
      </c>
      <c r="AL91" s="440"/>
      <c r="AM91" s="337">
        <f t="shared" ca="1" si="0"/>
        <v>0</v>
      </c>
      <c r="AN91" s="471">
        <f t="shared" ca="1" si="33"/>
        <v>0</v>
      </c>
    </row>
    <row r="92" spans="1:40" ht="25.5" x14ac:dyDescent="0.2">
      <c r="A92" t="str">
        <f t="shared" si="18"/>
        <v>S</v>
      </c>
      <c r="B92">
        <f t="shared" ca="1" si="19"/>
        <v>2</v>
      </c>
      <c r="C92" t="str">
        <f t="shared" ca="1" si="20"/>
        <v>S</v>
      </c>
      <c r="D92">
        <f t="shared" ca="1" si="21"/>
        <v>0</v>
      </c>
      <c r="E92">
        <f ca="1">IF($C92=1,OFFSET(E92,-1,0)+MAX(1,COUNTIF(QCI!$A$13:$A$24,OFFSET(ORÇAMENTO!E92,-1,0))),OFFSET(E92,-1,0))</f>
        <v>1</v>
      </c>
      <c r="F92">
        <f t="shared" ca="1" si="22"/>
        <v>9</v>
      </c>
      <c r="G92">
        <f t="shared" ca="1" si="23"/>
        <v>0</v>
      </c>
      <c r="H92">
        <f t="shared" ca="1" si="24"/>
        <v>0</v>
      </c>
      <c r="I92">
        <f t="shared" ca="1" si="25"/>
        <v>0</v>
      </c>
      <c r="J92">
        <f t="shared" ca="1" si="26"/>
        <v>0</v>
      </c>
      <c r="K92">
        <f ca="1">IF(OR($C92="S",$C92=0),0,MATCH(OFFSET($D92,0,$C92)+IF($C92&lt;&gt;1,1,COUNTIF(QCI!$A$13:$A$24,ORÇAMENTO!E92)),OFFSET($D92,1,$C92,ROW($C$405)-ROW($C92)),0))</f>
        <v>0</v>
      </c>
      <c r="L92" s="115" t="str">
        <f t="shared" ca="1" si="27"/>
        <v/>
      </c>
      <c r="M92" s="116" t="s">
        <v>706</v>
      </c>
      <c r="N92" s="117" t="str">
        <f t="shared" ca="1" si="28"/>
        <v>Serviço</v>
      </c>
      <c r="O92" s="118" t="str">
        <f t="shared" ca="1" si="29"/>
        <v>-</v>
      </c>
      <c r="P92" s="119" t="s">
        <v>1316</v>
      </c>
      <c r="Q92" s="120" t="s">
        <v>1010</v>
      </c>
      <c r="R92" s="121" t="s">
        <v>1386</v>
      </c>
      <c r="S92" s="122" t="s">
        <v>1644</v>
      </c>
      <c r="T92" s="123">
        <f ca="1">OFFSET(CÁLCULO!H$15,ROW($T92)-ROW(T$15),0)</f>
        <v>25</v>
      </c>
      <c r="U92" s="124"/>
      <c r="V92" s="125" t="s">
        <v>663</v>
      </c>
      <c r="W92" s="123">
        <f ca="1">IF($C92="S",ROUND(IF(TIPOORCAMENTO="Proposto",ORÇAMENTO.CustoUnitario*(1+$AH92),ORÇAMENTO.PrecoUnitarioLicitado),15-13*$AF$10),0)</f>
        <v>0</v>
      </c>
      <c r="X92" s="126" cm="1">
        <f t="array" aca="1" ref="X92" ca="1">IF($C92="S",IF(OR(Import.TipoArredondamento&lt;&gt;"TransfereGOV",ACOMPANHAMENTO="BM"),VTOTAL1,SUM(OFFSET(CÁLCULO!$AA$15,ROW($X92)-ROW($X$15),1):OFFSET(CÁLCULO!$AL$15,ROW($X92)-ROW($X$15),-1))),IF($C92=0,0,ROUND(SomaAgrup,15-13*$AF$11)))</f>
        <v>0</v>
      </c>
      <c r="Y92" s="127" t="s">
        <v>752</v>
      </c>
      <c r="Z92" t="str">
        <f t="shared" ca="1" si="30"/>
        <v/>
      </c>
      <c r="AA92" s="128">
        <f ca="1">IF($C92="S",IF($Z92="CP",$X92,IF($Z92="RA",(($X92)*QCI!$AA$3),0)),SomaAgrup)</f>
        <v>0</v>
      </c>
      <c r="AB92" s="129">
        <f t="shared" ca="1" si="31"/>
        <v>0</v>
      </c>
      <c r="AC92" s="567" t="str">
        <f ca="1">IF($N92=""," ",
IF(AND($C92&lt;&gt;"S",OR($R92="",$R92="(digite a descrição aqui)")),"DESCRIÇÃO",
IF(AND($C92="S",OR($Q92&lt;&gt;0,$T92&gt;0,$U92&gt;0),$P92=0),"FONTE",
IF(AND($C92="S",$P92&lt;&gt;0,OR($T92&gt;0,$U92&gt;0),$Q92=0),"CÓDIGO",
IF(AND($C92="S",$P92&lt;&gt;0,$Q92&lt;&gt;0,$R92="(Código não identificado nas referências)"),"CÓDIGO N/ID",
IF(AND($C92="S",OR($R92="",$R92="(digite a descrição aqui)"),OR($Q92&lt;&gt;0,$T92&gt;0,$U92&gt;0)),"DESCRIÇÃO",
IF(AND($C92="S",$P92&lt;&gt;0,$Q92&lt;&gt;0,$S92=""),"UNIDADE",
IF(AND($C92="S",$P92&lt;&gt;0,$Q92&lt;&gt;0,$U92=0),"SEM CUSTO",
IF(AND(TIPOORCAMENTO="Licitado",$AL92=0,$AN92&gt;0),"SEM PREÇO",
IF(AND($C92="S",$P92&lt;&gt;0,$Q92&lt;&gt;0,$U92&gt;0,$V92=0),"BDI",
IF(OR(AND(TIPOORCAMENTO="Proposto",$AG92&lt;&gt;"",$AG92&gt;0,ORÇAMENTO.CustoUnitario&gt;$AG92),AND(TIPOORCAMENTO="LICITADO",ORÇAMENTO.PrecoUnitarioLicitado&gt;$AN92)),"ACIMA REF.",
IF(AND($C92="S",$P92&lt;&gt;0,$Q92&lt;&gt;0,$T92=0,$U92&gt;0),"QUANT.",
IF(AND(Import.TipoArredondamento="TransfereGOV",$L92="F",$C92="S",LEN($Q92)&gt;13),"Código &gt;13",
IF(AND(Import.TipoArredondamento="TransfereGOV",$L92="F",$C92&lt;&gt;"S",LEN($R92)&gt;100),"Descrição &gt;100",
IF(AND(Import.TipoArredondamento="TransfereGOV",$L92="F",$C92="S",LEN($R92)&gt;500),"Descrição &gt;500",
IF(AND(Import.TipoArredondamento="TransfereGOV",$L92="F",$C92="S",LEFT(TRIM(UPPER($P92)),6)&lt;&gt;"SINAPI",ISNA(VLOOKUP(TRIM(UPPER($S92)),ListaTgov.Unidades,1,FALSE))),"Unid. Não Disp",
" "))))))))))))))))</f>
        <v>SEM CUSTO</v>
      </c>
      <c r="AD92" t="str">
        <f ca="1">IF(C92&lt;=CRONO.NivelExibicao,MAX($AD$15:OFFSET(AD92,-1,0))+IF($C92&lt;&gt;1,1,MAX(1,COUNTIF(QCI!$A$13:$A$24,OFFSET($E92,-1,0)))),"")</f>
        <v/>
      </c>
      <c r="AE92" s="7" t="str">
        <f ca="1">IF(AND($C92="S",ORÇAMENTO.CodBarra&lt;&gt;""),IF(ORÇAMENTO.Fonte="",ORÇAMENTO.CodBarra,CONCATENATE(ORÇAMENTO.Fonte," ",ORÇAMENTO.CodBarra)))</f>
        <v>Composiçao 220</v>
      </c>
      <c r="AF92" s="12" t="str">
        <f ca="1">IF(ISERROR(INDIRECT(ORÇAMENTO.BancoRef)),"(abra o arquivo 'Referência "&amp;Excel_BuiltIn_Database&amp;".xlsm)",IF(OR($C92&lt;&gt;"S",ORÇAMENTO.CodBarra=""),"(Sem Código)",IF(ISERROR(MATCH($AE92,INDIRECT(ORÇAMENTO.BancoRef),0)),"(Código não identificado nas referências)",MATCH($AE92,INDIRECT(ORÇAMENTO.BancoRef),0))))</f>
        <v>(abra o arquivo 'Referência 12-2024.xlsm)</v>
      </c>
      <c r="AG92" s="429">
        <f ca="1">ROUND(IF(DESONERACAO="sim",REFERENCIA.Desonerado,REFERENCIA.NaoDesonerado),2)</f>
        <v>0</v>
      </c>
      <c r="AH92" s="430">
        <f t="shared" ca="1" si="32"/>
        <v>0.31190000000000001</v>
      </c>
      <c r="AJ92" s="432">
        <v>25</v>
      </c>
      <c r="AL92" s="440"/>
      <c r="AM92" s="337">
        <f t="shared" ca="1" si="0"/>
        <v>0</v>
      </c>
      <c r="AN92" s="471">
        <f t="shared" ca="1" si="33"/>
        <v>0</v>
      </c>
    </row>
    <row r="93" spans="1:40" x14ac:dyDescent="0.2">
      <c r="A93" t="str">
        <f t="shared" si="18"/>
        <v>S</v>
      </c>
      <c r="B93">
        <f t="shared" ca="1" si="19"/>
        <v>2</v>
      </c>
      <c r="C93" t="str">
        <f t="shared" ca="1" si="20"/>
        <v>S</v>
      </c>
      <c r="D93">
        <f t="shared" ca="1" si="21"/>
        <v>0</v>
      </c>
      <c r="E93">
        <f ca="1">IF($C93=1,OFFSET(E93,-1,0)+MAX(1,COUNTIF(QCI!$A$13:$A$24,OFFSET(ORÇAMENTO!E93,-1,0))),OFFSET(E93,-1,0))</f>
        <v>1</v>
      </c>
      <c r="F93">
        <f t="shared" ca="1" si="22"/>
        <v>9</v>
      </c>
      <c r="G93">
        <f t="shared" ca="1" si="23"/>
        <v>0</v>
      </c>
      <c r="H93">
        <f t="shared" ca="1" si="24"/>
        <v>0</v>
      </c>
      <c r="I93">
        <f t="shared" ca="1" si="25"/>
        <v>0</v>
      </c>
      <c r="J93">
        <f t="shared" ca="1" si="26"/>
        <v>0</v>
      </c>
      <c r="K93">
        <f ca="1">IF(OR($C93="S",$C93=0),0,MATCH(OFFSET($D93,0,$C93)+IF($C93&lt;&gt;1,1,COUNTIF(QCI!$A$13:$A$24,ORÇAMENTO!E93)),OFFSET($D93,1,$C93,ROW($C$405)-ROW($C93)),0))</f>
        <v>0</v>
      </c>
      <c r="L93" s="115" t="str">
        <f t="shared" ca="1" si="27"/>
        <v/>
      </c>
      <c r="M93" s="116" t="s">
        <v>706</v>
      </c>
      <c r="N93" s="117" t="str">
        <f t="shared" ca="1" si="28"/>
        <v>Serviço</v>
      </c>
      <c r="O93" s="118" t="str">
        <f t="shared" ca="1" si="29"/>
        <v>-</v>
      </c>
      <c r="P93" s="119" t="s">
        <v>1313</v>
      </c>
      <c r="Q93" s="120" t="s">
        <v>1011</v>
      </c>
      <c r="R93" s="121" t="s">
        <v>1387</v>
      </c>
      <c r="S93" s="122" t="s">
        <v>639</v>
      </c>
      <c r="T93" s="123">
        <f ca="1">OFFSET(CÁLCULO!H$15,ROW($T93)-ROW(T$15),0)</f>
        <v>3</v>
      </c>
      <c r="U93" s="124"/>
      <c r="V93" s="125" t="s">
        <v>663</v>
      </c>
      <c r="W93" s="123">
        <f ca="1">IF($C93="S",ROUND(IF(TIPOORCAMENTO="Proposto",ORÇAMENTO.CustoUnitario*(1+$AH93),ORÇAMENTO.PrecoUnitarioLicitado),15-13*$AF$10),0)</f>
        <v>0</v>
      </c>
      <c r="X93" s="126" cm="1">
        <f t="array" aca="1" ref="X93" ca="1">IF($C93="S",IF(OR(Import.TipoArredondamento&lt;&gt;"TransfereGOV",ACOMPANHAMENTO="BM"),VTOTAL1,SUM(OFFSET(CÁLCULO!$AA$15,ROW($X93)-ROW($X$15),1):OFFSET(CÁLCULO!$AL$15,ROW($X93)-ROW($X$15),-1))),IF($C93=0,0,ROUND(SomaAgrup,15-13*$AF$11)))</f>
        <v>0</v>
      </c>
      <c r="Y93" s="127" t="s">
        <v>752</v>
      </c>
      <c r="Z93" t="str">
        <f t="shared" ca="1" si="30"/>
        <v/>
      </c>
      <c r="AA93" s="128">
        <f ca="1">IF($C93="S",IF($Z93="CP",$X93,IF($Z93="RA",(($X93)*QCI!$AA$3),0)),SomaAgrup)</f>
        <v>0</v>
      </c>
      <c r="AB93" s="129">
        <f t="shared" ca="1" si="31"/>
        <v>0</v>
      </c>
      <c r="AC93" s="567" t="str">
        <f ca="1">IF($N93=""," ",
IF(AND($C93&lt;&gt;"S",OR($R93="",$R93="(digite a descrição aqui)")),"DESCRIÇÃO",
IF(AND($C93="S",OR($Q93&lt;&gt;0,$T93&gt;0,$U93&gt;0),$P93=0),"FONTE",
IF(AND($C93="S",$P93&lt;&gt;0,OR($T93&gt;0,$U93&gt;0),$Q93=0),"CÓDIGO",
IF(AND($C93="S",$P93&lt;&gt;0,$Q93&lt;&gt;0,$R93="(Código não identificado nas referências)"),"CÓDIGO N/ID",
IF(AND($C93="S",OR($R93="",$R93="(digite a descrição aqui)"),OR($Q93&lt;&gt;0,$T93&gt;0,$U93&gt;0)),"DESCRIÇÃO",
IF(AND($C93="S",$P93&lt;&gt;0,$Q93&lt;&gt;0,$S93=""),"UNIDADE",
IF(AND($C93="S",$P93&lt;&gt;0,$Q93&lt;&gt;0,$U93=0),"SEM CUSTO",
IF(AND(TIPOORCAMENTO="Licitado",$AL93=0,$AN93&gt;0),"SEM PREÇO",
IF(AND($C93="S",$P93&lt;&gt;0,$Q93&lt;&gt;0,$U93&gt;0,$V93=0),"BDI",
IF(OR(AND(TIPOORCAMENTO="Proposto",$AG93&lt;&gt;"",$AG93&gt;0,ORÇAMENTO.CustoUnitario&gt;$AG93),AND(TIPOORCAMENTO="LICITADO",ORÇAMENTO.PrecoUnitarioLicitado&gt;$AN93)),"ACIMA REF.",
IF(AND($C93="S",$P93&lt;&gt;0,$Q93&lt;&gt;0,$T93=0,$U93&gt;0),"QUANT.",
IF(AND(Import.TipoArredondamento="TransfereGOV",$L93="F",$C93="S",LEN($Q93)&gt;13),"Código &gt;13",
IF(AND(Import.TipoArredondamento="TransfereGOV",$L93="F",$C93&lt;&gt;"S",LEN($R93)&gt;100),"Descrição &gt;100",
IF(AND(Import.TipoArredondamento="TransfereGOV",$L93="F",$C93="S",LEN($R93)&gt;500),"Descrição &gt;500",
IF(AND(Import.TipoArredondamento="TransfereGOV",$L93="F",$C93="S",LEFT(TRIM(UPPER($P93)),6)&lt;&gt;"SINAPI",ISNA(VLOOKUP(TRIM(UPPER($S93)),ListaTgov.Unidades,1,FALSE))),"Unid. Não Disp",
" "))))))))))))))))</f>
        <v>SEM CUSTO</v>
      </c>
      <c r="AD93" t="str">
        <f ca="1">IF(C93&lt;=CRONO.NivelExibicao,MAX($AD$15:OFFSET(AD93,-1,0))+IF($C93&lt;&gt;1,1,MAX(1,COUNTIF(QCI!$A$13:$A$24,OFFSET($E93,-1,0)))),"")</f>
        <v/>
      </c>
      <c r="AE93" s="7" t="str">
        <f ca="1">IF(AND($C93="S",ORÇAMENTO.CodBarra&lt;&gt;""),IF(ORÇAMENTO.Fonte="",ORÇAMENTO.CodBarra,CONCATENATE(ORÇAMENTO.Fonte," ",ORÇAMENTO.CodBarra)))</f>
        <v>Cotação 147</v>
      </c>
      <c r="AF93" s="12" t="str">
        <f ca="1">IF(ISERROR(INDIRECT(ORÇAMENTO.BancoRef)),"(abra o arquivo 'Referência "&amp;Excel_BuiltIn_Database&amp;".xlsm)",IF(OR($C93&lt;&gt;"S",ORÇAMENTO.CodBarra=""),"(Sem Código)",IF(ISERROR(MATCH($AE93,INDIRECT(ORÇAMENTO.BancoRef),0)),"(Código não identificado nas referências)",MATCH($AE93,INDIRECT(ORÇAMENTO.BancoRef),0))))</f>
        <v>(abra o arquivo 'Referência 12-2024.xlsm)</v>
      </c>
      <c r="AG93" s="429">
        <f ca="1">ROUND(IF(DESONERACAO="sim",REFERENCIA.Desonerado,REFERENCIA.NaoDesonerado),2)</f>
        <v>0</v>
      </c>
      <c r="AH93" s="430">
        <f t="shared" ca="1" si="32"/>
        <v>0.31190000000000001</v>
      </c>
      <c r="AJ93" s="432">
        <v>3</v>
      </c>
      <c r="AL93" s="440"/>
      <c r="AM93" s="337">
        <f t="shared" ca="1" si="0"/>
        <v>0</v>
      </c>
      <c r="AN93" s="471">
        <f t="shared" ca="1" si="33"/>
        <v>0</v>
      </c>
    </row>
    <row r="94" spans="1:40" ht="25.5" x14ac:dyDescent="0.2">
      <c r="A94" t="str">
        <f t="shared" si="18"/>
        <v>S</v>
      </c>
      <c r="B94">
        <f t="shared" ca="1" si="19"/>
        <v>2</v>
      </c>
      <c r="C94" t="str">
        <f t="shared" ca="1" si="20"/>
        <v>S</v>
      </c>
      <c r="D94">
        <f t="shared" ca="1" si="21"/>
        <v>0</v>
      </c>
      <c r="E94">
        <f ca="1">IF($C94=1,OFFSET(E94,-1,0)+MAX(1,COUNTIF(QCI!$A$13:$A$24,OFFSET(ORÇAMENTO!E94,-1,0))),OFFSET(E94,-1,0))</f>
        <v>1</v>
      </c>
      <c r="F94">
        <f t="shared" ca="1" si="22"/>
        <v>9</v>
      </c>
      <c r="G94">
        <f t="shared" ca="1" si="23"/>
        <v>0</v>
      </c>
      <c r="H94">
        <f t="shared" ca="1" si="24"/>
        <v>0</v>
      </c>
      <c r="I94">
        <f t="shared" ca="1" si="25"/>
        <v>0</v>
      </c>
      <c r="J94">
        <f t="shared" ca="1" si="26"/>
        <v>0</v>
      </c>
      <c r="K94">
        <f ca="1">IF(OR($C94="S",$C94=0),0,MATCH(OFFSET($D94,0,$C94)+IF($C94&lt;&gt;1,1,COUNTIF(QCI!$A$13:$A$24,ORÇAMENTO!E94)),OFFSET($D94,1,$C94,ROW($C$405)-ROW($C94)),0))</f>
        <v>0</v>
      </c>
      <c r="L94" s="115" t="str">
        <f t="shared" ca="1" si="27"/>
        <v/>
      </c>
      <c r="M94" s="116" t="s">
        <v>706</v>
      </c>
      <c r="N94" s="117" t="str">
        <f t="shared" ca="1" si="28"/>
        <v>Serviço</v>
      </c>
      <c r="O94" s="118" t="str">
        <f t="shared" ca="1" si="29"/>
        <v>-</v>
      </c>
      <c r="P94" s="119" t="s">
        <v>1316</v>
      </c>
      <c r="Q94" s="120" t="s">
        <v>1012</v>
      </c>
      <c r="R94" s="121" t="s">
        <v>1388</v>
      </c>
      <c r="S94" s="122" t="s">
        <v>1644</v>
      </c>
      <c r="T94" s="123">
        <f ca="1">OFFSET(CÁLCULO!H$15,ROW($T94)-ROW(T$15),0)</f>
        <v>22</v>
      </c>
      <c r="U94" s="124"/>
      <c r="V94" s="125" t="s">
        <v>663</v>
      </c>
      <c r="W94" s="123">
        <f ca="1">IF($C94="S",ROUND(IF(TIPOORCAMENTO="Proposto",ORÇAMENTO.CustoUnitario*(1+$AH94),ORÇAMENTO.PrecoUnitarioLicitado),15-13*$AF$10),0)</f>
        <v>0</v>
      </c>
      <c r="X94" s="126" cm="1">
        <f t="array" aca="1" ref="X94" ca="1">IF($C94="S",IF(OR(Import.TipoArredondamento&lt;&gt;"TransfereGOV",ACOMPANHAMENTO="BM"),VTOTAL1,SUM(OFFSET(CÁLCULO!$AA$15,ROW($X94)-ROW($X$15),1):OFFSET(CÁLCULO!$AL$15,ROW($X94)-ROW($X$15),-1))),IF($C94=0,0,ROUND(SomaAgrup,15-13*$AF$11)))</f>
        <v>0</v>
      </c>
      <c r="Y94" s="127" t="s">
        <v>752</v>
      </c>
      <c r="Z94" t="str">
        <f t="shared" ca="1" si="30"/>
        <v/>
      </c>
      <c r="AA94" s="128">
        <f ca="1">IF($C94="S",IF($Z94="CP",$X94,IF($Z94="RA",(($X94)*QCI!$AA$3),0)),SomaAgrup)</f>
        <v>0</v>
      </c>
      <c r="AB94" s="129">
        <f t="shared" ca="1" si="31"/>
        <v>0</v>
      </c>
      <c r="AC94" s="567" t="str">
        <f ca="1">IF($N94=""," ",
IF(AND($C94&lt;&gt;"S",OR($R94="",$R94="(digite a descrição aqui)")),"DESCRIÇÃO",
IF(AND($C94="S",OR($Q94&lt;&gt;0,$T94&gt;0,$U94&gt;0),$P94=0),"FONTE",
IF(AND($C94="S",$P94&lt;&gt;0,OR($T94&gt;0,$U94&gt;0),$Q94=0),"CÓDIGO",
IF(AND($C94="S",$P94&lt;&gt;0,$Q94&lt;&gt;0,$R94="(Código não identificado nas referências)"),"CÓDIGO N/ID",
IF(AND($C94="S",OR($R94="",$R94="(digite a descrição aqui)"),OR($Q94&lt;&gt;0,$T94&gt;0,$U94&gt;0)),"DESCRIÇÃO",
IF(AND($C94="S",$P94&lt;&gt;0,$Q94&lt;&gt;0,$S94=""),"UNIDADE",
IF(AND($C94="S",$P94&lt;&gt;0,$Q94&lt;&gt;0,$U94=0),"SEM CUSTO",
IF(AND(TIPOORCAMENTO="Licitado",$AL94=0,$AN94&gt;0),"SEM PREÇO",
IF(AND($C94="S",$P94&lt;&gt;0,$Q94&lt;&gt;0,$U94&gt;0,$V94=0),"BDI",
IF(OR(AND(TIPOORCAMENTO="Proposto",$AG94&lt;&gt;"",$AG94&gt;0,ORÇAMENTO.CustoUnitario&gt;$AG94),AND(TIPOORCAMENTO="LICITADO",ORÇAMENTO.PrecoUnitarioLicitado&gt;$AN94)),"ACIMA REF.",
IF(AND($C94="S",$P94&lt;&gt;0,$Q94&lt;&gt;0,$T94=0,$U94&gt;0),"QUANT.",
IF(AND(Import.TipoArredondamento="TransfereGOV",$L94="F",$C94="S",LEN($Q94)&gt;13),"Código &gt;13",
IF(AND(Import.TipoArredondamento="TransfereGOV",$L94="F",$C94&lt;&gt;"S",LEN($R94)&gt;100),"Descrição &gt;100",
IF(AND(Import.TipoArredondamento="TransfereGOV",$L94="F",$C94="S",LEN($R94)&gt;500),"Descrição &gt;500",
IF(AND(Import.TipoArredondamento="TransfereGOV",$L94="F",$C94="S",LEFT(TRIM(UPPER($P94)),6)&lt;&gt;"SINAPI",ISNA(VLOOKUP(TRIM(UPPER($S94)),ListaTgov.Unidades,1,FALSE))),"Unid. Não Disp",
" "))))))))))))))))</f>
        <v>SEM CUSTO</v>
      </c>
      <c r="AD94" t="str">
        <f ca="1">IF(C94&lt;=CRONO.NivelExibicao,MAX($AD$15:OFFSET(AD94,-1,0))+IF($C94&lt;&gt;1,1,MAX(1,COUNTIF(QCI!$A$13:$A$24,OFFSET($E94,-1,0)))),"")</f>
        <v/>
      </c>
      <c r="AE94" s="7" t="str">
        <f ca="1">IF(AND($C94="S",ORÇAMENTO.CodBarra&lt;&gt;""),IF(ORÇAMENTO.Fonte="",ORÇAMENTO.CodBarra,CONCATENATE(ORÇAMENTO.Fonte," ",ORÇAMENTO.CodBarra)))</f>
        <v>Composiçao 221</v>
      </c>
      <c r="AF94" s="12" t="str">
        <f ca="1">IF(ISERROR(INDIRECT(ORÇAMENTO.BancoRef)),"(abra o arquivo 'Referência "&amp;Excel_BuiltIn_Database&amp;".xlsm)",IF(OR($C94&lt;&gt;"S",ORÇAMENTO.CodBarra=""),"(Sem Código)",IF(ISERROR(MATCH($AE94,INDIRECT(ORÇAMENTO.BancoRef),0)),"(Código não identificado nas referências)",MATCH($AE94,INDIRECT(ORÇAMENTO.BancoRef),0))))</f>
        <v>(abra o arquivo 'Referência 12-2024.xlsm)</v>
      </c>
      <c r="AG94" s="429">
        <f ca="1">ROUND(IF(DESONERACAO="sim",REFERENCIA.Desonerado,REFERENCIA.NaoDesonerado),2)</f>
        <v>0</v>
      </c>
      <c r="AH94" s="430">
        <f t="shared" ca="1" si="32"/>
        <v>0.31190000000000001</v>
      </c>
      <c r="AJ94" s="432">
        <v>22</v>
      </c>
      <c r="AL94" s="440"/>
      <c r="AM94" s="337">
        <f t="shared" ca="1" si="0"/>
        <v>0</v>
      </c>
      <c r="AN94" s="471">
        <f t="shared" ca="1" si="33"/>
        <v>0</v>
      </c>
    </row>
    <row r="95" spans="1:40" ht="25.5" x14ac:dyDescent="0.2">
      <c r="A95" t="str">
        <f t="shared" si="18"/>
        <v>S</v>
      </c>
      <c r="B95">
        <f t="shared" ca="1" si="19"/>
        <v>2</v>
      </c>
      <c r="C95" t="str">
        <f t="shared" ca="1" si="20"/>
        <v>S</v>
      </c>
      <c r="D95">
        <f t="shared" ca="1" si="21"/>
        <v>0</v>
      </c>
      <c r="E95">
        <f ca="1">IF($C95=1,OFFSET(E95,-1,0)+MAX(1,COUNTIF(QCI!$A$13:$A$24,OFFSET(ORÇAMENTO!E95,-1,0))),OFFSET(E95,-1,0))</f>
        <v>1</v>
      </c>
      <c r="F95">
        <f t="shared" ca="1" si="22"/>
        <v>9</v>
      </c>
      <c r="G95">
        <f t="shared" ca="1" si="23"/>
        <v>0</v>
      </c>
      <c r="H95">
        <f t="shared" ca="1" si="24"/>
        <v>0</v>
      </c>
      <c r="I95">
        <f t="shared" ca="1" si="25"/>
        <v>0</v>
      </c>
      <c r="J95">
        <f t="shared" ca="1" si="26"/>
        <v>0</v>
      </c>
      <c r="K95">
        <f ca="1">IF(OR($C95="S",$C95=0),0,MATCH(OFFSET($D95,0,$C95)+IF($C95&lt;&gt;1,1,COUNTIF(QCI!$A$13:$A$24,ORÇAMENTO!E95)),OFFSET($D95,1,$C95,ROW($C$405)-ROW($C95)),0))</f>
        <v>0</v>
      </c>
      <c r="L95" s="115" t="str">
        <f t="shared" ca="1" si="27"/>
        <v/>
      </c>
      <c r="M95" s="116" t="s">
        <v>706</v>
      </c>
      <c r="N95" s="117" t="str">
        <f t="shared" ca="1" si="28"/>
        <v>Serviço</v>
      </c>
      <c r="O95" s="118" t="str">
        <f t="shared" ca="1" si="29"/>
        <v>-</v>
      </c>
      <c r="P95" s="119" t="s">
        <v>1315</v>
      </c>
      <c r="Q95" s="120" t="s">
        <v>1013</v>
      </c>
      <c r="R95" s="121" t="s">
        <v>1389</v>
      </c>
      <c r="S95" s="122" t="s">
        <v>1644</v>
      </c>
      <c r="T95" s="123">
        <f ca="1">OFFSET(CÁLCULO!H$15,ROW($T95)-ROW(T$15),0)</f>
        <v>9</v>
      </c>
      <c r="U95" s="124"/>
      <c r="V95" s="125" t="s">
        <v>663</v>
      </c>
      <c r="W95" s="123">
        <f ca="1">IF($C95="S",ROUND(IF(TIPOORCAMENTO="Proposto",ORÇAMENTO.CustoUnitario*(1+$AH95),ORÇAMENTO.PrecoUnitarioLicitado),15-13*$AF$10),0)</f>
        <v>0</v>
      </c>
      <c r="X95" s="126" cm="1">
        <f t="array" aca="1" ref="X95" ca="1">IF($C95="S",IF(OR(Import.TipoArredondamento&lt;&gt;"TransfereGOV",ACOMPANHAMENTO="BM"),VTOTAL1,SUM(OFFSET(CÁLCULO!$AA$15,ROW($X95)-ROW($X$15),1):OFFSET(CÁLCULO!$AL$15,ROW($X95)-ROW($X$15),-1))),IF($C95=0,0,ROUND(SomaAgrup,15-13*$AF$11)))</f>
        <v>0</v>
      </c>
      <c r="Y95" s="127" t="s">
        <v>752</v>
      </c>
      <c r="Z95" t="str">
        <f t="shared" ca="1" si="30"/>
        <v/>
      </c>
      <c r="AA95" s="128">
        <f ca="1">IF($C95="S",IF($Z95="CP",$X95,IF($Z95="RA",(($X95)*QCI!$AA$3),0)),SomaAgrup)</f>
        <v>0</v>
      </c>
      <c r="AB95" s="129">
        <f t="shared" ca="1" si="31"/>
        <v>0</v>
      </c>
      <c r="AC95" s="567" t="str">
        <f ca="1">IF($N95=""," ",
IF(AND($C95&lt;&gt;"S",OR($R95="",$R95="(digite a descrição aqui)")),"DESCRIÇÃO",
IF(AND($C95="S",OR($Q95&lt;&gt;0,$T95&gt;0,$U95&gt;0),$P95=0),"FONTE",
IF(AND($C95="S",$P95&lt;&gt;0,OR($T95&gt;0,$U95&gt;0),$Q95=0),"CÓDIGO",
IF(AND($C95="S",$P95&lt;&gt;0,$Q95&lt;&gt;0,$R95="(Código não identificado nas referências)"),"CÓDIGO N/ID",
IF(AND($C95="S",OR($R95="",$R95="(digite a descrição aqui)"),OR($Q95&lt;&gt;0,$T95&gt;0,$U95&gt;0)),"DESCRIÇÃO",
IF(AND($C95="S",$P95&lt;&gt;0,$Q95&lt;&gt;0,$S95=""),"UNIDADE",
IF(AND($C95="S",$P95&lt;&gt;0,$Q95&lt;&gt;0,$U95=0),"SEM CUSTO",
IF(AND(TIPOORCAMENTO="Licitado",$AL95=0,$AN95&gt;0),"SEM PREÇO",
IF(AND($C95="S",$P95&lt;&gt;0,$Q95&lt;&gt;0,$U95&gt;0,$V95=0),"BDI",
IF(OR(AND(TIPOORCAMENTO="Proposto",$AG95&lt;&gt;"",$AG95&gt;0,ORÇAMENTO.CustoUnitario&gt;$AG95),AND(TIPOORCAMENTO="LICITADO",ORÇAMENTO.PrecoUnitarioLicitado&gt;$AN95)),"ACIMA REF.",
IF(AND($C95="S",$P95&lt;&gt;0,$Q95&lt;&gt;0,$T95=0,$U95&gt;0),"QUANT.",
IF(AND(Import.TipoArredondamento="TransfereGOV",$L95="F",$C95="S",LEN($Q95)&gt;13),"Código &gt;13",
IF(AND(Import.TipoArredondamento="TransfereGOV",$L95="F",$C95&lt;&gt;"S",LEN($R95)&gt;100),"Descrição &gt;100",
IF(AND(Import.TipoArredondamento="TransfereGOV",$L95="F",$C95="S",LEN($R95)&gt;500),"Descrição &gt;500",
IF(AND(Import.TipoArredondamento="TransfereGOV",$L95="F",$C95="S",LEFT(TRIM(UPPER($P95)),6)&lt;&gt;"SINAPI",ISNA(VLOOKUP(TRIM(UPPER($S95)),ListaTgov.Unidades,1,FALSE))),"Unid. Não Disp",
" "))))))))))))))))</f>
        <v>SEM CUSTO</v>
      </c>
      <c r="AD95" t="str">
        <f ca="1">IF(C95&lt;=CRONO.NivelExibicao,MAX($AD$15:OFFSET(AD95,-1,0))+IF($C95&lt;&gt;1,1,MAX(1,COUNTIF(QCI!$A$13:$A$24,OFFSET($E95,-1,0)))),"")</f>
        <v/>
      </c>
      <c r="AE95" s="7" t="str">
        <f ca="1">IF(AND($C95="S",ORÇAMENTO.CodBarra&lt;&gt;""),IF(ORÇAMENTO.Fonte="",ORÇAMENTO.CodBarra,CONCATENATE(ORÇAMENTO.Fonte," ",ORÇAMENTO.CodBarra)))</f>
        <v>SINAPI-I 12294</v>
      </c>
      <c r="AF95" s="12" t="str">
        <f ca="1">IF(ISERROR(INDIRECT(ORÇAMENTO.BancoRef)),"(abra o arquivo 'Referência "&amp;Excel_BuiltIn_Database&amp;".xlsm)",IF(OR($C95&lt;&gt;"S",ORÇAMENTO.CodBarra=""),"(Sem Código)",IF(ISERROR(MATCH($AE95,INDIRECT(ORÇAMENTO.BancoRef),0)),"(Código não identificado nas referências)",MATCH($AE95,INDIRECT(ORÇAMENTO.BancoRef),0))))</f>
        <v>(abra o arquivo 'Referência 12-2024.xlsm)</v>
      </c>
      <c r="AG95" s="429">
        <f ca="1">ROUND(IF(DESONERACAO="sim",REFERENCIA.Desonerado,REFERENCIA.NaoDesonerado),2)</f>
        <v>0</v>
      </c>
      <c r="AH95" s="430">
        <f t="shared" ca="1" si="32"/>
        <v>0.31190000000000001</v>
      </c>
      <c r="AJ95" s="432">
        <v>9</v>
      </c>
      <c r="AL95" s="440"/>
      <c r="AM95" s="337">
        <f t="shared" ca="1" si="0"/>
        <v>0</v>
      </c>
      <c r="AN95" s="471">
        <f t="shared" ca="1" si="33"/>
        <v>0</v>
      </c>
    </row>
    <row r="96" spans="1:40" x14ac:dyDescent="0.2">
      <c r="A96" t="str">
        <f t="shared" si="18"/>
        <v>S</v>
      </c>
      <c r="B96">
        <f t="shared" ca="1" si="19"/>
        <v>2</v>
      </c>
      <c r="C96" t="str">
        <f t="shared" ca="1" si="20"/>
        <v>S</v>
      </c>
      <c r="D96">
        <f t="shared" ca="1" si="21"/>
        <v>0</v>
      </c>
      <c r="E96">
        <f ca="1">IF($C96=1,OFFSET(E96,-1,0)+MAX(1,COUNTIF(QCI!$A$13:$A$24,OFFSET(ORÇAMENTO!E96,-1,0))),OFFSET(E96,-1,0))</f>
        <v>1</v>
      </c>
      <c r="F96">
        <f t="shared" ca="1" si="22"/>
        <v>9</v>
      </c>
      <c r="G96">
        <f t="shared" ca="1" si="23"/>
        <v>0</v>
      </c>
      <c r="H96">
        <f t="shared" ca="1" si="24"/>
        <v>0</v>
      </c>
      <c r="I96">
        <f t="shared" ca="1" si="25"/>
        <v>0</v>
      </c>
      <c r="J96">
        <f t="shared" ca="1" si="26"/>
        <v>0</v>
      </c>
      <c r="K96">
        <f ca="1">IF(OR($C96="S",$C96=0),0,MATCH(OFFSET($D96,0,$C96)+IF($C96&lt;&gt;1,1,COUNTIF(QCI!$A$13:$A$24,ORÇAMENTO!E96)),OFFSET($D96,1,$C96,ROW($C$405)-ROW($C96)),0))</f>
        <v>0</v>
      </c>
      <c r="L96" s="115" t="str">
        <f t="shared" ca="1" si="27"/>
        <v/>
      </c>
      <c r="M96" s="116" t="s">
        <v>706</v>
      </c>
      <c r="N96" s="117" t="str">
        <f t="shared" ca="1" si="28"/>
        <v>Serviço</v>
      </c>
      <c r="O96" s="118" t="str">
        <f t="shared" ca="1" si="29"/>
        <v>-</v>
      </c>
      <c r="P96" s="119" t="s">
        <v>1313</v>
      </c>
      <c r="Q96" s="120" t="s">
        <v>1014</v>
      </c>
      <c r="R96" s="121" t="s">
        <v>1390</v>
      </c>
      <c r="S96" s="122" t="s">
        <v>639</v>
      </c>
      <c r="T96" s="123">
        <f ca="1">OFFSET(CÁLCULO!H$15,ROW($T96)-ROW(T$15),0)</f>
        <v>9</v>
      </c>
      <c r="U96" s="124"/>
      <c r="V96" s="125" t="s">
        <v>663</v>
      </c>
      <c r="W96" s="123">
        <f ca="1">IF($C96="S",ROUND(IF(TIPOORCAMENTO="Proposto",ORÇAMENTO.CustoUnitario*(1+$AH96),ORÇAMENTO.PrecoUnitarioLicitado),15-13*$AF$10),0)</f>
        <v>0</v>
      </c>
      <c r="X96" s="126" cm="1">
        <f t="array" aca="1" ref="X96" ca="1">IF($C96="S",IF(OR(Import.TipoArredondamento&lt;&gt;"TransfereGOV",ACOMPANHAMENTO="BM"),VTOTAL1,SUM(OFFSET(CÁLCULO!$AA$15,ROW($X96)-ROW($X$15),1):OFFSET(CÁLCULO!$AL$15,ROW($X96)-ROW($X$15),-1))),IF($C96=0,0,ROUND(SomaAgrup,15-13*$AF$11)))</f>
        <v>0</v>
      </c>
      <c r="Y96" s="127" t="s">
        <v>752</v>
      </c>
      <c r="Z96" t="str">
        <f t="shared" ca="1" si="30"/>
        <v/>
      </c>
      <c r="AA96" s="128">
        <f ca="1">IF($C96="S",IF($Z96="CP",$X96,IF($Z96="RA",(($X96)*QCI!$AA$3),0)),SomaAgrup)</f>
        <v>0</v>
      </c>
      <c r="AB96" s="129">
        <f t="shared" ca="1" si="31"/>
        <v>0</v>
      </c>
      <c r="AC96" s="567" t="str">
        <f ca="1">IF($N96=""," ",
IF(AND($C96&lt;&gt;"S",OR($R96="",$R96="(digite a descrição aqui)")),"DESCRIÇÃO",
IF(AND($C96="S",OR($Q96&lt;&gt;0,$T96&gt;0,$U96&gt;0),$P96=0),"FONTE",
IF(AND($C96="S",$P96&lt;&gt;0,OR($T96&gt;0,$U96&gt;0),$Q96=0),"CÓDIGO",
IF(AND($C96="S",$P96&lt;&gt;0,$Q96&lt;&gt;0,$R96="(Código não identificado nas referências)"),"CÓDIGO N/ID",
IF(AND($C96="S",OR($R96="",$R96="(digite a descrição aqui)"),OR($Q96&lt;&gt;0,$T96&gt;0,$U96&gt;0)),"DESCRIÇÃO",
IF(AND($C96="S",$P96&lt;&gt;0,$Q96&lt;&gt;0,$S96=""),"UNIDADE",
IF(AND($C96="S",$P96&lt;&gt;0,$Q96&lt;&gt;0,$U96=0),"SEM CUSTO",
IF(AND(TIPOORCAMENTO="Licitado",$AL96=0,$AN96&gt;0),"SEM PREÇO",
IF(AND($C96="S",$P96&lt;&gt;0,$Q96&lt;&gt;0,$U96&gt;0,$V96=0),"BDI",
IF(OR(AND(TIPOORCAMENTO="Proposto",$AG96&lt;&gt;"",$AG96&gt;0,ORÇAMENTO.CustoUnitario&gt;$AG96),AND(TIPOORCAMENTO="LICITADO",ORÇAMENTO.PrecoUnitarioLicitado&gt;$AN96)),"ACIMA REF.",
IF(AND($C96="S",$P96&lt;&gt;0,$Q96&lt;&gt;0,$T96=0,$U96&gt;0),"QUANT.",
IF(AND(Import.TipoArredondamento="TransfereGOV",$L96="F",$C96="S",LEN($Q96)&gt;13),"Código &gt;13",
IF(AND(Import.TipoArredondamento="TransfereGOV",$L96="F",$C96&lt;&gt;"S",LEN($R96)&gt;100),"Descrição &gt;100",
IF(AND(Import.TipoArredondamento="TransfereGOV",$L96="F",$C96="S",LEN($R96)&gt;500),"Descrição &gt;500",
IF(AND(Import.TipoArredondamento="TransfereGOV",$L96="F",$C96="S",LEFT(TRIM(UPPER($P96)),6)&lt;&gt;"SINAPI",ISNA(VLOOKUP(TRIM(UPPER($S96)),ListaTgov.Unidades,1,FALSE))),"Unid. Não Disp",
" "))))))))))))))))</f>
        <v>SEM CUSTO</v>
      </c>
      <c r="AD96" t="str">
        <f ca="1">IF(C96&lt;=CRONO.NivelExibicao,MAX($AD$15:OFFSET(AD96,-1,0))+IF($C96&lt;&gt;1,1,MAX(1,COUNTIF(QCI!$A$13:$A$24,OFFSET($E96,-1,0)))),"")</f>
        <v/>
      </c>
      <c r="AE96" s="7" t="str">
        <f ca="1">IF(AND($C96="S",ORÇAMENTO.CodBarra&lt;&gt;""),IF(ORÇAMENTO.Fonte="",ORÇAMENTO.CodBarra,CONCATENATE(ORÇAMENTO.Fonte," ",ORÇAMENTO.CodBarra)))</f>
        <v>Cotação 152</v>
      </c>
      <c r="AF96" s="12" t="str">
        <f ca="1">IF(ISERROR(INDIRECT(ORÇAMENTO.BancoRef)),"(abra o arquivo 'Referência "&amp;Excel_BuiltIn_Database&amp;".xlsm)",IF(OR($C96&lt;&gt;"S",ORÇAMENTO.CodBarra=""),"(Sem Código)",IF(ISERROR(MATCH($AE96,INDIRECT(ORÇAMENTO.BancoRef),0)),"(Código não identificado nas referências)",MATCH($AE96,INDIRECT(ORÇAMENTO.BancoRef),0))))</f>
        <v>(abra o arquivo 'Referência 12-2024.xlsm)</v>
      </c>
      <c r="AG96" s="429">
        <f ca="1">ROUND(IF(DESONERACAO="sim",REFERENCIA.Desonerado,REFERENCIA.NaoDesonerado),2)</f>
        <v>0</v>
      </c>
      <c r="AH96" s="430">
        <f t="shared" ca="1" si="32"/>
        <v>0.31190000000000001</v>
      </c>
      <c r="AJ96" s="432">
        <v>9</v>
      </c>
      <c r="AL96" s="440"/>
      <c r="AM96" s="337">
        <f t="shared" ca="1" si="0"/>
        <v>0</v>
      </c>
      <c r="AN96" s="471">
        <f t="shared" ca="1" si="33"/>
        <v>0</v>
      </c>
    </row>
    <row r="97" spans="1:40" ht="25.5" x14ac:dyDescent="0.2">
      <c r="A97" t="str">
        <f t="shared" si="18"/>
        <v>S</v>
      </c>
      <c r="B97">
        <f t="shared" ca="1" si="19"/>
        <v>2</v>
      </c>
      <c r="C97" t="str">
        <f t="shared" ca="1" si="20"/>
        <v>S</v>
      </c>
      <c r="D97">
        <f t="shared" ca="1" si="21"/>
        <v>0</v>
      </c>
      <c r="E97">
        <f ca="1">IF($C97=1,OFFSET(E97,-1,0)+MAX(1,COUNTIF(QCI!$A$13:$A$24,OFFSET(ORÇAMENTO!E97,-1,0))),OFFSET(E97,-1,0))</f>
        <v>1</v>
      </c>
      <c r="F97">
        <f t="shared" ca="1" si="22"/>
        <v>9</v>
      </c>
      <c r="G97">
        <f t="shared" ca="1" si="23"/>
        <v>0</v>
      </c>
      <c r="H97">
        <f t="shared" ca="1" si="24"/>
        <v>0</v>
      </c>
      <c r="I97">
        <f t="shared" ca="1" si="25"/>
        <v>0</v>
      </c>
      <c r="J97">
        <f t="shared" ca="1" si="26"/>
        <v>0</v>
      </c>
      <c r="K97">
        <f ca="1">IF(OR($C97="S",$C97=0),0,MATCH(OFFSET($D97,0,$C97)+IF($C97&lt;&gt;1,1,COUNTIF(QCI!$A$13:$A$24,ORÇAMENTO!E97)),OFFSET($D97,1,$C97,ROW($C$405)-ROW($C97)),0))</f>
        <v>0</v>
      </c>
      <c r="L97" s="115" t="str">
        <f t="shared" ca="1" si="27"/>
        <v/>
      </c>
      <c r="M97" s="116" t="s">
        <v>706</v>
      </c>
      <c r="N97" s="117" t="str">
        <f t="shared" ca="1" si="28"/>
        <v>Serviço</v>
      </c>
      <c r="O97" s="118" t="str">
        <f t="shared" ca="1" si="29"/>
        <v>-</v>
      </c>
      <c r="P97" s="119" t="s">
        <v>751</v>
      </c>
      <c r="Q97" s="120" t="s">
        <v>1015</v>
      </c>
      <c r="R97" s="121" t="s">
        <v>1391</v>
      </c>
      <c r="S97" s="122" t="s">
        <v>639</v>
      </c>
      <c r="T97" s="123">
        <f ca="1">OFFSET(CÁLCULO!H$15,ROW($T97)-ROW(T$15),0)</f>
        <v>50</v>
      </c>
      <c r="U97" s="124"/>
      <c r="V97" s="125" t="s">
        <v>663</v>
      </c>
      <c r="W97" s="123">
        <f ca="1">IF($C97="S",ROUND(IF(TIPOORCAMENTO="Proposto",ORÇAMENTO.CustoUnitario*(1+$AH97),ORÇAMENTO.PrecoUnitarioLicitado),15-13*$AF$10),0)</f>
        <v>0</v>
      </c>
      <c r="X97" s="126" cm="1">
        <f t="array" aca="1" ref="X97" ca="1">IF($C97="S",IF(OR(Import.TipoArredondamento&lt;&gt;"TransfereGOV",ACOMPANHAMENTO="BM"),VTOTAL1,SUM(OFFSET(CÁLCULO!$AA$15,ROW($X97)-ROW($X$15),1):OFFSET(CÁLCULO!$AL$15,ROW($X97)-ROW($X$15),-1))),IF($C97=0,0,ROUND(SomaAgrup,15-13*$AF$11)))</f>
        <v>0</v>
      </c>
      <c r="Y97" s="127" t="s">
        <v>752</v>
      </c>
      <c r="Z97" t="str">
        <f t="shared" ca="1" si="30"/>
        <v/>
      </c>
      <c r="AA97" s="128">
        <f ca="1">IF($C97="S",IF($Z97="CP",$X97,IF($Z97="RA",(($X97)*QCI!$AA$3),0)),SomaAgrup)</f>
        <v>0</v>
      </c>
      <c r="AB97" s="129">
        <f t="shared" ca="1" si="31"/>
        <v>0</v>
      </c>
      <c r="AC97" s="567" t="str">
        <f ca="1">IF($N97=""," ",
IF(AND($C97&lt;&gt;"S",OR($R97="",$R97="(digite a descrição aqui)")),"DESCRIÇÃO",
IF(AND($C97="S",OR($Q97&lt;&gt;0,$T97&gt;0,$U97&gt;0),$P97=0),"FONTE",
IF(AND($C97="S",$P97&lt;&gt;0,OR($T97&gt;0,$U97&gt;0),$Q97=0),"CÓDIGO",
IF(AND($C97="S",$P97&lt;&gt;0,$Q97&lt;&gt;0,$R97="(Código não identificado nas referências)"),"CÓDIGO N/ID",
IF(AND($C97="S",OR($R97="",$R97="(digite a descrição aqui)"),OR($Q97&lt;&gt;0,$T97&gt;0,$U97&gt;0)),"DESCRIÇÃO",
IF(AND($C97="S",$P97&lt;&gt;0,$Q97&lt;&gt;0,$S97=""),"UNIDADE",
IF(AND($C97="S",$P97&lt;&gt;0,$Q97&lt;&gt;0,$U97=0),"SEM CUSTO",
IF(AND(TIPOORCAMENTO="Licitado",$AL97=0,$AN97&gt;0),"SEM PREÇO",
IF(AND($C97="S",$P97&lt;&gt;0,$Q97&lt;&gt;0,$U97&gt;0,$V97=0),"BDI",
IF(OR(AND(TIPOORCAMENTO="Proposto",$AG97&lt;&gt;"",$AG97&gt;0,ORÇAMENTO.CustoUnitario&gt;$AG97),AND(TIPOORCAMENTO="LICITADO",ORÇAMENTO.PrecoUnitarioLicitado&gt;$AN97)),"ACIMA REF.",
IF(AND($C97="S",$P97&lt;&gt;0,$Q97&lt;&gt;0,$T97=0,$U97&gt;0),"QUANT.",
IF(AND(Import.TipoArredondamento="TransfereGOV",$L97="F",$C97="S",LEN($Q97)&gt;13),"Código &gt;13",
IF(AND(Import.TipoArredondamento="TransfereGOV",$L97="F",$C97&lt;&gt;"S",LEN($R97)&gt;100),"Descrição &gt;100",
IF(AND(Import.TipoArredondamento="TransfereGOV",$L97="F",$C97="S",LEN($R97)&gt;500),"Descrição &gt;500",
IF(AND(Import.TipoArredondamento="TransfereGOV",$L97="F",$C97="S",LEFT(TRIM(UPPER($P97)),6)&lt;&gt;"SINAPI",ISNA(VLOOKUP(TRIM(UPPER($S97)),ListaTgov.Unidades,1,FALSE))),"Unid. Não Disp",
" "))))))))))))))))</f>
        <v>SEM CUSTO</v>
      </c>
      <c r="AD97" t="str">
        <f ca="1">IF(C97&lt;=CRONO.NivelExibicao,MAX($AD$15:OFFSET(AD97,-1,0))+IF($C97&lt;&gt;1,1,MAX(1,COUNTIF(QCI!$A$13:$A$24,OFFSET($E97,-1,0)))),"")</f>
        <v/>
      </c>
      <c r="AE97" s="7" t="str">
        <f ca="1">IF(AND($C97="S",ORÇAMENTO.CodBarra&lt;&gt;""),IF(ORÇAMENTO.Fonte="",ORÇAMENTO.CodBarra,CONCATENATE(ORÇAMENTO.Fonte," ",ORÇAMENTO.CodBarra)))</f>
        <v>SINAPI 96986</v>
      </c>
      <c r="AF97" s="12" t="str">
        <f ca="1">IF(ISERROR(INDIRECT(ORÇAMENTO.BancoRef)),"(abra o arquivo 'Referência "&amp;Excel_BuiltIn_Database&amp;".xlsm)",IF(OR($C97&lt;&gt;"S",ORÇAMENTO.CodBarra=""),"(Sem Código)",IF(ISERROR(MATCH($AE97,INDIRECT(ORÇAMENTO.BancoRef),0)),"(Código não identificado nas referências)",MATCH($AE97,INDIRECT(ORÇAMENTO.BancoRef),0))))</f>
        <v>(abra o arquivo 'Referência 12-2024.xlsm)</v>
      </c>
      <c r="AG97" s="429">
        <f ca="1">ROUND(IF(DESONERACAO="sim",REFERENCIA.Desonerado,REFERENCIA.NaoDesonerado),2)</f>
        <v>0</v>
      </c>
      <c r="AH97" s="430">
        <f t="shared" ca="1" si="32"/>
        <v>0.31190000000000001</v>
      </c>
      <c r="AJ97" s="432">
        <v>50</v>
      </c>
      <c r="AL97" s="440"/>
      <c r="AM97" s="337">
        <f t="shared" ca="1" si="0"/>
        <v>0</v>
      </c>
      <c r="AN97" s="471">
        <f t="shared" ca="1" si="33"/>
        <v>0</v>
      </c>
    </row>
    <row r="98" spans="1:40" ht="25.5" x14ac:dyDescent="0.2">
      <c r="A98" t="str">
        <f t="shared" si="18"/>
        <v>S</v>
      </c>
      <c r="B98">
        <f t="shared" ca="1" si="19"/>
        <v>2</v>
      </c>
      <c r="C98" t="str">
        <f t="shared" ca="1" si="20"/>
        <v>S</v>
      </c>
      <c r="D98">
        <f t="shared" ca="1" si="21"/>
        <v>0</v>
      </c>
      <c r="E98">
        <f ca="1">IF($C98=1,OFFSET(E98,-1,0)+MAX(1,COUNTIF(QCI!$A$13:$A$24,OFFSET(ORÇAMENTO!E98,-1,0))),OFFSET(E98,-1,0))</f>
        <v>1</v>
      </c>
      <c r="F98">
        <f t="shared" ca="1" si="22"/>
        <v>9</v>
      </c>
      <c r="G98">
        <f t="shared" ca="1" si="23"/>
        <v>0</v>
      </c>
      <c r="H98">
        <f t="shared" ca="1" si="24"/>
        <v>0</v>
      </c>
      <c r="I98">
        <f t="shared" ca="1" si="25"/>
        <v>0</v>
      </c>
      <c r="J98">
        <f t="shared" ca="1" si="26"/>
        <v>0</v>
      </c>
      <c r="K98">
        <f ca="1">IF(OR($C98="S",$C98=0),0,MATCH(OFFSET($D98,0,$C98)+IF($C98&lt;&gt;1,1,COUNTIF(QCI!$A$13:$A$24,ORÇAMENTO!E98)),OFFSET($D98,1,$C98,ROW($C$405)-ROW($C98)),0))</f>
        <v>0</v>
      </c>
      <c r="L98" s="115" t="str">
        <f t="shared" ca="1" si="27"/>
        <v/>
      </c>
      <c r="M98" s="116" t="s">
        <v>706</v>
      </c>
      <c r="N98" s="117" t="str">
        <f t="shared" ca="1" si="28"/>
        <v>Serviço</v>
      </c>
      <c r="O98" s="118" t="str">
        <f t="shared" ca="1" si="29"/>
        <v>-</v>
      </c>
      <c r="P98" s="119" t="s">
        <v>751</v>
      </c>
      <c r="Q98" s="120" t="s">
        <v>1016</v>
      </c>
      <c r="R98" s="121" t="s">
        <v>1392</v>
      </c>
      <c r="S98" s="122" t="s">
        <v>639</v>
      </c>
      <c r="T98" s="123">
        <f ca="1">OFFSET(CÁLCULO!H$15,ROW($T98)-ROW(T$15),0)</f>
        <v>50</v>
      </c>
      <c r="U98" s="124"/>
      <c r="V98" s="125" t="s">
        <v>663</v>
      </c>
      <c r="W98" s="123">
        <f ca="1">IF($C98="S",ROUND(IF(TIPOORCAMENTO="Proposto",ORÇAMENTO.CustoUnitario*(1+$AH98),ORÇAMENTO.PrecoUnitarioLicitado),15-13*$AF$10),0)</f>
        <v>0</v>
      </c>
      <c r="X98" s="126" cm="1">
        <f t="array" aca="1" ref="X98" ca="1">IF($C98="S",IF(OR(Import.TipoArredondamento&lt;&gt;"TransfereGOV",ACOMPANHAMENTO="BM"),VTOTAL1,SUM(OFFSET(CÁLCULO!$AA$15,ROW($X98)-ROW($X$15),1):OFFSET(CÁLCULO!$AL$15,ROW($X98)-ROW($X$15),-1))),IF($C98=0,0,ROUND(SomaAgrup,15-13*$AF$11)))</f>
        <v>0</v>
      </c>
      <c r="Y98" s="127" t="s">
        <v>752</v>
      </c>
      <c r="Z98" t="str">
        <f t="shared" ca="1" si="30"/>
        <v/>
      </c>
      <c r="AA98" s="128">
        <f ca="1">IF($C98="S",IF($Z98="CP",$X98,IF($Z98="RA",(($X98)*QCI!$AA$3),0)),SomaAgrup)</f>
        <v>0</v>
      </c>
      <c r="AB98" s="129">
        <f t="shared" ca="1" si="31"/>
        <v>0</v>
      </c>
      <c r="AC98" s="567" t="str">
        <f ca="1">IF($N98=""," ",
IF(AND($C98&lt;&gt;"S",OR($R98="",$R98="(digite a descrição aqui)")),"DESCRIÇÃO",
IF(AND($C98="S",OR($Q98&lt;&gt;0,$T98&gt;0,$U98&gt;0),$P98=0),"FONTE",
IF(AND($C98="S",$P98&lt;&gt;0,OR($T98&gt;0,$U98&gt;0),$Q98=0),"CÓDIGO",
IF(AND($C98="S",$P98&lt;&gt;0,$Q98&lt;&gt;0,$R98="(Código não identificado nas referências)"),"CÓDIGO N/ID",
IF(AND($C98="S",OR($R98="",$R98="(digite a descrição aqui)"),OR($Q98&lt;&gt;0,$T98&gt;0,$U98&gt;0)),"DESCRIÇÃO",
IF(AND($C98="S",$P98&lt;&gt;0,$Q98&lt;&gt;0,$S98=""),"UNIDADE",
IF(AND($C98="S",$P98&lt;&gt;0,$Q98&lt;&gt;0,$U98=0),"SEM CUSTO",
IF(AND(TIPOORCAMENTO="Licitado",$AL98=0,$AN98&gt;0),"SEM PREÇO",
IF(AND($C98="S",$P98&lt;&gt;0,$Q98&lt;&gt;0,$U98&gt;0,$V98=0),"BDI",
IF(OR(AND(TIPOORCAMENTO="Proposto",$AG98&lt;&gt;"",$AG98&gt;0,ORÇAMENTO.CustoUnitario&gt;$AG98),AND(TIPOORCAMENTO="LICITADO",ORÇAMENTO.PrecoUnitarioLicitado&gt;$AN98)),"ACIMA REF.",
IF(AND($C98="S",$P98&lt;&gt;0,$Q98&lt;&gt;0,$T98=0,$U98&gt;0),"QUANT.",
IF(AND(Import.TipoArredondamento="TransfereGOV",$L98="F",$C98="S",LEN($Q98)&gt;13),"Código &gt;13",
IF(AND(Import.TipoArredondamento="TransfereGOV",$L98="F",$C98&lt;&gt;"S",LEN($R98)&gt;100),"Descrição &gt;100",
IF(AND(Import.TipoArredondamento="TransfereGOV",$L98="F",$C98="S",LEN($R98)&gt;500),"Descrição &gt;500",
IF(AND(Import.TipoArredondamento="TransfereGOV",$L98="F",$C98="S",LEFT(TRIM(UPPER($P98)),6)&lt;&gt;"SINAPI",ISNA(VLOOKUP(TRIM(UPPER($S98)),ListaTgov.Unidades,1,FALSE))),"Unid. Não Disp",
" "))))))))))))))))</f>
        <v>SEM CUSTO</v>
      </c>
      <c r="AD98" t="str">
        <f ca="1">IF(C98&lt;=CRONO.NivelExibicao,MAX($AD$15:OFFSET(AD98,-1,0))+IF($C98&lt;&gt;1,1,MAX(1,COUNTIF(QCI!$A$13:$A$24,OFFSET($E98,-1,0)))),"")</f>
        <v/>
      </c>
      <c r="AE98" s="7" t="str">
        <f ca="1">IF(AND($C98="S",ORÇAMENTO.CodBarra&lt;&gt;""),IF(ORÇAMENTO.Fonte="",ORÇAMENTO.CodBarra,CONCATENATE(ORÇAMENTO.Fonte," ",ORÇAMENTO.CodBarra)))</f>
        <v>SINAPI 98111</v>
      </c>
      <c r="AF98" s="12" t="str">
        <f ca="1">IF(ISERROR(INDIRECT(ORÇAMENTO.BancoRef)),"(abra o arquivo 'Referência "&amp;Excel_BuiltIn_Database&amp;".xlsm)",IF(OR($C98&lt;&gt;"S",ORÇAMENTO.CodBarra=""),"(Sem Código)",IF(ISERROR(MATCH($AE98,INDIRECT(ORÇAMENTO.BancoRef),0)),"(Código não identificado nas referências)",MATCH($AE98,INDIRECT(ORÇAMENTO.BancoRef),0))))</f>
        <v>(abra o arquivo 'Referência 12-2024.xlsm)</v>
      </c>
      <c r="AG98" s="429">
        <f ca="1">ROUND(IF(DESONERACAO="sim",REFERENCIA.Desonerado,REFERENCIA.NaoDesonerado),2)</f>
        <v>0</v>
      </c>
      <c r="AH98" s="430">
        <f t="shared" ca="1" si="32"/>
        <v>0.31190000000000001</v>
      </c>
      <c r="AJ98" s="432">
        <v>50</v>
      </c>
      <c r="AL98" s="440"/>
      <c r="AM98" s="337">
        <f t="shared" ca="1" si="0"/>
        <v>0</v>
      </c>
      <c r="AN98" s="471">
        <f t="shared" ca="1" si="33"/>
        <v>0</v>
      </c>
    </row>
    <row r="99" spans="1:40" ht="25.5" x14ac:dyDescent="0.2">
      <c r="A99" t="str">
        <f t="shared" si="18"/>
        <v>S</v>
      </c>
      <c r="B99">
        <f t="shared" ca="1" si="19"/>
        <v>2</v>
      </c>
      <c r="C99" t="str">
        <f t="shared" ca="1" si="20"/>
        <v>S</v>
      </c>
      <c r="D99">
        <f t="shared" ca="1" si="21"/>
        <v>0</v>
      </c>
      <c r="E99">
        <f ca="1">IF($C99=1,OFFSET(E99,-1,0)+MAX(1,COUNTIF(QCI!$A$13:$A$24,OFFSET(ORÇAMENTO!E99,-1,0))),OFFSET(E99,-1,0))</f>
        <v>1</v>
      </c>
      <c r="F99">
        <f t="shared" ca="1" si="22"/>
        <v>9</v>
      </c>
      <c r="G99">
        <f t="shared" ca="1" si="23"/>
        <v>0</v>
      </c>
      <c r="H99">
        <f t="shared" ca="1" si="24"/>
        <v>0</v>
      </c>
      <c r="I99">
        <f t="shared" ca="1" si="25"/>
        <v>0</v>
      </c>
      <c r="J99">
        <f t="shared" ca="1" si="26"/>
        <v>0</v>
      </c>
      <c r="K99">
        <f ca="1">IF(OR($C99="S",$C99=0),0,MATCH(OFFSET($D99,0,$C99)+IF($C99&lt;&gt;1,1,COUNTIF(QCI!$A$13:$A$24,ORÇAMENTO!E99)),OFFSET($D99,1,$C99,ROW($C$405)-ROW($C99)),0))</f>
        <v>0</v>
      </c>
      <c r="L99" s="115" t="str">
        <f t="shared" ca="1" si="27"/>
        <v/>
      </c>
      <c r="M99" s="116" t="s">
        <v>706</v>
      </c>
      <c r="N99" s="117" t="str">
        <f t="shared" ca="1" si="28"/>
        <v>Serviço</v>
      </c>
      <c r="O99" s="118" t="str">
        <f t="shared" ca="1" si="29"/>
        <v>-</v>
      </c>
      <c r="P99" s="119" t="s">
        <v>1315</v>
      </c>
      <c r="Q99" s="120" t="s">
        <v>1017</v>
      </c>
      <c r="R99" s="121" t="s">
        <v>1393</v>
      </c>
      <c r="S99" s="122" t="s">
        <v>1644</v>
      </c>
      <c r="T99" s="123">
        <f ca="1">OFFSET(CÁLCULO!H$15,ROW($T99)-ROW(T$15),0)</f>
        <v>4</v>
      </c>
      <c r="U99" s="124"/>
      <c r="V99" s="125" t="s">
        <v>663</v>
      </c>
      <c r="W99" s="123">
        <f ca="1">IF($C99="S",ROUND(IF(TIPOORCAMENTO="Proposto",ORÇAMENTO.CustoUnitario*(1+$AH99),ORÇAMENTO.PrecoUnitarioLicitado),15-13*$AF$10),0)</f>
        <v>0</v>
      </c>
      <c r="X99" s="126" cm="1">
        <f t="array" aca="1" ref="X99" ca="1">IF($C99="S",IF(OR(Import.TipoArredondamento&lt;&gt;"TransfereGOV",ACOMPANHAMENTO="BM"),VTOTAL1,SUM(OFFSET(CÁLCULO!$AA$15,ROW($X99)-ROW($X$15),1):OFFSET(CÁLCULO!$AL$15,ROW($X99)-ROW($X$15),-1))),IF($C99=0,0,ROUND(SomaAgrup,15-13*$AF$11)))</f>
        <v>0</v>
      </c>
      <c r="Y99" s="127" t="s">
        <v>752</v>
      </c>
      <c r="Z99" t="str">
        <f t="shared" ca="1" si="30"/>
        <v/>
      </c>
      <c r="AA99" s="128">
        <f ca="1">IF($C99="S",IF($Z99="CP",$X99,IF($Z99="RA",(($X99)*QCI!$AA$3),0)),SomaAgrup)</f>
        <v>0</v>
      </c>
      <c r="AB99" s="129">
        <f t="shared" ca="1" si="31"/>
        <v>0</v>
      </c>
      <c r="AC99" s="567" t="str">
        <f ca="1">IF($N99=""," ",
IF(AND($C99&lt;&gt;"S",OR($R99="",$R99="(digite a descrição aqui)")),"DESCRIÇÃO",
IF(AND($C99="S",OR($Q99&lt;&gt;0,$T99&gt;0,$U99&gt;0),$P99=0),"FONTE",
IF(AND($C99="S",$P99&lt;&gt;0,OR($T99&gt;0,$U99&gt;0),$Q99=0),"CÓDIGO",
IF(AND($C99="S",$P99&lt;&gt;0,$Q99&lt;&gt;0,$R99="(Código não identificado nas referências)"),"CÓDIGO N/ID",
IF(AND($C99="S",OR($R99="",$R99="(digite a descrição aqui)"),OR($Q99&lt;&gt;0,$T99&gt;0,$U99&gt;0)),"DESCRIÇÃO",
IF(AND($C99="S",$P99&lt;&gt;0,$Q99&lt;&gt;0,$S99=""),"UNIDADE",
IF(AND($C99="S",$P99&lt;&gt;0,$Q99&lt;&gt;0,$U99=0),"SEM CUSTO",
IF(AND(TIPOORCAMENTO="Licitado",$AL99=0,$AN99&gt;0),"SEM PREÇO",
IF(AND($C99="S",$P99&lt;&gt;0,$Q99&lt;&gt;0,$U99&gt;0,$V99=0),"BDI",
IF(OR(AND(TIPOORCAMENTO="Proposto",$AG99&lt;&gt;"",$AG99&gt;0,ORÇAMENTO.CustoUnitario&gt;$AG99),AND(TIPOORCAMENTO="LICITADO",ORÇAMENTO.PrecoUnitarioLicitado&gt;$AN99)),"ACIMA REF.",
IF(AND($C99="S",$P99&lt;&gt;0,$Q99&lt;&gt;0,$T99=0,$U99&gt;0),"QUANT.",
IF(AND(Import.TipoArredondamento="TransfereGOV",$L99="F",$C99="S",LEN($Q99)&gt;13),"Código &gt;13",
IF(AND(Import.TipoArredondamento="TransfereGOV",$L99="F",$C99&lt;&gt;"S",LEN($R99)&gt;100),"Descrição &gt;100",
IF(AND(Import.TipoArredondamento="TransfereGOV",$L99="F",$C99="S",LEN($R99)&gt;500),"Descrição &gt;500",
IF(AND(Import.TipoArredondamento="TransfereGOV",$L99="F",$C99="S",LEFT(TRIM(UPPER($P99)),6)&lt;&gt;"SINAPI",ISNA(VLOOKUP(TRIM(UPPER($S99)),ListaTgov.Unidades,1,FALSE))),"Unid. Não Disp",
" "))))))))))))))))</f>
        <v>SEM CUSTO</v>
      </c>
      <c r="AD99" t="str">
        <f ca="1">IF(C99&lt;=CRONO.NivelExibicao,MAX($AD$15:OFFSET(AD99,-1,0))+IF($C99&lt;&gt;1,1,MAX(1,COUNTIF(QCI!$A$13:$A$24,OFFSET($E99,-1,0)))),"")</f>
        <v/>
      </c>
      <c r="AE99" s="7" t="str">
        <f ca="1">IF(AND($C99="S",ORÇAMENTO.CodBarra&lt;&gt;""),IF(ORÇAMENTO.Fonte="",ORÇAMENTO.CodBarra,CONCATENATE(ORÇAMENTO.Fonte," ",ORÇAMENTO.CodBarra)))</f>
        <v>SINAPI-I 43104</v>
      </c>
      <c r="AF99" s="12" t="str">
        <f ca="1">IF(ISERROR(INDIRECT(ORÇAMENTO.BancoRef)),"(abra o arquivo 'Referência "&amp;Excel_BuiltIn_Database&amp;".xlsm)",IF(OR($C99&lt;&gt;"S",ORÇAMENTO.CodBarra=""),"(Sem Código)",IF(ISERROR(MATCH($AE99,INDIRECT(ORÇAMENTO.BancoRef),0)),"(Código não identificado nas referências)",MATCH($AE99,INDIRECT(ORÇAMENTO.BancoRef),0))))</f>
        <v>(abra o arquivo 'Referência 12-2024.xlsm)</v>
      </c>
      <c r="AG99" s="429">
        <f ca="1">ROUND(IF(DESONERACAO="sim",REFERENCIA.Desonerado,REFERENCIA.NaoDesonerado),2)</f>
        <v>0</v>
      </c>
      <c r="AH99" s="430">
        <f t="shared" ca="1" si="32"/>
        <v>0.31190000000000001</v>
      </c>
      <c r="AJ99" s="432">
        <v>4</v>
      </c>
      <c r="AL99" s="440"/>
      <c r="AM99" s="337">
        <f t="shared" ca="1" si="0"/>
        <v>0</v>
      </c>
      <c r="AN99" s="471">
        <f t="shared" ca="1" si="33"/>
        <v>0</v>
      </c>
    </row>
    <row r="100" spans="1:40" ht="38.25" x14ac:dyDescent="0.2">
      <c r="A100" t="str">
        <f t="shared" si="18"/>
        <v>S</v>
      </c>
      <c r="B100">
        <f t="shared" ca="1" si="19"/>
        <v>2</v>
      </c>
      <c r="C100" t="str">
        <f t="shared" ca="1" si="20"/>
        <v>S</v>
      </c>
      <c r="D100">
        <f t="shared" ca="1" si="21"/>
        <v>0</v>
      </c>
      <c r="E100">
        <f ca="1">IF($C100=1,OFFSET(E100,-1,0)+MAX(1,COUNTIF(QCI!$A$13:$A$24,OFFSET(ORÇAMENTO!E100,-1,0))),OFFSET(E100,-1,0))</f>
        <v>1</v>
      </c>
      <c r="F100">
        <f t="shared" ca="1" si="22"/>
        <v>9</v>
      </c>
      <c r="G100">
        <f t="shared" ca="1" si="23"/>
        <v>0</v>
      </c>
      <c r="H100">
        <f t="shared" ca="1" si="24"/>
        <v>0</v>
      </c>
      <c r="I100">
        <f t="shared" ca="1" si="25"/>
        <v>0</v>
      </c>
      <c r="J100">
        <f t="shared" ca="1" si="26"/>
        <v>0</v>
      </c>
      <c r="K100">
        <f ca="1">IF(OR($C100="S",$C100=0),0,MATCH(OFFSET($D100,0,$C100)+IF($C100&lt;&gt;1,1,COUNTIF(QCI!$A$13:$A$24,ORÇAMENTO!E100)),OFFSET($D100,1,$C100,ROW($C$405)-ROW($C100)),0))</f>
        <v>0</v>
      </c>
      <c r="L100" s="115" t="str">
        <f t="shared" ca="1" si="27"/>
        <v/>
      </c>
      <c r="M100" s="116" t="s">
        <v>706</v>
      </c>
      <c r="N100" s="117" t="str">
        <f t="shared" ca="1" si="28"/>
        <v>Serviço</v>
      </c>
      <c r="O100" s="118" t="str">
        <f t="shared" ca="1" si="29"/>
        <v>-</v>
      </c>
      <c r="P100" s="119" t="s">
        <v>751</v>
      </c>
      <c r="Q100" s="120" t="s">
        <v>1018</v>
      </c>
      <c r="R100" s="121" t="s">
        <v>1394</v>
      </c>
      <c r="S100" s="122" t="s">
        <v>621</v>
      </c>
      <c r="T100" s="123">
        <f ca="1">OFFSET(CÁLCULO!H$15,ROW($T100)-ROW(T$15),0)</f>
        <v>155</v>
      </c>
      <c r="U100" s="124"/>
      <c r="V100" s="125" t="s">
        <v>663</v>
      </c>
      <c r="W100" s="123">
        <f ca="1">IF($C100="S",ROUND(IF(TIPOORCAMENTO="Proposto",ORÇAMENTO.CustoUnitario*(1+$AH100),ORÇAMENTO.PrecoUnitarioLicitado),15-13*$AF$10),0)</f>
        <v>0</v>
      </c>
      <c r="X100" s="126" cm="1">
        <f t="array" aca="1" ref="X100" ca="1">IF($C100="S",IF(OR(Import.TipoArredondamento&lt;&gt;"TransfereGOV",ACOMPANHAMENTO="BM"),VTOTAL1,SUM(OFFSET(CÁLCULO!$AA$15,ROW($X100)-ROW($X$15),1):OFFSET(CÁLCULO!$AL$15,ROW($X100)-ROW($X$15),-1))),IF($C100=0,0,ROUND(SomaAgrup,15-13*$AF$11)))</f>
        <v>0</v>
      </c>
      <c r="Y100" s="127" t="s">
        <v>752</v>
      </c>
      <c r="Z100" t="str">
        <f t="shared" ca="1" si="30"/>
        <v/>
      </c>
      <c r="AA100" s="128">
        <f ca="1">IF($C100="S",IF($Z100="CP",$X100,IF($Z100="RA",(($X100)*QCI!$AA$3),0)),SomaAgrup)</f>
        <v>0</v>
      </c>
      <c r="AB100" s="129">
        <f t="shared" ca="1" si="31"/>
        <v>0</v>
      </c>
      <c r="AC100" s="567" t="str">
        <f ca="1">IF($N100=""," ",
IF(AND($C100&lt;&gt;"S",OR($R100="",$R100="(digite a descrição aqui)")),"DESCRIÇÃO",
IF(AND($C100="S",OR($Q100&lt;&gt;0,$T100&gt;0,$U100&gt;0),$P100=0),"FONTE",
IF(AND($C100="S",$P100&lt;&gt;0,OR($T100&gt;0,$U100&gt;0),$Q100=0),"CÓDIGO",
IF(AND($C100="S",$P100&lt;&gt;0,$Q100&lt;&gt;0,$R100="(Código não identificado nas referências)"),"CÓDIGO N/ID",
IF(AND($C100="S",OR($R100="",$R100="(digite a descrição aqui)"),OR($Q100&lt;&gt;0,$T100&gt;0,$U100&gt;0)),"DESCRIÇÃO",
IF(AND($C100="S",$P100&lt;&gt;0,$Q100&lt;&gt;0,$S100=""),"UNIDADE",
IF(AND($C100="S",$P100&lt;&gt;0,$Q100&lt;&gt;0,$U100=0),"SEM CUSTO",
IF(AND(TIPOORCAMENTO="Licitado",$AL100=0,$AN100&gt;0),"SEM PREÇO",
IF(AND($C100="S",$P100&lt;&gt;0,$Q100&lt;&gt;0,$U100&gt;0,$V100=0),"BDI",
IF(OR(AND(TIPOORCAMENTO="Proposto",$AG100&lt;&gt;"",$AG100&gt;0,ORÇAMENTO.CustoUnitario&gt;$AG100),AND(TIPOORCAMENTO="LICITADO",ORÇAMENTO.PrecoUnitarioLicitado&gt;$AN100)),"ACIMA REF.",
IF(AND($C100="S",$P100&lt;&gt;0,$Q100&lt;&gt;0,$T100=0,$U100&gt;0),"QUANT.",
IF(AND(Import.TipoArredondamento="TransfereGOV",$L100="F",$C100="S",LEN($Q100)&gt;13),"Código &gt;13",
IF(AND(Import.TipoArredondamento="TransfereGOV",$L100="F",$C100&lt;&gt;"S",LEN($R100)&gt;100),"Descrição &gt;100",
IF(AND(Import.TipoArredondamento="TransfereGOV",$L100="F",$C100="S",LEN($R100)&gt;500),"Descrição &gt;500",
IF(AND(Import.TipoArredondamento="TransfereGOV",$L100="F",$C100="S",LEFT(TRIM(UPPER($P100)),6)&lt;&gt;"SINAPI",ISNA(VLOOKUP(TRIM(UPPER($S100)),ListaTgov.Unidades,1,FALSE))),"Unid. Não Disp",
" "))))))))))))))))</f>
        <v>SEM CUSTO</v>
      </c>
      <c r="AD100" t="str">
        <f ca="1">IF(C100&lt;=CRONO.NivelExibicao,MAX($AD$15:OFFSET(AD100,-1,0))+IF($C100&lt;&gt;1,1,MAX(1,COUNTIF(QCI!$A$13:$A$24,OFFSET($E100,-1,0)))),"")</f>
        <v/>
      </c>
      <c r="AE100" s="7" t="str">
        <f ca="1">IF(AND($C100="S",ORÇAMENTO.CodBarra&lt;&gt;""),IF(ORÇAMENTO.Fonte="",ORÇAMENTO.CodBarra,CONCATENATE(ORÇAMENTO.Fonte," ",ORÇAMENTO.CodBarra)))</f>
        <v>SINAPI 91925</v>
      </c>
      <c r="AF100" s="12" t="str">
        <f ca="1">IF(ISERROR(INDIRECT(ORÇAMENTO.BancoRef)),"(abra o arquivo 'Referência "&amp;Excel_BuiltIn_Database&amp;".xlsm)",IF(OR($C100&lt;&gt;"S",ORÇAMENTO.CodBarra=""),"(Sem Código)",IF(ISERROR(MATCH($AE100,INDIRECT(ORÇAMENTO.BancoRef),0)),"(Código não identificado nas referências)",MATCH($AE100,INDIRECT(ORÇAMENTO.BancoRef),0))))</f>
        <v>(abra o arquivo 'Referência 12-2024.xlsm)</v>
      </c>
      <c r="AG100" s="429">
        <f ca="1">ROUND(IF(DESONERACAO="sim",REFERENCIA.Desonerado,REFERENCIA.NaoDesonerado),2)</f>
        <v>0</v>
      </c>
      <c r="AH100" s="430">
        <f t="shared" ca="1" si="32"/>
        <v>0.31190000000000001</v>
      </c>
      <c r="AJ100" s="432">
        <v>155</v>
      </c>
      <c r="AL100" s="440"/>
      <c r="AM100" s="337">
        <f t="shared" ca="1" si="0"/>
        <v>0</v>
      </c>
      <c r="AN100" s="471">
        <f t="shared" ca="1" si="33"/>
        <v>0</v>
      </c>
    </row>
    <row r="101" spans="1:40" ht="38.25" x14ac:dyDescent="0.2">
      <c r="A101" t="str">
        <f t="shared" si="18"/>
        <v>S</v>
      </c>
      <c r="B101">
        <f t="shared" ca="1" si="19"/>
        <v>2</v>
      </c>
      <c r="C101" t="str">
        <f t="shared" ca="1" si="20"/>
        <v>S</v>
      </c>
      <c r="D101">
        <f t="shared" ca="1" si="21"/>
        <v>0</v>
      </c>
      <c r="E101">
        <f ca="1">IF($C101=1,OFFSET(E101,-1,0)+MAX(1,COUNTIF(QCI!$A$13:$A$24,OFFSET(ORÇAMENTO!E101,-1,0))),OFFSET(E101,-1,0))</f>
        <v>1</v>
      </c>
      <c r="F101">
        <f t="shared" ca="1" si="22"/>
        <v>9</v>
      </c>
      <c r="G101">
        <f t="shared" ca="1" si="23"/>
        <v>0</v>
      </c>
      <c r="H101">
        <f t="shared" ca="1" si="24"/>
        <v>0</v>
      </c>
      <c r="I101">
        <f t="shared" ca="1" si="25"/>
        <v>0</v>
      </c>
      <c r="J101">
        <f t="shared" ca="1" si="26"/>
        <v>0</v>
      </c>
      <c r="K101">
        <f ca="1">IF(OR($C101="S",$C101=0),0,MATCH(OFFSET($D101,0,$C101)+IF($C101&lt;&gt;1,1,COUNTIF(QCI!$A$13:$A$24,ORÇAMENTO!E101)),OFFSET($D101,1,$C101,ROW($C$405)-ROW($C101)),0))</f>
        <v>0</v>
      </c>
      <c r="L101" s="115" t="str">
        <f t="shared" ca="1" si="27"/>
        <v/>
      </c>
      <c r="M101" s="116" t="s">
        <v>706</v>
      </c>
      <c r="N101" s="117" t="str">
        <f t="shared" ca="1" si="28"/>
        <v>Serviço</v>
      </c>
      <c r="O101" s="118" t="str">
        <f t="shared" ca="1" si="29"/>
        <v>-</v>
      </c>
      <c r="P101" s="119" t="s">
        <v>751</v>
      </c>
      <c r="Q101" s="120" t="s">
        <v>1019</v>
      </c>
      <c r="R101" s="121" t="s">
        <v>1395</v>
      </c>
      <c r="S101" s="122" t="s">
        <v>621</v>
      </c>
      <c r="T101" s="123">
        <f ca="1">OFFSET(CÁLCULO!H$15,ROW($T101)-ROW(T$15),0)</f>
        <v>480</v>
      </c>
      <c r="U101" s="124"/>
      <c r="V101" s="125" t="s">
        <v>663</v>
      </c>
      <c r="W101" s="123">
        <f ca="1">IF($C101="S",ROUND(IF(TIPOORCAMENTO="Proposto",ORÇAMENTO.CustoUnitario*(1+$AH101),ORÇAMENTO.PrecoUnitarioLicitado),15-13*$AF$10),0)</f>
        <v>0</v>
      </c>
      <c r="X101" s="126" cm="1">
        <f t="array" aca="1" ref="X101" ca="1">IF($C101="S",IF(OR(Import.TipoArredondamento&lt;&gt;"TransfereGOV",ACOMPANHAMENTO="BM"),VTOTAL1,SUM(OFFSET(CÁLCULO!$AA$15,ROW($X101)-ROW($X$15),1):OFFSET(CÁLCULO!$AL$15,ROW($X101)-ROW($X$15),-1))),IF($C101=0,0,ROUND(SomaAgrup,15-13*$AF$11)))</f>
        <v>0</v>
      </c>
      <c r="Y101" s="127" t="s">
        <v>752</v>
      </c>
      <c r="Z101" t="str">
        <f t="shared" ca="1" si="30"/>
        <v/>
      </c>
      <c r="AA101" s="128">
        <f ca="1">IF($C101="S",IF($Z101="CP",$X101,IF($Z101="RA",(($X101)*QCI!$AA$3),0)),SomaAgrup)</f>
        <v>0</v>
      </c>
      <c r="AB101" s="129">
        <f t="shared" ca="1" si="31"/>
        <v>0</v>
      </c>
      <c r="AC101" s="567" t="str">
        <f ca="1">IF($N101=""," ",
IF(AND($C101&lt;&gt;"S",OR($R101="",$R101="(digite a descrição aqui)")),"DESCRIÇÃO",
IF(AND($C101="S",OR($Q101&lt;&gt;0,$T101&gt;0,$U101&gt;0),$P101=0),"FONTE",
IF(AND($C101="S",$P101&lt;&gt;0,OR($T101&gt;0,$U101&gt;0),$Q101=0),"CÓDIGO",
IF(AND($C101="S",$P101&lt;&gt;0,$Q101&lt;&gt;0,$R101="(Código não identificado nas referências)"),"CÓDIGO N/ID",
IF(AND($C101="S",OR($R101="",$R101="(digite a descrição aqui)"),OR($Q101&lt;&gt;0,$T101&gt;0,$U101&gt;0)),"DESCRIÇÃO",
IF(AND($C101="S",$P101&lt;&gt;0,$Q101&lt;&gt;0,$S101=""),"UNIDADE",
IF(AND($C101="S",$P101&lt;&gt;0,$Q101&lt;&gt;0,$U101=0),"SEM CUSTO",
IF(AND(TIPOORCAMENTO="Licitado",$AL101=0,$AN101&gt;0),"SEM PREÇO",
IF(AND($C101="S",$P101&lt;&gt;0,$Q101&lt;&gt;0,$U101&gt;0,$V101=0),"BDI",
IF(OR(AND(TIPOORCAMENTO="Proposto",$AG101&lt;&gt;"",$AG101&gt;0,ORÇAMENTO.CustoUnitario&gt;$AG101),AND(TIPOORCAMENTO="LICITADO",ORÇAMENTO.PrecoUnitarioLicitado&gt;$AN101)),"ACIMA REF.",
IF(AND($C101="S",$P101&lt;&gt;0,$Q101&lt;&gt;0,$T101=0,$U101&gt;0),"QUANT.",
IF(AND(Import.TipoArredondamento="TransfereGOV",$L101="F",$C101="S",LEN($Q101)&gt;13),"Código &gt;13",
IF(AND(Import.TipoArredondamento="TransfereGOV",$L101="F",$C101&lt;&gt;"S",LEN($R101)&gt;100),"Descrição &gt;100",
IF(AND(Import.TipoArredondamento="TransfereGOV",$L101="F",$C101="S",LEN($R101)&gt;500),"Descrição &gt;500",
IF(AND(Import.TipoArredondamento="TransfereGOV",$L101="F",$C101="S",LEFT(TRIM(UPPER($P101)),6)&lt;&gt;"SINAPI",ISNA(VLOOKUP(TRIM(UPPER($S101)),ListaTgov.Unidades,1,FALSE))),"Unid. Não Disp",
" "))))))))))))))))</f>
        <v>SEM CUSTO</v>
      </c>
      <c r="AD101" t="str">
        <f ca="1">IF(C101&lt;=CRONO.NivelExibicao,MAX($AD$15:OFFSET(AD101,-1,0))+IF($C101&lt;&gt;1,1,MAX(1,COUNTIF(QCI!$A$13:$A$24,OFFSET($E101,-1,0)))),"")</f>
        <v/>
      </c>
      <c r="AE101" s="7" t="str">
        <f ca="1">IF(AND($C101="S",ORÇAMENTO.CodBarra&lt;&gt;""),IF(ORÇAMENTO.Fonte="",ORÇAMENTO.CodBarra,CONCATENATE(ORÇAMENTO.Fonte," ",ORÇAMENTO.CodBarra)))</f>
        <v>SINAPI 91933</v>
      </c>
      <c r="AF101" s="12" t="str">
        <f ca="1">IF(ISERROR(INDIRECT(ORÇAMENTO.BancoRef)),"(abra o arquivo 'Referência "&amp;Excel_BuiltIn_Database&amp;".xlsm)",IF(OR($C101&lt;&gt;"S",ORÇAMENTO.CodBarra=""),"(Sem Código)",IF(ISERROR(MATCH($AE101,INDIRECT(ORÇAMENTO.BancoRef),0)),"(Código não identificado nas referências)",MATCH($AE101,INDIRECT(ORÇAMENTO.BancoRef),0))))</f>
        <v>(abra o arquivo 'Referência 12-2024.xlsm)</v>
      </c>
      <c r="AG101" s="429">
        <f ca="1">ROUND(IF(DESONERACAO="sim",REFERENCIA.Desonerado,REFERENCIA.NaoDesonerado),2)</f>
        <v>0</v>
      </c>
      <c r="AH101" s="430">
        <f t="shared" ca="1" si="32"/>
        <v>0.31190000000000001</v>
      </c>
      <c r="AJ101" s="432">
        <v>480</v>
      </c>
      <c r="AL101" s="440"/>
      <c r="AM101" s="337">
        <f t="shared" ca="1" si="0"/>
        <v>0</v>
      </c>
      <c r="AN101" s="471">
        <f t="shared" ca="1" si="33"/>
        <v>0</v>
      </c>
    </row>
    <row r="102" spans="1:40" ht="38.25" x14ac:dyDescent="0.2">
      <c r="A102" t="str">
        <f t="shared" si="18"/>
        <v>S</v>
      </c>
      <c r="B102">
        <f t="shared" ca="1" si="19"/>
        <v>2</v>
      </c>
      <c r="C102" t="str">
        <f t="shared" ca="1" si="20"/>
        <v>S</v>
      </c>
      <c r="D102">
        <f t="shared" ca="1" si="21"/>
        <v>0</v>
      </c>
      <c r="E102">
        <f ca="1">IF($C102=1,OFFSET(E102,-1,0)+MAX(1,COUNTIF(QCI!$A$13:$A$24,OFFSET(ORÇAMENTO!E102,-1,0))),OFFSET(E102,-1,0))</f>
        <v>1</v>
      </c>
      <c r="F102">
        <f t="shared" ca="1" si="22"/>
        <v>9</v>
      </c>
      <c r="G102">
        <f t="shared" ca="1" si="23"/>
        <v>0</v>
      </c>
      <c r="H102">
        <f t="shared" ca="1" si="24"/>
        <v>0</v>
      </c>
      <c r="I102">
        <f t="shared" ca="1" si="25"/>
        <v>0</v>
      </c>
      <c r="J102">
        <f t="shared" ca="1" si="26"/>
        <v>0</v>
      </c>
      <c r="K102">
        <f ca="1">IF(OR($C102="S",$C102=0),0,MATCH(OFFSET($D102,0,$C102)+IF($C102&lt;&gt;1,1,COUNTIF(QCI!$A$13:$A$24,ORÇAMENTO!E102)),OFFSET($D102,1,$C102,ROW($C$405)-ROW($C102)),0))</f>
        <v>0</v>
      </c>
      <c r="L102" s="115" t="str">
        <f t="shared" ca="1" si="27"/>
        <v/>
      </c>
      <c r="M102" s="116" t="s">
        <v>706</v>
      </c>
      <c r="N102" s="117" t="str">
        <f t="shared" ca="1" si="28"/>
        <v>Serviço</v>
      </c>
      <c r="O102" s="118" t="str">
        <f t="shared" ca="1" si="29"/>
        <v>-</v>
      </c>
      <c r="P102" s="119" t="s">
        <v>751</v>
      </c>
      <c r="Q102" s="120" t="s">
        <v>1020</v>
      </c>
      <c r="R102" s="121" t="s">
        <v>1396</v>
      </c>
      <c r="S102" s="122" t="s">
        <v>621</v>
      </c>
      <c r="T102" s="123">
        <f ca="1">OFFSET(CÁLCULO!H$15,ROW($T102)-ROW(T$15),0)</f>
        <v>155</v>
      </c>
      <c r="U102" s="124"/>
      <c r="V102" s="125" t="s">
        <v>663</v>
      </c>
      <c r="W102" s="123">
        <f ca="1">IF($C102="S",ROUND(IF(TIPOORCAMENTO="Proposto",ORÇAMENTO.CustoUnitario*(1+$AH102),ORÇAMENTO.PrecoUnitarioLicitado),15-13*$AF$10),0)</f>
        <v>0</v>
      </c>
      <c r="X102" s="126" cm="1">
        <f t="array" aca="1" ref="X102" ca="1">IF($C102="S",IF(OR(Import.TipoArredondamento&lt;&gt;"TransfereGOV",ACOMPANHAMENTO="BM"),VTOTAL1,SUM(OFFSET(CÁLCULO!$AA$15,ROW($X102)-ROW($X$15),1):OFFSET(CÁLCULO!$AL$15,ROW($X102)-ROW($X$15),-1))),IF($C102=0,0,ROUND(SomaAgrup,15-13*$AF$11)))</f>
        <v>0</v>
      </c>
      <c r="Y102" s="127" t="s">
        <v>752</v>
      </c>
      <c r="Z102" t="str">
        <f t="shared" ca="1" si="30"/>
        <v/>
      </c>
      <c r="AA102" s="128">
        <f ca="1">IF($C102="S",IF($Z102="CP",$X102,IF($Z102="RA",(($X102)*QCI!$AA$3),0)),SomaAgrup)</f>
        <v>0</v>
      </c>
      <c r="AB102" s="129">
        <f t="shared" ca="1" si="31"/>
        <v>0</v>
      </c>
      <c r="AC102" s="567" t="str">
        <f ca="1">IF($N102=""," ",
IF(AND($C102&lt;&gt;"S",OR($R102="",$R102="(digite a descrição aqui)")),"DESCRIÇÃO",
IF(AND($C102="S",OR($Q102&lt;&gt;0,$T102&gt;0,$U102&gt;0),$P102=0),"FONTE",
IF(AND($C102="S",$P102&lt;&gt;0,OR($T102&gt;0,$U102&gt;0),$Q102=0),"CÓDIGO",
IF(AND($C102="S",$P102&lt;&gt;0,$Q102&lt;&gt;0,$R102="(Código não identificado nas referências)"),"CÓDIGO N/ID",
IF(AND($C102="S",OR($R102="",$R102="(digite a descrição aqui)"),OR($Q102&lt;&gt;0,$T102&gt;0,$U102&gt;0)),"DESCRIÇÃO",
IF(AND($C102="S",$P102&lt;&gt;0,$Q102&lt;&gt;0,$S102=""),"UNIDADE",
IF(AND($C102="S",$P102&lt;&gt;0,$Q102&lt;&gt;0,$U102=0),"SEM CUSTO",
IF(AND(TIPOORCAMENTO="Licitado",$AL102=0,$AN102&gt;0),"SEM PREÇO",
IF(AND($C102="S",$P102&lt;&gt;0,$Q102&lt;&gt;0,$U102&gt;0,$V102=0),"BDI",
IF(OR(AND(TIPOORCAMENTO="Proposto",$AG102&lt;&gt;"",$AG102&gt;0,ORÇAMENTO.CustoUnitario&gt;$AG102),AND(TIPOORCAMENTO="LICITADO",ORÇAMENTO.PrecoUnitarioLicitado&gt;$AN102)),"ACIMA REF.",
IF(AND($C102="S",$P102&lt;&gt;0,$Q102&lt;&gt;0,$T102=0,$U102&gt;0),"QUANT.",
IF(AND(Import.TipoArredondamento="TransfereGOV",$L102="F",$C102="S",LEN($Q102)&gt;13),"Código &gt;13",
IF(AND(Import.TipoArredondamento="TransfereGOV",$L102="F",$C102&lt;&gt;"S",LEN($R102)&gt;100),"Descrição &gt;100",
IF(AND(Import.TipoArredondamento="TransfereGOV",$L102="F",$C102="S",LEN($R102)&gt;500),"Descrição &gt;500",
IF(AND(Import.TipoArredondamento="TransfereGOV",$L102="F",$C102="S",LEFT(TRIM(UPPER($P102)),6)&lt;&gt;"SINAPI",ISNA(VLOOKUP(TRIM(UPPER($S102)),ListaTgov.Unidades,1,FALSE))),"Unid. Não Disp",
" "))))))))))))))))</f>
        <v>SEM CUSTO</v>
      </c>
      <c r="AD102" t="str">
        <f ca="1">IF(C102&lt;=CRONO.NivelExibicao,MAX($AD$15:OFFSET(AD102,-1,0))+IF($C102&lt;&gt;1,1,MAX(1,COUNTIF(QCI!$A$13:$A$24,OFFSET($E102,-1,0)))),"")</f>
        <v/>
      </c>
      <c r="AE102" s="7" t="str">
        <f ca="1">IF(AND($C102="S",ORÇAMENTO.CodBarra&lt;&gt;""),IF(ORÇAMENTO.Fonte="",ORÇAMENTO.CodBarra,CONCATENATE(ORÇAMENTO.Fonte," ",ORÇAMENTO.CodBarra)))</f>
        <v>SINAPI 91935</v>
      </c>
      <c r="AF102" s="12" t="str">
        <f ca="1">IF(ISERROR(INDIRECT(ORÇAMENTO.BancoRef)),"(abra o arquivo 'Referência "&amp;Excel_BuiltIn_Database&amp;".xlsm)",IF(OR($C102&lt;&gt;"S",ORÇAMENTO.CodBarra=""),"(Sem Código)",IF(ISERROR(MATCH($AE102,INDIRECT(ORÇAMENTO.BancoRef),0)),"(Código não identificado nas referências)",MATCH($AE102,INDIRECT(ORÇAMENTO.BancoRef),0))))</f>
        <v>(abra o arquivo 'Referência 12-2024.xlsm)</v>
      </c>
      <c r="AG102" s="429">
        <f ca="1">ROUND(IF(DESONERACAO="sim",REFERENCIA.Desonerado,REFERENCIA.NaoDesonerado),2)</f>
        <v>0</v>
      </c>
      <c r="AH102" s="430">
        <f t="shared" ca="1" si="32"/>
        <v>0.31190000000000001</v>
      </c>
      <c r="AJ102" s="432">
        <v>155</v>
      </c>
      <c r="AL102" s="440"/>
      <c r="AM102" s="337">
        <f t="shared" ca="1" si="0"/>
        <v>0</v>
      </c>
      <c r="AN102" s="471">
        <f t="shared" ca="1" si="33"/>
        <v>0</v>
      </c>
    </row>
    <row r="103" spans="1:40" ht="38.25" x14ac:dyDescent="0.2">
      <c r="A103" t="str">
        <f t="shared" si="18"/>
        <v>S</v>
      </c>
      <c r="B103">
        <f t="shared" ca="1" si="19"/>
        <v>2</v>
      </c>
      <c r="C103" t="str">
        <f t="shared" ca="1" si="20"/>
        <v>S</v>
      </c>
      <c r="D103">
        <f t="shared" ca="1" si="21"/>
        <v>0</v>
      </c>
      <c r="E103">
        <f ca="1">IF($C103=1,OFFSET(E103,-1,0)+MAX(1,COUNTIF(QCI!$A$13:$A$24,OFFSET(ORÇAMENTO!E103,-1,0))),OFFSET(E103,-1,0))</f>
        <v>1</v>
      </c>
      <c r="F103">
        <f t="shared" ca="1" si="22"/>
        <v>9</v>
      </c>
      <c r="G103">
        <f t="shared" ca="1" si="23"/>
        <v>0</v>
      </c>
      <c r="H103">
        <f t="shared" ca="1" si="24"/>
        <v>0</v>
      </c>
      <c r="I103">
        <f t="shared" ca="1" si="25"/>
        <v>0</v>
      </c>
      <c r="J103">
        <f t="shared" ca="1" si="26"/>
        <v>0</v>
      </c>
      <c r="K103">
        <f ca="1">IF(OR($C103="S",$C103=0),0,MATCH(OFFSET($D103,0,$C103)+IF($C103&lt;&gt;1,1,COUNTIF(QCI!$A$13:$A$24,ORÇAMENTO!E103)),OFFSET($D103,1,$C103,ROW($C$405)-ROW($C103)),0))</f>
        <v>0</v>
      </c>
      <c r="L103" s="115" t="str">
        <f t="shared" ca="1" si="27"/>
        <v/>
      </c>
      <c r="M103" s="116" t="s">
        <v>706</v>
      </c>
      <c r="N103" s="117" t="str">
        <f t="shared" ca="1" si="28"/>
        <v>Serviço</v>
      </c>
      <c r="O103" s="118" t="str">
        <f t="shared" ca="1" si="29"/>
        <v>-</v>
      </c>
      <c r="P103" s="119" t="s">
        <v>751</v>
      </c>
      <c r="Q103" s="120" t="s">
        <v>1021</v>
      </c>
      <c r="R103" s="121" t="s">
        <v>1397</v>
      </c>
      <c r="S103" s="122" t="s">
        <v>621</v>
      </c>
      <c r="T103" s="123">
        <f ca="1">OFFSET(CÁLCULO!H$15,ROW($T103)-ROW(T$15),0)</f>
        <v>65</v>
      </c>
      <c r="U103" s="124"/>
      <c r="V103" s="125" t="s">
        <v>663</v>
      </c>
      <c r="W103" s="123">
        <f ca="1">IF($C103="S",ROUND(IF(TIPOORCAMENTO="Proposto",ORÇAMENTO.CustoUnitario*(1+$AH103),ORÇAMENTO.PrecoUnitarioLicitado),15-13*$AF$10),0)</f>
        <v>0</v>
      </c>
      <c r="X103" s="126" cm="1">
        <f t="array" aca="1" ref="X103" ca="1">IF($C103="S",IF(OR(Import.TipoArredondamento&lt;&gt;"TransfereGOV",ACOMPANHAMENTO="BM"),VTOTAL1,SUM(OFFSET(CÁLCULO!$AA$15,ROW($X103)-ROW($X$15),1):OFFSET(CÁLCULO!$AL$15,ROW($X103)-ROW($X$15),-1))),IF($C103=0,0,ROUND(SomaAgrup,15-13*$AF$11)))</f>
        <v>0</v>
      </c>
      <c r="Y103" s="127" t="s">
        <v>752</v>
      </c>
      <c r="Z103" t="str">
        <f t="shared" ca="1" si="30"/>
        <v/>
      </c>
      <c r="AA103" s="128">
        <f ca="1">IF($C103="S",IF($Z103="CP",$X103,IF($Z103="RA",(($X103)*QCI!$AA$3),0)),SomaAgrup)</f>
        <v>0</v>
      </c>
      <c r="AB103" s="129">
        <f t="shared" ca="1" si="31"/>
        <v>0</v>
      </c>
      <c r="AC103" s="567" t="str">
        <f ca="1">IF($N103=""," ",
IF(AND($C103&lt;&gt;"S",OR($R103="",$R103="(digite a descrição aqui)")),"DESCRIÇÃO",
IF(AND($C103="S",OR($Q103&lt;&gt;0,$T103&gt;0,$U103&gt;0),$P103=0),"FONTE",
IF(AND($C103="S",$P103&lt;&gt;0,OR($T103&gt;0,$U103&gt;0),$Q103=0),"CÓDIGO",
IF(AND($C103="S",$P103&lt;&gt;0,$Q103&lt;&gt;0,$R103="(Código não identificado nas referências)"),"CÓDIGO N/ID",
IF(AND($C103="S",OR($R103="",$R103="(digite a descrição aqui)"),OR($Q103&lt;&gt;0,$T103&gt;0,$U103&gt;0)),"DESCRIÇÃO",
IF(AND($C103="S",$P103&lt;&gt;0,$Q103&lt;&gt;0,$S103=""),"UNIDADE",
IF(AND($C103="S",$P103&lt;&gt;0,$Q103&lt;&gt;0,$U103=0),"SEM CUSTO",
IF(AND(TIPOORCAMENTO="Licitado",$AL103=0,$AN103&gt;0),"SEM PREÇO",
IF(AND($C103="S",$P103&lt;&gt;0,$Q103&lt;&gt;0,$U103&gt;0,$V103=0),"BDI",
IF(OR(AND(TIPOORCAMENTO="Proposto",$AG103&lt;&gt;"",$AG103&gt;0,ORÇAMENTO.CustoUnitario&gt;$AG103),AND(TIPOORCAMENTO="LICITADO",ORÇAMENTO.PrecoUnitarioLicitado&gt;$AN103)),"ACIMA REF.",
IF(AND($C103="S",$P103&lt;&gt;0,$Q103&lt;&gt;0,$T103=0,$U103&gt;0),"QUANT.",
IF(AND(Import.TipoArredondamento="TransfereGOV",$L103="F",$C103="S",LEN($Q103)&gt;13),"Código &gt;13",
IF(AND(Import.TipoArredondamento="TransfereGOV",$L103="F",$C103&lt;&gt;"S",LEN($R103)&gt;100),"Descrição &gt;100",
IF(AND(Import.TipoArredondamento="TransfereGOV",$L103="F",$C103="S",LEN($R103)&gt;500),"Descrição &gt;500",
IF(AND(Import.TipoArredondamento="TransfereGOV",$L103="F",$C103="S",LEFT(TRIM(UPPER($P103)),6)&lt;&gt;"SINAPI",ISNA(VLOOKUP(TRIM(UPPER($S103)),ListaTgov.Unidades,1,FALSE))),"Unid. Não Disp",
" "))))))))))))))))</f>
        <v>SEM CUSTO</v>
      </c>
      <c r="AD103" t="str">
        <f ca="1">IF(C103&lt;=CRONO.NivelExibicao,MAX($AD$15:OFFSET(AD103,-1,0))+IF($C103&lt;&gt;1,1,MAX(1,COUNTIF(QCI!$A$13:$A$24,OFFSET($E103,-1,0)))),"")</f>
        <v/>
      </c>
      <c r="AE103" s="7" t="str">
        <f ca="1">IF(AND($C103="S",ORÇAMENTO.CodBarra&lt;&gt;""),IF(ORÇAMENTO.Fonte="",ORÇAMENTO.CodBarra,CONCATENATE(ORÇAMENTO.Fonte," ",ORÇAMENTO.CodBarra)))</f>
        <v>SINAPI 92986</v>
      </c>
      <c r="AF103" s="12" t="str">
        <f ca="1">IF(ISERROR(INDIRECT(ORÇAMENTO.BancoRef)),"(abra o arquivo 'Referência "&amp;Excel_BuiltIn_Database&amp;".xlsm)",IF(OR($C103&lt;&gt;"S",ORÇAMENTO.CodBarra=""),"(Sem Código)",IF(ISERROR(MATCH($AE103,INDIRECT(ORÇAMENTO.BancoRef),0)),"(Código não identificado nas referências)",MATCH($AE103,INDIRECT(ORÇAMENTO.BancoRef),0))))</f>
        <v>(abra o arquivo 'Referência 12-2024.xlsm)</v>
      </c>
      <c r="AG103" s="429">
        <f ca="1">ROUND(IF(DESONERACAO="sim",REFERENCIA.Desonerado,REFERENCIA.NaoDesonerado),2)</f>
        <v>0</v>
      </c>
      <c r="AH103" s="430">
        <f t="shared" ca="1" si="32"/>
        <v>0.31190000000000001</v>
      </c>
      <c r="AJ103" s="432">
        <v>65</v>
      </c>
      <c r="AL103" s="440"/>
      <c r="AM103" s="337">
        <f t="shared" ca="1" si="0"/>
        <v>0</v>
      </c>
      <c r="AN103" s="471">
        <f t="shared" ca="1" si="33"/>
        <v>0</v>
      </c>
    </row>
    <row r="104" spans="1:40" ht="38.25" x14ac:dyDescent="0.2">
      <c r="A104" t="str">
        <f t="shared" si="18"/>
        <v>S</v>
      </c>
      <c r="B104">
        <f t="shared" ca="1" si="19"/>
        <v>2</v>
      </c>
      <c r="C104" t="str">
        <f t="shared" ca="1" si="20"/>
        <v>S</v>
      </c>
      <c r="D104">
        <f t="shared" ca="1" si="21"/>
        <v>0</v>
      </c>
      <c r="E104">
        <f ca="1">IF($C104=1,OFFSET(E104,-1,0)+MAX(1,COUNTIF(QCI!$A$13:$A$24,OFFSET(ORÇAMENTO!E104,-1,0))),OFFSET(E104,-1,0))</f>
        <v>1</v>
      </c>
      <c r="F104">
        <f t="shared" ca="1" si="22"/>
        <v>9</v>
      </c>
      <c r="G104">
        <f t="shared" ca="1" si="23"/>
        <v>0</v>
      </c>
      <c r="H104">
        <f t="shared" ca="1" si="24"/>
        <v>0</v>
      </c>
      <c r="I104">
        <f t="shared" ca="1" si="25"/>
        <v>0</v>
      </c>
      <c r="J104">
        <f t="shared" ca="1" si="26"/>
        <v>0</v>
      </c>
      <c r="K104">
        <f ca="1">IF(OR($C104="S",$C104=0),0,MATCH(OFFSET($D104,0,$C104)+IF($C104&lt;&gt;1,1,COUNTIF(QCI!$A$13:$A$24,ORÇAMENTO!E104)),OFFSET($D104,1,$C104,ROW($C$405)-ROW($C104)),0))</f>
        <v>0</v>
      </c>
      <c r="L104" s="115" t="str">
        <f t="shared" ca="1" si="27"/>
        <v/>
      </c>
      <c r="M104" s="116" t="s">
        <v>706</v>
      </c>
      <c r="N104" s="117" t="str">
        <f t="shared" ca="1" si="28"/>
        <v>Serviço</v>
      </c>
      <c r="O104" s="118" t="str">
        <f t="shared" ca="1" si="29"/>
        <v>-</v>
      </c>
      <c r="P104" s="119" t="s">
        <v>751</v>
      </c>
      <c r="Q104" s="120" t="s">
        <v>1022</v>
      </c>
      <c r="R104" s="121" t="s">
        <v>1398</v>
      </c>
      <c r="S104" s="122" t="s">
        <v>621</v>
      </c>
      <c r="T104" s="123">
        <f ca="1">OFFSET(CÁLCULO!H$15,ROW($T104)-ROW(T$15),0)</f>
        <v>312</v>
      </c>
      <c r="U104" s="124"/>
      <c r="V104" s="125" t="s">
        <v>663</v>
      </c>
      <c r="W104" s="123">
        <f ca="1">IF($C104="S",ROUND(IF(TIPOORCAMENTO="Proposto",ORÇAMENTO.CustoUnitario*(1+$AH104),ORÇAMENTO.PrecoUnitarioLicitado),15-13*$AF$10),0)</f>
        <v>0</v>
      </c>
      <c r="X104" s="126" cm="1">
        <f t="array" aca="1" ref="X104" ca="1">IF($C104="S",IF(OR(Import.TipoArredondamento&lt;&gt;"TransfereGOV",ACOMPANHAMENTO="BM"),VTOTAL1,SUM(OFFSET(CÁLCULO!$AA$15,ROW($X104)-ROW($X$15),1):OFFSET(CÁLCULO!$AL$15,ROW($X104)-ROW($X$15),-1))),IF($C104=0,0,ROUND(SomaAgrup,15-13*$AF$11)))</f>
        <v>0</v>
      </c>
      <c r="Y104" s="127" t="s">
        <v>752</v>
      </c>
      <c r="Z104" t="str">
        <f t="shared" ca="1" si="30"/>
        <v/>
      </c>
      <c r="AA104" s="128">
        <f ca="1">IF($C104="S",IF($Z104="CP",$X104,IF($Z104="RA",(($X104)*QCI!$AA$3),0)),SomaAgrup)</f>
        <v>0</v>
      </c>
      <c r="AB104" s="129">
        <f t="shared" ca="1" si="31"/>
        <v>0</v>
      </c>
      <c r="AC104" s="567" t="str">
        <f ca="1">IF($N104=""," ",
IF(AND($C104&lt;&gt;"S",OR($R104="",$R104="(digite a descrição aqui)")),"DESCRIÇÃO",
IF(AND($C104="S",OR($Q104&lt;&gt;0,$T104&gt;0,$U104&gt;0),$P104=0),"FONTE",
IF(AND($C104="S",$P104&lt;&gt;0,OR($T104&gt;0,$U104&gt;0),$Q104=0),"CÓDIGO",
IF(AND($C104="S",$P104&lt;&gt;0,$Q104&lt;&gt;0,$R104="(Código não identificado nas referências)"),"CÓDIGO N/ID",
IF(AND($C104="S",OR($R104="",$R104="(digite a descrição aqui)"),OR($Q104&lt;&gt;0,$T104&gt;0,$U104&gt;0)),"DESCRIÇÃO",
IF(AND($C104="S",$P104&lt;&gt;0,$Q104&lt;&gt;0,$S104=""),"UNIDADE",
IF(AND($C104="S",$P104&lt;&gt;0,$Q104&lt;&gt;0,$U104=0),"SEM CUSTO",
IF(AND(TIPOORCAMENTO="Licitado",$AL104=0,$AN104&gt;0),"SEM PREÇO",
IF(AND($C104="S",$P104&lt;&gt;0,$Q104&lt;&gt;0,$U104&gt;0,$V104=0),"BDI",
IF(OR(AND(TIPOORCAMENTO="Proposto",$AG104&lt;&gt;"",$AG104&gt;0,ORÇAMENTO.CustoUnitario&gt;$AG104),AND(TIPOORCAMENTO="LICITADO",ORÇAMENTO.PrecoUnitarioLicitado&gt;$AN104)),"ACIMA REF.",
IF(AND($C104="S",$P104&lt;&gt;0,$Q104&lt;&gt;0,$T104=0,$U104&gt;0),"QUANT.",
IF(AND(Import.TipoArredondamento="TransfereGOV",$L104="F",$C104="S",LEN($Q104)&gt;13),"Código &gt;13",
IF(AND(Import.TipoArredondamento="TransfereGOV",$L104="F",$C104&lt;&gt;"S",LEN($R104)&gt;100),"Descrição &gt;100",
IF(AND(Import.TipoArredondamento="TransfereGOV",$L104="F",$C104="S",LEN($R104)&gt;500),"Descrição &gt;500",
IF(AND(Import.TipoArredondamento="TransfereGOV",$L104="F",$C104="S",LEFT(TRIM(UPPER($P104)),6)&lt;&gt;"SINAPI",ISNA(VLOOKUP(TRIM(UPPER($S104)),ListaTgov.Unidades,1,FALSE))),"Unid. Não Disp",
" "))))))))))))))))</f>
        <v>SEM CUSTO</v>
      </c>
      <c r="AD104" t="str">
        <f ca="1">IF(C104&lt;=CRONO.NivelExibicao,MAX($AD$15:OFFSET(AD104,-1,0))+IF($C104&lt;&gt;1,1,MAX(1,COUNTIF(QCI!$A$13:$A$24,OFFSET($E104,-1,0)))),"")</f>
        <v/>
      </c>
      <c r="AE104" s="7" t="str">
        <f ca="1">IF(AND($C104="S",ORÇAMENTO.CodBarra&lt;&gt;""),IF(ORÇAMENTO.Fonte="",ORÇAMENTO.CodBarra,CONCATENATE(ORÇAMENTO.Fonte," ",ORÇAMENTO.CodBarra)))</f>
        <v>SINAPI 91929</v>
      </c>
      <c r="AF104" s="12" t="str">
        <f ca="1">IF(ISERROR(INDIRECT(ORÇAMENTO.BancoRef)),"(abra o arquivo 'Referência "&amp;Excel_BuiltIn_Database&amp;".xlsm)",IF(OR($C104&lt;&gt;"S",ORÇAMENTO.CodBarra=""),"(Sem Código)",IF(ISERROR(MATCH($AE104,INDIRECT(ORÇAMENTO.BancoRef),0)),"(Código não identificado nas referências)",MATCH($AE104,INDIRECT(ORÇAMENTO.BancoRef),0))))</f>
        <v>(abra o arquivo 'Referência 12-2024.xlsm)</v>
      </c>
      <c r="AG104" s="429">
        <f ca="1">ROUND(IF(DESONERACAO="sim",REFERENCIA.Desonerado,REFERENCIA.NaoDesonerado),2)</f>
        <v>0</v>
      </c>
      <c r="AH104" s="430">
        <f t="shared" ca="1" si="32"/>
        <v>0.31190000000000001</v>
      </c>
      <c r="AJ104" s="432">
        <v>312</v>
      </c>
      <c r="AL104" s="440"/>
      <c r="AM104" s="337">
        <f t="shared" ca="1" si="0"/>
        <v>0</v>
      </c>
      <c r="AN104" s="471">
        <f t="shared" ca="1" si="33"/>
        <v>0</v>
      </c>
    </row>
    <row r="105" spans="1:40" ht="38.25" x14ac:dyDescent="0.2">
      <c r="A105" t="str">
        <f t="shared" si="18"/>
        <v>S</v>
      </c>
      <c r="B105">
        <f t="shared" ca="1" si="19"/>
        <v>2</v>
      </c>
      <c r="C105" t="str">
        <f t="shared" ca="1" si="20"/>
        <v>S</v>
      </c>
      <c r="D105">
        <f t="shared" ca="1" si="21"/>
        <v>0</v>
      </c>
      <c r="E105">
        <f ca="1">IF($C105=1,OFFSET(E105,-1,0)+MAX(1,COUNTIF(QCI!$A$13:$A$24,OFFSET(ORÇAMENTO!E105,-1,0))),OFFSET(E105,-1,0))</f>
        <v>1</v>
      </c>
      <c r="F105">
        <f t="shared" ca="1" si="22"/>
        <v>9</v>
      </c>
      <c r="G105">
        <f t="shared" ca="1" si="23"/>
        <v>0</v>
      </c>
      <c r="H105">
        <f t="shared" ca="1" si="24"/>
        <v>0</v>
      </c>
      <c r="I105">
        <f t="shared" ca="1" si="25"/>
        <v>0</v>
      </c>
      <c r="J105">
        <f t="shared" ca="1" si="26"/>
        <v>0</v>
      </c>
      <c r="K105">
        <f ca="1">IF(OR($C105="S",$C105=0),0,MATCH(OFFSET($D105,0,$C105)+IF($C105&lt;&gt;1,1,COUNTIF(QCI!$A$13:$A$24,ORÇAMENTO!E105)),OFFSET($D105,1,$C105,ROW($C$405)-ROW($C105)),0))</f>
        <v>0</v>
      </c>
      <c r="L105" s="115" t="str">
        <f t="shared" ca="1" si="27"/>
        <v/>
      </c>
      <c r="M105" s="116" t="s">
        <v>706</v>
      </c>
      <c r="N105" s="117" t="str">
        <f t="shared" ca="1" si="28"/>
        <v>Serviço</v>
      </c>
      <c r="O105" s="118" t="str">
        <f t="shared" ca="1" si="29"/>
        <v>-</v>
      </c>
      <c r="P105" s="119" t="s">
        <v>751</v>
      </c>
      <c r="Q105" s="120" t="s">
        <v>1023</v>
      </c>
      <c r="R105" s="121" t="s">
        <v>1399</v>
      </c>
      <c r="S105" s="122" t="s">
        <v>621</v>
      </c>
      <c r="T105" s="123">
        <f ca="1">OFFSET(CÁLCULO!H$15,ROW($T105)-ROW(T$15),0)</f>
        <v>175</v>
      </c>
      <c r="U105" s="124"/>
      <c r="V105" s="125" t="s">
        <v>663</v>
      </c>
      <c r="W105" s="123">
        <f ca="1">IF($C105="S",ROUND(IF(TIPOORCAMENTO="Proposto",ORÇAMENTO.CustoUnitario*(1+$AH105),ORÇAMENTO.PrecoUnitarioLicitado),15-13*$AF$10),0)</f>
        <v>0</v>
      </c>
      <c r="X105" s="126" cm="1">
        <f t="array" aca="1" ref="X105" ca="1">IF($C105="S",IF(OR(Import.TipoArredondamento&lt;&gt;"TransfereGOV",ACOMPANHAMENTO="BM"),VTOTAL1,SUM(OFFSET(CÁLCULO!$AA$15,ROW($X105)-ROW($X$15),1):OFFSET(CÁLCULO!$AL$15,ROW($X105)-ROW($X$15),-1))),IF($C105=0,0,ROUND(SomaAgrup,15-13*$AF$11)))</f>
        <v>0</v>
      </c>
      <c r="Y105" s="127" t="s">
        <v>752</v>
      </c>
      <c r="Z105" t="str">
        <f t="shared" ca="1" si="30"/>
        <v/>
      </c>
      <c r="AA105" s="128">
        <f ca="1">IF($C105="S",IF($Z105="CP",$X105,IF($Z105="RA",(($X105)*QCI!$AA$3),0)),SomaAgrup)</f>
        <v>0</v>
      </c>
      <c r="AB105" s="129">
        <f t="shared" ca="1" si="31"/>
        <v>0</v>
      </c>
      <c r="AC105" s="567" t="str">
        <f ca="1">IF($N105=""," ",
IF(AND($C105&lt;&gt;"S",OR($R105="",$R105="(digite a descrição aqui)")),"DESCRIÇÃO",
IF(AND($C105="S",OR($Q105&lt;&gt;0,$T105&gt;0,$U105&gt;0),$P105=0),"FONTE",
IF(AND($C105="S",$P105&lt;&gt;0,OR($T105&gt;0,$U105&gt;0),$Q105=0),"CÓDIGO",
IF(AND($C105="S",$P105&lt;&gt;0,$Q105&lt;&gt;0,$R105="(Código não identificado nas referências)"),"CÓDIGO N/ID",
IF(AND($C105="S",OR($R105="",$R105="(digite a descrição aqui)"),OR($Q105&lt;&gt;0,$T105&gt;0,$U105&gt;0)),"DESCRIÇÃO",
IF(AND($C105="S",$P105&lt;&gt;0,$Q105&lt;&gt;0,$S105=""),"UNIDADE",
IF(AND($C105="S",$P105&lt;&gt;0,$Q105&lt;&gt;0,$U105=0),"SEM CUSTO",
IF(AND(TIPOORCAMENTO="Licitado",$AL105=0,$AN105&gt;0),"SEM PREÇO",
IF(AND($C105="S",$P105&lt;&gt;0,$Q105&lt;&gt;0,$U105&gt;0,$V105=0),"BDI",
IF(OR(AND(TIPOORCAMENTO="Proposto",$AG105&lt;&gt;"",$AG105&gt;0,ORÇAMENTO.CustoUnitario&gt;$AG105),AND(TIPOORCAMENTO="LICITADO",ORÇAMENTO.PrecoUnitarioLicitado&gt;$AN105)),"ACIMA REF.",
IF(AND($C105="S",$P105&lt;&gt;0,$Q105&lt;&gt;0,$T105=0,$U105&gt;0),"QUANT.",
IF(AND(Import.TipoArredondamento="TransfereGOV",$L105="F",$C105="S",LEN($Q105)&gt;13),"Código &gt;13",
IF(AND(Import.TipoArredondamento="TransfereGOV",$L105="F",$C105&lt;&gt;"S",LEN($R105)&gt;100),"Descrição &gt;100",
IF(AND(Import.TipoArredondamento="TransfereGOV",$L105="F",$C105="S",LEN($R105)&gt;500),"Descrição &gt;500",
IF(AND(Import.TipoArredondamento="TransfereGOV",$L105="F",$C105="S",LEFT(TRIM(UPPER($P105)),6)&lt;&gt;"SINAPI",ISNA(VLOOKUP(TRIM(UPPER($S105)),ListaTgov.Unidades,1,FALSE))),"Unid. Não Disp",
" "))))))))))))))))</f>
        <v>SEM CUSTO</v>
      </c>
      <c r="AD105" t="str">
        <f ca="1">IF(C105&lt;=CRONO.NivelExibicao,MAX($AD$15:OFFSET(AD105,-1,0))+IF($C105&lt;&gt;1,1,MAX(1,COUNTIF(QCI!$A$13:$A$24,OFFSET($E105,-1,0)))),"")</f>
        <v/>
      </c>
      <c r="AE105" s="7" t="str">
        <f ca="1">IF(AND($C105="S",ORÇAMENTO.CodBarra&lt;&gt;""),IF(ORÇAMENTO.Fonte="",ORÇAMENTO.CodBarra,CONCATENATE(ORÇAMENTO.Fonte," ",ORÇAMENTO.CodBarra)))</f>
        <v>SINAPI 92990</v>
      </c>
      <c r="AF105" s="12" t="str">
        <f ca="1">IF(ISERROR(INDIRECT(ORÇAMENTO.BancoRef)),"(abra o arquivo 'Referência "&amp;Excel_BuiltIn_Database&amp;".xlsm)",IF(OR($C105&lt;&gt;"S",ORÇAMENTO.CodBarra=""),"(Sem Código)",IF(ISERROR(MATCH($AE105,INDIRECT(ORÇAMENTO.BancoRef),0)),"(Código não identificado nas referências)",MATCH($AE105,INDIRECT(ORÇAMENTO.BancoRef),0))))</f>
        <v>(abra o arquivo 'Referência 12-2024.xlsm)</v>
      </c>
      <c r="AG105" s="429">
        <f ca="1">ROUND(IF(DESONERACAO="sim",REFERENCIA.Desonerado,REFERENCIA.NaoDesonerado),2)</f>
        <v>0</v>
      </c>
      <c r="AH105" s="430">
        <f t="shared" ca="1" si="32"/>
        <v>0.31190000000000001</v>
      </c>
      <c r="AJ105" s="432">
        <v>175</v>
      </c>
      <c r="AL105" s="440"/>
      <c r="AM105" s="337">
        <f t="shared" ca="1" si="0"/>
        <v>0</v>
      </c>
      <c r="AN105" s="471">
        <f t="shared" ca="1" si="33"/>
        <v>0</v>
      </c>
    </row>
    <row r="106" spans="1:40" ht="38.25" x14ac:dyDescent="0.2">
      <c r="A106" t="str">
        <f t="shared" si="18"/>
        <v>S</v>
      </c>
      <c r="B106">
        <f t="shared" ca="1" si="19"/>
        <v>2</v>
      </c>
      <c r="C106" t="str">
        <f t="shared" ca="1" si="20"/>
        <v>S</v>
      </c>
      <c r="D106">
        <f t="shared" ca="1" si="21"/>
        <v>0</v>
      </c>
      <c r="E106">
        <f ca="1">IF($C106=1,OFFSET(E106,-1,0)+MAX(1,COUNTIF(QCI!$A$13:$A$24,OFFSET(ORÇAMENTO!E106,-1,0))),OFFSET(E106,-1,0))</f>
        <v>1</v>
      </c>
      <c r="F106">
        <f t="shared" ca="1" si="22"/>
        <v>9</v>
      </c>
      <c r="G106">
        <f t="shared" ca="1" si="23"/>
        <v>0</v>
      </c>
      <c r="H106">
        <f t="shared" ca="1" si="24"/>
        <v>0</v>
      </c>
      <c r="I106">
        <f t="shared" ca="1" si="25"/>
        <v>0</v>
      </c>
      <c r="J106">
        <f t="shared" ca="1" si="26"/>
        <v>0</v>
      </c>
      <c r="K106">
        <f ca="1">IF(OR($C106="S",$C106=0),0,MATCH(OFFSET($D106,0,$C106)+IF($C106&lt;&gt;1,1,COUNTIF(QCI!$A$13:$A$24,ORÇAMENTO!E106)),OFFSET($D106,1,$C106,ROW($C$405)-ROW($C106)),0))</f>
        <v>0</v>
      </c>
      <c r="L106" s="115" t="str">
        <f t="shared" ca="1" si="27"/>
        <v/>
      </c>
      <c r="M106" s="116" t="s">
        <v>706</v>
      </c>
      <c r="N106" s="117" t="str">
        <f t="shared" ca="1" si="28"/>
        <v>Serviço</v>
      </c>
      <c r="O106" s="118" t="str">
        <f t="shared" ca="1" si="29"/>
        <v>-</v>
      </c>
      <c r="P106" s="119" t="s">
        <v>751</v>
      </c>
      <c r="Q106" s="120" t="s">
        <v>1024</v>
      </c>
      <c r="R106" s="121" t="s">
        <v>1400</v>
      </c>
      <c r="S106" s="122" t="s">
        <v>621</v>
      </c>
      <c r="T106" s="123">
        <f ca="1">OFFSET(CÁLCULO!H$15,ROW($T106)-ROW(T$15),0)</f>
        <v>430</v>
      </c>
      <c r="U106" s="124"/>
      <c r="V106" s="125" t="s">
        <v>663</v>
      </c>
      <c r="W106" s="123">
        <f ca="1">IF($C106="S",ROUND(IF(TIPOORCAMENTO="Proposto",ORÇAMENTO.CustoUnitario*(1+$AH106),ORÇAMENTO.PrecoUnitarioLicitado),15-13*$AF$10),0)</f>
        <v>0</v>
      </c>
      <c r="X106" s="126" cm="1">
        <f t="array" aca="1" ref="X106" ca="1">IF($C106="S",IF(OR(Import.TipoArredondamento&lt;&gt;"TransfereGOV",ACOMPANHAMENTO="BM"),VTOTAL1,SUM(OFFSET(CÁLCULO!$AA$15,ROW($X106)-ROW($X$15),1):OFFSET(CÁLCULO!$AL$15,ROW($X106)-ROW($X$15),-1))),IF($C106=0,0,ROUND(SomaAgrup,15-13*$AF$11)))</f>
        <v>0</v>
      </c>
      <c r="Y106" s="127" t="s">
        <v>752</v>
      </c>
      <c r="Z106" t="str">
        <f t="shared" ca="1" si="30"/>
        <v/>
      </c>
      <c r="AA106" s="128">
        <f ca="1">IF($C106="S",IF($Z106="CP",$X106,IF($Z106="RA",(($X106)*QCI!$AA$3),0)),SomaAgrup)</f>
        <v>0</v>
      </c>
      <c r="AB106" s="129">
        <f t="shared" ca="1" si="31"/>
        <v>0</v>
      </c>
      <c r="AC106" s="567" t="str">
        <f ca="1">IF($N106=""," ",
IF(AND($C106&lt;&gt;"S",OR($R106="",$R106="(digite a descrição aqui)")),"DESCRIÇÃO",
IF(AND($C106="S",OR($Q106&lt;&gt;0,$T106&gt;0,$U106&gt;0),$P106=0),"FONTE",
IF(AND($C106="S",$P106&lt;&gt;0,OR($T106&gt;0,$U106&gt;0),$Q106=0),"CÓDIGO",
IF(AND($C106="S",$P106&lt;&gt;0,$Q106&lt;&gt;0,$R106="(Código não identificado nas referências)"),"CÓDIGO N/ID",
IF(AND($C106="S",OR($R106="",$R106="(digite a descrição aqui)"),OR($Q106&lt;&gt;0,$T106&gt;0,$U106&gt;0)),"DESCRIÇÃO",
IF(AND($C106="S",$P106&lt;&gt;0,$Q106&lt;&gt;0,$S106=""),"UNIDADE",
IF(AND($C106="S",$P106&lt;&gt;0,$Q106&lt;&gt;0,$U106=0),"SEM CUSTO",
IF(AND(TIPOORCAMENTO="Licitado",$AL106=0,$AN106&gt;0),"SEM PREÇO",
IF(AND($C106="S",$P106&lt;&gt;0,$Q106&lt;&gt;0,$U106&gt;0,$V106=0),"BDI",
IF(OR(AND(TIPOORCAMENTO="Proposto",$AG106&lt;&gt;"",$AG106&gt;0,ORÇAMENTO.CustoUnitario&gt;$AG106),AND(TIPOORCAMENTO="LICITADO",ORÇAMENTO.PrecoUnitarioLicitado&gt;$AN106)),"ACIMA REF.",
IF(AND($C106="S",$P106&lt;&gt;0,$Q106&lt;&gt;0,$T106=0,$U106&gt;0),"QUANT.",
IF(AND(Import.TipoArredondamento="TransfereGOV",$L106="F",$C106="S",LEN($Q106)&gt;13),"Código &gt;13",
IF(AND(Import.TipoArredondamento="TransfereGOV",$L106="F",$C106&lt;&gt;"S",LEN($R106)&gt;100),"Descrição &gt;100",
IF(AND(Import.TipoArredondamento="TransfereGOV",$L106="F",$C106="S",LEN($R106)&gt;500),"Descrição &gt;500",
IF(AND(Import.TipoArredondamento="TransfereGOV",$L106="F",$C106="S",LEFT(TRIM(UPPER($P106)),6)&lt;&gt;"SINAPI",ISNA(VLOOKUP(TRIM(UPPER($S106)),ListaTgov.Unidades,1,FALSE))),"Unid. Não Disp",
" "))))))))))))))))</f>
        <v>SEM CUSTO</v>
      </c>
      <c r="AD106" t="str">
        <f ca="1">IF(C106&lt;=CRONO.NivelExibicao,MAX($AD$15:OFFSET(AD106,-1,0))+IF($C106&lt;&gt;1,1,MAX(1,COUNTIF(QCI!$A$13:$A$24,OFFSET($E106,-1,0)))),"")</f>
        <v/>
      </c>
      <c r="AE106" s="7" t="str">
        <f ca="1">IF(AND($C106="S",ORÇAMENTO.CodBarra&lt;&gt;""),IF(ORÇAMENTO.Fonte="",ORÇAMENTO.CodBarra,CONCATENATE(ORÇAMENTO.Fonte," ",ORÇAMENTO.CodBarra)))</f>
        <v>SINAPI 91924</v>
      </c>
      <c r="AF106" s="12" t="str">
        <f ca="1">IF(ISERROR(INDIRECT(ORÇAMENTO.BancoRef)),"(abra o arquivo 'Referência "&amp;Excel_BuiltIn_Database&amp;".xlsm)",IF(OR($C106&lt;&gt;"S",ORÇAMENTO.CodBarra=""),"(Sem Código)",IF(ISERROR(MATCH($AE106,INDIRECT(ORÇAMENTO.BancoRef),0)),"(Código não identificado nas referências)",MATCH($AE106,INDIRECT(ORÇAMENTO.BancoRef),0))))</f>
        <v>(abra o arquivo 'Referência 12-2024.xlsm)</v>
      </c>
      <c r="AG106" s="429">
        <f ca="1">ROUND(IF(DESONERACAO="sim",REFERENCIA.Desonerado,REFERENCIA.NaoDesonerado),2)</f>
        <v>0</v>
      </c>
      <c r="AH106" s="430">
        <f t="shared" ca="1" si="32"/>
        <v>0.31190000000000001</v>
      </c>
      <c r="AJ106" s="432">
        <v>430</v>
      </c>
      <c r="AL106" s="440"/>
      <c r="AM106" s="337">
        <f t="shared" ca="1" si="0"/>
        <v>0</v>
      </c>
      <c r="AN106" s="471">
        <f t="shared" ca="1" si="33"/>
        <v>0</v>
      </c>
    </row>
    <row r="107" spans="1:40" ht="38.25" x14ac:dyDescent="0.2">
      <c r="A107" t="str">
        <f t="shared" si="18"/>
        <v>S</v>
      </c>
      <c r="B107">
        <f t="shared" ca="1" si="19"/>
        <v>2</v>
      </c>
      <c r="C107" t="str">
        <f t="shared" ca="1" si="20"/>
        <v>S</v>
      </c>
      <c r="D107">
        <f t="shared" ca="1" si="21"/>
        <v>0</v>
      </c>
      <c r="E107">
        <f ca="1">IF($C107=1,OFFSET(E107,-1,0)+MAX(1,COUNTIF(QCI!$A$13:$A$24,OFFSET(ORÇAMENTO!E107,-1,0))),OFFSET(E107,-1,0))</f>
        <v>1</v>
      </c>
      <c r="F107">
        <f t="shared" ca="1" si="22"/>
        <v>9</v>
      </c>
      <c r="G107">
        <f t="shared" ca="1" si="23"/>
        <v>0</v>
      </c>
      <c r="H107">
        <f t="shared" ca="1" si="24"/>
        <v>0</v>
      </c>
      <c r="I107">
        <f t="shared" ca="1" si="25"/>
        <v>0</v>
      </c>
      <c r="J107">
        <f t="shared" ca="1" si="26"/>
        <v>0</v>
      </c>
      <c r="K107">
        <f ca="1">IF(OR($C107="S",$C107=0),0,MATCH(OFFSET($D107,0,$C107)+IF($C107&lt;&gt;1,1,COUNTIF(QCI!$A$13:$A$24,ORÇAMENTO!E107)),OFFSET($D107,1,$C107,ROW($C$405)-ROW($C107)),0))</f>
        <v>0</v>
      </c>
      <c r="L107" s="115" t="str">
        <f t="shared" ca="1" si="27"/>
        <v/>
      </c>
      <c r="M107" s="116" t="s">
        <v>706</v>
      </c>
      <c r="N107" s="117" t="str">
        <f t="shared" ca="1" si="28"/>
        <v>Serviço</v>
      </c>
      <c r="O107" s="118" t="str">
        <f t="shared" ca="1" si="29"/>
        <v>-</v>
      </c>
      <c r="P107" s="119" t="s">
        <v>751</v>
      </c>
      <c r="Q107" s="120" t="s">
        <v>1025</v>
      </c>
      <c r="R107" s="121" t="s">
        <v>1401</v>
      </c>
      <c r="S107" s="122" t="s">
        <v>621</v>
      </c>
      <c r="T107" s="123">
        <f ca="1">OFFSET(CÁLCULO!H$15,ROW($T107)-ROW(T$15),0)</f>
        <v>595</v>
      </c>
      <c r="U107" s="124"/>
      <c r="V107" s="125" t="s">
        <v>663</v>
      </c>
      <c r="W107" s="123">
        <f ca="1">IF($C107="S",ROUND(IF(TIPOORCAMENTO="Proposto",ORÇAMENTO.CustoUnitario*(1+$AH107),ORÇAMENTO.PrecoUnitarioLicitado),15-13*$AF$10),0)</f>
        <v>0</v>
      </c>
      <c r="X107" s="126" cm="1">
        <f t="array" aca="1" ref="X107" ca="1">IF($C107="S",IF(OR(Import.TipoArredondamento&lt;&gt;"TransfereGOV",ACOMPANHAMENTO="BM"),VTOTAL1,SUM(OFFSET(CÁLCULO!$AA$15,ROW($X107)-ROW($X$15),1):OFFSET(CÁLCULO!$AL$15,ROW($X107)-ROW($X$15),-1))),IF($C107=0,0,ROUND(SomaAgrup,15-13*$AF$11)))</f>
        <v>0</v>
      </c>
      <c r="Y107" s="127" t="s">
        <v>752</v>
      </c>
      <c r="Z107" t="str">
        <f t="shared" ca="1" si="30"/>
        <v/>
      </c>
      <c r="AA107" s="128">
        <f ca="1">IF($C107="S",IF($Z107="CP",$X107,IF($Z107="RA",(($X107)*QCI!$AA$3),0)),SomaAgrup)</f>
        <v>0</v>
      </c>
      <c r="AB107" s="129">
        <f t="shared" ca="1" si="31"/>
        <v>0</v>
      </c>
      <c r="AC107" s="567" t="str">
        <f ca="1">IF($N107=""," ",
IF(AND($C107&lt;&gt;"S",OR($R107="",$R107="(digite a descrição aqui)")),"DESCRIÇÃO",
IF(AND($C107="S",OR($Q107&lt;&gt;0,$T107&gt;0,$U107&gt;0),$P107=0),"FONTE",
IF(AND($C107="S",$P107&lt;&gt;0,OR($T107&gt;0,$U107&gt;0),$Q107=0),"CÓDIGO",
IF(AND($C107="S",$P107&lt;&gt;0,$Q107&lt;&gt;0,$R107="(Código não identificado nas referências)"),"CÓDIGO N/ID",
IF(AND($C107="S",OR($R107="",$R107="(digite a descrição aqui)"),OR($Q107&lt;&gt;0,$T107&gt;0,$U107&gt;0)),"DESCRIÇÃO",
IF(AND($C107="S",$P107&lt;&gt;0,$Q107&lt;&gt;0,$S107=""),"UNIDADE",
IF(AND($C107="S",$P107&lt;&gt;0,$Q107&lt;&gt;0,$U107=0),"SEM CUSTO",
IF(AND(TIPOORCAMENTO="Licitado",$AL107=0,$AN107&gt;0),"SEM PREÇO",
IF(AND($C107="S",$P107&lt;&gt;0,$Q107&lt;&gt;0,$U107&gt;0,$V107=0),"BDI",
IF(OR(AND(TIPOORCAMENTO="Proposto",$AG107&lt;&gt;"",$AG107&gt;0,ORÇAMENTO.CustoUnitario&gt;$AG107),AND(TIPOORCAMENTO="LICITADO",ORÇAMENTO.PrecoUnitarioLicitado&gt;$AN107)),"ACIMA REF.",
IF(AND($C107="S",$P107&lt;&gt;0,$Q107&lt;&gt;0,$T107=0,$U107&gt;0),"QUANT.",
IF(AND(Import.TipoArredondamento="TransfereGOV",$L107="F",$C107="S",LEN($Q107)&gt;13),"Código &gt;13",
IF(AND(Import.TipoArredondamento="TransfereGOV",$L107="F",$C107&lt;&gt;"S",LEN($R107)&gt;100),"Descrição &gt;100",
IF(AND(Import.TipoArredondamento="TransfereGOV",$L107="F",$C107="S",LEN($R107)&gt;500),"Descrição &gt;500",
IF(AND(Import.TipoArredondamento="TransfereGOV",$L107="F",$C107="S",LEFT(TRIM(UPPER($P107)),6)&lt;&gt;"SINAPI",ISNA(VLOOKUP(TRIM(UPPER($S107)),ListaTgov.Unidades,1,FALSE))),"Unid. Não Disp",
" "))))))))))))))))</f>
        <v>SEM CUSTO</v>
      </c>
      <c r="AD107" t="str">
        <f ca="1">IF(C107&lt;=CRONO.NivelExibicao,MAX($AD$15:OFFSET(AD107,-1,0))+IF($C107&lt;&gt;1,1,MAX(1,COUNTIF(QCI!$A$13:$A$24,OFFSET($E107,-1,0)))),"")</f>
        <v/>
      </c>
      <c r="AE107" s="7" t="str">
        <f ca="1">IF(AND($C107="S",ORÇAMENTO.CodBarra&lt;&gt;""),IF(ORÇAMENTO.Fonte="",ORÇAMENTO.CodBarra,CONCATENATE(ORÇAMENTO.Fonte," ",ORÇAMENTO.CodBarra)))</f>
        <v>SINAPI 91932</v>
      </c>
      <c r="AF107" s="12" t="str">
        <f ca="1">IF(ISERROR(INDIRECT(ORÇAMENTO.BancoRef)),"(abra o arquivo 'Referência "&amp;Excel_BuiltIn_Database&amp;".xlsm)",IF(OR($C107&lt;&gt;"S",ORÇAMENTO.CodBarra=""),"(Sem Código)",IF(ISERROR(MATCH($AE107,INDIRECT(ORÇAMENTO.BancoRef),0)),"(Código não identificado nas referências)",MATCH($AE107,INDIRECT(ORÇAMENTO.BancoRef),0))))</f>
        <v>(abra o arquivo 'Referência 12-2024.xlsm)</v>
      </c>
      <c r="AG107" s="429">
        <f ca="1">ROUND(IF(DESONERACAO="sim",REFERENCIA.Desonerado,REFERENCIA.NaoDesonerado),2)</f>
        <v>0</v>
      </c>
      <c r="AH107" s="430">
        <f t="shared" ca="1" si="32"/>
        <v>0.31190000000000001</v>
      </c>
      <c r="AJ107" s="432">
        <v>595</v>
      </c>
      <c r="AL107" s="440"/>
      <c r="AM107" s="337">
        <f t="shared" ca="1" si="0"/>
        <v>0</v>
      </c>
      <c r="AN107" s="471">
        <f t="shared" ca="1" si="33"/>
        <v>0</v>
      </c>
    </row>
    <row r="108" spans="1:40" ht="38.25" x14ac:dyDescent="0.2">
      <c r="A108" t="str">
        <f t="shared" si="18"/>
        <v>S</v>
      </c>
      <c r="B108">
        <f t="shared" ca="1" si="19"/>
        <v>2</v>
      </c>
      <c r="C108" t="str">
        <f t="shared" ca="1" si="20"/>
        <v>S</v>
      </c>
      <c r="D108">
        <f t="shared" ca="1" si="21"/>
        <v>0</v>
      </c>
      <c r="E108">
        <f ca="1">IF($C108=1,OFFSET(E108,-1,0)+MAX(1,COUNTIF(QCI!$A$13:$A$24,OFFSET(ORÇAMENTO!E108,-1,0))),OFFSET(E108,-1,0))</f>
        <v>1</v>
      </c>
      <c r="F108">
        <f t="shared" ca="1" si="22"/>
        <v>9</v>
      </c>
      <c r="G108">
        <f t="shared" ca="1" si="23"/>
        <v>0</v>
      </c>
      <c r="H108">
        <f t="shared" ca="1" si="24"/>
        <v>0</v>
      </c>
      <c r="I108">
        <f t="shared" ca="1" si="25"/>
        <v>0</v>
      </c>
      <c r="J108">
        <f t="shared" ca="1" si="26"/>
        <v>0</v>
      </c>
      <c r="K108">
        <f ca="1">IF(OR($C108="S",$C108=0),0,MATCH(OFFSET($D108,0,$C108)+IF($C108&lt;&gt;1,1,COUNTIF(QCI!$A$13:$A$24,ORÇAMENTO!E108)),OFFSET($D108,1,$C108,ROW($C$405)-ROW($C108)),0))</f>
        <v>0</v>
      </c>
      <c r="L108" s="115" t="str">
        <f t="shared" ca="1" si="27"/>
        <v/>
      </c>
      <c r="M108" s="116" t="s">
        <v>706</v>
      </c>
      <c r="N108" s="117" t="str">
        <f t="shared" ca="1" si="28"/>
        <v>Serviço</v>
      </c>
      <c r="O108" s="118" t="str">
        <f t="shared" ca="1" si="29"/>
        <v>-</v>
      </c>
      <c r="P108" s="119" t="s">
        <v>751</v>
      </c>
      <c r="Q108" s="120" t="s">
        <v>1026</v>
      </c>
      <c r="R108" s="121" t="s">
        <v>1402</v>
      </c>
      <c r="S108" s="122" t="s">
        <v>621</v>
      </c>
      <c r="T108" s="123">
        <f ca="1">OFFSET(CÁLCULO!H$15,ROW($T108)-ROW(T$15),0)</f>
        <v>3576.4</v>
      </c>
      <c r="U108" s="124"/>
      <c r="V108" s="125" t="s">
        <v>663</v>
      </c>
      <c r="W108" s="123">
        <f ca="1">IF($C108="S",ROUND(IF(TIPOORCAMENTO="Proposto",ORÇAMENTO.CustoUnitario*(1+$AH108),ORÇAMENTO.PrecoUnitarioLicitado),15-13*$AF$10),0)</f>
        <v>0</v>
      </c>
      <c r="X108" s="126" cm="1">
        <f t="array" aca="1" ref="X108" ca="1">IF($C108="S",IF(OR(Import.TipoArredondamento&lt;&gt;"TransfereGOV",ACOMPANHAMENTO="BM"),VTOTAL1,SUM(OFFSET(CÁLCULO!$AA$15,ROW($X108)-ROW($X$15),1):OFFSET(CÁLCULO!$AL$15,ROW($X108)-ROW($X$15),-1))),IF($C108=0,0,ROUND(SomaAgrup,15-13*$AF$11)))</f>
        <v>0</v>
      </c>
      <c r="Y108" s="127" t="s">
        <v>752</v>
      </c>
      <c r="Z108" t="str">
        <f t="shared" ca="1" si="30"/>
        <v/>
      </c>
      <c r="AA108" s="128">
        <f ca="1">IF($C108="S",IF($Z108="CP",$X108,IF($Z108="RA",(($X108)*QCI!$AA$3),0)),SomaAgrup)</f>
        <v>0</v>
      </c>
      <c r="AB108" s="129">
        <f t="shared" ca="1" si="31"/>
        <v>0</v>
      </c>
      <c r="AC108" s="567" t="str">
        <f ca="1">IF($N108=""," ",
IF(AND($C108&lt;&gt;"S",OR($R108="",$R108="(digite a descrição aqui)")),"DESCRIÇÃO",
IF(AND($C108="S",OR($Q108&lt;&gt;0,$T108&gt;0,$U108&gt;0),$P108=0),"FONTE",
IF(AND($C108="S",$P108&lt;&gt;0,OR($T108&gt;0,$U108&gt;0),$Q108=0),"CÓDIGO",
IF(AND($C108="S",$P108&lt;&gt;0,$Q108&lt;&gt;0,$R108="(Código não identificado nas referências)"),"CÓDIGO N/ID",
IF(AND($C108="S",OR($R108="",$R108="(digite a descrição aqui)"),OR($Q108&lt;&gt;0,$T108&gt;0,$U108&gt;0)),"DESCRIÇÃO",
IF(AND($C108="S",$P108&lt;&gt;0,$Q108&lt;&gt;0,$S108=""),"UNIDADE",
IF(AND($C108="S",$P108&lt;&gt;0,$Q108&lt;&gt;0,$U108=0),"SEM CUSTO",
IF(AND(TIPOORCAMENTO="Licitado",$AL108=0,$AN108&gt;0),"SEM PREÇO",
IF(AND($C108="S",$P108&lt;&gt;0,$Q108&lt;&gt;0,$U108&gt;0,$V108=0),"BDI",
IF(OR(AND(TIPOORCAMENTO="Proposto",$AG108&lt;&gt;"",$AG108&gt;0,ORÇAMENTO.CustoUnitario&gt;$AG108),AND(TIPOORCAMENTO="LICITADO",ORÇAMENTO.PrecoUnitarioLicitado&gt;$AN108)),"ACIMA REF.",
IF(AND($C108="S",$P108&lt;&gt;0,$Q108&lt;&gt;0,$T108=0,$U108&gt;0),"QUANT.",
IF(AND(Import.TipoArredondamento="TransfereGOV",$L108="F",$C108="S",LEN($Q108)&gt;13),"Código &gt;13",
IF(AND(Import.TipoArredondamento="TransfereGOV",$L108="F",$C108&lt;&gt;"S",LEN($R108)&gt;100),"Descrição &gt;100",
IF(AND(Import.TipoArredondamento="TransfereGOV",$L108="F",$C108="S",LEN($R108)&gt;500),"Descrição &gt;500",
IF(AND(Import.TipoArredondamento="TransfereGOV",$L108="F",$C108="S",LEFT(TRIM(UPPER($P108)),6)&lt;&gt;"SINAPI",ISNA(VLOOKUP(TRIM(UPPER($S108)),ListaTgov.Unidades,1,FALSE))),"Unid. Não Disp",
" "))))))))))))))))</f>
        <v>SEM CUSTO</v>
      </c>
      <c r="AD108" t="str">
        <f ca="1">IF(C108&lt;=CRONO.NivelExibicao,MAX($AD$15:OFFSET(AD108,-1,0))+IF($C108&lt;&gt;1,1,MAX(1,COUNTIF(QCI!$A$13:$A$24,OFFSET($E108,-1,0)))),"")</f>
        <v/>
      </c>
      <c r="AE108" s="7" t="str">
        <f ca="1">IF(AND($C108="S",ORÇAMENTO.CodBarra&lt;&gt;""),IF(ORÇAMENTO.Fonte="",ORÇAMENTO.CodBarra,CONCATENATE(ORÇAMENTO.Fonte," ",ORÇAMENTO.CodBarra)))</f>
        <v>SINAPI 91926</v>
      </c>
      <c r="AF108" s="12" t="str">
        <f ca="1">IF(ISERROR(INDIRECT(ORÇAMENTO.BancoRef)),"(abra o arquivo 'Referência "&amp;Excel_BuiltIn_Database&amp;".xlsm)",IF(OR($C108&lt;&gt;"S",ORÇAMENTO.CodBarra=""),"(Sem Código)",IF(ISERROR(MATCH($AE108,INDIRECT(ORÇAMENTO.BancoRef),0)),"(Código não identificado nas referências)",MATCH($AE108,INDIRECT(ORÇAMENTO.BancoRef),0))))</f>
        <v>(abra o arquivo 'Referência 12-2024.xlsm)</v>
      </c>
      <c r="AG108" s="429">
        <f ca="1">ROUND(IF(DESONERACAO="sim",REFERENCIA.Desonerado,REFERENCIA.NaoDesonerado),2)</f>
        <v>0</v>
      </c>
      <c r="AH108" s="430">
        <f t="shared" ca="1" si="32"/>
        <v>0.31190000000000001</v>
      </c>
      <c r="AJ108" s="432">
        <v>3576.4</v>
      </c>
      <c r="AL108" s="440"/>
      <c r="AM108" s="337">
        <f t="shared" ca="1" si="0"/>
        <v>0</v>
      </c>
      <c r="AN108" s="471">
        <f t="shared" ca="1" si="33"/>
        <v>0</v>
      </c>
    </row>
    <row r="109" spans="1:40" ht="38.25" x14ac:dyDescent="0.2">
      <c r="A109" t="str">
        <f t="shared" si="18"/>
        <v>S</v>
      </c>
      <c r="B109">
        <f t="shared" ca="1" si="19"/>
        <v>2</v>
      </c>
      <c r="C109" t="str">
        <f t="shared" ca="1" si="20"/>
        <v>S</v>
      </c>
      <c r="D109">
        <f t="shared" ca="1" si="21"/>
        <v>0</v>
      </c>
      <c r="E109">
        <f ca="1">IF($C109=1,OFFSET(E109,-1,0)+MAX(1,COUNTIF(QCI!$A$13:$A$24,OFFSET(ORÇAMENTO!E109,-1,0))),OFFSET(E109,-1,0))</f>
        <v>1</v>
      </c>
      <c r="F109">
        <f t="shared" ca="1" si="22"/>
        <v>9</v>
      </c>
      <c r="G109">
        <f t="shared" ca="1" si="23"/>
        <v>0</v>
      </c>
      <c r="H109">
        <f t="shared" ca="1" si="24"/>
        <v>0</v>
      </c>
      <c r="I109">
        <f t="shared" ca="1" si="25"/>
        <v>0</v>
      </c>
      <c r="J109">
        <f t="shared" ca="1" si="26"/>
        <v>0</v>
      </c>
      <c r="K109">
        <f ca="1">IF(OR($C109="S",$C109=0),0,MATCH(OFFSET($D109,0,$C109)+IF($C109&lt;&gt;1,1,COUNTIF(QCI!$A$13:$A$24,ORÇAMENTO!E109)),OFFSET($D109,1,$C109,ROW($C$405)-ROW($C109)),0))</f>
        <v>0</v>
      </c>
      <c r="L109" s="115" t="str">
        <f t="shared" ca="1" si="27"/>
        <v/>
      </c>
      <c r="M109" s="116" t="s">
        <v>706</v>
      </c>
      <c r="N109" s="117" t="str">
        <f t="shared" ca="1" si="28"/>
        <v>Serviço</v>
      </c>
      <c r="O109" s="118" t="str">
        <f t="shared" ca="1" si="29"/>
        <v>-</v>
      </c>
      <c r="P109" s="119" t="s">
        <v>751</v>
      </c>
      <c r="Q109" s="120" t="s">
        <v>1027</v>
      </c>
      <c r="R109" s="121" t="s">
        <v>1403</v>
      </c>
      <c r="S109" s="122" t="s">
        <v>621</v>
      </c>
      <c r="T109" s="123">
        <f ca="1">OFFSET(CÁLCULO!H$15,ROW($T109)-ROW(T$15),0)</f>
        <v>1900</v>
      </c>
      <c r="U109" s="124"/>
      <c r="V109" s="125" t="s">
        <v>663</v>
      </c>
      <c r="W109" s="123">
        <f ca="1">IF($C109="S",ROUND(IF(TIPOORCAMENTO="Proposto",ORÇAMENTO.CustoUnitario*(1+$AH109),ORÇAMENTO.PrecoUnitarioLicitado),15-13*$AF$10),0)</f>
        <v>0</v>
      </c>
      <c r="X109" s="126" cm="1">
        <f t="array" aca="1" ref="X109" ca="1">IF($C109="S",IF(OR(Import.TipoArredondamento&lt;&gt;"TransfereGOV",ACOMPANHAMENTO="BM"),VTOTAL1,SUM(OFFSET(CÁLCULO!$AA$15,ROW($X109)-ROW($X$15),1):OFFSET(CÁLCULO!$AL$15,ROW($X109)-ROW($X$15),-1))),IF($C109=0,0,ROUND(SomaAgrup,15-13*$AF$11)))</f>
        <v>0</v>
      </c>
      <c r="Y109" s="127" t="s">
        <v>752</v>
      </c>
      <c r="Z109" t="str">
        <f t="shared" ca="1" si="30"/>
        <v/>
      </c>
      <c r="AA109" s="128">
        <f ca="1">IF($C109="S",IF($Z109="CP",$X109,IF($Z109="RA",(($X109)*QCI!$AA$3),0)),SomaAgrup)</f>
        <v>0</v>
      </c>
      <c r="AB109" s="129">
        <f t="shared" ca="1" si="31"/>
        <v>0</v>
      </c>
      <c r="AC109" s="567" t="str">
        <f ca="1">IF($N109=""," ",
IF(AND($C109&lt;&gt;"S",OR($R109="",$R109="(digite a descrição aqui)")),"DESCRIÇÃO",
IF(AND($C109="S",OR($Q109&lt;&gt;0,$T109&gt;0,$U109&gt;0),$P109=0),"FONTE",
IF(AND($C109="S",$P109&lt;&gt;0,OR($T109&gt;0,$U109&gt;0),$Q109=0),"CÓDIGO",
IF(AND($C109="S",$P109&lt;&gt;0,$Q109&lt;&gt;0,$R109="(Código não identificado nas referências)"),"CÓDIGO N/ID",
IF(AND($C109="S",OR($R109="",$R109="(digite a descrição aqui)"),OR($Q109&lt;&gt;0,$T109&gt;0,$U109&gt;0)),"DESCRIÇÃO",
IF(AND($C109="S",$P109&lt;&gt;0,$Q109&lt;&gt;0,$S109=""),"UNIDADE",
IF(AND($C109="S",$P109&lt;&gt;0,$Q109&lt;&gt;0,$U109=0),"SEM CUSTO",
IF(AND(TIPOORCAMENTO="Licitado",$AL109=0,$AN109&gt;0),"SEM PREÇO",
IF(AND($C109="S",$P109&lt;&gt;0,$Q109&lt;&gt;0,$U109&gt;0,$V109=0),"BDI",
IF(OR(AND(TIPOORCAMENTO="Proposto",$AG109&lt;&gt;"",$AG109&gt;0,ORÇAMENTO.CustoUnitario&gt;$AG109),AND(TIPOORCAMENTO="LICITADO",ORÇAMENTO.PrecoUnitarioLicitado&gt;$AN109)),"ACIMA REF.",
IF(AND($C109="S",$P109&lt;&gt;0,$Q109&lt;&gt;0,$T109=0,$U109&gt;0),"QUANT.",
IF(AND(Import.TipoArredondamento="TransfereGOV",$L109="F",$C109="S",LEN($Q109)&gt;13),"Código &gt;13",
IF(AND(Import.TipoArredondamento="TransfereGOV",$L109="F",$C109&lt;&gt;"S",LEN($R109)&gt;100),"Descrição &gt;100",
IF(AND(Import.TipoArredondamento="TransfereGOV",$L109="F",$C109="S",LEN($R109)&gt;500),"Descrição &gt;500",
IF(AND(Import.TipoArredondamento="TransfereGOV",$L109="F",$C109="S",LEFT(TRIM(UPPER($P109)),6)&lt;&gt;"SINAPI",ISNA(VLOOKUP(TRIM(UPPER($S109)),ListaTgov.Unidades,1,FALSE))),"Unid. Não Disp",
" "))))))))))))))))</f>
        <v>SEM CUSTO</v>
      </c>
      <c r="AD109" t="str">
        <f ca="1">IF(C109&lt;=CRONO.NivelExibicao,MAX($AD$15:OFFSET(AD109,-1,0))+IF($C109&lt;&gt;1,1,MAX(1,COUNTIF(QCI!$A$13:$A$24,OFFSET($E109,-1,0)))),"")</f>
        <v/>
      </c>
      <c r="AE109" s="7" t="str">
        <f ca="1">IF(AND($C109="S",ORÇAMENTO.CodBarra&lt;&gt;""),IF(ORÇAMENTO.Fonte="",ORÇAMENTO.CodBarra,CONCATENATE(ORÇAMENTO.Fonte," ",ORÇAMENTO.CodBarra)))</f>
        <v>SINAPI 91928</v>
      </c>
      <c r="AF109" s="12" t="str">
        <f ca="1">IF(ISERROR(INDIRECT(ORÇAMENTO.BancoRef)),"(abra o arquivo 'Referência "&amp;Excel_BuiltIn_Database&amp;".xlsm)",IF(OR($C109&lt;&gt;"S",ORÇAMENTO.CodBarra=""),"(Sem Código)",IF(ISERROR(MATCH($AE109,INDIRECT(ORÇAMENTO.BancoRef),0)),"(Código não identificado nas referências)",MATCH($AE109,INDIRECT(ORÇAMENTO.BancoRef),0))))</f>
        <v>(abra o arquivo 'Referência 12-2024.xlsm)</v>
      </c>
      <c r="AG109" s="429">
        <f ca="1">ROUND(IF(DESONERACAO="sim",REFERENCIA.Desonerado,REFERENCIA.NaoDesonerado),2)</f>
        <v>0</v>
      </c>
      <c r="AH109" s="430">
        <f t="shared" ca="1" si="32"/>
        <v>0.31190000000000001</v>
      </c>
      <c r="AJ109" s="432">
        <v>1900</v>
      </c>
      <c r="AL109" s="440"/>
      <c r="AM109" s="337">
        <f t="shared" ca="1" si="0"/>
        <v>0</v>
      </c>
      <c r="AN109" s="471">
        <f t="shared" ca="1" si="33"/>
        <v>0</v>
      </c>
    </row>
    <row r="110" spans="1:40" ht="38.25" x14ac:dyDescent="0.2">
      <c r="A110" t="str">
        <f t="shared" si="18"/>
        <v>S</v>
      </c>
      <c r="B110">
        <f t="shared" ca="1" si="19"/>
        <v>2</v>
      </c>
      <c r="C110" t="str">
        <f t="shared" ca="1" si="20"/>
        <v>S</v>
      </c>
      <c r="D110">
        <f t="shared" ca="1" si="21"/>
        <v>0</v>
      </c>
      <c r="E110">
        <f ca="1">IF($C110=1,OFFSET(E110,-1,0)+MAX(1,COUNTIF(QCI!$A$13:$A$24,OFFSET(ORÇAMENTO!E110,-1,0))),OFFSET(E110,-1,0))</f>
        <v>1</v>
      </c>
      <c r="F110">
        <f t="shared" ca="1" si="22"/>
        <v>9</v>
      </c>
      <c r="G110">
        <f t="shared" ca="1" si="23"/>
        <v>0</v>
      </c>
      <c r="H110">
        <f t="shared" ca="1" si="24"/>
        <v>0</v>
      </c>
      <c r="I110">
        <f t="shared" ca="1" si="25"/>
        <v>0</v>
      </c>
      <c r="J110">
        <f t="shared" ca="1" si="26"/>
        <v>0</v>
      </c>
      <c r="K110">
        <f ca="1">IF(OR($C110="S",$C110=0),0,MATCH(OFFSET($D110,0,$C110)+IF($C110&lt;&gt;1,1,COUNTIF(QCI!$A$13:$A$24,ORÇAMENTO!E110)),OFFSET($D110,1,$C110,ROW($C$405)-ROW($C110)),0))</f>
        <v>0</v>
      </c>
      <c r="L110" s="115" t="str">
        <f t="shared" ca="1" si="27"/>
        <v/>
      </c>
      <c r="M110" s="116" t="s">
        <v>706</v>
      </c>
      <c r="N110" s="117" t="str">
        <f t="shared" ca="1" si="28"/>
        <v>Serviço</v>
      </c>
      <c r="O110" s="118" t="str">
        <f t="shared" ca="1" si="29"/>
        <v>-</v>
      </c>
      <c r="P110" s="119" t="s">
        <v>751</v>
      </c>
      <c r="Q110" s="120" t="s">
        <v>1028</v>
      </c>
      <c r="R110" s="121" t="s">
        <v>1404</v>
      </c>
      <c r="S110" s="122" t="s">
        <v>621</v>
      </c>
      <c r="T110" s="123">
        <f ca="1">OFFSET(CÁLCULO!H$15,ROW($T110)-ROW(T$15),0)</f>
        <v>90</v>
      </c>
      <c r="U110" s="124"/>
      <c r="V110" s="125" t="s">
        <v>663</v>
      </c>
      <c r="W110" s="123">
        <f ca="1">IF($C110="S",ROUND(IF(TIPOORCAMENTO="Proposto",ORÇAMENTO.CustoUnitario*(1+$AH110),ORÇAMENTO.PrecoUnitarioLicitado),15-13*$AF$10),0)</f>
        <v>0</v>
      </c>
      <c r="X110" s="126" cm="1">
        <f t="array" aca="1" ref="X110" ca="1">IF($C110="S",IF(OR(Import.TipoArredondamento&lt;&gt;"TransfereGOV",ACOMPANHAMENTO="BM"),VTOTAL1,SUM(OFFSET(CÁLCULO!$AA$15,ROW($X110)-ROW($X$15),1):OFFSET(CÁLCULO!$AL$15,ROW($X110)-ROW($X$15),-1))),IF($C110=0,0,ROUND(SomaAgrup,15-13*$AF$11)))</f>
        <v>0</v>
      </c>
      <c r="Y110" s="127" t="s">
        <v>752</v>
      </c>
      <c r="Z110" t="str">
        <f t="shared" ca="1" si="30"/>
        <v/>
      </c>
      <c r="AA110" s="128">
        <f ca="1">IF($C110="S",IF($Z110="CP",$X110,IF($Z110="RA",(($X110)*QCI!$AA$3),0)),SomaAgrup)</f>
        <v>0</v>
      </c>
      <c r="AB110" s="129">
        <f t="shared" ca="1" si="31"/>
        <v>0</v>
      </c>
      <c r="AC110" s="567" t="str">
        <f ca="1">IF($N110=""," ",
IF(AND($C110&lt;&gt;"S",OR($R110="",$R110="(digite a descrição aqui)")),"DESCRIÇÃO",
IF(AND($C110="S",OR($Q110&lt;&gt;0,$T110&gt;0,$U110&gt;0),$P110=0),"FONTE",
IF(AND($C110="S",$P110&lt;&gt;0,OR($T110&gt;0,$U110&gt;0),$Q110=0),"CÓDIGO",
IF(AND($C110="S",$P110&lt;&gt;0,$Q110&lt;&gt;0,$R110="(Código não identificado nas referências)"),"CÓDIGO N/ID",
IF(AND($C110="S",OR($R110="",$R110="(digite a descrição aqui)"),OR($Q110&lt;&gt;0,$T110&gt;0,$U110&gt;0)),"DESCRIÇÃO",
IF(AND($C110="S",$P110&lt;&gt;0,$Q110&lt;&gt;0,$S110=""),"UNIDADE",
IF(AND($C110="S",$P110&lt;&gt;0,$Q110&lt;&gt;0,$U110=0),"SEM CUSTO",
IF(AND(TIPOORCAMENTO="Licitado",$AL110=0,$AN110&gt;0),"SEM PREÇO",
IF(AND($C110="S",$P110&lt;&gt;0,$Q110&lt;&gt;0,$U110&gt;0,$V110=0),"BDI",
IF(OR(AND(TIPOORCAMENTO="Proposto",$AG110&lt;&gt;"",$AG110&gt;0,ORÇAMENTO.CustoUnitario&gt;$AG110),AND(TIPOORCAMENTO="LICITADO",ORÇAMENTO.PrecoUnitarioLicitado&gt;$AN110)),"ACIMA REF.",
IF(AND($C110="S",$P110&lt;&gt;0,$Q110&lt;&gt;0,$T110=0,$U110&gt;0),"QUANT.",
IF(AND(Import.TipoArredondamento="TransfereGOV",$L110="F",$C110="S",LEN($Q110)&gt;13),"Código &gt;13",
IF(AND(Import.TipoArredondamento="TransfereGOV",$L110="F",$C110&lt;&gt;"S",LEN($R110)&gt;100),"Descrição &gt;100",
IF(AND(Import.TipoArredondamento="TransfereGOV",$L110="F",$C110="S",LEN($R110)&gt;500),"Descrição &gt;500",
IF(AND(Import.TipoArredondamento="TransfereGOV",$L110="F",$C110="S",LEFT(TRIM(UPPER($P110)),6)&lt;&gt;"SINAPI",ISNA(VLOOKUP(TRIM(UPPER($S110)),ListaTgov.Unidades,1,FALSE))),"Unid. Não Disp",
" "))))))))))))))))</f>
        <v>SEM CUSTO</v>
      </c>
      <c r="AD110" t="str">
        <f ca="1">IF(C110&lt;=CRONO.NivelExibicao,MAX($AD$15:OFFSET(AD110,-1,0))+IF($C110&lt;&gt;1,1,MAX(1,COUNTIF(QCI!$A$13:$A$24,OFFSET($E110,-1,0)))),"")</f>
        <v/>
      </c>
      <c r="AE110" s="7" t="str">
        <f ca="1">IF(AND($C110="S",ORÇAMENTO.CodBarra&lt;&gt;""),IF(ORÇAMENTO.Fonte="",ORÇAMENTO.CodBarra,CONCATENATE(ORÇAMENTO.Fonte," ",ORÇAMENTO.CodBarra)))</f>
        <v>SINAPI 91930</v>
      </c>
      <c r="AF110" s="12" t="str">
        <f ca="1">IF(ISERROR(INDIRECT(ORÇAMENTO.BancoRef)),"(abra o arquivo 'Referência "&amp;Excel_BuiltIn_Database&amp;".xlsm)",IF(OR($C110&lt;&gt;"S",ORÇAMENTO.CodBarra=""),"(Sem Código)",IF(ISERROR(MATCH($AE110,INDIRECT(ORÇAMENTO.BancoRef),0)),"(Código não identificado nas referências)",MATCH($AE110,INDIRECT(ORÇAMENTO.BancoRef),0))))</f>
        <v>(abra o arquivo 'Referência 12-2024.xlsm)</v>
      </c>
      <c r="AG110" s="429">
        <f ca="1">ROUND(IF(DESONERACAO="sim",REFERENCIA.Desonerado,REFERENCIA.NaoDesonerado),2)</f>
        <v>0</v>
      </c>
      <c r="AH110" s="430">
        <f t="shared" ca="1" si="32"/>
        <v>0.31190000000000001</v>
      </c>
      <c r="AJ110" s="432">
        <v>90</v>
      </c>
      <c r="AL110" s="440"/>
      <c r="AM110" s="337">
        <f t="shared" ca="1" si="0"/>
        <v>0</v>
      </c>
      <c r="AN110" s="471">
        <f t="shared" ca="1" si="33"/>
        <v>0</v>
      </c>
    </row>
    <row r="111" spans="1:40" ht="25.5" x14ac:dyDescent="0.2">
      <c r="A111" t="str">
        <f t="shared" si="18"/>
        <v>S</v>
      </c>
      <c r="B111">
        <f t="shared" ca="1" si="19"/>
        <v>2</v>
      </c>
      <c r="C111" t="str">
        <f t="shared" ca="1" si="20"/>
        <v>S</v>
      </c>
      <c r="D111">
        <f t="shared" ca="1" si="21"/>
        <v>0</v>
      </c>
      <c r="E111">
        <f ca="1">IF($C111=1,OFFSET(E111,-1,0)+MAX(1,COUNTIF(QCI!$A$13:$A$24,OFFSET(ORÇAMENTO!E111,-1,0))),OFFSET(E111,-1,0))</f>
        <v>1</v>
      </c>
      <c r="F111">
        <f t="shared" ca="1" si="22"/>
        <v>9</v>
      </c>
      <c r="G111">
        <f t="shared" ca="1" si="23"/>
        <v>0</v>
      </c>
      <c r="H111">
        <f t="shared" ca="1" si="24"/>
        <v>0</v>
      </c>
      <c r="I111">
        <f t="shared" ca="1" si="25"/>
        <v>0</v>
      </c>
      <c r="J111">
        <f t="shared" ca="1" si="26"/>
        <v>0</v>
      </c>
      <c r="K111">
        <f ca="1">IF(OR($C111="S",$C111=0),0,MATCH(OFFSET($D111,0,$C111)+IF($C111&lt;&gt;1,1,COUNTIF(QCI!$A$13:$A$24,ORÇAMENTO!E111)),OFFSET($D111,1,$C111,ROW($C$405)-ROW($C111)),0))</f>
        <v>0</v>
      </c>
      <c r="L111" s="115" t="str">
        <f t="shared" ca="1" si="27"/>
        <v/>
      </c>
      <c r="M111" s="116" t="s">
        <v>706</v>
      </c>
      <c r="N111" s="117" t="str">
        <f t="shared" ca="1" si="28"/>
        <v>Serviço</v>
      </c>
      <c r="O111" s="118" t="str">
        <f t="shared" ca="1" si="29"/>
        <v>-</v>
      </c>
      <c r="P111" s="119" t="s">
        <v>1316</v>
      </c>
      <c r="Q111" s="120" t="s">
        <v>1029</v>
      </c>
      <c r="R111" s="121" t="s">
        <v>1405</v>
      </c>
      <c r="S111" s="122" t="s">
        <v>621</v>
      </c>
      <c r="T111" s="123">
        <f ca="1">OFFSET(CÁLCULO!H$15,ROW($T111)-ROW(T$15),0)</f>
        <v>90</v>
      </c>
      <c r="U111" s="124"/>
      <c r="V111" s="125" t="s">
        <v>663</v>
      </c>
      <c r="W111" s="123">
        <f ca="1">IF($C111="S",ROUND(IF(TIPOORCAMENTO="Proposto",ORÇAMENTO.CustoUnitario*(1+$AH111),ORÇAMENTO.PrecoUnitarioLicitado),15-13*$AF$10),0)</f>
        <v>0</v>
      </c>
      <c r="X111" s="126" cm="1">
        <f t="array" aca="1" ref="X111" ca="1">IF($C111="S",IF(OR(Import.TipoArredondamento&lt;&gt;"TransfereGOV",ACOMPANHAMENTO="BM"),VTOTAL1,SUM(OFFSET(CÁLCULO!$AA$15,ROW($X111)-ROW($X$15),1):OFFSET(CÁLCULO!$AL$15,ROW($X111)-ROW($X$15),-1))),IF($C111=0,0,ROUND(SomaAgrup,15-13*$AF$11)))</f>
        <v>0</v>
      </c>
      <c r="Y111" s="127" t="s">
        <v>752</v>
      </c>
      <c r="Z111" t="str">
        <f t="shared" ca="1" si="30"/>
        <v/>
      </c>
      <c r="AA111" s="128">
        <f ca="1">IF($C111="S",IF($Z111="CP",$X111,IF($Z111="RA",(($X111)*QCI!$AA$3),0)),SomaAgrup)</f>
        <v>0</v>
      </c>
      <c r="AB111" s="129">
        <f t="shared" ca="1" si="31"/>
        <v>0</v>
      </c>
      <c r="AC111" s="567" t="str">
        <f ca="1">IF($N111=""," ",
IF(AND($C111&lt;&gt;"S",OR($R111="",$R111="(digite a descrição aqui)")),"DESCRIÇÃO",
IF(AND($C111="S",OR($Q111&lt;&gt;0,$T111&gt;0,$U111&gt;0),$P111=0),"FONTE",
IF(AND($C111="S",$P111&lt;&gt;0,OR($T111&gt;0,$U111&gt;0),$Q111=0),"CÓDIGO",
IF(AND($C111="S",$P111&lt;&gt;0,$Q111&lt;&gt;0,$R111="(Código não identificado nas referências)"),"CÓDIGO N/ID",
IF(AND($C111="S",OR($R111="",$R111="(digite a descrição aqui)"),OR($Q111&lt;&gt;0,$T111&gt;0,$U111&gt;0)),"DESCRIÇÃO",
IF(AND($C111="S",$P111&lt;&gt;0,$Q111&lt;&gt;0,$S111=""),"UNIDADE",
IF(AND($C111="S",$P111&lt;&gt;0,$Q111&lt;&gt;0,$U111=0),"SEM CUSTO",
IF(AND(TIPOORCAMENTO="Licitado",$AL111=0,$AN111&gt;0),"SEM PREÇO",
IF(AND($C111="S",$P111&lt;&gt;0,$Q111&lt;&gt;0,$U111&gt;0,$V111=0),"BDI",
IF(OR(AND(TIPOORCAMENTO="Proposto",$AG111&lt;&gt;"",$AG111&gt;0,ORÇAMENTO.CustoUnitario&gt;$AG111),AND(TIPOORCAMENTO="LICITADO",ORÇAMENTO.PrecoUnitarioLicitado&gt;$AN111)),"ACIMA REF.",
IF(AND($C111="S",$P111&lt;&gt;0,$Q111&lt;&gt;0,$T111=0,$U111&gt;0),"QUANT.",
IF(AND(Import.TipoArredondamento="TransfereGOV",$L111="F",$C111="S",LEN($Q111)&gt;13),"Código &gt;13",
IF(AND(Import.TipoArredondamento="TransfereGOV",$L111="F",$C111&lt;&gt;"S",LEN($R111)&gt;100),"Descrição &gt;100",
IF(AND(Import.TipoArredondamento="TransfereGOV",$L111="F",$C111="S",LEN($R111)&gt;500),"Descrição &gt;500",
IF(AND(Import.TipoArredondamento="TransfereGOV",$L111="F",$C111="S",LEFT(TRIM(UPPER($P111)),6)&lt;&gt;"SINAPI",ISNA(VLOOKUP(TRIM(UPPER($S111)),ListaTgov.Unidades,1,FALSE))),"Unid. Não Disp",
" "))))))))))))))))</f>
        <v>SEM CUSTO</v>
      </c>
      <c r="AD111" t="str">
        <f ca="1">IF(C111&lt;=CRONO.NivelExibicao,MAX($AD$15:OFFSET(AD111,-1,0))+IF($C111&lt;&gt;1,1,MAX(1,COUNTIF(QCI!$A$13:$A$24,OFFSET($E111,-1,0)))),"")</f>
        <v/>
      </c>
      <c r="AE111" s="7" t="str">
        <f ca="1">IF(AND($C111="S",ORÇAMENTO.CodBarra&lt;&gt;""),IF(ORÇAMENTO.Fonte="",ORÇAMENTO.CodBarra,CONCATENATE(ORÇAMENTO.Fonte," ",ORÇAMENTO.CodBarra)))</f>
        <v>Composiçao 241</v>
      </c>
      <c r="AF111" s="12" t="str">
        <f ca="1">IF(ISERROR(INDIRECT(ORÇAMENTO.BancoRef)),"(abra o arquivo 'Referência "&amp;Excel_BuiltIn_Database&amp;".xlsm)",IF(OR($C111&lt;&gt;"S",ORÇAMENTO.CodBarra=""),"(Sem Código)",IF(ISERROR(MATCH($AE111,INDIRECT(ORÇAMENTO.BancoRef),0)),"(Código não identificado nas referências)",MATCH($AE111,INDIRECT(ORÇAMENTO.BancoRef),0))))</f>
        <v>(abra o arquivo 'Referência 12-2024.xlsm)</v>
      </c>
      <c r="AG111" s="429">
        <f ca="1">ROUND(IF(DESONERACAO="sim",REFERENCIA.Desonerado,REFERENCIA.NaoDesonerado),2)</f>
        <v>0</v>
      </c>
      <c r="AH111" s="430">
        <f t="shared" ca="1" si="32"/>
        <v>0.31190000000000001</v>
      </c>
      <c r="AJ111" s="432">
        <v>90</v>
      </c>
      <c r="AL111" s="440"/>
      <c r="AM111" s="337">
        <f t="shared" ca="1" si="0"/>
        <v>0</v>
      </c>
      <c r="AN111" s="471">
        <f t="shared" ca="1" si="33"/>
        <v>0</v>
      </c>
    </row>
    <row r="112" spans="1:40" ht="25.5" x14ac:dyDescent="0.2">
      <c r="A112" t="str">
        <f t="shared" si="18"/>
        <v>S</v>
      </c>
      <c r="B112">
        <f t="shared" ca="1" si="19"/>
        <v>2</v>
      </c>
      <c r="C112" t="str">
        <f t="shared" ca="1" si="20"/>
        <v>S</v>
      </c>
      <c r="D112">
        <f t="shared" ca="1" si="21"/>
        <v>0</v>
      </c>
      <c r="E112">
        <f ca="1">IF($C112=1,OFFSET(E112,-1,0)+MAX(1,COUNTIF(QCI!$A$13:$A$24,OFFSET(ORÇAMENTO!E112,-1,0))),OFFSET(E112,-1,0))</f>
        <v>1</v>
      </c>
      <c r="F112">
        <f t="shared" ca="1" si="22"/>
        <v>9</v>
      </c>
      <c r="G112">
        <f t="shared" ca="1" si="23"/>
        <v>0</v>
      </c>
      <c r="H112">
        <f t="shared" ca="1" si="24"/>
        <v>0</v>
      </c>
      <c r="I112">
        <f t="shared" ca="1" si="25"/>
        <v>0</v>
      </c>
      <c r="J112">
        <f t="shared" ca="1" si="26"/>
        <v>0</v>
      </c>
      <c r="K112">
        <f ca="1">IF(OR($C112="S",$C112=0),0,MATCH(OFFSET($D112,0,$C112)+IF($C112&lt;&gt;1,1,COUNTIF(QCI!$A$13:$A$24,ORÇAMENTO!E112)),OFFSET($D112,1,$C112,ROW($C$405)-ROW($C112)),0))</f>
        <v>0</v>
      </c>
      <c r="L112" s="115" t="str">
        <f t="shared" ca="1" si="27"/>
        <v/>
      </c>
      <c r="M112" s="116" t="s">
        <v>706</v>
      </c>
      <c r="N112" s="117" t="str">
        <f t="shared" ca="1" si="28"/>
        <v>Serviço</v>
      </c>
      <c r="O112" s="118" t="str">
        <f t="shared" ca="1" si="29"/>
        <v>-</v>
      </c>
      <c r="P112" s="119" t="s">
        <v>1315</v>
      </c>
      <c r="Q112" s="120" t="s">
        <v>1030</v>
      </c>
      <c r="R112" s="121" t="s">
        <v>1406</v>
      </c>
      <c r="S112" s="122" t="s">
        <v>1644</v>
      </c>
      <c r="T112" s="123">
        <f ca="1">OFFSET(CÁLCULO!H$15,ROW($T112)-ROW(T$15),0)</f>
        <v>20</v>
      </c>
      <c r="U112" s="124"/>
      <c r="V112" s="125" t="s">
        <v>663</v>
      </c>
      <c r="W112" s="123">
        <f ca="1">IF($C112="S",ROUND(IF(TIPOORCAMENTO="Proposto",ORÇAMENTO.CustoUnitario*(1+$AH112),ORÇAMENTO.PrecoUnitarioLicitado),15-13*$AF$10),0)</f>
        <v>0</v>
      </c>
      <c r="X112" s="126" cm="1">
        <f t="array" aca="1" ref="X112" ca="1">IF($C112="S",IF(OR(Import.TipoArredondamento&lt;&gt;"TransfereGOV",ACOMPANHAMENTO="BM"),VTOTAL1,SUM(OFFSET(CÁLCULO!$AA$15,ROW($X112)-ROW($X$15),1):OFFSET(CÁLCULO!$AL$15,ROW($X112)-ROW($X$15),-1))),IF($C112=0,0,ROUND(SomaAgrup,15-13*$AF$11)))</f>
        <v>0</v>
      </c>
      <c r="Y112" s="127" t="s">
        <v>752</v>
      </c>
      <c r="Z112" t="str">
        <f t="shared" ca="1" si="30"/>
        <v/>
      </c>
      <c r="AA112" s="128">
        <f ca="1">IF($C112="S",IF($Z112="CP",$X112,IF($Z112="RA",(($X112)*QCI!$AA$3),0)),SomaAgrup)</f>
        <v>0</v>
      </c>
      <c r="AB112" s="129">
        <f t="shared" ca="1" si="31"/>
        <v>0</v>
      </c>
      <c r="AC112" s="567" t="str">
        <f ca="1">IF($N112=""," ",
IF(AND($C112&lt;&gt;"S",OR($R112="",$R112="(digite a descrição aqui)")),"DESCRIÇÃO",
IF(AND($C112="S",OR($Q112&lt;&gt;0,$T112&gt;0,$U112&gt;0),$P112=0),"FONTE",
IF(AND($C112="S",$P112&lt;&gt;0,OR($T112&gt;0,$U112&gt;0),$Q112=0),"CÓDIGO",
IF(AND($C112="S",$P112&lt;&gt;0,$Q112&lt;&gt;0,$R112="(Código não identificado nas referências)"),"CÓDIGO N/ID",
IF(AND($C112="S",OR($R112="",$R112="(digite a descrição aqui)"),OR($Q112&lt;&gt;0,$T112&gt;0,$U112&gt;0)),"DESCRIÇÃO",
IF(AND($C112="S",$P112&lt;&gt;0,$Q112&lt;&gt;0,$S112=""),"UNIDADE",
IF(AND($C112="S",$P112&lt;&gt;0,$Q112&lt;&gt;0,$U112=0),"SEM CUSTO",
IF(AND(TIPOORCAMENTO="Licitado",$AL112=0,$AN112&gt;0),"SEM PREÇO",
IF(AND($C112="S",$P112&lt;&gt;0,$Q112&lt;&gt;0,$U112&gt;0,$V112=0),"BDI",
IF(OR(AND(TIPOORCAMENTO="Proposto",$AG112&lt;&gt;"",$AG112&gt;0,ORÇAMENTO.CustoUnitario&gt;$AG112),AND(TIPOORCAMENTO="LICITADO",ORÇAMENTO.PrecoUnitarioLicitado&gt;$AN112)),"ACIMA REF.",
IF(AND($C112="S",$P112&lt;&gt;0,$Q112&lt;&gt;0,$T112=0,$U112&gt;0),"QUANT.",
IF(AND(Import.TipoArredondamento="TransfereGOV",$L112="F",$C112="S",LEN($Q112)&gt;13),"Código &gt;13",
IF(AND(Import.TipoArredondamento="TransfereGOV",$L112="F",$C112&lt;&gt;"S",LEN($R112)&gt;100),"Descrição &gt;100",
IF(AND(Import.TipoArredondamento="TransfereGOV",$L112="F",$C112="S",LEN($R112)&gt;500),"Descrição &gt;500",
IF(AND(Import.TipoArredondamento="TransfereGOV",$L112="F",$C112="S",LEFT(TRIM(UPPER($P112)),6)&lt;&gt;"SINAPI",ISNA(VLOOKUP(TRIM(UPPER($S112)),ListaTgov.Unidades,1,FALSE))),"Unid. Não Disp",
" "))))))))))))))))</f>
        <v>SEM CUSTO</v>
      </c>
      <c r="AD112" t="str">
        <f ca="1">IF(C112&lt;=CRONO.NivelExibicao,MAX($AD$15:OFFSET(AD112,-1,0))+IF($C112&lt;&gt;1,1,MAX(1,COUNTIF(QCI!$A$13:$A$24,OFFSET($E112,-1,0)))),"")</f>
        <v/>
      </c>
      <c r="AE112" s="7" t="str">
        <f ca="1">IF(AND($C112="S",ORÇAMENTO.CodBarra&lt;&gt;""),IF(ORÇAMENTO.Fonte="",ORÇAMENTO.CodBarra,CONCATENATE(ORÇAMENTO.Fonte," ",ORÇAMENTO.CodBarra)))</f>
        <v>SINAPI-I 20111</v>
      </c>
      <c r="AF112" s="12" t="str">
        <f ca="1">IF(ISERROR(INDIRECT(ORÇAMENTO.BancoRef)),"(abra o arquivo 'Referência "&amp;Excel_BuiltIn_Database&amp;".xlsm)",IF(OR($C112&lt;&gt;"S",ORÇAMENTO.CodBarra=""),"(Sem Código)",IF(ISERROR(MATCH($AE112,INDIRECT(ORÇAMENTO.BancoRef),0)),"(Código não identificado nas referências)",MATCH($AE112,INDIRECT(ORÇAMENTO.BancoRef),0))))</f>
        <v>(abra o arquivo 'Referência 12-2024.xlsm)</v>
      </c>
      <c r="AG112" s="429">
        <f ca="1">ROUND(IF(DESONERACAO="sim",REFERENCIA.Desonerado,REFERENCIA.NaoDesonerado),2)</f>
        <v>0</v>
      </c>
      <c r="AH112" s="430">
        <f t="shared" ca="1" si="32"/>
        <v>0.31190000000000001</v>
      </c>
      <c r="AJ112" s="432">
        <v>20</v>
      </c>
      <c r="AL112" s="440"/>
      <c r="AM112" s="337">
        <f t="shared" ca="1" si="0"/>
        <v>0</v>
      </c>
      <c r="AN112" s="471">
        <f t="shared" ca="1" si="33"/>
        <v>0</v>
      </c>
    </row>
    <row r="113" spans="1:40" x14ac:dyDescent="0.2">
      <c r="A113" t="str">
        <f t="shared" si="18"/>
        <v>S</v>
      </c>
      <c r="B113">
        <f t="shared" ca="1" si="19"/>
        <v>2</v>
      </c>
      <c r="C113" t="str">
        <f t="shared" ca="1" si="20"/>
        <v>S</v>
      </c>
      <c r="D113">
        <f t="shared" ca="1" si="21"/>
        <v>0</v>
      </c>
      <c r="E113">
        <f ca="1">IF($C113=1,OFFSET(E113,-1,0)+MAX(1,COUNTIF(QCI!$A$13:$A$24,OFFSET(ORÇAMENTO!E113,-1,0))),OFFSET(E113,-1,0))</f>
        <v>1</v>
      </c>
      <c r="F113">
        <f t="shared" ca="1" si="22"/>
        <v>9</v>
      </c>
      <c r="G113">
        <f t="shared" ca="1" si="23"/>
        <v>0</v>
      </c>
      <c r="H113">
        <f t="shared" ca="1" si="24"/>
        <v>0</v>
      </c>
      <c r="I113">
        <f t="shared" ca="1" si="25"/>
        <v>0</v>
      </c>
      <c r="J113">
        <f t="shared" ca="1" si="26"/>
        <v>0</v>
      </c>
      <c r="K113">
        <f ca="1">IF(OR($C113="S",$C113=0),0,MATCH(OFFSET($D113,0,$C113)+IF($C113&lt;&gt;1,1,COUNTIF(QCI!$A$13:$A$24,ORÇAMENTO!E113)),OFFSET($D113,1,$C113,ROW($C$405)-ROW($C113)),0))</f>
        <v>0</v>
      </c>
      <c r="L113" s="115" t="str">
        <f t="shared" ca="1" si="27"/>
        <v/>
      </c>
      <c r="M113" s="116" t="s">
        <v>706</v>
      </c>
      <c r="N113" s="117" t="str">
        <f t="shared" ca="1" si="28"/>
        <v>Serviço</v>
      </c>
      <c r="O113" s="118" t="str">
        <f t="shared" ca="1" si="29"/>
        <v>-</v>
      </c>
      <c r="P113" s="119" t="s">
        <v>751</v>
      </c>
      <c r="Q113" s="120" t="s">
        <v>1031</v>
      </c>
      <c r="R113" s="121" t="s">
        <v>1407</v>
      </c>
      <c r="S113" s="122" t="s">
        <v>615</v>
      </c>
      <c r="T113" s="123">
        <f ca="1">OFFSET(CÁLCULO!H$15,ROW($T113)-ROW(T$15),0)</f>
        <v>48</v>
      </c>
      <c r="U113" s="124"/>
      <c r="V113" s="125" t="s">
        <v>663</v>
      </c>
      <c r="W113" s="123">
        <f ca="1">IF($C113="S",ROUND(IF(TIPOORCAMENTO="Proposto",ORÇAMENTO.CustoUnitario*(1+$AH113),ORÇAMENTO.PrecoUnitarioLicitado),15-13*$AF$10),0)</f>
        <v>0</v>
      </c>
      <c r="X113" s="126" cm="1">
        <f t="array" aca="1" ref="X113" ca="1">IF($C113="S",IF(OR(Import.TipoArredondamento&lt;&gt;"TransfereGOV",ACOMPANHAMENTO="BM"),VTOTAL1,SUM(OFFSET(CÁLCULO!$AA$15,ROW($X113)-ROW($X$15),1):OFFSET(CÁLCULO!$AL$15,ROW($X113)-ROW($X$15),-1))),IF($C113=0,0,ROUND(SomaAgrup,15-13*$AF$11)))</f>
        <v>0</v>
      </c>
      <c r="Y113" s="127" t="s">
        <v>752</v>
      </c>
      <c r="Z113" t="str">
        <f t="shared" ca="1" si="30"/>
        <v/>
      </c>
      <c r="AA113" s="128">
        <f ca="1">IF($C113="S",IF($Z113="CP",$X113,IF($Z113="RA",(($X113)*QCI!$AA$3),0)),SomaAgrup)</f>
        <v>0</v>
      </c>
      <c r="AB113" s="129">
        <f t="shared" ca="1" si="31"/>
        <v>0</v>
      </c>
      <c r="AC113" s="567" t="str">
        <f ca="1">IF($N113=""," ",
IF(AND($C113&lt;&gt;"S",OR($R113="",$R113="(digite a descrição aqui)")),"DESCRIÇÃO",
IF(AND($C113="S",OR($Q113&lt;&gt;0,$T113&gt;0,$U113&gt;0),$P113=0),"FONTE",
IF(AND($C113="S",$P113&lt;&gt;0,OR($T113&gt;0,$U113&gt;0),$Q113=0),"CÓDIGO",
IF(AND($C113="S",$P113&lt;&gt;0,$Q113&lt;&gt;0,$R113="(Código não identificado nas referências)"),"CÓDIGO N/ID",
IF(AND($C113="S",OR($R113="",$R113="(digite a descrição aqui)"),OR($Q113&lt;&gt;0,$T113&gt;0,$U113&gt;0)),"DESCRIÇÃO",
IF(AND($C113="S",$P113&lt;&gt;0,$Q113&lt;&gt;0,$S113=""),"UNIDADE",
IF(AND($C113="S",$P113&lt;&gt;0,$Q113&lt;&gt;0,$U113=0),"SEM CUSTO",
IF(AND(TIPOORCAMENTO="Licitado",$AL113=0,$AN113&gt;0),"SEM PREÇO",
IF(AND($C113="S",$P113&lt;&gt;0,$Q113&lt;&gt;0,$U113&gt;0,$V113=0),"BDI",
IF(OR(AND(TIPOORCAMENTO="Proposto",$AG113&lt;&gt;"",$AG113&gt;0,ORÇAMENTO.CustoUnitario&gt;$AG113),AND(TIPOORCAMENTO="LICITADO",ORÇAMENTO.PrecoUnitarioLicitado&gt;$AN113)),"ACIMA REF.",
IF(AND($C113="S",$P113&lt;&gt;0,$Q113&lt;&gt;0,$T113=0,$U113&gt;0),"QUANT.",
IF(AND(Import.TipoArredondamento="TransfereGOV",$L113="F",$C113="S",LEN($Q113)&gt;13),"Código &gt;13",
IF(AND(Import.TipoArredondamento="TransfereGOV",$L113="F",$C113&lt;&gt;"S",LEN($R113)&gt;100),"Descrição &gt;100",
IF(AND(Import.TipoArredondamento="TransfereGOV",$L113="F",$C113="S",LEN($R113)&gt;500),"Descrição &gt;500",
IF(AND(Import.TipoArredondamento="TransfereGOV",$L113="F",$C113="S",LEFT(TRIM(UPPER($P113)),6)&lt;&gt;"SINAPI",ISNA(VLOOKUP(TRIM(UPPER($S113)),ListaTgov.Unidades,1,FALSE))),"Unid. Não Disp",
" "))))))))))))))))</f>
        <v>SEM CUSTO</v>
      </c>
      <c r="AD113" t="str">
        <f ca="1">IF(C113&lt;=CRONO.NivelExibicao,MAX($AD$15:OFFSET(AD113,-1,0))+IF($C113&lt;&gt;1,1,MAX(1,COUNTIF(QCI!$A$13:$A$24,OFFSET($E113,-1,0)))),"")</f>
        <v/>
      </c>
      <c r="AE113" s="7" t="str">
        <f ca="1">IF(AND($C113="S",ORÇAMENTO.CodBarra&lt;&gt;""),IF(ORÇAMENTO.Fonte="",ORÇAMENTO.CodBarra,CONCATENATE(ORÇAMENTO.Fonte," ",ORÇAMENTO.CodBarra)))</f>
        <v>SINAPI 88247</v>
      </c>
      <c r="AF113" s="12" t="str">
        <f ca="1">IF(ISERROR(INDIRECT(ORÇAMENTO.BancoRef)),"(abra o arquivo 'Referência "&amp;Excel_BuiltIn_Database&amp;".xlsm)",IF(OR($C113&lt;&gt;"S",ORÇAMENTO.CodBarra=""),"(Sem Código)",IF(ISERROR(MATCH($AE113,INDIRECT(ORÇAMENTO.BancoRef),0)),"(Código não identificado nas referências)",MATCH($AE113,INDIRECT(ORÇAMENTO.BancoRef),0))))</f>
        <v>(abra o arquivo 'Referência 12-2024.xlsm)</v>
      </c>
      <c r="AG113" s="429">
        <f ca="1">ROUND(IF(DESONERACAO="sim",REFERENCIA.Desonerado,REFERENCIA.NaoDesonerado),2)</f>
        <v>0</v>
      </c>
      <c r="AH113" s="430">
        <f t="shared" ca="1" si="32"/>
        <v>0.31190000000000001</v>
      </c>
      <c r="AJ113" s="432">
        <v>48</v>
      </c>
      <c r="AL113" s="440"/>
      <c r="AM113" s="337">
        <f t="shared" ca="1" si="0"/>
        <v>0</v>
      </c>
      <c r="AN113" s="471">
        <f t="shared" ca="1" si="33"/>
        <v>0</v>
      </c>
    </row>
    <row r="114" spans="1:40" x14ac:dyDescent="0.2">
      <c r="A114" t="str">
        <f t="shared" si="18"/>
        <v>S</v>
      </c>
      <c r="B114">
        <f t="shared" ca="1" si="19"/>
        <v>2</v>
      </c>
      <c r="C114" t="str">
        <f t="shared" ca="1" si="20"/>
        <v>S</v>
      </c>
      <c r="D114">
        <f t="shared" ca="1" si="21"/>
        <v>0</v>
      </c>
      <c r="E114">
        <f ca="1">IF($C114=1,OFFSET(E114,-1,0)+MAX(1,COUNTIF(QCI!$A$13:$A$24,OFFSET(ORÇAMENTO!E114,-1,0))),OFFSET(E114,-1,0))</f>
        <v>1</v>
      </c>
      <c r="F114">
        <f t="shared" ca="1" si="22"/>
        <v>9</v>
      </c>
      <c r="G114">
        <f t="shared" ca="1" si="23"/>
        <v>0</v>
      </c>
      <c r="H114">
        <f t="shared" ca="1" si="24"/>
        <v>0</v>
      </c>
      <c r="I114">
        <f t="shared" ca="1" si="25"/>
        <v>0</v>
      </c>
      <c r="J114">
        <f t="shared" ca="1" si="26"/>
        <v>0</v>
      </c>
      <c r="K114">
        <f ca="1">IF(OR($C114="S",$C114=0),0,MATCH(OFFSET($D114,0,$C114)+IF($C114&lt;&gt;1,1,COUNTIF(QCI!$A$13:$A$24,ORÇAMENTO!E114)),OFFSET($D114,1,$C114,ROW($C$405)-ROW($C114)),0))</f>
        <v>0</v>
      </c>
      <c r="L114" s="115" t="str">
        <f t="shared" ca="1" si="27"/>
        <v/>
      </c>
      <c r="M114" s="116" t="s">
        <v>706</v>
      </c>
      <c r="N114" s="117" t="str">
        <f t="shared" ca="1" si="28"/>
        <v>Serviço</v>
      </c>
      <c r="O114" s="118" t="str">
        <f t="shared" ca="1" si="29"/>
        <v>-</v>
      </c>
      <c r="P114" s="119" t="s">
        <v>751</v>
      </c>
      <c r="Q114" s="120" t="s">
        <v>1032</v>
      </c>
      <c r="R114" s="121" t="s">
        <v>1408</v>
      </c>
      <c r="S114" s="122" t="s">
        <v>615</v>
      </c>
      <c r="T114" s="123">
        <f ca="1">OFFSET(CÁLCULO!H$15,ROW($T114)-ROW(T$15),0)</f>
        <v>48</v>
      </c>
      <c r="U114" s="124"/>
      <c r="V114" s="125" t="s">
        <v>663</v>
      </c>
      <c r="W114" s="123">
        <f ca="1">IF($C114="S",ROUND(IF(TIPOORCAMENTO="Proposto",ORÇAMENTO.CustoUnitario*(1+$AH114),ORÇAMENTO.PrecoUnitarioLicitado),15-13*$AF$10),0)</f>
        <v>0</v>
      </c>
      <c r="X114" s="126" cm="1">
        <f t="array" aca="1" ref="X114" ca="1">IF($C114="S",IF(OR(Import.TipoArredondamento&lt;&gt;"TransfereGOV",ACOMPANHAMENTO="BM"),VTOTAL1,SUM(OFFSET(CÁLCULO!$AA$15,ROW($X114)-ROW($X$15),1):OFFSET(CÁLCULO!$AL$15,ROW($X114)-ROW($X$15),-1))),IF($C114=0,0,ROUND(SomaAgrup,15-13*$AF$11)))</f>
        <v>0</v>
      </c>
      <c r="Y114" s="127" t="s">
        <v>752</v>
      </c>
      <c r="Z114" t="str">
        <f t="shared" ca="1" si="30"/>
        <v/>
      </c>
      <c r="AA114" s="128">
        <f ca="1">IF($C114="S",IF($Z114="CP",$X114,IF($Z114="RA",(($X114)*QCI!$AA$3),0)),SomaAgrup)</f>
        <v>0</v>
      </c>
      <c r="AB114" s="129">
        <f t="shared" ca="1" si="31"/>
        <v>0</v>
      </c>
      <c r="AC114" s="567" t="str">
        <f ca="1">IF($N114=""," ",
IF(AND($C114&lt;&gt;"S",OR($R114="",$R114="(digite a descrição aqui)")),"DESCRIÇÃO",
IF(AND($C114="S",OR($Q114&lt;&gt;0,$T114&gt;0,$U114&gt;0),$P114=0),"FONTE",
IF(AND($C114="S",$P114&lt;&gt;0,OR($T114&gt;0,$U114&gt;0),$Q114=0),"CÓDIGO",
IF(AND($C114="S",$P114&lt;&gt;0,$Q114&lt;&gt;0,$R114="(Código não identificado nas referências)"),"CÓDIGO N/ID",
IF(AND($C114="S",OR($R114="",$R114="(digite a descrição aqui)"),OR($Q114&lt;&gt;0,$T114&gt;0,$U114&gt;0)),"DESCRIÇÃO",
IF(AND($C114="S",$P114&lt;&gt;0,$Q114&lt;&gt;0,$S114=""),"UNIDADE",
IF(AND($C114="S",$P114&lt;&gt;0,$Q114&lt;&gt;0,$U114=0),"SEM CUSTO",
IF(AND(TIPOORCAMENTO="Licitado",$AL114=0,$AN114&gt;0),"SEM PREÇO",
IF(AND($C114="S",$P114&lt;&gt;0,$Q114&lt;&gt;0,$U114&gt;0,$V114=0),"BDI",
IF(OR(AND(TIPOORCAMENTO="Proposto",$AG114&lt;&gt;"",$AG114&gt;0,ORÇAMENTO.CustoUnitario&gt;$AG114),AND(TIPOORCAMENTO="LICITADO",ORÇAMENTO.PrecoUnitarioLicitado&gt;$AN114)),"ACIMA REF.",
IF(AND($C114="S",$P114&lt;&gt;0,$Q114&lt;&gt;0,$T114=0,$U114&gt;0),"QUANT.",
IF(AND(Import.TipoArredondamento="TransfereGOV",$L114="F",$C114="S",LEN($Q114)&gt;13),"Código &gt;13",
IF(AND(Import.TipoArredondamento="TransfereGOV",$L114="F",$C114&lt;&gt;"S",LEN($R114)&gt;100),"Descrição &gt;100",
IF(AND(Import.TipoArredondamento="TransfereGOV",$L114="F",$C114="S",LEN($R114)&gt;500),"Descrição &gt;500",
IF(AND(Import.TipoArredondamento="TransfereGOV",$L114="F",$C114="S",LEFT(TRIM(UPPER($P114)),6)&lt;&gt;"SINAPI",ISNA(VLOOKUP(TRIM(UPPER($S114)),ListaTgov.Unidades,1,FALSE))),"Unid. Não Disp",
" "))))))))))))))))</f>
        <v>SEM CUSTO</v>
      </c>
      <c r="AD114" t="str">
        <f ca="1">IF(C114&lt;=CRONO.NivelExibicao,MAX($AD$15:OFFSET(AD114,-1,0))+IF($C114&lt;&gt;1,1,MAX(1,COUNTIF(QCI!$A$13:$A$24,OFFSET($E114,-1,0)))),"")</f>
        <v/>
      </c>
      <c r="AE114" s="7" t="str">
        <f ca="1">IF(AND($C114="S",ORÇAMENTO.CodBarra&lt;&gt;""),IF(ORÇAMENTO.Fonte="",ORÇAMENTO.CodBarra,CONCATENATE(ORÇAMENTO.Fonte," ",ORÇAMENTO.CodBarra)))</f>
        <v>SINAPI 88264</v>
      </c>
      <c r="AF114" s="12" t="str">
        <f ca="1">IF(ISERROR(INDIRECT(ORÇAMENTO.BancoRef)),"(abra o arquivo 'Referência "&amp;Excel_BuiltIn_Database&amp;".xlsm)",IF(OR($C114&lt;&gt;"S",ORÇAMENTO.CodBarra=""),"(Sem Código)",IF(ISERROR(MATCH($AE114,INDIRECT(ORÇAMENTO.BancoRef),0)),"(Código não identificado nas referências)",MATCH($AE114,INDIRECT(ORÇAMENTO.BancoRef),0))))</f>
        <v>(abra o arquivo 'Referência 12-2024.xlsm)</v>
      </c>
      <c r="AG114" s="429">
        <f ca="1">ROUND(IF(DESONERACAO="sim",REFERENCIA.Desonerado,REFERENCIA.NaoDesonerado),2)</f>
        <v>0</v>
      </c>
      <c r="AH114" s="430">
        <f t="shared" ca="1" si="32"/>
        <v>0.31190000000000001</v>
      </c>
      <c r="AJ114" s="432">
        <v>48</v>
      </c>
      <c r="AL114" s="440"/>
      <c r="AM114" s="337">
        <f t="shared" ca="1" si="0"/>
        <v>0</v>
      </c>
      <c r="AN114" s="471">
        <f t="shared" ca="1" si="33"/>
        <v>0</v>
      </c>
    </row>
    <row r="115" spans="1:40" x14ac:dyDescent="0.2">
      <c r="A115">
        <f t="shared" si="18"/>
        <v>2</v>
      </c>
      <c r="B115">
        <f t="shared" ca="1" si="19"/>
        <v>2</v>
      </c>
      <c r="C115">
        <f t="shared" ca="1" si="20"/>
        <v>2</v>
      </c>
      <c r="D115">
        <f t="shared" ca="1" si="21"/>
        <v>14</v>
      </c>
      <c r="E115">
        <f ca="1">IF($C115=1,OFFSET(E115,-1,0)+MAX(1,COUNTIF(QCI!$A$13:$A$24,OFFSET(ORÇAMENTO!E115,-1,0))),OFFSET(E115,-1,0))</f>
        <v>1</v>
      </c>
      <c r="F115">
        <f t="shared" ca="1" si="22"/>
        <v>10</v>
      </c>
      <c r="G115">
        <f t="shared" ca="1" si="23"/>
        <v>0</v>
      </c>
      <c r="H115">
        <f t="shared" ca="1" si="24"/>
        <v>0</v>
      </c>
      <c r="I115">
        <f t="shared" ca="1" si="25"/>
        <v>0</v>
      </c>
      <c r="J115">
        <f t="shared" ca="1" si="26"/>
        <v>290</v>
      </c>
      <c r="K115">
        <f ca="1">IF(OR($C115="S",$C115=0),0,MATCH(OFFSET($D115,0,$C115)+IF($C115&lt;&gt;1,1,COUNTIF(QCI!$A$13:$A$24,ORÇAMENTO!E115)),OFFSET($D115,1,$C115,ROW($C$405)-ROW($C115)),0))</f>
        <v>14</v>
      </c>
      <c r="L115" s="115" t="str">
        <f t="shared" ca="1" si="27"/>
        <v>F</v>
      </c>
      <c r="M115" s="116" t="s">
        <v>703</v>
      </c>
      <c r="N115" s="117" t="str">
        <f t="shared" ca="1" si="28"/>
        <v>Nível 2</v>
      </c>
      <c r="O115" s="118" t="str">
        <f t="shared" ca="1" si="29"/>
        <v>1.10.</v>
      </c>
      <c r="P115" s="119" t="s">
        <v>751</v>
      </c>
      <c r="Q115" s="120"/>
      <c r="R115" s="121" t="s">
        <v>1284</v>
      </c>
      <c r="S115" s="122" t="s">
        <v>689</v>
      </c>
      <c r="T115" s="123">
        <f ca="1">OFFSET(CÁLCULO!H$15,ROW($T115)-ROW(T$15),0)</f>
        <v>0</v>
      </c>
      <c r="U115" s="124"/>
      <c r="V115" s="125" t="s">
        <v>663</v>
      </c>
      <c r="W115" s="123">
        <f ca="1">IF($C115="S",ROUND(IF(TIPOORCAMENTO="Proposto",ORÇAMENTO.CustoUnitario*(1+$AH115),ORÇAMENTO.PrecoUnitarioLicitado),15-13*$AF$10),0)</f>
        <v>0</v>
      </c>
      <c r="X115" s="126" cm="1">
        <f t="array" aca="1" ref="X115" ca="1">IF($C115="S",IF(OR(Import.TipoArredondamento&lt;&gt;"TransfereGOV",ACOMPANHAMENTO="BM"),VTOTAL1,SUM(OFFSET(CÁLCULO!$AA$15,ROW($X115)-ROW($X$15),1):OFFSET(CÁLCULO!$AL$15,ROW($X115)-ROW($X$15),-1))),IF($C115=0,0,ROUND(SomaAgrup,15-13*$AF$11)))</f>
        <v>0</v>
      </c>
      <c r="Y115" s="127" t="s">
        <v>752</v>
      </c>
      <c r="Z115" t="str">
        <f t="shared" ca="1" si="30"/>
        <v/>
      </c>
      <c r="AA115" s="128">
        <f ca="1">IF($C115="S",IF($Z115="CP",$X115,IF($Z115="RA",(($X115)*QCI!$AA$3),0)),SomaAgrup)</f>
        <v>0</v>
      </c>
      <c r="AB115" s="129">
        <f t="shared" ca="1" si="31"/>
        <v>0</v>
      </c>
      <c r="AC115" s="567" t="str">
        <f ca="1">IF($N115=""," ",
IF(AND($C115&lt;&gt;"S",OR($R115="",$R115="(digite a descrição aqui)")),"DESCRIÇÃO",
IF(AND($C115="S",OR($Q115&lt;&gt;0,$T115&gt;0,$U115&gt;0),$P115=0),"FONTE",
IF(AND($C115="S",$P115&lt;&gt;0,OR($T115&gt;0,$U115&gt;0),$Q115=0),"CÓDIGO",
IF(AND($C115="S",$P115&lt;&gt;0,$Q115&lt;&gt;0,$R115="(Código não identificado nas referências)"),"CÓDIGO N/ID",
IF(AND($C115="S",OR($R115="",$R115="(digite a descrição aqui)"),OR($Q115&lt;&gt;0,$T115&gt;0,$U115&gt;0)),"DESCRIÇÃO",
IF(AND($C115="S",$P115&lt;&gt;0,$Q115&lt;&gt;0,$S115=""),"UNIDADE",
IF(AND($C115="S",$P115&lt;&gt;0,$Q115&lt;&gt;0,$U115=0),"SEM CUSTO",
IF(AND(TIPOORCAMENTO="Licitado",$AL115=0,$AN115&gt;0),"SEM PREÇO",
IF(AND($C115="S",$P115&lt;&gt;0,$Q115&lt;&gt;0,$U115&gt;0,$V115=0),"BDI",
IF(OR(AND(TIPOORCAMENTO="Proposto",$AG115&lt;&gt;"",$AG115&gt;0,ORÇAMENTO.CustoUnitario&gt;$AG115),AND(TIPOORCAMENTO="LICITADO",ORÇAMENTO.PrecoUnitarioLicitado&gt;$AN115)),"ACIMA REF.",
IF(AND($C115="S",$P115&lt;&gt;0,$Q115&lt;&gt;0,$T115=0,$U115&gt;0),"QUANT.",
IF(AND(Import.TipoArredondamento="TransfereGOV",$L115="F",$C115="S",LEN($Q115)&gt;13),"Código &gt;13",
IF(AND(Import.TipoArredondamento="TransfereGOV",$L115="F",$C115&lt;&gt;"S",LEN($R115)&gt;100),"Descrição &gt;100",
IF(AND(Import.TipoArredondamento="TransfereGOV",$L115="F",$C115="S",LEN($R115)&gt;500),"Descrição &gt;500",
IF(AND(Import.TipoArredondamento="TransfereGOV",$L115="F",$C115="S",LEFT(TRIM(UPPER($P115)),6)&lt;&gt;"SINAPI",ISNA(VLOOKUP(TRIM(UPPER($S115)),ListaTgov.Unidades,1,FALSE))),"Unid. Não Disp",
" "))))))))))))))))</f>
        <v xml:space="preserve"> </v>
      </c>
      <c r="AD115">
        <f ca="1">IF(C115&lt;=CRONO.NivelExibicao,MAX($AD$15:OFFSET(AD115,-1,0))+IF($C115&lt;&gt;1,1,MAX(1,COUNTIF(QCI!$A$13:$A$24,OFFSET($E115,-1,0)))),"")</f>
        <v>11</v>
      </c>
      <c r="AE115" s="7" t="b">
        <f ca="1">IF(AND($C115="S",ORÇAMENTO.CodBarra&lt;&gt;""),IF(ORÇAMENTO.Fonte="",ORÇAMENTO.CodBarra,CONCATENATE(ORÇAMENTO.Fonte," ",ORÇAMENTO.CodBarra)))</f>
        <v>0</v>
      </c>
      <c r="AF115" s="12" t="str">
        <f ca="1">IF(ISERROR(INDIRECT(ORÇAMENTO.BancoRef)),"(abra o arquivo 'Referência "&amp;Excel_BuiltIn_Database&amp;".xlsm)",IF(OR($C115&lt;&gt;"S",ORÇAMENTO.CodBarra=""),"(Sem Código)",IF(ISERROR(MATCH($AE115,INDIRECT(ORÇAMENTO.BancoRef),0)),"(Código não identificado nas referências)",MATCH($AE115,INDIRECT(ORÇAMENTO.BancoRef),0))))</f>
        <v>(abra o arquivo 'Referência 12-2024.xlsm)</v>
      </c>
      <c r="AG115" s="429">
        <f ca="1">ROUND(IF(DESONERACAO="sim",REFERENCIA.Desonerado,REFERENCIA.NaoDesonerado),2)</f>
        <v>0</v>
      </c>
      <c r="AH115" s="430">
        <f t="shared" ca="1" si="32"/>
        <v>0.31190000000000001</v>
      </c>
      <c r="AJ115" s="432"/>
      <c r="AL115" s="440"/>
      <c r="AM115" s="337">
        <f t="shared" ca="1" si="0"/>
        <v>0</v>
      </c>
      <c r="AN115" s="471">
        <f t="shared" ca="1" si="33"/>
        <v>0</v>
      </c>
    </row>
    <row r="116" spans="1:40" ht="25.5" x14ac:dyDescent="0.2">
      <c r="A116" t="str">
        <f t="shared" si="18"/>
        <v>S</v>
      </c>
      <c r="B116">
        <f t="shared" ca="1" si="19"/>
        <v>2</v>
      </c>
      <c r="C116" t="str">
        <f t="shared" ca="1" si="20"/>
        <v>S</v>
      </c>
      <c r="D116">
        <f t="shared" ca="1" si="21"/>
        <v>0</v>
      </c>
      <c r="E116">
        <f ca="1">IF($C116=1,OFFSET(E116,-1,0)+MAX(1,COUNTIF(QCI!$A$13:$A$24,OFFSET(ORÇAMENTO!E116,-1,0))),OFFSET(E116,-1,0))</f>
        <v>1</v>
      </c>
      <c r="F116">
        <f t="shared" ca="1" si="22"/>
        <v>10</v>
      </c>
      <c r="G116">
        <f t="shared" ca="1" si="23"/>
        <v>0</v>
      </c>
      <c r="H116">
        <f t="shared" ca="1" si="24"/>
        <v>0</v>
      </c>
      <c r="I116">
        <f t="shared" ca="1" si="25"/>
        <v>0</v>
      </c>
      <c r="J116">
        <f t="shared" ca="1" si="26"/>
        <v>0</v>
      </c>
      <c r="K116">
        <f ca="1">IF(OR($C116="S",$C116=0),0,MATCH(OFFSET($D116,0,$C116)+IF($C116&lt;&gt;1,1,COUNTIF(QCI!$A$13:$A$24,ORÇAMENTO!E116)),OFFSET($D116,1,$C116,ROW($C$405)-ROW($C116)),0))</f>
        <v>0</v>
      </c>
      <c r="L116" s="115" t="str">
        <f t="shared" ca="1" si="27"/>
        <v/>
      </c>
      <c r="M116" s="116" t="s">
        <v>706</v>
      </c>
      <c r="N116" s="117" t="str">
        <f t="shared" ca="1" si="28"/>
        <v>Serviço</v>
      </c>
      <c r="O116" s="118" t="str">
        <f t="shared" ca="1" si="29"/>
        <v>-</v>
      </c>
      <c r="P116" s="119" t="s">
        <v>1315</v>
      </c>
      <c r="Q116" s="120" t="s">
        <v>1033</v>
      </c>
      <c r="R116" s="121" t="s">
        <v>1409</v>
      </c>
      <c r="S116" s="122" t="s">
        <v>1644</v>
      </c>
      <c r="T116" s="123">
        <f ca="1">OFFSET(CÁLCULO!H$15,ROW($T116)-ROW(T$15),0)</f>
        <v>2</v>
      </c>
      <c r="U116" s="124"/>
      <c r="V116" s="125" t="s">
        <v>663</v>
      </c>
      <c r="W116" s="123">
        <f ca="1">IF($C116="S",ROUND(IF(TIPOORCAMENTO="Proposto",ORÇAMENTO.CustoUnitario*(1+$AH116),ORÇAMENTO.PrecoUnitarioLicitado),15-13*$AF$10),0)</f>
        <v>0</v>
      </c>
      <c r="X116" s="126" cm="1">
        <f t="array" aca="1" ref="X116" ca="1">IF($C116="S",IF(OR(Import.TipoArredondamento&lt;&gt;"TransfereGOV",ACOMPANHAMENTO="BM"),VTOTAL1,SUM(OFFSET(CÁLCULO!$AA$15,ROW($X116)-ROW($X$15),1):OFFSET(CÁLCULO!$AL$15,ROW($X116)-ROW($X$15),-1))),IF($C116=0,0,ROUND(SomaAgrup,15-13*$AF$11)))</f>
        <v>0</v>
      </c>
      <c r="Y116" s="127" t="s">
        <v>752</v>
      </c>
      <c r="Z116" t="str">
        <f t="shared" ca="1" si="30"/>
        <v/>
      </c>
      <c r="AA116" s="128">
        <f ca="1">IF($C116="S",IF($Z116="CP",$X116,IF($Z116="RA",(($X116)*QCI!$AA$3),0)),SomaAgrup)</f>
        <v>0</v>
      </c>
      <c r="AB116" s="129">
        <f t="shared" ca="1" si="31"/>
        <v>0</v>
      </c>
      <c r="AC116" s="567" t="str">
        <f ca="1">IF($N116=""," ",
IF(AND($C116&lt;&gt;"S",OR($R116="",$R116="(digite a descrição aqui)")),"DESCRIÇÃO",
IF(AND($C116="S",OR($Q116&lt;&gt;0,$T116&gt;0,$U116&gt;0),$P116=0),"FONTE",
IF(AND($C116="S",$P116&lt;&gt;0,OR($T116&gt;0,$U116&gt;0),$Q116=0),"CÓDIGO",
IF(AND($C116="S",$P116&lt;&gt;0,$Q116&lt;&gt;0,$R116="(Código não identificado nas referências)"),"CÓDIGO N/ID",
IF(AND($C116="S",OR($R116="",$R116="(digite a descrição aqui)"),OR($Q116&lt;&gt;0,$T116&gt;0,$U116&gt;0)),"DESCRIÇÃO",
IF(AND($C116="S",$P116&lt;&gt;0,$Q116&lt;&gt;0,$S116=""),"UNIDADE",
IF(AND($C116="S",$P116&lt;&gt;0,$Q116&lt;&gt;0,$U116=0),"SEM CUSTO",
IF(AND(TIPOORCAMENTO="Licitado",$AL116=0,$AN116&gt;0),"SEM PREÇO",
IF(AND($C116="S",$P116&lt;&gt;0,$Q116&lt;&gt;0,$U116&gt;0,$V116=0),"BDI",
IF(OR(AND(TIPOORCAMENTO="Proposto",$AG116&lt;&gt;"",$AG116&gt;0,ORÇAMENTO.CustoUnitario&gt;$AG116),AND(TIPOORCAMENTO="LICITADO",ORÇAMENTO.PrecoUnitarioLicitado&gt;$AN116)),"ACIMA REF.",
IF(AND($C116="S",$P116&lt;&gt;0,$Q116&lt;&gt;0,$T116=0,$U116&gt;0),"QUANT.",
IF(AND(Import.TipoArredondamento="TransfereGOV",$L116="F",$C116="S",LEN($Q116)&gt;13),"Código &gt;13",
IF(AND(Import.TipoArredondamento="TransfereGOV",$L116="F",$C116&lt;&gt;"S",LEN($R116)&gt;100),"Descrição &gt;100",
IF(AND(Import.TipoArredondamento="TransfereGOV",$L116="F",$C116="S",LEN($R116)&gt;500),"Descrição &gt;500",
IF(AND(Import.TipoArredondamento="TransfereGOV",$L116="F",$C116="S",LEFT(TRIM(UPPER($P116)),6)&lt;&gt;"SINAPI",ISNA(VLOOKUP(TRIM(UPPER($S116)),ListaTgov.Unidades,1,FALSE))),"Unid. Não Disp",
" "))))))))))))))))</f>
        <v>SEM CUSTO</v>
      </c>
      <c r="AD116" t="str">
        <f ca="1">IF(C116&lt;=CRONO.NivelExibicao,MAX($AD$15:OFFSET(AD116,-1,0))+IF($C116&lt;&gt;1,1,MAX(1,COUNTIF(QCI!$A$13:$A$24,OFFSET($E116,-1,0)))),"")</f>
        <v/>
      </c>
      <c r="AE116" s="7" t="str">
        <f ca="1">IF(AND($C116="S",ORÇAMENTO.CodBarra&lt;&gt;""),IF(ORÇAMENTO.Fonte="",ORÇAMENTO.CodBarra,CONCATENATE(ORÇAMENTO.Fonte," ",ORÇAMENTO.CodBarra)))</f>
        <v>SINAPI-I 43102</v>
      </c>
      <c r="AF116" s="12" t="str">
        <f ca="1">IF(ISERROR(INDIRECT(ORÇAMENTO.BancoRef)),"(abra o arquivo 'Referência "&amp;Excel_BuiltIn_Database&amp;".xlsm)",IF(OR($C116&lt;&gt;"S",ORÇAMENTO.CodBarra=""),"(Sem Código)",IF(ISERROR(MATCH($AE116,INDIRECT(ORÇAMENTO.BancoRef),0)),"(Código não identificado nas referências)",MATCH($AE116,INDIRECT(ORÇAMENTO.BancoRef),0))))</f>
        <v>(abra o arquivo 'Referência 12-2024.xlsm)</v>
      </c>
      <c r="AG116" s="429">
        <f ca="1">ROUND(IF(DESONERACAO="sim",REFERENCIA.Desonerado,REFERENCIA.NaoDesonerado),2)</f>
        <v>0</v>
      </c>
      <c r="AH116" s="430">
        <f t="shared" ca="1" si="32"/>
        <v>0.31190000000000001</v>
      </c>
      <c r="AJ116" s="432">
        <v>2</v>
      </c>
      <c r="AL116" s="440"/>
      <c r="AM116" s="337">
        <f t="shared" ca="1" si="0"/>
        <v>0</v>
      </c>
      <c r="AN116" s="471">
        <f t="shared" ca="1" si="33"/>
        <v>0</v>
      </c>
    </row>
    <row r="117" spans="1:40" ht="25.5" x14ac:dyDescent="0.2">
      <c r="A117" t="str">
        <f t="shared" si="18"/>
        <v>S</v>
      </c>
      <c r="B117">
        <f t="shared" ca="1" si="19"/>
        <v>2</v>
      </c>
      <c r="C117" t="str">
        <f t="shared" ca="1" si="20"/>
        <v>S</v>
      </c>
      <c r="D117">
        <f t="shared" ca="1" si="21"/>
        <v>0</v>
      </c>
      <c r="E117">
        <f ca="1">IF($C117=1,OFFSET(E117,-1,0)+MAX(1,COUNTIF(QCI!$A$13:$A$24,OFFSET(ORÇAMENTO!E117,-1,0))),OFFSET(E117,-1,0))</f>
        <v>1</v>
      </c>
      <c r="F117">
        <f t="shared" ca="1" si="22"/>
        <v>10</v>
      </c>
      <c r="G117">
        <f t="shared" ca="1" si="23"/>
        <v>0</v>
      </c>
      <c r="H117">
        <f t="shared" ca="1" si="24"/>
        <v>0</v>
      </c>
      <c r="I117">
        <f t="shared" ca="1" si="25"/>
        <v>0</v>
      </c>
      <c r="J117">
        <f t="shared" ca="1" si="26"/>
        <v>0</v>
      </c>
      <c r="K117">
        <f ca="1">IF(OR($C117="S",$C117=0),0,MATCH(OFFSET($D117,0,$C117)+IF($C117&lt;&gt;1,1,COUNTIF(QCI!$A$13:$A$24,ORÇAMENTO!E117)),OFFSET($D117,1,$C117,ROW($C$405)-ROW($C117)),0))</f>
        <v>0</v>
      </c>
      <c r="L117" s="115" t="str">
        <f t="shared" ca="1" si="27"/>
        <v/>
      </c>
      <c r="M117" s="116" t="s">
        <v>706</v>
      </c>
      <c r="N117" s="117" t="str">
        <f t="shared" ca="1" si="28"/>
        <v>Serviço</v>
      </c>
      <c r="O117" s="118" t="str">
        <f t="shared" ca="1" si="29"/>
        <v>-</v>
      </c>
      <c r="P117" s="119" t="s">
        <v>1315</v>
      </c>
      <c r="Q117" s="120" t="s">
        <v>1034</v>
      </c>
      <c r="R117" s="121" t="s">
        <v>1410</v>
      </c>
      <c r="S117" s="122" t="s">
        <v>1644</v>
      </c>
      <c r="T117" s="123">
        <f ca="1">OFFSET(CÁLCULO!H$15,ROW($T117)-ROW(T$15),0)</f>
        <v>1</v>
      </c>
      <c r="U117" s="124"/>
      <c r="V117" s="125" t="s">
        <v>663</v>
      </c>
      <c r="W117" s="123">
        <f ca="1">IF($C117="S",ROUND(IF(TIPOORCAMENTO="Proposto",ORÇAMENTO.CustoUnitario*(1+$AH117),ORÇAMENTO.PrecoUnitarioLicitado),15-13*$AF$10),0)</f>
        <v>0</v>
      </c>
      <c r="X117" s="126" cm="1">
        <f t="array" aca="1" ref="X117" ca="1">IF($C117="S",IF(OR(Import.TipoArredondamento&lt;&gt;"TransfereGOV",ACOMPANHAMENTO="BM"),VTOTAL1,SUM(OFFSET(CÁLCULO!$AA$15,ROW($X117)-ROW($X$15),1):OFFSET(CÁLCULO!$AL$15,ROW($X117)-ROW($X$15),-1))),IF($C117=0,0,ROUND(SomaAgrup,15-13*$AF$11)))</f>
        <v>0</v>
      </c>
      <c r="Y117" s="127" t="s">
        <v>752</v>
      </c>
      <c r="Z117" t="str">
        <f t="shared" ca="1" si="30"/>
        <v/>
      </c>
      <c r="AA117" s="128">
        <f ca="1">IF($C117="S",IF($Z117="CP",$X117,IF($Z117="RA",(($X117)*QCI!$AA$3),0)),SomaAgrup)</f>
        <v>0</v>
      </c>
      <c r="AB117" s="129">
        <f t="shared" ca="1" si="31"/>
        <v>0</v>
      </c>
      <c r="AC117" s="567" t="str">
        <f ca="1">IF($N117=""," ",
IF(AND($C117&lt;&gt;"S",OR($R117="",$R117="(digite a descrição aqui)")),"DESCRIÇÃO",
IF(AND($C117="S",OR($Q117&lt;&gt;0,$T117&gt;0,$U117&gt;0),$P117=0),"FONTE",
IF(AND($C117="S",$P117&lt;&gt;0,OR($T117&gt;0,$U117&gt;0),$Q117=0),"CÓDIGO",
IF(AND($C117="S",$P117&lt;&gt;0,$Q117&lt;&gt;0,$R117="(Código não identificado nas referências)"),"CÓDIGO N/ID",
IF(AND($C117="S",OR($R117="",$R117="(digite a descrição aqui)"),OR($Q117&lt;&gt;0,$T117&gt;0,$U117&gt;0)),"DESCRIÇÃO",
IF(AND($C117="S",$P117&lt;&gt;0,$Q117&lt;&gt;0,$S117=""),"UNIDADE",
IF(AND($C117="S",$P117&lt;&gt;0,$Q117&lt;&gt;0,$U117=0),"SEM CUSTO",
IF(AND(TIPOORCAMENTO="Licitado",$AL117=0,$AN117&gt;0),"SEM PREÇO",
IF(AND($C117="S",$P117&lt;&gt;0,$Q117&lt;&gt;0,$U117&gt;0,$V117=0),"BDI",
IF(OR(AND(TIPOORCAMENTO="Proposto",$AG117&lt;&gt;"",$AG117&gt;0,ORÇAMENTO.CustoUnitario&gt;$AG117),AND(TIPOORCAMENTO="LICITADO",ORÇAMENTO.PrecoUnitarioLicitado&gt;$AN117)),"ACIMA REF.",
IF(AND($C117="S",$P117&lt;&gt;0,$Q117&lt;&gt;0,$T117=0,$U117&gt;0),"QUANT.",
IF(AND(Import.TipoArredondamento="TransfereGOV",$L117="F",$C117="S",LEN($Q117)&gt;13),"Código &gt;13",
IF(AND(Import.TipoArredondamento="TransfereGOV",$L117="F",$C117&lt;&gt;"S",LEN($R117)&gt;100),"Descrição &gt;100",
IF(AND(Import.TipoArredondamento="TransfereGOV",$L117="F",$C117="S",LEN($R117)&gt;500),"Descrição &gt;500",
IF(AND(Import.TipoArredondamento="TransfereGOV",$L117="F",$C117="S",LEFT(TRIM(UPPER($P117)),6)&lt;&gt;"SINAPI",ISNA(VLOOKUP(TRIM(UPPER($S117)),ListaTgov.Unidades,1,FALSE))),"Unid. Não Disp",
" "))))))))))))))))</f>
        <v>SEM CUSTO</v>
      </c>
      <c r="AD117" t="str">
        <f ca="1">IF(C117&lt;=CRONO.NivelExibicao,MAX($AD$15:OFFSET(AD117,-1,0))+IF($C117&lt;&gt;1,1,MAX(1,COUNTIF(QCI!$A$13:$A$24,OFFSET($E117,-1,0)))),"")</f>
        <v/>
      </c>
      <c r="AE117" s="7" t="str">
        <f ca="1">IF(AND($C117="S",ORÇAMENTO.CodBarra&lt;&gt;""),IF(ORÇAMENTO.Fonte="",ORÇAMENTO.CodBarra,CONCATENATE(ORÇAMENTO.Fonte," ",ORÇAMENTO.CodBarra)))</f>
        <v>SINAPI-I 43103</v>
      </c>
      <c r="AF117" s="12" t="str">
        <f ca="1">IF(ISERROR(INDIRECT(ORÇAMENTO.BancoRef)),"(abra o arquivo 'Referência "&amp;Excel_BuiltIn_Database&amp;".xlsm)",IF(OR($C117&lt;&gt;"S",ORÇAMENTO.CodBarra=""),"(Sem Código)",IF(ISERROR(MATCH($AE117,INDIRECT(ORÇAMENTO.BancoRef),0)),"(Código não identificado nas referências)",MATCH($AE117,INDIRECT(ORÇAMENTO.BancoRef),0))))</f>
        <v>(abra o arquivo 'Referência 12-2024.xlsm)</v>
      </c>
      <c r="AG117" s="429">
        <f ca="1">ROUND(IF(DESONERACAO="sim",REFERENCIA.Desonerado,REFERENCIA.NaoDesonerado),2)</f>
        <v>0</v>
      </c>
      <c r="AH117" s="430">
        <f t="shared" ca="1" si="32"/>
        <v>0.31190000000000001</v>
      </c>
      <c r="AJ117" s="432">
        <v>1</v>
      </c>
      <c r="AL117" s="440"/>
      <c r="AM117" s="337">
        <f t="shared" ca="1" si="0"/>
        <v>0</v>
      </c>
      <c r="AN117" s="471">
        <f t="shared" ca="1" si="33"/>
        <v>0</v>
      </c>
    </row>
    <row r="118" spans="1:40" ht="25.5" x14ac:dyDescent="0.2">
      <c r="A118" t="str">
        <f t="shared" si="18"/>
        <v>S</v>
      </c>
      <c r="B118">
        <f t="shared" ca="1" si="19"/>
        <v>2</v>
      </c>
      <c r="C118" t="str">
        <f t="shared" ca="1" si="20"/>
        <v>S</v>
      </c>
      <c r="D118">
        <f t="shared" ca="1" si="21"/>
        <v>0</v>
      </c>
      <c r="E118">
        <f ca="1">IF($C118=1,OFFSET(E118,-1,0)+MAX(1,COUNTIF(QCI!$A$13:$A$24,OFFSET(ORÇAMENTO!E118,-1,0))),OFFSET(E118,-1,0))</f>
        <v>1</v>
      </c>
      <c r="F118">
        <f t="shared" ca="1" si="22"/>
        <v>10</v>
      </c>
      <c r="G118">
        <f t="shared" ca="1" si="23"/>
        <v>0</v>
      </c>
      <c r="H118">
        <f t="shared" ca="1" si="24"/>
        <v>0</v>
      </c>
      <c r="I118">
        <f t="shared" ca="1" si="25"/>
        <v>0</v>
      </c>
      <c r="J118">
        <f t="shared" ca="1" si="26"/>
        <v>0</v>
      </c>
      <c r="K118">
        <f ca="1">IF(OR($C118="S",$C118=0),0,MATCH(OFFSET($D118,0,$C118)+IF($C118&lt;&gt;1,1,COUNTIF(QCI!$A$13:$A$24,ORÇAMENTO!E118)),OFFSET($D118,1,$C118,ROW($C$405)-ROW($C118)),0))</f>
        <v>0</v>
      </c>
      <c r="L118" s="115" t="str">
        <f t="shared" ca="1" si="27"/>
        <v/>
      </c>
      <c r="M118" s="116" t="s">
        <v>706</v>
      </c>
      <c r="N118" s="117" t="str">
        <f t="shared" ca="1" si="28"/>
        <v>Serviço</v>
      </c>
      <c r="O118" s="118" t="str">
        <f t="shared" ca="1" si="29"/>
        <v>-</v>
      </c>
      <c r="P118" s="119" t="s">
        <v>1315</v>
      </c>
      <c r="Q118" s="120" t="s">
        <v>1017</v>
      </c>
      <c r="R118" s="121" t="s">
        <v>1393</v>
      </c>
      <c r="S118" s="122" t="s">
        <v>1644</v>
      </c>
      <c r="T118" s="123">
        <f ca="1">OFFSET(CÁLCULO!H$15,ROW($T118)-ROW(T$15),0)</f>
        <v>3</v>
      </c>
      <c r="U118" s="124"/>
      <c r="V118" s="125" t="s">
        <v>663</v>
      </c>
      <c r="W118" s="123">
        <f ca="1">IF($C118="S",ROUND(IF(TIPOORCAMENTO="Proposto",ORÇAMENTO.CustoUnitario*(1+$AH118),ORÇAMENTO.PrecoUnitarioLicitado),15-13*$AF$10),0)</f>
        <v>0</v>
      </c>
      <c r="X118" s="126" cm="1">
        <f t="array" aca="1" ref="X118" ca="1">IF($C118="S",IF(OR(Import.TipoArredondamento&lt;&gt;"TransfereGOV",ACOMPANHAMENTO="BM"),VTOTAL1,SUM(OFFSET(CÁLCULO!$AA$15,ROW($X118)-ROW($X$15),1):OFFSET(CÁLCULO!$AL$15,ROW($X118)-ROW($X$15),-1))),IF($C118=0,0,ROUND(SomaAgrup,15-13*$AF$11)))</f>
        <v>0</v>
      </c>
      <c r="Y118" s="127" t="s">
        <v>752</v>
      </c>
      <c r="Z118" t="str">
        <f t="shared" ca="1" si="30"/>
        <v/>
      </c>
      <c r="AA118" s="128">
        <f ca="1">IF($C118="S",IF($Z118="CP",$X118,IF($Z118="RA",(($X118)*QCI!$AA$3),0)),SomaAgrup)</f>
        <v>0</v>
      </c>
      <c r="AB118" s="129">
        <f t="shared" ca="1" si="31"/>
        <v>0</v>
      </c>
      <c r="AC118" s="567" t="str">
        <f ca="1">IF($N118=""," ",
IF(AND($C118&lt;&gt;"S",OR($R118="",$R118="(digite a descrição aqui)")),"DESCRIÇÃO",
IF(AND($C118="S",OR($Q118&lt;&gt;0,$T118&gt;0,$U118&gt;0),$P118=0),"FONTE",
IF(AND($C118="S",$P118&lt;&gt;0,OR($T118&gt;0,$U118&gt;0),$Q118=0),"CÓDIGO",
IF(AND($C118="S",$P118&lt;&gt;0,$Q118&lt;&gt;0,$R118="(Código não identificado nas referências)"),"CÓDIGO N/ID",
IF(AND($C118="S",OR($R118="",$R118="(digite a descrição aqui)"),OR($Q118&lt;&gt;0,$T118&gt;0,$U118&gt;0)),"DESCRIÇÃO",
IF(AND($C118="S",$P118&lt;&gt;0,$Q118&lt;&gt;0,$S118=""),"UNIDADE",
IF(AND($C118="S",$P118&lt;&gt;0,$Q118&lt;&gt;0,$U118=0),"SEM CUSTO",
IF(AND(TIPOORCAMENTO="Licitado",$AL118=0,$AN118&gt;0),"SEM PREÇO",
IF(AND($C118="S",$P118&lt;&gt;0,$Q118&lt;&gt;0,$U118&gt;0,$V118=0),"BDI",
IF(OR(AND(TIPOORCAMENTO="Proposto",$AG118&lt;&gt;"",$AG118&gt;0,ORÇAMENTO.CustoUnitario&gt;$AG118),AND(TIPOORCAMENTO="LICITADO",ORÇAMENTO.PrecoUnitarioLicitado&gt;$AN118)),"ACIMA REF.",
IF(AND($C118="S",$P118&lt;&gt;0,$Q118&lt;&gt;0,$T118=0,$U118&gt;0),"QUANT.",
IF(AND(Import.TipoArredondamento="TransfereGOV",$L118="F",$C118="S",LEN($Q118)&gt;13),"Código &gt;13",
IF(AND(Import.TipoArredondamento="TransfereGOV",$L118="F",$C118&lt;&gt;"S",LEN($R118)&gt;100),"Descrição &gt;100",
IF(AND(Import.TipoArredondamento="TransfereGOV",$L118="F",$C118="S",LEN($R118)&gt;500),"Descrição &gt;500",
IF(AND(Import.TipoArredondamento="TransfereGOV",$L118="F",$C118="S",LEFT(TRIM(UPPER($P118)),6)&lt;&gt;"SINAPI",ISNA(VLOOKUP(TRIM(UPPER($S118)),ListaTgov.Unidades,1,FALSE))),"Unid. Não Disp",
" "))))))))))))))))</f>
        <v>SEM CUSTO</v>
      </c>
      <c r="AD118" t="str">
        <f ca="1">IF(C118&lt;=CRONO.NivelExibicao,MAX($AD$15:OFFSET(AD118,-1,0))+IF($C118&lt;&gt;1,1,MAX(1,COUNTIF(QCI!$A$13:$A$24,OFFSET($E118,-1,0)))),"")</f>
        <v/>
      </c>
      <c r="AE118" s="7" t="str">
        <f ca="1">IF(AND($C118="S",ORÇAMENTO.CodBarra&lt;&gt;""),IF(ORÇAMENTO.Fonte="",ORÇAMENTO.CodBarra,CONCATENATE(ORÇAMENTO.Fonte," ",ORÇAMENTO.CodBarra)))</f>
        <v>SINAPI-I 43104</v>
      </c>
      <c r="AF118" s="12" t="str">
        <f ca="1">IF(ISERROR(INDIRECT(ORÇAMENTO.BancoRef)),"(abra o arquivo 'Referência "&amp;Excel_BuiltIn_Database&amp;".xlsm)",IF(OR($C118&lt;&gt;"S",ORÇAMENTO.CodBarra=""),"(Sem Código)",IF(ISERROR(MATCH($AE118,INDIRECT(ORÇAMENTO.BancoRef),0)),"(Código não identificado nas referências)",MATCH($AE118,INDIRECT(ORÇAMENTO.BancoRef),0))))</f>
        <v>(abra o arquivo 'Referência 12-2024.xlsm)</v>
      </c>
      <c r="AG118" s="429">
        <f ca="1">ROUND(IF(DESONERACAO="sim",REFERENCIA.Desonerado,REFERENCIA.NaoDesonerado),2)</f>
        <v>0</v>
      </c>
      <c r="AH118" s="430">
        <f t="shared" ca="1" si="32"/>
        <v>0.31190000000000001</v>
      </c>
      <c r="AJ118" s="432">
        <v>3</v>
      </c>
      <c r="AL118" s="440"/>
      <c r="AM118" s="337">
        <f t="shared" ca="1" si="0"/>
        <v>0</v>
      </c>
      <c r="AN118" s="471">
        <f t="shared" ca="1" si="33"/>
        <v>0</v>
      </c>
    </row>
    <row r="119" spans="1:40" ht="25.5" x14ac:dyDescent="0.2">
      <c r="A119" t="str">
        <f t="shared" si="18"/>
        <v>S</v>
      </c>
      <c r="B119">
        <f t="shared" ca="1" si="19"/>
        <v>2</v>
      </c>
      <c r="C119" t="str">
        <f t="shared" ca="1" si="20"/>
        <v>S</v>
      </c>
      <c r="D119">
        <f t="shared" ca="1" si="21"/>
        <v>0</v>
      </c>
      <c r="E119">
        <f ca="1">IF($C119=1,OFFSET(E119,-1,0)+MAX(1,COUNTIF(QCI!$A$13:$A$24,OFFSET(ORÇAMENTO!E119,-1,0))),OFFSET(E119,-1,0))</f>
        <v>1</v>
      </c>
      <c r="F119">
        <f t="shared" ca="1" si="22"/>
        <v>10</v>
      </c>
      <c r="G119">
        <f t="shared" ca="1" si="23"/>
        <v>0</v>
      </c>
      <c r="H119">
        <f t="shared" ca="1" si="24"/>
        <v>0</v>
      </c>
      <c r="I119">
        <f t="shared" ca="1" si="25"/>
        <v>0</v>
      </c>
      <c r="J119">
        <f t="shared" ca="1" si="26"/>
        <v>0</v>
      </c>
      <c r="K119">
        <f ca="1">IF(OR($C119="S",$C119=0),0,MATCH(OFFSET($D119,0,$C119)+IF($C119&lt;&gt;1,1,COUNTIF(QCI!$A$13:$A$24,ORÇAMENTO!E119)),OFFSET($D119,1,$C119,ROW($C$405)-ROW($C119)),0))</f>
        <v>0</v>
      </c>
      <c r="L119" s="115" t="str">
        <f t="shared" ca="1" si="27"/>
        <v/>
      </c>
      <c r="M119" s="116" t="s">
        <v>706</v>
      </c>
      <c r="N119" s="117" t="str">
        <f t="shared" ca="1" si="28"/>
        <v>Serviço</v>
      </c>
      <c r="O119" s="118" t="str">
        <f t="shared" ca="1" si="29"/>
        <v>-</v>
      </c>
      <c r="P119" s="119" t="s">
        <v>751</v>
      </c>
      <c r="Q119" s="120" t="s">
        <v>1035</v>
      </c>
      <c r="R119" s="121" t="s">
        <v>1411</v>
      </c>
      <c r="S119" s="122" t="s">
        <v>621</v>
      </c>
      <c r="T119" s="123">
        <f ca="1">OFFSET(CÁLCULO!H$15,ROW($T119)-ROW(T$15),0)</f>
        <v>600</v>
      </c>
      <c r="U119" s="124"/>
      <c r="V119" s="125" t="s">
        <v>663</v>
      </c>
      <c r="W119" s="123">
        <f ca="1">IF($C119="S",ROUND(IF(TIPOORCAMENTO="Proposto",ORÇAMENTO.CustoUnitario*(1+$AH119),ORÇAMENTO.PrecoUnitarioLicitado),15-13*$AF$10),0)</f>
        <v>0</v>
      </c>
      <c r="X119" s="126" cm="1">
        <f t="array" aca="1" ref="X119" ca="1">IF($C119="S",IF(OR(Import.TipoArredondamento&lt;&gt;"TransfereGOV",ACOMPANHAMENTO="BM"),VTOTAL1,SUM(OFFSET(CÁLCULO!$AA$15,ROW($X119)-ROW($X$15),1):OFFSET(CÁLCULO!$AL$15,ROW($X119)-ROW($X$15),-1))),IF($C119=0,0,ROUND(SomaAgrup,15-13*$AF$11)))</f>
        <v>0</v>
      </c>
      <c r="Y119" s="127" t="s">
        <v>752</v>
      </c>
      <c r="Z119" t="str">
        <f t="shared" ca="1" si="30"/>
        <v/>
      </c>
      <c r="AA119" s="128">
        <f ca="1">IF($C119="S",IF($Z119="CP",$X119,IF($Z119="RA",(($X119)*QCI!$AA$3),0)),SomaAgrup)</f>
        <v>0</v>
      </c>
      <c r="AB119" s="129">
        <f t="shared" ca="1" si="31"/>
        <v>0</v>
      </c>
      <c r="AC119" s="567" t="str">
        <f ca="1">IF($N119=""," ",
IF(AND($C119&lt;&gt;"S",OR($R119="",$R119="(digite a descrição aqui)")),"DESCRIÇÃO",
IF(AND($C119="S",OR($Q119&lt;&gt;0,$T119&gt;0,$U119&gt;0),$P119=0),"FONTE",
IF(AND($C119="S",$P119&lt;&gt;0,OR($T119&gt;0,$U119&gt;0),$Q119=0),"CÓDIGO",
IF(AND($C119="S",$P119&lt;&gt;0,$Q119&lt;&gt;0,$R119="(Código não identificado nas referências)"),"CÓDIGO N/ID",
IF(AND($C119="S",OR($R119="",$R119="(digite a descrição aqui)"),OR($Q119&lt;&gt;0,$T119&gt;0,$U119&gt;0)),"DESCRIÇÃO",
IF(AND($C119="S",$P119&lt;&gt;0,$Q119&lt;&gt;0,$S119=""),"UNIDADE",
IF(AND($C119="S",$P119&lt;&gt;0,$Q119&lt;&gt;0,$U119=0),"SEM CUSTO",
IF(AND(TIPOORCAMENTO="Licitado",$AL119=0,$AN119&gt;0),"SEM PREÇO",
IF(AND($C119="S",$P119&lt;&gt;0,$Q119&lt;&gt;0,$U119&gt;0,$V119=0),"BDI",
IF(OR(AND(TIPOORCAMENTO="Proposto",$AG119&lt;&gt;"",$AG119&gt;0,ORÇAMENTO.CustoUnitario&gt;$AG119),AND(TIPOORCAMENTO="LICITADO",ORÇAMENTO.PrecoUnitarioLicitado&gt;$AN119)),"ACIMA REF.",
IF(AND($C119="S",$P119&lt;&gt;0,$Q119&lt;&gt;0,$T119=0,$U119&gt;0),"QUANT.",
IF(AND(Import.TipoArredondamento="TransfereGOV",$L119="F",$C119="S",LEN($Q119)&gt;13),"Código &gt;13",
IF(AND(Import.TipoArredondamento="TransfereGOV",$L119="F",$C119&lt;&gt;"S",LEN($R119)&gt;100),"Descrição &gt;100",
IF(AND(Import.TipoArredondamento="TransfereGOV",$L119="F",$C119="S",LEN($R119)&gt;500),"Descrição &gt;500",
IF(AND(Import.TipoArredondamento="TransfereGOV",$L119="F",$C119="S",LEFT(TRIM(UPPER($P119)),6)&lt;&gt;"SINAPI",ISNA(VLOOKUP(TRIM(UPPER($S119)),ListaTgov.Unidades,1,FALSE))),"Unid. Não Disp",
" "))))))))))))))))</f>
        <v>SEM CUSTO</v>
      </c>
      <c r="AD119" t="str">
        <f ca="1">IF(C119&lt;=CRONO.NivelExibicao,MAX($AD$15:OFFSET(AD119,-1,0))+IF($C119&lt;&gt;1,1,MAX(1,COUNTIF(QCI!$A$13:$A$24,OFFSET($E119,-1,0)))),"")</f>
        <v/>
      </c>
      <c r="AE119" s="7" t="str">
        <f ca="1">IF(AND($C119="S",ORÇAMENTO.CodBarra&lt;&gt;""),IF(ORÇAMENTO.Fonte="",ORÇAMENTO.CodBarra,CONCATENATE(ORÇAMENTO.Fonte," ",ORÇAMENTO.CodBarra)))</f>
        <v>SINAPI 98295</v>
      </c>
      <c r="AF119" s="12" t="str">
        <f ca="1">IF(ISERROR(INDIRECT(ORÇAMENTO.BancoRef)),"(abra o arquivo 'Referência "&amp;Excel_BuiltIn_Database&amp;".xlsm)",IF(OR($C119&lt;&gt;"S",ORÇAMENTO.CodBarra=""),"(Sem Código)",IF(ISERROR(MATCH($AE119,INDIRECT(ORÇAMENTO.BancoRef),0)),"(Código não identificado nas referências)",MATCH($AE119,INDIRECT(ORÇAMENTO.BancoRef),0))))</f>
        <v>(abra o arquivo 'Referência 12-2024.xlsm)</v>
      </c>
      <c r="AG119" s="429">
        <f ca="1">ROUND(IF(DESONERACAO="sim",REFERENCIA.Desonerado,REFERENCIA.NaoDesonerado),2)</f>
        <v>0</v>
      </c>
      <c r="AH119" s="430">
        <f t="shared" ca="1" si="32"/>
        <v>0.31190000000000001</v>
      </c>
      <c r="AJ119" s="432">
        <v>600</v>
      </c>
      <c r="AL119" s="440"/>
      <c r="AM119" s="337">
        <f t="shared" ca="1" si="0"/>
        <v>0</v>
      </c>
      <c r="AN119" s="471">
        <f t="shared" ca="1" si="33"/>
        <v>0</v>
      </c>
    </row>
    <row r="120" spans="1:40" ht="25.5" x14ac:dyDescent="0.2">
      <c r="A120" t="str">
        <f t="shared" si="18"/>
        <v>S</v>
      </c>
      <c r="B120">
        <f t="shared" ca="1" si="19"/>
        <v>2</v>
      </c>
      <c r="C120" t="str">
        <f t="shared" ca="1" si="20"/>
        <v>S</v>
      </c>
      <c r="D120">
        <f t="shared" ca="1" si="21"/>
        <v>0</v>
      </c>
      <c r="E120">
        <f ca="1">IF($C120=1,OFFSET(E120,-1,0)+MAX(1,COUNTIF(QCI!$A$13:$A$24,OFFSET(ORÇAMENTO!E120,-1,0))),OFFSET(E120,-1,0))</f>
        <v>1</v>
      </c>
      <c r="F120">
        <f t="shared" ca="1" si="22"/>
        <v>10</v>
      </c>
      <c r="G120">
        <f t="shared" ca="1" si="23"/>
        <v>0</v>
      </c>
      <c r="H120">
        <f t="shared" ca="1" si="24"/>
        <v>0</v>
      </c>
      <c r="I120">
        <f t="shared" ca="1" si="25"/>
        <v>0</v>
      </c>
      <c r="J120">
        <f t="shared" ca="1" si="26"/>
        <v>0</v>
      </c>
      <c r="K120">
        <f ca="1">IF(OR($C120="S",$C120=0),0,MATCH(OFFSET($D120,0,$C120)+IF($C120&lt;&gt;1,1,COUNTIF(QCI!$A$13:$A$24,ORÇAMENTO!E120)),OFFSET($D120,1,$C120,ROW($C$405)-ROW($C120)),0))</f>
        <v>0</v>
      </c>
      <c r="L120" s="115" t="str">
        <f t="shared" ca="1" si="27"/>
        <v/>
      </c>
      <c r="M120" s="116" t="s">
        <v>706</v>
      </c>
      <c r="N120" s="117" t="str">
        <f t="shared" ca="1" si="28"/>
        <v>Serviço</v>
      </c>
      <c r="O120" s="118" t="str">
        <f t="shared" ca="1" si="29"/>
        <v>-</v>
      </c>
      <c r="P120" s="119" t="s">
        <v>751</v>
      </c>
      <c r="Q120" s="120" t="s">
        <v>1036</v>
      </c>
      <c r="R120" s="121" t="s">
        <v>1412</v>
      </c>
      <c r="S120" s="122" t="s">
        <v>639</v>
      </c>
      <c r="T120" s="123">
        <f ca="1">OFFSET(CÁLCULO!H$15,ROW($T120)-ROW(T$15),0)</f>
        <v>18</v>
      </c>
      <c r="U120" s="124"/>
      <c r="V120" s="125" t="s">
        <v>663</v>
      </c>
      <c r="W120" s="123">
        <f ca="1">IF($C120="S",ROUND(IF(TIPOORCAMENTO="Proposto",ORÇAMENTO.CustoUnitario*(1+$AH120),ORÇAMENTO.PrecoUnitarioLicitado),15-13*$AF$10),0)</f>
        <v>0</v>
      </c>
      <c r="X120" s="126" cm="1">
        <f t="array" aca="1" ref="X120" ca="1">IF($C120="S",IF(OR(Import.TipoArredondamento&lt;&gt;"TransfereGOV",ACOMPANHAMENTO="BM"),VTOTAL1,SUM(OFFSET(CÁLCULO!$AA$15,ROW($X120)-ROW($X$15),1):OFFSET(CÁLCULO!$AL$15,ROW($X120)-ROW($X$15),-1))),IF($C120=0,0,ROUND(SomaAgrup,15-13*$AF$11)))</f>
        <v>0</v>
      </c>
      <c r="Y120" s="127" t="s">
        <v>752</v>
      </c>
      <c r="Z120" t="str">
        <f t="shared" ca="1" si="30"/>
        <v/>
      </c>
      <c r="AA120" s="128">
        <f ca="1">IF($C120="S",IF($Z120="CP",$X120,IF($Z120="RA",(($X120)*QCI!$AA$3),0)),SomaAgrup)</f>
        <v>0</v>
      </c>
      <c r="AB120" s="129">
        <f t="shared" ca="1" si="31"/>
        <v>0</v>
      </c>
      <c r="AC120" s="567" t="str">
        <f ca="1">IF($N120=""," ",
IF(AND($C120&lt;&gt;"S",OR($R120="",$R120="(digite a descrição aqui)")),"DESCRIÇÃO",
IF(AND($C120="S",OR($Q120&lt;&gt;0,$T120&gt;0,$U120&gt;0),$P120=0),"FONTE",
IF(AND($C120="S",$P120&lt;&gt;0,OR($T120&gt;0,$U120&gt;0),$Q120=0),"CÓDIGO",
IF(AND($C120="S",$P120&lt;&gt;0,$Q120&lt;&gt;0,$R120="(Código não identificado nas referências)"),"CÓDIGO N/ID",
IF(AND($C120="S",OR($R120="",$R120="(digite a descrição aqui)"),OR($Q120&lt;&gt;0,$T120&gt;0,$U120&gt;0)),"DESCRIÇÃO",
IF(AND($C120="S",$P120&lt;&gt;0,$Q120&lt;&gt;0,$S120=""),"UNIDADE",
IF(AND($C120="S",$P120&lt;&gt;0,$Q120&lt;&gt;0,$U120=0),"SEM CUSTO",
IF(AND(TIPOORCAMENTO="Licitado",$AL120=0,$AN120&gt;0),"SEM PREÇO",
IF(AND($C120="S",$P120&lt;&gt;0,$Q120&lt;&gt;0,$U120&gt;0,$V120=0),"BDI",
IF(OR(AND(TIPOORCAMENTO="Proposto",$AG120&lt;&gt;"",$AG120&gt;0,ORÇAMENTO.CustoUnitario&gt;$AG120),AND(TIPOORCAMENTO="LICITADO",ORÇAMENTO.PrecoUnitarioLicitado&gt;$AN120)),"ACIMA REF.",
IF(AND($C120="S",$P120&lt;&gt;0,$Q120&lt;&gt;0,$T120=0,$U120&gt;0),"QUANT.",
IF(AND(Import.TipoArredondamento="TransfereGOV",$L120="F",$C120="S",LEN($Q120)&gt;13),"Código &gt;13",
IF(AND(Import.TipoArredondamento="TransfereGOV",$L120="F",$C120&lt;&gt;"S",LEN($R120)&gt;100),"Descrição &gt;100",
IF(AND(Import.TipoArredondamento="TransfereGOV",$L120="F",$C120="S",LEN($R120)&gt;500),"Descrição &gt;500",
IF(AND(Import.TipoArredondamento="TransfereGOV",$L120="F",$C120="S",LEFT(TRIM(UPPER($P120)),6)&lt;&gt;"SINAPI",ISNA(VLOOKUP(TRIM(UPPER($S120)),ListaTgov.Unidades,1,FALSE))),"Unid. Não Disp",
" "))))))))))))))))</f>
        <v>SEM CUSTO</v>
      </c>
      <c r="AD120" t="str">
        <f ca="1">IF(C120&lt;=CRONO.NivelExibicao,MAX($AD$15:OFFSET(AD120,-1,0))+IF($C120&lt;&gt;1,1,MAX(1,COUNTIF(QCI!$A$13:$A$24,OFFSET($E120,-1,0)))),"")</f>
        <v/>
      </c>
      <c r="AE120" s="7" t="str">
        <f ca="1">IF(AND($C120="S",ORÇAMENTO.CodBarra&lt;&gt;""),IF(ORÇAMENTO.Fonte="",ORÇAMENTO.CodBarra,CONCATENATE(ORÇAMENTO.Fonte," ",ORÇAMENTO.CodBarra)))</f>
        <v>SINAPI 98307</v>
      </c>
      <c r="AF120" s="12" t="str">
        <f ca="1">IF(ISERROR(INDIRECT(ORÇAMENTO.BancoRef)),"(abra o arquivo 'Referência "&amp;Excel_BuiltIn_Database&amp;".xlsm)",IF(OR($C120&lt;&gt;"S",ORÇAMENTO.CodBarra=""),"(Sem Código)",IF(ISERROR(MATCH($AE120,INDIRECT(ORÇAMENTO.BancoRef),0)),"(Código não identificado nas referências)",MATCH($AE120,INDIRECT(ORÇAMENTO.BancoRef),0))))</f>
        <v>(abra o arquivo 'Referência 12-2024.xlsm)</v>
      </c>
      <c r="AG120" s="429">
        <f ca="1">ROUND(IF(DESONERACAO="sim",REFERENCIA.Desonerado,REFERENCIA.NaoDesonerado),2)</f>
        <v>0</v>
      </c>
      <c r="AH120" s="430">
        <f t="shared" ca="1" si="32"/>
        <v>0.31190000000000001</v>
      </c>
      <c r="AJ120" s="432">
        <v>18</v>
      </c>
      <c r="AL120" s="440"/>
      <c r="AM120" s="337">
        <f t="shared" ca="1" si="0"/>
        <v>0</v>
      </c>
      <c r="AN120" s="471">
        <f t="shared" ca="1" si="33"/>
        <v>0</v>
      </c>
    </row>
    <row r="121" spans="1:40" x14ac:dyDescent="0.2">
      <c r="A121" t="str">
        <f t="shared" si="18"/>
        <v>S</v>
      </c>
      <c r="B121">
        <f t="shared" ca="1" si="19"/>
        <v>2</v>
      </c>
      <c r="C121" t="str">
        <f t="shared" ca="1" si="20"/>
        <v>S</v>
      </c>
      <c r="D121">
        <f t="shared" ca="1" si="21"/>
        <v>0</v>
      </c>
      <c r="E121">
        <f ca="1">IF($C121=1,OFFSET(E121,-1,0)+MAX(1,COUNTIF(QCI!$A$13:$A$24,OFFSET(ORÇAMENTO!E121,-1,0))),OFFSET(E121,-1,0))</f>
        <v>1</v>
      </c>
      <c r="F121">
        <f t="shared" ca="1" si="22"/>
        <v>10</v>
      </c>
      <c r="G121">
        <f t="shared" ca="1" si="23"/>
        <v>0</v>
      </c>
      <c r="H121">
        <f t="shared" ca="1" si="24"/>
        <v>0</v>
      </c>
      <c r="I121">
        <f t="shared" ca="1" si="25"/>
        <v>0</v>
      </c>
      <c r="J121">
        <f t="shared" ca="1" si="26"/>
        <v>0</v>
      </c>
      <c r="K121">
        <f ca="1">IF(OR($C121="S",$C121=0),0,MATCH(OFFSET($D121,0,$C121)+IF($C121&lt;&gt;1,1,COUNTIF(QCI!$A$13:$A$24,ORÇAMENTO!E121)),OFFSET($D121,1,$C121,ROW($C$405)-ROW($C121)),0))</f>
        <v>0</v>
      </c>
      <c r="L121" s="115" t="str">
        <f t="shared" ca="1" si="27"/>
        <v/>
      </c>
      <c r="M121" s="116" t="s">
        <v>706</v>
      </c>
      <c r="N121" s="117" t="str">
        <f t="shared" ca="1" si="28"/>
        <v>Serviço</v>
      </c>
      <c r="O121" s="118" t="str">
        <f t="shared" ca="1" si="29"/>
        <v>-</v>
      </c>
      <c r="P121" s="119" t="s">
        <v>1313</v>
      </c>
      <c r="Q121" s="120" t="s">
        <v>1037</v>
      </c>
      <c r="R121" s="121" t="s">
        <v>1413</v>
      </c>
      <c r="S121" s="122" t="s">
        <v>639</v>
      </c>
      <c r="T121" s="123">
        <f ca="1">OFFSET(CÁLCULO!H$15,ROW($T121)-ROW(T$15),0)</f>
        <v>22</v>
      </c>
      <c r="U121" s="124"/>
      <c r="V121" s="125" t="s">
        <v>663</v>
      </c>
      <c r="W121" s="123">
        <f ca="1">IF($C121="S",ROUND(IF(TIPOORCAMENTO="Proposto",ORÇAMENTO.CustoUnitario*(1+$AH121),ORÇAMENTO.PrecoUnitarioLicitado),15-13*$AF$10),0)</f>
        <v>0</v>
      </c>
      <c r="X121" s="126" cm="1">
        <f t="array" aca="1" ref="X121" ca="1">IF($C121="S",IF(OR(Import.TipoArredondamento&lt;&gt;"TransfereGOV",ACOMPANHAMENTO="BM"),VTOTAL1,SUM(OFFSET(CÁLCULO!$AA$15,ROW($X121)-ROW($X$15),1):OFFSET(CÁLCULO!$AL$15,ROW($X121)-ROW($X$15),-1))),IF($C121=0,0,ROUND(SomaAgrup,15-13*$AF$11)))</f>
        <v>0</v>
      </c>
      <c r="Y121" s="127" t="s">
        <v>752</v>
      </c>
      <c r="Z121" t="str">
        <f t="shared" ca="1" si="30"/>
        <v/>
      </c>
      <c r="AA121" s="128">
        <f ca="1">IF($C121="S",IF($Z121="CP",$X121,IF($Z121="RA",(($X121)*QCI!$AA$3),0)),SomaAgrup)</f>
        <v>0</v>
      </c>
      <c r="AB121" s="129">
        <f t="shared" ca="1" si="31"/>
        <v>0</v>
      </c>
      <c r="AC121" s="567" t="str">
        <f ca="1">IF($N121=""," ",
IF(AND($C121&lt;&gt;"S",OR($R121="",$R121="(digite a descrição aqui)")),"DESCRIÇÃO",
IF(AND($C121="S",OR($Q121&lt;&gt;0,$T121&gt;0,$U121&gt;0),$P121=0),"FONTE",
IF(AND($C121="S",$P121&lt;&gt;0,OR($T121&gt;0,$U121&gt;0),$Q121=0),"CÓDIGO",
IF(AND($C121="S",$P121&lt;&gt;0,$Q121&lt;&gt;0,$R121="(Código não identificado nas referências)"),"CÓDIGO N/ID",
IF(AND($C121="S",OR($R121="",$R121="(digite a descrição aqui)"),OR($Q121&lt;&gt;0,$T121&gt;0,$U121&gt;0)),"DESCRIÇÃO",
IF(AND($C121="S",$P121&lt;&gt;0,$Q121&lt;&gt;0,$S121=""),"UNIDADE",
IF(AND($C121="S",$P121&lt;&gt;0,$Q121&lt;&gt;0,$U121=0),"SEM CUSTO",
IF(AND(TIPOORCAMENTO="Licitado",$AL121=0,$AN121&gt;0),"SEM PREÇO",
IF(AND($C121="S",$P121&lt;&gt;0,$Q121&lt;&gt;0,$U121&gt;0,$V121=0),"BDI",
IF(OR(AND(TIPOORCAMENTO="Proposto",$AG121&lt;&gt;"",$AG121&gt;0,ORÇAMENTO.CustoUnitario&gt;$AG121),AND(TIPOORCAMENTO="LICITADO",ORÇAMENTO.PrecoUnitarioLicitado&gt;$AN121)),"ACIMA REF.",
IF(AND($C121="S",$P121&lt;&gt;0,$Q121&lt;&gt;0,$T121=0,$U121&gt;0),"QUANT.",
IF(AND(Import.TipoArredondamento="TransfereGOV",$L121="F",$C121="S",LEN($Q121)&gt;13),"Código &gt;13",
IF(AND(Import.TipoArredondamento="TransfereGOV",$L121="F",$C121&lt;&gt;"S",LEN($R121)&gt;100),"Descrição &gt;100",
IF(AND(Import.TipoArredondamento="TransfereGOV",$L121="F",$C121="S",LEN($R121)&gt;500),"Descrição &gt;500",
IF(AND(Import.TipoArredondamento="TransfereGOV",$L121="F",$C121="S",LEFT(TRIM(UPPER($P121)),6)&lt;&gt;"SINAPI",ISNA(VLOOKUP(TRIM(UPPER($S121)),ListaTgov.Unidades,1,FALSE))),"Unid. Não Disp",
" "))))))))))))))))</f>
        <v>SEM CUSTO</v>
      </c>
      <c r="AD121" t="str">
        <f ca="1">IF(C121&lt;=CRONO.NivelExibicao,MAX($AD$15:OFFSET(AD121,-1,0))+IF($C121&lt;&gt;1,1,MAX(1,COUNTIF(QCI!$A$13:$A$24,OFFSET($E121,-1,0)))),"")</f>
        <v/>
      </c>
      <c r="AE121" s="7" t="str">
        <f ca="1">IF(AND($C121="S",ORÇAMENTO.CodBarra&lt;&gt;""),IF(ORÇAMENTO.Fonte="",ORÇAMENTO.CodBarra,CONCATENATE(ORÇAMENTO.Fonte," ",ORÇAMENTO.CodBarra)))</f>
        <v>Cotação 154</v>
      </c>
      <c r="AF121" s="12" t="str">
        <f ca="1">IF(ISERROR(INDIRECT(ORÇAMENTO.BancoRef)),"(abra o arquivo 'Referência "&amp;Excel_BuiltIn_Database&amp;".xlsm)",IF(OR($C121&lt;&gt;"S",ORÇAMENTO.CodBarra=""),"(Sem Código)",IF(ISERROR(MATCH($AE121,INDIRECT(ORÇAMENTO.BancoRef),0)),"(Código não identificado nas referências)",MATCH($AE121,INDIRECT(ORÇAMENTO.BancoRef),0))))</f>
        <v>(abra o arquivo 'Referência 12-2024.xlsm)</v>
      </c>
      <c r="AG121" s="429">
        <f ca="1">ROUND(IF(DESONERACAO="sim",REFERENCIA.Desonerado,REFERENCIA.NaoDesonerado),2)</f>
        <v>0</v>
      </c>
      <c r="AH121" s="430">
        <f t="shared" ca="1" si="32"/>
        <v>0.31190000000000001</v>
      </c>
      <c r="AJ121" s="432">
        <v>22</v>
      </c>
      <c r="AL121" s="440"/>
      <c r="AM121" s="337">
        <f t="shared" ca="1" si="0"/>
        <v>0</v>
      </c>
      <c r="AN121" s="471">
        <f t="shared" ca="1" si="33"/>
        <v>0</v>
      </c>
    </row>
    <row r="122" spans="1:40" ht="25.5" x14ac:dyDescent="0.2">
      <c r="A122" t="str">
        <f t="shared" si="18"/>
        <v>S</v>
      </c>
      <c r="B122">
        <f t="shared" ca="1" si="19"/>
        <v>2</v>
      </c>
      <c r="C122" t="str">
        <f t="shared" ca="1" si="20"/>
        <v>S</v>
      </c>
      <c r="D122">
        <f t="shared" ca="1" si="21"/>
        <v>0</v>
      </c>
      <c r="E122">
        <f ca="1">IF($C122=1,OFFSET(E122,-1,0)+MAX(1,COUNTIF(QCI!$A$13:$A$24,OFFSET(ORÇAMENTO!E122,-1,0))),OFFSET(E122,-1,0))</f>
        <v>1</v>
      </c>
      <c r="F122">
        <f t="shared" ca="1" si="22"/>
        <v>10</v>
      </c>
      <c r="G122">
        <f t="shared" ca="1" si="23"/>
        <v>0</v>
      </c>
      <c r="H122">
        <f t="shared" ca="1" si="24"/>
        <v>0</v>
      </c>
      <c r="I122">
        <f t="shared" ca="1" si="25"/>
        <v>0</v>
      </c>
      <c r="J122">
        <f t="shared" ca="1" si="26"/>
        <v>0</v>
      </c>
      <c r="K122">
        <f ca="1">IF(OR($C122="S",$C122=0),0,MATCH(OFFSET($D122,0,$C122)+IF($C122&lt;&gt;1,1,COUNTIF(QCI!$A$13:$A$24,ORÇAMENTO!E122)),OFFSET($D122,1,$C122,ROW($C$405)-ROW($C122)),0))</f>
        <v>0</v>
      </c>
      <c r="L122" s="115" t="str">
        <f t="shared" ca="1" si="27"/>
        <v/>
      </c>
      <c r="M122" s="116" t="s">
        <v>706</v>
      </c>
      <c r="N122" s="117" t="str">
        <f t="shared" ca="1" si="28"/>
        <v>Serviço</v>
      </c>
      <c r="O122" s="118" t="str">
        <f t="shared" ca="1" si="29"/>
        <v>-</v>
      </c>
      <c r="P122" s="119" t="s">
        <v>1315</v>
      </c>
      <c r="Q122" s="120" t="s">
        <v>1038</v>
      </c>
      <c r="R122" s="121" t="s">
        <v>1414</v>
      </c>
      <c r="S122" s="122" t="s">
        <v>1644</v>
      </c>
      <c r="T122" s="123">
        <f ca="1">OFFSET(CÁLCULO!H$15,ROW($T122)-ROW(T$15),0)</f>
        <v>22</v>
      </c>
      <c r="U122" s="124"/>
      <c r="V122" s="125" t="s">
        <v>663</v>
      </c>
      <c r="W122" s="123">
        <f ca="1">IF($C122="S",ROUND(IF(TIPOORCAMENTO="Proposto",ORÇAMENTO.CustoUnitario*(1+$AH122),ORÇAMENTO.PrecoUnitarioLicitado),15-13*$AF$10),0)</f>
        <v>0</v>
      </c>
      <c r="X122" s="126" cm="1">
        <f t="array" aca="1" ref="X122" ca="1">IF($C122="S",IF(OR(Import.TipoArredondamento&lt;&gt;"TransfereGOV",ACOMPANHAMENTO="BM"),VTOTAL1,SUM(OFFSET(CÁLCULO!$AA$15,ROW($X122)-ROW($X$15),1):OFFSET(CÁLCULO!$AL$15,ROW($X122)-ROW($X$15),-1))),IF($C122=0,0,ROUND(SomaAgrup,15-13*$AF$11)))</f>
        <v>0</v>
      </c>
      <c r="Y122" s="127" t="s">
        <v>752</v>
      </c>
      <c r="Z122" t="str">
        <f t="shared" ca="1" si="30"/>
        <v/>
      </c>
      <c r="AA122" s="128">
        <f ca="1">IF($C122="S",IF($Z122="CP",$X122,IF($Z122="RA",(($X122)*QCI!$AA$3),0)),SomaAgrup)</f>
        <v>0</v>
      </c>
      <c r="AB122" s="129">
        <f t="shared" ca="1" si="31"/>
        <v>0</v>
      </c>
      <c r="AC122" s="567" t="str">
        <f ca="1">IF($N122=""," ",
IF(AND($C122&lt;&gt;"S",OR($R122="",$R122="(digite a descrição aqui)")),"DESCRIÇÃO",
IF(AND($C122="S",OR($Q122&lt;&gt;0,$T122&gt;0,$U122&gt;0),$P122=0),"FONTE",
IF(AND($C122="S",$P122&lt;&gt;0,OR($T122&gt;0,$U122&gt;0),$Q122=0),"CÓDIGO",
IF(AND($C122="S",$P122&lt;&gt;0,$Q122&lt;&gt;0,$R122="(Código não identificado nas referências)"),"CÓDIGO N/ID",
IF(AND($C122="S",OR($R122="",$R122="(digite a descrição aqui)"),OR($Q122&lt;&gt;0,$T122&gt;0,$U122&gt;0)),"DESCRIÇÃO",
IF(AND($C122="S",$P122&lt;&gt;0,$Q122&lt;&gt;0,$S122=""),"UNIDADE",
IF(AND($C122="S",$P122&lt;&gt;0,$Q122&lt;&gt;0,$U122=0),"SEM CUSTO",
IF(AND(TIPOORCAMENTO="Licitado",$AL122=0,$AN122&gt;0),"SEM PREÇO",
IF(AND($C122="S",$P122&lt;&gt;0,$Q122&lt;&gt;0,$U122&gt;0,$V122=0),"BDI",
IF(OR(AND(TIPOORCAMENTO="Proposto",$AG122&lt;&gt;"",$AG122&gt;0,ORÇAMENTO.CustoUnitario&gt;$AG122),AND(TIPOORCAMENTO="LICITADO",ORÇAMENTO.PrecoUnitarioLicitado&gt;$AN122)),"ACIMA REF.",
IF(AND($C122="S",$P122&lt;&gt;0,$Q122&lt;&gt;0,$T122=0,$U122&gt;0),"QUANT.",
IF(AND(Import.TipoArredondamento="TransfereGOV",$L122="F",$C122="S",LEN($Q122)&gt;13),"Código &gt;13",
IF(AND(Import.TipoArredondamento="TransfereGOV",$L122="F",$C122&lt;&gt;"S",LEN($R122)&gt;100),"Descrição &gt;100",
IF(AND(Import.TipoArredondamento="TransfereGOV",$L122="F",$C122="S",LEN($R122)&gt;500),"Descrição &gt;500",
IF(AND(Import.TipoArredondamento="TransfereGOV",$L122="F",$C122="S",LEFT(TRIM(UPPER($P122)),6)&lt;&gt;"SINAPI",ISNA(VLOOKUP(TRIM(UPPER($S122)),ListaTgov.Unidades,1,FALSE))),"Unid. Não Disp",
" "))))))))))))))))</f>
        <v>SEM CUSTO</v>
      </c>
      <c r="AD122" t="str">
        <f ca="1">IF(C122&lt;=CRONO.NivelExibicao,MAX($AD$15:OFFSET(AD122,-1,0))+IF($C122&lt;&gt;1,1,MAX(1,COUNTIF(QCI!$A$13:$A$24,OFFSET($E122,-1,0)))),"")</f>
        <v/>
      </c>
      <c r="AE122" s="7" t="str">
        <f ca="1">IF(AND($C122="S",ORÇAMENTO.CodBarra&lt;&gt;""),IF(ORÇAMENTO.Fonte="",ORÇAMENTO.CodBarra,CONCATENATE(ORÇAMENTO.Fonte," ",ORÇAMENTO.CodBarra)))</f>
        <v>SINAPI-I 38091</v>
      </c>
      <c r="AF122" s="12" t="str">
        <f ca="1">IF(ISERROR(INDIRECT(ORÇAMENTO.BancoRef)),"(abra o arquivo 'Referência "&amp;Excel_BuiltIn_Database&amp;".xlsm)",IF(OR($C122&lt;&gt;"S",ORÇAMENTO.CodBarra=""),"(Sem Código)",IF(ISERROR(MATCH($AE122,INDIRECT(ORÇAMENTO.BancoRef),0)),"(Código não identificado nas referências)",MATCH($AE122,INDIRECT(ORÇAMENTO.BancoRef),0))))</f>
        <v>(abra o arquivo 'Referência 12-2024.xlsm)</v>
      </c>
      <c r="AG122" s="429">
        <f ca="1">ROUND(IF(DESONERACAO="sim",REFERENCIA.Desonerado,REFERENCIA.NaoDesonerado),2)</f>
        <v>0</v>
      </c>
      <c r="AH122" s="430">
        <f t="shared" ca="1" si="32"/>
        <v>0.31190000000000001</v>
      </c>
      <c r="AJ122" s="432">
        <v>22</v>
      </c>
      <c r="AL122" s="440"/>
      <c r="AM122" s="337">
        <f t="shared" ca="1" si="0"/>
        <v>0</v>
      </c>
      <c r="AN122" s="471">
        <f t="shared" ca="1" si="33"/>
        <v>0</v>
      </c>
    </row>
    <row r="123" spans="1:40" ht="38.25" x14ac:dyDescent="0.2">
      <c r="A123" t="str">
        <f t="shared" si="18"/>
        <v>S</v>
      </c>
      <c r="B123">
        <f t="shared" ca="1" si="19"/>
        <v>2</v>
      </c>
      <c r="C123" t="str">
        <f t="shared" ca="1" si="20"/>
        <v>S</v>
      </c>
      <c r="D123">
        <f t="shared" ca="1" si="21"/>
        <v>0</v>
      </c>
      <c r="E123">
        <f ca="1">IF($C123=1,OFFSET(E123,-1,0)+MAX(1,COUNTIF(QCI!$A$13:$A$24,OFFSET(ORÇAMENTO!E123,-1,0))),OFFSET(E123,-1,0))</f>
        <v>1</v>
      </c>
      <c r="F123">
        <f t="shared" ca="1" si="22"/>
        <v>10</v>
      </c>
      <c r="G123">
        <f t="shared" ca="1" si="23"/>
        <v>0</v>
      </c>
      <c r="H123">
        <f t="shared" ca="1" si="24"/>
        <v>0</v>
      </c>
      <c r="I123">
        <f t="shared" ca="1" si="25"/>
        <v>0</v>
      </c>
      <c r="J123">
        <f t="shared" ca="1" si="26"/>
        <v>0</v>
      </c>
      <c r="K123">
        <f ca="1">IF(OR($C123="S",$C123=0),0,MATCH(OFFSET($D123,0,$C123)+IF($C123&lt;&gt;1,1,COUNTIF(QCI!$A$13:$A$24,ORÇAMENTO!E123)),OFFSET($D123,1,$C123,ROW($C$405)-ROW($C123)),0))</f>
        <v>0</v>
      </c>
      <c r="L123" s="115" t="str">
        <f t="shared" ca="1" si="27"/>
        <v/>
      </c>
      <c r="M123" s="116" t="s">
        <v>706</v>
      </c>
      <c r="N123" s="117" t="str">
        <f t="shared" ca="1" si="28"/>
        <v>Serviço</v>
      </c>
      <c r="O123" s="118" t="str">
        <f t="shared" ca="1" si="29"/>
        <v>-</v>
      </c>
      <c r="P123" s="119" t="s">
        <v>751</v>
      </c>
      <c r="Q123" s="120" t="s">
        <v>1039</v>
      </c>
      <c r="R123" s="121" t="s">
        <v>1415</v>
      </c>
      <c r="S123" s="122" t="s">
        <v>621</v>
      </c>
      <c r="T123" s="123">
        <f ca="1">OFFSET(CÁLCULO!H$15,ROW($T123)-ROW(T$15),0)</f>
        <v>250</v>
      </c>
      <c r="U123" s="124"/>
      <c r="V123" s="125" t="s">
        <v>663</v>
      </c>
      <c r="W123" s="123">
        <f ca="1">IF($C123="S",ROUND(IF(TIPOORCAMENTO="Proposto",ORÇAMENTO.CustoUnitario*(1+$AH123),ORÇAMENTO.PrecoUnitarioLicitado),15-13*$AF$10),0)</f>
        <v>0</v>
      </c>
      <c r="X123" s="126" cm="1">
        <f t="array" aca="1" ref="X123" ca="1">IF($C123="S",IF(OR(Import.TipoArredondamento&lt;&gt;"TransfereGOV",ACOMPANHAMENTO="BM"),VTOTAL1,SUM(OFFSET(CÁLCULO!$AA$15,ROW($X123)-ROW($X$15),1):OFFSET(CÁLCULO!$AL$15,ROW($X123)-ROW($X$15),-1))),IF($C123=0,0,ROUND(SomaAgrup,15-13*$AF$11)))</f>
        <v>0</v>
      </c>
      <c r="Y123" s="127" t="s">
        <v>752</v>
      </c>
      <c r="Z123" t="str">
        <f t="shared" ca="1" si="30"/>
        <v/>
      </c>
      <c r="AA123" s="128">
        <f ca="1">IF($C123="S",IF($Z123="CP",$X123,IF($Z123="RA",(($X123)*QCI!$AA$3),0)),SomaAgrup)</f>
        <v>0</v>
      </c>
      <c r="AB123" s="129">
        <f t="shared" ca="1" si="31"/>
        <v>0</v>
      </c>
      <c r="AC123" s="567" t="str">
        <f ca="1">IF($N123=""," ",
IF(AND($C123&lt;&gt;"S",OR($R123="",$R123="(digite a descrição aqui)")),"DESCRIÇÃO",
IF(AND($C123="S",OR($Q123&lt;&gt;0,$T123&gt;0,$U123&gt;0),$P123=0),"FONTE",
IF(AND($C123="S",$P123&lt;&gt;0,OR($T123&gt;0,$U123&gt;0),$Q123=0),"CÓDIGO",
IF(AND($C123="S",$P123&lt;&gt;0,$Q123&lt;&gt;0,$R123="(Código não identificado nas referências)"),"CÓDIGO N/ID",
IF(AND($C123="S",OR($R123="",$R123="(digite a descrição aqui)"),OR($Q123&lt;&gt;0,$T123&gt;0,$U123&gt;0)),"DESCRIÇÃO",
IF(AND($C123="S",$P123&lt;&gt;0,$Q123&lt;&gt;0,$S123=""),"UNIDADE",
IF(AND($C123="S",$P123&lt;&gt;0,$Q123&lt;&gt;0,$U123=0),"SEM CUSTO",
IF(AND(TIPOORCAMENTO="Licitado",$AL123=0,$AN123&gt;0),"SEM PREÇO",
IF(AND($C123="S",$P123&lt;&gt;0,$Q123&lt;&gt;0,$U123&gt;0,$V123=0),"BDI",
IF(OR(AND(TIPOORCAMENTO="Proposto",$AG123&lt;&gt;"",$AG123&gt;0,ORÇAMENTO.CustoUnitario&gt;$AG123),AND(TIPOORCAMENTO="LICITADO",ORÇAMENTO.PrecoUnitarioLicitado&gt;$AN123)),"ACIMA REF.",
IF(AND($C123="S",$P123&lt;&gt;0,$Q123&lt;&gt;0,$T123=0,$U123&gt;0),"QUANT.",
IF(AND(Import.TipoArredondamento="TransfereGOV",$L123="F",$C123="S",LEN($Q123)&gt;13),"Código &gt;13",
IF(AND(Import.TipoArredondamento="TransfereGOV",$L123="F",$C123&lt;&gt;"S",LEN($R123)&gt;100),"Descrição &gt;100",
IF(AND(Import.TipoArredondamento="TransfereGOV",$L123="F",$C123="S",LEN($R123)&gt;500),"Descrição &gt;500",
IF(AND(Import.TipoArredondamento="TransfereGOV",$L123="F",$C123="S",LEFT(TRIM(UPPER($P123)),6)&lt;&gt;"SINAPI",ISNA(VLOOKUP(TRIM(UPPER($S123)),ListaTgov.Unidades,1,FALSE))),"Unid. Não Disp",
" "))))))))))))))))</f>
        <v>SEM CUSTO</v>
      </c>
      <c r="AD123" t="str">
        <f ca="1">IF(C123&lt;=CRONO.NivelExibicao,MAX($AD$15:OFFSET(AD123,-1,0))+IF($C123&lt;&gt;1,1,MAX(1,COUNTIF(QCI!$A$13:$A$24,OFFSET($E123,-1,0)))),"")</f>
        <v/>
      </c>
      <c r="AE123" s="7" t="str">
        <f ca="1">IF(AND($C123="S",ORÇAMENTO.CodBarra&lt;&gt;""),IF(ORÇAMENTO.Fonte="",ORÇAMENTO.CodBarra,CONCATENATE(ORÇAMENTO.Fonte," ",ORÇAMENTO.CodBarra)))</f>
        <v>SINAPI 98288</v>
      </c>
      <c r="AF123" s="12" t="str">
        <f ca="1">IF(ISERROR(INDIRECT(ORÇAMENTO.BancoRef)),"(abra o arquivo 'Referência "&amp;Excel_BuiltIn_Database&amp;".xlsm)",IF(OR($C123&lt;&gt;"S",ORÇAMENTO.CodBarra=""),"(Sem Código)",IF(ISERROR(MATCH($AE123,INDIRECT(ORÇAMENTO.BancoRef),0)),"(Código não identificado nas referências)",MATCH($AE123,INDIRECT(ORÇAMENTO.BancoRef),0))))</f>
        <v>(abra o arquivo 'Referência 12-2024.xlsm)</v>
      </c>
      <c r="AG123" s="429">
        <f ca="1">ROUND(IF(DESONERACAO="sim",REFERENCIA.Desonerado,REFERENCIA.NaoDesonerado),2)</f>
        <v>0</v>
      </c>
      <c r="AH123" s="430">
        <f t="shared" ca="1" si="32"/>
        <v>0.31190000000000001</v>
      </c>
      <c r="AJ123" s="432">
        <v>250</v>
      </c>
      <c r="AL123" s="440"/>
      <c r="AM123" s="337">
        <f t="shared" ca="1" si="0"/>
        <v>0</v>
      </c>
      <c r="AN123" s="471">
        <f t="shared" ca="1" si="33"/>
        <v>0</v>
      </c>
    </row>
    <row r="124" spans="1:40" ht="25.5" x14ac:dyDescent="0.2">
      <c r="A124" t="str">
        <f t="shared" si="18"/>
        <v>S</v>
      </c>
      <c r="B124">
        <f t="shared" ca="1" si="19"/>
        <v>2</v>
      </c>
      <c r="C124" t="str">
        <f t="shared" ca="1" si="20"/>
        <v>S</v>
      </c>
      <c r="D124">
        <f t="shared" ca="1" si="21"/>
        <v>0</v>
      </c>
      <c r="E124">
        <f ca="1">IF($C124=1,OFFSET(E124,-1,0)+MAX(1,COUNTIF(QCI!$A$13:$A$24,OFFSET(ORÇAMENTO!E124,-1,0))),OFFSET(E124,-1,0))</f>
        <v>1</v>
      </c>
      <c r="F124">
        <f t="shared" ca="1" si="22"/>
        <v>10</v>
      </c>
      <c r="G124">
        <f t="shared" ca="1" si="23"/>
        <v>0</v>
      </c>
      <c r="H124">
        <f t="shared" ca="1" si="24"/>
        <v>0</v>
      </c>
      <c r="I124">
        <f t="shared" ca="1" si="25"/>
        <v>0</v>
      </c>
      <c r="J124">
        <f t="shared" ca="1" si="26"/>
        <v>0</v>
      </c>
      <c r="K124">
        <f ca="1">IF(OR($C124="S",$C124=0),0,MATCH(OFFSET($D124,0,$C124)+IF($C124&lt;&gt;1,1,COUNTIF(QCI!$A$13:$A$24,ORÇAMENTO!E124)),OFFSET($D124,1,$C124,ROW($C$405)-ROW($C124)),0))</f>
        <v>0</v>
      </c>
      <c r="L124" s="115" t="str">
        <f t="shared" ca="1" si="27"/>
        <v/>
      </c>
      <c r="M124" s="116" t="s">
        <v>706</v>
      </c>
      <c r="N124" s="117" t="str">
        <f t="shared" ca="1" si="28"/>
        <v>Serviço</v>
      </c>
      <c r="O124" s="118" t="str">
        <f t="shared" ca="1" si="29"/>
        <v>-</v>
      </c>
      <c r="P124" s="119" t="s">
        <v>751</v>
      </c>
      <c r="Q124" s="120" t="s">
        <v>1040</v>
      </c>
      <c r="R124" s="121" t="s">
        <v>1416</v>
      </c>
      <c r="S124" s="122" t="s">
        <v>639</v>
      </c>
      <c r="T124" s="123">
        <f ca="1">OFFSET(CÁLCULO!H$15,ROW($T124)-ROW(T$15),0)</f>
        <v>8</v>
      </c>
      <c r="U124" s="124"/>
      <c r="V124" s="125" t="s">
        <v>663</v>
      </c>
      <c r="W124" s="123">
        <f ca="1">IF($C124="S",ROUND(IF(TIPOORCAMENTO="Proposto",ORÇAMENTO.CustoUnitario*(1+$AH124),ORÇAMENTO.PrecoUnitarioLicitado),15-13*$AF$10),0)</f>
        <v>0</v>
      </c>
      <c r="X124" s="126" cm="1">
        <f t="array" aca="1" ref="X124" ca="1">IF($C124="S",IF(OR(Import.TipoArredondamento&lt;&gt;"TransfereGOV",ACOMPANHAMENTO="BM"),VTOTAL1,SUM(OFFSET(CÁLCULO!$AA$15,ROW($X124)-ROW($X$15),1):OFFSET(CÁLCULO!$AL$15,ROW($X124)-ROW($X$15),-1))),IF($C124=0,0,ROUND(SomaAgrup,15-13*$AF$11)))</f>
        <v>0</v>
      </c>
      <c r="Y124" s="127" t="s">
        <v>752</v>
      </c>
      <c r="Z124" t="str">
        <f t="shared" ca="1" si="30"/>
        <v/>
      </c>
      <c r="AA124" s="128">
        <f ca="1">IF($C124="S",IF($Z124="CP",$X124,IF($Z124="RA",(($X124)*QCI!$AA$3),0)),SomaAgrup)</f>
        <v>0</v>
      </c>
      <c r="AB124" s="129">
        <f t="shared" ca="1" si="31"/>
        <v>0</v>
      </c>
      <c r="AC124" s="567" t="str">
        <f ca="1">IF($N124=""," ",
IF(AND($C124&lt;&gt;"S",OR($R124="",$R124="(digite a descrição aqui)")),"DESCRIÇÃO",
IF(AND($C124="S",OR($Q124&lt;&gt;0,$T124&gt;0,$U124&gt;0),$P124=0),"FONTE",
IF(AND($C124="S",$P124&lt;&gt;0,OR($T124&gt;0,$U124&gt;0),$Q124=0),"CÓDIGO",
IF(AND($C124="S",$P124&lt;&gt;0,$Q124&lt;&gt;0,$R124="(Código não identificado nas referências)"),"CÓDIGO N/ID",
IF(AND($C124="S",OR($R124="",$R124="(digite a descrição aqui)"),OR($Q124&lt;&gt;0,$T124&gt;0,$U124&gt;0)),"DESCRIÇÃO",
IF(AND($C124="S",$P124&lt;&gt;0,$Q124&lt;&gt;0,$S124=""),"UNIDADE",
IF(AND($C124="S",$P124&lt;&gt;0,$Q124&lt;&gt;0,$U124=0),"SEM CUSTO",
IF(AND(TIPOORCAMENTO="Licitado",$AL124=0,$AN124&gt;0),"SEM PREÇO",
IF(AND($C124="S",$P124&lt;&gt;0,$Q124&lt;&gt;0,$U124&gt;0,$V124=0),"BDI",
IF(OR(AND(TIPOORCAMENTO="Proposto",$AG124&lt;&gt;"",$AG124&gt;0,ORÇAMENTO.CustoUnitario&gt;$AG124),AND(TIPOORCAMENTO="LICITADO",ORÇAMENTO.PrecoUnitarioLicitado&gt;$AN124)),"ACIMA REF.",
IF(AND($C124="S",$P124&lt;&gt;0,$Q124&lt;&gt;0,$T124=0,$U124&gt;0),"QUANT.",
IF(AND(Import.TipoArredondamento="TransfereGOV",$L124="F",$C124="S",LEN($Q124)&gt;13),"Código &gt;13",
IF(AND(Import.TipoArredondamento="TransfereGOV",$L124="F",$C124&lt;&gt;"S",LEN($R124)&gt;100),"Descrição &gt;100",
IF(AND(Import.TipoArredondamento="TransfereGOV",$L124="F",$C124="S",LEN($R124)&gt;500),"Descrição &gt;500",
IF(AND(Import.TipoArredondamento="TransfereGOV",$L124="F",$C124="S",LEFT(TRIM(UPPER($P124)),6)&lt;&gt;"SINAPI",ISNA(VLOOKUP(TRIM(UPPER($S124)),ListaTgov.Unidades,1,FALSE))),"Unid. Não Disp",
" "))))))))))))))))</f>
        <v>SEM CUSTO</v>
      </c>
      <c r="AD124" t="str">
        <f ca="1">IF(C124&lt;=CRONO.NivelExibicao,MAX($AD$15:OFFSET(AD124,-1,0))+IF($C124&lt;&gt;1,1,MAX(1,COUNTIF(QCI!$A$13:$A$24,OFFSET($E124,-1,0)))),"")</f>
        <v/>
      </c>
      <c r="AE124" s="7" t="str">
        <f ca="1">IF(AND($C124="S",ORÇAMENTO.CodBarra&lt;&gt;""),IF(ORÇAMENTO.Fonte="",ORÇAMENTO.CodBarra,CONCATENATE(ORÇAMENTO.Fonte," ",ORÇAMENTO.CodBarra)))</f>
        <v>SINAPI 98308</v>
      </c>
      <c r="AF124" s="12" t="str">
        <f ca="1">IF(ISERROR(INDIRECT(ORÇAMENTO.BancoRef)),"(abra o arquivo 'Referência "&amp;Excel_BuiltIn_Database&amp;".xlsm)",IF(OR($C124&lt;&gt;"S",ORÇAMENTO.CodBarra=""),"(Sem Código)",IF(ISERROR(MATCH($AE124,INDIRECT(ORÇAMENTO.BancoRef),0)),"(Código não identificado nas referências)",MATCH($AE124,INDIRECT(ORÇAMENTO.BancoRef),0))))</f>
        <v>(abra o arquivo 'Referência 12-2024.xlsm)</v>
      </c>
      <c r="AG124" s="429">
        <f ca="1">ROUND(IF(DESONERACAO="sim",REFERENCIA.Desonerado,REFERENCIA.NaoDesonerado),2)</f>
        <v>0</v>
      </c>
      <c r="AH124" s="430">
        <f t="shared" ca="1" si="32"/>
        <v>0.31190000000000001</v>
      </c>
      <c r="AJ124" s="432">
        <v>8</v>
      </c>
      <c r="AL124" s="440"/>
      <c r="AM124" s="337">
        <f t="shared" ca="1" si="0"/>
        <v>0</v>
      </c>
      <c r="AN124" s="471">
        <f t="shared" ca="1" si="33"/>
        <v>0</v>
      </c>
    </row>
    <row r="125" spans="1:40" ht="38.25" x14ac:dyDescent="0.2">
      <c r="A125" t="str">
        <f t="shared" si="18"/>
        <v>S</v>
      </c>
      <c r="B125">
        <f t="shared" ca="1" si="19"/>
        <v>2</v>
      </c>
      <c r="C125" t="str">
        <f t="shared" ca="1" si="20"/>
        <v>S</v>
      </c>
      <c r="D125">
        <f t="shared" ca="1" si="21"/>
        <v>0</v>
      </c>
      <c r="E125">
        <f ca="1">IF($C125=1,OFFSET(E125,-1,0)+MAX(1,COUNTIF(QCI!$A$13:$A$24,OFFSET(ORÇAMENTO!E125,-1,0))),OFFSET(E125,-1,0))</f>
        <v>1</v>
      </c>
      <c r="F125">
        <f t="shared" ca="1" si="22"/>
        <v>10</v>
      </c>
      <c r="G125">
        <f t="shared" ca="1" si="23"/>
        <v>0</v>
      </c>
      <c r="H125">
        <f t="shared" ca="1" si="24"/>
        <v>0</v>
      </c>
      <c r="I125">
        <f t="shared" ca="1" si="25"/>
        <v>0</v>
      </c>
      <c r="J125">
        <f t="shared" ca="1" si="26"/>
        <v>0</v>
      </c>
      <c r="K125">
        <f ca="1">IF(OR($C125="S",$C125=0),0,MATCH(OFFSET($D125,0,$C125)+IF($C125&lt;&gt;1,1,COUNTIF(QCI!$A$13:$A$24,ORÇAMENTO!E125)),OFFSET($D125,1,$C125,ROW($C$405)-ROW($C125)),0))</f>
        <v>0</v>
      </c>
      <c r="L125" s="115" t="str">
        <f t="shared" ca="1" si="27"/>
        <v/>
      </c>
      <c r="M125" s="116" t="s">
        <v>706</v>
      </c>
      <c r="N125" s="117" t="str">
        <f t="shared" ca="1" si="28"/>
        <v>Serviço</v>
      </c>
      <c r="O125" s="118" t="str">
        <f t="shared" ca="1" si="29"/>
        <v>-</v>
      </c>
      <c r="P125" s="119" t="s">
        <v>751</v>
      </c>
      <c r="Q125" s="120" t="s">
        <v>1002</v>
      </c>
      <c r="R125" s="121" t="s">
        <v>1378</v>
      </c>
      <c r="S125" s="122" t="s">
        <v>621</v>
      </c>
      <c r="T125" s="123">
        <f ca="1">OFFSET(CÁLCULO!H$15,ROW($T125)-ROW(T$15),0)</f>
        <v>128</v>
      </c>
      <c r="U125" s="124"/>
      <c r="V125" s="125" t="s">
        <v>663</v>
      </c>
      <c r="W125" s="123">
        <f ca="1">IF($C125="S",ROUND(IF(TIPOORCAMENTO="Proposto",ORÇAMENTO.CustoUnitario*(1+$AH125),ORÇAMENTO.PrecoUnitarioLicitado),15-13*$AF$10),0)</f>
        <v>0</v>
      </c>
      <c r="X125" s="126" cm="1">
        <f t="array" aca="1" ref="X125" ca="1">IF($C125="S",IF(OR(Import.TipoArredondamento&lt;&gt;"TransfereGOV",ACOMPANHAMENTO="BM"),VTOTAL1,SUM(OFFSET(CÁLCULO!$AA$15,ROW($X125)-ROW($X$15),1):OFFSET(CÁLCULO!$AL$15,ROW($X125)-ROW($X$15),-1))),IF($C125=0,0,ROUND(SomaAgrup,15-13*$AF$11)))</f>
        <v>0</v>
      </c>
      <c r="Y125" s="127" t="s">
        <v>752</v>
      </c>
      <c r="Z125" t="str">
        <f t="shared" ca="1" si="30"/>
        <v/>
      </c>
      <c r="AA125" s="128">
        <f ca="1">IF($C125="S",IF($Z125="CP",$X125,IF($Z125="RA",(($X125)*QCI!$AA$3),0)),SomaAgrup)</f>
        <v>0</v>
      </c>
      <c r="AB125" s="129">
        <f t="shared" ca="1" si="31"/>
        <v>0</v>
      </c>
      <c r="AC125" s="567" t="str">
        <f ca="1">IF($N125=""," ",
IF(AND($C125&lt;&gt;"S",OR($R125="",$R125="(digite a descrição aqui)")),"DESCRIÇÃO",
IF(AND($C125="S",OR($Q125&lt;&gt;0,$T125&gt;0,$U125&gt;0),$P125=0),"FONTE",
IF(AND($C125="S",$P125&lt;&gt;0,OR($T125&gt;0,$U125&gt;0),$Q125=0),"CÓDIGO",
IF(AND($C125="S",$P125&lt;&gt;0,$Q125&lt;&gt;0,$R125="(Código não identificado nas referências)"),"CÓDIGO N/ID",
IF(AND($C125="S",OR($R125="",$R125="(digite a descrição aqui)"),OR($Q125&lt;&gt;0,$T125&gt;0,$U125&gt;0)),"DESCRIÇÃO",
IF(AND($C125="S",$P125&lt;&gt;0,$Q125&lt;&gt;0,$S125=""),"UNIDADE",
IF(AND($C125="S",$P125&lt;&gt;0,$Q125&lt;&gt;0,$U125=0),"SEM CUSTO",
IF(AND(TIPOORCAMENTO="Licitado",$AL125=0,$AN125&gt;0),"SEM PREÇO",
IF(AND($C125="S",$P125&lt;&gt;0,$Q125&lt;&gt;0,$U125&gt;0,$V125=0),"BDI",
IF(OR(AND(TIPOORCAMENTO="Proposto",$AG125&lt;&gt;"",$AG125&gt;0,ORÇAMENTO.CustoUnitario&gt;$AG125),AND(TIPOORCAMENTO="LICITADO",ORÇAMENTO.PrecoUnitarioLicitado&gt;$AN125)),"ACIMA REF.",
IF(AND($C125="S",$P125&lt;&gt;0,$Q125&lt;&gt;0,$T125=0,$U125&gt;0),"QUANT.",
IF(AND(Import.TipoArredondamento="TransfereGOV",$L125="F",$C125="S",LEN($Q125)&gt;13),"Código &gt;13",
IF(AND(Import.TipoArredondamento="TransfereGOV",$L125="F",$C125&lt;&gt;"S",LEN($R125)&gt;100),"Descrição &gt;100",
IF(AND(Import.TipoArredondamento="TransfereGOV",$L125="F",$C125="S",LEN($R125)&gt;500),"Descrição &gt;500",
IF(AND(Import.TipoArredondamento="TransfereGOV",$L125="F",$C125="S",LEFT(TRIM(UPPER($P125)),6)&lt;&gt;"SINAPI",ISNA(VLOOKUP(TRIM(UPPER($S125)),ListaTgov.Unidades,1,FALSE))),"Unid. Não Disp",
" "))))))))))))))))</f>
        <v>SEM CUSTO</v>
      </c>
      <c r="AD125" t="str">
        <f ca="1">IF(C125&lt;=CRONO.NivelExibicao,MAX($AD$15:OFFSET(AD125,-1,0))+IF($C125&lt;&gt;1,1,MAX(1,COUNTIF(QCI!$A$13:$A$24,OFFSET($E125,-1,0)))),"")</f>
        <v/>
      </c>
      <c r="AE125" s="7" t="str">
        <f ca="1">IF(AND($C125="S",ORÇAMENTO.CodBarra&lt;&gt;""),IF(ORÇAMENTO.Fonte="",ORÇAMENTO.CodBarra,CONCATENATE(ORÇAMENTO.Fonte," ",ORÇAMENTO.CodBarra)))</f>
        <v>SINAPI 91834</v>
      </c>
      <c r="AF125" s="12" t="str">
        <f ca="1">IF(ISERROR(INDIRECT(ORÇAMENTO.BancoRef)),"(abra o arquivo 'Referência "&amp;Excel_BuiltIn_Database&amp;".xlsm)",IF(OR($C125&lt;&gt;"S",ORÇAMENTO.CodBarra=""),"(Sem Código)",IF(ISERROR(MATCH($AE125,INDIRECT(ORÇAMENTO.BancoRef),0)),"(Código não identificado nas referências)",MATCH($AE125,INDIRECT(ORÇAMENTO.BancoRef),0))))</f>
        <v>(abra o arquivo 'Referência 12-2024.xlsm)</v>
      </c>
      <c r="AG125" s="429">
        <f ca="1">ROUND(IF(DESONERACAO="sim",REFERENCIA.Desonerado,REFERENCIA.NaoDesonerado),2)</f>
        <v>0</v>
      </c>
      <c r="AH125" s="430">
        <f t="shared" ca="1" si="32"/>
        <v>0.31190000000000001</v>
      </c>
      <c r="AJ125" s="432">
        <v>128</v>
      </c>
      <c r="AL125" s="440"/>
      <c r="AM125" s="337">
        <f t="shared" ca="1" si="0"/>
        <v>0</v>
      </c>
      <c r="AN125" s="471">
        <f t="shared" ca="1" si="33"/>
        <v>0</v>
      </c>
    </row>
    <row r="126" spans="1:40" ht="38.25" x14ac:dyDescent="0.2">
      <c r="A126" t="str">
        <f t="shared" si="18"/>
        <v>S</v>
      </c>
      <c r="B126">
        <f t="shared" ca="1" si="19"/>
        <v>2</v>
      </c>
      <c r="C126" t="str">
        <f t="shared" ca="1" si="20"/>
        <v>S</v>
      </c>
      <c r="D126">
        <f t="shared" ca="1" si="21"/>
        <v>0</v>
      </c>
      <c r="E126">
        <f ca="1">IF($C126=1,OFFSET(E126,-1,0)+MAX(1,COUNTIF(QCI!$A$13:$A$24,OFFSET(ORÇAMENTO!E126,-1,0))),OFFSET(E126,-1,0))</f>
        <v>1</v>
      </c>
      <c r="F126">
        <f t="shared" ca="1" si="22"/>
        <v>10</v>
      </c>
      <c r="G126">
        <f t="shared" ca="1" si="23"/>
        <v>0</v>
      </c>
      <c r="H126">
        <f t="shared" ca="1" si="24"/>
        <v>0</v>
      </c>
      <c r="I126">
        <f t="shared" ca="1" si="25"/>
        <v>0</v>
      </c>
      <c r="J126">
        <f t="shared" ca="1" si="26"/>
        <v>0</v>
      </c>
      <c r="K126">
        <f ca="1">IF(OR($C126="S",$C126=0),0,MATCH(OFFSET($D126,0,$C126)+IF($C126&lt;&gt;1,1,COUNTIF(QCI!$A$13:$A$24,ORÇAMENTO!E126)),OFFSET($D126,1,$C126,ROW($C$405)-ROW($C126)),0))</f>
        <v>0</v>
      </c>
      <c r="L126" s="115" t="str">
        <f t="shared" ca="1" si="27"/>
        <v/>
      </c>
      <c r="M126" s="116" t="s">
        <v>706</v>
      </c>
      <c r="N126" s="117" t="str">
        <f t="shared" ca="1" si="28"/>
        <v>Serviço</v>
      </c>
      <c r="O126" s="118" t="str">
        <f t="shared" ca="1" si="29"/>
        <v>-</v>
      </c>
      <c r="P126" s="119" t="s">
        <v>751</v>
      </c>
      <c r="Q126" s="120" t="s">
        <v>1041</v>
      </c>
      <c r="R126" s="121" t="s">
        <v>1417</v>
      </c>
      <c r="S126" s="122" t="s">
        <v>621</v>
      </c>
      <c r="T126" s="123">
        <f ca="1">OFFSET(CÁLCULO!H$15,ROW($T126)-ROW(T$15),0)</f>
        <v>45</v>
      </c>
      <c r="U126" s="124"/>
      <c r="V126" s="125" t="s">
        <v>663</v>
      </c>
      <c r="W126" s="123">
        <f ca="1">IF($C126="S",ROUND(IF(TIPOORCAMENTO="Proposto",ORÇAMENTO.CustoUnitario*(1+$AH126),ORÇAMENTO.PrecoUnitarioLicitado),15-13*$AF$10),0)</f>
        <v>0</v>
      </c>
      <c r="X126" s="126" cm="1">
        <f t="array" aca="1" ref="X126" ca="1">IF($C126="S",IF(OR(Import.TipoArredondamento&lt;&gt;"TransfereGOV",ACOMPANHAMENTO="BM"),VTOTAL1,SUM(OFFSET(CÁLCULO!$AA$15,ROW($X126)-ROW($X$15),1):OFFSET(CÁLCULO!$AL$15,ROW($X126)-ROW($X$15),-1))),IF($C126=0,0,ROUND(SomaAgrup,15-13*$AF$11)))</f>
        <v>0</v>
      </c>
      <c r="Y126" s="127" t="s">
        <v>752</v>
      </c>
      <c r="Z126" t="str">
        <f t="shared" ca="1" si="30"/>
        <v/>
      </c>
      <c r="AA126" s="128">
        <f ca="1">IF($C126="S",IF($Z126="CP",$X126,IF($Z126="RA",(($X126)*QCI!$AA$3),0)),SomaAgrup)</f>
        <v>0</v>
      </c>
      <c r="AB126" s="129">
        <f t="shared" ca="1" si="31"/>
        <v>0</v>
      </c>
      <c r="AC126" s="567" t="str">
        <f ca="1">IF($N126=""," ",
IF(AND($C126&lt;&gt;"S",OR($R126="",$R126="(digite a descrição aqui)")),"DESCRIÇÃO",
IF(AND($C126="S",OR($Q126&lt;&gt;0,$T126&gt;0,$U126&gt;0),$P126=0),"FONTE",
IF(AND($C126="S",$P126&lt;&gt;0,OR($T126&gt;0,$U126&gt;0),$Q126=0),"CÓDIGO",
IF(AND($C126="S",$P126&lt;&gt;0,$Q126&lt;&gt;0,$R126="(Código não identificado nas referências)"),"CÓDIGO N/ID",
IF(AND($C126="S",OR($R126="",$R126="(digite a descrição aqui)"),OR($Q126&lt;&gt;0,$T126&gt;0,$U126&gt;0)),"DESCRIÇÃO",
IF(AND($C126="S",$P126&lt;&gt;0,$Q126&lt;&gt;0,$S126=""),"UNIDADE",
IF(AND($C126="S",$P126&lt;&gt;0,$Q126&lt;&gt;0,$U126=0),"SEM CUSTO",
IF(AND(TIPOORCAMENTO="Licitado",$AL126=0,$AN126&gt;0),"SEM PREÇO",
IF(AND($C126="S",$P126&lt;&gt;0,$Q126&lt;&gt;0,$U126&gt;0,$V126=0),"BDI",
IF(OR(AND(TIPOORCAMENTO="Proposto",$AG126&lt;&gt;"",$AG126&gt;0,ORÇAMENTO.CustoUnitario&gt;$AG126),AND(TIPOORCAMENTO="LICITADO",ORÇAMENTO.PrecoUnitarioLicitado&gt;$AN126)),"ACIMA REF.",
IF(AND($C126="S",$P126&lt;&gt;0,$Q126&lt;&gt;0,$T126=0,$U126&gt;0),"QUANT.",
IF(AND(Import.TipoArredondamento="TransfereGOV",$L126="F",$C126="S",LEN($Q126)&gt;13),"Código &gt;13",
IF(AND(Import.TipoArredondamento="TransfereGOV",$L126="F",$C126&lt;&gt;"S",LEN($R126)&gt;100),"Descrição &gt;100",
IF(AND(Import.TipoArredondamento="TransfereGOV",$L126="F",$C126="S",LEN($R126)&gt;500),"Descrição &gt;500",
IF(AND(Import.TipoArredondamento="TransfereGOV",$L126="F",$C126="S",LEFT(TRIM(UPPER($P126)),6)&lt;&gt;"SINAPI",ISNA(VLOOKUP(TRIM(UPPER($S126)),ListaTgov.Unidades,1,FALSE))),"Unid. Não Disp",
" "))))))))))))))))</f>
        <v>SEM CUSTO</v>
      </c>
      <c r="AD126" t="str">
        <f ca="1">IF(C126&lt;=CRONO.NivelExibicao,MAX($AD$15:OFFSET(AD126,-1,0))+IF($C126&lt;&gt;1,1,MAX(1,COUNTIF(QCI!$A$13:$A$24,OFFSET($E126,-1,0)))),"")</f>
        <v/>
      </c>
      <c r="AE126" s="7" t="str">
        <f ca="1">IF(AND($C126="S",ORÇAMENTO.CodBarra&lt;&gt;""),IF(ORÇAMENTO.Fonte="",ORÇAMENTO.CodBarra,CONCATENATE(ORÇAMENTO.Fonte," ",ORÇAMENTO.CodBarra)))</f>
        <v>SINAPI 91833</v>
      </c>
      <c r="AF126" s="12" t="str">
        <f ca="1">IF(ISERROR(INDIRECT(ORÇAMENTO.BancoRef)),"(abra o arquivo 'Referência "&amp;Excel_BuiltIn_Database&amp;".xlsm)",IF(OR($C126&lt;&gt;"S",ORÇAMENTO.CodBarra=""),"(Sem Código)",IF(ISERROR(MATCH($AE126,INDIRECT(ORÇAMENTO.BancoRef),0)),"(Código não identificado nas referências)",MATCH($AE126,INDIRECT(ORÇAMENTO.BancoRef),0))))</f>
        <v>(abra o arquivo 'Referência 12-2024.xlsm)</v>
      </c>
      <c r="AG126" s="429">
        <f ca="1">ROUND(IF(DESONERACAO="sim",REFERENCIA.Desonerado,REFERENCIA.NaoDesonerado),2)</f>
        <v>0</v>
      </c>
      <c r="AH126" s="430">
        <f t="shared" ca="1" si="32"/>
        <v>0.31190000000000001</v>
      </c>
      <c r="AJ126" s="432">
        <v>45</v>
      </c>
      <c r="AL126" s="440"/>
      <c r="AM126" s="337">
        <f t="shared" ca="1" si="0"/>
        <v>0</v>
      </c>
      <c r="AN126" s="471">
        <f t="shared" ca="1" si="33"/>
        <v>0</v>
      </c>
    </row>
    <row r="127" spans="1:40" ht="38.25" x14ac:dyDescent="0.2">
      <c r="A127" t="str">
        <f t="shared" si="18"/>
        <v>S</v>
      </c>
      <c r="B127">
        <f t="shared" ca="1" si="19"/>
        <v>2</v>
      </c>
      <c r="C127" t="str">
        <f t="shared" ca="1" si="20"/>
        <v>S</v>
      </c>
      <c r="D127">
        <f t="shared" ca="1" si="21"/>
        <v>0</v>
      </c>
      <c r="E127">
        <f ca="1">IF($C127=1,OFFSET(E127,-1,0)+MAX(1,COUNTIF(QCI!$A$13:$A$24,OFFSET(ORÇAMENTO!E127,-1,0))),OFFSET(E127,-1,0))</f>
        <v>1</v>
      </c>
      <c r="F127">
        <f t="shared" ca="1" si="22"/>
        <v>10</v>
      </c>
      <c r="G127">
        <f t="shared" ca="1" si="23"/>
        <v>0</v>
      </c>
      <c r="H127">
        <f t="shared" ca="1" si="24"/>
        <v>0</v>
      </c>
      <c r="I127">
        <f t="shared" ca="1" si="25"/>
        <v>0</v>
      </c>
      <c r="J127">
        <f t="shared" ca="1" si="26"/>
        <v>0</v>
      </c>
      <c r="K127">
        <f ca="1">IF(OR($C127="S",$C127=0),0,MATCH(OFFSET($D127,0,$C127)+IF($C127&lt;&gt;1,1,COUNTIF(QCI!$A$13:$A$24,ORÇAMENTO!E127)),OFFSET($D127,1,$C127,ROW($C$405)-ROW($C127)),0))</f>
        <v>0</v>
      </c>
      <c r="L127" s="115" t="str">
        <f t="shared" ca="1" si="27"/>
        <v/>
      </c>
      <c r="M127" s="116" t="s">
        <v>706</v>
      </c>
      <c r="N127" s="117" t="str">
        <f t="shared" ca="1" si="28"/>
        <v>Serviço</v>
      </c>
      <c r="O127" s="118" t="str">
        <f t="shared" ca="1" si="29"/>
        <v>-</v>
      </c>
      <c r="P127" s="119" t="s">
        <v>751</v>
      </c>
      <c r="Q127" s="120" t="s">
        <v>1042</v>
      </c>
      <c r="R127" s="121" t="s">
        <v>1418</v>
      </c>
      <c r="S127" s="122" t="s">
        <v>621</v>
      </c>
      <c r="T127" s="123">
        <f ca="1">OFFSET(CÁLCULO!H$15,ROW($T127)-ROW(T$15),0)</f>
        <v>80</v>
      </c>
      <c r="U127" s="124"/>
      <c r="V127" s="125" t="s">
        <v>663</v>
      </c>
      <c r="W127" s="123">
        <f ca="1">IF($C127="S",ROUND(IF(TIPOORCAMENTO="Proposto",ORÇAMENTO.CustoUnitario*(1+$AH127),ORÇAMENTO.PrecoUnitarioLicitado),15-13*$AF$10),0)</f>
        <v>0</v>
      </c>
      <c r="X127" s="126" cm="1">
        <f t="array" aca="1" ref="X127" ca="1">IF($C127="S",IF(OR(Import.TipoArredondamento&lt;&gt;"TransfereGOV",ACOMPANHAMENTO="BM"),VTOTAL1,SUM(OFFSET(CÁLCULO!$AA$15,ROW($X127)-ROW($X$15),1):OFFSET(CÁLCULO!$AL$15,ROW($X127)-ROW($X$15),-1))),IF($C127=0,0,ROUND(SomaAgrup,15-13*$AF$11)))</f>
        <v>0</v>
      </c>
      <c r="Y127" s="127" t="s">
        <v>752</v>
      </c>
      <c r="Z127" t="str">
        <f t="shared" ca="1" si="30"/>
        <v/>
      </c>
      <c r="AA127" s="128">
        <f ca="1">IF($C127="S",IF($Z127="CP",$X127,IF($Z127="RA",(($X127)*QCI!$AA$3),0)),SomaAgrup)</f>
        <v>0</v>
      </c>
      <c r="AB127" s="129">
        <f t="shared" ca="1" si="31"/>
        <v>0</v>
      </c>
      <c r="AC127" s="567" t="str">
        <f ca="1">IF($N127=""," ",
IF(AND($C127&lt;&gt;"S",OR($R127="",$R127="(digite a descrição aqui)")),"DESCRIÇÃO",
IF(AND($C127="S",OR($Q127&lt;&gt;0,$T127&gt;0,$U127&gt;0),$P127=0),"FONTE",
IF(AND($C127="S",$P127&lt;&gt;0,OR($T127&gt;0,$U127&gt;0),$Q127=0),"CÓDIGO",
IF(AND($C127="S",$P127&lt;&gt;0,$Q127&lt;&gt;0,$R127="(Código não identificado nas referências)"),"CÓDIGO N/ID",
IF(AND($C127="S",OR($R127="",$R127="(digite a descrição aqui)"),OR($Q127&lt;&gt;0,$T127&gt;0,$U127&gt;0)),"DESCRIÇÃO",
IF(AND($C127="S",$P127&lt;&gt;0,$Q127&lt;&gt;0,$S127=""),"UNIDADE",
IF(AND($C127="S",$P127&lt;&gt;0,$Q127&lt;&gt;0,$U127=0),"SEM CUSTO",
IF(AND(TIPOORCAMENTO="Licitado",$AL127=0,$AN127&gt;0),"SEM PREÇO",
IF(AND($C127="S",$P127&lt;&gt;0,$Q127&lt;&gt;0,$U127&gt;0,$V127=0),"BDI",
IF(OR(AND(TIPOORCAMENTO="Proposto",$AG127&lt;&gt;"",$AG127&gt;0,ORÇAMENTO.CustoUnitario&gt;$AG127),AND(TIPOORCAMENTO="LICITADO",ORÇAMENTO.PrecoUnitarioLicitado&gt;$AN127)),"ACIMA REF.",
IF(AND($C127="S",$P127&lt;&gt;0,$Q127&lt;&gt;0,$T127=0,$U127&gt;0),"QUANT.",
IF(AND(Import.TipoArredondamento="TransfereGOV",$L127="F",$C127="S",LEN($Q127)&gt;13),"Código &gt;13",
IF(AND(Import.TipoArredondamento="TransfereGOV",$L127="F",$C127&lt;&gt;"S",LEN($R127)&gt;100),"Descrição &gt;100",
IF(AND(Import.TipoArredondamento="TransfereGOV",$L127="F",$C127="S",LEN($R127)&gt;500),"Descrição &gt;500",
IF(AND(Import.TipoArredondamento="TransfereGOV",$L127="F",$C127="S",LEFT(TRIM(UPPER($P127)),6)&lt;&gt;"SINAPI",ISNA(VLOOKUP(TRIM(UPPER($S127)),ListaTgov.Unidades,1,FALSE))),"Unid. Não Disp",
" "))))))))))))))))</f>
        <v>SEM CUSTO</v>
      </c>
      <c r="AD127" t="str">
        <f ca="1">IF(C127&lt;=CRONO.NivelExibicao,MAX($AD$15:OFFSET(AD127,-1,0))+IF($C127&lt;&gt;1,1,MAX(1,COUNTIF(QCI!$A$13:$A$24,OFFSET($E127,-1,0)))),"")</f>
        <v/>
      </c>
      <c r="AE127" s="7" t="str">
        <f ca="1">IF(AND($C127="S",ORÇAMENTO.CodBarra&lt;&gt;""),IF(ORÇAMENTO.Fonte="",ORÇAMENTO.CodBarra,CONCATENATE(ORÇAMENTO.Fonte," ",ORÇAMENTO.CodBarra)))</f>
        <v>SINAPI 91837</v>
      </c>
      <c r="AF127" s="12" t="str">
        <f ca="1">IF(ISERROR(INDIRECT(ORÇAMENTO.BancoRef)),"(abra o arquivo 'Referência "&amp;Excel_BuiltIn_Database&amp;".xlsm)",IF(OR($C127&lt;&gt;"S",ORÇAMENTO.CodBarra=""),"(Sem Código)",IF(ISERROR(MATCH($AE127,INDIRECT(ORÇAMENTO.BancoRef),0)),"(Código não identificado nas referências)",MATCH($AE127,INDIRECT(ORÇAMENTO.BancoRef),0))))</f>
        <v>(abra o arquivo 'Referência 12-2024.xlsm)</v>
      </c>
      <c r="AG127" s="429">
        <f ca="1">ROUND(IF(DESONERACAO="sim",REFERENCIA.Desonerado,REFERENCIA.NaoDesonerado),2)</f>
        <v>0</v>
      </c>
      <c r="AH127" s="430">
        <f t="shared" ca="1" si="32"/>
        <v>0.31190000000000001</v>
      </c>
      <c r="AJ127" s="432">
        <v>80</v>
      </c>
      <c r="AL127" s="440"/>
      <c r="AM127" s="337">
        <f t="shared" ca="1" si="0"/>
        <v>0</v>
      </c>
      <c r="AN127" s="471">
        <f t="shared" ca="1" si="33"/>
        <v>0</v>
      </c>
    </row>
    <row r="128" spans="1:40" x14ac:dyDescent="0.2">
      <c r="A128" t="str">
        <f t="shared" si="18"/>
        <v>S</v>
      </c>
      <c r="B128">
        <f t="shared" ca="1" si="19"/>
        <v>2</v>
      </c>
      <c r="C128" t="str">
        <f t="shared" ca="1" si="20"/>
        <v>S</v>
      </c>
      <c r="D128">
        <f t="shared" ca="1" si="21"/>
        <v>0</v>
      </c>
      <c r="E128">
        <f ca="1">IF($C128=1,OFFSET(E128,-1,0)+MAX(1,COUNTIF(QCI!$A$13:$A$24,OFFSET(ORÇAMENTO!E128,-1,0))),OFFSET(E128,-1,0))</f>
        <v>1</v>
      </c>
      <c r="F128">
        <f t="shared" ca="1" si="22"/>
        <v>10</v>
      </c>
      <c r="G128">
        <f t="shared" ca="1" si="23"/>
        <v>0</v>
      </c>
      <c r="H128">
        <f t="shared" ca="1" si="24"/>
        <v>0</v>
      </c>
      <c r="I128">
        <f t="shared" ca="1" si="25"/>
        <v>0</v>
      </c>
      <c r="J128">
        <f t="shared" ca="1" si="26"/>
        <v>0</v>
      </c>
      <c r="K128">
        <f ca="1">IF(OR($C128="S",$C128=0),0,MATCH(OFFSET($D128,0,$C128)+IF($C128&lt;&gt;1,1,COUNTIF(QCI!$A$13:$A$24,ORÇAMENTO!E128)),OFFSET($D128,1,$C128,ROW($C$405)-ROW($C128)),0))</f>
        <v>0</v>
      </c>
      <c r="L128" s="115" t="str">
        <f t="shared" ca="1" si="27"/>
        <v/>
      </c>
      <c r="M128" s="116" t="s">
        <v>706</v>
      </c>
      <c r="N128" s="117" t="str">
        <f t="shared" ca="1" si="28"/>
        <v>Serviço</v>
      </c>
      <c r="O128" s="118" t="str">
        <f t="shared" ca="1" si="29"/>
        <v>-</v>
      </c>
      <c r="P128" s="119" t="s">
        <v>751</v>
      </c>
      <c r="Q128" s="120" t="s">
        <v>1032</v>
      </c>
      <c r="R128" s="121" t="s">
        <v>1408</v>
      </c>
      <c r="S128" s="122" t="s">
        <v>615</v>
      </c>
      <c r="T128" s="123">
        <f ca="1">OFFSET(CÁLCULO!H$15,ROW($T128)-ROW(T$15),0)</f>
        <v>12</v>
      </c>
      <c r="U128" s="124"/>
      <c r="V128" s="125" t="s">
        <v>663</v>
      </c>
      <c r="W128" s="123">
        <f ca="1">IF($C128="S",ROUND(IF(TIPOORCAMENTO="Proposto",ORÇAMENTO.CustoUnitario*(1+$AH128),ORÇAMENTO.PrecoUnitarioLicitado),15-13*$AF$10),0)</f>
        <v>0</v>
      </c>
      <c r="X128" s="126" cm="1">
        <f t="array" aca="1" ref="X128" ca="1">IF($C128="S",IF(OR(Import.TipoArredondamento&lt;&gt;"TransfereGOV",ACOMPANHAMENTO="BM"),VTOTAL1,SUM(OFFSET(CÁLCULO!$AA$15,ROW($X128)-ROW($X$15),1):OFFSET(CÁLCULO!$AL$15,ROW($X128)-ROW($X$15),-1))),IF($C128=0,0,ROUND(SomaAgrup,15-13*$AF$11)))</f>
        <v>0</v>
      </c>
      <c r="Y128" s="127" t="s">
        <v>752</v>
      </c>
      <c r="Z128" t="str">
        <f t="shared" ca="1" si="30"/>
        <v/>
      </c>
      <c r="AA128" s="128">
        <f ca="1">IF($C128="S",IF($Z128="CP",$X128,IF($Z128="RA",(($X128)*QCI!$AA$3),0)),SomaAgrup)</f>
        <v>0</v>
      </c>
      <c r="AB128" s="129">
        <f t="shared" ca="1" si="31"/>
        <v>0</v>
      </c>
      <c r="AC128" s="567" t="str">
        <f ca="1">IF($N128=""," ",
IF(AND($C128&lt;&gt;"S",OR($R128="",$R128="(digite a descrição aqui)")),"DESCRIÇÃO",
IF(AND($C128="S",OR($Q128&lt;&gt;0,$T128&gt;0,$U128&gt;0),$P128=0),"FONTE",
IF(AND($C128="S",$P128&lt;&gt;0,OR($T128&gt;0,$U128&gt;0),$Q128=0),"CÓDIGO",
IF(AND($C128="S",$P128&lt;&gt;0,$Q128&lt;&gt;0,$R128="(Código não identificado nas referências)"),"CÓDIGO N/ID",
IF(AND($C128="S",OR($R128="",$R128="(digite a descrição aqui)"),OR($Q128&lt;&gt;0,$T128&gt;0,$U128&gt;0)),"DESCRIÇÃO",
IF(AND($C128="S",$P128&lt;&gt;0,$Q128&lt;&gt;0,$S128=""),"UNIDADE",
IF(AND($C128="S",$P128&lt;&gt;0,$Q128&lt;&gt;0,$U128=0),"SEM CUSTO",
IF(AND(TIPOORCAMENTO="Licitado",$AL128=0,$AN128&gt;0),"SEM PREÇO",
IF(AND($C128="S",$P128&lt;&gt;0,$Q128&lt;&gt;0,$U128&gt;0,$V128=0),"BDI",
IF(OR(AND(TIPOORCAMENTO="Proposto",$AG128&lt;&gt;"",$AG128&gt;0,ORÇAMENTO.CustoUnitario&gt;$AG128),AND(TIPOORCAMENTO="LICITADO",ORÇAMENTO.PrecoUnitarioLicitado&gt;$AN128)),"ACIMA REF.",
IF(AND($C128="S",$P128&lt;&gt;0,$Q128&lt;&gt;0,$T128=0,$U128&gt;0),"QUANT.",
IF(AND(Import.TipoArredondamento="TransfereGOV",$L128="F",$C128="S",LEN($Q128)&gt;13),"Código &gt;13",
IF(AND(Import.TipoArredondamento="TransfereGOV",$L128="F",$C128&lt;&gt;"S",LEN($R128)&gt;100),"Descrição &gt;100",
IF(AND(Import.TipoArredondamento="TransfereGOV",$L128="F",$C128="S",LEN($R128)&gt;500),"Descrição &gt;500",
IF(AND(Import.TipoArredondamento="TransfereGOV",$L128="F",$C128="S",LEFT(TRIM(UPPER($P128)),6)&lt;&gt;"SINAPI",ISNA(VLOOKUP(TRIM(UPPER($S128)),ListaTgov.Unidades,1,FALSE))),"Unid. Não Disp",
" "))))))))))))))))</f>
        <v>SEM CUSTO</v>
      </c>
      <c r="AD128" t="str">
        <f ca="1">IF(C128&lt;=CRONO.NivelExibicao,MAX($AD$15:OFFSET(AD128,-1,0))+IF($C128&lt;&gt;1,1,MAX(1,COUNTIF(QCI!$A$13:$A$24,OFFSET($E128,-1,0)))),"")</f>
        <v/>
      </c>
      <c r="AE128" s="7" t="str">
        <f ca="1">IF(AND($C128="S",ORÇAMENTO.CodBarra&lt;&gt;""),IF(ORÇAMENTO.Fonte="",ORÇAMENTO.CodBarra,CONCATENATE(ORÇAMENTO.Fonte," ",ORÇAMENTO.CodBarra)))</f>
        <v>SINAPI 88264</v>
      </c>
      <c r="AF128" s="12" t="str">
        <f ca="1">IF(ISERROR(INDIRECT(ORÇAMENTO.BancoRef)),"(abra o arquivo 'Referência "&amp;Excel_BuiltIn_Database&amp;".xlsm)",IF(OR($C128&lt;&gt;"S",ORÇAMENTO.CodBarra=""),"(Sem Código)",IF(ISERROR(MATCH($AE128,INDIRECT(ORÇAMENTO.BancoRef),0)),"(Código não identificado nas referências)",MATCH($AE128,INDIRECT(ORÇAMENTO.BancoRef),0))))</f>
        <v>(abra o arquivo 'Referência 12-2024.xlsm)</v>
      </c>
      <c r="AG128" s="429">
        <f ca="1">ROUND(IF(DESONERACAO="sim",REFERENCIA.Desonerado,REFERENCIA.NaoDesonerado),2)</f>
        <v>0</v>
      </c>
      <c r="AH128" s="430">
        <f t="shared" ca="1" si="32"/>
        <v>0.31190000000000001</v>
      </c>
      <c r="AJ128" s="432">
        <v>12</v>
      </c>
      <c r="AL128" s="440"/>
      <c r="AM128" s="337">
        <f t="shared" ca="1" si="0"/>
        <v>0</v>
      </c>
      <c r="AN128" s="471">
        <f t="shared" ca="1" si="33"/>
        <v>0</v>
      </c>
    </row>
    <row r="129" spans="1:40" x14ac:dyDescent="0.2">
      <c r="A129">
        <f t="shared" si="18"/>
        <v>2</v>
      </c>
      <c r="B129">
        <f t="shared" ca="1" si="19"/>
        <v>2</v>
      </c>
      <c r="C129">
        <f t="shared" ca="1" si="20"/>
        <v>2</v>
      </c>
      <c r="D129">
        <f t="shared" ca="1" si="21"/>
        <v>89</v>
      </c>
      <c r="E129">
        <f ca="1">IF($C129=1,OFFSET(E129,-1,0)+MAX(1,COUNTIF(QCI!$A$13:$A$24,OFFSET(ORÇAMENTO!E129,-1,0))),OFFSET(E129,-1,0))</f>
        <v>1</v>
      </c>
      <c r="F129">
        <f t="shared" ca="1" si="22"/>
        <v>11</v>
      </c>
      <c r="G129">
        <f t="shared" ca="1" si="23"/>
        <v>0</v>
      </c>
      <c r="H129">
        <f t="shared" ca="1" si="24"/>
        <v>0</v>
      </c>
      <c r="I129">
        <f t="shared" ca="1" si="25"/>
        <v>0</v>
      </c>
      <c r="J129">
        <f t="shared" ca="1" si="26"/>
        <v>276</v>
      </c>
      <c r="K129">
        <f ca="1">IF(OR($C129="S",$C129=0),0,MATCH(OFFSET($D129,0,$C129)+IF($C129&lt;&gt;1,1,COUNTIF(QCI!$A$13:$A$24,ORÇAMENTO!E129)),OFFSET($D129,1,$C129,ROW($C$405)-ROW($C129)),0))</f>
        <v>89</v>
      </c>
      <c r="L129" s="115" t="str">
        <f t="shared" ca="1" si="27"/>
        <v>F</v>
      </c>
      <c r="M129" s="116" t="s">
        <v>703</v>
      </c>
      <c r="N129" s="117" t="str">
        <f t="shared" ca="1" si="28"/>
        <v>Nível 2</v>
      </c>
      <c r="O129" s="118" t="str">
        <f t="shared" ca="1" si="29"/>
        <v>1.11.</v>
      </c>
      <c r="P129" s="119" t="s">
        <v>751</v>
      </c>
      <c r="Q129" s="120"/>
      <c r="R129" s="121" t="s">
        <v>1285</v>
      </c>
      <c r="S129" s="122" t="s">
        <v>689</v>
      </c>
      <c r="T129" s="123">
        <f ca="1">OFFSET(CÁLCULO!H$15,ROW($T129)-ROW(T$15),0)</f>
        <v>0</v>
      </c>
      <c r="U129" s="124"/>
      <c r="V129" s="125" t="s">
        <v>663</v>
      </c>
      <c r="W129" s="123">
        <f ca="1">IF($C129="S",ROUND(IF(TIPOORCAMENTO="Proposto",ORÇAMENTO.CustoUnitario*(1+$AH129),ORÇAMENTO.PrecoUnitarioLicitado),15-13*$AF$10),0)</f>
        <v>0</v>
      </c>
      <c r="X129" s="126" cm="1">
        <f t="array" aca="1" ref="X129" ca="1">IF($C129="S",IF(OR(Import.TipoArredondamento&lt;&gt;"TransfereGOV",ACOMPANHAMENTO="BM"),VTOTAL1,SUM(OFFSET(CÁLCULO!$AA$15,ROW($X129)-ROW($X$15),1):OFFSET(CÁLCULO!$AL$15,ROW($X129)-ROW($X$15),-1))),IF($C129=0,0,ROUND(SomaAgrup,15-13*$AF$11)))</f>
        <v>0</v>
      </c>
      <c r="Y129" s="127" t="s">
        <v>752</v>
      </c>
      <c r="Z129" t="str">
        <f t="shared" ca="1" si="30"/>
        <v/>
      </c>
      <c r="AA129" s="128">
        <f ca="1">IF($C129="S",IF($Z129="CP",$X129,IF($Z129="RA",(($X129)*QCI!$AA$3),0)),SomaAgrup)</f>
        <v>0</v>
      </c>
      <c r="AB129" s="129">
        <f t="shared" ca="1" si="31"/>
        <v>0</v>
      </c>
      <c r="AC129" s="567" t="str">
        <f ca="1">IF($N129=""," ",
IF(AND($C129&lt;&gt;"S",OR($R129="",$R129="(digite a descrição aqui)")),"DESCRIÇÃO",
IF(AND($C129="S",OR($Q129&lt;&gt;0,$T129&gt;0,$U129&gt;0),$P129=0),"FONTE",
IF(AND($C129="S",$P129&lt;&gt;0,OR($T129&gt;0,$U129&gt;0),$Q129=0),"CÓDIGO",
IF(AND($C129="S",$P129&lt;&gt;0,$Q129&lt;&gt;0,$R129="(Código não identificado nas referências)"),"CÓDIGO N/ID",
IF(AND($C129="S",OR($R129="",$R129="(digite a descrição aqui)"),OR($Q129&lt;&gt;0,$T129&gt;0,$U129&gt;0)),"DESCRIÇÃO",
IF(AND($C129="S",$P129&lt;&gt;0,$Q129&lt;&gt;0,$S129=""),"UNIDADE",
IF(AND($C129="S",$P129&lt;&gt;0,$Q129&lt;&gt;0,$U129=0),"SEM CUSTO",
IF(AND(TIPOORCAMENTO="Licitado",$AL129=0,$AN129&gt;0),"SEM PREÇO",
IF(AND($C129="S",$P129&lt;&gt;0,$Q129&lt;&gt;0,$U129&gt;0,$V129=0),"BDI",
IF(OR(AND(TIPOORCAMENTO="Proposto",$AG129&lt;&gt;"",$AG129&gt;0,ORÇAMENTO.CustoUnitario&gt;$AG129),AND(TIPOORCAMENTO="LICITADO",ORÇAMENTO.PrecoUnitarioLicitado&gt;$AN129)),"ACIMA REF.",
IF(AND($C129="S",$P129&lt;&gt;0,$Q129&lt;&gt;0,$T129=0,$U129&gt;0),"QUANT.",
IF(AND(Import.TipoArredondamento="TransfereGOV",$L129="F",$C129="S",LEN($Q129)&gt;13),"Código &gt;13",
IF(AND(Import.TipoArredondamento="TransfereGOV",$L129="F",$C129&lt;&gt;"S",LEN($R129)&gt;100),"Descrição &gt;100",
IF(AND(Import.TipoArredondamento="TransfereGOV",$L129="F",$C129="S",LEN($R129)&gt;500),"Descrição &gt;500",
IF(AND(Import.TipoArredondamento="TransfereGOV",$L129="F",$C129="S",LEFT(TRIM(UPPER($P129)),6)&lt;&gt;"SINAPI",ISNA(VLOOKUP(TRIM(UPPER($S129)),ListaTgov.Unidades,1,FALSE))),"Unid. Não Disp",
" "))))))))))))))))</f>
        <v xml:space="preserve"> </v>
      </c>
      <c r="AD129">
        <f ca="1">IF(C129&lt;=CRONO.NivelExibicao,MAX($AD$15:OFFSET(AD129,-1,0))+IF($C129&lt;&gt;1,1,MAX(1,COUNTIF(QCI!$A$13:$A$24,OFFSET($E129,-1,0)))),"")</f>
        <v>12</v>
      </c>
      <c r="AE129" s="7" t="b">
        <f ca="1">IF(AND($C129="S",ORÇAMENTO.CodBarra&lt;&gt;""),IF(ORÇAMENTO.Fonte="",ORÇAMENTO.CodBarra,CONCATENATE(ORÇAMENTO.Fonte," ",ORÇAMENTO.CodBarra)))</f>
        <v>0</v>
      </c>
      <c r="AF129" s="12" t="str">
        <f ca="1">IF(ISERROR(INDIRECT(ORÇAMENTO.BancoRef)),"(abra o arquivo 'Referência "&amp;Excel_BuiltIn_Database&amp;".xlsm)",IF(OR($C129&lt;&gt;"S",ORÇAMENTO.CodBarra=""),"(Sem Código)",IF(ISERROR(MATCH($AE129,INDIRECT(ORÇAMENTO.BancoRef),0)),"(Código não identificado nas referências)",MATCH($AE129,INDIRECT(ORÇAMENTO.BancoRef),0))))</f>
        <v>(abra o arquivo 'Referência 12-2024.xlsm)</v>
      </c>
      <c r="AG129" s="429">
        <f ca="1">ROUND(IF(DESONERACAO="sim",REFERENCIA.Desonerado,REFERENCIA.NaoDesonerado),2)</f>
        <v>0</v>
      </c>
      <c r="AH129" s="430">
        <f t="shared" ca="1" si="32"/>
        <v>0.31190000000000001</v>
      </c>
      <c r="AJ129" s="432"/>
      <c r="AL129" s="440"/>
      <c r="AM129" s="337">
        <f t="shared" ca="1" si="0"/>
        <v>0</v>
      </c>
      <c r="AN129" s="471">
        <f t="shared" ca="1" si="33"/>
        <v>0</v>
      </c>
    </row>
    <row r="130" spans="1:40" x14ac:dyDescent="0.2">
      <c r="A130">
        <f t="shared" si="18"/>
        <v>3</v>
      </c>
      <c r="B130">
        <f t="shared" ca="1" si="19"/>
        <v>3</v>
      </c>
      <c r="C130">
        <f t="shared" ca="1" si="20"/>
        <v>3</v>
      </c>
      <c r="D130">
        <f t="shared" ca="1" si="21"/>
        <v>38</v>
      </c>
      <c r="E130">
        <f ca="1">IF($C130=1,OFFSET(E130,-1,0)+MAX(1,COUNTIF(QCI!$A$13:$A$24,OFFSET(ORÇAMENTO!E130,-1,0))),OFFSET(E130,-1,0))</f>
        <v>1</v>
      </c>
      <c r="F130">
        <f t="shared" ca="1" si="22"/>
        <v>11</v>
      </c>
      <c r="G130">
        <f t="shared" ca="1" si="23"/>
        <v>1</v>
      </c>
      <c r="H130">
        <f t="shared" ca="1" si="24"/>
        <v>0</v>
      </c>
      <c r="I130">
        <f t="shared" ca="1" si="25"/>
        <v>0</v>
      </c>
      <c r="J130">
        <f t="shared" ca="1" si="26"/>
        <v>88</v>
      </c>
      <c r="K130">
        <f ca="1">IF(OR($C130="S",$C130=0),0,MATCH(OFFSET($D130,0,$C130)+IF($C130&lt;&gt;1,1,COUNTIF(QCI!$A$13:$A$24,ORÇAMENTO!E130)),OFFSET($D130,1,$C130,ROW($C$405)-ROW($C130)),0))</f>
        <v>38</v>
      </c>
      <c r="L130" s="115" t="str">
        <f t="shared" ca="1" si="27"/>
        <v>F</v>
      </c>
      <c r="M130" s="116" t="s">
        <v>704</v>
      </c>
      <c r="N130" s="117" t="str">
        <f t="shared" ca="1" si="28"/>
        <v>Nível 3</v>
      </c>
      <c r="O130" s="118" t="str">
        <f t="shared" ca="1" si="29"/>
        <v>1.11.1.</v>
      </c>
      <c r="P130" s="119" t="s">
        <v>751</v>
      </c>
      <c r="Q130" s="120"/>
      <c r="R130" s="121" t="s">
        <v>1286</v>
      </c>
      <c r="S130" s="122" t="s">
        <v>689</v>
      </c>
      <c r="T130" s="123">
        <f ca="1">OFFSET(CÁLCULO!H$15,ROW($T130)-ROW(T$15),0)</f>
        <v>0</v>
      </c>
      <c r="U130" s="124"/>
      <c r="V130" s="125" t="s">
        <v>663</v>
      </c>
      <c r="W130" s="123">
        <f ca="1">IF($C130="S",ROUND(IF(TIPOORCAMENTO="Proposto",ORÇAMENTO.CustoUnitario*(1+$AH130),ORÇAMENTO.PrecoUnitarioLicitado),15-13*$AF$10),0)</f>
        <v>0</v>
      </c>
      <c r="X130" s="126" cm="1">
        <f t="array" aca="1" ref="X130" ca="1">IF($C130="S",IF(OR(Import.TipoArredondamento&lt;&gt;"TransfereGOV",ACOMPANHAMENTO="BM"),VTOTAL1,SUM(OFFSET(CÁLCULO!$AA$15,ROW($X130)-ROW($X$15),1):OFFSET(CÁLCULO!$AL$15,ROW($X130)-ROW($X$15),-1))),IF($C130=0,0,ROUND(SomaAgrup,15-13*$AF$11)))</f>
        <v>0</v>
      </c>
      <c r="Y130" s="127" t="s">
        <v>752</v>
      </c>
      <c r="Z130" t="str">
        <f t="shared" ca="1" si="30"/>
        <v/>
      </c>
      <c r="AA130" s="128">
        <f ca="1">IF($C130="S",IF($Z130="CP",$X130,IF($Z130="RA",(($X130)*QCI!$AA$3),0)),SomaAgrup)</f>
        <v>0</v>
      </c>
      <c r="AB130" s="129">
        <f t="shared" ca="1" si="31"/>
        <v>0</v>
      </c>
      <c r="AC130" s="567" t="str">
        <f ca="1">IF($N130=""," ",
IF(AND($C130&lt;&gt;"S",OR($R130="",$R130="(digite a descrição aqui)")),"DESCRIÇÃO",
IF(AND($C130="S",OR($Q130&lt;&gt;0,$T130&gt;0,$U130&gt;0),$P130=0),"FONTE",
IF(AND($C130="S",$P130&lt;&gt;0,OR($T130&gt;0,$U130&gt;0),$Q130=0),"CÓDIGO",
IF(AND($C130="S",$P130&lt;&gt;0,$Q130&lt;&gt;0,$R130="(Código não identificado nas referências)"),"CÓDIGO N/ID",
IF(AND($C130="S",OR($R130="",$R130="(digite a descrição aqui)"),OR($Q130&lt;&gt;0,$T130&gt;0,$U130&gt;0)),"DESCRIÇÃO",
IF(AND($C130="S",$P130&lt;&gt;0,$Q130&lt;&gt;0,$S130=""),"UNIDADE",
IF(AND($C130="S",$P130&lt;&gt;0,$Q130&lt;&gt;0,$U130=0),"SEM CUSTO",
IF(AND(TIPOORCAMENTO="Licitado",$AL130=0,$AN130&gt;0),"SEM PREÇO",
IF(AND($C130="S",$P130&lt;&gt;0,$Q130&lt;&gt;0,$U130&gt;0,$V130=0),"BDI",
IF(OR(AND(TIPOORCAMENTO="Proposto",$AG130&lt;&gt;"",$AG130&gt;0,ORÇAMENTO.CustoUnitario&gt;$AG130),AND(TIPOORCAMENTO="LICITADO",ORÇAMENTO.PrecoUnitarioLicitado&gt;$AN130)),"ACIMA REF.",
IF(AND($C130="S",$P130&lt;&gt;0,$Q130&lt;&gt;0,$T130=0,$U130&gt;0),"QUANT.",
IF(AND(Import.TipoArredondamento="TransfereGOV",$L130="F",$C130="S",LEN($Q130)&gt;13),"Código &gt;13",
IF(AND(Import.TipoArredondamento="TransfereGOV",$L130="F",$C130&lt;&gt;"S",LEN($R130)&gt;100),"Descrição &gt;100",
IF(AND(Import.TipoArredondamento="TransfereGOV",$L130="F",$C130="S",LEN($R130)&gt;500),"Descrição &gt;500",
IF(AND(Import.TipoArredondamento="TransfereGOV",$L130="F",$C130="S",LEFT(TRIM(UPPER($P130)),6)&lt;&gt;"SINAPI",ISNA(VLOOKUP(TRIM(UPPER($S130)),ListaTgov.Unidades,1,FALSE))),"Unid. Não Disp",
" "))))))))))))))))</f>
        <v xml:space="preserve"> </v>
      </c>
      <c r="AD130" t="str">
        <f ca="1">IF(C130&lt;=CRONO.NivelExibicao,MAX($AD$15:OFFSET(AD130,-1,0))+IF($C130&lt;&gt;1,1,MAX(1,COUNTIF(QCI!$A$13:$A$24,OFFSET($E130,-1,0)))),"")</f>
        <v/>
      </c>
      <c r="AE130" s="7" t="b">
        <f ca="1">IF(AND($C130="S",ORÇAMENTO.CodBarra&lt;&gt;""),IF(ORÇAMENTO.Fonte="",ORÇAMENTO.CodBarra,CONCATENATE(ORÇAMENTO.Fonte," ",ORÇAMENTO.CodBarra)))</f>
        <v>0</v>
      </c>
      <c r="AF130" s="12" t="str">
        <f ca="1">IF(ISERROR(INDIRECT(ORÇAMENTO.BancoRef)),"(abra o arquivo 'Referência "&amp;Excel_BuiltIn_Database&amp;".xlsm)",IF(OR($C130&lt;&gt;"S",ORÇAMENTO.CodBarra=""),"(Sem Código)",IF(ISERROR(MATCH($AE130,INDIRECT(ORÇAMENTO.BancoRef),0)),"(Código não identificado nas referências)",MATCH($AE130,INDIRECT(ORÇAMENTO.BancoRef),0))))</f>
        <v>(abra o arquivo 'Referência 12-2024.xlsm)</v>
      </c>
      <c r="AG130" s="429">
        <f ca="1">ROUND(IF(DESONERACAO="sim",REFERENCIA.Desonerado,REFERENCIA.NaoDesonerado),2)</f>
        <v>0</v>
      </c>
      <c r="AH130" s="430">
        <f t="shared" ca="1" si="32"/>
        <v>0.31190000000000001</v>
      </c>
      <c r="AJ130" s="432"/>
      <c r="AL130" s="440"/>
      <c r="AM130" s="337">
        <f t="shared" ca="1" si="0"/>
        <v>0</v>
      </c>
      <c r="AN130" s="471">
        <f t="shared" ca="1" si="33"/>
        <v>0</v>
      </c>
    </row>
    <row r="131" spans="1:40" ht="38.25" x14ac:dyDescent="0.2">
      <c r="A131" t="str">
        <f t="shared" si="18"/>
        <v>S</v>
      </c>
      <c r="B131">
        <f t="shared" ca="1" si="19"/>
        <v>3</v>
      </c>
      <c r="C131" t="str">
        <f t="shared" ca="1" si="20"/>
        <v>S</v>
      </c>
      <c r="D131">
        <f t="shared" ca="1" si="21"/>
        <v>0</v>
      </c>
      <c r="E131">
        <f ca="1">IF($C131=1,OFFSET(E131,-1,0)+MAX(1,COUNTIF(QCI!$A$13:$A$24,OFFSET(ORÇAMENTO!E131,-1,0))),OFFSET(E131,-1,0))</f>
        <v>1</v>
      </c>
      <c r="F131">
        <f t="shared" ca="1" si="22"/>
        <v>11</v>
      </c>
      <c r="G131">
        <f t="shared" ca="1" si="23"/>
        <v>1</v>
      </c>
      <c r="H131">
        <f t="shared" ca="1" si="24"/>
        <v>0</v>
      </c>
      <c r="I131">
        <f t="shared" ca="1" si="25"/>
        <v>0</v>
      </c>
      <c r="J131">
        <f t="shared" ca="1" si="26"/>
        <v>0</v>
      </c>
      <c r="K131">
        <f ca="1">IF(OR($C131="S",$C131=0),0,MATCH(OFFSET($D131,0,$C131)+IF($C131&lt;&gt;1,1,COUNTIF(QCI!$A$13:$A$24,ORÇAMENTO!E131)),OFFSET($D131,1,$C131,ROW($C$405)-ROW($C131)),0))</f>
        <v>0</v>
      </c>
      <c r="L131" s="115" t="str">
        <f t="shared" ca="1" si="27"/>
        <v/>
      </c>
      <c r="M131" s="116" t="s">
        <v>706</v>
      </c>
      <c r="N131" s="117" t="str">
        <f t="shared" ca="1" si="28"/>
        <v>Serviço</v>
      </c>
      <c r="O131" s="118" t="str">
        <f t="shared" ca="1" si="29"/>
        <v>-</v>
      </c>
      <c r="P131" s="119" t="s">
        <v>751</v>
      </c>
      <c r="Q131" s="120" t="s">
        <v>1043</v>
      </c>
      <c r="R131" s="121" t="s">
        <v>1419</v>
      </c>
      <c r="S131" s="122" t="s">
        <v>639</v>
      </c>
      <c r="T131" s="123">
        <f ca="1">OFFSET(CÁLCULO!H$15,ROW($T131)-ROW(T$15),0)</f>
        <v>24</v>
      </c>
      <c r="U131" s="124"/>
      <c r="V131" s="125" t="s">
        <v>663</v>
      </c>
      <c r="W131" s="123">
        <f ca="1">IF($C131="S",ROUND(IF(TIPOORCAMENTO="Proposto",ORÇAMENTO.CustoUnitario*(1+$AH131),ORÇAMENTO.PrecoUnitarioLicitado),15-13*$AF$10),0)</f>
        <v>0</v>
      </c>
      <c r="X131" s="126" cm="1">
        <f t="array" aca="1" ref="X131" ca="1">IF($C131="S",IF(OR(Import.TipoArredondamento&lt;&gt;"TransfereGOV",ACOMPANHAMENTO="BM"),VTOTAL1,SUM(OFFSET(CÁLCULO!$AA$15,ROW($X131)-ROW($X$15),1):OFFSET(CÁLCULO!$AL$15,ROW($X131)-ROW($X$15),-1))),IF($C131=0,0,ROUND(SomaAgrup,15-13*$AF$11)))</f>
        <v>0</v>
      </c>
      <c r="Y131" s="127" t="s">
        <v>752</v>
      </c>
      <c r="Z131" t="str">
        <f t="shared" ca="1" si="30"/>
        <v/>
      </c>
      <c r="AA131" s="128">
        <f ca="1">IF($C131="S",IF($Z131="CP",$X131,IF($Z131="RA",(($X131)*QCI!$AA$3),0)),SomaAgrup)</f>
        <v>0</v>
      </c>
      <c r="AB131" s="129">
        <f t="shared" ca="1" si="31"/>
        <v>0</v>
      </c>
      <c r="AC131" s="567" t="str">
        <f ca="1">IF($N131=""," ",
IF(AND($C131&lt;&gt;"S",OR($R131="",$R131="(digite a descrição aqui)")),"DESCRIÇÃO",
IF(AND($C131="S",OR($Q131&lt;&gt;0,$T131&gt;0,$U131&gt;0),$P131=0),"FONTE",
IF(AND($C131="S",$P131&lt;&gt;0,OR($T131&gt;0,$U131&gt;0),$Q131=0),"CÓDIGO",
IF(AND($C131="S",$P131&lt;&gt;0,$Q131&lt;&gt;0,$R131="(Código não identificado nas referências)"),"CÓDIGO N/ID",
IF(AND($C131="S",OR($R131="",$R131="(digite a descrição aqui)"),OR($Q131&lt;&gt;0,$T131&gt;0,$U131&gt;0)),"DESCRIÇÃO",
IF(AND($C131="S",$P131&lt;&gt;0,$Q131&lt;&gt;0,$S131=""),"UNIDADE",
IF(AND($C131="S",$P131&lt;&gt;0,$Q131&lt;&gt;0,$U131=0),"SEM CUSTO",
IF(AND(TIPOORCAMENTO="Licitado",$AL131=0,$AN131&gt;0),"SEM PREÇO",
IF(AND($C131="S",$P131&lt;&gt;0,$Q131&lt;&gt;0,$U131&gt;0,$V131=0),"BDI",
IF(OR(AND(TIPOORCAMENTO="Proposto",$AG131&lt;&gt;"",$AG131&gt;0,ORÇAMENTO.CustoUnitario&gt;$AG131),AND(TIPOORCAMENTO="LICITADO",ORÇAMENTO.PrecoUnitarioLicitado&gt;$AN131)),"ACIMA REF.",
IF(AND($C131="S",$P131&lt;&gt;0,$Q131&lt;&gt;0,$T131=0,$U131&gt;0),"QUANT.",
IF(AND(Import.TipoArredondamento="TransfereGOV",$L131="F",$C131="S",LEN($Q131)&gt;13),"Código &gt;13",
IF(AND(Import.TipoArredondamento="TransfereGOV",$L131="F",$C131&lt;&gt;"S",LEN($R131)&gt;100),"Descrição &gt;100",
IF(AND(Import.TipoArredondamento="TransfereGOV",$L131="F",$C131="S",LEN($R131)&gt;500),"Descrição &gt;500",
IF(AND(Import.TipoArredondamento="TransfereGOV",$L131="F",$C131="S",LEFT(TRIM(UPPER($P131)),6)&lt;&gt;"SINAPI",ISNA(VLOOKUP(TRIM(UPPER($S131)),ListaTgov.Unidades,1,FALSE))),"Unid. Não Disp",
" "))))))))))))))))</f>
        <v>SEM CUSTO</v>
      </c>
      <c r="AD131" t="str">
        <f ca="1">IF(C131&lt;=CRONO.NivelExibicao,MAX($AD$15:OFFSET(AD131,-1,0))+IF($C131&lt;&gt;1,1,MAX(1,COUNTIF(QCI!$A$13:$A$24,OFFSET($E131,-1,0)))),"")</f>
        <v/>
      </c>
      <c r="AE131" s="7" t="str">
        <f ca="1">IF(AND($C131="S",ORÇAMENTO.CodBarra&lt;&gt;""),IF(ORÇAMENTO.Fonte="",ORÇAMENTO.CodBarra,CONCATENATE(ORÇAMENTO.Fonte," ",ORÇAMENTO.CodBarra)))</f>
        <v>SINAPI 89707</v>
      </c>
      <c r="AF131" s="12" t="str">
        <f ca="1">IF(ISERROR(INDIRECT(ORÇAMENTO.BancoRef)),"(abra o arquivo 'Referência "&amp;Excel_BuiltIn_Database&amp;".xlsm)",IF(OR($C131&lt;&gt;"S",ORÇAMENTO.CodBarra=""),"(Sem Código)",IF(ISERROR(MATCH($AE131,INDIRECT(ORÇAMENTO.BancoRef),0)),"(Código não identificado nas referências)",MATCH($AE131,INDIRECT(ORÇAMENTO.BancoRef),0))))</f>
        <v>(abra o arquivo 'Referência 12-2024.xlsm)</v>
      </c>
      <c r="AG131" s="429">
        <f ca="1">ROUND(IF(DESONERACAO="sim",REFERENCIA.Desonerado,REFERENCIA.NaoDesonerado),2)</f>
        <v>0</v>
      </c>
      <c r="AH131" s="430">
        <f t="shared" ca="1" si="32"/>
        <v>0.31190000000000001</v>
      </c>
      <c r="AJ131" s="432">
        <v>24</v>
      </c>
      <c r="AL131" s="440"/>
      <c r="AM131" s="337">
        <f t="shared" ca="1" si="0"/>
        <v>0</v>
      </c>
      <c r="AN131" s="471">
        <f t="shared" ca="1" si="33"/>
        <v>0</v>
      </c>
    </row>
    <row r="132" spans="1:40" x14ac:dyDescent="0.2">
      <c r="A132" t="str">
        <f t="shared" si="18"/>
        <v>S</v>
      </c>
      <c r="B132">
        <f t="shared" ca="1" si="19"/>
        <v>3</v>
      </c>
      <c r="C132" t="str">
        <f t="shared" ca="1" si="20"/>
        <v>S</v>
      </c>
      <c r="D132">
        <f t="shared" ca="1" si="21"/>
        <v>0</v>
      </c>
      <c r="E132">
        <f ca="1">IF($C132=1,OFFSET(E132,-1,0)+MAX(1,COUNTIF(QCI!$A$13:$A$24,OFFSET(ORÇAMENTO!E132,-1,0))),OFFSET(E132,-1,0))</f>
        <v>1</v>
      </c>
      <c r="F132">
        <f t="shared" ca="1" si="22"/>
        <v>11</v>
      </c>
      <c r="G132">
        <f t="shared" ca="1" si="23"/>
        <v>1</v>
      </c>
      <c r="H132">
        <f t="shared" ca="1" si="24"/>
        <v>0</v>
      </c>
      <c r="I132">
        <f t="shared" ca="1" si="25"/>
        <v>0</v>
      </c>
      <c r="J132">
        <f t="shared" ca="1" si="26"/>
        <v>0</v>
      </c>
      <c r="K132">
        <f ca="1">IF(OR($C132="S",$C132=0),0,MATCH(OFFSET($D132,0,$C132)+IF($C132&lt;&gt;1,1,COUNTIF(QCI!$A$13:$A$24,ORÇAMENTO!E132)),OFFSET($D132,1,$C132,ROW($C$405)-ROW($C132)),0))</f>
        <v>0</v>
      </c>
      <c r="L132" s="115" t="str">
        <f t="shared" ca="1" si="27"/>
        <v/>
      </c>
      <c r="M132" s="116" t="s">
        <v>706</v>
      </c>
      <c r="N132" s="117" t="str">
        <f t="shared" ca="1" si="28"/>
        <v>Serviço</v>
      </c>
      <c r="O132" s="118" t="str">
        <f t="shared" ca="1" si="29"/>
        <v>-</v>
      </c>
      <c r="P132" s="119" t="s">
        <v>1318</v>
      </c>
      <c r="Q132" s="120" t="s">
        <v>1044</v>
      </c>
      <c r="R132" s="121" t="s">
        <v>1420</v>
      </c>
      <c r="S132" s="122" t="s">
        <v>639</v>
      </c>
      <c r="T132" s="123">
        <f ca="1">OFFSET(CÁLCULO!H$15,ROW($T132)-ROW(T$15),0)</f>
        <v>2</v>
      </c>
      <c r="U132" s="124"/>
      <c r="V132" s="125" t="s">
        <v>663</v>
      </c>
      <c r="W132" s="123">
        <f ca="1">IF($C132="S",ROUND(IF(TIPOORCAMENTO="Proposto",ORÇAMENTO.CustoUnitario*(1+$AH132),ORÇAMENTO.PrecoUnitarioLicitado),15-13*$AF$10),0)</f>
        <v>0</v>
      </c>
      <c r="X132" s="126" cm="1">
        <f t="array" aca="1" ref="X132" ca="1">IF($C132="S",IF(OR(Import.TipoArredondamento&lt;&gt;"TransfereGOV",ACOMPANHAMENTO="BM"),VTOTAL1,SUM(OFFSET(CÁLCULO!$AA$15,ROW($X132)-ROW($X$15),1):OFFSET(CÁLCULO!$AL$15,ROW($X132)-ROW($X$15),-1))),IF($C132=0,0,ROUND(SomaAgrup,15-13*$AF$11)))</f>
        <v>0</v>
      </c>
      <c r="Y132" s="127" t="s">
        <v>752</v>
      </c>
      <c r="Z132" t="str">
        <f t="shared" ca="1" si="30"/>
        <v/>
      </c>
      <c r="AA132" s="128">
        <f ca="1">IF($C132="S",IF($Z132="CP",$X132,IF($Z132="RA",(($X132)*QCI!$AA$3),0)),SomaAgrup)</f>
        <v>0</v>
      </c>
      <c r="AB132" s="129">
        <f t="shared" ca="1" si="31"/>
        <v>0</v>
      </c>
      <c r="AC132" s="567" t="str">
        <f ca="1">IF($N132=""," ",
IF(AND($C132&lt;&gt;"S",OR($R132="",$R132="(digite a descrição aqui)")),"DESCRIÇÃO",
IF(AND($C132="S",OR($Q132&lt;&gt;0,$T132&gt;0,$U132&gt;0),$P132=0),"FONTE",
IF(AND($C132="S",$P132&lt;&gt;0,OR($T132&gt;0,$U132&gt;0),$Q132=0),"CÓDIGO",
IF(AND($C132="S",$P132&lt;&gt;0,$Q132&lt;&gt;0,$R132="(Código não identificado nas referências)"),"CÓDIGO N/ID",
IF(AND($C132="S",OR($R132="",$R132="(digite a descrição aqui)"),OR($Q132&lt;&gt;0,$T132&gt;0,$U132&gt;0)),"DESCRIÇÃO",
IF(AND($C132="S",$P132&lt;&gt;0,$Q132&lt;&gt;0,$S132=""),"UNIDADE",
IF(AND($C132="S",$P132&lt;&gt;0,$Q132&lt;&gt;0,$U132=0),"SEM CUSTO",
IF(AND(TIPOORCAMENTO="Licitado",$AL132=0,$AN132&gt;0),"SEM PREÇO",
IF(AND($C132="S",$P132&lt;&gt;0,$Q132&lt;&gt;0,$U132&gt;0,$V132=0),"BDI",
IF(OR(AND(TIPOORCAMENTO="Proposto",$AG132&lt;&gt;"",$AG132&gt;0,ORÇAMENTO.CustoUnitario&gt;$AG132),AND(TIPOORCAMENTO="LICITADO",ORÇAMENTO.PrecoUnitarioLicitado&gt;$AN132)),"ACIMA REF.",
IF(AND($C132="S",$P132&lt;&gt;0,$Q132&lt;&gt;0,$T132=0,$U132&gt;0),"QUANT.",
IF(AND(Import.TipoArredondamento="TransfereGOV",$L132="F",$C132="S",LEN($Q132)&gt;13),"Código &gt;13",
IF(AND(Import.TipoArredondamento="TransfereGOV",$L132="F",$C132&lt;&gt;"S",LEN($R132)&gt;100),"Descrição &gt;100",
IF(AND(Import.TipoArredondamento="TransfereGOV",$L132="F",$C132="S",LEN($R132)&gt;500),"Descrição &gt;500",
IF(AND(Import.TipoArredondamento="TransfereGOV",$L132="F",$C132="S",LEFT(TRIM(UPPER($P132)),6)&lt;&gt;"SINAPI",ISNA(VLOOKUP(TRIM(UPPER($S132)),ListaTgov.Unidades,1,FALSE))),"Unid. Não Disp",
" "))))))))))))))))</f>
        <v>SEM CUSTO</v>
      </c>
      <c r="AD132" t="str">
        <f ca="1">IF(C132&lt;=CRONO.NivelExibicao,MAX($AD$15:OFFSET(AD132,-1,0))+IF($C132&lt;&gt;1,1,MAX(1,COUNTIF(QCI!$A$13:$A$24,OFFSET($E132,-1,0)))),"")</f>
        <v/>
      </c>
      <c r="AE132" s="7" t="str">
        <f ca="1">IF(AND($C132="S",ORÇAMENTO.CodBarra&lt;&gt;""),IF(ORÇAMENTO.Fonte="",ORÇAMENTO.CodBarra,CONCATENATE(ORÇAMENTO.Fonte," ",ORÇAMENTO.CodBarra)))</f>
        <v>Composição  048</v>
      </c>
      <c r="AF132" s="12" t="str">
        <f ca="1">IF(ISERROR(INDIRECT(ORÇAMENTO.BancoRef)),"(abra o arquivo 'Referência "&amp;Excel_BuiltIn_Database&amp;".xlsm)",IF(OR($C132&lt;&gt;"S",ORÇAMENTO.CodBarra=""),"(Sem Código)",IF(ISERROR(MATCH($AE132,INDIRECT(ORÇAMENTO.BancoRef),0)),"(Código não identificado nas referências)",MATCH($AE132,INDIRECT(ORÇAMENTO.BancoRef),0))))</f>
        <v>(abra o arquivo 'Referência 12-2024.xlsm)</v>
      </c>
      <c r="AG132" s="429">
        <f ca="1">ROUND(IF(DESONERACAO="sim",REFERENCIA.Desonerado,REFERENCIA.NaoDesonerado),2)</f>
        <v>0</v>
      </c>
      <c r="AH132" s="430">
        <f t="shared" ca="1" si="32"/>
        <v>0.31190000000000001</v>
      </c>
      <c r="AJ132" s="432">
        <v>2</v>
      </c>
      <c r="AL132" s="440"/>
      <c r="AM132" s="337">
        <f t="shared" ca="1" si="0"/>
        <v>0</v>
      </c>
      <c r="AN132" s="471">
        <f t="shared" ca="1" si="33"/>
        <v>0</v>
      </c>
    </row>
    <row r="133" spans="1:40" x14ac:dyDescent="0.2">
      <c r="A133" t="str">
        <f t="shared" si="18"/>
        <v>S</v>
      </c>
      <c r="B133">
        <f t="shared" ca="1" si="19"/>
        <v>3</v>
      </c>
      <c r="C133" t="str">
        <f t="shared" ca="1" si="20"/>
        <v>S</v>
      </c>
      <c r="D133">
        <f t="shared" ca="1" si="21"/>
        <v>0</v>
      </c>
      <c r="E133">
        <f ca="1">IF($C133=1,OFFSET(E133,-1,0)+MAX(1,COUNTIF(QCI!$A$13:$A$24,OFFSET(ORÇAMENTO!E133,-1,0))),OFFSET(E133,-1,0))</f>
        <v>1</v>
      </c>
      <c r="F133">
        <f t="shared" ca="1" si="22"/>
        <v>11</v>
      </c>
      <c r="G133">
        <f t="shared" ca="1" si="23"/>
        <v>1</v>
      </c>
      <c r="H133">
        <f t="shared" ca="1" si="24"/>
        <v>0</v>
      </c>
      <c r="I133">
        <f t="shared" ca="1" si="25"/>
        <v>0</v>
      </c>
      <c r="J133">
        <f t="shared" ca="1" si="26"/>
        <v>0</v>
      </c>
      <c r="K133">
        <f ca="1">IF(OR($C133="S",$C133=0),0,MATCH(OFFSET($D133,0,$C133)+IF($C133&lt;&gt;1,1,COUNTIF(QCI!$A$13:$A$24,ORÇAMENTO!E133)),OFFSET($D133,1,$C133,ROW($C$405)-ROW($C133)),0))</f>
        <v>0</v>
      </c>
      <c r="L133" s="115" t="str">
        <f t="shared" ca="1" si="27"/>
        <v/>
      </c>
      <c r="M133" s="116" t="s">
        <v>706</v>
      </c>
      <c r="N133" s="117" t="str">
        <f t="shared" ca="1" si="28"/>
        <v>Serviço</v>
      </c>
      <c r="O133" s="118" t="str">
        <f t="shared" ca="1" si="29"/>
        <v>-</v>
      </c>
      <c r="P133" s="119" t="s">
        <v>1318</v>
      </c>
      <c r="Q133" s="120" t="s">
        <v>1045</v>
      </c>
      <c r="R133" s="121" t="s">
        <v>1421</v>
      </c>
      <c r="S133" s="122" t="s">
        <v>639</v>
      </c>
      <c r="T133" s="123">
        <f ca="1">OFFSET(CÁLCULO!H$15,ROW($T133)-ROW(T$15),0)</f>
        <v>4</v>
      </c>
      <c r="U133" s="124"/>
      <c r="V133" s="125" t="s">
        <v>663</v>
      </c>
      <c r="W133" s="123">
        <f ca="1">IF($C133="S",ROUND(IF(TIPOORCAMENTO="Proposto",ORÇAMENTO.CustoUnitario*(1+$AH133),ORÇAMENTO.PrecoUnitarioLicitado),15-13*$AF$10),0)</f>
        <v>0</v>
      </c>
      <c r="X133" s="126" cm="1">
        <f t="array" aca="1" ref="X133" ca="1">IF($C133="S",IF(OR(Import.TipoArredondamento&lt;&gt;"TransfereGOV",ACOMPANHAMENTO="BM"),VTOTAL1,SUM(OFFSET(CÁLCULO!$AA$15,ROW($X133)-ROW($X$15),1):OFFSET(CÁLCULO!$AL$15,ROW($X133)-ROW($X$15),-1))),IF($C133=0,0,ROUND(SomaAgrup,15-13*$AF$11)))</f>
        <v>0</v>
      </c>
      <c r="Y133" s="127" t="s">
        <v>752</v>
      </c>
      <c r="Z133" t="str">
        <f t="shared" ca="1" si="30"/>
        <v/>
      </c>
      <c r="AA133" s="128">
        <f ca="1">IF($C133="S",IF($Z133="CP",$X133,IF($Z133="RA",(($X133)*QCI!$AA$3),0)),SomaAgrup)</f>
        <v>0</v>
      </c>
      <c r="AB133" s="129">
        <f t="shared" ca="1" si="31"/>
        <v>0</v>
      </c>
      <c r="AC133" s="567" t="str">
        <f ca="1">IF($N133=""," ",
IF(AND($C133&lt;&gt;"S",OR($R133="",$R133="(digite a descrição aqui)")),"DESCRIÇÃO",
IF(AND($C133="S",OR($Q133&lt;&gt;0,$T133&gt;0,$U133&gt;0),$P133=0),"FONTE",
IF(AND($C133="S",$P133&lt;&gt;0,OR($T133&gt;0,$U133&gt;0),$Q133=0),"CÓDIGO",
IF(AND($C133="S",$P133&lt;&gt;0,$Q133&lt;&gt;0,$R133="(Código não identificado nas referências)"),"CÓDIGO N/ID",
IF(AND($C133="S",OR($R133="",$R133="(digite a descrição aqui)"),OR($Q133&lt;&gt;0,$T133&gt;0,$U133&gt;0)),"DESCRIÇÃO",
IF(AND($C133="S",$P133&lt;&gt;0,$Q133&lt;&gt;0,$S133=""),"UNIDADE",
IF(AND($C133="S",$P133&lt;&gt;0,$Q133&lt;&gt;0,$U133=0),"SEM CUSTO",
IF(AND(TIPOORCAMENTO="Licitado",$AL133=0,$AN133&gt;0),"SEM PREÇO",
IF(AND($C133="S",$P133&lt;&gt;0,$Q133&lt;&gt;0,$U133&gt;0,$V133=0),"BDI",
IF(OR(AND(TIPOORCAMENTO="Proposto",$AG133&lt;&gt;"",$AG133&gt;0,ORÇAMENTO.CustoUnitario&gt;$AG133),AND(TIPOORCAMENTO="LICITADO",ORÇAMENTO.PrecoUnitarioLicitado&gt;$AN133)),"ACIMA REF.",
IF(AND($C133="S",$P133&lt;&gt;0,$Q133&lt;&gt;0,$T133=0,$U133&gt;0),"QUANT.",
IF(AND(Import.TipoArredondamento="TransfereGOV",$L133="F",$C133="S",LEN($Q133)&gt;13),"Código &gt;13",
IF(AND(Import.TipoArredondamento="TransfereGOV",$L133="F",$C133&lt;&gt;"S",LEN($R133)&gt;100),"Descrição &gt;100",
IF(AND(Import.TipoArredondamento="TransfereGOV",$L133="F",$C133="S",LEN($R133)&gt;500),"Descrição &gt;500",
IF(AND(Import.TipoArredondamento="TransfereGOV",$L133="F",$C133="S",LEFT(TRIM(UPPER($P133)),6)&lt;&gt;"SINAPI",ISNA(VLOOKUP(TRIM(UPPER($S133)),ListaTgov.Unidades,1,FALSE))),"Unid. Não Disp",
" "))))))))))))))))</f>
        <v>SEM CUSTO</v>
      </c>
      <c r="AD133" t="str">
        <f ca="1">IF(C133&lt;=CRONO.NivelExibicao,MAX($AD$15:OFFSET(AD133,-1,0))+IF($C133&lt;&gt;1,1,MAX(1,COUNTIF(QCI!$A$13:$A$24,OFFSET($E133,-1,0)))),"")</f>
        <v/>
      </c>
      <c r="AE133" s="7" t="str">
        <f ca="1">IF(AND($C133="S",ORÇAMENTO.CodBarra&lt;&gt;""),IF(ORÇAMENTO.Fonte="",ORÇAMENTO.CodBarra,CONCATENATE(ORÇAMENTO.Fonte," ",ORÇAMENTO.CodBarra)))</f>
        <v>Composição  049</v>
      </c>
      <c r="AF133" s="12" t="str">
        <f ca="1">IF(ISERROR(INDIRECT(ORÇAMENTO.BancoRef)),"(abra o arquivo 'Referência "&amp;Excel_BuiltIn_Database&amp;".xlsm)",IF(OR($C133&lt;&gt;"S",ORÇAMENTO.CodBarra=""),"(Sem Código)",IF(ISERROR(MATCH($AE133,INDIRECT(ORÇAMENTO.BancoRef),0)),"(Código não identificado nas referências)",MATCH($AE133,INDIRECT(ORÇAMENTO.BancoRef),0))))</f>
        <v>(abra o arquivo 'Referência 12-2024.xlsm)</v>
      </c>
      <c r="AG133" s="429">
        <f ca="1">ROUND(IF(DESONERACAO="sim",REFERENCIA.Desonerado,REFERENCIA.NaoDesonerado),2)</f>
        <v>0</v>
      </c>
      <c r="AH133" s="430">
        <f t="shared" ca="1" si="32"/>
        <v>0.31190000000000001</v>
      </c>
      <c r="AJ133" s="432">
        <v>4</v>
      </c>
      <c r="AL133" s="440"/>
      <c r="AM133" s="337">
        <f t="shared" ca="1" si="0"/>
        <v>0</v>
      </c>
      <c r="AN133" s="471">
        <f t="shared" ca="1" si="33"/>
        <v>0</v>
      </c>
    </row>
    <row r="134" spans="1:40" ht="38.25" x14ac:dyDescent="0.2">
      <c r="A134" t="str">
        <f t="shared" si="18"/>
        <v>S</v>
      </c>
      <c r="B134">
        <f t="shared" ca="1" si="19"/>
        <v>3</v>
      </c>
      <c r="C134" t="str">
        <f t="shared" ca="1" si="20"/>
        <v>S</v>
      </c>
      <c r="D134">
        <f t="shared" ca="1" si="21"/>
        <v>0</v>
      </c>
      <c r="E134">
        <f ca="1">IF($C134=1,OFFSET(E134,-1,0)+MAX(1,COUNTIF(QCI!$A$13:$A$24,OFFSET(ORÇAMENTO!E134,-1,0))),OFFSET(E134,-1,0))</f>
        <v>1</v>
      </c>
      <c r="F134">
        <f t="shared" ca="1" si="22"/>
        <v>11</v>
      </c>
      <c r="G134">
        <f t="shared" ca="1" si="23"/>
        <v>1</v>
      </c>
      <c r="H134">
        <f t="shared" ca="1" si="24"/>
        <v>0</v>
      </c>
      <c r="I134">
        <f t="shared" ca="1" si="25"/>
        <v>0</v>
      </c>
      <c r="J134">
        <f t="shared" ca="1" si="26"/>
        <v>0</v>
      </c>
      <c r="K134">
        <f ca="1">IF(OR($C134="S",$C134=0),0,MATCH(OFFSET($D134,0,$C134)+IF($C134&lt;&gt;1,1,COUNTIF(QCI!$A$13:$A$24,ORÇAMENTO!E134)),OFFSET($D134,1,$C134,ROW($C$405)-ROW($C134)),0))</f>
        <v>0</v>
      </c>
      <c r="L134" s="115" t="str">
        <f t="shared" ca="1" si="27"/>
        <v/>
      </c>
      <c r="M134" s="116" t="s">
        <v>706</v>
      </c>
      <c r="N134" s="117" t="str">
        <f t="shared" ca="1" si="28"/>
        <v>Serviço</v>
      </c>
      <c r="O134" s="118" t="str">
        <f t="shared" ca="1" si="29"/>
        <v>-</v>
      </c>
      <c r="P134" s="119" t="s">
        <v>751</v>
      </c>
      <c r="Q134" s="120" t="s">
        <v>1046</v>
      </c>
      <c r="R134" s="121" t="s">
        <v>1422</v>
      </c>
      <c r="S134" s="122" t="s">
        <v>639</v>
      </c>
      <c r="T134" s="123">
        <f ca="1">OFFSET(CÁLCULO!H$15,ROW($T134)-ROW(T$15),0)</f>
        <v>4</v>
      </c>
      <c r="U134" s="124"/>
      <c r="V134" s="125" t="s">
        <v>663</v>
      </c>
      <c r="W134" s="123">
        <f ca="1">IF($C134="S",ROUND(IF(TIPOORCAMENTO="Proposto",ORÇAMENTO.CustoUnitario*(1+$AH134),ORÇAMENTO.PrecoUnitarioLicitado),15-13*$AF$10),0)</f>
        <v>0</v>
      </c>
      <c r="X134" s="126" cm="1">
        <f t="array" aca="1" ref="X134" ca="1">IF($C134="S",IF(OR(Import.TipoArredondamento&lt;&gt;"TransfereGOV",ACOMPANHAMENTO="BM"),VTOTAL1,SUM(OFFSET(CÁLCULO!$AA$15,ROW($X134)-ROW($X$15),1):OFFSET(CÁLCULO!$AL$15,ROW($X134)-ROW($X$15),-1))),IF($C134=0,0,ROUND(SomaAgrup,15-13*$AF$11)))</f>
        <v>0</v>
      </c>
      <c r="Y134" s="127" t="s">
        <v>752</v>
      </c>
      <c r="Z134" t="str">
        <f t="shared" ca="1" si="30"/>
        <v/>
      </c>
      <c r="AA134" s="128">
        <f ca="1">IF($C134="S",IF($Z134="CP",$X134,IF($Z134="RA",(($X134)*QCI!$AA$3),0)),SomaAgrup)</f>
        <v>0</v>
      </c>
      <c r="AB134" s="129">
        <f t="shared" ca="1" si="31"/>
        <v>0</v>
      </c>
      <c r="AC134" s="567" t="str">
        <f ca="1">IF($N134=""," ",
IF(AND($C134&lt;&gt;"S",OR($R134="",$R134="(digite a descrição aqui)")),"DESCRIÇÃO",
IF(AND($C134="S",OR($Q134&lt;&gt;0,$T134&gt;0,$U134&gt;0),$P134=0),"FONTE",
IF(AND($C134="S",$P134&lt;&gt;0,OR($T134&gt;0,$U134&gt;0),$Q134=0),"CÓDIGO",
IF(AND($C134="S",$P134&lt;&gt;0,$Q134&lt;&gt;0,$R134="(Código não identificado nas referências)"),"CÓDIGO N/ID",
IF(AND($C134="S",OR($R134="",$R134="(digite a descrição aqui)"),OR($Q134&lt;&gt;0,$T134&gt;0,$U134&gt;0)),"DESCRIÇÃO",
IF(AND($C134="S",$P134&lt;&gt;0,$Q134&lt;&gt;0,$S134=""),"UNIDADE",
IF(AND($C134="S",$P134&lt;&gt;0,$Q134&lt;&gt;0,$U134=0),"SEM CUSTO",
IF(AND(TIPOORCAMENTO="Licitado",$AL134=0,$AN134&gt;0),"SEM PREÇO",
IF(AND($C134="S",$P134&lt;&gt;0,$Q134&lt;&gt;0,$U134&gt;0,$V134=0),"BDI",
IF(OR(AND(TIPOORCAMENTO="Proposto",$AG134&lt;&gt;"",$AG134&gt;0,ORÇAMENTO.CustoUnitario&gt;$AG134),AND(TIPOORCAMENTO="LICITADO",ORÇAMENTO.PrecoUnitarioLicitado&gt;$AN134)),"ACIMA REF.",
IF(AND($C134="S",$P134&lt;&gt;0,$Q134&lt;&gt;0,$T134=0,$U134&gt;0),"QUANT.",
IF(AND(Import.TipoArredondamento="TransfereGOV",$L134="F",$C134="S",LEN($Q134)&gt;13),"Código &gt;13",
IF(AND(Import.TipoArredondamento="TransfereGOV",$L134="F",$C134&lt;&gt;"S",LEN($R134)&gt;100),"Descrição &gt;100",
IF(AND(Import.TipoArredondamento="TransfereGOV",$L134="F",$C134="S",LEN($R134)&gt;500),"Descrição &gt;500",
IF(AND(Import.TipoArredondamento="TransfereGOV",$L134="F",$C134="S",LEFT(TRIM(UPPER($P134)),6)&lt;&gt;"SINAPI",ISNA(VLOOKUP(TRIM(UPPER($S134)),ListaTgov.Unidades,1,FALSE))),"Unid. Não Disp",
" "))))))))))))))))</f>
        <v>SEM CUSTO</v>
      </c>
      <c r="AD134" t="str">
        <f ca="1">IF(C134&lt;=CRONO.NivelExibicao,MAX($AD$15:OFFSET(AD134,-1,0))+IF($C134&lt;&gt;1,1,MAX(1,COUNTIF(QCI!$A$13:$A$24,OFFSET($E134,-1,0)))),"")</f>
        <v/>
      </c>
      <c r="AE134" s="7" t="str">
        <f ca="1">IF(AND($C134="S",ORÇAMENTO.CodBarra&lt;&gt;""),IF(ORÇAMENTO.Fonte="",ORÇAMENTO.CodBarra,CONCATENATE(ORÇAMENTO.Fonte," ",ORÇAMENTO.CodBarra)))</f>
        <v>SINAPI 104009</v>
      </c>
      <c r="AF134" s="12" t="str">
        <f ca="1">IF(ISERROR(INDIRECT(ORÇAMENTO.BancoRef)),"(abra o arquivo 'Referência "&amp;Excel_BuiltIn_Database&amp;".xlsm)",IF(OR($C134&lt;&gt;"S",ORÇAMENTO.CodBarra=""),"(Sem Código)",IF(ISERROR(MATCH($AE134,INDIRECT(ORÇAMENTO.BancoRef),0)),"(Código não identificado nas referências)",MATCH($AE134,INDIRECT(ORÇAMENTO.BancoRef),0))))</f>
        <v>(abra o arquivo 'Referência 12-2024.xlsm)</v>
      </c>
      <c r="AG134" s="429">
        <f ca="1">ROUND(IF(DESONERACAO="sim",REFERENCIA.Desonerado,REFERENCIA.NaoDesonerado),2)</f>
        <v>0</v>
      </c>
      <c r="AH134" s="430">
        <f t="shared" ca="1" si="32"/>
        <v>0.31190000000000001</v>
      </c>
      <c r="AJ134" s="432">
        <v>4</v>
      </c>
      <c r="AL134" s="440"/>
      <c r="AM134" s="337">
        <f t="shared" ca="1" si="0"/>
        <v>0</v>
      </c>
      <c r="AN134" s="471">
        <f t="shared" ca="1" si="33"/>
        <v>0</v>
      </c>
    </row>
    <row r="135" spans="1:40" ht="25.5" x14ac:dyDescent="0.2">
      <c r="A135" t="str">
        <f t="shared" si="18"/>
        <v>S</v>
      </c>
      <c r="B135">
        <f t="shared" ca="1" si="19"/>
        <v>3</v>
      </c>
      <c r="C135" t="str">
        <f t="shared" ca="1" si="20"/>
        <v>S</v>
      </c>
      <c r="D135">
        <f t="shared" ca="1" si="21"/>
        <v>0</v>
      </c>
      <c r="E135">
        <f ca="1">IF($C135=1,OFFSET(E135,-1,0)+MAX(1,COUNTIF(QCI!$A$13:$A$24,OFFSET(ORÇAMENTO!E135,-1,0))),OFFSET(E135,-1,0))</f>
        <v>1</v>
      </c>
      <c r="F135">
        <f t="shared" ca="1" si="22"/>
        <v>11</v>
      </c>
      <c r="G135">
        <f t="shared" ca="1" si="23"/>
        <v>1</v>
      </c>
      <c r="H135">
        <f t="shared" ca="1" si="24"/>
        <v>0</v>
      </c>
      <c r="I135">
        <f t="shared" ca="1" si="25"/>
        <v>0</v>
      </c>
      <c r="J135">
        <f t="shared" ca="1" si="26"/>
        <v>0</v>
      </c>
      <c r="K135">
        <f ca="1">IF(OR($C135="S",$C135=0),0,MATCH(OFFSET($D135,0,$C135)+IF($C135&lt;&gt;1,1,COUNTIF(QCI!$A$13:$A$24,ORÇAMENTO!E135)),OFFSET($D135,1,$C135,ROW($C$405)-ROW($C135)),0))</f>
        <v>0</v>
      </c>
      <c r="L135" s="115" t="str">
        <f t="shared" ca="1" si="27"/>
        <v/>
      </c>
      <c r="M135" s="116" t="s">
        <v>706</v>
      </c>
      <c r="N135" s="117" t="str">
        <f t="shared" ca="1" si="28"/>
        <v>Serviço</v>
      </c>
      <c r="O135" s="118" t="str">
        <f t="shared" ca="1" si="29"/>
        <v>-</v>
      </c>
      <c r="P135" s="119" t="s">
        <v>1315</v>
      </c>
      <c r="Q135" s="120" t="s">
        <v>1047</v>
      </c>
      <c r="R135" s="121" t="s">
        <v>1423</v>
      </c>
      <c r="S135" s="122" t="s">
        <v>1644</v>
      </c>
      <c r="T135" s="123">
        <f ca="1">OFFSET(CÁLCULO!H$15,ROW($T135)-ROW(T$15),0)</f>
        <v>2</v>
      </c>
      <c r="U135" s="124"/>
      <c r="V135" s="125" t="s">
        <v>663</v>
      </c>
      <c r="W135" s="123">
        <f ca="1">IF($C135="S",ROUND(IF(TIPOORCAMENTO="Proposto",ORÇAMENTO.CustoUnitario*(1+$AH135),ORÇAMENTO.PrecoUnitarioLicitado),15-13*$AF$10),0)</f>
        <v>0</v>
      </c>
      <c r="X135" s="126" cm="1">
        <f t="array" aca="1" ref="X135" ca="1">IF($C135="S",IF(OR(Import.TipoArredondamento&lt;&gt;"TransfereGOV",ACOMPANHAMENTO="BM"),VTOTAL1,SUM(OFFSET(CÁLCULO!$AA$15,ROW($X135)-ROW($X$15),1):OFFSET(CÁLCULO!$AL$15,ROW($X135)-ROW($X$15),-1))),IF($C135=0,0,ROUND(SomaAgrup,15-13*$AF$11)))</f>
        <v>0</v>
      </c>
      <c r="Y135" s="127" t="s">
        <v>752</v>
      </c>
      <c r="Z135" t="str">
        <f t="shared" ca="1" si="30"/>
        <v/>
      </c>
      <c r="AA135" s="128">
        <f ca="1">IF($C135="S",IF($Z135="CP",$X135,IF($Z135="RA",(($X135)*QCI!$AA$3),0)),SomaAgrup)</f>
        <v>0</v>
      </c>
      <c r="AB135" s="129">
        <f t="shared" ca="1" si="31"/>
        <v>0</v>
      </c>
      <c r="AC135" s="567" t="str">
        <f ca="1">IF($N135=""," ",
IF(AND($C135&lt;&gt;"S",OR($R135="",$R135="(digite a descrição aqui)")),"DESCRIÇÃO",
IF(AND($C135="S",OR($Q135&lt;&gt;0,$T135&gt;0,$U135&gt;0),$P135=0),"FONTE",
IF(AND($C135="S",$P135&lt;&gt;0,OR($T135&gt;0,$U135&gt;0),$Q135=0),"CÓDIGO",
IF(AND($C135="S",$P135&lt;&gt;0,$Q135&lt;&gt;0,$R135="(Código não identificado nas referências)"),"CÓDIGO N/ID",
IF(AND($C135="S",OR($R135="",$R135="(digite a descrição aqui)"),OR($Q135&lt;&gt;0,$T135&gt;0,$U135&gt;0)),"DESCRIÇÃO",
IF(AND($C135="S",$P135&lt;&gt;0,$Q135&lt;&gt;0,$S135=""),"UNIDADE",
IF(AND($C135="S",$P135&lt;&gt;0,$Q135&lt;&gt;0,$U135=0),"SEM CUSTO",
IF(AND(TIPOORCAMENTO="Licitado",$AL135=0,$AN135&gt;0),"SEM PREÇO",
IF(AND($C135="S",$P135&lt;&gt;0,$Q135&lt;&gt;0,$U135&gt;0,$V135=0),"BDI",
IF(OR(AND(TIPOORCAMENTO="Proposto",$AG135&lt;&gt;"",$AG135&gt;0,ORÇAMENTO.CustoUnitario&gt;$AG135),AND(TIPOORCAMENTO="LICITADO",ORÇAMENTO.PrecoUnitarioLicitado&gt;$AN135)),"ACIMA REF.",
IF(AND($C135="S",$P135&lt;&gt;0,$Q135&lt;&gt;0,$T135=0,$U135&gt;0),"QUANT.",
IF(AND(Import.TipoArredondamento="TransfereGOV",$L135="F",$C135="S",LEN($Q135)&gt;13),"Código &gt;13",
IF(AND(Import.TipoArredondamento="TransfereGOV",$L135="F",$C135&lt;&gt;"S",LEN($R135)&gt;100),"Descrição &gt;100",
IF(AND(Import.TipoArredondamento="TransfereGOV",$L135="F",$C135="S",LEN($R135)&gt;500),"Descrição &gt;500",
IF(AND(Import.TipoArredondamento="TransfereGOV",$L135="F",$C135="S",LEFT(TRIM(UPPER($P135)),6)&lt;&gt;"SINAPI",ISNA(VLOOKUP(TRIM(UPPER($S135)),ListaTgov.Unidades,1,FALSE))),"Unid. Não Disp",
" "))))))))))))))))</f>
        <v>SEM CUSTO</v>
      </c>
      <c r="AD135" t="str">
        <f ca="1">IF(C135&lt;=CRONO.NivelExibicao,MAX($AD$15:OFFSET(AD135,-1,0))+IF($C135&lt;&gt;1,1,MAX(1,COUNTIF(QCI!$A$13:$A$24,OFFSET($E135,-1,0)))),"")</f>
        <v/>
      </c>
      <c r="AE135" s="7" t="str">
        <f ca="1">IF(AND($C135="S",ORÇAMENTO.CodBarra&lt;&gt;""),IF(ORÇAMENTO.Fonte="",ORÇAMENTO.CodBarra,CONCATENATE(ORÇAMENTO.Fonte," ",ORÇAMENTO.CodBarra)))</f>
        <v>SINAPI-I 12909</v>
      </c>
      <c r="AF135" s="12" t="str">
        <f ca="1">IF(ISERROR(INDIRECT(ORÇAMENTO.BancoRef)),"(abra o arquivo 'Referência "&amp;Excel_BuiltIn_Database&amp;".xlsm)",IF(OR($C135&lt;&gt;"S",ORÇAMENTO.CodBarra=""),"(Sem Código)",IF(ISERROR(MATCH($AE135,INDIRECT(ORÇAMENTO.BancoRef),0)),"(Código não identificado nas referências)",MATCH($AE135,INDIRECT(ORÇAMENTO.BancoRef),0))))</f>
        <v>(abra o arquivo 'Referência 12-2024.xlsm)</v>
      </c>
      <c r="AG135" s="429">
        <f ca="1">ROUND(IF(DESONERACAO="sim",REFERENCIA.Desonerado,REFERENCIA.NaoDesonerado),2)</f>
        <v>0</v>
      </c>
      <c r="AH135" s="430">
        <f t="shared" ca="1" si="32"/>
        <v>0.31190000000000001</v>
      </c>
      <c r="AJ135" s="432">
        <v>2</v>
      </c>
      <c r="AL135" s="440"/>
      <c r="AM135" s="337">
        <f t="shared" ca="1" si="0"/>
        <v>0</v>
      </c>
      <c r="AN135" s="471">
        <f t="shared" ca="1" si="33"/>
        <v>0</v>
      </c>
    </row>
    <row r="136" spans="1:40" x14ac:dyDescent="0.2">
      <c r="A136" t="str">
        <f t="shared" si="18"/>
        <v>S</v>
      </c>
      <c r="B136">
        <f t="shared" ca="1" si="19"/>
        <v>3</v>
      </c>
      <c r="C136" t="str">
        <f t="shared" ca="1" si="20"/>
        <v>S</v>
      </c>
      <c r="D136">
        <f t="shared" ca="1" si="21"/>
        <v>0</v>
      </c>
      <c r="E136">
        <f ca="1">IF($C136=1,OFFSET(E136,-1,0)+MAX(1,COUNTIF(QCI!$A$13:$A$24,OFFSET(ORÇAMENTO!E136,-1,0))),OFFSET(E136,-1,0))</f>
        <v>1</v>
      </c>
      <c r="F136">
        <f t="shared" ca="1" si="22"/>
        <v>11</v>
      </c>
      <c r="G136">
        <f t="shared" ca="1" si="23"/>
        <v>1</v>
      </c>
      <c r="H136">
        <f t="shared" ca="1" si="24"/>
        <v>0</v>
      </c>
      <c r="I136">
        <f t="shared" ca="1" si="25"/>
        <v>0</v>
      </c>
      <c r="J136">
        <f t="shared" ca="1" si="26"/>
        <v>0</v>
      </c>
      <c r="K136">
        <f ca="1">IF(OR($C136="S",$C136=0),0,MATCH(OFFSET($D136,0,$C136)+IF($C136&lt;&gt;1,1,COUNTIF(QCI!$A$13:$A$24,ORÇAMENTO!E136)),OFFSET($D136,1,$C136,ROW($C$405)-ROW($C136)),0))</f>
        <v>0</v>
      </c>
      <c r="L136" s="115" t="str">
        <f t="shared" ca="1" si="27"/>
        <v/>
      </c>
      <c r="M136" s="116" t="s">
        <v>706</v>
      </c>
      <c r="N136" s="117" t="str">
        <f t="shared" ca="1" si="28"/>
        <v>Serviço</v>
      </c>
      <c r="O136" s="118" t="str">
        <f t="shared" ca="1" si="29"/>
        <v>-</v>
      </c>
      <c r="P136" s="119" t="s">
        <v>1315</v>
      </c>
      <c r="Q136" s="120" t="s">
        <v>1048</v>
      </c>
      <c r="R136" s="121" t="s">
        <v>1424</v>
      </c>
      <c r="S136" s="122" t="s">
        <v>1644</v>
      </c>
      <c r="T136" s="123">
        <f ca="1">OFFSET(CÁLCULO!H$15,ROW($T136)-ROW(T$15),0)</f>
        <v>39</v>
      </c>
      <c r="U136" s="124"/>
      <c r="V136" s="125" t="s">
        <v>663</v>
      </c>
      <c r="W136" s="123">
        <f ca="1">IF($C136="S",ROUND(IF(TIPOORCAMENTO="Proposto",ORÇAMENTO.CustoUnitario*(1+$AH136),ORÇAMENTO.PrecoUnitarioLicitado),15-13*$AF$10),0)</f>
        <v>0</v>
      </c>
      <c r="X136" s="126" cm="1">
        <f t="array" aca="1" ref="X136" ca="1">IF($C136="S",IF(OR(Import.TipoArredondamento&lt;&gt;"TransfereGOV",ACOMPANHAMENTO="BM"),VTOTAL1,SUM(OFFSET(CÁLCULO!$AA$15,ROW($X136)-ROW($X$15),1):OFFSET(CÁLCULO!$AL$15,ROW($X136)-ROW($X$15),-1))),IF($C136=0,0,ROUND(SomaAgrup,15-13*$AF$11)))</f>
        <v>0</v>
      </c>
      <c r="Y136" s="127" t="s">
        <v>752</v>
      </c>
      <c r="Z136" t="str">
        <f t="shared" ca="1" si="30"/>
        <v/>
      </c>
      <c r="AA136" s="128">
        <f ca="1">IF($C136="S",IF($Z136="CP",$X136,IF($Z136="RA",(($X136)*QCI!$AA$3),0)),SomaAgrup)</f>
        <v>0</v>
      </c>
      <c r="AB136" s="129">
        <f t="shared" ca="1" si="31"/>
        <v>0</v>
      </c>
      <c r="AC136" s="567" t="str">
        <f ca="1">IF($N136=""," ",
IF(AND($C136&lt;&gt;"S",OR($R136="",$R136="(digite a descrição aqui)")),"DESCRIÇÃO",
IF(AND($C136="S",OR($Q136&lt;&gt;0,$T136&gt;0,$U136&gt;0),$P136=0),"FONTE",
IF(AND($C136="S",$P136&lt;&gt;0,OR($T136&gt;0,$U136&gt;0),$Q136=0),"CÓDIGO",
IF(AND($C136="S",$P136&lt;&gt;0,$Q136&lt;&gt;0,$R136="(Código não identificado nas referências)"),"CÓDIGO N/ID",
IF(AND($C136="S",OR($R136="",$R136="(digite a descrição aqui)"),OR($Q136&lt;&gt;0,$T136&gt;0,$U136&gt;0)),"DESCRIÇÃO",
IF(AND($C136="S",$P136&lt;&gt;0,$Q136&lt;&gt;0,$S136=""),"UNIDADE",
IF(AND($C136="S",$P136&lt;&gt;0,$Q136&lt;&gt;0,$U136=0),"SEM CUSTO",
IF(AND(TIPOORCAMENTO="Licitado",$AL136=0,$AN136&gt;0),"SEM PREÇO",
IF(AND($C136="S",$P136&lt;&gt;0,$Q136&lt;&gt;0,$U136&gt;0,$V136=0),"BDI",
IF(OR(AND(TIPOORCAMENTO="Proposto",$AG136&lt;&gt;"",$AG136&gt;0,ORÇAMENTO.CustoUnitario&gt;$AG136),AND(TIPOORCAMENTO="LICITADO",ORÇAMENTO.PrecoUnitarioLicitado&gt;$AN136)),"ACIMA REF.",
IF(AND($C136="S",$P136&lt;&gt;0,$Q136&lt;&gt;0,$T136=0,$U136&gt;0),"QUANT.",
IF(AND(Import.TipoArredondamento="TransfereGOV",$L136="F",$C136="S",LEN($Q136)&gt;13),"Código &gt;13",
IF(AND(Import.TipoArredondamento="TransfereGOV",$L136="F",$C136&lt;&gt;"S",LEN($R136)&gt;100),"Descrição &gt;100",
IF(AND(Import.TipoArredondamento="TransfereGOV",$L136="F",$C136="S",LEN($R136)&gt;500),"Descrição &gt;500",
IF(AND(Import.TipoArredondamento="TransfereGOV",$L136="F",$C136="S",LEFT(TRIM(UPPER($P136)),6)&lt;&gt;"SINAPI",ISNA(VLOOKUP(TRIM(UPPER($S136)),ListaTgov.Unidades,1,FALSE))),"Unid. Não Disp",
" "))))))))))))))))</f>
        <v>SEM CUSTO</v>
      </c>
      <c r="AD136" t="str">
        <f ca="1">IF(C136&lt;=CRONO.NivelExibicao,MAX($AD$15:OFFSET(AD136,-1,0))+IF($C136&lt;&gt;1,1,MAX(1,COUNTIF(QCI!$A$13:$A$24,OFFSET($E136,-1,0)))),"")</f>
        <v/>
      </c>
      <c r="AE136" s="7" t="str">
        <f ca="1">IF(AND($C136="S",ORÇAMENTO.CodBarra&lt;&gt;""),IF(ORÇAMENTO.Fonte="",ORÇAMENTO.CodBarra,CONCATENATE(ORÇAMENTO.Fonte," ",ORÇAMENTO.CodBarra)))</f>
        <v>SINAPI-I 1193</v>
      </c>
      <c r="AF136" s="12" t="str">
        <f ca="1">IF(ISERROR(INDIRECT(ORÇAMENTO.BancoRef)),"(abra o arquivo 'Referência "&amp;Excel_BuiltIn_Database&amp;".xlsm)",IF(OR($C136&lt;&gt;"S",ORÇAMENTO.CodBarra=""),"(Sem Código)",IF(ISERROR(MATCH($AE136,INDIRECT(ORÇAMENTO.BancoRef),0)),"(Código não identificado nas referências)",MATCH($AE136,INDIRECT(ORÇAMENTO.BancoRef),0))))</f>
        <v>(abra o arquivo 'Referência 12-2024.xlsm)</v>
      </c>
      <c r="AG136" s="429">
        <f ca="1">ROUND(IF(DESONERACAO="sim",REFERENCIA.Desonerado,REFERENCIA.NaoDesonerado),2)</f>
        <v>0</v>
      </c>
      <c r="AH136" s="430">
        <f t="shared" ca="1" si="32"/>
        <v>0.31190000000000001</v>
      </c>
      <c r="AJ136" s="432">
        <v>39</v>
      </c>
      <c r="AL136" s="440"/>
      <c r="AM136" s="337">
        <f t="shared" ca="1" si="0"/>
        <v>0</v>
      </c>
      <c r="AN136" s="471">
        <f t="shared" ca="1" si="33"/>
        <v>0</v>
      </c>
    </row>
    <row r="137" spans="1:40" ht="38.25" x14ac:dyDescent="0.2">
      <c r="A137" t="str">
        <f t="shared" si="18"/>
        <v>S</v>
      </c>
      <c r="B137">
        <f t="shared" ca="1" si="19"/>
        <v>3</v>
      </c>
      <c r="C137" t="str">
        <f t="shared" ca="1" si="20"/>
        <v>S</v>
      </c>
      <c r="D137">
        <f t="shared" ca="1" si="21"/>
        <v>0</v>
      </c>
      <c r="E137">
        <f ca="1">IF($C137=1,OFFSET(E137,-1,0)+MAX(1,COUNTIF(QCI!$A$13:$A$24,OFFSET(ORÇAMENTO!E137,-1,0))),OFFSET(E137,-1,0))</f>
        <v>1</v>
      </c>
      <c r="F137">
        <f t="shared" ca="1" si="22"/>
        <v>11</v>
      </c>
      <c r="G137">
        <f t="shared" ca="1" si="23"/>
        <v>1</v>
      </c>
      <c r="H137">
        <f t="shared" ca="1" si="24"/>
        <v>0</v>
      </c>
      <c r="I137">
        <f t="shared" ca="1" si="25"/>
        <v>0</v>
      </c>
      <c r="J137">
        <f t="shared" ca="1" si="26"/>
        <v>0</v>
      </c>
      <c r="K137">
        <f ca="1">IF(OR($C137="S",$C137=0),0,MATCH(OFFSET($D137,0,$C137)+IF($C137&lt;&gt;1,1,COUNTIF(QCI!$A$13:$A$24,ORÇAMENTO!E137)),OFFSET($D137,1,$C137,ROW($C$405)-ROW($C137)),0))</f>
        <v>0</v>
      </c>
      <c r="L137" s="115" t="str">
        <f t="shared" ca="1" si="27"/>
        <v/>
      </c>
      <c r="M137" s="116" t="s">
        <v>706</v>
      </c>
      <c r="N137" s="117" t="str">
        <f t="shared" ca="1" si="28"/>
        <v>Serviço</v>
      </c>
      <c r="O137" s="118" t="str">
        <f t="shared" ca="1" si="29"/>
        <v>-</v>
      </c>
      <c r="P137" s="119" t="s">
        <v>751</v>
      </c>
      <c r="Q137" s="120" t="s">
        <v>1049</v>
      </c>
      <c r="R137" s="121" t="s">
        <v>1425</v>
      </c>
      <c r="S137" s="122" t="s">
        <v>639</v>
      </c>
      <c r="T137" s="123">
        <f ca="1">OFFSET(CÁLCULO!H$15,ROW($T137)-ROW(T$15),0)</f>
        <v>18</v>
      </c>
      <c r="U137" s="124"/>
      <c r="V137" s="125" t="s">
        <v>663</v>
      </c>
      <c r="W137" s="123">
        <f ca="1">IF($C137="S",ROUND(IF(TIPOORCAMENTO="Proposto",ORÇAMENTO.CustoUnitario*(1+$AH137),ORÇAMENTO.PrecoUnitarioLicitado),15-13*$AF$10),0)</f>
        <v>0</v>
      </c>
      <c r="X137" s="126" cm="1">
        <f t="array" aca="1" ref="X137" ca="1">IF($C137="S",IF(OR(Import.TipoArredondamento&lt;&gt;"TransfereGOV",ACOMPANHAMENTO="BM"),VTOTAL1,SUM(OFFSET(CÁLCULO!$AA$15,ROW($X137)-ROW($X$15),1):OFFSET(CÁLCULO!$AL$15,ROW($X137)-ROW($X$15),-1))),IF($C137=0,0,ROUND(SomaAgrup,15-13*$AF$11)))</f>
        <v>0</v>
      </c>
      <c r="Y137" s="127" t="s">
        <v>752</v>
      </c>
      <c r="Z137" t="str">
        <f t="shared" ca="1" si="30"/>
        <v/>
      </c>
      <c r="AA137" s="128">
        <f ca="1">IF($C137="S",IF($Z137="CP",$X137,IF($Z137="RA",(($X137)*QCI!$AA$3),0)),SomaAgrup)</f>
        <v>0</v>
      </c>
      <c r="AB137" s="129">
        <f t="shared" ca="1" si="31"/>
        <v>0</v>
      </c>
      <c r="AC137" s="567" t="str">
        <f ca="1">IF($N137=""," ",
IF(AND($C137&lt;&gt;"S",OR($R137="",$R137="(digite a descrição aqui)")),"DESCRIÇÃO",
IF(AND($C137="S",OR($Q137&lt;&gt;0,$T137&gt;0,$U137&gt;0),$P137=0),"FONTE",
IF(AND($C137="S",$P137&lt;&gt;0,OR($T137&gt;0,$U137&gt;0),$Q137=0),"CÓDIGO",
IF(AND($C137="S",$P137&lt;&gt;0,$Q137&lt;&gt;0,$R137="(Código não identificado nas referências)"),"CÓDIGO N/ID",
IF(AND($C137="S",OR($R137="",$R137="(digite a descrição aqui)"),OR($Q137&lt;&gt;0,$T137&gt;0,$U137&gt;0)),"DESCRIÇÃO",
IF(AND($C137="S",$P137&lt;&gt;0,$Q137&lt;&gt;0,$S137=""),"UNIDADE",
IF(AND($C137="S",$P137&lt;&gt;0,$Q137&lt;&gt;0,$U137=0),"SEM CUSTO",
IF(AND(TIPOORCAMENTO="Licitado",$AL137=0,$AN137&gt;0),"SEM PREÇO",
IF(AND($C137="S",$P137&lt;&gt;0,$Q137&lt;&gt;0,$U137&gt;0,$V137=0),"BDI",
IF(OR(AND(TIPOORCAMENTO="Proposto",$AG137&lt;&gt;"",$AG137&gt;0,ORÇAMENTO.CustoUnitario&gt;$AG137),AND(TIPOORCAMENTO="LICITADO",ORÇAMENTO.PrecoUnitarioLicitado&gt;$AN137)),"ACIMA REF.",
IF(AND($C137="S",$P137&lt;&gt;0,$Q137&lt;&gt;0,$T137=0,$U137&gt;0),"QUANT.",
IF(AND(Import.TipoArredondamento="TransfereGOV",$L137="F",$C137="S",LEN($Q137)&gt;13),"Código &gt;13",
IF(AND(Import.TipoArredondamento="TransfereGOV",$L137="F",$C137&lt;&gt;"S",LEN($R137)&gt;100),"Descrição &gt;100",
IF(AND(Import.TipoArredondamento="TransfereGOV",$L137="F",$C137="S",LEN($R137)&gt;500),"Descrição &gt;500",
IF(AND(Import.TipoArredondamento="TransfereGOV",$L137="F",$C137="S",LEFT(TRIM(UPPER($P137)),6)&lt;&gt;"SINAPI",ISNA(VLOOKUP(TRIM(UPPER($S137)),ListaTgov.Unidades,1,FALSE))),"Unid. Não Disp",
" "))))))))))))))))</f>
        <v>SEM CUSTO</v>
      </c>
      <c r="AD137" t="str">
        <f ca="1">IF(C137&lt;=CRONO.NivelExibicao,MAX($AD$15:OFFSET(AD137,-1,0))+IF($C137&lt;&gt;1,1,MAX(1,COUNTIF(QCI!$A$13:$A$24,OFFSET($E137,-1,0)))),"")</f>
        <v/>
      </c>
      <c r="AE137" s="7" t="str">
        <f ca="1">IF(AND($C137="S",ORÇAMENTO.CodBarra&lt;&gt;""),IF(ORÇAMENTO.Fonte="",ORÇAMENTO.CodBarra,CONCATENATE(ORÇAMENTO.Fonte," ",ORÇAMENTO.CodBarra)))</f>
        <v>SINAPI 89746</v>
      </c>
      <c r="AF137" s="12" t="str">
        <f ca="1">IF(ISERROR(INDIRECT(ORÇAMENTO.BancoRef)),"(abra o arquivo 'Referência "&amp;Excel_BuiltIn_Database&amp;".xlsm)",IF(OR($C137&lt;&gt;"S",ORÇAMENTO.CodBarra=""),"(Sem Código)",IF(ISERROR(MATCH($AE137,INDIRECT(ORÇAMENTO.BancoRef),0)),"(Código não identificado nas referências)",MATCH($AE137,INDIRECT(ORÇAMENTO.BancoRef),0))))</f>
        <v>(abra o arquivo 'Referência 12-2024.xlsm)</v>
      </c>
      <c r="AG137" s="429">
        <f ca="1">ROUND(IF(DESONERACAO="sim",REFERENCIA.Desonerado,REFERENCIA.NaoDesonerado),2)</f>
        <v>0</v>
      </c>
      <c r="AH137" s="430">
        <f t="shared" ca="1" si="32"/>
        <v>0.31190000000000001</v>
      </c>
      <c r="AJ137" s="432">
        <v>18</v>
      </c>
      <c r="AL137" s="440"/>
      <c r="AM137" s="337">
        <f t="shared" ca="1" si="0"/>
        <v>0</v>
      </c>
      <c r="AN137" s="471">
        <f t="shared" ca="1" si="33"/>
        <v>0</v>
      </c>
    </row>
    <row r="138" spans="1:40" ht="38.25" x14ac:dyDescent="0.2">
      <c r="A138" t="str">
        <f t="shared" si="18"/>
        <v>S</v>
      </c>
      <c r="B138">
        <f t="shared" ca="1" si="19"/>
        <v>3</v>
      </c>
      <c r="C138" t="str">
        <f t="shared" ca="1" si="20"/>
        <v>S</v>
      </c>
      <c r="D138">
        <f t="shared" ca="1" si="21"/>
        <v>0</v>
      </c>
      <c r="E138">
        <f ca="1">IF($C138=1,OFFSET(E138,-1,0)+MAX(1,COUNTIF(QCI!$A$13:$A$24,OFFSET(ORÇAMENTO!E138,-1,0))),OFFSET(E138,-1,0))</f>
        <v>1</v>
      </c>
      <c r="F138">
        <f t="shared" ca="1" si="22"/>
        <v>11</v>
      </c>
      <c r="G138">
        <f t="shared" ca="1" si="23"/>
        <v>1</v>
      </c>
      <c r="H138">
        <f t="shared" ca="1" si="24"/>
        <v>0</v>
      </c>
      <c r="I138">
        <f t="shared" ca="1" si="25"/>
        <v>0</v>
      </c>
      <c r="J138">
        <f t="shared" ca="1" si="26"/>
        <v>0</v>
      </c>
      <c r="K138">
        <f ca="1">IF(OR($C138="S",$C138=0),0,MATCH(OFFSET($D138,0,$C138)+IF($C138&lt;&gt;1,1,COUNTIF(QCI!$A$13:$A$24,ORÇAMENTO!E138)),OFFSET($D138,1,$C138,ROW($C$405)-ROW($C138)),0))</f>
        <v>0</v>
      </c>
      <c r="L138" s="115" t="str">
        <f t="shared" ca="1" si="27"/>
        <v/>
      </c>
      <c r="M138" s="116" t="s">
        <v>706</v>
      </c>
      <c r="N138" s="117" t="str">
        <f t="shared" ca="1" si="28"/>
        <v>Serviço</v>
      </c>
      <c r="O138" s="118" t="str">
        <f t="shared" ca="1" si="29"/>
        <v>-</v>
      </c>
      <c r="P138" s="119" t="s">
        <v>751</v>
      </c>
      <c r="Q138" s="120" t="s">
        <v>1050</v>
      </c>
      <c r="R138" s="121" t="s">
        <v>1426</v>
      </c>
      <c r="S138" s="122" t="s">
        <v>639</v>
      </c>
      <c r="T138" s="123">
        <f ca="1">OFFSET(CÁLCULO!H$15,ROW($T138)-ROW(T$15),0)</f>
        <v>1</v>
      </c>
      <c r="U138" s="124"/>
      <c r="V138" s="125" t="s">
        <v>663</v>
      </c>
      <c r="W138" s="123">
        <f ca="1">IF($C138="S",ROUND(IF(TIPOORCAMENTO="Proposto",ORÇAMENTO.CustoUnitario*(1+$AH138),ORÇAMENTO.PrecoUnitarioLicitado),15-13*$AF$10),0)</f>
        <v>0</v>
      </c>
      <c r="X138" s="126" cm="1">
        <f t="array" aca="1" ref="X138" ca="1">IF($C138="S",IF(OR(Import.TipoArredondamento&lt;&gt;"TransfereGOV",ACOMPANHAMENTO="BM"),VTOTAL1,SUM(OFFSET(CÁLCULO!$AA$15,ROW($X138)-ROW($X$15),1):OFFSET(CÁLCULO!$AL$15,ROW($X138)-ROW($X$15),-1))),IF($C138=0,0,ROUND(SomaAgrup,15-13*$AF$11)))</f>
        <v>0</v>
      </c>
      <c r="Y138" s="127" t="s">
        <v>752</v>
      </c>
      <c r="Z138" t="str">
        <f t="shared" ca="1" si="30"/>
        <v/>
      </c>
      <c r="AA138" s="128">
        <f ca="1">IF($C138="S",IF($Z138="CP",$X138,IF($Z138="RA",(($X138)*QCI!$AA$3),0)),SomaAgrup)</f>
        <v>0</v>
      </c>
      <c r="AB138" s="129">
        <f t="shared" ca="1" si="31"/>
        <v>0</v>
      </c>
      <c r="AC138" s="567" t="str">
        <f ca="1">IF($N138=""," ",
IF(AND($C138&lt;&gt;"S",OR($R138="",$R138="(digite a descrição aqui)")),"DESCRIÇÃO",
IF(AND($C138="S",OR($Q138&lt;&gt;0,$T138&gt;0,$U138&gt;0),$P138=0),"FONTE",
IF(AND($C138="S",$P138&lt;&gt;0,OR($T138&gt;0,$U138&gt;0),$Q138=0),"CÓDIGO",
IF(AND($C138="S",$P138&lt;&gt;0,$Q138&lt;&gt;0,$R138="(Código não identificado nas referências)"),"CÓDIGO N/ID",
IF(AND($C138="S",OR($R138="",$R138="(digite a descrição aqui)"),OR($Q138&lt;&gt;0,$T138&gt;0,$U138&gt;0)),"DESCRIÇÃO",
IF(AND($C138="S",$P138&lt;&gt;0,$Q138&lt;&gt;0,$S138=""),"UNIDADE",
IF(AND($C138="S",$P138&lt;&gt;0,$Q138&lt;&gt;0,$U138=0),"SEM CUSTO",
IF(AND(TIPOORCAMENTO="Licitado",$AL138=0,$AN138&gt;0),"SEM PREÇO",
IF(AND($C138="S",$P138&lt;&gt;0,$Q138&lt;&gt;0,$U138&gt;0,$V138=0),"BDI",
IF(OR(AND(TIPOORCAMENTO="Proposto",$AG138&lt;&gt;"",$AG138&gt;0,ORÇAMENTO.CustoUnitario&gt;$AG138),AND(TIPOORCAMENTO="LICITADO",ORÇAMENTO.PrecoUnitarioLicitado&gt;$AN138)),"ACIMA REF.",
IF(AND($C138="S",$P138&lt;&gt;0,$Q138&lt;&gt;0,$T138=0,$U138&gt;0),"QUANT.",
IF(AND(Import.TipoArredondamento="TransfereGOV",$L138="F",$C138="S",LEN($Q138)&gt;13),"Código &gt;13",
IF(AND(Import.TipoArredondamento="TransfereGOV",$L138="F",$C138&lt;&gt;"S",LEN($R138)&gt;100),"Descrição &gt;100",
IF(AND(Import.TipoArredondamento="TransfereGOV",$L138="F",$C138="S",LEN($R138)&gt;500),"Descrição &gt;500",
IF(AND(Import.TipoArredondamento="TransfereGOV",$L138="F",$C138="S",LEFT(TRIM(UPPER($P138)),6)&lt;&gt;"SINAPI",ISNA(VLOOKUP(TRIM(UPPER($S138)),ListaTgov.Unidades,1,FALSE))),"Unid. Não Disp",
" "))))))))))))))))</f>
        <v>SEM CUSTO</v>
      </c>
      <c r="AD138" t="str">
        <f ca="1">IF(C138&lt;=CRONO.NivelExibicao,MAX($AD$15:OFFSET(AD138,-1,0))+IF($C138&lt;&gt;1,1,MAX(1,COUNTIF(QCI!$A$13:$A$24,OFFSET($E138,-1,0)))),"")</f>
        <v/>
      </c>
      <c r="AE138" s="7" t="str">
        <f ca="1">IF(AND($C138="S",ORÇAMENTO.CodBarra&lt;&gt;""),IF(ORÇAMENTO.Fonte="",ORÇAMENTO.CodBarra,CONCATENATE(ORÇAMENTO.Fonte," ",ORÇAMENTO.CodBarra)))</f>
        <v>SINAPI 89855</v>
      </c>
      <c r="AF138" s="12" t="str">
        <f ca="1">IF(ISERROR(INDIRECT(ORÇAMENTO.BancoRef)),"(abra o arquivo 'Referência "&amp;Excel_BuiltIn_Database&amp;".xlsm)",IF(OR($C138&lt;&gt;"S",ORÇAMENTO.CodBarra=""),"(Sem Código)",IF(ISERROR(MATCH($AE138,INDIRECT(ORÇAMENTO.BancoRef),0)),"(Código não identificado nas referências)",MATCH($AE138,INDIRECT(ORÇAMENTO.BancoRef),0))))</f>
        <v>(abra o arquivo 'Referência 12-2024.xlsm)</v>
      </c>
      <c r="AG138" s="429">
        <f ca="1">ROUND(IF(DESONERACAO="sim",REFERENCIA.Desonerado,REFERENCIA.NaoDesonerado),2)</f>
        <v>0</v>
      </c>
      <c r="AH138" s="430">
        <f t="shared" ca="1" si="32"/>
        <v>0.31190000000000001</v>
      </c>
      <c r="AJ138" s="432">
        <v>1</v>
      </c>
      <c r="AL138" s="440"/>
      <c r="AM138" s="337">
        <f t="shared" ca="1" si="0"/>
        <v>0</v>
      </c>
      <c r="AN138" s="471">
        <f t="shared" ca="1" si="33"/>
        <v>0</v>
      </c>
    </row>
    <row r="139" spans="1:40" ht="38.25" x14ac:dyDescent="0.2">
      <c r="A139" t="str">
        <f t="shared" si="18"/>
        <v>S</v>
      </c>
      <c r="B139">
        <f t="shared" ca="1" si="19"/>
        <v>3</v>
      </c>
      <c r="C139" t="str">
        <f t="shared" ca="1" si="20"/>
        <v>S</v>
      </c>
      <c r="D139">
        <f t="shared" ca="1" si="21"/>
        <v>0</v>
      </c>
      <c r="E139">
        <f ca="1">IF($C139=1,OFFSET(E139,-1,0)+MAX(1,COUNTIF(QCI!$A$13:$A$24,OFFSET(ORÇAMENTO!E139,-1,0))),OFFSET(E139,-1,0))</f>
        <v>1</v>
      </c>
      <c r="F139">
        <f t="shared" ca="1" si="22"/>
        <v>11</v>
      </c>
      <c r="G139">
        <f t="shared" ca="1" si="23"/>
        <v>1</v>
      </c>
      <c r="H139">
        <f t="shared" ca="1" si="24"/>
        <v>0</v>
      </c>
      <c r="I139">
        <f t="shared" ca="1" si="25"/>
        <v>0</v>
      </c>
      <c r="J139">
        <f t="shared" ca="1" si="26"/>
        <v>0</v>
      </c>
      <c r="K139">
        <f ca="1">IF(OR($C139="S",$C139=0),0,MATCH(OFFSET($D139,0,$C139)+IF($C139&lt;&gt;1,1,COUNTIF(QCI!$A$13:$A$24,ORÇAMENTO!E139)),OFFSET($D139,1,$C139,ROW($C$405)-ROW($C139)),0))</f>
        <v>0</v>
      </c>
      <c r="L139" s="115" t="str">
        <f t="shared" ca="1" si="27"/>
        <v/>
      </c>
      <c r="M139" s="116" t="s">
        <v>706</v>
      </c>
      <c r="N139" s="117" t="str">
        <f t="shared" ca="1" si="28"/>
        <v>Serviço</v>
      </c>
      <c r="O139" s="118" t="str">
        <f t="shared" ca="1" si="29"/>
        <v>-</v>
      </c>
      <c r="P139" s="119" t="s">
        <v>751</v>
      </c>
      <c r="Q139" s="120" t="s">
        <v>1051</v>
      </c>
      <c r="R139" s="121" t="s">
        <v>1427</v>
      </c>
      <c r="S139" s="122" t="s">
        <v>639</v>
      </c>
      <c r="T139" s="123">
        <f ca="1">OFFSET(CÁLCULO!H$15,ROW($T139)-ROW(T$15),0)</f>
        <v>38</v>
      </c>
      <c r="U139" s="124"/>
      <c r="V139" s="125" t="s">
        <v>663</v>
      </c>
      <c r="W139" s="123">
        <f ca="1">IF($C139="S",ROUND(IF(TIPOORCAMENTO="Proposto",ORÇAMENTO.CustoUnitario*(1+$AH139),ORÇAMENTO.PrecoUnitarioLicitado),15-13*$AF$10),0)</f>
        <v>0</v>
      </c>
      <c r="X139" s="126" cm="1">
        <f t="array" aca="1" ref="X139" ca="1">IF($C139="S",IF(OR(Import.TipoArredondamento&lt;&gt;"TransfereGOV",ACOMPANHAMENTO="BM"),VTOTAL1,SUM(OFFSET(CÁLCULO!$AA$15,ROW($X139)-ROW($X$15),1):OFFSET(CÁLCULO!$AL$15,ROW($X139)-ROW($X$15),-1))),IF($C139=0,0,ROUND(SomaAgrup,15-13*$AF$11)))</f>
        <v>0</v>
      </c>
      <c r="Y139" s="127" t="s">
        <v>752</v>
      </c>
      <c r="Z139" t="str">
        <f t="shared" ca="1" si="30"/>
        <v/>
      </c>
      <c r="AA139" s="128">
        <f ca="1">IF($C139="S",IF($Z139="CP",$X139,IF($Z139="RA",(($X139)*QCI!$AA$3),0)),SomaAgrup)</f>
        <v>0</v>
      </c>
      <c r="AB139" s="129">
        <f t="shared" ca="1" si="31"/>
        <v>0</v>
      </c>
      <c r="AC139" s="567" t="str">
        <f ca="1">IF($N139=""," ",
IF(AND($C139&lt;&gt;"S",OR($R139="",$R139="(digite a descrição aqui)")),"DESCRIÇÃO",
IF(AND($C139="S",OR($Q139&lt;&gt;0,$T139&gt;0,$U139&gt;0),$P139=0),"FONTE",
IF(AND($C139="S",$P139&lt;&gt;0,OR($T139&gt;0,$U139&gt;0),$Q139=0),"CÓDIGO",
IF(AND($C139="S",$P139&lt;&gt;0,$Q139&lt;&gt;0,$R139="(Código não identificado nas referências)"),"CÓDIGO N/ID",
IF(AND($C139="S",OR($R139="",$R139="(digite a descrição aqui)"),OR($Q139&lt;&gt;0,$T139&gt;0,$U139&gt;0)),"DESCRIÇÃO",
IF(AND($C139="S",$P139&lt;&gt;0,$Q139&lt;&gt;0,$S139=""),"UNIDADE",
IF(AND($C139="S",$P139&lt;&gt;0,$Q139&lt;&gt;0,$U139=0),"SEM CUSTO",
IF(AND(TIPOORCAMENTO="Licitado",$AL139=0,$AN139&gt;0),"SEM PREÇO",
IF(AND($C139="S",$P139&lt;&gt;0,$Q139&lt;&gt;0,$U139&gt;0,$V139=0),"BDI",
IF(OR(AND(TIPOORCAMENTO="Proposto",$AG139&lt;&gt;"",$AG139&gt;0,ORÇAMENTO.CustoUnitario&gt;$AG139),AND(TIPOORCAMENTO="LICITADO",ORÇAMENTO.PrecoUnitarioLicitado&gt;$AN139)),"ACIMA REF.",
IF(AND($C139="S",$P139&lt;&gt;0,$Q139&lt;&gt;0,$T139=0,$U139&gt;0),"QUANT.",
IF(AND(Import.TipoArredondamento="TransfereGOV",$L139="F",$C139="S",LEN($Q139)&gt;13),"Código &gt;13",
IF(AND(Import.TipoArredondamento="TransfereGOV",$L139="F",$C139&lt;&gt;"S",LEN($R139)&gt;100),"Descrição &gt;100",
IF(AND(Import.TipoArredondamento="TransfereGOV",$L139="F",$C139="S",LEN($R139)&gt;500),"Descrição &gt;500",
IF(AND(Import.TipoArredondamento="TransfereGOV",$L139="F",$C139="S",LEFT(TRIM(UPPER($P139)),6)&lt;&gt;"SINAPI",ISNA(VLOOKUP(TRIM(UPPER($S139)),ListaTgov.Unidades,1,FALSE))),"Unid. Não Disp",
" "))))))))))))))))</f>
        <v>SEM CUSTO</v>
      </c>
      <c r="AD139" t="str">
        <f ca="1">IF(C139&lt;=CRONO.NivelExibicao,MAX($AD$15:OFFSET(AD139,-1,0))+IF($C139&lt;&gt;1,1,MAX(1,COUNTIF(QCI!$A$13:$A$24,OFFSET($E139,-1,0)))),"")</f>
        <v/>
      </c>
      <c r="AE139" s="7" t="str">
        <f ca="1">IF(AND($C139="S",ORÇAMENTO.CodBarra&lt;&gt;""),IF(ORÇAMENTO.Fonte="",ORÇAMENTO.CodBarra,CONCATENATE(ORÇAMENTO.Fonte," ",ORÇAMENTO.CodBarra)))</f>
        <v>SINAPI 89726</v>
      </c>
      <c r="AF139" s="12" t="str">
        <f ca="1">IF(ISERROR(INDIRECT(ORÇAMENTO.BancoRef)),"(abra o arquivo 'Referência "&amp;Excel_BuiltIn_Database&amp;".xlsm)",IF(OR($C139&lt;&gt;"S",ORÇAMENTO.CodBarra=""),"(Sem Código)",IF(ISERROR(MATCH($AE139,INDIRECT(ORÇAMENTO.BancoRef),0)),"(Código não identificado nas referências)",MATCH($AE139,INDIRECT(ORÇAMENTO.BancoRef),0))))</f>
        <v>(abra o arquivo 'Referência 12-2024.xlsm)</v>
      </c>
      <c r="AG139" s="429">
        <f ca="1">ROUND(IF(DESONERACAO="sim",REFERENCIA.Desonerado,REFERENCIA.NaoDesonerado),2)</f>
        <v>0</v>
      </c>
      <c r="AH139" s="430">
        <f t="shared" ca="1" si="32"/>
        <v>0.31190000000000001</v>
      </c>
      <c r="AJ139" s="432">
        <v>38</v>
      </c>
      <c r="AL139" s="440"/>
      <c r="AM139" s="337">
        <f t="shared" ca="1" si="0"/>
        <v>0</v>
      </c>
      <c r="AN139" s="471">
        <f t="shared" ca="1" si="33"/>
        <v>0</v>
      </c>
    </row>
    <row r="140" spans="1:40" ht="38.25" x14ac:dyDescent="0.2">
      <c r="A140" t="str">
        <f t="shared" si="18"/>
        <v>S</v>
      </c>
      <c r="B140">
        <f t="shared" ca="1" si="19"/>
        <v>3</v>
      </c>
      <c r="C140" t="str">
        <f t="shared" ca="1" si="20"/>
        <v>S</v>
      </c>
      <c r="D140">
        <f t="shared" ca="1" si="21"/>
        <v>0</v>
      </c>
      <c r="E140">
        <f ca="1">IF($C140=1,OFFSET(E140,-1,0)+MAX(1,COUNTIF(QCI!$A$13:$A$24,OFFSET(ORÇAMENTO!E140,-1,0))),OFFSET(E140,-1,0))</f>
        <v>1</v>
      </c>
      <c r="F140">
        <f t="shared" ca="1" si="22"/>
        <v>11</v>
      </c>
      <c r="G140">
        <f t="shared" ca="1" si="23"/>
        <v>1</v>
      </c>
      <c r="H140">
        <f t="shared" ca="1" si="24"/>
        <v>0</v>
      </c>
      <c r="I140">
        <f t="shared" ca="1" si="25"/>
        <v>0</v>
      </c>
      <c r="J140">
        <f t="shared" ca="1" si="26"/>
        <v>0</v>
      </c>
      <c r="K140">
        <f ca="1">IF(OR($C140="S",$C140=0),0,MATCH(OFFSET($D140,0,$C140)+IF($C140&lt;&gt;1,1,COUNTIF(QCI!$A$13:$A$24,ORÇAMENTO!E140)),OFFSET($D140,1,$C140,ROW($C$405)-ROW($C140)),0))</f>
        <v>0</v>
      </c>
      <c r="L140" s="115" t="str">
        <f t="shared" ca="1" si="27"/>
        <v/>
      </c>
      <c r="M140" s="116" t="s">
        <v>706</v>
      </c>
      <c r="N140" s="117" t="str">
        <f t="shared" ca="1" si="28"/>
        <v>Serviço</v>
      </c>
      <c r="O140" s="118" t="str">
        <f t="shared" ca="1" si="29"/>
        <v>-</v>
      </c>
      <c r="P140" s="119" t="s">
        <v>751</v>
      </c>
      <c r="Q140" s="120" t="s">
        <v>1052</v>
      </c>
      <c r="R140" s="121" t="s">
        <v>1428</v>
      </c>
      <c r="S140" s="122" t="s">
        <v>639</v>
      </c>
      <c r="T140" s="123">
        <f ca="1">OFFSET(CÁLCULO!H$15,ROW($T140)-ROW(T$15),0)</f>
        <v>42</v>
      </c>
      <c r="U140" s="124"/>
      <c r="V140" s="125" t="s">
        <v>663</v>
      </c>
      <c r="W140" s="123">
        <f ca="1">IF($C140="S",ROUND(IF(TIPOORCAMENTO="Proposto",ORÇAMENTO.CustoUnitario*(1+$AH140),ORÇAMENTO.PrecoUnitarioLicitado),15-13*$AF$10),0)</f>
        <v>0</v>
      </c>
      <c r="X140" s="126" cm="1">
        <f t="array" aca="1" ref="X140" ca="1">IF($C140="S",IF(OR(Import.TipoArredondamento&lt;&gt;"TransfereGOV",ACOMPANHAMENTO="BM"),VTOTAL1,SUM(OFFSET(CÁLCULO!$AA$15,ROW($X140)-ROW($X$15),1):OFFSET(CÁLCULO!$AL$15,ROW($X140)-ROW($X$15),-1))),IF($C140=0,0,ROUND(SomaAgrup,15-13*$AF$11)))</f>
        <v>0</v>
      </c>
      <c r="Y140" s="127" t="s">
        <v>752</v>
      </c>
      <c r="Z140" t="str">
        <f t="shared" ca="1" si="30"/>
        <v/>
      </c>
      <c r="AA140" s="128">
        <f ca="1">IF($C140="S",IF($Z140="CP",$X140,IF($Z140="RA",(($X140)*QCI!$AA$3),0)),SomaAgrup)</f>
        <v>0</v>
      </c>
      <c r="AB140" s="129">
        <f t="shared" ca="1" si="31"/>
        <v>0</v>
      </c>
      <c r="AC140" s="567" t="str">
        <f ca="1">IF($N140=""," ",
IF(AND($C140&lt;&gt;"S",OR($R140="",$R140="(digite a descrição aqui)")),"DESCRIÇÃO",
IF(AND($C140="S",OR($Q140&lt;&gt;0,$T140&gt;0,$U140&gt;0),$P140=0),"FONTE",
IF(AND($C140="S",$P140&lt;&gt;0,OR($T140&gt;0,$U140&gt;0),$Q140=0),"CÓDIGO",
IF(AND($C140="S",$P140&lt;&gt;0,$Q140&lt;&gt;0,$R140="(Código não identificado nas referências)"),"CÓDIGO N/ID",
IF(AND($C140="S",OR($R140="",$R140="(digite a descrição aqui)"),OR($Q140&lt;&gt;0,$T140&gt;0,$U140&gt;0)),"DESCRIÇÃO",
IF(AND($C140="S",$P140&lt;&gt;0,$Q140&lt;&gt;0,$S140=""),"UNIDADE",
IF(AND($C140="S",$P140&lt;&gt;0,$Q140&lt;&gt;0,$U140=0),"SEM CUSTO",
IF(AND(TIPOORCAMENTO="Licitado",$AL140=0,$AN140&gt;0),"SEM PREÇO",
IF(AND($C140="S",$P140&lt;&gt;0,$Q140&lt;&gt;0,$U140&gt;0,$V140=0),"BDI",
IF(OR(AND(TIPOORCAMENTO="Proposto",$AG140&lt;&gt;"",$AG140&gt;0,ORÇAMENTO.CustoUnitario&gt;$AG140),AND(TIPOORCAMENTO="LICITADO",ORÇAMENTO.PrecoUnitarioLicitado&gt;$AN140)),"ACIMA REF.",
IF(AND($C140="S",$P140&lt;&gt;0,$Q140&lt;&gt;0,$T140=0,$U140&gt;0),"QUANT.",
IF(AND(Import.TipoArredondamento="TransfereGOV",$L140="F",$C140="S",LEN($Q140)&gt;13),"Código &gt;13",
IF(AND(Import.TipoArredondamento="TransfereGOV",$L140="F",$C140&lt;&gt;"S",LEN($R140)&gt;100),"Descrição &gt;100",
IF(AND(Import.TipoArredondamento="TransfereGOV",$L140="F",$C140="S",LEN($R140)&gt;500),"Descrição &gt;500",
IF(AND(Import.TipoArredondamento="TransfereGOV",$L140="F",$C140="S",LEFT(TRIM(UPPER($P140)),6)&lt;&gt;"SINAPI",ISNA(VLOOKUP(TRIM(UPPER($S140)),ListaTgov.Unidades,1,FALSE))),"Unid. Não Disp",
" "))))))))))))))))</f>
        <v>SEM CUSTO</v>
      </c>
      <c r="AD140" t="str">
        <f ca="1">IF(C140&lt;=CRONO.NivelExibicao,MAX($AD$15:OFFSET(AD140,-1,0))+IF($C140&lt;&gt;1,1,MAX(1,COUNTIF(QCI!$A$13:$A$24,OFFSET($E140,-1,0)))),"")</f>
        <v/>
      </c>
      <c r="AE140" s="7" t="str">
        <f ca="1">IF(AND($C140="S",ORÇAMENTO.CodBarra&lt;&gt;""),IF(ORÇAMENTO.Fonte="",ORÇAMENTO.CodBarra,CONCATENATE(ORÇAMENTO.Fonte," ",ORÇAMENTO.CodBarra)))</f>
        <v>SINAPI 89732</v>
      </c>
      <c r="AF140" s="12" t="str">
        <f ca="1">IF(ISERROR(INDIRECT(ORÇAMENTO.BancoRef)),"(abra o arquivo 'Referência "&amp;Excel_BuiltIn_Database&amp;".xlsm)",IF(OR($C140&lt;&gt;"S",ORÇAMENTO.CodBarra=""),"(Sem Código)",IF(ISERROR(MATCH($AE140,INDIRECT(ORÇAMENTO.BancoRef),0)),"(Código não identificado nas referências)",MATCH($AE140,INDIRECT(ORÇAMENTO.BancoRef),0))))</f>
        <v>(abra o arquivo 'Referência 12-2024.xlsm)</v>
      </c>
      <c r="AG140" s="429">
        <f ca="1">ROUND(IF(DESONERACAO="sim",REFERENCIA.Desonerado,REFERENCIA.NaoDesonerado),2)</f>
        <v>0</v>
      </c>
      <c r="AH140" s="430">
        <f t="shared" ca="1" si="32"/>
        <v>0.31190000000000001</v>
      </c>
      <c r="AJ140" s="432">
        <v>42</v>
      </c>
      <c r="AL140" s="440"/>
      <c r="AM140" s="337">
        <f t="shared" ca="1" si="0"/>
        <v>0</v>
      </c>
      <c r="AN140" s="471">
        <f t="shared" ca="1" si="33"/>
        <v>0</v>
      </c>
    </row>
    <row r="141" spans="1:40" ht="38.25" x14ac:dyDescent="0.2">
      <c r="A141" t="str">
        <f t="shared" si="18"/>
        <v>S</v>
      </c>
      <c r="B141">
        <f t="shared" ca="1" si="19"/>
        <v>3</v>
      </c>
      <c r="C141" t="str">
        <f t="shared" ca="1" si="20"/>
        <v>S</v>
      </c>
      <c r="D141">
        <f t="shared" ca="1" si="21"/>
        <v>0</v>
      </c>
      <c r="E141">
        <f ca="1">IF($C141=1,OFFSET(E141,-1,0)+MAX(1,COUNTIF(QCI!$A$13:$A$24,OFFSET(ORÇAMENTO!E141,-1,0))),OFFSET(E141,-1,0))</f>
        <v>1</v>
      </c>
      <c r="F141">
        <f t="shared" ca="1" si="22"/>
        <v>11</v>
      </c>
      <c r="G141">
        <f t="shared" ca="1" si="23"/>
        <v>1</v>
      </c>
      <c r="H141">
        <f t="shared" ca="1" si="24"/>
        <v>0</v>
      </c>
      <c r="I141">
        <f t="shared" ca="1" si="25"/>
        <v>0</v>
      </c>
      <c r="J141">
        <f t="shared" ca="1" si="26"/>
        <v>0</v>
      </c>
      <c r="K141">
        <f ca="1">IF(OR($C141="S",$C141=0),0,MATCH(OFFSET($D141,0,$C141)+IF($C141&lt;&gt;1,1,COUNTIF(QCI!$A$13:$A$24,ORÇAMENTO!E141)),OFFSET($D141,1,$C141,ROW($C$405)-ROW($C141)),0))</f>
        <v>0</v>
      </c>
      <c r="L141" s="115" t="str">
        <f t="shared" ca="1" si="27"/>
        <v/>
      </c>
      <c r="M141" s="116" t="s">
        <v>706</v>
      </c>
      <c r="N141" s="117" t="str">
        <f t="shared" ca="1" si="28"/>
        <v>Serviço</v>
      </c>
      <c r="O141" s="118" t="str">
        <f t="shared" ca="1" si="29"/>
        <v>-</v>
      </c>
      <c r="P141" s="119" t="s">
        <v>751</v>
      </c>
      <c r="Q141" s="120" t="s">
        <v>1053</v>
      </c>
      <c r="R141" s="121" t="s">
        <v>1429</v>
      </c>
      <c r="S141" s="122" t="s">
        <v>639</v>
      </c>
      <c r="T141" s="123">
        <f ca="1">OFFSET(CÁLCULO!H$15,ROW($T141)-ROW(T$15),0)</f>
        <v>5</v>
      </c>
      <c r="U141" s="124"/>
      <c r="V141" s="125" t="s">
        <v>663</v>
      </c>
      <c r="W141" s="123">
        <f ca="1">IF($C141="S",ROUND(IF(TIPOORCAMENTO="Proposto",ORÇAMENTO.CustoUnitario*(1+$AH141),ORÇAMENTO.PrecoUnitarioLicitado),15-13*$AF$10),0)</f>
        <v>0</v>
      </c>
      <c r="X141" s="126" cm="1">
        <f t="array" aca="1" ref="X141" ca="1">IF($C141="S",IF(OR(Import.TipoArredondamento&lt;&gt;"TransfereGOV",ACOMPANHAMENTO="BM"),VTOTAL1,SUM(OFFSET(CÁLCULO!$AA$15,ROW($X141)-ROW($X$15),1):OFFSET(CÁLCULO!$AL$15,ROW($X141)-ROW($X$15),-1))),IF($C141=0,0,ROUND(SomaAgrup,15-13*$AF$11)))</f>
        <v>0</v>
      </c>
      <c r="Y141" s="127" t="s">
        <v>752</v>
      </c>
      <c r="Z141" t="str">
        <f t="shared" ca="1" si="30"/>
        <v/>
      </c>
      <c r="AA141" s="128">
        <f ca="1">IF($C141="S",IF($Z141="CP",$X141,IF($Z141="RA",(($X141)*QCI!$AA$3),0)),SomaAgrup)</f>
        <v>0</v>
      </c>
      <c r="AB141" s="129">
        <f t="shared" ca="1" si="31"/>
        <v>0</v>
      </c>
      <c r="AC141" s="567" t="str">
        <f ca="1">IF($N141=""," ",
IF(AND($C141&lt;&gt;"S",OR($R141="",$R141="(digite a descrição aqui)")),"DESCRIÇÃO",
IF(AND($C141="S",OR($Q141&lt;&gt;0,$T141&gt;0,$U141&gt;0),$P141=0),"FONTE",
IF(AND($C141="S",$P141&lt;&gt;0,OR($T141&gt;0,$U141&gt;0),$Q141=0),"CÓDIGO",
IF(AND($C141="S",$P141&lt;&gt;0,$Q141&lt;&gt;0,$R141="(Código não identificado nas referências)"),"CÓDIGO N/ID",
IF(AND($C141="S",OR($R141="",$R141="(digite a descrição aqui)"),OR($Q141&lt;&gt;0,$T141&gt;0,$U141&gt;0)),"DESCRIÇÃO",
IF(AND($C141="S",$P141&lt;&gt;0,$Q141&lt;&gt;0,$S141=""),"UNIDADE",
IF(AND($C141="S",$P141&lt;&gt;0,$Q141&lt;&gt;0,$U141=0),"SEM CUSTO",
IF(AND(TIPOORCAMENTO="Licitado",$AL141=0,$AN141&gt;0),"SEM PREÇO",
IF(AND($C141="S",$P141&lt;&gt;0,$Q141&lt;&gt;0,$U141&gt;0,$V141=0),"BDI",
IF(OR(AND(TIPOORCAMENTO="Proposto",$AG141&lt;&gt;"",$AG141&gt;0,ORÇAMENTO.CustoUnitario&gt;$AG141),AND(TIPOORCAMENTO="LICITADO",ORÇAMENTO.PrecoUnitarioLicitado&gt;$AN141)),"ACIMA REF.",
IF(AND($C141="S",$P141&lt;&gt;0,$Q141&lt;&gt;0,$T141=0,$U141&gt;0),"QUANT.",
IF(AND(Import.TipoArredondamento="TransfereGOV",$L141="F",$C141="S",LEN($Q141)&gt;13),"Código &gt;13",
IF(AND(Import.TipoArredondamento="TransfereGOV",$L141="F",$C141&lt;&gt;"S",LEN($R141)&gt;100),"Descrição &gt;100",
IF(AND(Import.TipoArredondamento="TransfereGOV",$L141="F",$C141="S",LEN($R141)&gt;500),"Descrição &gt;500",
IF(AND(Import.TipoArredondamento="TransfereGOV",$L141="F",$C141="S",LEFT(TRIM(UPPER($P141)),6)&lt;&gt;"SINAPI",ISNA(VLOOKUP(TRIM(UPPER($S141)),ListaTgov.Unidades,1,FALSE))),"Unid. Não Disp",
" "))))))))))))))))</f>
        <v>SEM CUSTO</v>
      </c>
      <c r="AD141" t="str">
        <f ca="1">IF(C141&lt;=CRONO.NivelExibicao,MAX($AD$15:OFFSET(AD141,-1,0))+IF($C141&lt;&gt;1,1,MAX(1,COUNTIF(QCI!$A$13:$A$24,OFFSET($E141,-1,0)))),"")</f>
        <v/>
      </c>
      <c r="AE141" s="7" t="str">
        <f ca="1">IF(AND($C141="S",ORÇAMENTO.CodBarra&lt;&gt;""),IF(ORÇAMENTO.Fonte="",ORÇAMENTO.CodBarra,CONCATENATE(ORÇAMENTO.Fonte," ",ORÇAMENTO.CodBarra)))</f>
        <v>SINAPI 89739</v>
      </c>
      <c r="AF141" s="12" t="str">
        <f ca="1">IF(ISERROR(INDIRECT(ORÇAMENTO.BancoRef)),"(abra o arquivo 'Referência "&amp;Excel_BuiltIn_Database&amp;".xlsm)",IF(OR($C141&lt;&gt;"S",ORÇAMENTO.CodBarra=""),"(Sem Código)",IF(ISERROR(MATCH($AE141,INDIRECT(ORÇAMENTO.BancoRef),0)),"(Código não identificado nas referências)",MATCH($AE141,INDIRECT(ORÇAMENTO.BancoRef),0))))</f>
        <v>(abra o arquivo 'Referência 12-2024.xlsm)</v>
      </c>
      <c r="AG141" s="429">
        <f ca="1">ROUND(IF(DESONERACAO="sim",REFERENCIA.Desonerado,REFERENCIA.NaoDesonerado),2)</f>
        <v>0</v>
      </c>
      <c r="AH141" s="430">
        <f t="shared" ca="1" si="32"/>
        <v>0.31190000000000001</v>
      </c>
      <c r="AJ141" s="432">
        <v>5</v>
      </c>
      <c r="AL141" s="440"/>
      <c r="AM141" s="337">
        <f t="shared" ca="1" si="0"/>
        <v>0</v>
      </c>
      <c r="AN141" s="471">
        <f t="shared" ca="1" si="33"/>
        <v>0</v>
      </c>
    </row>
    <row r="142" spans="1:40" ht="38.25" x14ac:dyDescent="0.2">
      <c r="A142" t="str">
        <f t="shared" si="18"/>
        <v>S</v>
      </c>
      <c r="B142">
        <f t="shared" ca="1" si="19"/>
        <v>3</v>
      </c>
      <c r="C142" t="str">
        <f t="shared" ca="1" si="20"/>
        <v>S</v>
      </c>
      <c r="D142">
        <f t="shared" ca="1" si="21"/>
        <v>0</v>
      </c>
      <c r="E142">
        <f ca="1">IF($C142=1,OFFSET(E142,-1,0)+MAX(1,COUNTIF(QCI!$A$13:$A$24,OFFSET(ORÇAMENTO!E142,-1,0))),OFFSET(E142,-1,0))</f>
        <v>1</v>
      </c>
      <c r="F142">
        <f t="shared" ca="1" si="22"/>
        <v>11</v>
      </c>
      <c r="G142">
        <f t="shared" ca="1" si="23"/>
        <v>1</v>
      </c>
      <c r="H142">
        <f t="shared" ca="1" si="24"/>
        <v>0</v>
      </c>
      <c r="I142">
        <f t="shared" ca="1" si="25"/>
        <v>0</v>
      </c>
      <c r="J142">
        <f t="shared" ca="1" si="26"/>
        <v>0</v>
      </c>
      <c r="K142">
        <f ca="1">IF(OR($C142="S",$C142=0),0,MATCH(OFFSET($D142,0,$C142)+IF($C142&lt;&gt;1,1,COUNTIF(QCI!$A$13:$A$24,ORÇAMENTO!E142)),OFFSET($D142,1,$C142,ROW($C$405)-ROW($C142)),0))</f>
        <v>0</v>
      </c>
      <c r="L142" s="115" t="str">
        <f t="shared" ca="1" si="27"/>
        <v/>
      </c>
      <c r="M142" s="116" t="s">
        <v>706</v>
      </c>
      <c r="N142" s="117" t="str">
        <f t="shared" ca="1" si="28"/>
        <v>Serviço</v>
      </c>
      <c r="O142" s="118" t="str">
        <f t="shared" ca="1" si="29"/>
        <v>-</v>
      </c>
      <c r="P142" s="119" t="s">
        <v>751</v>
      </c>
      <c r="Q142" s="120" t="s">
        <v>1054</v>
      </c>
      <c r="R142" s="121" t="s">
        <v>1430</v>
      </c>
      <c r="S142" s="122" t="s">
        <v>639</v>
      </c>
      <c r="T142" s="123">
        <f ca="1">OFFSET(CÁLCULO!H$15,ROW($T142)-ROW(T$15),0)</f>
        <v>5</v>
      </c>
      <c r="U142" s="124"/>
      <c r="V142" s="125" t="s">
        <v>663</v>
      </c>
      <c r="W142" s="123">
        <f ca="1">IF($C142="S",ROUND(IF(TIPOORCAMENTO="Proposto",ORÇAMENTO.CustoUnitario*(1+$AH142),ORÇAMENTO.PrecoUnitarioLicitado),15-13*$AF$10),0)</f>
        <v>0</v>
      </c>
      <c r="X142" s="126" cm="1">
        <f t="array" aca="1" ref="X142" ca="1">IF($C142="S",IF(OR(Import.TipoArredondamento&lt;&gt;"TransfereGOV",ACOMPANHAMENTO="BM"),VTOTAL1,SUM(OFFSET(CÁLCULO!$AA$15,ROW($X142)-ROW($X$15),1):OFFSET(CÁLCULO!$AL$15,ROW($X142)-ROW($X$15),-1))),IF($C142=0,0,ROUND(SomaAgrup,15-13*$AF$11)))</f>
        <v>0</v>
      </c>
      <c r="Y142" s="127" t="s">
        <v>752</v>
      </c>
      <c r="Z142" t="str">
        <f t="shared" ca="1" si="30"/>
        <v/>
      </c>
      <c r="AA142" s="128">
        <f ca="1">IF($C142="S",IF($Z142="CP",$X142,IF($Z142="RA",(($X142)*QCI!$AA$3),0)),SomaAgrup)</f>
        <v>0</v>
      </c>
      <c r="AB142" s="129">
        <f t="shared" ca="1" si="31"/>
        <v>0</v>
      </c>
      <c r="AC142" s="567" t="str">
        <f ca="1">IF($N142=""," ",
IF(AND($C142&lt;&gt;"S",OR($R142="",$R142="(digite a descrição aqui)")),"DESCRIÇÃO",
IF(AND($C142="S",OR($Q142&lt;&gt;0,$T142&gt;0,$U142&gt;0),$P142=0),"FONTE",
IF(AND($C142="S",$P142&lt;&gt;0,OR($T142&gt;0,$U142&gt;0),$Q142=0),"CÓDIGO",
IF(AND($C142="S",$P142&lt;&gt;0,$Q142&lt;&gt;0,$R142="(Código não identificado nas referências)"),"CÓDIGO N/ID",
IF(AND($C142="S",OR($R142="",$R142="(digite a descrição aqui)"),OR($Q142&lt;&gt;0,$T142&gt;0,$U142&gt;0)),"DESCRIÇÃO",
IF(AND($C142="S",$P142&lt;&gt;0,$Q142&lt;&gt;0,$S142=""),"UNIDADE",
IF(AND($C142="S",$P142&lt;&gt;0,$Q142&lt;&gt;0,$U142=0),"SEM CUSTO",
IF(AND(TIPOORCAMENTO="Licitado",$AL142=0,$AN142&gt;0),"SEM PREÇO",
IF(AND($C142="S",$P142&lt;&gt;0,$Q142&lt;&gt;0,$U142&gt;0,$V142=0),"BDI",
IF(OR(AND(TIPOORCAMENTO="Proposto",$AG142&lt;&gt;"",$AG142&gt;0,ORÇAMENTO.CustoUnitario&gt;$AG142),AND(TIPOORCAMENTO="LICITADO",ORÇAMENTO.PrecoUnitarioLicitado&gt;$AN142)),"ACIMA REF.",
IF(AND($C142="S",$P142&lt;&gt;0,$Q142&lt;&gt;0,$T142=0,$U142&gt;0),"QUANT.",
IF(AND(Import.TipoArredondamento="TransfereGOV",$L142="F",$C142="S",LEN($Q142)&gt;13),"Código &gt;13",
IF(AND(Import.TipoArredondamento="TransfereGOV",$L142="F",$C142&lt;&gt;"S",LEN($R142)&gt;100),"Descrição &gt;100",
IF(AND(Import.TipoArredondamento="TransfereGOV",$L142="F",$C142="S",LEN($R142)&gt;500),"Descrição &gt;500",
IF(AND(Import.TipoArredondamento="TransfereGOV",$L142="F",$C142="S",LEFT(TRIM(UPPER($P142)),6)&lt;&gt;"SINAPI",ISNA(VLOOKUP(TRIM(UPPER($S142)),ListaTgov.Unidades,1,FALSE))),"Unid. Não Disp",
" "))))))))))))))))</f>
        <v>SEM CUSTO</v>
      </c>
      <c r="AD142" t="str">
        <f ca="1">IF(C142&lt;=CRONO.NivelExibicao,MAX($AD$15:OFFSET(AD142,-1,0))+IF($C142&lt;&gt;1,1,MAX(1,COUNTIF(QCI!$A$13:$A$24,OFFSET($E142,-1,0)))),"")</f>
        <v/>
      </c>
      <c r="AE142" s="7" t="str">
        <f ca="1">IF(AND($C142="S",ORÇAMENTO.CodBarra&lt;&gt;""),IF(ORÇAMENTO.Fonte="",ORÇAMENTO.CodBarra,CONCATENATE(ORÇAMENTO.Fonte," ",ORÇAMENTO.CodBarra)))</f>
        <v>SINAPI 89724</v>
      </c>
      <c r="AF142" s="12" t="str">
        <f ca="1">IF(ISERROR(INDIRECT(ORÇAMENTO.BancoRef)),"(abra o arquivo 'Referência "&amp;Excel_BuiltIn_Database&amp;".xlsm)",IF(OR($C142&lt;&gt;"S",ORÇAMENTO.CodBarra=""),"(Sem Código)",IF(ISERROR(MATCH($AE142,INDIRECT(ORÇAMENTO.BancoRef),0)),"(Código não identificado nas referências)",MATCH($AE142,INDIRECT(ORÇAMENTO.BancoRef),0))))</f>
        <v>(abra o arquivo 'Referência 12-2024.xlsm)</v>
      </c>
      <c r="AG142" s="429">
        <f ca="1">ROUND(IF(DESONERACAO="sim",REFERENCIA.Desonerado,REFERENCIA.NaoDesonerado),2)</f>
        <v>0</v>
      </c>
      <c r="AH142" s="430">
        <f t="shared" ca="1" si="32"/>
        <v>0.31190000000000001</v>
      </c>
      <c r="AJ142" s="432">
        <v>5</v>
      </c>
      <c r="AL142" s="440"/>
      <c r="AM142" s="337">
        <f t="shared" ca="1" si="0"/>
        <v>0</v>
      </c>
      <c r="AN142" s="471">
        <f t="shared" ca="1" si="33"/>
        <v>0</v>
      </c>
    </row>
    <row r="143" spans="1:40" ht="38.25" x14ac:dyDescent="0.2">
      <c r="A143" t="str">
        <f t="shared" ref="A143:A206" si="34">CHOOSE(1+LOG(1+2*(ORÇAMENTO.Nivel="Meta")+4*(ORÇAMENTO.Nivel="Nível 2")+8*(ORÇAMENTO.Nivel="Nível 3")+16*(ORÇAMENTO.Nivel="Nível 4")+32*(ORÇAMENTO.Nivel="Serviço"),2),0,1,2,3,4,"S")</f>
        <v>S</v>
      </c>
      <c r="B143">
        <f t="shared" ref="B143:B206" ca="1" si="35">IF(OR(C143="s",C143=0),OFFSET(B143,-1,0),C143)</f>
        <v>3</v>
      </c>
      <c r="C143" t="str">
        <f t="shared" ref="C143:C206" ca="1" si="36">IF(OFFSET(C143,-1,0)="L",1,IF(OFFSET(C143,-1,0)=1,2,IF(OR(A143="s",A143=0),"S",IF(AND(OFFSET(C143,-1,0)=2,A143=4),3,IF(AND(OR(OFFSET(C143,-1,0)="s",OFFSET(C143,-1,0)=0),A143&lt;&gt;"s",A143&gt;OFFSET(B143,-1,0)),OFFSET(B143,-1,0),A143)))))</f>
        <v>S</v>
      </c>
      <c r="D143">
        <f t="shared" ref="D143:D206" ca="1" si="37">IF(OR(C143="S",C143=0),0,IF(ISERROR(K143),J143,SMALL(J143:K143,1)))</f>
        <v>0</v>
      </c>
      <c r="E143">
        <f ca="1">IF($C143=1,OFFSET(E143,-1,0)+MAX(1,COUNTIF(QCI!$A$13:$A$24,OFFSET(ORÇAMENTO!E143,-1,0))),OFFSET(E143,-1,0))</f>
        <v>1</v>
      </c>
      <c r="F143">
        <f t="shared" ref="F143:F206" ca="1" si="38">IF($C143=1,0,IF($C143=2,OFFSET(F143,-1,0)+1,OFFSET(F143,-1,0)))</f>
        <v>11</v>
      </c>
      <c r="G143">
        <f t="shared" ref="G143:G206" ca="1" si="39">IF(AND($C143&lt;=2,$C143&lt;&gt;0),0,IF($C143=3,OFFSET(G143,-1,0)+1,OFFSET(G143,-1,0)))</f>
        <v>1</v>
      </c>
      <c r="H143">
        <f t="shared" ref="H143:H206" ca="1" si="40">IF(AND($C143&lt;=3,$C143&lt;&gt;0),0,IF($C143=4,OFFSET(H143,-1,0)+1,OFFSET(H143,-1,0)))</f>
        <v>0</v>
      </c>
      <c r="I143">
        <f t="shared" ref="I143:I206" ca="1" si="41">IF(AND($C143&lt;=4,$C143&lt;&gt;0),0,IF(AND($C143="S",$X143&gt;0),OFFSET(I143,-1,0)+1,OFFSET(I143,-1,0)))</f>
        <v>0</v>
      </c>
      <c r="J143">
        <f t="shared" ref="J143:J206" ca="1" si="42">IF(OR($C143="S",$C143=0),0,MATCH(0,OFFSET($D143,1,$C143,ROW($C$405)-ROW($C143)),0))</f>
        <v>0</v>
      </c>
      <c r="K143">
        <f ca="1">IF(OR($C143="S",$C143=0),0,MATCH(OFFSET($D143,0,$C143)+IF($C143&lt;&gt;1,1,COUNTIF(QCI!$A$13:$A$24,ORÇAMENTO!E143)),OFFSET($D143,1,$C143,ROW($C$405)-ROW($C143)),0))</f>
        <v>0</v>
      </c>
      <c r="L143" s="115" t="str">
        <f t="shared" ref="L143:L206" ca="1" si="43">IF(OR($X143&gt;0,$C143=1,$C143=2,$C143=3,$C143=4),"F","")</f>
        <v/>
      </c>
      <c r="M143" s="116" t="s">
        <v>706</v>
      </c>
      <c r="N143" s="117" t="str">
        <f t="shared" ref="N143:N206" ca="1" si="44">CHOOSE(1+LOG(1+2*(C143=1)+4*(C143=2)+8*(C143=3)+16*(C143=4)+32*(C143="S"),2),"","Meta","Nível 2","Nível 3","Nível 4","Serviço")</f>
        <v>Serviço</v>
      </c>
      <c r="O143" s="118" t="str">
        <f t="shared" ref="O143:O206" ca="1" si="45">IF(OR($C143=0,$L143=""),"-",CONCATENATE(E143&amp;".",IF(AND($A$5&gt;=2,$C143&gt;=2),F143&amp;".",""),IF(AND($A$5&gt;=3,$C143&gt;=3),G143&amp;".",""),IF(AND($A$5&gt;=4,$C143&gt;=4),H143&amp;".",""),IF($C143="S",I143&amp;".","")))</f>
        <v>-</v>
      </c>
      <c r="P143" s="119" t="s">
        <v>751</v>
      </c>
      <c r="Q143" s="120" t="s">
        <v>1054</v>
      </c>
      <c r="R143" s="121" t="s">
        <v>1430</v>
      </c>
      <c r="S143" s="122" t="s">
        <v>639</v>
      </c>
      <c r="T143" s="123">
        <f ca="1">OFFSET(CÁLCULO!H$15,ROW($T143)-ROW(T$15),0)</f>
        <v>49</v>
      </c>
      <c r="U143" s="124"/>
      <c r="V143" s="125" t="s">
        <v>663</v>
      </c>
      <c r="W143" s="123">
        <f ca="1">IF($C143="S",ROUND(IF(TIPOORCAMENTO="Proposto",ORÇAMENTO.CustoUnitario*(1+$AH143),ORÇAMENTO.PrecoUnitarioLicitado),15-13*$AF$10),0)</f>
        <v>0</v>
      </c>
      <c r="X143" s="126" cm="1">
        <f t="array" aca="1" ref="X143" ca="1">IF($C143="S",IF(OR(Import.TipoArredondamento&lt;&gt;"TransfereGOV",ACOMPANHAMENTO="BM"),VTOTAL1,SUM(OFFSET(CÁLCULO!$AA$15,ROW($X143)-ROW($X$15),1):OFFSET(CÁLCULO!$AL$15,ROW($X143)-ROW($X$15),-1))),IF($C143=0,0,ROUND(SomaAgrup,15-13*$AF$11)))</f>
        <v>0</v>
      </c>
      <c r="Y143" s="127" t="s">
        <v>752</v>
      </c>
      <c r="Z143" t="str">
        <f t="shared" ref="Z143:Z206" ca="1" si="46">IF(AND($C143="S",$X143&gt;0),IF(ISBLANK($Y143),"RA",LEFT($Y143,2)),"")</f>
        <v/>
      </c>
      <c r="AA143" s="128">
        <f ca="1">IF($C143="S",IF($Z143="CP",$X143,IF($Z143="RA",(($X143)*QCI!$AA$3),0)),SomaAgrup)</f>
        <v>0</v>
      </c>
      <c r="AB143" s="129">
        <f t="shared" ref="AB143:AB206" ca="1" si="47">IF($C143="S",IF($Z143="OU",ROUND($X143,2),0),SomaAgrup)</f>
        <v>0</v>
      </c>
      <c r="AC143" s="567" t="str">
        <f ca="1">IF($N143=""," ",
IF(AND($C143&lt;&gt;"S",OR($R143="",$R143="(digite a descrição aqui)")),"DESCRIÇÃO",
IF(AND($C143="S",OR($Q143&lt;&gt;0,$T143&gt;0,$U143&gt;0),$P143=0),"FONTE",
IF(AND($C143="S",$P143&lt;&gt;0,OR($T143&gt;0,$U143&gt;0),$Q143=0),"CÓDIGO",
IF(AND($C143="S",$P143&lt;&gt;0,$Q143&lt;&gt;0,$R143="(Código não identificado nas referências)"),"CÓDIGO N/ID",
IF(AND($C143="S",OR($R143="",$R143="(digite a descrição aqui)"),OR($Q143&lt;&gt;0,$T143&gt;0,$U143&gt;0)),"DESCRIÇÃO",
IF(AND($C143="S",$P143&lt;&gt;0,$Q143&lt;&gt;0,$S143=""),"UNIDADE",
IF(AND($C143="S",$P143&lt;&gt;0,$Q143&lt;&gt;0,$U143=0),"SEM CUSTO",
IF(AND(TIPOORCAMENTO="Licitado",$AL143=0,$AN143&gt;0),"SEM PREÇO",
IF(AND($C143="S",$P143&lt;&gt;0,$Q143&lt;&gt;0,$U143&gt;0,$V143=0),"BDI",
IF(OR(AND(TIPOORCAMENTO="Proposto",$AG143&lt;&gt;"",$AG143&gt;0,ORÇAMENTO.CustoUnitario&gt;$AG143),AND(TIPOORCAMENTO="LICITADO",ORÇAMENTO.PrecoUnitarioLicitado&gt;$AN143)),"ACIMA REF.",
IF(AND($C143="S",$P143&lt;&gt;0,$Q143&lt;&gt;0,$T143=0,$U143&gt;0),"QUANT.",
IF(AND(Import.TipoArredondamento="TransfereGOV",$L143="F",$C143="S",LEN($Q143)&gt;13),"Código &gt;13",
IF(AND(Import.TipoArredondamento="TransfereGOV",$L143="F",$C143&lt;&gt;"S",LEN($R143)&gt;100),"Descrição &gt;100",
IF(AND(Import.TipoArredondamento="TransfereGOV",$L143="F",$C143="S",LEN($R143)&gt;500),"Descrição &gt;500",
IF(AND(Import.TipoArredondamento="TransfereGOV",$L143="F",$C143="S",LEFT(TRIM(UPPER($P143)),6)&lt;&gt;"SINAPI",ISNA(VLOOKUP(TRIM(UPPER($S143)),ListaTgov.Unidades,1,FALSE))),"Unid. Não Disp",
" "))))))))))))))))</f>
        <v>SEM CUSTO</v>
      </c>
      <c r="AD143" t="str">
        <f ca="1">IF(C143&lt;=CRONO.NivelExibicao,MAX($AD$15:OFFSET(AD143,-1,0))+IF($C143&lt;&gt;1,1,MAX(1,COUNTIF(QCI!$A$13:$A$24,OFFSET($E143,-1,0)))),"")</f>
        <v/>
      </c>
      <c r="AE143" s="7" t="str">
        <f ca="1">IF(AND($C143="S",ORÇAMENTO.CodBarra&lt;&gt;""),IF(ORÇAMENTO.Fonte="",ORÇAMENTO.CodBarra,CONCATENATE(ORÇAMENTO.Fonte," ",ORÇAMENTO.CodBarra)))</f>
        <v>SINAPI 89724</v>
      </c>
      <c r="AF143" s="12" t="str">
        <f ca="1">IF(ISERROR(INDIRECT(ORÇAMENTO.BancoRef)),"(abra o arquivo 'Referência "&amp;Excel_BuiltIn_Database&amp;".xlsm)",IF(OR($C143&lt;&gt;"S",ORÇAMENTO.CodBarra=""),"(Sem Código)",IF(ISERROR(MATCH($AE143,INDIRECT(ORÇAMENTO.BancoRef),0)),"(Código não identificado nas referências)",MATCH($AE143,INDIRECT(ORÇAMENTO.BancoRef),0))))</f>
        <v>(abra o arquivo 'Referência 12-2024.xlsm)</v>
      </c>
      <c r="AG143" s="429">
        <f ca="1">ROUND(IF(DESONERACAO="sim",REFERENCIA.Desonerado,REFERENCIA.NaoDesonerado),2)</f>
        <v>0</v>
      </c>
      <c r="AH143" s="430">
        <f t="shared" ref="AH143:AH206" ca="1" si="48">ROUND(IF(ISNUMBER(ORÇAMENTO.OpcaoBDI),ORÇAMENTO.OpcaoBDI,IF(LEFT(ORÇAMENTO.OpcaoBDI,3)="BDI",HLOOKUP(ORÇAMENTO.OpcaoBDI,$F$4:$H$5,2,FALSE),0)),15-11*$AF$9)</f>
        <v>0.31190000000000001</v>
      </c>
      <c r="AJ143" s="432">
        <v>49</v>
      </c>
      <c r="AL143" s="440"/>
      <c r="AM143" s="337">
        <f t="shared" ca="1" si="0"/>
        <v>0</v>
      </c>
      <c r="AN143" s="471">
        <f t="shared" ref="AN143:AN206" ca="1" si="49">ROUND(ORÇAMENTO.CustoUnitario*(1+$AH143),2)</f>
        <v>0</v>
      </c>
    </row>
    <row r="144" spans="1:40" ht="38.25" x14ac:dyDescent="0.2">
      <c r="A144" t="str">
        <f t="shared" si="34"/>
        <v>S</v>
      </c>
      <c r="B144">
        <f t="shared" ca="1" si="35"/>
        <v>3</v>
      </c>
      <c r="C144" t="str">
        <f t="shared" ca="1" si="36"/>
        <v>S</v>
      </c>
      <c r="D144">
        <f t="shared" ca="1" si="37"/>
        <v>0</v>
      </c>
      <c r="E144">
        <f ca="1">IF($C144=1,OFFSET(E144,-1,0)+MAX(1,COUNTIF(QCI!$A$13:$A$24,OFFSET(ORÇAMENTO!E144,-1,0))),OFFSET(E144,-1,0))</f>
        <v>1</v>
      </c>
      <c r="F144">
        <f t="shared" ca="1" si="38"/>
        <v>11</v>
      </c>
      <c r="G144">
        <f t="shared" ca="1" si="39"/>
        <v>1</v>
      </c>
      <c r="H144">
        <f t="shared" ca="1" si="40"/>
        <v>0</v>
      </c>
      <c r="I144">
        <f t="shared" ca="1" si="41"/>
        <v>0</v>
      </c>
      <c r="J144">
        <f t="shared" ca="1" si="42"/>
        <v>0</v>
      </c>
      <c r="K144">
        <f ca="1">IF(OR($C144="S",$C144=0),0,MATCH(OFFSET($D144,0,$C144)+IF($C144&lt;&gt;1,1,COUNTIF(QCI!$A$13:$A$24,ORÇAMENTO!E144)),OFFSET($D144,1,$C144,ROW($C$405)-ROW($C144)),0))</f>
        <v>0</v>
      </c>
      <c r="L144" s="115" t="str">
        <f t="shared" ca="1" si="43"/>
        <v/>
      </c>
      <c r="M144" s="116" t="s">
        <v>706</v>
      </c>
      <c r="N144" s="117" t="str">
        <f t="shared" ca="1" si="44"/>
        <v>Serviço</v>
      </c>
      <c r="O144" s="118" t="str">
        <f t="shared" ca="1" si="45"/>
        <v>-</v>
      </c>
      <c r="P144" s="119" t="s">
        <v>751</v>
      </c>
      <c r="Q144" s="120" t="s">
        <v>1055</v>
      </c>
      <c r="R144" s="121" t="s">
        <v>1431</v>
      </c>
      <c r="S144" s="122" t="s">
        <v>639</v>
      </c>
      <c r="T144" s="123">
        <f ca="1">OFFSET(CÁLCULO!H$15,ROW($T144)-ROW(T$15),0)</f>
        <v>37</v>
      </c>
      <c r="U144" s="124"/>
      <c r="V144" s="125" t="s">
        <v>663</v>
      </c>
      <c r="W144" s="123">
        <f ca="1">IF($C144="S",ROUND(IF(TIPOORCAMENTO="Proposto",ORÇAMENTO.CustoUnitario*(1+$AH144),ORÇAMENTO.PrecoUnitarioLicitado),15-13*$AF$10),0)</f>
        <v>0</v>
      </c>
      <c r="X144" s="126" cm="1">
        <f t="array" aca="1" ref="X144" ca="1">IF($C144="S",IF(OR(Import.TipoArredondamento&lt;&gt;"TransfereGOV",ACOMPANHAMENTO="BM"),VTOTAL1,SUM(OFFSET(CÁLCULO!$AA$15,ROW($X144)-ROW($X$15),1):OFFSET(CÁLCULO!$AL$15,ROW($X144)-ROW($X$15),-1))),IF($C144=0,0,ROUND(SomaAgrup,15-13*$AF$11)))</f>
        <v>0</v>
      </c>
      <c r="Y144" s="127" t="s">
        <v>752</v>
      </c>
      <c r="Z144" t="str">
        <f t="shared" ca="1" si="46"/>
        <v/>
      </c>
      <c r="AA144" s="128">
        <f ca="1">IF($C144="S",IF($Z144="CP",$X144,IF($Z144="RA",(($X144)*QCI!$AA$3),0)),SomaAgrup)</f>
        <v>0</v>
      </c>
      <c r="AB144" s="129">
        <f t="shared" ca="1" si="47"/>
        <v>0</v>
      </c>
      <c r="AC144" s="567" t="str">
        <f ca="1">IF($N144=""," ",
IF(AND($C144&lt;&gt;"S",OR($R144="",$R144="(digite a descrição aqui)")),"DESCRIÇÃO",
IF(AND($C144="S",OR($Q144&lt;&gt;0,$T144&gt;0,$U144&gt;0),$P144=0),"FONTE",
IF(AND($C144="S",$P144&lt;&gt;0,OR($T144&gt;0,$U144&gt;0),$Q144=0),"CÓDIGO",
IF(AND($C144="S",$P144&lt;&gt;0,$Q144&lt;&gt;0,$R144="(Código não identificado nas referências)"),"CÓDIGO N/ID",
IF(AND($C144="S",OR($R144="",$R144="(digite a descrição aqui)"),OR($Q144&lt;&gt;0,$T144&gt;0,$U144&gt;0)),"DESCRIÇÃO",
IF(AND($C144="S",$P144&lt;&gt;0,$Q144&lt;&gt;0,$S144=""),"UNIDADE",
IF(AND($C144="S",$P144&lt;&gt;0,$Q144&lt;&gt;0,$U144=0),"SEM CUSTO",
IF(AND(TIPOORCAMENTO="Licitado",$AL144=0,$AN144&gt;0),"SEM PREÇO",
IF(AND($C144="S",$P144&lt;&gt;0,$Q144&lt;&gt;0,$U144&gt;0,$V144=0),"BDI",
IF(OR(AND(TIPOORCAMENTO="Proposto",$AG144&lt;&gt;"",$AG144&gt;0,ORÇAMENTO.CustoUnitario&gt;$AG144),AND(TIPOORCAMENTO="LICITADO",ORÇAMENTO.PrecoUnitarioLicitado&gt;$AN144)),"ACIMA REF.",
IF(AND($C144="S",$P144&lt;&gt;0,$Q144&lt;&gt;0,$T144=0,$U144&gt;0),"QUANT.",
IF(AND(Import.TipoArredondamento="TransfereGOV",$L144="F",$C144="S",LEN($Q144)&gt;13),"Código &gt;13",
IF(AND(Import.TipoArredondamento="TransfereGOV",$L144="F",$C144&lt;&gt;"S",LEN($R144)&gt;100),"Descrição &gt;100",
IF(AND(Import.TipoArredondamento="TransfereGOV",$L144="F",$C144="S",LEN($R144)&gt;500),"Descrição &gt;500",
IF(AND(Import.TipoArredondamento="TransfereGOV",$L144="F",$C144="S",LEFT(TRIM(UPPER($P144)),6)&lt;&gt;"SINAPI",ISNA(VLOOKUP(TRIM(UPPER($S144)),ListaTgov.Unidades,1,FALSE))),"Unid. Não Disp",
" "))))))))))))))))</f>
        <v>SEM CUSTO</v>
      </c>
      <c r="AD144" t="str">
        <f ca="1">IF(C144&lt;=CRONO.NivelExibicao,MAX($AD$15:OFFSET(AD144,-1,0))+IF($C144&lt;&gt;1,1,MAX(1,COUNTIF(QCI!$A$13:$A$24,OFFSET($E144,-1,0)))),"")</f>
        <v/>
      </c>
      <c r="AE144" s="7" t="str">
        <f ca="1">IF(AND($C144="S",ORÇAMENTO.CodBarra&lt;&gt;""),IF(ORÇAMENTO.Fonte="",ORÇAMENTO.CodBarra,CONCATENATE(ORÇAMENTO.Fonte," ",ORÇAMENTO.CodBarra)))</f>
        <v>SINAPI 89744</v>
      </c>
      <c r="AF144" s="12" t="str">
        <f ca="1">IF(ISERROR(INDIRECT(ORÇAMENTO.BancoRef)),"(abra o arquivo 'Referência "&amp;Excel_BuiltIn_Database&amp;".xlsm)",IF(OR($C144&lt;&gt;"S",ORÇAMENTO.CodBarra=""),"(Sem Código)",IF(ISERROR(MATCH($AE144,INDIRECT(ORÇAMENTO.BancoRef),0)),"(Código não identificado nas referências)",MATCH($AE144,INDIRECT(ORÇAMENTO.BancoRef),0))))</f>
        <v>(abra o arquivo 'Referência 12-2024.xlsm)</v>
      </c>
      <c r="AG144" s="429">
        <f ca="1">ROUND(IF(DESONERACAO="sim",REFERENCIA.Desonerado,REFERENCIA.NaoDesonerado),2)</f>
        <v>0</v>
      </c>
      <c r="AH144" s="430">
        <f t="shared" ca="1" si="48"/>
        <v>0.31190000000000001</v>
      </c>
      <c r="AJ144" s="432">
        <v>37</v>
      </c>
      <c r="AL144" s="440"/>
      <c r="AM144" s="337">
        <f t="shared" ca="1" si="0"/>
        <v>0</v>
      </c>
      <c r="AN144" s="471">
        <f t="shared" ca="1" si="49"/>
        <v>0</v>
      </c>
    </row>
    <row r="145" spans="1:40" ht="38.25" x14ac:dyDescent="0.2">
      <c r="A145" t="str">
        <f t="shared" si="34"/>
        <v>S</v>
      </c>
      <c r="B145">
        <f t="shared" ca="1" si="35"/>
        <v>3</v>
      </c>
      <c r="C145" t="str">
        <f t="shared" ca="1" si="36"/>
        <v>S</v>
      </c>
      <c r="D145">
        <f t="shared" ca="1" si="37"/>
        <v>0</v>
      </c>
      <c r="E145">
        <f ca="1">IF($C145=1,OFFSET(E145,-1,0)+MAX(1,COUNTIF(QCI!$A$13:$A$24,OFFSET(ORÇAMENTO!E145,-1,0))),OFFSET(E145,-1,0))</f>
        <v>1</v>
      </c>
      <c r="F145">
        <f t="shared" ca="1" si="38"/>
        <v>11</v>
      </c>
      <c r="G145">
        <f t="shared" ca="1" si="39"/>
        <v>1</v>
      </c>
      <c r="H145">
        <f t="shared" ca="1" si="40"/>
        <v>0</v>
      </c>
      <c r="I145">
        <f t="shared" ca="1" si="41"/>
        <v>0</v>
      </c>
      <c r="J145">
        <f t="shared" ca="1" si="42"/>
        <v>0</v>
      </c>
      <c r="K145">
        <f ca="1">IF(OR($C145="S",$C145=0),0,MATCH(OFFSET($D145,0,$C145)+IF($C145&lt;&gt;1,1,COUNTIF(QCI!$A$13:$A$24,ORÇAMENTO!E145)),OFFSET($D145,1,$C145,ROW($C$405)-ROW($C145)),0))</f>
        <v>0</v>
      </c>
      <c r="L145" s="115" t="str">
        <f t="shared" ca="1" si="43"/>
        <v/>
      </c>
      <c r="M145" s="116" t="s">
        <v>706</v>
      </c>
      <c r="N145" s="117" t="str">
        <f t="shared" ca="1" si="44"/>
        <v>Serviço</v>
      </c>
      <c r="O145" s="118" t="str">
        <f t="shared" ca="1" si="45"/>
        <v>-</v>
      </c>
      <c r="P145" s="119" t="s">
        <v>751</v>
      </c>
      <c r="Q145" s="120" t="s">
        <v>1054</v>
      </c>
      <c r="R145" s="121" t="s">
        <v>1430</v>
      </c>
      <c r="S145" s="122" t="s">
        <v>639</v>
      </c>
      <c r="T145" s="123">
        <f ca="1">OFFSET(CÁLCULO!H$15,ROW($T145)-ROW(T$15),0)</f>
        <v>8</v>
      </c>
      <c r="U145" s="124"/>
      <c r="V145" s="125" t="s">
        <v>663</v>
      </c>
      <c r="W145" s="123">
        <f ca="1">IF($C145="S",ROUND(IF(TIPOORCAMENTO="Proposto",ORÇAMENTO.CustoUnitario*(1+$AH145),ORÇAMENTO.PrecoUnitarioLicitado),15-13*$AF$10),0)</f>
        <v>0</v>
      </c>
      <c r="X145" s="126" cm="1">
        <f t="array" aca="1" ref="X145" ca="1">IF($C145="S",IF(OR(Import.TipoArredondamento&lt;&gt;"TransfereGOV",ACOMPANHAMENTO="BM"),VTOTAL1,SUM(OFFSET(CÁLCULO!$AA$15,ROW($X145)-ROW($X$15),1):OFFSET(CÁLCULO!$AL$15,ROW($X145)-ROW($X$15),-1))),IF($C145=0,0,ROUND(SomaAgrup,15-13*$AF$11)))</f>
        <v>0</v>
      </c>
      <c r="Y145" s="127" t="s">
        <v>752</v>
      </c>
      <c r="Z145" t="str">
        <f t="shared" ca="1" si="46"/>
        <v/>
      </c>
      <c r="AA145" s="128">
        <f ca="1">IF($C145="S",IF($Z145="CP",$X145,IF($Z145="RA",(($X145)*QCI!$AA$3),0)),SomaAgrup)</f>
        <v>0</v>
      </c>
      <c r="AB145" s="129">
        <f t="shared" ca="1" si="47"/>
        <v>0</v>
      </c>
      <c r="AC145" s="567" t="str">
        <f ca="1">IF($N145=""," ",
IF(AND($C145&lt;&gt;"S",OR($R145="",$R145="(digite a descrição aqui)")),"DESCRIÇÃO",
IF(AND($C145="S",OR($Q145&lt;&gt;0,$T145&gt;0,$U145&gt;0),$P145=0),"FONTE",
IF(AND($C145="S",$P145&lt;&gt;0,OR($T145&gt;0,$U145&gt;0),$Q145=0),"CÓDIGO",
IF(AND($C145="S",$P145&lt;&gt;0,$Q145&lt;&gt;0,$R145="(Código não identificado nas referências)"),"CÓDIGO N/ID",
IF(AND($C145="S",OR($R145="",$R145="(digite a descrição aqui)"),OR($Q145&lt;&gt;0,$T145&gt;0,$U145&gt;0)),"DESCRIÇÃO",
IF(AND($C145="S",$P145&lt;&gt;0,$Q145&lt;&gt;0,$S145=""),"UNIDADE",
IF(AND($C145="S",$P145&lt;&gt;0,$Q145&lt;&gt;0,$U145=0),"SEM CUSTO",
IF(AND(TIPOORCAMENTO="Licitado",$AL145=0,$AN145&gt;0),"SEM PREÇO",
IF(AND($C145="S",$P145&lt;&gt;0,$Q145&lt;&gt;0,$U145&gt;0,$V145=0),"BDI",
IF(OR(AND(TIPOORCAMENTO="Proposto",$AG145&lt;&gt;"",$AG145&gt;0,ORÇAMENTO.CustoUnitario&gt;$AG145),AND(TIPOORCAMENTO="LICITADO",ORÇAMENTO.PrecoUnitarioLicitado&gt;$AN145)),"ACIMA REF.",
IF(AND($C145="S",$P145&lt;&gt;0,$Q145&lt;&gt;0,$T145=0,$U145&gt;0),"QUANT.",
IF(AND(Import.TipoArredondamento="TransfereGOV",$L145="F",$C145="S",LEN($Q145)&gt;13),"Código &gt;13",
IF(AND(Import.TipoArredondamento="TransfereGOV",$L145="F",$C145&lt;&gt;"S",LEN($R145)&gt;100),"Descrição &gt;100",
IF(AND(Import.TipoArredondamento="TransfereGOV",$L145="F",$C145="S",LEN($R145)&gt;500),"Descrição &gt;500",
IF(AND(Import.TipoArredondamento="TransfereGOV",$L145="F",$C145="S",LEFT(TRIM(UPPER($P145)),6)&lt;&gt;"SINAPI",ISNA(VLOOKUP(TRIM(UPPER($S145)),ListaTgov.Unidades,1,FALSE))),"Unid. Não Disp",
" "))))))))))))))))</f>
        <v>SEM CUSTO</v>
      </c>
      <c r="AD145" t="str">
        <f ca="1">IF(C145&lt;=CRONO.NivelExibicao,MAX($AD$15:OFFSET(AD145,-1,0))+IF($C145&lt;&gt;1,1,MAX(1,COUNTIF(QCI!$A$13:$A$24,OFFSET($E145,-1,0)))),"")</f>
        <v/>
      </c>
      <c r="AE145" s="7" t="str">
        <f ca="1">IF(AND($C145="S",ORÇAMENTO.CodBarra&lt;&gt;""),IF(ORÇAMENTO.Fonte="",ORÇAMENTO.CodBarra,CONCATENATE(ORÇAMENTO.Fonte," ",ORÇAMENTO.CodBarra)))</f>
        <v>SINAPI 89724</v>
      </c>
      <c r="AF145" s="12" t="str">
        <f ca="1">IF(ISERROR(INDIRECT(ORÇAMENTO.BancoRef)),"(abra o arquivo 'Referência "&amp;Excel_BuiltIn_Database&amp;".xlsm)",IF(OR($C145&lt;&gt;"S",ORÇAMENTO.CodBarra=""),"(Sem Código)",IF(ISERROR(MATCH($AE145,INDIRECT(ORÇAMENTO.BancoRef),0)),"(Código não identificado nas referências)",MATCH($AE145,INDIRECT(ORÇAMENTO.BancoRef),0))))</f>
        <v>(abra o arquivo 'Referência 12-2024.xlsm)</v>
      </c>
      <c r="AG145" s="429">
        <f ca="1">ROUND(IF(DESONERACAO="sim",REFERENCIA.Desonerado,REFERENCIA.NaoDesonerado),2)</f>
        <v>0</v>
      </c>
      <c r="AH145" s="430">
        <f t="shared" ca="1" si="48"/>
        <v>0.31190000000000001</v>
      </c>
      <c r="AJ145" s="432">
        <v>8</v>
      </c>
      <c r="AL145" s="440"/>
      <c r="AM145" s="337">
        <f t="shared" ca="1" si="0"/>
        <v>0</v>
      </c>
      <c r="AN145" s="471">
        <f t="shared" ca="1" si="49"/>
        <v>0</v>
      </c>
    </row>
    <row r="146" spans="1:40" ht="38.25" x14ac:dyDescent="0.2">
      <c r="A146" t="str">
        <f t="shared" si="34"/>
        <v>S</v>
      </c>
      <c r="B146">
        <f t="shared" ca="1" si="35"/>
        <v>3</v>
      </c>
      <c r="C146" t="str">
        <f t="shared" ca="1" si="36"/>
        <v>S</v>
      </c>
      <c r="D146">
        <f t="shared" ca="1" si="37"/>
        <v>0</v>
      </c>
      <c r="E146">
        <f ca="1">IF($C146=1,OFFSET(E146,-1,0)+MAX(1,COUNTIF(QCI!$A$13:$A$24,OFFSET(ORÇAMENTO!E146,-1,0))),OFFSET(E146,-1,0))</f>
        <v>1</v>
      </c>
      <c r="F146">
        <f t="shared" ca="1" si="38"/>
        <v>11</v>
      </c>
      <c r="G146">
        <f t="shared" ca="1" si="39"/>
        <v>1</v>
      </c>
      <c r="H146">
        <f t="shared" ca="1" si="40"/>
        <v>0</v>
      </c>
      <c r="I146">
        <f t="shared" ca="1" si="41"/>
        <v>0</v>
      </c>
      <c r="J146">
        <f t="shared" ca="1" si="42"/>
        <v>0</v>
      </c>
      <c r="K146">
        <f ca="1">IF(OR($C146="S",$C146=0),0,MATCH(OFFSET($D146,0,$C146)+IF($C146&lt;&gt;1,1,COUNTIF(QCI!$A$13:$A$24,ORÇAMENTO!E146)),OFFSET($D146,1,$C146,ROW($C$405)-ROW($C146)),0))</f>
        <v>0</v>
      </c>
      <c r="L146" s="115" t="str">
        <f t="shared" ca="1" si="43"/>
        <v/>
      </c>
      <c r="M146" s="116" t="s">
        <v>706</v>
      </c>
      <c r="N146" s="117" t="str">
        <f t="shared" ca="1" si="44"/>
        <v>Serviço</v>
      </c>
      <c r="O146" s="118" t="str">
        <f t="shared" ca="1" si="45"/>
        <v>-</v>
      </c>
      <c r="P146" s="119" t="s">
        <v>751</v>
      </c>
      <c r="Q146" s="120" t="s">
        <v>1056</v>
      </c>
      <c r="R146" s="121" t="s">
        <v>1432</v>
      </c>
      <c r="S146" s="122" t="s">
        <v>639</v>
      </c>
      <c r="T146" s="123">
        <f ca="1">OFFSET(CÁLCULO!H$15,ROW($T146)-ROW(T$15),0)</f>
        <v>18</v>
      </c>
      <c r="U146" s="124"/>
      <c r="V146" s="125" t="s">
        <v>663</v>
      </c>
      <c r="W146" s="123">
        <f ca="1">IF($C146="S",ROUND(IF(TIPOORCAMENTO="Proposto",ORÇAMENTO.CustoUnitario*(1+$AH146),ORÇAMENTO.PrecoUnitarioLicitado),15-13*$AF$10),0)</f>
        <v>0</v>
      </c>
      <c r="X146" s="126" cm="1">
        <f t="array" aca="1" ref="X146" ca="1">IF($C146="S",IF(OR(Import.TipoArredondamento&lt;&gt;"TransfereGOV",ACOMPANHAMENTO="BM"),VTOTAL1,SUM(OFFSET(CÁLCULO!$AA$15,ROW($X146)-ROW($X$15),1):OFFSET(CÁLCULO!$AL$15,ROW($X146)-ROW($X$15),-1))),IF($C146=0,0,ROUND(SomaAgrup,15-13*$AF$11)))</f>
        <v>0</v>
      </c>
      <c r="Y146" s="127" t="s">
        <v>752</v>
      </c>
      <c r="Z146" t="str">
        <f t="shared" ca="1" si="46"/>
        <v/>
      </c>
      <c r="AA146" s="128">
        <f ca="1">IF($C146="S",IF($Z146="CP",$X146,IF($Z146="RA",(($X146)*QCI!$AA$3),0)),SomaAgrup)</f>
        <v>0</v>
      </c>
      <c r="AB146" s="129">
        <f t="shared" ca="1" si="47"/>
        <v>0</v>
      </c>
      <c r="AC146" s="567" t="str">
        <f ca="1">IF($N146=""," ",
IF(AND($C146&lt;&gt;"S",OR($R146="",$R146="(digite a descrição aqui)")),"DESCRIÇÃO",
IF(AND($C146="S",OR($Q146&lt;&gt;0,$T146&gt;0,$U146&gt;0),$P146=0),"FONTE",
IF(AND($C146="S",$P146&lt;&gt;0,OR($T146&gt;0,$U146&gt;0),$Q146=0),"CÓDIGO",
IF(AND($C146="S",$P146&lt;&gt;0,$Q146&lt;&gt;0,$R146="(Código não identificado nas referências)"),"CÓDIGO N/ID",
IF(AND($C146="S",OR($R146="",$R146="(digite a descrição aqui)"),OR($Q146&lt;&gt;0,$T146&gt;0,$U146&gt;0)),"DESCRIÇÃO",
IF(AND($C146="S",$P146&lt;&gt;0,$Q146&lt;&gt;0,$S146=""),"UNIDADE",
IF(AND($C146="S",$P146&lt;&gt;0,$Q146&lt;&gt;0,$U146=0),"SEM CUSTO",
IF(AND(TIPOORCAMENTO="Licitado",$AL146=0,$AN146&gt;0),"SEM PREÇO",
IF(AND($C146="S",$P146&lt;&gt;0,$Q146&lt;&gt;0,$U146&gt;0,$V146=0),"BDI",
IF(OR(AND(TIPOORCAMENTO="Proposto",$AG146&lt;&gt;"",$AG146&gt;0,ORÇAMENTO.CustoUnitario&gt;$AG146),AND(TIPOORCAMENTO="LICITADO",ORÇAMENTO.PrecoUnitarioLicitado&gt;$AN146)),"ACIMA REF.",
IF(AND($C146="S",$P146&lt;&gt;0,$Q146&lt;&gt;0,$T146=0,$U146&gt;0),"QUANT.",
IF(AND(Import.TipoArredondamento="TransfereGOV",$L146="F",$C146="S",LEN($Q146)&gt;13),"Código &gt;13",
IF(AND(Import.TipoArredondamento="TransfereGOV",$L146="F",$C146&lt;&gt;"S",LEN($R146)&gt;100),"Descrição &gt;100",
IF(AND(Import.TipoArredondamento="TransfereGOV",$L146="F",$C146="S",LEN($R146)&gt;500),"Descrição &gt;500",
IF(AND(Import.TipoArredondamento="TransfereGOV",$L146="F",$C146="S",LEFT(TRIM(UPPER($P146)),6)&lt;&gt;"SINAPI",ISNA(VLOOKUP(TRIM(UPPER($S146)),ListaTgov.Unidades,1,FALSE))),"Unid. Não Disp",
" "))))))))))))))))</f>
        <v>SEM CUSTO</v>
      </c>
      <c r="AD146" t="str">
        <f ca="1">IF(C146&lt;=CRONO.NivelExibicao,MAX($AD$15:OFFSET(AD146,-1,0))+IF($C146&lt;&gt;1,1,MAX(1,COUNTIF(QCI!$A$13:$A$24,OFFSET($E146,-1,0)))),"")</f>
        <v/>
      </c>
      <c r="AE146" s="7" t="str">
        <f ca="1">IF(AND($C146="S",ORÇAMENTO.CodBarra&lt;&gt;""),IF(ORÇAMENTO.Fonte="",ORÇAMENTO.CodBarra,CONCATENATE(ORÇAMENTO.Fonte," ",ORÇAMENTO.CodBarra)))</f>
        <v>SINAPI 89731</v>
      </c>
      <c r="AF146" s="12" t="str">
        <f ca="1">IF(ISERROR(INDIRECT(ORÇAMENTO.BancoRef)),"(abra o arquivo 'Referência "&amp;Excel_BuiltIn_Database&amp;".xlsm)",IF(OR($C146&lt;&gt;"S",ORÇAMENTO.CodBarra=""),"(Sem Código)",IF(ISERROR(MATCH($AE146,INDIRECT(ORÇAMENTO.BancoRef),0)),"(Código não identificado nas referências)",MATCH($AE146,INDIRECT(ORÇAMENTO.BancoRef),0))))</f>
        <v>(abra o arquivo 'Referência 12-2024.xlsm)</v>
      </c>
      <c r="AG146" s="429">
        <f ca="1">ROUND(IF(DESONERACAO="sim",REFERENCIA.Desonerado,REFERENCIA.NaoDesonerado),2)</f>
        <v>0</v>
      </c>
      <c r="AH146" s="430">
        <f t="shared" ca="1" si="48"/>
        <v>0.31190000000000001</v>
      </c>
      <c r="AJ146" s="432">
        <v>18</v>
      </c>
      <c r="AL146" s="440"/>
      <c r="AM146" s="337">
        <f t="shared" ca="1" si="0"/>
        <v>0</v>
      </c>
      <c r="AN146" s="471">
        <f t="shared" ca="1" si="49"/>
        <v>0</v>
      </c>
    </row>
    <row r="147" spans="1:40" ht="38.25" x14ac:dyDescent="0.2">
      <c r="A147" t="str">
        <f t="shared" si="34"/>
        <v>S</v>
      </c>
      <c r="B147">
        <f t="shared" ca="1" si="35"/>
        <v>3</v>
      </c>
      <c r="C147" t="str">
        <f t="shared" ca="1" si="36"/>
        <v>S</v>
      </c>
      <c r="D147">
        <f t="shared" ca="1" si="37"/>
        <v>0</v>
      </c>
      <c r="E147">
        <f ca="1">IF($C147=1,OFFSET(E147,-1,0)+MAX(1,COUNTIF(QCI!$A$13:$A$24,OFFSET(ORÇAMENTO!E147,-1,0))),OFFSET(E147,-1,0))</f>
        <v>1</v>
      </c>
      <c r="F147">
        <f t="shared" ca="1" si="38"/>
        <v>11</v>
      </c>
      <c r="G147">
        <f t="shared" ca="1" si="39"/>
        <v>1</v>
      </c>
      <c r="H147">
        <f t="shared" ca="1" si="40"/>
        <v>0</v>
      </c>
      <c r="I147">
        <f t="shared" ca="1" si="41"/>
        <v>0</v>
      </c>
      <c r="J147">
        <f t="shared" ca="1" si="42"/>
        <v>0</v>
      </c>
      <c r="K147">
        <f ca="1">IF(OR($C147="S",$C147=0),0,MATCH(OFFSET($D147,0,$C147)+IF($C147&lt;&gt;1,1,COUNTIF(QCI!$A$13:$A$24,ORÇAMENTO!E147)),OFFSET($D147,1,$C147,ROW($C$405)-ROW($C147)),0))</f>
        <v>0</v>
      </c>
      <c r="L147" s="115" t="str">
        <f t="shared" ca="1" si="43"/>
        <v/>
      </c>
      <c r="M147" s="116" t="s">
        <v>706</v>
      </c>
      <c r="N147" s="117" t="str">
        <f t="shared" ca="1" si="44"/>
        <v>Serviço</v>
      </c>
      <c r="O147" s="118" t="str">
        <f t="shared" ca="1" si="45"/>
        <v>-</v>
      </c>
      <c r="P147" s="119" t="s">
        <v>1316</v>
      </c>
      <c r="Q147" s="120" t="s">
        <v>1057</v>
      </c>
      <c r="R147" s="121" t="s">
        <v>1433</v>
      </c>
      <c r="S147" s="122" t="s">
        <v>1644</v>
      </c>
      <c r="T147" s="123">
        <f ca="1">OFFSET(CÁLCULO!H$15,ROW($T147)-ROW(T$15),0)</f>
        <v>42</v>
      </c>
      <c r="U147" s="124"/>
      <c r="V147" s="125" t="s">
        <v>663</v>
      </c>
      <c r="W147" s="123">
        <f ca="1">IF($C147="S",ROUND(IF(TIPOORCAMENTO="Proposto",ORÇAMENTO.CustoUnitario*(1+$AH147),ORÇAMENTO.PrecoUnitarioLicitado),15-13*$AF$10),0)</f>
        <v>0</v>
      </c>
      <c r="X147" s="126" cm="1">
        <f t="array" aca="1" ref="X147" ca="1">IF($C147="S",IF(OR(Import.TipoArredondamento&lt;&gt;"TransfereGOV",ACOMPANHAMENTO="BM"),VTOTAL1,SUM(OFFSET(CÁLCULO!$AA$15,ROW($X147)-ROW($X$15),1):OFFSET(CÁLCULO!$AL$15,ROW($X147)-ROW($X$15),-1))),IF($C147=0,0,ROUND(SomaAgrup,15-13*$AF$11)))</f>
        <v>0</v>
      </c>
      <c r="Y147" s="127" t="s">
        <v>752</v>
      </c>
      <c r="Z147" t="str">
        <f t="shared" ca="1" si="46"/>
        <v/>
      </c>
      <c r="AA147" s="128">
        <f ca="1">IF($C147="S",IF($Z147="CP",$X147,IF($Z147="RA",(($X147)*QCI!$AA$3),0)),SomaAgrup)</f>
        <v>0</v>
      </c>
      <c r="AB147" s="129">
        <f t="shared" ca="1" si="47"/>
        <v>0</v>
      </c>
      <c r="AC147" s="567" t="str">
        <f ca="1">IF($N147=""," ",
IF(AND($C147&lt;&gt;"S",OR($R147="",$R147="(digite a descrição aqui)")),"DESCRIÇÃO",
IF(AND($C147="S",OR($Q147&lt;&gt;0,$T147&gt;0,$U147&gt;0),$P147=0),"FONTE",
IF(AND($C147="S",$P147&lt;&gt;0,OR($T147&gt;0,$U147&gt;0),$Q147=0),"CÓDIGO",
IF(AND($C147="S",$P147&lt;&gt;0,$Q147&lt;&gt;0,$R147="(Código não identificado nas referências)"),"CÓDIGO N/ID",
IF(AND($C147="S",OR($R147="",$R147="(digite a descrição aqui)"),OR($Q147&lt;&gt;0,$T147&gt;0,$U147&gt;0)),"DESCRIÇÃO",
IF(AND($C147="S",$P147&lt;&gt;0,$Q147&lt;&gt;0,$S147=""),"UNIDADE",
IF(AND($C147="S",$P147&lt;&gt;0,$Q147&lt;&gt;0,$U147=0),"SEM CUSTO",
IF(AND(TIPOORCAMENTO="Licitado",$AL147=0,$AN147&gt;0),"SEM PREÇO",
IF(AND($C147="S",$P147&lt;&gt;0,$Q147&lt;&gt;0,$U147&gt;0,$V147=0),"BDI",
IF(OR(AND(TIPOORCAMENTO="Proposto",$AG147&lt;&gt;"",$AG147&gt;0,ORÇAMENTO.CustoUnitario&gt;$AG147),AND(TIPOORCAMENTO="LICITADO",ORÇAMENTO.PrecoUnitarioLicitado&gt;$AN147)),"ACIMA REF.",
IF(AND($C147="S",$P147&lt;&gt;0,$Q147&lt;&gt;0,$T147=0,$U147&gt;0),"QUANT.",
IF(AND(Import.TipoArredondamento="TransfereGOV",$L147="F",$C147="S",LEN($Q147)&gt;13),"Código &gt;13",
IF(AND(Import.TipoArredondamento="TransfereGOV",$L147="F",$C147&lt;&gt;"S",LEN($R147)&gt;100),"Descrição &gt;100",
IF(AND(Import.TipoArredondamento="TransfereGOV",$L147="F",$C147="S",LEN($R147)&gt;500),"Descrição &gt;500",
IF(AND(Import.TipoArredondamento="TransfereGOV",$L147="F",$C147="S",LEFT(TRIM(UPPER($P147)),6)&lt;&gt;"SINAPI",ISNA(VLOOKUP(TRIM(UPPER($S147)),ListaTgov.Unidades,1,FALSE))),"Unid. Não Disp",
" "))))))))))))))))</f>
        <v>SEM CUSTO</v>
      </c>
      <c r="AD147" t="str">
        <f ca="1">IF(C147&lt;=CRONO.NivelExibicao,MAX($AD$15:OFFSET(AD147,-1,0))+IF($C147&lt;&gt;1,1,MAX(1,COUNTIF(QCI!$A$13:$A$24,OFFSET($E147,-1,0)))),"")</f>
        <v/>
      </c>
      <c r="AE147" s="7" t="str">
        <f ca="1">IF(AND($C147="S",ORÇAMENTO.CodBarra&lt;&gt;""),IF(ORÇAMENTO.Fonte="",ORÇAMENTO.CodBarra,CONCATENATE(ORÇAMENTO.Fonte," ",ORÇAMENTO.CodBarra)))</f>
        <v>Composiçao 243</v>
      </c>
      <c r="AF147" s="12" t="str">
        <f ca="1">IF(ISERROR(INDIRECT(ORÇAMENTO.BancoRef)),"(abra o arquivo 'Referência "&amp;Excel_BuiltIn_Database&amp;".xlsm)",IF(OR($C147&lt;&gt;"S",ORÇAMENTO.CodBarra=""),"(Sem Código)",IF(ISERROR(MATCH($AE147,INDIRECT(ORÇAMENTO.BancoRef),0)),"(Código não identificado nas referências)",MATCH($AE147,INDIRECT(ORÇAMENTO.BancoRef),0))))</f>
        <v>(abra o arquivo 'Referência 12-2024.xlsm)</v>
      </c>
      <c r="AG147" s="429">
        <f ca="1">ROUND(IF(DESONERACAO="sim",REFERENCIA.Desonerado,REFERENCIA.NaoDesonerado),2)</f>
        <v>0</v>
      </c>
      <c r="AH147" s="430">
        <f t="shared" ca="1" si="48"/>
        <v>0.31190000000000001</v>
      </c>
      <c r="AJ147" s="432">
        <v>42</v>
      </c>
      <c r="AL147" s="440"/>
      <c r="AM147" s="337">
        <f t="shared" ca="1" si="0"/>
        <v>0</v>
      </c>
      <c r="AN147" s="471">
        <f t="shared" ca="1" si="49"/>
        <v>0</v>
      </c>
    </row>
    <row r="148" spans="1:40" ht="38.25" x14ac:dyDescent="0.2">
      <c r="A148" t="str">
        <f t="shared" si="34"/>
        <v>S</v>
      </c>
      <c r="B148">
        <f t="shared" ca="1" si="35"/>
        <v>3</v>
      </c>
      <c r="C148" t="str">
        <f t="shared" ca="1" si="36"/>
        <v>S</v>
      </c>
      <c r="D148">
        <f t="shared" ca="1" si="37"/>
        <v>0</v>
      </c>
      <c r="E148">
        <f ca="1">IF($C148=1,OFFSET(E148,-1,0)+MAX(1,COUNTIF(QCI!$A$13:$A$24,OFFSET(ORÇAMENTO!E148,-1,0))),OFFSET(E148,-1,0))</f>
        <v>1</v>
      </c>
      <c r="F148">
        <f t="shared" ca="1" si="38"/>
        <v>11</v>
      </c>
      <c r="G148">
        <f t="shared" ca="1" si="39"/>
        <v>1</v>
      </c>
      <c r="H148">
        <f t="shared" ca="1" si="40"/>
        <v>0</v>
      </c>
      <c r="I148">
        <f t="shared" ca="1" si="41"/>
        <v>0</v>
      </c>
      <c r="J148">
        <f t="shared" ca="1" si="42"/>
        <v>0</v>
      </c>
      <c r="K148">
        <f ca="1">IF(OR($C148="S",$C148=0),0,MATCH(OFFSET($D148,0,$C148)+IF($C148&lt;&gt;1,1,COUNTIF(QCI!$A$13:$A$24,ORÇAMENTO!E148)),OFFSET($D148,1,$C148,ROW($C$405)-ROW($C148)),0))</f>
        <v>0</v>
      </c>
      <c r="L148" s="115" t="str">
        <f t="shared" ca="1" si="43"/>
        <v/>
      </c>
      <c r="M148" s="116" t="s">
        <v>706</v>
      </c>
      <c r="N148" s="117" t="str">
        <f t="shared" ca="1" si="44"/>
        <v>Serviço</v>
      </c>
      <c r="O148" s="118" t="str">
        <f t="shared" ca="1" si="45"/>
        <v>-</v>
      </c>
      <c r="P148" s="119" t="s">
        <v>1316</v>
      </c>
      <c r="Q148" s="120" t="s">
        <v>1058</v>
      </c>
      <c r="R148" s="121" t="s">
        <v>1434</v>
      </c>
      <c r="S148" s="122" t="s">
        <v>1644</v>
      </c>
      <c r="T148" s="123">
        <f ca="1">OFFSET(CÁLCULO!H$15,ROW($T148)-ROW(T$15),0)</f>
        <v>4</v>
      </c>
      <c r="U148" s="124"/>
      <c r="V148" s="125" t="s">
        <v>663</v>
      </c>
      <c r="W148" s="123">
        <f ca="1">IF($C148="S",ROUND(IF(TIPOORCAMENTO="Proposto",ORÇAMENTO.CustoUnitario*(1+$AH148),ORÇAMENTO.PrecoUnitarioLicitado),15-13*$AF$10),0)</f>
        <v>0</v>
      </c>
      <c r="X148" s="126" cm="1">
        <f t="array" aca="1" ref="X148" ca="1">IF($C148="S",IF(OR(Import.TipoArredondamento&lt;&gt;"TransfereGOV",ACOMPANHAMENTO="BM"),VTOTAL1,SUM(OFFSET(CÁLCULO!$AA$15,ROW($X148)-ROW($X$15),1):OFFSET(CÁLCULO!$AL$15,ROW($X148)-ROW($X$15),-1))),IF($C148=0,0,ROUND(SomaAgrup,15-13*$AF$11)))</f>
        <v>0</v>
      </c>
      <c r="Y148" s="127" t="s">
        <v>752</v>
      </c>
      <c r="Z148" t="str">
        <f t="shared" ca="1" si="46"/>
        <v/>
      </c>
      <c r="AA148" s="128">
        <f ca="1">IF($C148="S",IF($Z148="CP",$X148,IF($Z148="RA",(($X148)*QCI!$AA$3),0)),SomaAgrup)</f>
        <v>0</v>
      </c>
      <c r="AB148" s="129">
        <f t="shared" ca="1" si="47"/>
        <v>0</v>
      </c>
      <c r="AC148" s="567" t="str">
        <f ca="1">IF($N148=""," ",
IF(AND($C148&lt;&gt;"S",OR($R148="",$R148="(digite a descrição aqui)")),"DESCRIÇÃO",
IF(AND($C148="S",OR($Q148&lt;&gt;0,$T148&gt;0,$U148&gt;0),$P148=0),"FONTE",
IF(AND($C148="S",$P148&lt;&gt;0,OR($T148&gt;0,$U148&gt;0),$Q148=0),"CÓDIGO",
IF(AND($C148="S",$P148&lt;&gt;0,$Q148&lt;&gt;0,$R148="(Código não identificado nas referências)"),"CÓDIGO N/ID",
IF(AND($C148="S",OR($R148="",$R148="(digite a descrição aqui)"),OR($Q148&lt;&gt;0,$T148&gt;0,$U148&gt;0)),"DESCRIÇÃO",
IF(AND($C148="S",$P148&lt;&gt;0,$Q148&lt;&gt;0,$S148=""),"UNIDADE",
IF(AND($C148="S",$P148&lt;&gt;0,$Q148&lt;&gt;0,$U148=0),"SEM CUSTO",
IF(AND(TIPOORCAMENTO="Licitado",$AL148=0,$AN148&gt;0),"SEM PREÇO",
IF(AND($C148="S",$P148&lt;&gt;0,$Q148&lt;&gt;0,$U148&gt;0,$V148=0),"BDI",
IF(OR(AND(TIPOORCAMENTO="Proposto",$AG148&lt;&gt;"",$AG148&gt;0,ORÇAMENTO.CustoUnitario&gt;$AG148),AND(TIPOORCAMENTO="LICITADO",ORÇAMENTO.PrecoUnitarioLicitado&gt;$AN148)),"ACIMA REF.",
IF(AND($C148="S",$P148&lt;&gt;0,$Q148&lt;&gt;0,$T148=0,$U148&gt;0),"QUANT.",
IF(AND(Import.TipoArredondamento="TransfereGOV",$L148="F",$C148="S",LEN($Q148)&gt;13),"Código &gt;13",
IF(AND(Import.TipoArredondamento="TransfereGOV",$L148="F",$C148&lt;&gt;"S",LEN($R148)&gt;100),"Descrição &gt;100",
IF(AND(Import.TipoArredondamento="TransfereGOV",$L148="F",$C148="S",LEN($R148)&gt;500),"Descrição &gt;500",
IF(AND(Import.TipoArredondamento="TransfereGOV",$L148="F",$C148="S",LEFT(TRIM(UPPER($P148)),6)&lt;&gt;"SINAPI",ISNA(VLOOKUP(TRIM(UPPER($S148)),ListaTgov.Unidades,1,FALSE))),"Unid. Não Disp",
" "))))))))))))))))</f>
        <v>SEM CUSTO</v>
      </c>
      <c r="AD148" t="str">
        <f ca="1">IF(C148&lt;=CRONO.NivelExibicao,MAX($AD$15:OFFSET(AD148,-1,0))+IF($C148&lt;&gt;1,1,MAX(1,COUNTIF(QCI!$A$13:$A$24,OFFSET($E148,-1,0)))),"")</f>
        <v/>
      </c>
      <c r="AE148" s="7" t="str">
        <f ca="1">IF(AND($C148="S",ORÇAMENTO.CodBarra&lt;&gt;""),IF(ORÇAMENTO.Fonte="",ORÇAMENTO.CodBarra,CONCATENATE(ORÇAMENTO.Fonte," ",ORÇAMENTO.CodBarra)))</f>
        <v>Composiçao 242</v>
      </c>
      <c r="AF148" s="12" t="str">
        <f ca="1">IF(ISERROR(INDIRECT(ORÇAMENTO.BancoRef)),"(abra o arquivo 'Referência "&amp;Excel_BuiltIn_Database&amp;".xlsm)",IF(OR($C148&lt;&gt;"S",ORÇAMENTO.CodBarra=""),"(Sem Código)",IF(ISERROR(MATCH($AE148,INDIRECT(ORÇAMENTO.BancoRef),0)),"(Código não identificado nas referências)",MATCH($AE148,INDIRECT(ORÇAMENTO.BancoRef),0))))</f>
        <v>(abra o arquivo 'Referência 12-2024.xlsm)</v>
      </c>
      <c r="AG148" s="429">
        <f ca="1">ROUND(IF(DESONERACAO="sim",REFERENCIA.Desonerado,REFERENCIA.NaoDesonerado),2)</f>
        <v>0</v>
      </c>
      <c r="AH148" s="430">
        <f t="shared" ca="1" si="48"/>
        <v>0.31190000000000001</v>
      </c>
      <c r="AJ148" s="432">
        <v>4</v>
      </c>
      <c r="AL148" s="440"/>
      <c r="AM148" s="337">
        <f t="shared" ca="1" si="0"/>
        <v>0</v>
      </c>
      <c r="AN148" s="471">
        <f t="shared" ca="1" si="49"/>
        <v>0</v>
      </c>
    </row>
    <row r="149" spans="1:40" ht="38.25" x14ac:dyDescent="0.2">
      <c r="A149" t="str">
        <f t="shared" si="34"/>
        <v>S</v>
      </c>
      <c r="B149">
        <f t="shared" ca="1" si="35"/>
        <v>3</v>
      </c>
      <c r="C149" t="str">
        <f t="shared" ca="1" si="36"/>
        <v>S</v>
      </c>
      <c r="D149">
        <f t="shared" ca="1" si="37"/>
        <v>0</v>
      </c>
      <c r="E149">
        <f ca="1">IF($C149=1,OFFSET(E149,-1,0)+MAX(1,COUNTIF(QCI!$A$13:$A$24,OFFSET(ORÇAMENTO!E149,-1,0))),OFFSET(E149,-1,0))</f>
        <v>1</v>
      </c>
      <c r="F149">
        <f t="shared" ca="1" si="38"/>
        <v>11</v>
      </c>
      <c r="G149">
        <f t="shared" ca="1" si="39"/>
        <v>1</v>
      </c>
      <c r="H149">
        <f t="shared" ca="1" si="40"/>
        <v>0</v>
      </c>
      <c r="I149">
        <f t="shared" ca="1" si="41"/>
        <v>0</v>
      </c>
      <c r="J149">
        <f t="shared" ca="1" si="42"/>
        <v>0</v>
      </c>
      <c r="K149">
        <f ca="1">IF(OR($C149="S",$C149=0),0,MATCH(OFFSET($D149,0,$C149)+IF($C149&lt;&gt;1,1,COUNTIF(QCI!$A$13:$A$24,ORÇAMENTO!E149)),OFFSET($D149,1,$C149,ROW($C$405)-ROW($C149)),0))</f>
        <v>0</v>
      </c>
      <c r="L149" s="115" t="str">
        <f t="shared" ca="1" si="43"/>
        <v/>
      </c>
      <c r="M149" s="116" t="s">
        <v>706</v>
      </c>
      <c r="N149" s="117" t="str">
        <f t="shared" ca="1" si="44"/>
        <v>Serviço</v>
      </c>
      <c r="O149" s="118" t="str">
        <f t="shared" ca="1" si="45"/>
        <v>-</v>
      </c>
      <c r="P149" s="119" t="s">
        <v>751</v>
      </c>
      <c r="Q149" s="120" t="s">
        <v>1059</v>
      </c>
      <c r="R149" s="121" t="s">
        <v>1435</v>
      </c>
      <c r="S149" s="122" t="s">
        <v>639</v>
      </c>
      <c r="T149" s="123">
        <f ca="1">OFFSET(CÁLCULO!H$15,ROW($T149)-ROW(T$15),0)</f>
        <v>14</v>
      </c>
      <c r="U149" s="124"/>
      <c r="V149" s="125" t="s">
        <v>663</v>
      </c>
      <c r="W149" s="123">
        <f ca="1">IF($C149="S",ROUND(IF(TIPOORCAMENTO="Proposto",ORÇAMENTO.CustoUnitario*(1+$AH149),ORÇAMENTO.PrecoUnitarioLicitado),15-13*$AF$10),0)</f>
        <v>0</v>
      </c>
      <c r="X149" s="126" cm="1">
        <f t="array" aca="1" ref="X149" ca="1">IF($C149="S",IF(OR(Import.TipoArredondamento&lt;&gt;"TransfereGOV",ACOMPANHAMENTO="BM"),VTOTAL1,SUM(OFFSET(CÁLCULO!$AA$15,ROW($X149)-ROW($X$15),1):OFFSET(CÁLCULO!$AL$15,ROW($X149)-ROW($X$15),-1))),IF($C149=0,0,ROUND(SomaAgrup,15-13*$AF$11)))</f>
        <v>0</v>
      </c>
      <c r="Y149" s="127" t="s">
        <v>752</v>
      </c>
      <c r="Z149" t="str">
        <f t="shared" ca="1" si="46"/>
        <v/>
      </c>
      <c r="AA149" s="128">
        <f ca="1">IF($C149="S",IF($Z149="CP",$X149,IF($Z149="RA",(($X149)*QCI!$AA$3),0)),SomaAgrup)</f>
        <v>0</v>
      </c>
      <c r="AB149" s="129">
        <f t="shared" ca="1" si="47"/>
        <v>0</v>
      </c>
      <c r="AC149" s="567" t="str">
        <f ca="1">IF($N149=""," ",
IF(AND($C149&lt;&gt;"S",OR($R149="",$R149="(digite a descrição aqui)")),"DESCRIÇÃO",
IF(AND($C149="S",OR($Q149&lt;&gt;0,$T149&gt;0,$U149&gt;0),$P149=0),"FONTE",
IF(AND($C149="S",$P149&lt;&gt;0,OR($T149&gt;0,$U149&gt;0),$Q149=0),"CÓDIGO",
IF(AND($C149="S",$P149&lt;&gt;0,$Q149&lt;&gt;0,$R149="(Código não identificado nas referências)"),"CÓDIGO N/ID",
IF(AND($C149="S",OR($R149="",$R149="(digite a descrição aqui)"),OR($Q149&lt;&gt;0,$T149&gt;0,$U149&gt;0)),"DESCRIÇÃO",
IF(AND($C149="S",$P149&lt;&gt;0,$Q149&lt;&gt;0,$S149=""),"UNIDADE",
IF(AND($C149="S",$P149&lt;&gt;0,$Q149&lt;&gt;0,$U149=0),"SEM CUSTO",
IF(AND(TIPOORCAMENTO="Licitado",$AL149=0,$AN149&gt;0),"SEM PREÇO",
IF(AND($C149="S",$P149&lt;&gt;0,$Q149&lt;&gt;0,$U149&gt;0,$V149=0),"BDI",
IF(OR(AND(TIPOORCAMENTO="Proposto",$AG149&lt;&gt;"",$AG149&gt;0,ORÇAMENTO.CustoUnitario&gt;$AG149),AND(TIPOORCAMENTO="LICITADO",ORÇAMENTO.PrecoUnitarioLicitado&gt;$AN149)),"ACIMA REF.",
IF(AND($C149="S",$P149&lt;&gt;0,$Q149&lt;&gt;0,$T149=0,$U149&gt;0),"QUANT.",
IF(AND(Import.TipoArredondamento="TransfereGOV",$L149="F",$C149="S",LEN($Q149)&gt;13),"Código &gt;13",
IF(AND(Import.TipoArredondamento="TransfereGOV",$L149="F",$C149&lt;&gt;"S",LEN($R149)&gt;100),"Descrição &gt;100",
IF(AND(Import.TipoArredondamento="TransfereGOV",$L149="F",$C149="S",LEN($R149)&gt;500),"Descrição &gt;500",
IF(AND(Import.TipoArredondamento="TransfereGOV",$L149="F",$C149="S",LEFT(TRIM(UPPER($P149)),6)&lt;&gt;"SINAPI",ISNA(VLOOKUP(TRIM(UPPER($S149)),ListaTgov.Unidades,1,FALSE))),"Unid. Não Disp",
" "))))))))))))))))</f>
        <v>SEM CUSTO</v>
      </c>
      <c r="AD149" t="str">
        <f ca="1">IF(C149&lt;=CRONO.NivelExibicao,MAX($AD$15:OFFSET(AD149,-1,0))+IF($C149&lt;&gt;1,1,MAX(1,COUNTIF(QCI!$A$13:$A$24,OFFSET($E149,-1,0)))),"")</f>
        <v/>
      </c>
      <c r="AE149" s="7" t="str">
        <f ca="1">IF(AND($C149="S",ORÇAMENTO.CodBarra&lt;&gt;""),IF(ORÇAMENTO.Fonte="",ORÇAMENTO.CodBarra,CONCATENATE(ORÇAMENTO.Fonte," ",ORÇAMENTO.CodBarra)))</f>
        <v>SINAPI 89797</v>
      </c>
      <c r="AF149" s="12" t="str">
        <f ca="1">IF(ISERROR(INDIRECT(ORÇAMENTO.BancoRef)),"(abra o arquivo 'Referência "&amp;Excel_BuiltIn_Database&amp;".xlsm)",IF(OR($C149&lt;&gt;"S",ORÇAMENTO.CodBarra=""),"(Sem Código)",IF(ISERROR(MATCH($AE149,INDIRECT(ORÇAMENTO.BancoRef),0)),"(Código não identificado nas referências)",MATCH($AE149,INDIRECT(ORÇAMENTO.BancoRef),0))))</f>
        <v>(abra o arquivo 'Referência 12-2024.xlsm)</v>
      </c>
      <c r="AG149" s="429">
        <f ca="1">ROUND(IF(DESONERACAO="sim",REFERENCIA.Desonerado,REFERENCIA.NaoDesonerado),2)</f>
        <v>0</v>
      </c>
      <c r="AH149" s="430">
        <f t="shared" ca="1" si="48"/>
        <v>0.31190000000000001</v>
      </c>
      <c r="AJ149" s="432">
        <v>14</v>
      </c>
      <c r="AL149" s="440"/>
      <c r="AM149" s="337">
        <f t="shared" ca="1" si="0"/>
        <v>0</v>
      </c>
      <c r="AN149" s="471">
        <f t="shared" ca="1" si="49"/>
        <v>0</v>
      </c>
    </row>
    <row r="150" spans="1:40" ht="38.25" x14ac:dyDescent="0.2">
      <c r="A150" t="str">
        <f t="shared" si="34"/>
        <v>S</v>
      </c>
      <c r="B150">
        <f t="shared" ca="1" si="35"/>
        <v>3</v>
      </c>
      <c r="C150" t="str">
        <f t="shared" ca="1" si="36"/>
        <v>S</v>
      </c>
      <c r="D150">
        <f t="shared" ca="1" si="37"/>
        <v>0</v>
      </c>
      <c r="E150">
        <f ca="1">IF($C150=1,OFFSET(E150,-1,0)+MAX(1,COUNTIF(QCI!$A$13:$A$24,OFFSET(ORÇAMENTO!E150,-1,0))),OFFSET(E150,-1,0))</f>
        <v>1</v>
      </c>
      <c r="F150">
        <f t="shared" ca="1" si="38"/>
        <v>11</v>
      </c>
      <c r="G150">
        <f t="shared" ca="1" si="39"/>
        <v>1</v>
      </c>
      <c r="H150">
        <f t="shared" ca="1" si="40"/>
        <v>0</v>
      </c>
      <c r="I150">
        <f t="shared" ca="1" si="41"/>
        <v>0</v>
      </c>
      <c r="J150">
        <f t="shared" ca="1" si="42"/>
        <v>0</v>
      </c>
      <c r="K150">
        <f ca="1">IF(OR($C150="S",$C150=0),0,MATCH(OFFSET($D150,0,$C150)+IF($C150&lt;&gt;1,1,COUNTIF(QCI!$A$13:$A$24,ORÇAMENTO!E150)),OFFSET($D150,1,$C150,ROW($C$405)-ROW($C150)),0))</f>
        <v>0</v>
      </c>
      <c r="L150" s="115" t="str">
        <f t="shared" ca="1" si="43"/>
        <v/>
      </c>
      <c r="M150" s="116" t="s">
        <v>706</v>
      </c>
      <c r="N150" s="117" t="str">
        <f t="shared" ca="1" si="44"/>
        <v>Serviço</v>
      </c>
      <c r="O150" s="118" t="str">
        <f t="shared" ca="1" si="45"/>
        <v>-</v>
      </c>
      <c r="P150" s="119" t="s">
        <v>751</v>
      </c>
      <c r="Q150" s="120" t="s">
        <v>1060</v>
      </c>
      <c r="R150" s="121" t="s">
        <v>1436</v>
      </c>
      <c r="S150" s="122" t="s">
        <v>639</v>
      </c>
      <c r="T150" s="123">
        <f ca="1">OFFSET(CÁLCULO!H$15,ROW($T150)-ROW(T$15),0)</f>
        <v>12</v>
      </c>
      <c r="U150" s="124"/>
      <c r="V150" s="125" t="s">
        <v>663</v>
      </c>
      <c r="W150" s="123">
        <f ca="1">IF($C150="S",ROUND(IF(TIPOORCAMENTO="Proposto",ORÇAMENTO.CustoUnitario*(1+$AH150),ORÇAMENTO.PrecoUnitarioLicitado),15-13*$AF$10),0)</f>
        <v>0</v>
      </c>
      <c r="X150" s="126" cm="1">
        <f t="array" aca="1" ref="X150" ca="1">IF($C150="S",IF(OR(Import.TipoArredondamento&lt;&gt;"TransfereGOV",ACOMPANHAMENTO="BM"),VTOTAL1,SUM(OFFSET(CÁLCULO!$AA$15,ROW($X150)-ROW($X$15),1):OFFSET(CÁLCULO!$AL$15,ROW($X150)-ROW($X$15),-1))),IF($C150=0,0,ROUND(SomaAgrup,15-13*$AF$11)))</f>
        <v>0</v>
      </c>
      <c r="Y150" s="127" t="s">
        <v>752</v>
      </c>
      <c r="Z150" t="str">
        <f t="shared" ca="1" si="46"/>
        <v/>
      </c>
      <c r="AA150" s="128">
        <f ca="1">IF($C150="S",IF($Z150="CP",$X150,IF($Z150="RA",(($X150)*QCI!$AA$3),0)),SomaAgrup)</f>
        <v>0</v>
      </c>
      <c r="AB150" s="129">
        <f t="shared" ca="1" si="47"/>
        <v>0</v>
      </c>
      <c r="AC150" s="567" t="str">
        <f ca="1">IF($N150=""," ",
IF(AND($C150&lt;&gt;"S",OR($R150="",$R150="(digite a descrição aqui)")),"DESCRIÇÃO",
IF(AND($C150="S",OR($Q150&lt;&gt;0,$T150&gt;0,$U150&gt;0),$P150=0),"FONTE",
IF(AND($C150="S",$P150&lt;&gt;0,OR($T150&gt;0,$U150&gt;0),$Q150=0),"CÓDIGO",
IF(AND($C150="S",$P150&lt;&gt;0,$Q150&lt;&gt;0,$R150="(Código não identificado nas referências)"),"CÓDIGO N/ID",
IF(AND($C150="S",OR($R150="",$R150="(digite a descrição aqui)"),OR($Q150&lt;&gt;0,$T150&gt;0,$U150&gt;0)),"DESCRIÇÃO",
IF(AND($C150="S",$P150&lt;&gt;0,$Q150&lt;&gt;0,$S150=""),"UNIDADE",
IF(AND($C150="S",$P150&lt;&gt;0,$Q150&lt;&gt;0,$U150=0),"SEM CUSTO",
IF(AND(TIPOORCAMENTO="Licitado",$AL150=0,$AN150&gt;0),"SEM PREÇO",
IF(AND($C150="S",$P150&lt;&gt;0,$Q150&lt;&gt;0,$U150&gt;0,$V150=0),"BDI",
IF(OR(AND(TIPOORCAMENTO="Proposto",$AG150&lt;&gt;"",$AG150&gt;0,ORÇAMENTO.CustoUnitario&gt;$AG150),AND(TIPOORCAMENTO="LICITADO",ORÇAMENTO.PrecoUnitarioLicitado&gt;$AN150)),"ACIMA REF.",
IF(AND($C150="S",$P150&lt;&gt;0,$Q150&lt;&gt;0,$T150=0,$U150&gt;0),"QUANT.",
IF(AND(Import.TipoArredondamento="TransfereGOV",$L150="F",$C150="S",LEN($Q150)&gt;13),"Código &gt;13",
IF(AND(Import.TipoArredondamento="TransfereGOV",$L150="F",$C150&lt;&gt;"S",LEN($R150)&gt;100),"Descrição &gt;100",
IF(AND(Import.TipoArredondamento="TransfereGOV",$L150="F",$C150="S",LEN($R150)&gt;500),"Descrição &gt;500",
IF(AND(Import.TipoArredondamento="TransfereGOV",$L150="F",$C150="S",LEFT(TRIM(UPPER($P150)),6)&lt;&gt;"SINAPI",ISNA(VLOOKUP(TRIM(UPPER($S150)),ListaTgov.Unidades,1,FALSE))),"Unid. Não Disp",
" "))))))))))))))))</f>
        <v>SEM CUSTO</v>
      </c>
      <c r="AD150" t="str">
        <f ca="1">IF(C150&lt;=CRONO.NivelExibicao,MAX($AD$15:OFFSET(AD150,-1,0))+IF($C150&lt;&gt;1,1,MAX(1,COUNTIF(QCI!$A$13:$A$24,OFFSET($E150,-1,0)))),"")</f>
        <v/>
      </c>
      <c r="AE150" s="7" t="str">
        <f ca="1">IF(AND($C150="S",ORÇAMENTO.CodBarra&lt;&gt;""),IF(ORÇAMENTO.Fonte="",ORÇAMENTO.CodBarra,CONCATENATE(ORÇAMENTO.Fonte," ",ORÇAMENTO.CodBarra)))</f>
        <v>SINAPI 89783</v>
      </c>
      <c r="AF150" s="12" t="str">
        <f ca="1">IF(ISERROR(INDIRECT(ORÇAMENTO.BancoRef)),"(abra o arquivo 'Referência "&amp;Excel_BuiltIn_Database&amp;".xlsm)",IF(OR($C150&lt;&gt;"S",ORÇAMENTO.CodBarra=""),"(Sem Código)",IF(ISERROR(MATCH($AE150,INDIRECT(ORÇAMENTO.BancoRef),0)),"(Código não identificado nas referências)",MATCH($AE150,INDIRECT(ORÇAMENTO.BancoRef),0))))</f>
        <v>(abra o arquivo 'Referência 12-2024.xlsm)</v>
      </c>
      <c r="AG150" s="429">
        <f ca="1">ROUND(IF(DESONERACAO="sim",REFERENCIA.Desonerado,REFERENCIA.NaoDesonerado),2)</f>
        <v>0</v>
      </c>
      <c r="AH150" s="430">
        <f t="shared" ca="1" si="48"/>
        <v>0.31190000000000001</v>
      </c>
      <c r="AJ150" s="432">
        <v>12</v>
      </c>
      <c r="AL150" s="440"/>
      <c r="AM150" s="337">
        <f t="shared" ca="1" si="0"/>
        <v>0</v>
      </c>
      <c r="AN150" s="471">
        <f t="shared" ca="1" si="49"/>
        <v>0</v>
      </c>
    </row>
    <row r="151" spans="1:40" ht="38.25" x14ac:dyDescent="0.2">
      <c r="A151" t="str">
        <f t="shared" si="34"/>
        <v>S</v>
      </c>
      <c r="B151">
        <f t="shared" ca="1" si="35"/>
        <v>3</v>
      </c>
      <c r="C151" t="str">
        <f t="shared" ca="1" si="36"/>
        <v>S</v>
      </c>
      <c r="D151">
        <f t="shared" ca="1" si="37"/>
        <v>0</v>
      </c>
      <c r="E151">
        <f ca="1">IF($C151=1,OFFSET(E151,-1,0)+MAX(1,COUNTIF(QCI!$A$13:$A$24,OFFSET(ORÇAMENTO!E151,-1,0))),OFFSET(E151,-1,0))</f>
        <v>1</v>
      </c>
      <c r="F151">
        <f t="shared" ca="1" si="38"/>
        <v>11</v>
      </c>
      <c r="G151">
        <f t="shared" ca="1" si="39"/>
        <v>1</v>
      </c>
      <c r="H151">
        <f t="shared" ca="1" si="40"/>
        <v>0</v>
      </c>
      <c r="I151">
        <f t="shared" ca="1" si="41"/>
        <v>0</v>
      </c>
      <c r="J151">
        <f t="shared" ca="1" si="42"/>
        <v>0</v>
      </c>
      <c r="K151">
        <f ca="1">IF(OR($C151="S",$C151=0),0,MATCH(OFFSET($D151,0,$C151)+IF($C151&lt;&gt;1,1,COUNTIF(QCI!$A$13:$A$24,ORÇAMENTO!E151)),OFFSET($D151,1,$C151,ROW($C$405)-ROW($C151)),0))</f>
        <v>0</v>
      </c>
      <c r="L151" s="115" t="str">
        <f t="shared" ca="1" si="43"/>
        <v/>
      </c>
      <c r="M151" s="116" t="s">
        <v>706</v>
      </c>
      <c r="N151" s="117" t="str">
        <f t="shared" ca="1" si="44"/>
        <v>Serviço</v>
      </c>
      <c r="O151" s="118" t="str">
        <f t="shared" ca="1" si="45"/>
        <v>-</v>
      </c>
      <c r="P151" s="119" t="s">
        <v>751</v>
      </c>
      <c r="Q151" s="120" t="s">
        <v>1061</v>
      </c>
      <c r="R151" s="121" t="s">
        <v>1437</v>
      </c>
      <c r="S151" s="122" t="s">
        <v>639</v>
      </c>
      <c r="T151" s="123">
        <f ca="1">OFFSET(CÁLCULO!H$15,ROW($T151)-ROW(T$15),0)</f>
        <v>14</v>
      </c>
      <c r="U151" s="124"/>
      <c r="V151" s="125" t="s">
        <v>663</v>
      </c>
      <c r="W151" s="123">
        <f ca="1">IF($C151="S",ROUND(IF(TIPOORCAMENTO="Proposto",ORÇAMENTO.CustoUnitario*(1+$AH151),ORÇAMENTO.PrecoUnitarioLicitado),15-13*$AF$10),0)</f>
        <v>0</v>
      </c>
      <c r="X151" s="126" cm="1">
        <f t="array" aca="1" ref="X151" ca="1">IF($C151="S",IF(OR(Import.TipoArredondamento&lt;&gt;"TransfereGOV",ACOMPANHAMENTO="BM"),VTOTAL1,SUM(OFFSET(CÁLCULO!$AA$15,ROW($X151)-ROW($X$15),1):OFFSET(CÁLCULO!$AL$15,ROW($X151)-ROW($X$15),-1))),IF($C151=0,0,ROUND(SomaAgrup,15-13*$AF$11)))</f>
        <v>0</v>
      </c>
      <c r="Y151" s="127" t="s">
        <v>752</v>
      </c>
      <c r="Z151" t="str">
        <f t="shared" ca="1" si="46"/>
        <v/>
      </c>
      <c r="AA151" s="128">
        <f ca="1">IF($C151="S",IF($Z151="CP",$X151,IF($Z151="RA",(($X151)*QCI!$AA$3),0)),SomaAgrup)</f>
        <v>0</v>
      </c>
      <c r="AB151" s="129">
        <f t="shared" ca="1" si="47"/>
        <v>0</v>
      </c>
      <c r="AC151" s="567" t="str">
        <f ca="1">IF($N151=""," ",
IF(AND($C151&lt;&gt;"S",OR($R151="",$R151="(digite a descrição aqui)")),"DESCRIÇÃO",
IF(AND($C151="S",OR($Q151&lt;&gt;0,$T151&gt;0,$U151&gt;0),$P151=0),"FONTE",
IF(AND($C151="S",$P151&lt;&gt;0,OR($T151&gt;0,$U151&gt;0),$Q151=0),"CÓDIGO",
IF(AND($C151="S",$P151&lt;&gt;0,$Q151&lt;&gt;0,$R151="(Código não identificado nas referências)"),"CÓDIGO N/ID",
IF(AND($C151="S",OR($R151="",$R151="(digite a descrição aqui)"),OR($Q151&lt;&gt;0,$T151&gt;0,$U151&gt;0)),"DESCRIÇÃO",
IF(AND($C151="S",$P151&lt;&gt;0,$Q151&lt;&gt;0,$S151=""),"UNIDADE",
IF(AND($C151="S",$P151&lt;&gt;0,$Q151&lt;&gt;0,$U151=0),"SEM CUSTO",
IF(AND(TIPOORCAMENTO="Licitado",$AL151=0,$AN151&gt;0),"SEM PREÇO",
IF(AND($C151="S",$P151&lt;&gt;0,$Q151&lt;&gt;0,$U151&gt;0,$V151=0),"BDI",
IF(OR(AND(TIPOORCAMENTO="Proposto",$AG151&lt;&gt;"",$AG151&gt;0,ORÇAMENTO.CustoUnitario&gt;$AG151),AND(TIPOORCAMENTO="LICITADO",ORÇAMENTO.PrecoUnitarioLicitado&gt;$AN151)),"ACIMA REF.",
IF(AND($C151="S",$P151&lt;&gt;0,$Q151&lt;&gt;0,$T151=0,$U151&gt;0),"QUANT.",
IF(AND(Import.TipoArredondamento="TransfereGOV",$L151="F",$C151="S",LEN($Q151)&gt;13),"Código &gt;13",
IF(AND(Import.TipoArredondamento="TransfereGOV",$L151="F",$C151&lt;&gt;"S",LEN($R151)&gt;100),"Descrição &gt;100",
IF(AND(Import.TipoArredondamento="TransfereGOV",$L151="F",$C151="S",LEN($R151)&gt;500),"Descrição &gt;500",
IF(AND(Import.TipoArredondamento="TransfereGOV",$L151="F",$C151="S",LEFT(TRIM(UPPER($P151)),6)&lt;&gt;"SINAPI",ISNA(VLOOKUP(TRIM(UPPER($S151)),ListaTgov.Unidades,1,FALSE))),"Unid. Não Disp",
" "))))))))))))))))</f>
        <v>SEM CUSTO</v>
      </c>
      <c r="AD151" t="str">
        <f ca="1">IF(C151&lt;=CRONO.NivelExibicao,MAX($AD$15:OFFSET(AD151,-1,0))+IF($C151&lt;&gt;1,1,MAX(1,COUNTIF(QCI!$A$13:$A$24,OFFSET($E151,-1,0)))),"")</f>
        <v/>
      </c>
      <c r="AE151" s="7" t="str">
        <f ca="1">IF(AND($C151="S",ORÇAMENTO.CodBarra&lt;&gt;""),IF(ORÇAMENTO.Fonte="",ORÇAMENTO.CodBarra,CONCATENATE(ORÇAMENTO.Fonte," ",ORÇAMENTO.CodBarra)))</f>
        <v>SINAPI 89785</v>
      </c>
      <c r="AF151" s="12" t="str">
        <f ca="1">IF(ISERROR(INDIRECT(ORÇAMENTO.BancoRef)),"(abra o arquivo 'Referência "&amp;Excel_BuiltIn_Database&amp;".xlsm)",IF(OR($C151&lt;&gt;"S",ORÇAMENTO.CodBarra=""),"(Sem Código)",IF(ISERROR(MATCH($AE151,INDIRECT(ORÇAMENTO.BancoRef),0)),"(Código não identificado nas referências)",MATCH($AE151,INDIRECT(ORÇAMENTO.BancoRef),0))))</f>
        <v>(abra o arquivo 'Referência 12-2024.xlsm)</v>
      </c>
      <c r="AG151" s="429">
        <f ca="1">ROUND(IF(DESONERACAO="sim",REFERENCIA.Desonerado,REFERENCIA.NaoDesonerado),2)</f>
        <v>0</v>
      </c>
      <c r="AH151" s="430">
        <f t="shared" ca="1" si="48"/>
        <v>0.31190000000000001</v>
      </c>
      <c r="AJ151" s="432">
        <v>14</v>
      </c>
      <c r="AL151" s="440"/>
      <c r="AM151" s="337">
        <f t="shared" ca="1" si="0"/>
        <v>0</v>
      </c>
      <c r="AN151" s="471">
        <f t="shared" ca="1" si="49"/>
        <v>0</v>
      </c>
    </row>
    <row r="152" spans="1:40" ht="38.25" x14ac:dyDescent="0.2">
      <c r="A152" t="str">
        <f t="shared" si="34"/>
        <v>S</v>
      </c>
      <c r="B152">
        <f t="shared" ca="1" si="35"/>
        <v>3</v>
      </c>
      <c r="C152" t="str">
        <f t="shared" ca="1" si="36"/>
        <v>S</v>
      </c>
      <c r="D152">
        <f t="shared" ca="1" si="37"/>
        <v>0</v>
      </c>
      <c r="E152">
        <f ca="1">IF($C152=1,OFFSET(E152,-1,0)+MAX(1,COUNTIF(QCI!$A$13:$A$24,OFFSET(ORÇAMENTO!E152,-1,0))),OFFSET(E152,-1,0))</f>
        <v>1</v>
      </c>
      <c r="F152">
        <f t="shared" ca="1" si="38"/>
        <v>11</v>
      </c>
      <c r="G152">
        <f t="shared" ca="1" si="39"/>
        <v>1</v>
      </c>
      <c r="H152">
        <f t="shared" ca="1" si="40"/>
        <v>0</v>
      </c>
      <c r="I152">
        <f t="shared" ca="1" si="41"/>
        <v>0</v>
      </c>
      <c r="J152">
        <f t="shared" ca="1" si="42"/>
        <v>0</v>
      </c>
      <c r="K152">
        <f ca="1">IF(OR($C152="S",$C152=0),0,MATCH(OFFSET($D152,0,$C152)+IF($C152&lt;&gt;1,1,COUNTIF(QCI!$A$13:$A$24,ORÇAMENTO!E152)),OFFSET($D152,1,$C152,ROW($C$405)-ROW($C152)),0))</f>
        <v>0</v>
      </c>
      <c r="L152" s="115" t="str">
        <f t="shared" ca="1" si="43"/>
        <v/>
      </c>
      <c r="M152" s="116" t="s">
        <v>706</v>
      </c>
      <c r="N152" s="117" t="str">
        <f t="shared" ca="1" si="44"/>
        <v>Serviço</v>
      </c>
      <c r="O152" s="118" t="str">
        <f t="shared" ca="1" si="45"/>
        <v>-</v>
      </c>
      <c r="P152" s="119" t="s">
        <v>751</v>
      </c>
      <c r="Q152" s="120" t="s">
        <v>1062</v>
      </c>
      <c r="R152" s="121" t="s">
        <v>1438</v>
      </c>
      <c r="S152" s="122" t="s">
        <v>639</v>
      </c>
      <c r="T152" s="123">
        <f ca="1">OFFSET(CÁLCULO!H$15,ROW($T152)-ROW(T$15),0)</f>
        <v>1</v>
      </c>
      <c r="U152" s="124"/>
      <c r="V152" s="125" t="s">
        <v>663</v>
      </c>
      <c r="W152" s="123">
        <f ca="1">IF($C152="S",ROUND(IF(TIPOORCAMENTO="Proposto",ORÇAMENTO.CustoUnitario*(1+$AH152),ORÇAMENTO.PrecoUnitarioLicitado),15-13*$AF$10),0)</f>
        <v>0</v>
      </c>
      <c r="X152" s="126" cm="1">
        <f t="array" aca="1" ref="X152" ca="1">IF($C152="S",IF(OR(Import.TipoArredondamento&lt;&gt;"TransfereGOV",ACOMPANHAMENTO="BM"),VTOTAL1,SUM(OFFSET(CÁLCULO!$AA$15,ROW($X152)-ROW($X$15),1):OFFSET(CÁLCULO!$AL$15,ROW($X152)-ROW($X$15),-1))),IF($C152=0,0,ROUND(SomaAgrup,15-13*$AF$11)))</f>
        <v>0</v>
      </c>
      <c r="Y152" s="127" t="s">
        <v>752</v>
      </c>
      <c r="Z152" t="str">
        <f t="shared" ca="1" si="46"/>
        <v/>
      </c>
      <c r="AA152" s="128">
        <f ca="1">IF($C152="S",IF($Z152="CP",$X152,IF($Z152="RA",(($X152)*QCI!$AA$3),0)),SomaAgrup)</f>
        <v>0</v>
      </c>
      <c r="AB152" s="129">
        <f t="shared" ca="1" si="47"/>
        <v>0</v>
      </c>
      <c r="AC152" s="567" t="str">
        <f ca="1">IF($N152=""," ",
IF(AND($C152&lt;&gt;"S",OR($R152="",$R152="(digite a descrição aqui)")),"DESCRIÇÃO",
IF(AND($C152="S",OR($Q152&lt;&gt;0,$T152&gt;0,$U152&gt;0),$P152=0),"FONTE",
IF(AND($C152="S",$P152&lt;&gt;0,OR($T152&gt;0,$U152&gt;0),$Q152=0),"CÓDIGO",
IF(AND($C152="S",$P152&lt;&gt;0,$Q152&lt;&gt;0,$R152="(Código não identificado nas referências)"),"CÓDIGO N/ID",
IF(AND($C152="S",OR($R152="",$R152="(digite a descrição aqui)"),OR($Q152&lt;&gt;0,$T152&gt;0,$U152&gt;0)),"DESCRIÇÃO",
IF(AND($C152="S",$P152&lt;&gt;0,$Q152&lt;&gt;0,$S152=""),"UNIDADE",
IF(AND($C152="S",$P152&lt;&gt;0,$Q152&lt;&gt;0,$U152=0),"SEM CUSTO",
IF(AND(TIPOORCAMENTO="Licitado",$AL152=0,$AN152&gt;0),"SEM PREÇO",
IF(AND($C152="S",$P152&lt;&gt;0,$Q152&lt;&gt;0,$U152&gt;0,$V152=0),"BDI",
IF(OR(AND(TIPOORCAMENTO="Proposto",$AG152&lt;&gt;"",$AG152&gt;0,ORÇAMENTO.CustoUnitario&gt;$AG152),AND(TIPOORCAMENTO="LICITADO",ORÇAMENTO.PrecoUnitarioLicitado&gt;$AN152)),"ACIMA REF.",
IF(AND($C152="S",$P152&lt;&gt;0,$Q152&lt;&gt;0,$T152=0,$U152&gt;0),"QUANT.",
IF(AND(Import.TipoArredondamento="TransfereGOV",$L152="F",$C152="S",LEN($Q152)&gt;13),"Código &gt;13",
IF(AND(Import.TipoArredondamento="TransfereGOV",$L152="F",$C152&lt;&gt;"S",LEN($R152)&gt;100),"Descrição &gt;100",
IF(AND(Import.TipoArredondamento="TransfereGOV",$L152="F",$C152="S",LEN($R152)&gt;500),"Descrição &gt;500",
IF(AND(Import.TipoArredondamento="TransfereGOV",$L152="F",$C152="S",LEFT(TRIM(UPPER($P152)),6)&lt;&gt;"SINAPI",ISNA(VLOOKUP(TRIM(UPPER($S152)),ListaTgov.Unidades,1,FALSE))),"Unid. Não Disp",
" "))))))))))))))))</f>
        <v>SEM CUSTO</v>
      </c>
      <c r="AD152" t="str">
        <f ca="1">IF(C152&lt;=CRONO.NivelExibicao,MAX($AD$15:OFFSET(AD152,-1,0))+IF($C152&lt;&gt;1,1,MAX(1,COUNTIF(QCI!$A$13:$A$24,OFFSET($E152,-1,0)))),"")</f>
        <v/>
      </c>
      <c r="AE152" s="7" t="str">
        <f ca="1">IF(AND($C152="S",ORÇAMENTO.CodBarra&lt;&gt;""),IF(ORÇAMENTO.Fonte="",ORÇAMENTO.CodBarra,CONCATENATE(ORÇAMENTO.Fonte," ",ORÇAMENTO.CodBarra)))</f>
        <v>SINAPI 89569</v>
      </c>
      <c r="AF152" s="12" t="str">
        <f ca="1">IF(ISERROR(INDIRECT(ORÇAMENTO.BancoRef)),"(abra o arquivo 'Referência "&amp;Excel_BuiltIn_Database&amp;".xlsm)",IF(OR($C152&lt;&gt;"S",ORÇAMENTO.CodBarra=""),"(Sem Código)",IF(ISERROR(MATCH($AE152,INDIRECT(ORÇAMENTO.BancoRef),0)),"(Código não identificado nas referências)",MATCH($AE152,INDIRECT(ORÇAMENTO.BancoRef),0))))</f>
        <v>(abra o arquivo 'Referência 12-2024.xlsm)</v>
      </c>
      <c r="AG152" s="429">
        <f ca="1">ROUND(IF(DESONERACAO="sim",REFERENCIA.Desonerado,REFERENCIA.NaoDesonerado),2)</f>
        <v>0</v>
      </c>
      <c r="AH152" s="430">
        <f t="shared" ca="1" si="48"/>
        <v>0.31190000000000001</v>
      </c>
      <c r="AJ152" s="432">
        <v>1</v>
      </c>
      <c r="AL152" s="440"/>
      <c r="AM152" s="337">
        <f t="shared" ca="1" si="0"/>
        <v>0</v>
      </c>
      <c r="AN152" s="471">
        <f t="shared" ca="1" si="49"/>
        <v>0</v>
      </c>
    </row>
    <row r="153" spans="1:40" ht="51" x14ac:dyDescent="0.2">
      <c r="A153" t="str">
        <f t="shared" si="34"/>
        <v>S</v>
      </c>
      <c r="B153">
        <f t="shared" ca="1" si="35"/>
        <v>3</v>
      </c>
      <c r="C153" t="str">
        <f t="shared" ca="1" si="36"/>
        <v>S</v>
      </c>
      <c r="D153">
        <f t="shared" ca="1" si="37"/>
        <v>0</v>
      </c>
      <c r="E153">
        <f ca="1">IF($C153=1,OFFSET(E153,-1,0)+MAX(1,COUNTIF(QCI!$A$13:$A$24,OFFSET(ORÇAMENTO!E153,-1,0))),OFFSET(E153,-1,0))</f>
        <v>1</v>
      </c>
      <c r="F153">
        <f t="shared" ca="1" si="38"/>
        <v>11</v>
      </c>
      <c r="G153">
        <f t="shared" ca="1" si="39"/>
        <v>1</v>
      </c>
      <c r="H153">
        <f t="shared" ca="1" si="40"/>
        <v>0</v>
      </c>
      <c r="I153">
        <f t="shared" ca="1" si="41"/>
        <v>0</v>
      </c>
      <c r="J153">
        <f t="shared" ca="1" si="42"/>
        <v>0</v>
      </c>
      <c r="K153">
        <f ca="1">IF(OR($C153="S",$C153=0),0,MATCH(OFFSET($D153,0,$C153)+IF($C153&lt;&gt;1,1,COUNTIF(QCI!$A$13:$A$24,ORÇAMENTO!E153)),OFFSET($D153,1,$C153,ROW($C$405)-ROW($C153)),0))</f>
        <v>0</v>
      </c>
      <c r="L153" s="115" t="str">
        <f t="shared" ca="1" si="43"/>
        <v/>
      </c>
      <c r="M153" s="116" t="s">
        <v>706</v>
      </c>
      <c r="N153" s="117" t="str">
        <f t="shared" ca="1" si="44"/>
        <v>Serviço</v>
      </c>
      <c r="O153" s="118" t="str">
        <f t="shared" ca="1" si="45"/>
        <v>-</v>
      </c>
      <c r="P153" s="119" t="s">
        <v>751</v>
      </c>
      <c r="Q153" s="120" t="s">
        <v>1063</v>
      </c>
      <c r="R153" s="121" t="s">
        <v>1439</v>
      </c>
      <c r="S153" s="122" t="s">
        <v>639</v>
      </c>
      <c r="T153" s="123">
        <f ca="1">OFFSET(CÁLCULO!H$15,ROW($T153)-ROW(T$15),0)</f>
        <v>4</v>
      </c>
      <c r="U153" s="124"/>
      <c r="V153" s="125" t="s">
        <v>663</v>
      </c>
      <c r="W153" s="123">
        <f ca="1">IF($C153="S",ROUND(IF(TIPOORCAMENTO="Proposto",ORÇAMENTO.CustoUnitario*(1+$AH153),ORÇAMENTO.PrecoUnitarioLicitado),15-13*$AF$10),0)</f>
        <v>0</v>
      </c>
      <c r="X153" s="126" cm="1">
        <f t="array" aca="1" ref="X153" ca="1">IF($C153="S",IF(OR(Import.TipoArredondamento&lt;&gt;"TransfereGOV",ACOMPANHAMENTO="BM"),VTOTAL1,SUM(OFFSET(CÁLCULO!$AA$15,ROW($X153)-ROW($X$15),1):OFFSET(CÁLCULO!$AL$15,ROW($X153)-ROW($X$15),-1))),IF($C153=0,0,ROUND(SomaAgrup,15-13*$AF$11)))</f>
        <v>0</v>
      </c>
      <c r="Y153" s="127" t="s">
        <v>752</v>
      </c>
      <c r="Z153" t="str">
        <f t="shared" ca="1" si="46"/>
        <v/>
      </c>
      <c r="AA153" s="128">
        <f ca="1">IF($C153="S",IF($Z153="CP",$X153,IF($Z153="RA",(($X153)*QCI!$AA$3),0)),SomaAgrup)</f>
        <v>0</v>
      </c>
      <c r="AB153" s="129">
        <f t="shared" ca="1" si="47"/>
        <v>0</v>
      </c>
      <c r="AC153" s="567" t="str">
        <f ca="1">IF($N153=""," ",
IF(AND($C153&lt;&gt;"S",OR($R153="",$R153="(digite a descrição aqui)")),"DESCRIÇÃO",
IF(AND($C153="S",OR($Q153&lt;&gt;0,$T153&gt;0,$U153&gt;0),$P153=0),"FONTE",
IF(AND($C153="S",$P153&lt;&gt;0,OR($T153&gt;0,$U153&gt;0),$Q153=0),"CÓDIGO",
IF(AND($C153="S",$P153&lt;&gt;0,$Q153&lt;&gt;0,$R153="(Código não identificado nas referências)"),"CÓDIGO N/ID",
IF(AND($C153="S",OR($R153="",$R153="(digite a descrição aqui)"),OR($Q153&lt;&gt;0,$T153&gt;0,$U153&gt;0)),"DESCRIÇÃO",
IF(AND($C153="S",$P153&lt;&gt;0,$Q153&lt;&gt;0,$S153=""),"UNIDADE",
IF(AND($C153="S",$P153&lt;&gt;0,$Q153&lt;&gt;0,$U153=0),"SEM CUSTO",
IF(AND(TIPOORCAMENTO="Licitado",$AL153=0,$AN153&gt;0),"SEM PREÇO",
IF(AND($C153="S",$P153&lt;&gt;0,$Q153&lt;&gt;0,$U153&gt;0,$V153=0),"BDI",
IF(OR(AND(TIPOORCAMENTO="Proposto",$AG153&lt;&gt;"",$AG153&gt;0,ORÇAMENTO.CustoUnitario&gt;$AG153),AND(TIPOORCAMENTO="LICITADO",ORÇAMENTO.PrecoUnitarioLicitado&gt;$AN153)),"ACIMA REF.",
IF(AND($C153="S",$P153&lt;&gt;0,$Q153&lt;&gt;0,$T153=0,$U153&gt;0),"QUANT.",
IF(AND(Import.TipoArredondamento="TransfereGOV",$L153="F",$C153="S",LEN($Q153)&gt;13),"Código &gt;13",
IF(AND(Import.TipoArredondamento="TransfereGOV",$L153="F",$C153&lt;&gt;"S",LEN($R153)&gt;100),"Descrição &gt;100",
IF(AND(Import.TipoArredondamento="TransfereGOV",$L153="F",$C153="S",LEN($R153)&gt;500),"Descrição &gt;500",
IF(AND(Import.TipoArredondamento="TransfereGOV",$L153="F",$C153="S",LEFT(TRIM(UPPER($P153)),6)&lt;&gt;"SINAPI",ISNA(VLOOKUP(TRIM(UPPER($S153)),ListaTgov.Unidades,1,FALSE))),"Unid. Não Disp",
" "))))))))))))))))</f>
        <v>SEM CUSTO</v>
      </c>
      <c r="AD153" t="str">
        <f ca="1">IF(C153&lt;=CRONO.NivelExibicao,MAX($AD$15:OFFSET(AD153,-1,0))+IF($C153&lt;&gt;1,1,MAX(1,COUNTIF(QCI!$A$13:$A$24,OFFSET($E153,-1,0)))),"")</f>
        <v/>
      </c>
      <c r="AE153" s="7" t="str">
        <f ca="1">IF(AND($C153="S",ORÇAMENTO.CodBarra&lt;&gt;""),IF(ORÇAMENTO.Fonte="",ORÇAMENTO.CodBarra,CONCATENATE(ORÇAMENTO.Fonte," ",ORÇAMENTO.CodBarra)))</f>
        <v>SINAPI 104350</v>
      </c>
      <c r="AF153" s="12" t="str">
        <f ca="1">IF(ISERROR(INDIRECT(ORÇAMENTO.BancoRef)),"(abra o arquivo 'Referência "&amp;Excel_BuiltIn_Database&amp;".xlsm)",IF(OR($C153&lt;&gt;"S",ORÇAMENTO.CodBarra=""),"(Sem Código)",IF(ISERROR(MATCH($AE153,INDIRECT(ORÇAMENTO.BancoRef),0)),"(Código não identificado nas referências)",MATCH($AE153,INDIRECT(ORÇAMENTO.BancoRef),0))))</f>
        <v>(abra o arquivo 'Referência 12-2024.xlsm)</v>
      </c>
      <c r="AG153" s="429">
        <f ca="1">ROUND(IF(DESONERACAO="sim",REFERENCIA.Desonerado,REFERENCIA.NaoDesonerado),2)</f>
        <v>0</v>
      </c>
      <c r="AH153" s="430">
        <f t="shared" ca="1" si="48"/>
        <v>0.31190000000000001</v>
      </c>
      <c r="AJ153" s="432">
        <v>4</v>
      </c>
      <c r="AL153" s="440"/>
      <c r="AM153" s="337">
        <f t="shared" ca="1" si="0"/>
        <v>0</v>
      </c>
      <c r="AN153" s="471">
        <f t="shared" ca="1" si="49"/>
        <v>0</v>
      </c>
    </row>
    <row r="154" spans="1:40" ht="38.25" x14ac:dyDescent="0.2">
      <c r="A154" t="str">
        <f t="shared" si="34"/>
        <v>S</v>
      </c>
      <c r="B154">
        <f t="shared" ca="1" si="35"/>
        <v>3</v>
      </c>
      <c r="C154" t="str">
        <f t="shared" ca="1" si="36"/>
        <v>S</v>
      </c>
      <c r="D154">
        <f t="shared" ca="1" si="37"/>
        <v>0</v>
      </c>
      <c r="E154">
        <f ca="1">IF($C154=1,OFFSET(E154,-1,0)+MAX(1,COUNTIF(QCI!$A$13:$A$24,OFFSET(ORÇAMENTO!E154,-1,0))),OFFSET(E154,-1,0))</f>
        <v>1</v>
      </c>
      <c r="F154">
        <f t="shared" ca="1" si="38"/>
        <v>11</v>
      </c>
      <c r="G154">
        <f t="shared" ca="1" si="39"/>
        <v>1</v>
      </c>
      <c r="H154">
        <f t="shared" ca="1" si="40"/>
        <v>0</v>
      </c>
      <c r="I154">
        <f t="shared" ca="1" si="41"/>
        <v>0</v>
      </c>
      <c r="J154">
        <f t="shared" ca="1" si="42"/>
        <v>0</v>
      </c>
      <c r="K154">
        <f ca="1">IF(OR($C154="S",$C154=0),0,MATCH(OFFSET($D154,0,$C154)+IF($C154&lt;&gt;1,1,COUNTIF(QCI!$A$13:$A$24,ORÇAMENTO!E154)),OFFSET($D154,1,$C154,ROW($C$405)-ROW($C154)),0))</f>
        <v>0</v>
      </c>
      <c r="L154" s="115" t="str">
        <f t="shared" ca="1" si="43"/>
        <v/>
      </c>
      <c r="M154" s="116" t="s">
        <v>706</v>
      </c>
      <c r="N154" s="117" t="str">
        <f t="shared" ca="1" si="44"/>
        <v>Serviço</v>
      </c>
      <c r="O154" s="118" t="str">
        <f t="shared" ca="1" si="45"/>
        <v>-</v>
      </c>
      <c r="P154" s="119" t="s">
        <v>751</v>
      </c>
      <c r="Q154" s="120" t="s">
        <v>1064</v>
      </c>
      <c r="R154" s="121" t="s">
        <v>1440</v>
      </c>
      <c r="S154" s="122" t="s">
        <v>639</v>
      </c>
      <c r="T154" s="123">
        <f ca="1">OFFSET(CÁLCULO!H$15,ROW($T154)-ROW(T$15),0)</f>
        <v>1</v>
      </c>
      <c r="U154" s="124"/>
      <c r="V154" s="125" t="s">
        <v>663</v>
      </c>
      <c r="W154" s="123">
        <f ca="1">IF($C154="S",ROUND(IF(TIPOORCAMENTO="Proposto",ORÇAMENTO.CustoUnitario*(1+$AH154),ORÇAMENTO.PrecoUnitarioLicitado),15-13*$AF$10),0)</f>
        <v>0</v>
      </c>
      <c r="X154" s="126" cm="1">
        <f t="array" aca="1" ref="X154" ca="1">IF($C154="S",IF(OR(Import.TipoArredondamento&lt;&gt;"TransfereGOV",ACOMPANHAMENTO="BM"),VTOTAL1,SUM(OFFSET(CÁLCULO!$AA$15,ROW($X154)-ROW($X$15),1):OFFSET(CÁLCULO!$AL$15,ROW($X154)-ROW($X$15),-1))),IF($C154=0,0,ROUND(SomaAgrup,15-13*$AF$11)))</f>
        <v>0</v>
      </c>
      <c r="Y154" s="127" t="s">
        <v>752</v>
      </c>
      <c r="Z154" t="str">
        <f t="shared" ca="1" si="46"/>
        <v/>
      </c>
      <c r="AA154" s="128">
        <f ca="1">IF($C154="S",IF($Z154="CP",$X154,IF($Z154="RA",(($X154)*QCI!$AA$3),0)),SomaAgrup)</f>
        <v>0</v>
      </c>
      <c r="AB154" s="129">
        <f t="shared" ca="1" si="47"/>
        <v>0</v>
      </c>
      <c r="AC154" s="567" t="str">
        <f ca="1">IF($N154=""," ",
IF(AND($C154&lt;&gt;"S",OR($R154="",$R154="(digite a descrição aqui)")),"DESCRIÇÃO",
IF(AND($C154="S",OR($Q154&lt;&gt;0,$T154&gt;0,$U154&gt;0),$P154=0),"FONTE",
IF(AND($C154="S",$P154&lt;&gt;0,OR($T154&gt;0,$U154&gt;0),$Q154=0),"CÓDIGO",
IF(AND($C154="S",$P154&lt;&gt;0,$Q154&lt;&gt;0,$R154="(Código não identificado nas referências)"),"CÓDIGO N/ID",
IF(AND($C154="S",OR($R154="",$R154="(digite a descrição aqui)"),OR($Q154&lt;&gt;0,$T154&gt;0,$U154&gt;0)),"DESCRIÇÃO",
IF(AND($C154="S",$P154&lt;&gt;0,$Q154&lt;&gt;0,$S154=""),"UNIDADE",
IF(AND($C154="S",$P154&lt;&gt;0,$Q154&lt;&gt;0,$U154=0),"SEM CUSTO",
IF(AND(TIPOORCAMENTO="Licitado",$AL154=0,$AN154&gt;0),"SEM PREÇO",
IF(AND($C154="S",$P154&lt;&gt;0,$Q154&lt;&gt;0,$U154&gt;0,$V154=0),"BDI",
IF(OR(AND(TIPOORCAMENTO="Proposto",$AG154&lt;&gt;"",$AG154&gt;0,ORÇAMENTO.CustoUnitario&gt;$AG154),AND(TIPOORCAMENTO="LICITADO",ORÇAMENTO.PrecoUnitarioLicitado&gt;$AN154)),"ACIMA REF.",
IF(AND($C154="S",$P154&lt;&gt;0,$Q154&lt;&gt;0,$T154=0,$U154&gt;0),"QUANT.",
IF(AND(Import.TipoArredondamento="TransfereGOV",$L154="F",$C154="S",LEN($Q154)&gt;13),"Código &gt;13",
IF(AND(Import.TipoArredondamento="TransfereGOV",$L154="F",$C154&lt;&gt;"S",LEN($R154)&gt;100),"Descrição &gt;100",
IF(AND(Import.TipoArredondamento="TransfereGOV",$L154="F",$C154="S",LEN($R154)&gt;500),"Descrição &gt;500",
IF(AND(Import.TipoArredondamento="TransfereGOV",$L154="F",$C154="S",LEFT(TRIM(UPPER($P154)),6)&lt;&gt;"SINAPI",ISNA(VLOOKUP(TRIM(UPPER($S154)),ListaTgov.Unidades,1,FALSE))),"Unid. Não Disp",
" "))))))))))))))))</f>
        <v>SEM CUSTO</v>
      </c>
      <c r="AD154" t="str">
        <f ca="1">IF(C154&lt;=CRONO.NivelExibicao,MAX($AD$15:OFFSET(AD154,-1,0))+IF($C154&lt;&gt;1,1,MAX(1,COUNTIF(QCI!$A$13:$A$24,OFFSET($E154,-1,0)))),"")</f>
        <v/>
      </c>
      <c r="AE154" s="7" t="str">
        <f ca="1">IF(AND($C154="S",ORÇAMENTO.CodBarra&lt;&gt;""),IF(ORÇAMENTO.Fonte="",ORÇAMENTO.CodBarra,CONCATENATE(ORÇAMENTO.Fonte," ",ORÇAMENTO.CodBarra)))</f>
        <v>SINAPI 89830</v>
      </c>
      <c r="AF154" s="12" t="str">
        <f ca="1">IF(ISERROR(INDIRECT(ORÇAMENTO.BancoRef)),"(abra o arquivo 'Referência "&amp;Excel_BuiltIn_Database&amp;".xlsm)",IF(OR($C154&lt;&gt;"S",ORÇAMENTO.CodBarra=""),"(Sem Código)",IF(ISERROR(MATCH($AE154,INDIRECT(ORÇAMENTO.BancoRef),0)),"(Código não identificado nas referências)",MATCH($AE154,INDIRECT(ORÇAMENTO.BancoRef),0))))</f>
        <v>(abra o arquivo 'Referência 12-2024.xlsm)</v>
      </c>
      <c r="AG154" s="429">
        <f ca="1">ROUND(IF(DESONERACAO="sim",REFERENCIA.Desonerado,REFERENCIA.NaoDesonerado),2)</f>
        <v>0</v>
      </c>
      <c r="AH154" s="430">
        <f t="shared" ca="1" si="48"/>
        <v>0.31190000000000001</v>
      </c>
      <c r="AJ154" s="432">
        <v>1</v>
      </c>
      <c r="AL154" s="440"/>
      <c r="AM154" s="337">
        <f t="shared" ca="1" si="0"/>
        <v>0</v>
      </c>
      <c r="AN154" s="471">
        <f t="shared" ca="1" si="49"/>
        <v>0</v>
      </c>
    </row>
    <row r="155" spans="1:40" ht="38.25" x14ac:dyDescent="0.2">
      <c r="A155" t="str">
        <f t="shared" si="34"/>
        <v>S</v>
      </c>
      <c r="B155">
        <f t="shared" ca="1" si="35"/>
        <v>3</v>
      </c>
      <c r="C155" t="str">
        <f t="shared" ca="1" si="36"/>
        <v>S</v>
      </c>
      <c r="D155">
        <f t="shared" ca="1" si="37"/>
        <v>0</v>
      </c>
      <c r="E155">
        <f ca="1">IF($C155=1,OFFSET(E155,-1,0)+MAX(1,COUNTIF(QCI!$A$13:$A$24,OFFSET(ORÇAMENTO!E155,-1,0))),OFFSET(E155,-1,0))</f>
        <v>1</v>
      </c>
      <c r="F155">
        <f t="shared" ca="1" si="38"/>
        <v>11</v>
      </c>
      <c r="G155">
        <f t="shared" ca="1" si="39"/>
        <v>1</v>
      </c>
      <c r="H155">
        <f t="shared" ca="1" si="40"/>
        <v>0</v>
      </c>
      <c r="I155">
        <f t="shared" ca="1" si="41"/>
        <v>0</v>
      </c>
      <c r="J155">
        <f t="shared" ca="1" si="42"/>
        <v>0</v>
      </c>
      <c r="K155">
        <f ca="1">IF(OR($C155="S",$C155=0),0,MATCH(OFFSET($D155,0,$C155)+IF($C155&lt;&gt;1,1,COUNTIF(QCI!$A$13:$A$24,ORÇAMENTO!E155)),OFFSET($D155,1,$C155,ROW($C$405)-ROW($C155)),0))</f>
        <v>0</v>
      </c>
      <c r="L155" s="115" t="str">
        <f t="shared" ca="1" si="43"/>
        <v/>
      </c>
      <c r="M155" s="116" t="s">
        <v>706</v>
      </c>
      <c r="N155" s="117" t="str">
        <f t="shared" ca="1" si="44"/>
        <v>Serviço</v>
      </c>
      <c r="O155" s="118" t="str">
        <f t="shared" ca="1" si="45"/>
        <v>-</v>
      </c>
      <c r="P155" s="119" t="s">
        <v>1316</v>
      </c>
      <c r="Q155" s="120" t="s">
        <v>1065</v>
      </c>
      <c r="R155" s="121" t="s">
        <v>1441</v>
      </c>
      <c r="S155" s="122" t="s">
        <v>1644</v>
      </c>
      <c r="T155" s="123">
        <f ca="1">OFFSET(CÁLCULO!H$15,ROW($T155)-ROW(T$15),0)</f>
        <v>7</v>
      </c>
      <c r="U155" s="124"/>
      <c r="V155" s="125" t="s">
        <v>663</v>
      </c>
      <c r="W155" s="123">
        <f ca="1">IF($C155="S",ROUND(IF(TIPOORCAMENTO="Proposto",ORÇAMENTO.CustoUnitario*(1+$AH155),ORÇAMENTO.PrecoUnitarioLicitado),15-13*$AF$10),0)</f>
        <v>0</v>
      </c>
      <c r="X155" s="126" cm="1">
        <f t="array" aca="1" ref="X155" ca="1">IF($C155="S",IF(OR(Import.TipoArredondamento&lt;&gt;"TransfereGOV",ACOMPANHAMENTO="BM"),VTOTAL1,SUM(OFFSET(CÁLCULO!$AA$15,ROW($X155)-ROW($X$15),1):OFFSET(CÁLCULO!$AL$15,ROW($X155)-ROW($X$15),-1))),IF($C155=0,0,ROUND(SomaAgrup,15-13*$AF$11)))</f>
        <v>0</v>
      </c>
      <c r="Y155" s="127" t="s">
        <v>752</v>
      </c>
      <c r="Z155" t="str">
        <f t="shared" ca="1" si="46"/>
        <v/>
      </c>
      <c r="AA155" s="128">
        <f ca="1">IF($C155="S",IF($Z155="CP",$X155,IF($Z155="RA",(($X155)*QCI!$AA$3),0)),SomaAgrup)</f>
        <v>0</v>
      </c>
      <c r="AB155" s="129">
        <f t="shared" ca="1" si="47"/>
        <v>0</v>
      </c>
      <c r="AC155" s="567" t="str">
        <f ca="1">IF($N155=""," ",
IF(AND($C155&lt;&gt;"S",OR($R155="",$R155="(digite a descrição aqui)")),"DESCRIÇÃO",
IF(AND($C155="S",OR($Q155&lt;&gt;0,$T155&gt;0,$U155&gt;0),$P155=0),"FONTE",
IF(AND($C155="S",$P155&lt;&gt;0,OR($T155&gt;0,$U155&gt;0),$Q155=0),"CÓDIGO",
IF(AND($C155="S",$P155&lt;&gt;0,$Q155&lt;&gt;0,$R155="(Código não identificado nas referências)"),"CÓDIGO N/ID",
IF(AND($C155="S",OR($R155="",$R155="(digite a descrição aqui)"),OR($Q155&lt;&gt;0,$T155&gt;0,$U155&gt;0)),"DESCRIÇÃO",
IF(AND($C155="S",$P155&lt;&gt;0,$Q155&lt;&gt;0,$S155=""),"UNIDADE",
IF(AND($C155="S",$P155&lt;&gt;0,$Q155&lt;&gt;0,$U155=0),"SEM CUSTO",
IF(AND(TIPOORCAMENTO="Licitado",$AL155=0,$AN155&gt;0),"SEM PREÇO",
IF(AND($C155="S",$P155&lt;&gt;0,$Q155&lt;&gt;0,$U155&gt;0,$V155=0),"BDI",
IF(OR(AND(TIPOORCAMENTO="Proposto",$AG155&lt;&gt;"",$AG155&gt;0,ORÇAMENTO.CustoUnitario&gt;$AG155),AND(TIPOORCAMENTO="LICITADO",ORÇAMENTO.PrecoUnitarioLicitado&gt;$AN155)),"ACIMA REF.",
IF(AND($C155="S",$P155&lt;&gt;0,$Q155&lt;&gt;0,$T155=0,$U155&gt;0),"QUANT.",
IF(AND(Import.TipoArredondamento="TransfereGOV",$L155="F",$C155="S",LEN($Q155)&gt;13),"Código &gt;13",
IF(AND(Import.TipoArredondamento="TransfereGOV",$L155="F",$C155&lt;&gt;"S",LEN($R155)&gt;100),"Descrição &gt;100",
IF(AND(Import.TipoArredondamento="TransfereGOV",$L155="F",$C155="S",LEN($R155)&gt;500),"Descrição &gt;500",
IF(AND(Import.TipoArredondamento="TransfereGOV",$L155="F",$C155="S",LEFT(TRIM(UPPER($P155)),6)&lt;&gt;"SINAPI",ISNA(VLOOKUP(TRIM(UPPER($S155)),ListaTgov.Unidades,1,FALSE))),"Unid. Não Disp",
" "))))))))))))))))</f>
        <v>SEM CUSTO</v>
      </c>
      <c r="AD155" t="str">
        <f ca="1">IF(C155&lt;=CRONO.NivelExibicao,MAX($AD$15:OFFSET(AD155,-1,0))+IF($C155&lt;&gt;1,1,MAX(1,COUNTIF(QCI!$A$13:$A$24,OFFSET($E155,-1,0)))),"")</f>
        <v/>
      </c>
      <c r="AE155" s="7" t="str">
        <f ca="1">IF(AND($C155="S",ORÇAMENTO.CodBarra&lt;&gt;""),IF(ORÇAMENTO.Fonte="",ORÇAMENTO.CodBarra,CONCATENATE(ORÇAMENTO.Fonte," ",ORÇAMENTO.CodBarra)))</f>
        <v>Composiçao 244</v>
      </c>
      <c r="AF155" s="12" t="str">
        <f ca="1">IF(ISERROR(INDIRECT(ORÇAMENTO.BancoRef)),"(abra o arquivo 'Referência "&amp;Excel_BuiltIn_Database&amp;".xlsm)",IF(OR($C155&lt;&gt;"S",ORÇAMENTO.CodBarra=""),"(Sem Código)",IF(ISERROR(MATCH($AE155,INDIRECT(ORÇAMENTO.BancoRef),0)),"(Código não identificado nas referências)",MATCH($AE155,INDIRECT(ORÇAMENTO.BancoRef),0))))</f>
        <v>(abra o arquivo 'Referência 12-2024.xlsm)</v>
      </c>
      <c r="AG155" s="429">
        <f ca="1">ROUND(IF(DESONERACAO="sim",REFERENCIA.Desonerado,REFERENCIA.NaoDesonerado),2)</f>
        <v>0</v>
      </c>
      <c r="AH155" s="430">
        <f t="shared" ca="1" si="48"/>
        <v>0.31190000000000001</v>
      </c>
      <c r="AJ155" s="432">
        <v>7</v>
      </c>
      <c r="AL155" s="440"/>
      <c r="AM155" s="337">
        <f t="shared" ca="1" si="0"/>
        <v>0</v>
      </c>
      <c r="AN155" s="471">
        <f t="shared" ca="1" si="49"/>
        <v>0</v>
      </c>
    </row>
    <row r="156" spans="1:40" ht="38.25" x14ac:dyDescent="0.2">
      <c r="A156" t="str">
        <f t="shared" si="34"/>
        <v>S</v>
      </c>
      <c r="B156">
        <f t="shared" ca="1" si="35"/>
        <v>3</v>
      </c>
      <c r="C156" t="str">
        <f t="shared" ca="1" si="36"/>
        <v>S</v>
      </c>
      <c r="D156">
        <f t="shared" ca="1" si="37"/>
        <v>0</v>
      </c>
      <c r="E156">
        <f ca="1">IF($C156=1,OFFSET(E156,-1,0)+MAX(1,COUNTIF(QCI!$A$13:$A$24,OFFSET(ORÇAMENTO!E156,-1,0))),OFFSET(E156,-1,0))</f>
        <v>1</v>
      </c>
      <c r="F156">
        <f t="shared" ca="1" si="38"/>
        <v>11</v>
      </c>
      <c r="G156">
        <f t="shared" ca="1" si="39"/>
        <v>1</v>
      </c>
      <c r="H156">
        <f t="shared" ca="1" si="40"/>
        <v>0</v>
      </c>
      <c r="I156">
        <f t="shared" ca="1" si="41"/>
        <v>0</v>
      </c>
      <c r="J156">
        <f t="shared" ca="1" si="42"/>
        <v>0</v>
      </c>
      <c r="K156">
        <f ca="1">IF(OR($C156="S",$C156=0),0,MATCH(OFFSET($D156,0,$C156)+IF($C156&lt;&gt;1,1,COUNTIF(QCI!$A$13:$A$24,ORÇAMENTO!E156)),OFFSET($D156,1,$C156,ROW($C$405)-ROW($C156)),0))</f>
        <v>0</v>
      </c>
      <c r="L156" s="115" t="str">
        <f t="shared" ca="1" si="43"/>
        <v/>
      </c>
      <c r="M156" s="116" t="s">
        <v>706</v>
      </c>
      <c r="N156" s="117" t="str">
        <f t="shared" ca="1" si="44"/>
        <v>Serviço</v>
      </c>
      <c r="O156" s="118" t="str">
        <f t="shared" ca="1" si="45"/>
        <v>-</v>
      </c>
      <c r="P156" s="119" t="s">
        <v>751</v>
      </c>
      <c r="Q156" s="120" t="s">
        <v>1066</v>
      </c>
      <c r="R156" s="121" t="s">
        <v>1442</v>
      </c>
      <c r="S156" s="122" t="s">
        <v>621</v>
      </c>
      <c r="T156" s="123">
        <f ca="1">OFFSET(CÁLCULO!H$15,ROW($T156)-ROW(T$15),0)</f>
        <v>312.2</v>
      </c>
      <c r="U156" s="124"/>
      <c r="V156" s="125" t="s">
        <v>663</v>
      </c>
      <c r="W156" s="123">
        <f ca="1">IF($C156="S",ROUND(IF(TIPOORCAMENTO="Proposto",ORÇAMENTO.CustoUnitario*(1+$AH156),ORÇAMENTO.PrecoUnitarioLicitado),15-13*$AF$10),0)</f>
        <v>0</v>
      </c>
      <c r="X156" s="126" cm="1">
        <f t="array" aca="1" ref="X156" ca="1">IF($C156="S",IF(OR(Import.TipoArredondamento&lt;&gt;"TransfereGOV",ACOMPANHAMENTO="BM"),VTOTAL1,SUM(OFFSET(CÁLCULO!$AA$15,ROW($X156)-ROW($X$15),1):OFFSET(CÁLCULO!$AL$15,ROW($X156)-ROW($X$15),-1))),IF($C156=0,0,ROUND(SomaAgrup,15-13*$AF$11)))</f>
        <v>0</v>
      </c>
      <c r="Y156" s="127" t="s">
        <v>752</v>
      </c>
      <c r="Z156" t="str">
        <f t="shared" ca="1" si="46"/>
        <v/>
      </c>
      <c r="AA156" s="128">
        <f ca="1">IF($C156="S",IF($Z156="CP",$X156,IF($Z156="RA",(($X156)*QCI!$AA$3),0)),SomaAgrup)</f>
        <v>0</v>
      </c>
      <c r="AB156" s="129">
        <f t="shared" ca="1" si="47"/>
        <v>0</v>
      </c>
      <c r="AC156" s="567" t="str">
        <f ca="1">IF($N156=""," ",
IF(AND($C156&lt;&gt;"S",OR($R156="",$R156="(digite a descrição aqui)")),"DESCRIÇÃO",
IF(AND($C156="S",OR($Q156&lt;&gt;0,$T156&gt;0,$U156&gt;0),$P156=0),"FONTE",
IF(AND($C156="S",$P156&lt;&gt;0,OR($T156&gt;0,$U156&gt;0),$Q156=0),"CÓDIGO",
IF(AND($C156="S",$P156&lt;&gt;0,$Q156&lt;&gt;0,$R156="(Código não identificado nas referências)"),"CÓDIGO N/ID",
IF(AND($C156="S",OR($R156="",$R156="(digite a descrição aqui)"),OR($Q156&lt;&gt;0,$T156&gt;0,$U156&gt;0)),"DESCRIÇÃO",
IF(AND($C156="S",$P156&lt;&gt;0,$Q156&lt;&gt;0,$S156=""),"UNIDADE",
IF(AND($C156="S",$P156&lt;&gt;0,$Q156&lt;&gt;0,$U156=0),"SEM CUSTO",
IF(AND(TIPOORCAMENTO="Licitado",$AL156=0,$AN156&gt;0),"SEM PREÇO",
IF(AND($C156="S",$P156&lt;&gt;0,$Q156&lt;&gt;0,$U156&gt;0,$V156=0),"BDI",
IF(OR(AND(TIPOORCAMENTO="Proposto",$AG156&lt;&gt;"",$AG156&gt;0,ORÇAMENTO.CustoUnitario&gt;$AG156),AND(TIPOORCAMENTO="LICITADO",ORÇAMENTO.PrecoUnitarioLicitado&gt;$AN156)),"ACIMA REF.",
IF(AND($C156="S",$P156&lt;&gt;0,$Q156&lt;&gt;0,$T156=0,$U156&gt;0),"QUANT.",
IF(AND(Import.TipoArredondamento="TransfereGOV",$L156="F",$C156="S",LEN($Q156)&gt;13),"Código &gt;13",
IF(AND(Import.TipoArredondamento="TransfereGOV",$L156="F",$C156&lt;&gt;"S",LEN($R156)&gt;100),"Descrição &gt;100",
IF(AND(Import.TipoArredondamento="TransfereGOV",$L156="F",$C156="S",LEN($R156)&gt;500),"Descrição &gt;500",
IF(AND(Import.TipoArredondamento="TransfereGOV",$L156="F",$C156="S",LEFT(TRIM(UPPER($P156)),6)&lt;&gt;"SINAPI",ISNA(VLOOKUP(TRIM(UPPER($S156)),ListaTgov.Unidades,1,FALSE))),"Unid. Não Disp",
" "))))))))))))))))</f>
        <v>SEM CUSTO</v>
      </c>
      <c r="AD156" t="str">
        <f ca="1">IF(C156&lt;=CRONO.NivelExibicao,MAX($AD$15:OFFSET(AD156,-1,0))+IF($C156&lt;&gt;1,1,MAX(1,COUNTIF(QCI!$A$13:$A$24,OFFSET($E156,-1,0)))),"")</f>
        <v/>
      </c>
      <c r="AE156" s="7" t="str">
        <f ca="1">IF(AND($C156="S",ORÇAMENTO.CodBarra&lt;&gt;""),IF(ORÇAMENTO.Fonte="",ORÇAMENTO.CodBarra,CONCATENATE(ORÇAMENTO.Fonte," ",ORÇAMENTO.CodBarra)))</f>
        <v>SINAPI 89714</v>
      </c>
      <c r="AF156" s="12" t="str">
        <f ca="1">IF(ISERROR(INDIRECT(ORÇAMENTO.BancoRef)),"(abra o arquivo 'Referência "&amp;Excel_BuiltIn_Database&amp;".xlsm)",IF(OR($C156&lt;&gt;"S",ORÇAMENTO.CodBarra=""),"(Sem Código)",IF(ISERROR(MATCH($AE156,INDIRECT(ORÇAMENTO.BancoRef),0)),"(Código não identificado nas referências)",MATCH($AE156,INDIRECT(ORÇAMENTO.BancoRef),0))))</f>
        <v>(abra o arquivo 'Referência 12-2024.xlsm)</v>
      </c>
      <c r="AG156" s="429">
        <f ca="1">ROUND(IF(DESONERACAO="sim",REFERENCIA.Desonerado,REFERENCIA.NaoDesonerado),2)</f>
        <v>0</v>
      </c>
      <c r="AH156" s="430">
        <f t="shared" ca="1" si="48"/>
        <v>0.31190000000000001</v>
      </c>
      <c r="AJ156" s="432">
        <v>312.2</v>
      </c>
      <c r="AL156" s="440"/>
      <c r="AM156" s="337">
        <f t="shared" ca="1" si="0"/>
        <v>0</v>
      </c>
      <c r="AN156" s="471">
        <f t="shared" ca="1" si="49"/>
        <v>0</v>
      </c>
    </row>
    <row r="157" spans="1:40" ht="38.25" x14ac:dyDescent="0.2">
      <c r="A157" t="str">
        <f t="shared" si="34"/>
        <v>S</v>
      </c>
      <c r="B157">
        <f t="shared" ca="1" si="35"/>
        <v>3</v>
      </c>
      <c r="C157" t="str">
        <f t="shared" ca="1" si="36"/>
        <v>S</v>
      </c>
      <c r="D157">
        <f t="shared" ca="1" si="37"/>
        <v>0</v>
      </c>
      <c r="E157">
        <f ca="1">IF($C157=1,OFFSET(E157,-1,0)+MAX(1,COUNTIF(QCI!$A$13:$A$24,OFFSET(ORÇAMENTO!E157,-1,0))),OFFSET(E157,-1,0))</f>
        <v>1</v>
      </c>
      <c r="F157">
        <f t="shared" ca="1" si="38"/>
        <v>11</v>
      </c>
      <c r="G157">
        <f t="shared" ca="1" si="39"/>
        <v>1</v>
      </c>
      <c r="H157">
        <f t="shared" ca="1" si="40"/>
        <v>0</v>
      </c>
      <c r="I157">
        <f t="shared" ca="1" si="41"/>
        <v>0</v>
      </c>
      <c r="J157">
        <f t="shared" ca="1" si="42"/>
        <v>0</v>
      </c>
      <c r="K157">
        <f ca="1">IF(OR($C157="S",$C157=0),0,MATCH(OFFSET($D157,0,$C157)+IF($C157&lt;&gt;1,1,COUNTIF(QCI!$A$13:$A$24,ORÇAMENTO!E157)),OFFSET($D157,1,$C157,ROW($C$405)-ROW($C157)),0))</f>
        <v>0</v>
      </c>
      <c r="L157" s="115" t="str">
        <f t="shared" ca="1" si="43"/>
        <v/>
      </c>
      <c r="M157" s="116" t="s">
        <v>706</v>
      </c>
      <c r="N157" s="117" t="str">
        <f t="shared" ca="1" si="44"/>
        <v>Serviço</v>
      </c>
      <c r="O157" s="118" t="str">
        <f t="shared" ca="1" si="45"/>
        <v>-</v>
      </c>
      <c r="P157" s="119" t="s">
        <v>751</v>
      </c>
      <c r="Q157" s="120" t="s">
        <v>1067</v>
      </c>
      <c r="R157" s="121" t="s">
        <v>1443</v>
      </c>
      <c r="S157" s="122" t="s">
        <v>621</v>
      </c>
      <c r="T157" s="123">
        <f ca="1">OFFSET(CÁLCULO!H$15,ROW($T157)-ROW(T$15),0)</f>
        <v>16.399999999999999</v>
      </c>
      <c r="U157" s="124"/>
      <c r="V157" s="125" t="s">
        <v>663</v>
      </c>
      <c r="W157" s="123">
        <f ca="1">IF($C157="S",ROUND(IF(TIPOORCAMENTO="Proposto",ORÇAMENTO.CustoUnitario*(1+$AH157),ORÇAMENTO.PrecoUnitarioLicitado),15-13*$AF$10),0)</f>
        <v>0</v>
      </c>
      <c r="X157" s="126" cm="1">
        <f t="array" aca="1" ref="X157" ca="1">IF($C157="S",IF(OR(Import.TipoArredondamento&lt;&gt;"TransfereGOV",ACOMPANHAMENTO="BM"),VTOTAL1,SUM(OFFSET(CÁLCULO!$AA$15,ROW($X157)-ROW($X$15),1):OFFSET(CÁLCULO!$AL$15,ROW($X157)-ROW($X$15),-1))),IF($C157=0,0,ROUND(SomaAgrup,15-13*$AF$11)))</f>
        <v>0</v>
      </c>
      <c r="Y157" s="127" t="s">
        <v>752</v>
      </c>
      <c r="Z157" t="str">
        <f t="shared" ca="1" si="46"/>
        <v/>
      </c>
      <c r="AA157" s="128">
        <f ca="1">IF($C157="S",IF($Z157="CP",$X157,IF($Z157="RA",(($X157)*QCI!$AA$3),0)),SomaAgrup)</f>
        <v>0</v>
      </c>
      <c r="AB157" s="129">
        <f t="shared" ca="1" si="47"/>
        <v>0</v>
      </c>
      <c r="AC157" s="567" t="str">
        <f ca="1">IF($N157=""," ",
IF(AND($C157&lt;&gt;"S",OR($R157="",$R157="(digite a descrição aqui)")),"DESCRIÇÃO",
IF(AND($C157="S",OR($Q157&lt;&gt;0,$T157&gt;0,$U157&gt;0),$P157=0),"FONTE",
IF(AND($C157="S",$P157&lt;&gt;0,OR($T157&gt;0,$U157&gt;0),$Q157=0),"CÓDIGO",
IF(AND($C157="S",$P157&lt;&gt;0,$Q157&lt;&gt;0,$R157="(Código não identificado nas referências)"),"CÓDIGO N/ID",
IF(AND($C157="S",OR($R157="",$R157="(digite a descrição aqui)"),OR($Q157&lt;&gt;0,$T157&gt;0,$U157&gt;0)),"DESCRIÇÃO",
IF(AND($C157="S",$P157&lt;&gt;0,$Q157&lt;&gt;0,$S157=""),"UNIDADE",
IF(AND($C157="S",$P157&lt;&gt;0,$Q157&lt;&gt;0,$U157=0),"SEM CUSTO",
IF(AND(TIPOORCAMENTO="Licitado",$AL157=0,$AN157&gt;0),"SEM PREÇO",
IF(AND($C157="S",$P157&lt;&gt;0,$Q157&lt;&gt;0,$U157&gt;0,$V157=0),"BDI",
IF(OR(AND(TIPOORCAMENTO="Proposto",$AG157&lt;&gt;"",$AG157&gt;0,ORÇAMENTO.CustoUnitario&gt;$AG157),AND(TIPOORCAMENTO="LICITADO",ORÇAMENTO.PrecoUnitarioLicitado&gt;$AN157)),"ACIMA REF.",
IF(AND($C157="S",$P157&lt;&gt;0,$Q157&lt;&gt;0,$T157=0,$U157&gt;0),"QUANT.",
IF(AND(Import.TipoArredondamento="TransfereGOV",$L157="F",$C157="S",LEN($Q157)&gt;13),"Código &gt;13",
IF(AND(Import.TipoArredondamento="TransfereGOV",$L157="F",$C157&lt;&gt;"S",LEN($R157)&gt;100),"Descrição &gt;100",
IF(AND(Import.TipoArredondamento="TransfereGOV",$L157="F",$C157="S",LEN($R157)&gt;500),"Descrição &gt;500",
IF(AND(Import.TipoArredondamento="TransfereGOV",$L157="F",$C157="S",LEFT(TRIM(UPPER($P157)),6)&lt;&gt;"SINAPI",ISNA(VLOOKUP(TRIM(UPPER($S157)),ListaTgov.Unidades,1,FALSE))),"Unid. Não Disp",
" "))))))))))))))))</f>
        <v>SEM CUSTO</v>
      </c>
      <c r="AD157" t="str">
        <f ca="1">IF(C157&lt;=CRONO.NivelExibicao,MAX($AD$15:OFFSET(AD157,-1,0))+IF($C157&lt;&gt;1,1,MAX(1,COUNTIF(QCI!$A$13:$A$24,OFFSET($E157,-1,0)))),"")</f>
        <v/>
      </c>
      <c r="AE157" s="7" t="str">
        <f ca="1">IF(AND($C157="S",ORÇAMENTO.CodBarra&lt;&gt;""),IF(ORÇAMENTO.Fonte="",ORÇAMENTO.CodBarra,CONCATENATE(ORÇAMENTO.Fonte," ",ORÇAMENTO.CodBarra)))</f>
        <v>SINAPI 89849</v>
      </c>
      <c r="AF157" s="12" t="str">
        <f ca="1">IF(ISERROR(INDIRECT(ORÇAMENTO.BancoRef)),"(abra o arquivo 'Referência "&amp;Excel_BuiltIn_Database&amp;".xlsm)",IF(OR($C157&lt;&gt;"S",ORÇAMENTO.CodBarra=""),"(Sem Código)",IF(ISERROR(MATCH($AE157,INDIRECT(ORÇAMENTO.BancoRef),0)),"(Código não identificado nas referências)",MATCH($AE157,INDIRECT(ORÇAMENTO.BancoRef),0))))</f>
        <v>(abra o arquivo 'Referência 12-2024.xlsm)</v>
      </c>
      <c r="AG157" s="429">
        <f ca="1">ROUND(IF(DESONERACAO="sim",REFERENCIA.Desonerado,REFERENCIA.NaoDesonerado),2)</f>
        <v>0</v>
      </c>
      <c r="AH157" s="430">
        <f t="shared" ca="1" si="48"/>
        <v>0.31190000000000001</v>
      </c>
      <c r="AJ157" s="432">
        <v>16.399999999999999</v>
      </c>
      <c r="AL157" s="440"/>
      <c r="AM157" s="337">
        <f t="shared" ca="1" si="0"/>
        <v>0</v>
      </c>
      <c r="AN157" s="471">
        <f t="shared" ca="1" si="49"/>
        <v>0</v>
      </c>
    </row>
    <row r="158" spans="1:40" ht="38.25" x14ac:dyDescent="0.2">
      <c r="A158" t="str">
        <f t="shared" si="34"/>
        <v>S</v>
      </c>
      <c r="B158">
        <f t="shared" ca="1" si="35"/>
        <v>3</v>
      </c>
      <c r="C158" t="str">
        <f t="shared" ca="1" si="36"/>
        <v>S</v>
      </c>
      <c r="D158">
        <f t="shared" ca="1" si="37"/>
        <v>0</v>
      </c>
      <c r="E158">
        <f ca="1">IF($C158=1,OFFSET(E158,-1,0)+MAX(1,COUNTIF(QCI!$A$13:$A$24,OFFSET(ORÇAMENTO!E158,-1,0))),OFFSET(E158,-1,0))</f>
        <v>1</v>
      </c>
      <c r="F158">
        <f t="shared" ca="1" si="38"/>
        <v>11</v>
      </c>
      <c r="G158">
        <f t="shared" ca="1" si="39"/>
        <v>1</v>
      </c>
      <c r="H158">
        <f t="shared" ca="1" si="40"/>
        <v>0</v>
      </c>
      <c r="I158">
        <f t="shared" ca="1" si="41"/>
        <v>0</v>
      </c>
      <c r="J158">
        <f t="shared" ca="1" si="42"/>
        <v>0</v>
      </c>
      <c r="K158">
        <f ca="1">IF(OR($C158="S",$C158=0),0,MATCH(OFFSET($D158,0,$C158)+IF($C158&lt;&gt;1,1,COUNTIF(QCI!$A$13:$A$24,ORÇAMENTO!E158)),OFFSET($D158,1,$C158,ROW($C$405)-ROW($C158)),0))</f>
        <v>0</v>
      </c>
      <c r="L158" s="115" t="str">
        <f t="shared" ca="1" si="43"/>
        <v/>
      </c>
      <c r="M158" s="116" t="s">
        <v>706</v>
      </c>
      <c r="N158" s="117" t="str">
        <f t="shared" ca="1" si="44"/>
        <v>Serviço</v>
      </c>
      <c r="O158" s="118" t="str">
        <f t="shared" ca="1" si="45"/>
        <v>-</v>
      </c>
      <c r="P158" s="119" t="s">
        <v>751</v>
      </c>
      <c r="Q158" s="120" t="s">
        <v>1068</v>
      </c>
      <c r="R158" s="121" t="s">
        <v>1444</v>
      </c>
      <c r="S158" s="122" t="s">
        <v>621</v>
      </c>
      <c r="T158" s="123">
        <f ca="1">OFFSET(CÁLCULO!H$15,ROW($T158)-ROW(T$15),0)</f>
        <v>135.19999999999999</v>
      </c>
      <c r="U158" s="124"/>
      <c r="V158" s="125" t="s">
        <v>663</v>
      </c>
      <c r="W158" s="123">
        <f ca="1">IF($C158="S",ROUND(IF(TIPOORCAMENTO="Proposto",ORÇAMENTO.CustoUnitario*(1+$AH158),ORÇAMENTO.PrecoUnitarioLicitado),15-13*$AF$10),0)</f>
        <v>0</v>
      </c>
      <c r="X158" s="126" cm="1">
        <f t="array" aca="1" ref="X158" ca="1">IF($C158="S",IF(OR(Import.TipoArredondamento&lt;&gt;"TransfereGOV",ACOMPANHAMENTO="BM"),VTOTAL1,SUM(OFFSET(CÁLCULO!$AA$15,ROW($X158)-ROW($X$15),1):OFFSET(CÁLCULO!$AL$15,ROW($X158)-ROW($X$15),-1))),IF($C158=0,0,ROUND(SomaAgrup,15-13*$AF$11)))</f>
        <v>0</v>
      </c>
      <c r="Y158" s="127" t="s">
        <v>752</v>
      </c>
      <c r="Z158" t="str">
        <f t="shared" ca="1" si="46"/>
        <v/>
      </c>
      <c r="AA158" s="128">
        <f ca="1">IF($C158="S",IF($Z158="CP",$X158,IF($Z158="RA",(($X158)*QCI!$AA$3),0)),SomaAgrup)</f>
        <v>0</v>
      </c>
      <c r="AB158" s="129">
        <f t="shared" ca="1" si="47"/>
        <v>0</v>
      </c>
      <c r="AC158" s="567" t="str">
        <f ca="1">IF($N158=""," ",
IF(AND($C158&lt;&gt;"S",OR($R158="",$R158="(digite a descrição aqui)")),"DESCRIÇÃO",
IF(AND($C158="S",OR($Q158&lt;&gt;0,$T158&gt;0,$U158&gt;0),$P158=0),"FONTE",
IF(AND($C158="S",$P158&lt;&gt;0,OR($T158&gt;0,$U158&gt;0),$Q158=0),"CÓDIGO",
IF(AND($C158="S",$P158&lt;&gt;0,$Q158&lt;&gt;0,$R158="(Código não identificado nas referências)"),"CÓDIGO N/ID",
IF(AND($C158="S",OR($R158="",$R158="(digite a descrição aqui)"),OR($Q158&lt;&gt;0,$T158&gt;0,$U158&gt;0)),"DESCRIÇÃO",
IF(AND($C158="S",$P158&lt;&gt;0,$Q158&lt;&gt;0,$S158=""),"UNIDADE",
IF(AND($C158="S",$P158&lt;&gt;0,$Q158&lt;&gt;0,$U158=0),"SEM CUSTO",
IF(AND(TIPOORCAMENTO="Licitado",$AL158=0,$AN158&gt;0),"SEM PREÇO",
IF(AND($C158="S",$P158&lt;&gt;0,$Q158&lt;&gt;0,$U158&gt;0,$V158=0),"BDI",
IF(OR(AND(TIPOORCAMENTO="Proposto",$AG158&lt;&gt;"",$AG158&gt;0,ORÇAMENTO.CustoUnitario&gt;$AG158),AND(TIPOORCAMENTO="LICITADO",ORÇAMENTO.PrecoUnitarioLicitado&gt;$AN158)),"ACIMA REF.",
IF(AND($C158="S",$P158&lt;&gt;0,$Q158&lt;&gt;0,$T158=0,$U158&gt;0),"QUANT.",
IF(AND(Import.TipoArredondamento="TransfereGOV",$L158="F",$C158="S",LEN($Q158)&gt;13),"Código &gt;13",
IF(AND(Import.TipoArredondamento="TransfereGOV",$L158="F",$C158&lt;&gt;"S",LEN($R158)&gt;100),"Descrição &gt;100",
IF(AND(Import.TipoArredondamento="TransfereGOV",$L158="F",$C158="S",LEN($R158)&gt;500),"Descrição &gt;500",
IF(AND(Import.TipoArredondamento="TransfereGOV",$L158="F",$C158="S",LEFT(TRIM(UPPER($P158)),6)&lt;&gt;"SINAPI",ISNA(VLOOKUP(TRIM(UPPER($S158)),ListaTgov.Unidades,1,FALSE))),"Unid. Não Disp",
" "))))))))))))))))</f>
        <v>SEM CUSTO</v>
      </c>
      <c r="AD158" t="str">
        <f ca="1">IF(C158&lt;=CRONO.NivelExibicao,MAX($AD$15:OFFSET(AD158,-1,0))+IF($C158&lt;&gt;1,1,MAX(1,COUNTIF(QCI!$A$13:$A$24,OFFSET($E158,-1,0)))),"")</f>
        <v/>
      </c>
      <c r="AE158" s="7" t="str">
        <f ca="1">IF(AND($C158="S",ORÇAMENTO.CodBarra&lt;&gt;""),IF(ORÇAMENTO.Fonte="",ORÇAMENTO.CodBarra,CONCATENATE(ORÇAMENTO.Fonte," ",ORÇAMENTO.CodBarra)))</f>
        <v>SINAPI 89712</v>
      </c>
      <c r="AF158" s="12" t="str">
        <f ca="1">IF(ISERROR(INDIRECT(ORÇAMENTO.BancoRef)),"(abra o arquivo 'Referência "&amp;Excel_BuiltIn_Database&amp;".xlsm)",IF(OR($C158&lt;&gt;"S",ORÇAMENTO.CodBarra=""),"(Sem Código)",IF(ISERROR(MATCH($AE158,INDIRECT(ORÇAMENTO.BancoRef),0)),"(Código não identificado nas referências)",MATCH($AE158,INDIRECT(ORÇAMENTO.BancoRef),0))))</f>
        <v>(abra o arquivo 'Referência 12-2024.xlsm)</v>
      </c>
      <c r="AG158" s="429">
        <f ca="1">ROUND(IF(DESONERACAO="sim",REFERENCIA.Desonerado,REFERENCIA.NaoDesonerado),2)</f>
        <v>0</v>
      </c>
      <c r="AH158" s="430">
        <f t="shared" ca="1" si="48"/>
        <v>0.31190000000000001</v>
      </c>
      <c r="AJ158" s="432">
        <v>135.19999999999999</v>
      </c>
      <c r="AL158" s="440"/>
      <c r="AM158" s="337">
        <f t="shared" ca="1" si="0"/>
        <v>0</v>
      </c>
      <c r="AN158" s="471">
        <f t="shared" ca="1" si="49"/>
        <v>0</v>
      </c>
    </row>
    <row r="159" spans="1:40" ht="38.25" x14ac:dyDescent="0.2">
      <c r="A159" t="str">
        <f t="shared" si="34"/>
        <v>S</v>
      </c>
      <c r="B159">
        <f t="shared" ca="1" si="35"/>
        <v>3</v>
      </c>
      <c r="C159" t="str">
        <f t="shared" ca="1" si="36"/>
        <v>S</v>
      </c>
      <c r="D159">
        <f t="shared" ca="1" si="37"/>
        <v>0</v>
      </c>
      <c r="E159">
        <f ca="1">IF($C159=1,OFFSET(E159,-1,0)+MAX(1,COUNTIF(QCI!$A$13:$A$24,OFFSET(ORÇAMENTO!E159,-1,0))),OFFSET(E159,-1,0))</f>
        <v>1</v>
      </c>
      <c r="F159">
        <f t="shared" ca="1" si="38"/>
        <v>11</v>
      </c>
      <c r="G159">
        <f t="shared" ca="1" si="39"/>
        <v>1</v>
      </c>
      <c r="H159">
        <f t="shared" ca="1" si="40"/>
        <v>0</v>
      </c>
      <c r="I159">
        <f t="shared" ca="1" si="41"/>
        <v>0</v>
      </c>
      <c r="J159">
        <f t="shared" ca="1" si="42"/>
        <v>0</v>
      </c>
      <c r="K159">
        <f ca="1">IF(OR($C159="S",$C159=0),0,MATCH(OFFSET($D159,0,$C159)+IF($C159&lt;&gt;1,1,COUNTIF(QCI!$A$13:$A$24,ORÇAMENTO!E159)),OFFSET($D159,1,$C159,ROW($C$405)-ROW($C159)),0))</f>
        <v>0</v>
      </c>
      <c r="L159" s="115" t="str">
        <f t="shared" ca="1" si="43"/>
        <v/>
      </c>
      <c r="M159" s="116" t="s">
        <v>706</v>
      </c>
      <c r="N159" s="117" t="str">
        <f t="shared" ca="1" si="44"/>
        <v>Serviço</v>
      </c>
      <c r="O159" s="118" t="str">
        <f t="shared" ca="1" si="45"/>
        <v>-</v>
      </c>
      <c r="P159" s="119" t="s">
        <v>751</v>
      </c>
      <c r="Q159" s="120" t="s">
        <v>1069</v>
      </c>
      <c r="R159" s="121" t="s">
        <v>1445</v>
      </c>
      <c r="S159" s="122" t="s">
        <v>621</v>
      </c>
      <c r="T159" s="123">
        <f ca="1">OFFSET(CÁLCULO!H$15,ROW($T159)-ROW(T$15),0)</f>
        <v>48.9</v>
      </c>
      <c r="U159" s="124"/>
      <c r="V159" s="125" t="s">
        <v>663</v>
      </c>
      <c r="W159" s="123">
        <f ca="1">IF($C159="S",ROUND(IF(TIPOORCAMENTO="Proposto",ORÇAMENTO.CustoUnitario*(1+$AH159),ORÇAMENTO.PrecoUnitarioLicitado),15-13*$AF$10),0)</f>
        <v>0</v>
      </c>
      <c r="X159" s="126" cm="1">
        <f t="array" aca="1" ref="X159" ca="1">IF($C159="S",IF(OR(Import.TipoArredondamento&lt;&gt;"TransfereGOV",ACOMPANHAMENTO="BM"),VTOTAL1,SUM(OFFSET(CÁLCULO!$AA$15,ROW($X159)-ROW($X$15),1):OFFSET(CÁLCULO!$AL$15,ROW($X159)-ROW($X$15),-1))),IF($C159=0,0,ROUND(SomaAgrup,15-13*$AF$11)))</f>
        <v>0</v>
      </c>
      <c r="Y159" s="127" t="s">
        <v>752</v>
      </c>
      <c r="Z159" t="str">
        <f t="shared" ca="1" si="46"/>
        <v/>
      </c>
      <c r="AA159" s="128">
        <f ca="1">IF($C159="S",IF($Z159="CP",$X159,IF($Z159="RA",(($X159)*QCI!$AA$3),0)),SomaAgrup)</f>
        <v>0</v>
      </c>
      <c r="AB159" s="129">
        <f t="shared" ca="1" si="47"/>
        <v>0</v>
      </c>
      <c r="AC159" s="567" t="str">
        <f ca="1">IF($N159=""," ",
IF(AND($C159&lt;&gt;"S",OR($R159="",$R159="(digite a descrição aqui)")),"DESCRIÇÃO",
IF(AND($C159="S",OR($Q159&lt;&gt;0,$T159&gt;0,$U159&gt;0),$P159=0),"FONTE",
IF(AND($C159="S",$P159&lt;&gt;0,OR($T159&gt;0,$U159&gt;0),$Q159=0),"CÓDIGO",
IF(AND($C159="S",$P159&lt;&gt;0,$Q159&lt;&gt;0,$R159="(Código não identificado nas referências)"),"CÓDIGO N/ID",
IF(AND($C159="S",OR($R159="",$R159="(digite a descrição aqui)"),OR($Q159&lt;&gt;0,$T159&gt;0,$U159&gt;0)),"DESCRIÇÃO",
IF(AND($C159="S",$P159&lt;&gt;0,$Q159&lt;&gt;0,$S159=""),"UNIDADE",
IF(AND($C159="S",$P159&lt;&gt;0,$Q159&lt;&gt;0,$U159=0),"SEM CUSTO",
IF(AND(TIPOORCAMENTO="Licitado",$AL159=0,$AN159&gt;0),"SEM PREÇO",
IF(AND($C159="S",$P159&lt;&gt;0,$Q159&lt;&gt;0,$U159&gt;0,$V159=0),"BDI",
IF(OR(AND(TIPOORCAMENTO="Proposto",$AG159&lt;&gt;"",$AG159&gt;0,ORÇAMENTO.CustoUnitario&gt;$AG159),AND(TIPOORCAMENTO="LICITADO",ORÇAMENTO.PrecoUnitarioLicitado&gt;$AN159)),"ACIMA REF.",
IF(AND($C159="S",$P159&lt;&gt;0,$Q159&lt;&gt;0,$T159=0,$U159&gt;0),"QUANT.",
IF(AND(Import.TipoArredondamento="TransfereGOV",$L159="F",$C159="S",LEN($Q159)&gt;13),"Código &gt;13",
IF(AND(Import.TipoArredondamento="TransfereGOV",$L159="F",$C159&lt;&gt;"S",LEN($R159)&gt;100),"Descrição &gt;100",
IF(AND(Import.TipoArredondamento="TransfereGOV",$L159="F",$C159="S",LEN($R159)&gt;500),"Descrição &gt;500",
IF(AND(Import.TipoArredondamento="TransfereGOV",$L159="F",$C159="S",LEFT(TRIM(UPPER($P159)),6)&lt;&gt;"SINAPI",ISNA(VLOOKUP(TRIM(UPPER($S159)),ListaTgov.Unidades,1,FALSE))),"Unid. Não Disp",
" "))))))))))))))))</f>
        <v>SEM CUSTO</v>
      </c>
      <c r="AD159" t="str">
        <f ca="1">IF(C159&lt;=CRONO.NivelExibicao,MAX($AD$15:OFFSET(AD159,-1,0))+IF($C159&lt;&gt;1,1,MAX(1,COUNTIF(QCI!$A$13:$A$24,OFFSET($E159,-1,0)))),"")</f>
        <v/>
      </c>
      <c r="AE159" s="7" t="str">
        <f ca="1">IF(AND($C159="S",ORÇAMENTO.CodBarra&lt;&gt;""),IF(ORÇAMENTO.Fonte="",ORÇAMENTO.CodBarra,CONCATENATE(ORÇAMENTO.Fonte," ",ORÇAMENTO.CodBarra)))</f>
        <v>SINAPI 89713</v>
      </c>
      <c r="AF159" s="12" t="str">
        <f ca="1">IF(ISERROR(INDIRECT(ORÇAMENTO.BancoRef)),"(abra o arquivo 'Referência "&amp;Excel_BuiltIn_Database&amp;".xlsm)",IF(OR($C159&lt;&gt;"S",ORÇAMENTO.CodBarra=""),"(Sem Código)",IF(ISERROR(MATCH($AE159,INDIRECT(ORÇAMENTO.BancoRef),0)),"(Código não identificado nas referências)",MATCH($AE159,INDIRECT(ORÇAMENTO.BancoRef),0))))</f>
        <v>(abra o arquivo 'Referência 12-2024.xlsm)</v>
      </c>
      <c r="AG159" s="429">
        <f ca="1">ROUND(IF(DESONERACAO="sim",REFERENCIA.Desonerado,REFERENCIA.NaoDesonerado),2)</f>
        <v>0</v>
      </c>
      <c r="AH159" s="430">
        <f t="shared" ca="1" si="48"/>
        <v>0.31190000000000001</v>
      </c>
      <c r="AJ159" s="432">
        <v>48.9</v>
      </c>
      <c r="AL159" s="440"/>
      <c r="AM159" s="337">
        <f t="shared" ca="1" si="0"/>
        <v>0</v>
      </c>
      <c r="AN159" s="471">
        <f t="shared" ca="1" si="49"/>
        <v>0</v>
      </c>
    </row>
    <row r="160" spans="1:40" ht="38.25" x14ac:dyDescent="0.2">
      <c r="A160" t="str">
        <f t="shared" si="34"/>
        <v>S</v>
      </c>
      <c r="B160">
        <f t="shared" ca="1" si="35"/>
        <v>3</v>
      </c>
      <c r="C160" t="str">
        <f t="shared" ca="1" si="36"/>
        <v>S</v>
      </c>
      <c r="D160">
        <f t="shared" ca="1" si="37"/>
        <v>0</v>
      </c>
      <c r="E160">
        <f ca="1">IF($C160=1,OFFSET(E160,-1,0)+MAX(1,COUNTIF(QCI!$A$13:$A$24,OFFSET(ORÇAMENTO!E160,-1,0))),OFFSET(E160,-1,0))</f>
        <v>1</v>
      </c>
      <c r="F160">
        <f t="shared" ca="1" si="38"/>
        <v>11</v>
      </c>
      <c r="G160">
        <f t="shared" ca="1" si="39"/>
        <v>1</v>
      </c>
      <c r="H160">
        <f t="shared" ca="1" si="40"/>
        <v>0</v>
      </c>
      <c r="I160">
        <f t="shared" ca="1" si="41"/>
        <v>0</v>
      </c>
      <c r="J160">
        <f t="shared" ca="1" si="42"/>
        <v>0</v>
      </c>
      <c r="K160">
        <f ca="1">IF(OR($C160="S",$C160=0),0,MATCH(OFFSET($D160,0,$C160)+IF($C160&lt;&gt;1,1,COUNTIF(QCI!$A$13:$A$24,ORÇAMENTO!E160)),OFFSET($D160,1,$C160,ROW($C$405)-ROW($C160)),0))</f>
        <v>0</v>
      </c>
      <c r="L160" s="115" t="str">
        <f t="shared" ca="1" si="43"/>
        <v/>
      </c>
      <c r="M160" s="116" t="s">
        <v>706</v>
      </c>
      <c r="N160" s="117" t="str">
        <f t="shared" ca="1" si="44"/>
        <v>Serviço</v>
      </c>
      <c r="O160" s="118" t="str">
        <f t="shared" ca="1" si="45"/>
        <v>-</v>
      </c>
      <c r="P160" s="119" t="s">
        <v>751</v>
      </c>
      <c r="Q160" s="120" t="s">
        <v>1070</v>
      </c>
      <c r="R160" s="121" t="s">
        <v>1446</v>
      </c>
      <c r="S160" s="122" t="s">
        <v>621</v>
      </c>
      <c r="T160" s="123">
        <f ca="1">OFFSET(CÁLCULO!H$15,ROW($T160)-ROW(T$15),0)</f>
        <v>73.2</v>
      </c>
      <c r="U160" s="124"/>
      <c r="V160" s="125" t="s">
        <v>663</v>
      </c>
      <c r="W160" s="123">
        <f ca="1">IF($C160="S",ROUND(IF(TIPOORCAMENTO="Proposto",ORÇAMENTO.CustoUnitario*(1+$AH160),ORÇAMENTO.PrecoUnitarioLicitado),15-13*$AF$10),0)</f>
        <v>0</v>
      </c>
      <c r="X160" s="126" cm="1">
        <f t="array" aca="1" ref="X160" ca="1">IF($C160="S",IF(OR(Import.TipoArredondamento&lt;&gt;"TransfereGOV",ACOMPANHAMENTO="BM"),VTOTAL1,SUM(OFFSET(CÁLCULO!$AA$15,ROW($X160)-ROW($X$15),1):OFFSET(CÁLCULO!$AL$15,ROW($X160)-ROW($X$15),-1))),IF($C160=0,0,ROUND(SomaAgrup,15-13*$AF$11)))</f>
        <v>0</v>
      </c>
      <c r="Y160" s="127" t="s">
        <v>752</v>
      </c>
      <c r="Z160" t="str">
        <f t="shared" ca="1" si="46"/>
        <v/>
      </c>
      <c r="AA160" s="128">
        <f ca="1">IF($C160="S",IF($Z160="CP",$X160,IF($Z160="RA",(($X160)*QCI!$AA$3),0)),SomaAgrup)</f>
        <v>0</v>
      </c>
      <c r="AB160" s="129">
        <f t="shared" ca="1" si="47"/>
        <v>0</v>
      </c>
      <c r="AC160" s="567" t="str">
        <f ca="1">IF($N160=""," ",
IF(AND($C160&lt;&gt;"S",OR($R160="",$R160="(digite a descrição aqui)")),"DESCRIÇÃO",
IF(AND($C160="S",OR($Q160&lt;&gt;0,$T160&gt;0,$U160&gt;0),$P160=0),"FONTE",
IF(AND($C160="S",$P160&lt;&gt;0,OR($T160&gt;0,$U160&gt;0),$Q160=0),"CÓDIGO",
IF(AND($C160="S",$P160&lt;&gt;0,$Q160&lt;&gt;0,$R160="(Código não identificado nas referências)"),"CÓDIGO N/ID",
IF(AND($C160="S",OR($R160="",$R160="(digite a descrição aqui)"),OR($Q160&lt;&gt;0,$T160&gt;0,$U160&gt;0)),"DESCRIÇÃO",
IF(AND($C160="S",$P160&lt;&gt;0,$Q160&lt;&gt;0,$S160=""),"UNIDADE",
IF(AND($C160="S",$P160&lt;&gt;0,$Q160&lt;&gt;0,$U160=0),"SEM CUSTO",
IF(AND(TIPOORCAMENTO="Licitado",$AL160=0,$AN160&gt;0),"SEM PREÇO",
IF(AND($C160="S",$P160&lt;&gt;0,$Q160&lt;&gt;0,$U160&gt;0,$V160=0),"BDI",
IF(OR(AND(TIPOORCAMENTO="Proposto",$AG160&lt;&gt;"",$AG160&gt;0,ORÇAMENTO.CustoUnitario&gt;$AG160),AND(TIPOORCAMENTO="LICITADO",ORÇAMENTO.PrecoUnitarioLicitado&gt;$AN160)),"ACIMA REF.",
IF(AND($C160="S",$P160&lt;&gt;0,$Q160&lt;&gt;0,$T160=0,$U160&gt;0),"QUANT.",
IF(AND(Import.TipoArredondamento="TransfereGOV",$L160="F",$C160="S",LEN($Q160)&gt;13),"Código &gt;13",
IF(AND(Import.TipoArredondamento="TransfereGOV",$L160="F",$C160&lt;&gt;"S",LEN($R160)&gt;100),"Descrição &gt;100",
IF(AND(Import.TipoArredondamento="TransfereGOV",$L160="F",$C160="S",LEN($R160)&gt;500),"Descrição &gt;500",
IF(AND(Import.TipoArredondamento="TransfereGOV",$L160="F",$C160="S",LEFT(TRIM(UPPER($P160)),6)&lt;&gt;"SINAPI",ISNA(VLOOKUP(TRIM(UPPER($S160)),ListaTgov.Unidades,1,FALSE))),"Unid. Não Disp",
" "))))))))))))))))</f>
        <v>SEM CUSTO</v>
      </c>
      <c r="AD160" t="str">
        <f ca="1">IF(C160&lt;=CRONO.NivelExibicao,MAX($AD$15:OFFSET(AD160,-1,0))+IF($C160&lt;&gt;1,1,MAX(1,COUNTIF(QCI!$A$13:$A$24,OFFSET($E160,-1,0)))),"")</f>
        <v/>
      </c>
      <c r="AE160" s="7" t="str">
        <f ca="1">IF(AND($C160="S",ORÇAMENTO.CodBarra&lt;&gt;""),IF(ORÇAMENTO.Fonte="",ORÇAMENTO.CodBarra,CONCATENATE(ORÇAMENTO.Fonte," ",ORÇAMENTO.CodBarra)))</f>
        <v>SINAPI 89711</v>
      </c>
      <c r="AF160" s="12" t="str">
        <f ca="1">IF(ISERROR(INDIRECT(ORÇAMENTO.BancoRef)),"(abra o arquivo 'Referência "&amp;Excel_BuiltIn_Database&amp;".xlsm)",IF(OR($C160&lt;&gt;"S",ORÇAMENTO.CodBarra=""),"(Sem Código)",IF(ISERROR(MATCH($AE160,INDIRECT(ORÇAMENTO.BancoRef),0)),"(Código não identificado nas referências)",MATCH($AE160,INDIRECT(ORÇAMENTO.BancoRef),0))))</f>
        <v>(abra o arquivo 'Referência 12-2024.xlsm)</v>
      </c>
      <c r="AG160" s="429">
        <f ca="1">ROUND(IF(DESONERACAO="sim",REFERENCIA.Desonerado,REFERENCIA.NaoDesonerado),2)</f>
        <v>0</v>
      </c>
      <c r="AH160" s="430">
        <f t="shared" ca="1" si="48"/>
        <v>0.31190000000000001</v>
      </c>
      <c r="AJ160" s="432">
        <v>73.2</v>
      </c>
      <c r="AL160" s="440"/>
      <c r="AM160" s="337">
        <f t="shared" ca="1" si="0"/>
        <v>0</v>
      </c>
      <c r="AN160" s="471">
        <f t="shared" ca="1" si="49"/>
        <v>0</v>
      </c>
    </row>
    <row r="161" spans="1:40" ht="38.25" x14ac:dyDescent="0.2">
      <c r="A161" t="str">
        <f t="shared" si="34"/>
        <v>S</v>
      </c>
      <c r="B161">
        <f t="shared" ca="1" si="35"/>
        <v>3</v>
      </c>
      <c r="C161" t="str">
        <f t="shared" ca="1" si="36"/>
        <v>S</v>
      </c>
      <c r="D161">
        <f t="shared" ca="1" si="37"/>
        <v>0</v>
      </c>
      <c r="E161">
        <f ca="1">IF($C161=1,OFFSET(E161,-1,0)+MAX(1,COUNTIF(QCI!$A$13:$A$24,OFFSET(ORÇAMENTO!E161,-1,0))),OFFSET(E161,-1,0))</f>
        <v>1</v>
      </c>
      <c r="F161">
        <f t="shared" ca="1" si="38"/>
        <v>11</v>
      </c>
      <c r="G161">
        <f t="shared" ca="1" si="39"/>
        <v>1</v>
      </c>
      <c r="H161">
        <f t="shared" ca="1" si="40"/>
        <v>0</v>
      </c>
      <c r="I161">
        <f t="shared" ca="1" si="41"/>
        <v>0</v>
      </c>
      <c r="J161">
        <f t="shared" ca="1" si="42"/>
        <v>0</v>
      </c>
      <c r="K161">
        <f ca="1">IF(OR($C161="S",$C161=0),0,MATCH(OFFSET($D161,0,$C161)+IF($C161&lt;&gt;1,1,COUNTIF(QCI!$A$13:$A$24,ORÇAMENTO!E161)),OFFSET($D161,1,$C161,ROW($C$405)-ROW($C161)),0))</f>
        <v>0</v>
      </c>
      <c r="L161" s="115" t="str">
        <f t="shared" ca="1" si="43"/>
        <v/>
      </c>
      <c r="M161" s="116" t="s">
        <v>706</v>
      </c>
      <c r="N161" s="117" t="str">
        <f t="shared" ca="1" si="44"/>
        <v>Serviço</v>
      </c>
      <c r="O161" s="118" t="str">
        <f t="shared" ca="1" si="45"/>
        <v>-</v>
      </c>
      <c r="P161" s="119" t="s">
        <v>751</v>
      </c>
      <c r="Q161" s="120" t="s">
        <v>1071</v>
      </c>
      <c r="R161" s="121" t="s">
        <v>1447</v>
      </c>
      <c r="S161" s="122" t="s">
        <v>639</v>
      </c>
      <c r="T161" s="123">
        <f ca="1">OFFSET(CÁLCULO!H$15,ROW($T161)-ROW(T$15),0)</f>
        <v>6</v>
      </c>
      <c r="U161" s="124"/>
      <c r="V161" s="125" t="s">
        <v>663</v>
      </c>
      <c r="W161" s="123">
        <f ca="1">IF($C161="S",ROUND(IF(TIPOORCAMENTO="Proposto",ORÇAMENTO.CustoUnitario*(1+$AH161),ORÇAMENTO.PrecoUnitarioLicitado),15-13*$AF$10),0)</f>
        <v>0</v>
      </c>
      <c r="X161" s="126" cm="1">
        <f t="array" aca="1" ref="X161" ca="1">IF($C161="S",IF(OR(Import.TipoArredondamento&lt;&gt;"TransfereGOV",ACOMPANHAMENTO="BM"),VTOTAL1,SUM(OFFSET(CÁLCULO!$AA$15,ROW($X161)-ROW($X$15),1):OFFSET(CÁLCULO!$AL$15,ROW($X161)-ROW($X$15),-1))),IF($C161=0,0,ROUND(SomaAgrup,15-13*$AF$11)))</f>
        <v>0</v>
      </c>
      <c r="Y161" s="127" t="s">
        <v>752</v>
      </c>
      <c r="Z161" t="str">
        <f t="shared" ca="1" si="46"/>
        <v/>
      </c>
      <c r="AA161" s="128">
        <f ca="1">IF($C161="S",IF($Z161="CP",$X161,IF($Z161="RA",(($X161)*QCI!$AA$3),0)),SomaAgrup)</f>
        <v>0</v>
      </c>
      <c r="AB161" s="129">
        <f t="shared" ca="1" si="47"/>
        <v>0</v>
      </c>
      <c r="AC161" s="567" t="str">
        <f ca="1">IF($N161=""," ",
IF(AND($C161&lt;&gt;"S",OR($R161="",$R161="(digite a descrição aqui)")),"DESCRIÇÃO",
IF(AND($C161="S",OR($Q161&lt;&gt;0,$T161&gt;0,$U161&gt;0),$P161=0),"FONTE",
IF(AND($C161="S",$P161&lt;&gt;0,OR($T161&gt;0,$U161&gt;0),$Q161=0),"CÓDIGO",
IF(AND($C161="S",$P161&lt;&gt;0,$Q161&lt;&gt;0,$R161="(Código não identificado nas referências)"),"CÓDIGO N/ID",
IF(AND($C161="S",OR($R161="",$R161="(digite a descrição aqui)"),OR($Q161&lt;&gt;0,$T161&gt;0,$U161&gt;0)),"DESCRIÇÃO",
IF(AND($C161="S",$P161&lt;&gt;0,$Q161&lt;&gt;0,$S161=""),"UNIDADE",
IF(AND($C161="S",$P161&lt;&gt;0,$Q161&lt;&gt;0,$U161=0),"SEM CUSTO",
IF(AND(TIPOORCAMENTO="Licitado",$AL161=0,$AN161&gt;0),"SEM PREÇO",
IF(AND($C161="S",$P161&lt;&gt;0,$Q161&lt;&gt;0,$U161&gt;0,$V161=0),"BDI",
IF(OR(AND(TIPOORCAMENTO="Proposto",$AG161&lt;&gt;"",$AG161&gt;0,ORÇAMENTO.CustoUnitario&gt;$AG161),AND(TIPOORCAMENTO="LICITADO",ORÇAMENTO.PrecoUnitarioLicitado&gt;$AN161)),"ACIMA REF.",
IF(AND($C161="S",$P161&lt;&gt;0,$Q161&lt;&gt;0,$T161=0,$U161&gt;0),"QUANT.",
IF(AND(Import.TipoArredondamento="TransfereGOV",$L161="F",$C161="S",LEN($Q161)&gt;13),"Código &gt;13",
IF(AND(Import.TipoArredondamento="TransfereGOV",$L161="F",$C161&lt;&gt;"S",LEN($R161)&gt;100),"Descrição &gt;100",
IF(AND(Import.TipoArredondamento="TransfereGOV",$L161="F",$C161="S",LEN($R161)&gt;500),"Descrição &gt;500",
IF(AND(Import.TipoArredondamento="TransfereGOV",$L161="F",$C161="S",LEFT(TRIM(UPPER($P161)),6)&lt;&gt;"SINAPI",ISNA(VLOOKUP(TRIM(UPPER($S161)),ListaTgov.Unidades,1,FALSE))),"Unid. Não Disp",
" "))))))))))))))))</f>
        <v>SEM CUSTO</v>
      </c>
      <c r="AD161" t="str">
        <f ca="1">IF(C161&lt;=CRONO.NivelExibicao,MAX($AD$15:OFFSET(AD161,-1,0))+IF($C161&lt;&gt;1,1,MAX(1,COUNTIF(QCI!$A$13:$A$24,OFFSET($E161,-1,0)))),"")</f>
        <v/>
      </c>
      <c r="AE161" s="7" t="str">
        <f ca="1">IF(AND($C161="S",ORÇAMENTO.CodBarra&lt;&gt;""),IF(ORÇAMENTO.Fonte="",ORÇAMENTO.CodBarra,CONCATENATE(ORÇAMENTO.Fonte," ",ORÇAMENTO.CodBarra)))</f>
        <v>SINAPI 89782</v>
      </c>
      <c r="AF161" s="12" t="str">
        <f ca="1">IF(ISERROR(INDIRECT(ORÇAMENTO.BancoRef)),"(abra o arquivo 'Referência "&amp;Excel_BuiltIn_Database&amp;".xlsm)",IF(OR($C161&lt;&gt;"S",ORÇAMENTO.CodBarra=""),"(Sem Código)",IF(ISERROR(MATCH($AE161,INDIRECT(ORÇAMENTO.BancoRef),0)),"(Código não identificado nas referências)",MATCH($AE161,INDIRECT(ORÇAMENTO.BancoRef),0))))</f>
        <v>(abra o arquivo 'Referência 12-2024.xlsm)</v>
      </c>
      <c r="AG161" s="429">
        <f ca="1">ROUND(IF(DESONERACAO="sim",REFERENCIA.Desonerado,REFERENCIA.NaoDesonerado),2)</f>
        <v>0</v>
      </c>
      <c r="AH161" s="430">
        <f t="shared" ca="1" si="48"/>
        <v>0.31190000000000001</v>
      </c>
      <c r="AJ161" s="432">
        <v>6</v>
      </c>
      <c r="AL161" s="440"/>
      <c r="AM161" s="337">
        <f t="shared" ca="1" si="0"/>
        <v>0</v>
      </c>
      <c r="AN161" s="471">
        <f t="shared" ca="1" si="49"/>
        <v>0</v>
      </c>
    </row>
    <row r="162" spans="1:40" ht="38.25" x14ac:dyDescent="0.2">
      <c r="A162" t="str">
        <f t="shared" si="34"/>
        <v>S</v>
      </c>
      <c r="B162">
        <f t="shared" ca="1" si="35"/>
        <v>3</v>
      </c>
      <c r="C162" t="str">
        <f t="shared" ca="1" si="36"/>
        <v>S</v>
      </c>
      <c r="D162">
        <f t="shared" ca="1" si="37"/>
        <v>0</v>
      </c>
      <c r="E162">
        <f ca="1">IF($C162=1,OFFSET(E162,-1,0)+MAX(1,COUNTIF(QCI!$A$13:$A$24,OFFSET(ORÇAMENTO!E162,-1,0))),OFFSET(E162,-1,0))</f>
        <v>1</v>
      </c>
      <c r="F162">
        <f t="shared" ca="1" si="38"/>
        <v>11</v>
      </c>
      <c r="G162">
        <f t="shared" ca="1" si="39"/>
        <v>1</v>
      </c>
      <c r="H162">
        <f t="shared" ca="1" si="40"/>
        <v>0</v>
      </c>
      <c r="I162">
        <f t="shared" ca="1" si="41"/>
        <v>0</v>
      </c>
      <c r="J162">
        <f t="shared" ca="1" si="42"/>
        <v>0</v>
      </c>
      <c r="K162">
        <f ca="1">IF(OR($C162="S",$C162=0),0,MATCH(OFFSET($D162,0,$C162)+IF($C162&lt;&gt;1,1,COUNTIF(QCI!$A$13:$A$24,ORÇAMENTO!E162)),OFFSET($D162,1,$C162,ROW($C$405)-ROW($C162)),0))</f>
        <v>0</v>
      </c>
      <c r="L162" s="115" t="str">
        <f t="shared" ca="1" si="43"/>
        <v/>
      </c>
      <c r="M162" s="116" t="s">
        <v>706</v>
      </c>
      <c r="N162" s="117" t="str">
        <f t="shared" ca="1" si="44"/>
        <v>Serviço</v>
      </c>
      <c r="O162" s="118" t="str">
        <f t="shared" ca="1" si="45"/>
        <v>-</v>
      </c>
      <c r="P162" s="119" t="s">
        <v>751</v>
      </c>
      <c r="Q162" s="120" t="s">
        <v>1072</v>
      </c>
      <c r="R162" s="121" t="s">
        <v>1448</v>
      </c>
      <c r="S162" s="122" t="s">
        <v>639</v>
      </c>
      <c r="T162" s="123">
        <f ca="1">OFFSET(CÁLCULO!H$15,ROW($T162)-ROW(T$15),0)</f>
        <v>3</v>
      </c>
      <c r="U162" s="124"/>
      <c r="V162" s="125" t="s">
        <v>663</v>
      </c>
      <c r="W162" s="123">
        <f ca="1">IF($C162="S",ROUND(IF(TIPOORCAMENTO="Proposto",ORÇAMENTO.CustoUnitario*(1+$AH162),ORÇAMENTO.PrecoUnitarioLicitado),15-13*$AF$10),0)</f>
        <v>0</v>
      </c>
      <c r="X162" s="126" cm="1">
        <f t="array" aca="1" ref="X162" ca="1">IF($C162="S",IF(OR(Import.TipoArredondamento&lt;&gt;"TransfereGOV",ACOMPANHAMENTO="BM"),VTOTAL1,SUM(OFFSET(CÁLCULO!$AA$15,ROW($X162)-ROW($X$15),1):OFFSET(CÁLCULO!$AL$15,ROW($X162)-ROW($X$15),-1))),IF($C162=0,0,ROUND(SomaAgrup,15-13*$AF$11)))</f>
        <v>0</v>
      </c>
      <c r="Y162" s="127" t="s">
        <v>752</v>
      </c>
      <c r="Z162" t="str">
        <f t="shared" ca="1" si="46"/>
        <v/>
      </c>
      <c r="AA162" s="128">
        <f ca="1">IF($C162="S",IF($Z162="CP",$X162,IF($Z162="RA",(($X162)*QCI!$AA$3),0)),SomaAgrup)</f>
        <v>0</v>
      </c>
      <c r="AB162" s="129">
        <f t="shared" ca="1" si="47"/>
        <v>0</v>
      </c>
      <c r="AC162" s="567" t="str">
        <f ca="1">IF($N162=""," ",
IF(AND($C162&lt;&gt;"S",OR($R162="",$R162="(digite a descrição aqui)")),"DESCRIÇÃO",
IF(AND($C162="S",OR($Q162&lt;&gt;0,$T162&gt;0,$U162&gt;0),$P162=0),"FONTE",
IF(AND($C162="S",$P162&lt;&gt;0,OR($T162&gt;0,$U162&gt;0),$Q162=0),"CÓDIGO",
IF(AND($C162="S",$P162&lt;&gt;0,$Q162&lt;&gt;0,$R162="(Código não identificado nas referências)"),"CÓDIGO N/ID",
IF(AND($C162="S",OR($R162="",$R162="(digite a descrição aqui)"),OR($Q162&lt;&gt;0,$T162&gt;0,$U162&gt;0)),"DESCRIÇÃO",
IF(AND($C162="S",$P162&lt;&gt;0,$Q162&lt;&gt;0,$S162=""),"UNIDADE",
IF(AND($C162="S",$P162&lt;&gt;0,$Q162&lt;&gt;0,$U162=0),"SEM CUSTO",
IF(AND(TIPOORCAMENTO="Licitado",$AL162=0,$AN162&gt;0),"SEM PREÇO",
IF(AND($C162="S",$P162&lt;&gt;0,$Q162&lt;&gt;0,$U162&gt;0,$V162=0),"BDI",
IF(OR(AND(TIPOORCAMENTO="Proposto",$AG162&lt;&gt;"",$AG162&gt;0,ORÇAMENTO.CustoUnitario&gt;$AG162),AND(TIPOORCAMENTO="LICITADO",ORÇAMENTO.PrecoUnitarioLicitado&gt;$AN162)),"ACIMA REF.",
IF(AND($C162="S",$P162&lt;&gt;0,$Q162&lt;&gt;0,$T162=0,$U162&gt;0),"QUANT.",
IF(AND(Import.TipoArredondamento="TransfereGOV",$L162="F",$C162="S",LEN($Q162)&gt;13),"Código &gt;13",
IF(AND(Import.TipoArredondamento="TransfereGOV",$L162="F",$C162&lt;&gt;"S",LEN($R162)&gt;100),"Descrição &gt;100",
IF(AND(Import.TipoArredondamento="TransfereGOV",$L162="F",$C162="S",LEN($R162)&gt;500),"Descrição &gt;500",
IF(AND(Import.TipoArredondamento="TransfereGOV",$L162="F",$C162="S",LEFT(TRIM(UPPER($P162)),6)&lt;&gt;"SINAPI",ISNA(VLOOKUP(TRIM(UPPER($S162)),ListaTgov.Unidades,1,FALSE))),"Unid. Não Disp",
" "))))))))))))))))</f>
        <v>SEM CUSTO</v>
      </c>
      <c r="AD162" t="str">
        <f ca="1">IF(C162&lt;=CRONO.NivelExibicao,MAX($AD$15:OFFSET(AD162,-1,0))+IF($C162&lt;&gt;1,1,MAX(1,COUNTIF(QCI!$A$13:$A$24,OFFSET($E162,-1,0)))),"")</f>
        <v/>
      </c>
      <c r="AE162" s="7" t="str">
        <f ca="1">IF(AND($C162="S",ORÇAMENTO.CodBarra&lt;&gt;""),IF(ORÇAMENTO.Fonte="",ORÇAMENTO.CodBarra,CONCATENATE(ORÇAMENTO.Fonte," ",ORÇAMENTO.CodBarra)))</f>
        <v>SINAPI 89549</v>
      </c>
      <c r="AF162" s="12" t="str">
        <f ca="1">IF(ISERROR(INDIRECT(ORÇAMENTO.BancoRef)),"(abra o arquivo 'Referência "&amp;Excel_BuiltIn_Database&amp;".xlsm)",IF(OR($C162&lt;&gt;"S",ORÇAMENTO.CodBarra=""),"(Sem Código)",IF(ISERROR(MATCH($AE162,INDIRECT(ORÇAMENTO.BancoRef),0)),"(Código não identificado nas referências)",MATCH($AE162,INDIRECT(ORÇAMENTO.BancoRef),0))))</f>
        <v>(abra o arquivo 'Referência 12-2024.xlsm)</v>
      </c>
      <c r="AG162" s="429">
        <f ca="1">ROUND(IF(DESONERACAO="sim",REFERENCIA.Desonerado,REFERENCIA.NaoDesonerado),2)</f>
        <v>0</v>
      </c>
      <c r="AH162" s="430">
        <f t="shared" ca="1" si="48"/>
        <v>0.31190000000000001</v>
      </c>
      <c r="AJ162" s="432">
        <v>3</v>
      </c>
      <c r="AL162" s="440"/>
      <c r="AM162" s="337">
        <f t="shared" ca="1" si="0"/>
        <v>0</v>
      </c>
      <c r="AN162" s="471">
        <f t="shared" ca="1" si="49"/>
        <v>0</v>
      </c>
    </row>
    <row r="163" spans="1:40" ht="38.25" x14ac:dyDescent="0.2">
      <c r="A163" t="str">
        <f t="shared" si="34"/>
        <v>S</v>
      </c>
      <c r="B163">
        <f t="shared" ca="1" si="35"/>
        <v>3</v>
      </c>
      <c r="C163" t="str">
        <f t="shared" ca="1" si="36"/>
        <v>S</v>
      </c>
      <c r="D163">
        <f t="shared" ca="1" si="37"/>
        <v>0</v>
      </c>
      <c r="E163">
        <f ca="1">IF($C163=1,OFFSET(E163,-1,0)+MAX(1,COUNTIF(QCI!$A$13:$A$24,OFFSET(ORÇAMENTO!E163,-1,0))),OFFSET(E163,-1,0))</f>
        <v>1</v>
      </c>
      <c r="F163">
        <f t="shared" ca="1" si="38"/>
        <v>11</v>
      </c>
      <c r="G163">
        <f t="shared" ca="1" si="39"/>
        <v>1</v>
      </c>
      <c r="H163">
        <f t="shared" ca="1" si="40"/>
        <v>0</v>
      </c>
      <c r="I163">
        <f t="shared" ca="1" si="41"/>
        <v>0</v>
      </c>
      <c r="J163">
        <f t="shared" ca="1" si="42"/>
        <v>0</v>
      </c>
      <c r="K163">
        <f ca="1">IF(OR($C163="S",$C163=0),0,MATCH(OFFSET($D163,0,$C163)+IF($C163&lt;&gt;1,1,COUNTIF(QCI!$A$13:$A$24,ORÇAMENTO!E163)),OFFSET($D163,1,$C163,ROW($C$405)-ROW($C163)),0))</f>
        <v>0</v>
      </c>
      <c r="L163" s="115" t="str">
        <f t="shared" ca="1" si="43"/>
        <v/>
      </c>
      <c r="M163" s="116" t="s">
        <v>706</v>
      </c>
      <c r="N163" s="117" t="str">
        <f t="shared" ca="1" si="44"/>
        <v>Serviço</v>
      </c>
      <c r="O163" s="118" t="str">
        <f t="shared" ca="1" si="45"/>
        <v>-</v>
      </c>
      <c r="P163" s="119" t="s">
        <v>751</v>
      </c>
      <c r="Q163" s="120" t="s">
        <v>1073</v>
      </c>
      <c r="R163" s="121" t="s">
        <v>1449</v>
      </c>
      <c r="S163" s="122" t="s">
        <v>639</v>
      </c>
      <c r="T163" s="123">
        <f ca="1">OFFSET(CÁLCULO!H$15,ROW($T163)-ROW(T$15),0)</f>
        <v>12</v>
      </c>
      <c r="U163" s="124"/>
      <c r="V163" s="125" t="s">
        <v>663</v>
      </c>
      <c r="W163" s="123">
        <f ca="1">IF($C163="S",ROUND(IF(TIPOORCAMENTO="Proposto",ORÇAMENTO.CustoUnitario*(1+$AH163),ORÇAMENTO.PrecoUnitarioLicitado),15-13*$AF$10),0)</f>
        <v>0</v>
      </c>
      <c r="X163" s="126" cm="1">
        <f t="array" aca="1" ref="X163" ca="1">IF($C163="S",IF(OR(Import.TipoArredondamento&lt;&gt;"TransfereGOV",ACOMPANHAMENTO="BM"),VTOTAL1,SUM(OFFSET(CÁLCULO!$AA$15,ROW($X163)-ROW($X$15),1):OFFSET(CÁLCULO!$AL$15,ROW($X163)-ROW($X$15),-1))),IF($C163=0,0,ROUND(SomaAgrup,15-13*$AF$11)))</f>
        <v>0</v>
      </c>
      <c r="Y163" s="127" t="s">
        <v>752</v>
      </c>
      <c r="Z163" t="str">
        <f t="shared" ca="1" si="46"/>
        <v/>
      </c>
      <c r="AA163" s="128">
        <f ca="1">IF($C163="S",IF($Z163="CP",$X163,IF($Z163="RA",(($X163)*QCI!$AA$3),0)),SomaAgrup)</f>
        <v>0</v>
      </c>
      <c r="AB163" s="129">
        <f t="shared" ca="1" si="47"/>
        <v>0</v>
      </c>
      <c r="AC163" s="567" t="str">
        <f ca="1">IF($N163=""," ",
IF(AND($C163&lt;&gt;"S",OR($R163="",$R163="(digite a descrição aqui)")),"DESCRIÇÃO",
IF(AND($C163="S",OR($Q163&lt;&gt;0,$T163&gt;0,$U163&gt;0),$P163=0),"FONTE",
IF(AND($C163="S",$P163&lt;&gt;0,OR($T163&gt;0,$U163&gt;0),$Q163=0),"CÓDIGO",
IF(AND($C163="S",$P163&lt;&gt;0,$Q163&lt;&gt;0,$R163="(Código não identificado nas referências)"),"CÓDIGO N/ID",
IF(AND($C163="S",OR($R163="",$R163="(digite a descrição aqui)"),OR($Q163&lt;&gt;0,$T163&gt;0,$U163&gt;0)),"DESCRIÇÃO",
IF(AND($C163="S",$P163&lt;&gt;0,$Q163&lt;&gt;0,$S163=""),"UNIDADE",
IF(AND($C163="S",$P163&lt;&gt;0,$Q163&lt;&gt;0,$U163=0),"SEM CUSTO",
IF(AND(TIPOORCAMENTO="Licitado",$AL163=0,$AN163&gt;0),"SEM PREÇO",
IF(AND($C163="S",$P163&lt;&gt;0,$Q163&lt;&gt;0,$U163&gt;0,$V163=0),"BDI",
IF(OR(AND(TIPOORCAMENTO="Proposto",$AG163&lt;&gt;"",$AG163&gt;0,ORÇAMENTO.CustoUnitario&gt;$AG163),AND(TIPOORCAMENTO="LICITADO",ORÇAMENTO.PrecoUnitarioLicitado&gt;$AN163)),"ACIMA REF.",
IF(AND($C163="S",$P163&lt;&gt;0,$Q163&lt;&gt;0,$T163=0,$U163&gt;0),"QUANT.",
IF(AND(Import.TipoArredondamento="TransfereGOV",$L163="F",$C163="S",LEN($Q163)&gt;13),"Código &gt;13",
IF(AND(Import.TipoArredondamento="TransfereGOV",$L163="F",$C163&lt;&gt;"S",LEN($R163)&gt;100),"Descrição &gt;100",
IF(AND(Import.TipoArredondamento="TransfereGOV",$L163="F",$C163="S",LEN($R163)&gt;500),"Descrição &gt;500",
IF(AND(Import.TipoArredondamento="TransfereGOV",$L163="F",$C163="S",LEFT(TRIM(UPPER($P163)),6)&lt;&gt;"SINAPI",ISNA(VLOOKUP(TRIM(UPPER($S163)),ListaTgov.Unidades,1,FALSE))),"Unid. Não Disp",
" "))))))))))))))))</f>
        <v>SEM CUSTO</v>
      </c>
      <c r="AD163" t="str">
        <f ca="1">IF(C163&lt;=CRONO.NivelExibicao,MAX($AD$15:OFFSET(AD163,-1,0))+IF($C163&lt;&gt;1,1,MAX(1,COUNTIF(QCI!$A$13:$A$24,OFFSET($E163,-1,0)))),"")</f>
        <v/>
      </c>
      <c r="AE163" s="7" t="str">
        <f ca="1">IF(AND($C163="S",ORÇAMENTO.CodBarra&lt;&gt;""),IF(ORÇAMENTO.Fonte="",ORÇAMENTO.CodBarra,CONCATENATE(ORÇAMENTO.Fonte," ",ORÇAMENTO.CodBarra)))</f>
        <v>SINAPI 104348</v>
      </c>
      <c r="AF163" s="12" t="str">
        <f ca="1">IF(ISERROR(INDIRECT(ORÇAMENTO.BancoRef)),"(abra o arquivo 'Referência "&amp;Excel_BuiltIn_Database&amp;".xlsm)",IF(OR($C163&lt;&gt;"S",ORÇAMENTO.CodBarra=""),"(Sem Código)",IF(ISERROR(MATCH($AE163,INDIRECT(ORÇAMENTO.BancoRef),0)),"(Código não identificado nas referências)",MATCH($AE163,INDIRECT(ORÇAMENTO.BancoRef),0))))</f>
        <v>(abra o arquivo 'Referência 12-2024.xlsm)</v>
      </c>
      <c r="AG163" s="429">
        <f ca="1">ROUND(IF(DESONERACAO="sim",REFERENCIA.Desonerado,REFERENCIA.NaoDesonerado),2)</f>
        <v>0</v>
      </c>
      <c r="AH163" s="430">
        <f t="shared" ca="1" si="48"/>
        <v>0.31190000000000001</v>
      </c>
      <c r="AJ163" s="432">
        <v>12</v>
      </c>
      <c r="AL163" s="440"/>
      <c r="AM163" s="337">
        <f t="shared" ca="1" si="0"/>
        <v>0</v>
      </c>
      <c r="AN163" s="471">
        <f t="shared" ca="1" si="49"/>
        <v>0</v>
      </c>
    </row>
    <row r="164" spans="1:40" ht="38.25" x14ac:dyDescent="0.2">
      <c r="A164" t="str">
        <f t="shared" si="34"/>
        <v>S</v>
      </c>
      <c r="B164">
        <f t="shared" ca="1" si="35"/>
        <v>3</v>
      </c>
      <c r="C164" t="str">
        <f t="shared" ca="1" si="36"/>
        <v>S</v>
      </c>
      <c r="D164">
        <f t="shared" ca="1" si="37"/>
        <v>0</v>
      </c>
      <c r="E164">
        <f ca="1">IF($C164=1,OFFSET(E164,-1,0)+MAX(1,COUNTIF(QCI!$A$13:$A$24,OFFSET(ORÇAMENTO!E164,-1,0))),OFFSET(E164,-1,0))</f>
        <v>1</v>
      </c>
      <c r="F164">
        <f t="shared" ca="1" si="38"/>
        <v>11</v>
      </c>
      <c r="G164">
        <f t="shared" ca="1" si="39"/>
        <v>1</v>
      </c>
      <c r="H164">
        <f t="shared" ca="1" si="40"/>
        <v>0</v>
      </c>
      <c r="I164">
        <f t="shared" ca="1" si="41"/>
        <v>0</v>
      </c>
      <c r="J164">
        <f t="shared" ca="1" si="42"/>
        <v>0</v>
      </c>
      <c r="K164">
        <f ca="1">IF(OR($C164="S",$C164=0),0,MATCH(OFFSET($D164,0,$C164)+IF($C164&lt;&gt;1,1,COUNTIF(QCI!$A$13:$A$24,ORÇAMENTO!E164)),OFFSET($D164,1,$C164,ROW($C$405)-ROW($C164)),0))</f>
        <v>0</v>
      </c>
      <c r="L164" s="115" t="str">
        <f t="shared" ca="1" si="43"/>
        <v/>
      </c>
      <c r="M164" s="116" t="s">
        <v>706</v>
      </c>
      <c r="N164" s="117" t="str">
        <f t="shared" ca="1" si="44"/>
        <v>Serviço</v>
      </c>
      <c r="O164" s="118" t="str">
        <f t="shared" ca="1" si="45"/>
        <v>-</v>
      </c>
      <c r="P164" s="119" t="s">
        <v>751</v>
      </c>
      <c r="Q164" s="120" t="s">
        <v>1074</v>
      </c>
      <c r="R164" s="121" t="s">
        <v>1450</v>
      </c>
      <c r="S164" s="122" t="s">
        <v>639</v>
      </c>
      <c r="T164" s="123">
        <f ca="1">OFFSET(CÁLCULO!H$15,ROW($T164)-ROW(T$15),0)</f>
        <v>5</v>
      </c>
      <c r="U164" s="124"/>
      <c r="V164" s="125" t="s">
        <v>663</v>
      </c>
      <c r="W164" s="123">
        <f ca="1">IF($C164="S",ROUND(IF(TIPOORCAMENTO="Proposto",ORÇAMENTO.CustoUnitario*(1+$AH164),ORÇAMENTO.PrecoUnitarioLicitado),15-13*$AF$10),0)</f>
        <v>0</v>
      </c>
      <c r="X164" s="126" cm="1">
        <f t="array" aca="1" ref="X164" ca="1">IF($C164="S",IF(OR(Import.TipoArredondamento&lt;&gt;"TransfereGOV",ACOMPANHAMENTO="BM"),VTOTAL1,SUM(OFFSET(CÁLCULO!$AA$15,ROW($X164)-ROW($X$15),1):OFFSET(CÁLCULO!$AL$15,ROW($X164)-ROW($X$15),-1))),IF($C164=0,0,ROUND(SomaAgrup,15-13*$AF$11)))</f>
        <v>0</v>
      </c>
      <c r="Y164" s="127" t="s">
        <v>752</v>
      </c>
      <c r="Z164" t="str">
        <f t="shared" ca="1" si="46"/>
        <v/>
      </c>
      <c r="AA164" s="128">
        <f ca="1">IF($C164="S",IF($Z164="CP",$X164,IF($Z164="RA",(($X164)*QCI!$AA$3),0)),SomaAgrup)</f>
        <v>0</v>
      </c>
      <c r="AB164" s="129">
        <f t="shared" ca="1" si="47"/>
        <v>0</v>
      </c>
      <c r="AC164" s="567" t="str">
        <f ca="1">IF($N164=""," ",
IF(AND($C164&lt;&gt;"S",OR($R164="",$R164="(digite a descrição aqui)")),"DESCRIÇÃO",
IF(AND($C164="S",OR($Q164&lt;&gt;0,$T164&gt;0,$U164&gt;0),$P164=0),"FONTE",
IF(AND($C164="S",$P164&lt;&gt;0,OR($T164&gt;0,$U164&gt;0),$Q164=0),"CÓDIGO",
IF(AND($C164="S",$P164&lt;&gt;0,$Q164&lt;&gt;0,$R164="(Código não identificado nas referências)"),"CÓDIGO N/ID",
IF(AND($C164="S",OR($R164="",$R164="(digite a descrição aqui)"),OR($Q164&lt;&gt;0,$T164&gt;0,$U164&gt;0)),"DESCRIÇÃO",
IF(AND($C164="S",$P164&lt;&gt;0,$Q164&lt;&gt;0,$S164=""),"UNIDADE",
IF(AND($C164="S",$P164&lt;&gt;0,$Q164&lt;&gt;0,$U164=0),"SEM CUSTO",
IF(AND(TIPOORCAMENTO="Licitado",$AL164=0,$AN164&gt;0),"SEM PREÇO",
IF(AND($C164="S",$P164&lt;&gt;0,$Q164&lt;&gt;0,$U164&gt;0,$V164=0),"BDI",
IF(OR(AND(TIPOORCAMENTO="Proposto",$AG164&lt;&gt;"",$AG164&gt;0,ORÇAMENTO.CustoUnitario&gt;$AG164),AND(TIPOORCAMENTO="LICITADO",ORÇAMENTO.PrecoUnitarioLicitado&gt;$AN164)),"ACIMA REF.",
IF(AND($C164="S",$P164&lt;&gt;0,$Q164&lt;&gt;0,$T164=0,$U164&gt;0),"QUANT.",
IF(AND(Import.TipoArredondamento="TransfereGOV",$L164="F",$C164="S",LEN($Q164)&gt;13),"Código &gt;13",
IF(AND(Import.TipoArredondamento="TransfereGOV",$L164="F",$C164&lt;&gt;"S",LEN($R164)&gt;100),"Descrição &gt;100",
IF(AND(Import.TipoArredondamento="TransfereGOV",$L164="F",$C164="S",LEN($R164)&gt;500),"Descrição &gt;500",
IF(AND(Import.TipoArredondamento="TransfereGOV",$L164="F",$C164="S",LEFT(TRIM(UPPER($P164)),6)&lt;&gt;"SINAPI",ISNA(VLOOKUP(TRIM(UPPER($S164)),ListaTgov.Unidades,1,FALSE))),"Unid. Não Disp",
" "))))))))))))))))</f>
        <v>SEM CUSTO</v>
      </c>
      <c r="AD164" t="str">
        <f ca="1">IF(C164&lt;=CRONO.NivelExibicao,MAX($AD$15:OFFSET(AD164,-1,0))+IF($C164&lt;&gt;1,1,MAX(1,COUNTIF(QCI!$A$13:$A$24,OFFSET($E164,-1,0)))),"")</f>
        <v/>
      </c>
      <c r="AE164" s="7" t="str">
        <f ca="1">IF(AND($C164="S",ORÇAMENTO.CodBarra&lt;&gt;""),IF(ORÇAMENTO.Fonte="",ORÇAMENTO.CodBarra,CONCATENATE(ORÇAMENTO.Fonte," ",ORÇAMENTO.CodBarra)))</f>
        <v>SINAPI 104351</v>
      </c>
      <c r="AF164" s="12" t="str">
        <f ca="1">IF(ISERROR(INDIRECT(ORÇAMENTO.BancoRef)),"(abra o arquivo 'Referência "&amp;Excel_BuiltIn_Database&amp;".xlsm)",IF(OR($C164&lt;&gt;"S",ORÇAMENTO.CodBarra=""),"(Sem Código)",IF(ISERROR(MATCH($AE164,INDIRECT(ORÇAMENTO.BancoRef),0)),"(Código não identificado nas referências)",MATCH($AE164,INDIRECT(ORÇAMENTO.BancoRef),0))))</f>
        <v>(abra o arquivo 'Referência 12-2024.xlsm)</v>
      </c>
      <c r="AG164" s="429">
        <f ca="1">ROUND(IF(DESONERACAO="sim",REFERENCIA.Desonerado,REFERENCIA.NaoDesonerado),2)</f>
        <v>0</v>
      </c>
      <c r="AH164" s="430">
        <f t="shared" ca="1" si="48"/>
        <v>0.31190000000000001</v>
      </c>
      <c r="AJ164" s="432">
        <v>5</v>
      </c>
      <c r="AL164" s="440"/>
      <c r="AM164" s="337">
        <f t="shared" ca="1" si="0"/>
        <v>0</v>
      </c>
      <c r="AN164" s="471">
        <f t="shared" ca="1" si="49"/>
        <v>0</v>
      </c>
    </row>
    <row r="165" spans="1:40" ht="38.25" x14ac:dyDescent="0.2">
      <c r="A165" t="str">
        <f t="shared" si="34"/>
        <v>S</v>
      </c>
      <c r="B165">
        <f t="shared" ca="1" si="35"/>
        <v>3</v>
      </c>
      <c r="C165" t="str">
        <f t="shared" ca="1" si="36"/>
        <v>S</v>
      </c>
      <c r="D165">
        <f t="shared" ca="1" si="37"/>
        <v>0</v>
      </c>
      <c r="E165">
        <f ca="1">IF($C165=1,OFFSET(E165,-1,0)+MAX(1,COUNTIF(QCI!$A$13:$A$24,OFFSET(ORÇAMENTO!E165,-1,0))),OFFSET(E165,-1,0))</f>
        <v>1</v>
      </c>
      <c r="F165">
        <f t="shared" ca="1" si="38"/>
        <v>11</v>
      </c>
      <c r="G165">
        <f t="shared" ca="1" si="39"/>
        <v>1</v>
      </c>
      <c r="H165">
        <f t="shared" ca="1" si="40"/>
        <v>0</v>
      </c>
      <c r="I165">
        <f t="shared" ca="1" si="41"/>
        <v>0</v>
      </c>
      <c r="J165">
        <f t="shared" ca="1" si="42"/>
        <v>0</v>
      </c>
      <c r="K165">
        <f ca="1">IF(OR($C165="S",$C165=0),0,MATCH(OFFSET($D165,0,$C165)+IF($C165&lt;&gt;1,1,COUNTIF(QCI!$A$13:$A$24,ORÇAMENTO!E165)),OFFSET($D165,1,$C165,ROW($C$405)-ROW($C165)),0))</f>
        <v>0</v>
      </c>
      <c r="L165" s="115" t="str">
        <f t="shared" ca="1" si="43"/>
        <v/>
      </c>
      <c r="M165" s="116" t="s">
        <v>706</v>
      </c>
      <c r="N165" s="117" t="str">
        <f t="shared" ca="1" si="44"/>
        <v>Serviço</v>
      </c>
      <c r="O165" s="118" t="str">
        <f t="shared" ca="1" si="45"/>
        <v>-</v>
      </c>
      <c r="P165" s="119" t="s">
        <v>751</v>
      </c>
      <c r="Q165" s="120" t="s">
        <v>1075</v>
      </c>
      <c r="R165" s="121" t="s">
        <v>1451</v>
      </c>
      <c r="S165" s="122" t="s">
        <v>639</v>
      </c>
      <c r="T165" s="123">
        <f ca="1">OFFSET(CÁLCULO!H$15,ROW($T165)-ROW(T$15),0)</f>
        <v>6</v>
      </c>
      <c r="U165" s="124"/>
      <c r="V165" s="125" t="s">
        <v>663</v>
      </c>
      <c r="W165" s="123">
        <f ca="1">IF($C165="S",ROUND(IF(TIPOORCAMENTO="Proposto",ORÇAMENTO.CustoUnitario*(1+$AH165),ORÇAMENTO.PrecoUnitarioLicitado),15-13*$AF$10),0)</f>
        <v>0</v>
      </c>
      <c r="X165" s="126" cm="1">
        <f t="array" aca="1" ref="X165" ca="1">IF($C165="S",IF(OR(Import.TipoArredondamento&lt;&gt;"TransfereGOV",ACOMPANHAMENTO="BM"),VTOTAL1,SUM(OFFSET(CÁLCULO!$AA$15,ROW($X165)-ROW($X$15),1):OFFSET(CÁLCULO!$AL$15,ROW($X165)-ROW($X$15),-1))),IF($C165=0,0,ROUND(SomaAgrup,15-13*$AF$11)))</f>
        <v>0</v>
      </c>
      <c r="Y165" s="127" t="s">
        <v>752</v>
      </c>
      <c r="Z165" t="str">
        <f t="shared" ca="1" si="46"/>
        <v/>
      </c>
      <c r="AA165" s="128">
        <f ca="1">IF($C165="S",IF($Z165="CP",$X165,IF($Z165="RA",(($X165)*QCI!$AA$3),0)),SomaAgrup)</f>
        <v>0</v>
      </c>
      <c r="AB165" s="129">
        <f t="shared" ca="1" si="47"/>
        <v>0</v>
      </c>
      <c r="AC165" s="567" t="str">
        <f ca="1">IF($N165=""," ",
IF(AND($C165&lt;&gt;"S",OR($R165="",$R165="(digite a descrição aqui)")),"DESCRIÇÃO",
IF(AND($C165="S",OR($Q165&lt;&gt;0,$T165&gt;0,$U165&gt;0),$P165=0),"FONTE",
IF(AND($C165="S",$P165&lt;&gt;0,OR($T165&gt;0,$U165&gt;0),$Q165=0),"CÓDIGO",
IF(AND($C165="S",$P165&lt;&gt;0,$Q165&lt;&gt;0,$R165="(Código não identificado nas referências)"),"CÓDIGO N/ID",
IF(AND($C165="S",OR($R165="",$R165="(digite a descrição aqui)"),OR($Q165&lt;&gt;0,$T165&gt;0,$U165&gt;0)),"DESCRIÇÃO",
IF(AND($C165="S",$P165&lt;&gt;0,$Q165&lt;&gt;0,$S165=""),"UNIDADE",
IF(AND($C165="S",$P165&lt;&gt;0,$Q165&lt;&gt;0,$U165=0),"SEM CUSTO",
IF(AND(TIPOORCAMENTO="Licitado",$AL165=0,$AN165&gt;0),"SEM PREÇO",
IF(AND($C165="S",$P165&lt;&gt;0,$Q165&lt;&gt;0,$U165&gt;0,$V165=0),"BDI",
IF(OR(AND(TIPOORCAMENTO="Proposto",$AG165&lt;&gt;"",$AG165&gt;0,ORÇAMENTO.CustoUnitario&gt;$AG165),AND(TIPOORCAMENTO="LICITADO",ORÇAMENTO.PrecoUnitarioLicitado&gt;$AN165)),"ACIMA REF.",
IF(AND($C165="S",$P165&lt;&gt;0,$Q165&lt;&gt;0,$T165=0,$U165&gt;0),"QUANT.",
IF(AND(Import.TipoArredondamento="TransfereGOV",$L165="F",$C165="S",LEN($Q165)&gt;13),"Código &gt;13",
IF(AND(Import.TipoArredondamento="TransfereGOV",$L165="F",$C165&lt;&gt;"S",LEN($R165)&gt;100),"Descrição &gt;100",
IF(AND(Import.TipoArredondamento="TransfereGOV",$L165="F",$C165="S",LEN($R165)&gt;500),"Descrição &gt;500",
IF(AND(Import.TipoArredondamento="TransfereGOV",$L165="F",$C165="S",LEFT(TRIM(UPPER($P165)),6)&lt;&gt;"SINAPI",ISNA(VLOOKUP(TRIM(UPPER($S165)),ListaTgov.Unidades,1,FALSE))),"Unid. Não Disp",
" "))))))))))))))))</f>
        <v>SEM CUSTO</v>
      </c>
      <c r="AD165" t="str">
        <f ca="1">IF(C165&lt;=CRONO.NivelExibicao,MAX($AD$15:OFFSET(AD165,-1,0))+IF($C165&lt;&gt;1,1,MAX(1,COUNTIF(QCI!$A$13:$A$24,OFFSET($E165,-1,0)))),"")</f>
        <v/>
      </c>
      <c r="AE165" s="7" t="str">
        <f ca="1">IF(AND($C165="S",ORÇAMENTO.CodBarra&lt;&gt;""),IF(ORÇAMENTO.Fonte="",ORÇAMENTO.CodBarra,CONCATENATE(ORÇAMENTO.Fonte," ",ORÇAMENTO.CodBarra)))</f>
        <v>SINAPI 104344</v>
      </c>
      <c r="AF165" s="12" t="str">
        <f ca="1">IF(ISERROR(INDIRECT(ORÇAMENTO.BancoRef)),"(abra o arquivo 'Referência "&amp;Excel_BuiltIn_Database&amp;".xlsm)",IF(OR($C165&lt;&gt;"S",ORÇAMENTO.CodBarra=""),"(Sem Código)",IF(ISERROR(MATCH($AE165,INDIRECT(ORÇAMENTO.BancoRef),0)),"(Código não identificado nas referências)",MATCH($AE165,INDIRECT(ORÇAMENTO.BancoRef),0))))</f>
        <v>(abra o arquivo 'Referência 12-2024.xlsm)</v>
      </c>
      <c r="AG165" s="429">
        <f ca="1">ROUND(IF(DESONERACAO="sim",REFERENCIA.Desonerado,REFERENCIA.NaoDesonerado),2)</f>
        <v>0</v>
      </c>
      <c r="AH165" s="430">
        <f t="shared" ca="1" si="48"/>
        <v>0.31190000000000001</v>
      </c>
      <c r="AJ165" s="432">
        <v>6</v>
      </c>
      <c r="AL165" s="440"/>
      <c r="AM165" s="337">
        <f t="shared" ca="1" si="0"/>
        <v>0</v>
      </c>
      <c r="AN165" s="471">
        <f t="shared" ca="1" si="49"/>
        <v>0</v>
      </c>
    </row>
    <row r="166" spans="1:40" ht="38.25" x14ac:dyDescent="0.2">
      <c r="A166" t="str">
        <f t="shared" si="34"/>
        <v>S</v>
      </c>
      <c r="B166">
        <f t="shared" ca="1" si="35"/>
        <v>3</v>
      </c>
      <c r="C166" t="str">
        <f t="shared" ca="1" si="36"/>
        <v>S</v>
      </c>
      <c r="D166">
        <f t="shared" ca="1" si="37"/>
        <v>0</v>
      </c>
      <c r="E166">
        <f ca="1">IF($C166=1,OFFSET(E166,-1,0)+MAX(1,COUNTIF(QCI!$A$13:$A$24,OFFSET(ORÇAMENTO!E166,-1,0))),OFFSET(E166,-1,0))</f>
        <v>1</v>
      </c>
      <c r="F166">
        <f t="shared" ca="1" si="38"/>
        <v>11</v>
      </c>
      <c r="G166">
        <f t="shared" ca="1" si="39"/>
        <v>1</v>
      </c>
      <c r="H166">
        <f t="shared" ca="1" si="40"/>
        <v>0</v>
      </c>
      <c r="I166">
        <f t="shared" ca="1" si="41"/>
        <v>0</v>
      </c>
      <c r="J166">
        <f t="shared" ca="1" si="42"/>
        <v>0</v>
      </c>
      <c r="K166">
        <f ca="1">IF(OR($C166="S",$C166=0),0,MATCH(OFFSET($D166,0,$C166)+IF($C166&lt;&gt;1,1,COUNTIF(QCI!$A$13:$A$24,ORÇAMENTO!E166)),OFFSET($D166,1,$C166,ROW($C$405)-ROW($C166)),0))</f>
        <v>0</v>
      </c>
      <c r="L166" s="115" t="str">
        <f t="shared" ca="1" si="43"/>
        <v/>
      </c>
      <c r="M166" s="116" t="s">
        <v>706</v>
      </c>
      <c r="N166" s="117" t="str">
        <f t="shared" ca="1" si="44"/>
        <v>Serviço</v>
      </c>
      <c r="O166" s="118" t="str">
        <f t="shared" ca="1" si="45"/>
        <v>-</v>
      </c>
      <c r="P166" s="119" t="s">
        <v>751</v>
      </c>
      <c r="Q166" s="120" t="s">
        <v>1075</v>
      </c>
      <c r="R166" s="121" t="s">
        <v>1451</v>
      </c>
      <c r="S166" s="122" t="s">
        <v>639</v>
      </c>
      <c r="T166" s="123">
        <f ca="1">OFFSET(CÁLCULO!H$15,ROW($T166)-ROW(T$15),0)</f>
        <v>5</v>
      </c>
      <c r="U166" s="124"/>
      <c r="V166" s="125" t="s">
        <v>663</v>
      </c>
      <c r="W166" s="123">
        <f ca="1">IF($C166="S",ROUND(IF(TIPOORCAMENTO="Proposto",ORÇAMENTO.CustoUnitario*(1+$AH166),ORÇAMENTO.PrecoUnitarioLicitado),15-13*$AF$10),0)</f>
        <v>0</v>
      </c>
      <c r="X166" s="126" cm="1">
        <f t="array" aca="1" ref="X166" ca="1">IF($C166="S",IF(OR(Import.TipoArredondamento&lt;&gt;"TransfereGOV",ACOMPANHAMENTO="BM"),VTOTAL1,SUM(OFFSET(CÁLCULO!$AA$15,ROW($X166)-ROW($X$15),1):OFFSET(CÁLCULO!$AL$15,ROW($X166)-ROW($X$15),-1))),IF($C166=0,0,ROUND(SomaAgrup,15-13*$AF$11)))</f>
        <v>0</v>
      </c>
      <c r="Y166" s="127" t="s">
        <v>752</v>
      </c>
      <c r="Z166" t="str">
        <f t="shared" ca="1" si="46"/>
        <v/>
      </c>
      <c r="AA166" s="128">
        <f ca="1">IF($C166="S",IF($Z166="CP",$X166,IF($Z166="RA",(($X166)*QCI!$AA$3),0)),SomaAgrup)</f>
        <v>0</v>
      </c>
      <c r="AB166" s="129">
        <f t="shared" ca="1" si="47"/>
        <v>0</v>
      </c>
      <c r="AC166" s="567" t="str">
        <f ca="1">IF($N166=""," ",
IF(AND($C166&lt;&gt;"S",OR($R166="",$R166="(digite a descrição aqui)")),"DESCRIÇÃO",
IF(AND($C166="S",OR($Q166&lt;&gt;0,$T166&gt;0,$U166&gt;0),$P166=0),"FONTE",
IF(AND($C166="S",$P166&lt;&gt;0,OR($T166&gt;0,$U166&gt;0),$Q166=0),"CÓDIGO",
IF(AND($C166="S",$P166&lt;&gt;0,$Q166&lt;&gt;0,$R166="(Código não identificado nas referências)"),"CÓDIGO N/ID",
IF(AND($C166="S",OR($R166="",$R166="(digite a descrição aqui)"),OR($Q166&lt;&gt;0,$T166&gt;0,$U166&gt;0)),"DESCRIÇÃO",
IF(AND($C166="S",$P166&lt;&gt;0,$Q166&lt;&gt;0,$S166=""),"UNIDADE",
IF(AND($C166="S",$P166&lt;&gt;0,$Q166&lt;&gt;0,$U166=0),"SEM CUSTO",
IF(AND(TIPOORCAMENTO="Licitado",$AL166=0,$AN166&gt;0),"SEM PREÇO",
IF(AND($C166="S",$P166&lt;&gt;0,$Q166&lt;&gt;0,$U166&gt;0,$V166=0),"BDI",
IF(OR(AND(TIPOORCAMENTO="Proposto",$AG166&lt;&gt;"",$AG166&gt;0,ORÇAMENTO.CustoUnitario&gt;$AG166),AND(TIPOORCAMENTO="LICITADO",ORÇAMENTO.PrecoUnitarioLicitado&gt;$AN166)),"ACIMA REF.",
IF(AND($C166="S",$P166&lt;&gt;0,$Q166&lt;&gt;0,$T166=0,$U166&gt;0),"QUANT.",
IF(AND(Import.TipoArredondamento="TransfereGOV",$L166="F",$C166="S",LEN($Q166)&gt;13),"Código &gt;13",
IF(AND(Import.TipoArredondamento="TransfereGOV",$L166="F",$C166&lt;&gt;"S",LEN($R166)&gt;100),"Descrição &gt;100",
IF(AND(Import.TipoArredondamento="TransfereGOV",$L166="F",$C166="S",LEN($R166)&gt;500),"Descrição &gt;500",
IF(AND(Import.TipoArredondamento="TransfereGOV",$L166="F",$C166="S",LEFT(TRIM(UPPER($P166)),6)&lt;&gt;"SINAPI",ISNA(VLOOKUP(TRIM(UPPER($S166)),ListaTgov.Unidades,1,FALSE))),"Unid. Não Disp",
" "))))))))))))))))</f>
        <v>SEM CUSTO</v>
      </c>
      <c r="AD166" t="str">
        <f ca="1">IF(C166&lt;=CRONO.NivelExibicao,MAX($AD$15:OFFSET(AD166,-1,0))+IF($C166&lt;&gt;1,1,MAX(1,COUNTIF(QCI!$A$13:$A$24,OFFSET($E166,-1,0)))),"")</f>
        <v/>
      </c>
      <c r="AE166" s="7" t="str">
        <f ca="1">IF(AND($C166="S",ORÇAMENTO.CodBarra&lt;&gt;""),IF(ORÇAMENTO.Fonte="",ORÇAMENTO.CodBarra,CONCATENATE(ORÇAMENTO.Fonte," ",ORÇAMENTO.CodBarra)))</f>
        <v>SINAPI 104344</v>
      </c>
      <c r="AF166" s="12" t="str">
        <f ca="1">IF(ISERROR(INDIRECT(ORÇAMENTO.BancoRef)),"(abra o arquivo 'Referência "&amp;Excel_BuiltIn_Database&amp;".xlsm)",IF(OR($C166&lt;&gt;"S",ORÇAMENTO.CodBarra=""),"(Sem Código)",IF(ISERROR(MATCH($AE166,INDIRECT(ORÇAMENTO.BancoRef),0)),"(Código não identificado nas referências)",MATCH($AE166,INDIRECT(ORÇAMENTO.BancoRef),0))))</f>
        <v>(abra o arquivo 'Referência 12-2024.xlsm)</v>
      </c>
      <c r="AG166" s="429">
        <f ca="1">ROUND(IF(DESONERACAO="sim",REFERENCIA.Desonerado,REFERENCIA.NaoDesonerado),2)</f>
        <v>0</v>
      </c>
      <c r="AH166" s="430">
        <f t="shared" ca="1" si="48"/>
        <v>0.31190000000000001</v>
      </c>
      <c r="AJ166" s="432">
        <v>5</v>
      </c>
      <c r="AL166" s="440"/>
      <c r="AM166" s="337">
        <f t="shared" ca="1" si="0"/>
        <v>0</v>
      </c>
      <c r="AN166" s="471">
        <f t="shared" ca="1" si="49"/>
        <v>0</v>
      </c>
    </row>
    <row r="167" spans="1:40" ht="38.25" x14ac:dyDescent="0.2">
      <c r="A167" t="str">
        <f t="shared" si="34"/>
        <v>S</v>
      </c>
      <c r="B167">
        <f t="shared" ca="1" si="35"/>
        <v>3</v>
      </c>
      <c r="C167" t="str">
        <f t="shared" ca="1" si="36"/>
        <v>S</v>
      </c>
      <c r="D167">
        <f t="shared" ca="1" si="37"/>
        <v>0</v>
      </c>
      <c r="E167">
        <f ca="1">IF($C167=1,OFFSET(E167,-1,0)+MAX(1,COUNTIF(QCI!$A$13:$A$24,OFFSET(ORÇAMENTO!E167,-1,0))),OFFSET(E167,-1,0))</f>
        <v>1</v>
      </c>
      <c r="F167">
        <f t="shared" ca="1" si="38"/>
        <v>11</v>
      </c>
      <c r="G167">
        <f t="shared" ca="1" si="39"/>
        <v>1</v>
      </c>
      <c r="H167">
        <f t="shared" ca="1" si="40"/>
        <v>0</v>
      </c>
      <c r="I167">
        <f t="shared" ca="1" si="41"/>
        <v>0</v>
      </c>
      <c r="J167">
        <f t="shared" ca="1" si="42"/>
        <v>0</v>
      </c>
      <c r="K167">
        <f ca="1">IF(OR($C167="S",$C167=0),0,MATCH(OFFSET($D167,0,$C167)+IF($C167&lt;&gt;1,1,COUNTIF(QCI!$A$13:$A$24,ORÇAMENTO!E167)),OFFSET($D167,1,$C167,ROW($C$405)-ROW($C167)),0))</f>
        <v>0</v>
      </c>
      <c r="L167" s="115" t="str">
        <f t="shared" ca="1" si="43"/>
        <v/>
      </c>
      <c r="M167" s="116" t="s">
        <v>706</v>
      </c>
      <c r="N167" s="117" t="str">
        <f t="shared" ca="1" si="44"/>
        <v>Serviço</v>
      </c>
      <c r="O167" s="118" t="str">
        <f t="shared" ca="1" si="45"/>
        <v>-</v>
      </c>
      <c r="P167" s="119" t="s">
        <v>751</v>
      </c>
      <c r="Q167" s="120" t="s">
        <v>1076</v>
      </c>
      <c r="R167" s="121" t="s">
        <v>1452</v>
      </c>
      <c r="S167" s="122" t="s">
        <v>639</v>
      </c>
      <c r="T167" s="123">
        <f ca="1">OFFSET(CÁLCULO!H$15,ROW($T167)-ROW(T$15),0)</f>
        <v>5</v>
      </c>
      <c r="U167" s="124"/>
      <c r="V167" s="125" t="s">
        <v>663</v>
      </c>
      <c r="W167" s="123">
        <f ca="1">IF($C167="S",ROUND(IF(TIPOORCAMENTO="Proposto",ORÇAMENTO.CustoUnitario*(1+$AH167),ORÇAMENTO.PrecoUnitarioLicitado),15-13*$AF$10),0)</f>
        <v>0</v>
      </c>
      <c r="X167" s="126" cm="1">
        <f t="array" aca="1" ref="X167" ca="1">IF($C167="S",IF(OR(Import.TipoArredondamento&lt;&gt;"TransfereGOV",ACOMPANHAMENTO="BM"),VTOTAL1,SUM(OFFSET(CÁLCULO!$AA$15,ROW($X167)-ROW($X$15),1):OFFSET(CÁLCULO!$AL$15,ROW($X167)-ROW($X$15),-1))),IF($C167=0,0,ROUND(SomaAgrup,15-13*$AF$11)))</f>
        <v>0</v>
      </c>
      <c r="Y167" s="127" t="s">
        <v>752</v>
      </c>
      <c r="Z167" t="str">
        <f t="shared" ca="1" si="46"/>
        <v/>
      </c>
      <c r="AA167" s="128">
        <f ca="1">IF($C167="S",IF($Z167="CP",$X167,IF($Z167="RA",(($X167)*QCI!$AA$3),0)),SomaAgrup)</f>
        <v>0</v>
      </c>
      <c r="AB167" s="129">
        <f t="shared" ca="1" si="47"/>
        <v>0</v>
      </c>
      <c r="AC167" s="567" t="str">
        <f ca="1">IF($N167=""," ",
IF(AND($C167&lt;&gt;"S",OR($R167="",$R167="(digite a descrição aqui)")),"DESCRIÇÃO",
IF(AND($C167="S",OR($Q167&lt;&gt;0,$T167&gt;0,$U167&gt;0),$P167=0),"FONTE",
IF(AND($C167="S",$P167&lt;&gt;0,OR($T167&gt;0,$U167&gt;0),$Q167=0),"CÓDIGO",
IF(AND($C167="S",$P167&lt;&gt;0,$Q167&lt;&gt;0,$R167="(Código não identificado nas referências)"),"CÓDIGO N/ID",
IF(AND($C167="S",OR($R167="",$R167="(digite a descrição aqui)"),OR($Q167&lt;&gt;0,$T167&gt;0,$U167&gt;0)),"DESCRIÇÃO",
IF(AND($C167="S",$P167&lt;&gt;0,$Q167&lt;&gt;0,$S167=""),"UNIDADE",
IF(AND($C167="S",$P167&lt;&gt;0,$Q167&lt;&gt;0,$U167=0),"SEM CUSTO",
IF(AND(TIPOORCAMENTO="Licitado",$AL167=0,$AN167&gt;0),"SEM PREÇO",
IF(AND($C167="S",$P167&lt;&gt;0,$Q167&lt;&gt;0,$U167&gt;0,$V167=0),"BDI",
IF(OR(AND(TIPOORCAMENTO="Proposto",$AG167&lt;&gt;"",$AG167&gt;0,ORÇAMENTO.CustoUnitario&gt;$AG167),AND(TIPOORCAMENTO="LICITADO",ORÇAMENTO.PrecoUnitarioLicitado&gt;$AN167)),"ACIMA REF.",
IF(AND($C167="S",$P167&lt;&gt;0,$Q167&lt;&gt;0,$T167=0,$U167&gt;0),"QUANT.",
IF(AND(Import.TipoArredondamento="TransfereGOV",$L167="F",$C167="S",LEN($Q167)&gt;13),"Código &gt;13",
IF(AND(Import.TipoArredondamento="TransfereGOV",$L167="F",$C167&lt;&gt;"S",LEN($R167)&gt;100),"Descrição &gt;100",
IF(AND(Import.TipoArredondamento="TransfereGOV",$L167="F",$C167="S",LEN($R167)&gt;500),"Descrição &gt;500",
IF(AND(Import.TipoArredondamento="TransfereGOV",$L167="F",$C167="S",LEFT(TRIM(UPPER($P167)),6)&lt;&gt;"SINAPI",ISNA(VLOOKUP(TRIM(UPPER($S167)),ListaTgov.Unidades,1,FALSE))),"Unid. Não Disp",
" "))))))))))))))))</f>
        <v>SEM CUSTO</v>
      </c>
      <c r="AD167" t="str">
        <f ca="1">IF(C167&lt;=CRONO.NivelExibicao,MAX($AD$15:OFFSET(AD167,-1,0))+IF($C167&lt;&gt;1,1,MAX(1,COUNTIF(QCI!$A$13:$A$24,OFFSET($E167,-1,0)))),"")</f>
        <v/>
      </c>
      <c r="AE167" s="7" t="str">
        <f ca="1">IF(AND($C167="S",ORÇAMENTO.CodBarra&lt;&gt;""),IF(ORÇAMENTO.Fonte="",ORÇAMENTO.CodBarra,CONCATENATE(ORÇAMENTO.Fonte," ",ORÇAMENTO.CodBarra)))</f>
        <v>SINAPI 89784</v>
      </c>
      <c r="AF167" s="12" t="str">
        <f ca="1">IF(ISERROR(INDIRECT(ORÇAMENTO.BancoRef)),"(abra o arquivo 'Referência "&amp;Excel_BuiltIn_Database&amp;".xlsm)",IF(OR($C167&lt;&gt;"S",ORÇAMENTO.CodBarra=""),"(Sem Código)",IF(ISERROR(MATCH($AE167,INDIRECT(ORÇAMENTO.BancoRef),0)),"(Código não identificado nas referências)",MATCH($AE167,INDIRECT(ORÇAMENTO.BancoRef),0))))</f>
        <v>(abra o arquivo 'Referência 12-2024.xlsm)</v>
      </c>
      <c r="AG167" s="429">
        <f ca="1">ROUND(IF(DESONERACAO="sim",REFERENCIA.Desonerado,REFERENCIA.NaoDesonerado),2)</f>
        <v>0</v>
      </c>
      <c r="AH167" s="430">
        <f t="shared" ca="1" si="48"/>
        <v>0.31190000000000001</v>
      </c>
      <c r="AJ167" s="432">
        <v>5</v>
      </c>
      <c r="AL167" s="440"/>
      <c r="AM167" s="337">
        <f t="shared" ca="1" si="0"/>
        <v>0</v>
      </c>
      <c r="AN167" s="471">
        <f t="shared" ca="1" si="49"/>
        <v>0</v>
      </c>
    </row>
    <row r="168" spans="1:40" x14ac:dyDescent="0.2">
      <c r="A168">
        <f t="shared" si="34"/>
        <v>3</v>
      </c>
      <c r="B168">
        <f t="shared" ca="1" si="35"/>
        <v>3</v>
      </c>
      <c r="C168">
        <f t="shared" ca="1" si="36"/>
        <v>3</v>
      </c>
      <c r="D168">
        <f t="shared" ca="1" si="37"/>
        <v>50</v>
      </c>
      <c r="E168">
        <f ca="1">IF($C168=1,OFFSET(E168,-1,0)+MAX(1,COUNTIF(QCI!$A$13:$A$24,OFFSET(ORÇAMENTO!E168,-1,0))),OFFSET(E168,-1,0))</f>
        <v>1</v>
      </c>
      <c r="F168">
        <f t="shared" ca="1" si="38"/>
        <v>11</v>
      </c>
      <c r="G168">
        <f t="shared" ca="1" si="39"/>
        <v>2</v>
      </c>
      <c r="H168">
        <f t="shared" ca="1" si="40"/>
        <v>0</v>
      </c>
      <c r="I168">
        <f t="shared" ca="1" si="41"/>
        <v>0</v>
      </c>
      <c r="J168">
        <f t="shared" ca="1" si="42"/>
        <v>50</v>
      </c>
      <c r="K168">
        <f ca="1">IF(OR($C168="S",$C168=0),0,MATCH(OFFSET($D168,0,$C168)+IF($C168&lt;&gt;1,1,COUNTIF(QCI!$A$13:$A$24,ORÇAMENTO!E168)),OFFSET($D168,1,$C168,ROW($C$405)-ROW($C168)),0))</f>
        <v>107</v>
      </c>
      <c r="L168" s="115" t="str">
        <f t="shared" ca="1" si="43"/>
        <v>F</v>
      </c>
      <c r="M168" s="116" t="s">
        <v>704</v>
      </c>
      <c r="N168" s="117" t="str">
        <f t="shared" ca="1" si="44"/>
        <v>Nível 3</v>
      </c>
      <c r="O168" s="118" t="str">
        <f t="shared" ca="1" si="45"/>
        <v>1.11.2.</v>
      </c>
      <c r="P168" s="119" t="s">
        <v>751</v>
      </c>
      <c r="Q168" s="120"/>
      <c r="R168" s="121" t="s">
        <v>1287</v>
      </c>
      <c r="S168" s="122" t="s">
        <v>689</v>
      </c>
      <c r="T168" s="123">
        <f ca="1">OFFSET(CÁLCULO!H$15,ROW($T168)-ROW(T$15),0)</f>
        <v>0</v>
      </c>
      <c r="U168" s="124"/>
      <c r="V168" s="125" t="s">
        <v>663</v>
      </c>
      <c r="W168" s="123">
        <f ca="1">IF($C168="S",ROUND(IF(TIPOORCAMENTO="Proposto",ORÇAMENTO.CustoUnitario*(1+$AH168),ORÇAMENTO.PrecoUnitarioLicitado),15-13*$AF$10),0)</f>
        <v>0</v>
      </c>
      <c r="X168" s="126" cm="1">
        <f t="array" aca="1" ref="X168" ca="1">IF($C168="S",IF(OR(Import.TipoArredondamento&lt;&gt;"TransfereGOV",ACOMPANHAMENTO="BM"),VTOTAL1,SUM(OFFSET(CÁLCULO!$AA$15,ROW($X168)-ROW($X$15),1):OFFSET(CÁLCULO!$AL$15,ROW($X168)-ROW($X$15),-1))),IF($C168=0,0,ROUND(SomaAgrup,15-13*$AF$11)))</f>
        <v>0</v>
      </c>
      <c r="Y168" s="127" t="s">
        <v>752</v>
      </c>
      <c r="Z168" t="str">
        <f t="shared" ca="1" si="46"/>
        <v/>
      </c>
      <c r="AA168" s="128">
        <f ca="1">IF($C168="S",IF($Z168="CP",$X168,IF($Z168="RA",(($X168)*QCI!$AA$3),0)),SomaAgrup)</f>
        <v>0</v>
      </c>
      <c r="AB168" s="129">
        <f t="shared" ca="1" si="47"/>
        <v>0</v>
      </c>
      <c r="AC168" s="567" t="str">
        <f ca="1">IF($N168=""," ",
IF(AND($C168&lt;&gt;"S",OR($R168="",$R168="(digite a descrição aqui)")),"DESCRIÇÃO",
IF(AND($C168="S",OR($Q168&lt;&gt;0,$T168&gt;0,$U168&gt;0),$P168=0),"FONTE",
IF(AND($C168="S",$P168&lt;&gt;0,OR($T168&gt;0,$U168&gt;0),$Q168=0),"CÓDIGO",
IF(AND($C168="S",$P168&lt;&gt;0,$Q168&lt;&gt;0,$R168="(Código não identificado nas referências)"),"CÓDIGO N/ID",
IF(AND($C168="S",OR($R168="",$R168="(digite a descrição aqui)"),OR($Q168&lt;&gt;0,$T168&gt;0,$U168&gt;0)),"DESCRIÇÃO",
IF(AND($C168="S",$P168&lt;&gt;0,$Q168&lt;&gt;0,$S168=""),"UNIDADE",
IF(AND($C168="S",$P168&lt;&gt;0,$Q168&lt;&gt;0,$U168=0),"SEM CUSTO",
IF(AND(TIPOORCAMENTO="Licitado",$AL168=0,$AN168&gt;0),"SEM PREÇO",
IF(AND($C168="S",$P168&lt;&gt;0,$Q168&lt;&gt;0,$U168&gt;0,$V168=0),"BDI",
IF(OR(AND(TIPOORCAMENTO="Proposto",$AG168&lt;&gt;"",$AG168&gt;0,ORÇAMENTO.CustoUnitario&gt;$AG168),AND(TIPOORCAMENTO="LICITADO",ORÇAMENTO.PrecoUnitarioLicitado&gt;$AN168)),"ACIMA REF.",
IF(AND($C168="S",$P168&lt;&gt;0,$Q168&lt;&gt;0,$T168=0,$U168&gt;0),"QUANT.",
IF(AND(Import.TipoArredondamento="TransfereGOV",$L168="F",$C168="S",LEN($Q168)&gt;13),"Código &gt;13",
IF(AND(Import.TipoArredondamento="TransfereGOV",$L168="F",$C168&lt;&gt;"S",LEN($R168)&gt;100),"Descrição &gt;100",
IF(AND(Import.TipoArredondamento="TransfereGOV",$L168="F",$C168="S",LEN($R168)&gt;500),"Descrição &gt;500",
IF(AND(Import.TipoArredondamento="TransfereGOV",$L168="F",$C168="S",LEFT(TRIM(UPPER($P168)),6)&lt;&gt;"SINAPI",ISNA(VLOOKUP(TRIM(UPPER($S168)),ListaTgov.Unidades,1,FALSE))),"Unid. Não Disp",
" "))))))))))))))))</f>
        <v xml:space="preserve"> </v>
      </c>
      <c r="AD168" t="str">
        <f ca="1">IF(C168&lt;=CRONO.NivelExibicao,MAX($AD$15:OFFSET(AD168,-1,0))+IF($C168&lt;&gt;1,1,MAX(1,COUNTIF(QCI!$A$13:$A$24,OFFSET($E168,-1,0)))),"")</f>
        <v/>
      </c>
      <c r="AE168" s="7" t="b">
        <f ca="1">IF(AND($C168="S",ORÇAMENTO.CodBarra&lt;&gt;""),IF(ORÇAMENTO.Fonte="",ORÇAMENTO.CodBarra,CONCATENATE(ORÇAMENTO.Fonte," ",ORÇAMENTO.CodBarra)))</f>
        <v>0</v>
      </c>
      <c r="AF168" s="12" t="str">
        <f ca="1">IF(ISERROR(INDIRECT(ORÇAMENTO.BancoRef)),"(abra o arquivo 'Referência "&amp;Excel_BuiltIn_Database&amp;".xlsm)",IF(OR($C168&lt;&gt;"S",ORÇAMENTO.CodBarra=""),"(Sem Código)",IF(ISERROR(MATCH($AE168,INDIRECT(ORÇAMENTO.BancoRef),0)),"(Código não identificado nas referências)",MATCH($AE168,INDIRECT(ORÇAMENTO.BancoRef),0))))</f>
        <v>(abra o arquivo 'Referência 12-2024.xlsm)</v>
      </c>
      <c r="AG168" s="429">
        <f ca="1">ROUND(IF(DESONERACAO="sim",REFERENCIA.Desonerado,REFERENCIA.NaoDesonerado),2)</f>
        <v>0</v>
      </c>
      <c r="AH168" s="430">
        <f t="shared" ca="1" si="48"/>
        <v>0.31190000000000001</v>
      </c>
      <c r="AJ168" s="432"/>
      <c r="AL168" s="440"/>
      <c r="AM168" s="337">
        <f t="shared" ca="1" si="0"/>
        <v>0</v>
      </c>
      <c r="AN168" s="471">
        <f t="shared" ca="1" si="49"/>
        <v>0</v>
      </c>
    </row>
    <row r="169" spans="1:40" ht="38.25" x14ac:dyDescent="0.2">
      <c r="A169" t="str">
        <f t="shared" si="34"/>
        <v>S</v>
      </c>
      <c r="B169">
        <f t="shared" ca="1" si="35"/>
        <v>3</v>
      </c>
      <c r="C169" t="str">
        <f t="shared" ca="1" si="36"/>
        <v>S</v>
      </c>
      <c r="D169">
        <f t="shared" ca="1" si="37"/>
        <v>0</v>
      </c>
      <c r="E169">
        <f ca="1">IF($C169=1,OFFSET(E169,-1,0)+MAX(1,COUNTIF(QCI!$A$13:$A$24,OFFSET(ORÇAMENTO!E169,-1,0))),OFFSET(E169,-1,0))</f>
        <v>1</v>
      </c>
      <c r="F169">
        <f t="shared" ca="1" si="38"/>
        <v>11</v>
      </c>
      <c r="G169">
        <f t="shared" ca="1" si="39"/>
        <v>2</v>
      </c>
      <c r="H169">
        <f t="shared" ca="1" si="40"/>
        <v>0</v>
      </c>
      <c r="I169">
        <f t="shared" ca="1" si="41"/>
        <v>0</v>
      </c>
      <c r="J169">
        <f t="shared" ca="1" si="42"/>
        <v>0</v>
      </c>
      <c r="K169">
        <f ca="1">IF(OR($C169="S",$C169=0),0,MATCH(OFFSET($D169,0,$C169)+IF($C169&lt;&gt;1,1,COUNTIF(QCI!$A$13:$A$24,ORÇAMENTO!E169)),OFFSET($D169,1,$C169,ROW($C$405)-ROW($C169)),0))</f>
        <v>0</v>
      </c>
      <c r="L169" s="115" t="str">
        <f t="shared" ca="1" si="43"/>
        <v/>
      </c>
      <c r="M169" s="116" t="s">
        <v>706</v>
      </c>
      <c r="N169" s="117" t="str">
        <f t="shared" ca="1" si="44"/>
        <v>Serviço</v>
      </c>
      <c r="O169" s="118" t="str">
        <f t="shared" ca="1" si="45"/>
        <v>-</v>
      </c>
      <c r="P169" s="119" t="s">
        <v>751</v>
      </c>
      <c r="Q169" s="120" t="s">
        <v>1077</v>
      </c>
      <c r="R169" s="121" t="s">
        <v>1453</v>
      </c>
      <c r="S169" s="122" t="s">
        <v>639</v>
      </c>
      <c r="T169" s="123">
        <f ca="1">OFFSET(CÁLCULO!H$15,ROW($T169)-ROW(T$15),0)</f>
        <v>22</v>
      </c>
      <c r="U169" s="124"/>
      <c r="V169" s="125" t="s">
        <v>663</v>
      </c>
      <c r="W169" s="123">
        <f ca="1">IF($C169="S",ROUND(IF(TIPOORCAMENTO="Proposto",ORÇAMENTO.CustoUnitario*(1+$AH169),ORÇAMENTO.PrecoUnitarioLicitado),15-13*$AF$10),0)</f>
        <v>0</v>
      </c>
      <c r="X169" s="126" cm="1">
        <f t="array" aca="1" ref="X169" ca="1">IF($C169="S",IF(OR(Import.TipoArredondamento&lt;&gt;"TransfereGOV",ACOMPANHAMENTO="BM"),VTOTAL1,SUM(OFFSET(CÁLCULO!$AA$15,ROW($X169)-ROW($X$15),1):OFFSET(CÁLCULO!$AL$15,ROW($X169)-ROW($X$15),-1))),IF($C169=0,0,ROUND(SomaAgrup,15-13*$AF$11)))</f>
        <v>0</v>
      </c>
      <c r="Y169" s="127" t="s">
        <v>752</v>
      </c>
      <c r="Z169" t="str">
        <f t="shared" ca="1" si="46"/>
        <v/>
      </c>
      <c r="AA169" s="128">
        <f ca="1">IF($C169="S",IF($Z169="CP",$X169,IF($Z169="RA",(($X169)*QCI!$AA$3),0)),SomaAgrup)</f>
        <v>0</v>
      </c>
      <c r="AB169" s="129">
        <f t="shared" ca="1" si="47"/>
        <v>0</v>
      </c>
      <c r="AC169" s="567" t="str">
        <f ca="1">IF($N169=""," ",
IF(AND($C169&lt;&gt;"S",OR($R169="",$R169="(digite a descrição aqui)")),"DESCRIÇÃO",
IF(AND($C169="S",OR($Q169&lt;&gt;0,$T169&gt;0,$U169&gt;0),$P169=0),"FONTE",
IF(AND($C169="S",$P169&lt;&gt;0,OR($T169&gt;0,$U169&gt;0),$Q169=0),"CÓDIGO",
IF(AND($C169="S",$P169&lt;&gt;0,$Q169&lt;&gt;0,$R169="(Código não identificado nas referências)"),"CÓDIGO N/ID",
IF(AND($C169="S",OR($R169="",$R169="(digite a descrição aqui)"),OR($Q169&lt;&gt;0,$T169&gt;0,$U169&gt;0)),"DESCRIÇÃO",
IF(AND($C169="S",$P169&lt;&gt;0,$Q169&lt;&gt;0,$S169=""),"UNIDADE",
IF(AND($C169="S",$P169&lt;&gt;0,$Q169&lt;&gt;0,$U169=0),"SEM CUSTO",
IF(AND(TIPOORCAMENTO="Licitado",$AL169=0,$AN169&gt;0),"SEM PREÇO",
IF(AND($C169="S",$P169&lt;&gt;0,$Q169&lt;&gt;0,$U169&gt;0,$V169=0),"BDI",
IF(OR(AND(TIPOORCAMENTO="Proposto",$AG169&lt;&gt;"",$AG169&gt;0,ORÇAMENTO.CustoUnitario&gt;$AG169),AND(TIPOORCAMENTO="LICITADO",ORÇAMENTO.PrecoUnitarioLicitado&gt;$AN169)),"ACIMA REF.",
IF(AND($C169="S",$P169&lt;&gt;0,$Q169&lt;&gt;0,$T169=0,$U169&gt;0),"QUANT.",
IF(AND(Import.TipoArredondamento="TransfereGOV",$L169="F",$C169="S",LEN($Q169)&gt;13),"Código &gt;13",
IF(AND(Import.TipoArredondamento="TransfereGOV",$L169="F",$C169&lt;&gt;"S",LEN($R169)&gt;100),"Descrição &gt;100",
IF(AND(Import.TipoArredondamento="TransfereGOV",$L169="F",$C169="S",LEN($R169)&gt;500),"Descrição &gt;500",
IF(AND(Import.TipoArredondamento="TransfereGOV",$L169="F",$C169="S",LEFT(TRIM(UPPER($P169)),6)&lt;&gt;"SINAPI",ISNA(VLOOKUP(TRIM(UPPER($S169)),ListaTgov.Unidades,1,FALSE))),"Unid. Não Disp",
" "))))))))))))))))</f>
        <v>SEM CUSTO</v>
      </c>
      <c r="AD169" t="str">
        <f ca="1">IF(C169&lt;=CRONO.NivelExibicao,MAX($AD$15:OFFSET(AD169,-1,0))+IF($C169&lt;&gt;1,1,MAX(1,COUNTIF(QCI!$A$13:$A$24,OFFSET($E169,-1,0)))),"")</f>
        <v/>
      </c>
      <c r="AE169" s="7" t="str">
        <f ca="1">IF(AND($C169="S",ORÇAMENTO.CodBarra&lt;&gt;""),IF(ORÇAMENTO.Fonte="",ORÇAMENTO.CodBarra,CONCATENATE(ORÇAMENTO.Fonte," ",ORÇAMENTO.CodBarra)))</f>
        <v>SINAPI 89985</v>
      </c>
      <c r="AF169" s="12" t="str">
        <f ca="1">IF(ISERROR(INDIRECT(ORÇAMENTO.BancoRef)),"(abra o arquivo 'Referência "&amp;Excel_BuiltIn_Database&amp;".xlsm)",IF(OR($C169&lt;&gt;"S",ORÇAMENTO.CodBarra=""),"(Sem Código)",IF(ISERROR(MATCH($AE169,INDIRECT(ORÇAMENTO.BancoRef),0)),"(Código não identificado nas referências)",MATCH($AE169,INDIRECT(ORÇAMENTO.BancoRef),0))))</f>
        <v>(abra o arquivo 'Referência 12-2024.xlsm)</v>
      </c>
      <c r="AG169" s="429">
        <f ca="1">ROUND(IF(DESONERACAO="sim",REFERENCIA.Desonerado,REFERENCIA.NaoDesonerado),2)</f>
        <v>0</v>
      </c>
      <c r="AH169" s="430">
        <f t="shared" ca="1" si="48"/>
        <v>0.31190000000000001</v>
      </c>
      <c r="AJ169" s="432">
        <v>22</v>
      </c>
      <c r="AL169" s="440"/>
      <c r="AM169" s="337">
        <f t="shared" ca="1" si="0"/>
        <v>0</v>
      </c>
      <c r="AN169" s="471">
        <f t="shared" ca="1" si="49"/>
        <v>0</v>
      </c>
    </row>
    <row r="170" spans="1:40" ht="38.25" x14ac:dyDescent="0.2">
      <c r="A170" t="str">
        <f t="shared" si="34"/>
        <v>S</v>
      </c>
      <c r="B170">
        <f t="shared" ca="1" si="35"/>
        <v>3</v>
      </c>
      <c r="C170" t="str">
        <f t="shared" ca="1" si="36"/>
        <v>S</v>
      </c>
      <c r="D170">
        <f t="shared" ca="1" si="37"/>
        <v>0</v>
      </c>
      <c r="E170">
        <f ca="1">IF($C170=1,OFFSET(E170,-1,0)+MAX(1,COUNTIF(QCI!$A$13:$A$24,OFFSET(ORÇAMENTO!E170,-1,0))),OFFSET(E170,-1,0))</f>
        <v>1</v>
      </c>
      <c r="F170">
        <f t="shared" ca="1" si="38"/>
        <v>11</v>
      </c>
      <c r="G170">
        <f t="shared" ca="1" si="39"/>
        <v>2</v>
      </c>
      <c r="H170">
        <f t="shared" ca="1" si="40"/>
        <v>0</v>
      </c>
      <c r="I170">
        <f t="shared" ca="1" si="41"/>
        <v>0</v>
      </c>
      <c r="J170">
        <f t="shared" ca="1" si="42"/>
        <v>0</v>
      </c>
      <c r="K170">
        <f ca="1">IF(OR($C170="S",$C170=0),0,MATCH(OFFSET($D170,0,$C170)+IF($C170&lt;&gt;1,1,COUNTIF(QCI!$A$13:$A$24,ORÇAMENTO!E170)),OFFSET($D170,1,$C170,ROW($C$405)-ROW($C170)),0))</f>
        <v>0</v>
      </c>
      <c r="L170" s="115" t="str">
        <f t="shared" ca="1" si="43"/>
        <v/>
      </c>
      <c r="M170" s="116" t="s">
        <v>706</v>
      </c>
      <c r="N170" s="117" t="str">
        <f t="shared" ca="1" si="44"/>
        <v>Serviço</v>
      </c>
      <c r="O170" s="118" t="str">
        <f t="shared" ca="1" si="45"/>
        <v>-</v>
      </c>
      <c r="P170" s="119" t="s">
        <v>751</v>
      </c>
      <c r="Q170" s="120" t="s">
        <v>1078</v>
      </c>
      <c r="R170" s="121" t="s">
        <v>1454</v>
      </c>
      <c r="S170" s="122" t="s">
        <v>639</v>
      </c>
      <c r="T170" s="123">
        <f ca="1">OFFSET(CÁLCULO!H$15,ROW($T170)-ROW(T$15),0)</f>
        <v>96</v>
      </c>
      <c r="U170" s="124"/>
      <c r="V170" s="125" t="s">
        <v>663</v>
      </c>
      <c r="W170" s="123">
        <f ca="1">IF($C170="S",ROUND(IF(TIPOORCAMENTO="Proposto",ORÇAMENTO.CustoUnitario*(1+$AH170),ORÇAMENTO.PrecoUnitarioLicitado),15-13*$AF$10),0)</f>
        <v>0</v>
      </c>
      <c r="X170" s="126" cm="1">
        <f t="array" aca="1" ref="X170" ca="1">IF($C170="S",IF(OR(Import.TipoArredondamento&lt;&gt;"TransfereGOV",ACOMPANHAMENTO="BM"),VTOTAL1,SUM(OFFSET(CÁLCULO!$AA$15,ROW($X170)-ROW($X$15),1):OFFSET(CÁLCULO!$AL$15,ROW($X170)-ROW($X$15),-1))),IF($C170=0,0,ROUND(SomaAgrup,15-13*$AF$11)))</f>
        <v>0</v>
      </c>
      <c r="Y170" s="127" t="s">
        <v>752</v>
      </c>
      <c r="Z170" t="str">
        <f t="shared" ca="1" si="46"/>
        <v/>
      </c>
      <c r="AA170" s="128">
        <f ca="1">IF($C170="S",IF($Z170="CP",$X170,IF($Z170="RA",(($X170)*QCI!$AA$3),0)),SomaAgrup)</f>
        <v>0</v>
      </c>
      <c r="AB170" s="129">
        <f t="shared" ca="1" si="47"/>
        <v>0</v>
      </c>
      <c r="AC170" s="567" t="str">
        <f ca="1">IF($N170=""," ",
IF(AND($C170&lt;&gt;"S",OR($R170="",$R170="(digite a descrição aqui)")),"DESCRIÇÃO",
IF(AND($C170="S",OR($Q170&lt;&gt;0,$T170&gt;0,$U170&gt;0),$P170=0),"FONTE",
IF(AND($C170="S",$P170&lt;&gt;0,OR($T170&gt;0,$U170&gt;0),$Q170=0),"CÓDIGO",
IF(AND($C170="S",$P170&lt;&gt;0,$Q170&lt;&gt;0,$R170="(Código não identificado nas referências)"),"CÓDIGO N/ID",
IF(AND($C170="S",OR($R170="",$R170="(digite a descrição aqui)"),OR($Q170&lt;&gt;0,$T170&gt;0,$U170&gt;0)),"DESCRIÇÃO",
IF(AND($C170="S",$P170&lt;&gt;0,$Q170&lt;&gt;0,$S170=""),"UNIDADE",
IF(AND($C170="S",$P170&lt;&gt;0,$Q170&lt;&gt;0,$U170=0),"SEM CUSTO",
IF(AND(TIPOORCAMENTO="Licitado",$AL170=0,$AN170&gt;0),"SEM PREÇO",
IF(AND($C170="S",$P170&lt;&gt;0,$Q170&lt;&gt;0,$U170&gt;0,$V170=0),"BDI",
IF(OR(AND(TIPOORCAMENTO="Proposto",$AG170&lt;&gt;"",$AG170&gt;0,ORÇAMENTO.CustoUnitario&gt;$AG170),AND(TIPOORCAMENTO="LICITADO",ORÇAMENTO.PrecoUnitarioLicitado&gt;$AN170)),"ACIMA REF.",
IF(AND($C170="S",$P170&lt;&gt;0,$Q170&lt;&gt;0,$T170=0,$U170&gt;0),"QUANT.",
IF(AND(Import.TipoArredondamento="TransfereGOV",$L170="F",$C170="S",LEN($Q170)&gt;13),"Código &gt;13",
IF(AND(Import.TipoArredondamento="TransfereGOV",$L170="F",$C170&lt;&gt;"S",LEN($R170)&gt;100),"Descrição &gt;100",
IF(AND(Import.TipoArredondamento="TransfereGOV",$L170="F",$C170="S",LEN($R170)&gt;500),"Descrição &gt;500",
IF(AND(Import.TipoArredondamento="TransfereGOV",$L170="F",$C170="S",LEFT(TRIM(UPPER($P170)),6)&lt;&gt;"SINAPI",ISNA(VLOOKUP(TRIM(UPPER($S170)),ListaTgov.Unidades,1,FALSE))),"Unid. Não Disp",
" "))))))))))))))))</f>
        <v>SEM CUSTO</v>
      </c>
      <c r="AD170" t="str">
        <f ca="1">IF(C170&lt;=CRONO.NivelExibicao,MAX($AD$15:OFFSET(AD170,-1,0))+IF($C170&lt;&gt;1,1,MAX(1,COUNTIF(QCI!$A$13:$A$24,OFFSET($E170,-1,0)))),"")</f>
        <v/>
      </c>
      <c r="AE170" s="7" t="str">
        <f ca="1">IF(AND($C170="S",ORÇAMENTO.CodBarra&lt;&gt;""),IF(ORÇAMENTO.Fonte="",ORÇAMENTO.CodBarra,CONCATENATE(ORÇAMENTO.Fonte," ",ORÇAMENTO.CodBarra)))</f>
        <v>SINAPI 89381</v>
      </c>
      <c r="AF170" s="12" t="str">
        <f ca="1">IF(ISERROR(INDIRECT(ORÇAMENTO.BancoRef)),"(abra o arquivo 'Referência "&amp;Excel_BuiltIn_Database&amp;".xlsm)",IF(OR($C170&lt;&gt;"S",ORÇAMENTO.CodBarra=""),"(Sem Código)",IF(ISERROR(MATCH($AE170,INDIRECT(ORÇAMENTO.BancoRef),0)),"(Código não identificado nas referências)",MATCH($AE170,INDIRECT(ORÇAMENTO.BancoRef),0))))</f>
        <v>(abra o arquivo 'Referência 12-2024.xlsm)</v>
      </c>
      <c r="AG170" s="429">
        <f ca="1">ROUND(IF(DESONERACAO="sim",REFERENCIA.Desonerado,REFERENCIA.NaoDesonerado),2)</f>
        <v>0</v>
      </c>
      <c r="AH170" s="430">
        <f t="shared" ca="1" si="48"/>
        <v>0.31190000000000001</v>
      </c>
      <c r="AJ170" s="432">
        <v>96</v>
      </c>
      <c r="AL170" s="440"/>
      <c r="AM170" s="337">
        <f t="shared" ca="1" si="0"/>
        <v>0</v>
      </c>
      <c r="AN170" s="471">
        <f t="shared" ca="1" si="49"/>
        <v>0</v>
      </c>
    </row>
    <row r="171" spans="1:40" ht="25.5" x14ac:dyDescent="0.2">
      <c r="A171" t="str">
        <f t="shared" si="34"/>
        <v>S</v>
      </c>
      <c r="B171">
        <f t="shared" ca="1" si="35"/>
        <v>3</v>
      </c>
      <c r="C171" t="str">
        <f t="shared" ca="1" si="36"/>
        <v>S</v>
      </c>
      <c r="D171">
        <f t="shared" ca="1" si="37"/>
        <v>0</v>
      </c>
      <c r="E171">
        <f ca="1">IF($C171=1,OFFSET(E171,-1,0)+MAX(1,COUNTIF(QCI!$A$13:$A$24,OFFSET(ORÇAMENTO!E171,-1,0))),OFFSET(E171,-1,0))</f>
        <v>1</v>
      </c>
      <c r="F171">
        <f t="shared" ca="1" si="38"/>
        <v>11</v>
      </c>
      <c r="G171">
        <f t="shared" ca="1" si="39"/>
        <v>2</v>
      </c>
      <c r="H171">
        <f t="shared" ca="1" si="40"/>
        <v>0</v>
      </c>
      <c r="I171">
        <f t="shared" ca="1" si="41"/>
        <v>0</v>
      </c>
      <c r="J171">
        <f t="shared" ca="1" si="42"/>
        <v>0</v>
      </c>
      <c r="K171">
        <f ca="1">IF(OR($C171="S",$C171=0),0,MATCH(OFFSET($D171,0,$C171)+IF($C171&lt;&gt;1,1,COUNTIF(QCI!$A$13:$A$24,ORÇAMENTO!E171)),OFFSET($D171,1,$C171,ROW($C$405)-ROW($C171)),0))</f>
        <v>0</v>
      </c>
      <c r="L171" s="115" t="str">
        <f t="shared" ca="1" si="43"/>
        <v/>
      </c>
      <c r="M171" s="116" t="s">
        <v>706</v>
      </c>
      <c r="N171" s="117" t="str">
        <f t="shared" ca="1" si="44"/>
        <v>Serviço</v>
      </c>
      <c r="O171" s="118" t="str">
        <f t="shared" ca="1" si="45"/>
        <v>-</v>
      </c>
      <c r="P171" s="119" t="s">
        <v>751</v>
      </c>
      <c r="Q171" s="120" t="s">
        <v>1079</v>
      </c>
      <c r="R171" s="121" t="s">
        <v>1455</v>
      </c>
      <c r="S171" s="122" t="s">
        <v>639</v>
      </c>
      <c r="T171" s="123">
        <f ca="1">OFFSET(CÁLCULO!H$15,ROW($T171)-ROW(T$15),0)</f>
        <v>8</v>
      </c>
      <c r="U171" s="124"/>
      <c r="V171" s="125" t="s">
        <v>663</v>
      </c>
      <c r="W171" s="123">
        <f ca="1">IF($C171="S",ROUND(IF(TIPOORCAMENTO="Proposto",ORÇAMENTO.CustoUnitario*(1+$AH171),ORÇAMENTO.PrecoUnitarioLicitado),15-13*$AF$10),0)</f>
        <v>0</v>
      </c>
      <c r="X171" s="126" cm="1">
        <f t="array" aca="1" ref="X171" ca="1">IF($C171="S",IF(OR(Import.TipoArredondamento&lt;&gt;"TransfereGOV",ACOMPANHAMENTO="BM"),VTOTAL1,SUM(OFFSET(CÁLCULO!$AA$15,ROW($X171)-ROW($X$15),1):OFFSET(CÁLCULO!$AL$15,ROW($X171)-ROW($X$15),-1))),IF($C171=0,0,ROUND(SomaAgrup,15-13*$AF$11)))</f>
        <v>0</v>
      </c>
      <c r="Y171" s="127" t="s">
        <v>752</v>
      </c>
      <c r="Z171" t="str">
        <f t="shared" ca="1" si="46"/>
        <v/>
      </c>
      <c r="AA171" s="128">
        <f ca="1">IF($C171="S",IF($Z171="CP",$X171,IF($Z171="RA",(($X171)*QCI!$AA$3),0)),SomaAgrup)</f>
        <v>0</v>
      </c>
      <c r="AB171" s="129">
        <f t="shared" ca="1" si="47"/>
        <v>0</v>
      </c>
      <c r="AC171" s="567" t="str">
        <f ca="1">IF($N171=""," ",
IF(AND($C171&lt;&gt;"S",OR($R171="",$R171="(digite a descrição aqui)")),"DESCRIÇÃO",
IF(AND($C171="S",OR($Q171&lt;&gt;0,$T171&gt;0,$U171&gt;0),$P171=0),"FONTE",
IF(AND($C171="S",$P171&lt;&gt;0,OR($T171&gt;0,$U171&gt;0),$Q171=0),"CÓDIGO",
IF(AND($C171="S",$P171&lt;&gt;0,$Q171&lt;&gt;0,$R171="(Código não identificado nas referências)"),"CÓDIGO N/ID",
IF(AND($C171="S",OR($R171="",$R171="(digite a descrição aqui)"),OR($Q171&lt;&gt;0,$T171&gt;0,$U171&gt;0)),"DESCRIÇÃO",
IF(AND($C171="S",$P171&lt;&gt;0,$Q171&lt;&gt;0,$S171=""),"UNIDADE",
IF(AND($C171="S",$P171&lt;&gt;0,$Q171&lt;&gt;0,$U171=0),"SEM CUSTO",
IF(AND(TIPOORCAMENTO="Licitado",$AL171=0,$AN171&gt;0),"SEM PREÇO",
IF(AND($C171="S",$P171&lt;&gt;0,$Q171&lt;&gt;0,$U171&gt;0,$V171=0),"BDI",
IF(OR(AND(TIPOORCAMENTO="Proposto",$AG171&lt;&gt;"",$AG171&gt;0,ORÇAMENTO.CustoUnitario&gt;$AG171),AND(TIPOORCAMENTO="LICITADO",ORÇAMENTO.PrecoUnitarioLicitado&gt;$AN171)),"ACIMA REF.",
IF(AND($C171="S",$P171&lt;&gt;0,$Q171&lt;&gt;0,$T171=0,$U171&gt;0),"QUANT.",
IF(AND(Import.TipoArredondamento="TransfereGOV",$L171="F",$C171="S",LEN($Q171)&gt;13),"Código &gt;13",
IF(AND(Import.TipoArredondamento="TransfereGOV",$L171="F",$C171&lt;&gt;"S",LEN($R171)&gt;100),"Descrição &gt;100",
IF(AND(Import.TipoArredondamento="TransfereGOV",$L171="F",$C171="S",LEN($R171)&gt;500),"Descrição &gt;500",
IF(AND(Import.TipoArredondamento="TransfereGOV",$L171="F",$C171="S",LEFT(TRIM(UPPER($P171)),6)&lt;&gt;"SINAPI",ISNA(VLOOKUP(TRIM(UPPER($S171)),ListaTgov.Unidades,1,FALSE))),"Unid. Não Disp",
" "))))))))))))))))</f>
        <v>SEM CUSTO</v>
      </c>
      <c r="AD171" t="str">
        <f ca="1">IF(C171&lt;=CRONO.NivelExibicao,MAX($AD$15:OFFSET(AD171,-1,0))+IF($C171&lt;&gt;1,1,MAX(1,COUNTIF(QCI!$A$13:$A$24,OFFSET($E171,-1,0)))),"")</f>
        <v/>
      </c>
      <c r="AE171" s="7" t="str">
        <f ca="1">IF(AND($C171="S",ORÇAMENTO.CodBarra&lt;&gt;""),IF(ORÇAMENTO.Fonte="",ORÇAMENTO.CodBarra,CONCATENATE(ORÇAMENTO.Fonte," ",ORÇAMENTO.CodBarra)))</f>
        <v>SINAPI 86916</v>
      </c>
      <c r="AF171" s="12" t="str">
        <f ca="1">IF(ISERROR(INDIRECT(ORÇAMENTO.BancoRef)),"(abra o arquivo 'Referência "&amp;Excel_BuiltIn_Database&amp;".xlsm)",IF(OR($C171&lt;&gt;"S",ORÇAMENTO.CodBarra=""),"(Sem Código)",IF(ISERROR(MATCH($AE171,INDIRECT(ORÇAMENTO.BancoRef),0)),"(Código não identificado nas referências)",MATCH($AE171,INDIRECT(ORÇAMENTO.BancoRef),0))))</f>
        <v>(abra o arquivo 'Referência 12-2024.xlsm)</v>
      </c>
      <c r="AG171" s="429">
        <f ca="1">ROUND(IF(DESONERACAO="sim",REFERENCIA.Desonerado,REFERENCIA.NaoDesonerado),2)</f>
        <v>0</v>
      </c>
      <c r="AH171" s="430">
        <f t="shared" ca="1" si="48"/>
        <v>0.31190000000000001</v>
      </c>
      <c r="AJ171" s="432">
        <v>8</v>
      </c>
      <c r="AL171" s="440"/>
      <c r="AM171" s="337">
        <f t="shared" ca="1" si="0"/>
        <v>0</v>
      </c>
      <c r="AN171" s="471">
        <f t="shared" ca="1" si="49"/>
        <v>0</v>
      </c>
    </row>
    <row r="172" spans="1:40" ht="38.25" x14ac:dyDescent="0.2">
      <c r="A172" t="str">
        <f t="shared" si="34"/>
        <v>S</v>
      </c>
      <c r="B172">
        <f t="shared" ca="1" si="35"/>
        <v>3</v>
      </c>
      <c r="C172" t="str">
        <f t="shared" ca="1" si="36"/>
        <v>S</v>
      </c>
      <c r="D172">
        <f t="shared" ca="1" si="37"/>
        <v>0</v>
      </c>
      <c r="E172">
        <f ca="1">IF($C172=1,OFFSET(E172,-1,0)+MAX(1,COUNTIF(QCI!$A$13:$A$24,OFFSET(ORÇAMENTO!E172,-1,0))),OFFSET(E172,-1,0))</f>
        <v>1</v>
      </c>
      <c r="F172">
        <f t="shared" ca="1" si="38"/>
        <v>11</v>
      </c>
      <c r="G172">
        <f t="shared" ca="1" si="39"/>
        <v>2</v>
      </c>
      <c r="H172">
        <f t="shared" ca="1" si="40"/>
        <v>0</v>
      </c>
      <c r="I172">
        <f t="shared" ca="1" si="41"/>
        <v>0</v>
      </c>
      <c r="J172">
        <f t="shared" ca="1" si="42"/>
        <v>0</v>
      </c>
      <c r="K172">
        <f ca="1">IF(OR($C172="S",$C172=0),0,MATCH(OFFSET($D172,0,$C172)+IF($C172&lt;&gt;1,1,COUNTIF(QCI!$A$13:$A$24,ORÇAMENTO!E172)),OFFSET($D172,1,$C172,ROW($C$405)-ROW($C172)),0))</f>
        <v>0</v>
      </c>
      <c r="L172" s="115" t="str">
        <f t="shared" ca="1" si="43"/>
        <v/>
      </c>
      <c r="M172" s="116" t="s">
        <v>706</v>
      </c>
      <c r="N172" s="117" t="str">
        <f t="shared" ca="1" si="44"/>
        <v>Serviço</v>
      </c>
      <c r="O172" s="118" t="str">
        <f t="shared" ca="1" si="45"/>
        <v>-</v>
      </c>
      <c r="P172" s="119" t="s">
        <v>751</v>
      </c>
      <c r="Q172" s="120" t="s">
        <v>1080</v>
      </c>
      <c r="R172" s="121" t="s">
        <v>1456</v>
      </c>
      <c r="S172" s="122" t="s">
        <v>639</v>
      </c>
      <c r="T172" s="123">
        <f ca="1">OFFSET(CÁLCULO!H$15,ROW($T172)-ROW(T$15),0)</f>
        <v>4</v>
      </c>
      <c r="U172" s="124"/>
      <c r="V172" s="125" t="s">
        <v>663</v>
      </c>
      <c r="W172" s="123">
        <f ca="1">IF($C172="S",ROUND(IF(TIPOORCAMENTO="Proposto",ORÇAMENTO.CustoUnitario*(1+$AH172),ORÇAMENTO.PrecoUnitarioLicitado),15-13*$AF$10),0)</f>
        <v>0</v>
      </c>
      <c r="X172" s="126" cm="1">
        <f t="array" aca="1" ref="X172" ca="1">IF($C172="S",IF(OR(Import.TipoArredondamento&lt;&gt;"TransfereGOV",ACOMPANHAMENTO="BM"),VTOTAL1,SUM(OFFSET(CÁLCULO!$AA$15,ROW($X172)-ROW($X$15),1):OFFSET(CÁLCULO!$AL$15,ROW($X172)-ROW($X$15),-1))),IF($C172=0,0,ROUND(SomaAgrup,15-13*$AF$11)))</f>
        <v>0</v>
      </c>
      <c r="Y172" s="127" t="s">
        <v>752</v>
      </c>
      <c r="Z172" t="str">
        <f t="shared" ca="1" si="46"/>
        <v/>
      </c>
      <c r="AA172" s="128">
        <f ca="1">IF($C172="S",IF($Z172="CP",$X172,IF($Z172="RA",(($X172)*QCI!$AA$3),0)),SomaAgrup)</f>
        <v>0</v>
      </c>
      <c r="AB172" s="129">
        <f t="shared" ca="1" si="47"/>
        <v>0</v>
      </c>
      <c r="AC172" s="567" t="str">
        <f ca="1">IF($N172=""," ",
IF(AND($C172&lt;&gt;"S",OR($R172="",$R172="(digite a descrição aqui)")),"DESCRIÇÃO",
IF(AND($C172="S",OR($Q172&lt;&gt;0,$T172&gt;0,$U172&gt;0),$P172=0),"FONTE",
IF(AND($C172="S",$P172&lt;&gt;0,OR($T172&gt;0,$U172&gt;0),$Q172=0),"CÓDIGO",
IF(AND($C172="S",$P172&lt;&gt;0,$Q172&lt;&gt;0,$R172="(Código não identificado nas referências)"),"CÓDIGO N/ID",
IF(AND($C172="S",OR($R172="",$R172="(digite a descrição aqui)"),OR($Q172&lt;&gt;0,$T172&gt;0,$U172&gt;0)),"DESCRIÇÃO",
IF(AND($C172="S",$P172&lt;&gt;0,$Q172&lt;&gt;0,$S172=""),"UNIDADE",
IF(AND($C172="S",$P172&lt;&gt;0,$Q172&lt;&gt;0,$U172=0),"SEM CUSTO",
IF(AND(TIPOORCAMENTO="Licitado",$AL172=0,$AN172&gt;0),"SEM PREÇO",
IF(AND($C172="S",$P172&lt;&gt;0,$Q172&lt;&gt;0,$U172&gt;0,$V172=0),"BDI",
IF(OR(AND(TIPOORCAMENTO="Proposto",$AG172&lt;&gt;"",$AG172&gt;0,ORÇAMENTO.CustoUnitario&gt;$AG172),AND(TIPOORCAMENTO="LICITADO",ORÇAMENTO.PrecoUnitarioLicitado&gt;$AN172)),"ACIMA REF.",
IF(AND($C172="S",$P172&lt;&gt;0,$Q172&lt;&gt;0,$T172=0,$U172&gt;0),"QUANT.",
IF(AND(Import.TipoArredondamento="TransfereGOV",$L172="F",$C172="S",LEN($Q172)&gt;13),"Código &gt;13",
IF(AND(Import.TipoArredondamento="TransfereGOV",$L172="F",$C172&lt;&gt;"S",LEN($R172)&gt;100),"Descrição &gt;100",
IF(AND(Import.TipoArredondamento="TransfereGOV",$L172="F",$C172="S",LEN($R172)&gt;500),"Descrição &gt;500",
IF(AND(Import.TipoArredondamento="TransfereGOV",$L172="F",$C172="S",LEFT(TRIM(UPPER($P172)),6)&lt;&gt;"SINAPI",ISNA(VLOOKUP(TRIM(UPPER($S172)),ListaTgov.Unidades,1,FALSE))),"Unid. Não Disp",
" "))))))))))))))))</f>
        <v>SEM CUSTO</v>
      </c>
      <c r="AD172" t="str">
        <f ca="1">IF(C172&lt;=CRONO.NivelExibicao,MAX($AD$15:OFFSET(AD172,-1,0))+IF($C172&lt;&gt;1,1,MAX(1,COUNTIF(QCI!$A$13:$A$24,OFFSET($E172,-1,0)))),"")</f>
        <v/>
      </c>
      <c r="AE172" s="7" t="str">
        <f ca="1">IF(AND($C172="S",ORÇAMENTO.CodBarra&lt;&gt;""),IF(ORÇAMENTO.Fonte="",ORÇAMENTO.CodBarra,CONCATENATE(ORÇAMENTO.Fonte," ",ORÇAMENTO.CodBarra)))</f>
        <v>SINAPI 94794</v>
      </c>
      <c r="AF172" s="12" t="str">
        <f ca="1">IF(ISERROR(INDIRECT(ORÇAMENTO.BancoRef)),"(abra o arquivo 'Referência "&amp;Excel_BuiltIn_Database&amp;".xlsm)",IF(OR($C172&lt;&gt;"S",ORÇAMENTO.CodBarra=""),"(Sem Código)",IF(ISERROR(MATCH($AE172,INDIRECT(ORÇAMENTO.BancoRef),0)),"(Código não identificado nas referências)",MATCH($AE172,INDIRECT(ORÇAMENTO.BancoRef),0))))</f>
        <v>(abra o arquivo 'Referência 12-2024.xlsm)</v>
      </c>
      <c r="AG172" s="429">
        <f ca="1">ROUND(IF(DESONERACAO="sim",REFERENCIA.Desonerado,REFERENCIA.NaoDesonerado),2)</f>
        <v>0</v>
      </c>
      <c r="AH172" s="430">
        <f t="shared" ca="1" si="48"/>
        <v>0.31190000000000001</v>
      </c>
      <c r="AJ172" s="432">
        <v>4</v>
      </c>
      <c r="AL172" s="440"/>
      <c r="AM172" s="337">
        <f t="shared" ca="1" si="0"/>
        <v>0</v>
      </c>
      <c r="AN172" s="471">
        <f t="shared" ca="1" si="49"/>
        <v>0</v>
      </c>
    </row>
    <row r="173" spans="1:40" ht="38.25" x14ac:dyDescent="0.2">
      <c r="A173" t="str">
        <f t="shared" si="34"/>
        <v>S</v>
      </c>
      <c r="B173">
        <f t="shared" ca="1" si="35"/>
        <v>3</v>
      </c>
      <c r="C173" t="str">
        <f t="shared" ca="1" si="36"/>
        <v>S</v>
      </c>
      <c r="D173">
        <f t="shared" ca="1" si="37"/>
        <v>0</v>
      </c>
      <c r="E173">
        <f ca="1">IF($C173=1,OFFSET(E173,-1,0)+MAX(1,COUNTIF(QCI!$A$13:$A$24,OFFSET(ORÇAMENTO!E173,-1,0))),OFFSET(E173,-1,0))</f>
        <v>1</v>
      </c>
      <c r="F173">
        <f t="shared" ca="1" si="38"/>
        <v>11</v>
      </c>
      <c r="G173">
        <f t="shared" ca="1" si="39"/>
        <v>2</v>
      </c>
      <c r="H173">
        <f t="shared" ca="1" si="40"/>
        <v>0</v>
      </c>
      <c r="I173">
        <f t="shared" ca="1" si="41"/>
        <v>0</v>
      </c>
      <c r="J173">
        <f t="shared" ca="1" si="42"/>
        <v>0</v>
      </c>
      <c r="K173">
        <f ca="1">IF(OR($C173="S",$C173=0),0,MATCH(OFFSET($D173,0,$C173)+IF($C173&lt;&gt;1,1,COUNTIF(QCI!$A$13:$A$24,ORÇAMENTO!E173)),OFFSET($D173,1,$C173,ROW($C$405)-ROW($C173)),0))</f>
        <v>0</v>
      </c>
      <c r="L173" s="115" t="str">
        <f t="shared" ca="1" si="43"/>
        <v/>
      </c>
      <c r="M173" s="116" t="s">
        <v>706</v>
      </c>
      <c r="N173" s="117" t="str">
        <f t="shared" ca="1" si="44"/>
        <v>Serviço</v>
      </c>
      <c r="O173" s="118" t="str">
        <f t="shared" ca="1" si="45"/>
        <v>-</v>
      </c>
      <c r="P173" s="119" t="s">
        <v>751</v>
      </c>
      <c r="Q173" s="120" t="s">
        <v>1081</v>
      </c>
      <c r="R173" s="121" t="s">
        <v>1457</v>
      </c>
      <c r="S173" s="122" t="s">
        <v>639</v>
      </c>
      <c r="T173" s="123">
        <f ca="1">OFFSET(CÁLCULO!H$15,ROW($T173)-ROW(T$15),0)</f>
        <v>5</v>
      </c>
      <c r="U173" s="124"/>
      <c r="V173" s="125" t="s">
        <v>663</v>
      </c>
      <c r="W173" s="123">
        <f ca="1">IF($C173="S",ROUND(IF(TIPOORCAMENTO="Proposto",ORÇAMENTO.CustoUnitario*(1+$AH173),ORÇAMENTO.PrecoUnitarioLicitado),15-13*$AF$10),0)</f>
        <v>0</v>
      </c>
      <c r="X173" s="126" cm="1">
        <f t="array" aca="1" ref="X173" ca="1">IF($C173="S",IF(OR(Import.TipoArredondamento&lt;&gt;"TransfereGOV",ACOMPANHAMENTO="BM"),VTOTAL1,SUM(OFFSET(CÁLCULO!$AA$15,ROW($X173)-ROW($X$15),1):OFFSET(CÁLCULO!$AL$15,ROW($X173)-ROW($X$15),-1))),IF($C173=0,0,ROUND(SomaAgrup,15-13*$AF$11)))</f>
        <v>0</v>
      </c>
      <c r="Y173" s="127" t="s">
        <v>752</v>
      </c>
      <c r="Z173" t="str">
        <f t="shared" ca="1" si="46"/>
        <v/>
      </c>
      <c r="AA173" s="128">
        <f ca="1">IF($C173="S",IF($Z173="CP",$X173,IF($Z173="RA",(($X173)*QCI!$AA$3),0)),SomaAgrup)</f>
        <v>0</v>
      </c>
      <c r="AB173" s="129">
        <f t="shared" ca="1" si="47"/>
        <v>0</v>
      </c>
      <c r="AC173" s="567" t="str">
        <f ca="1">IF($N173=""," ",
IF(AND($C173&lt;&gt;"S",OR($R173="",$R173="(digite a descrição aqui)")),"DESCRIÇÃO",
IF(AND($C173="S",OR($Q173&lt;&gt;0,$T173&gt;0,$U173&gt;0),$P173=0),"FONTE",
IF(AND($C173="S",$P173&lt;&gt;0,OR($T173&gt;0,$U173&gt;0),$Q173=0),"CÓDIGO",
IF(AND($C173="S",$P173&lt;&gt;0,$Q173&lt;&gt;0,$R173="(Código não identificado nas referências)"),"CÓDIGO N/ID",
IF(AND($C173="S",OR($R173="",$R173="(digite a descrição aqui)"),OR($Q173&lt;&gt;0,$T173&gt;0,$U173&gt;0)),"DESCRIÇÃO",
IF(AND($C173="S",$P173&lt;&gt;0,$Q173&lt;&gt;0,$S173=""),"UNIDADE",
IF(AND($C173="S",$P173&lt;&gt;0,$Q173&lt;&gt;0,$U173=0),"SEM CUSTO",
IF(AND(TIPOORCAMENTO="Licitado",$AL173=0,$AN173&gt;0),"SEM PREÇO",
IF(AND($C173="S",$P173&lt;&gt;0,$Q173&lt;&gt;0,$U173&gt;0,$V173=0),"BDI",
IF(OR(AND(TIPOORCAMENTO="Proposto",$AG173&lt;&gt;"",$AG173&gt;0,ORÇAMENTO.CustoUnitario&gt;$AG173),AND(TIPOORCAMENTO="LICITADO",ORÇAMENTO.PrecoUnitarioLicitado&gt;$AN173)),"ACIMA REF.",
IF(AND($C173="S",$P173&lt;&gt;0,$Q173&lt;&gt;0,$T173=0,$U173&gt;0),"QUANT.",
IF(AND(Import.TipoArredondamento="TransfereGOV",$L173="F",$C173="S",LEN($Q173)&gt;13),"Código &gt;13",
IF(AND(Import.TipoArredondamento="TransfereGOV",$L173="F",$C173&lt;&gt;"S",LEN($R173)&gt;100),"Descrição &gt;100",
IF(AND(Import.TipoArredondamento="TransfereGOV",$L173="F",$C173="S",LEN($R173)&gt;500),"Descrição &gt;500",
IF(AND(Import.TipoArredondamento="TransfereGOV",$L173="F",$C173="S",LEFT(TRIM(UPPER($P173)),6)&lt;&gt;"SINAPI",ISNA(VLOOKUP(TRIM(UPPER($S173)),ListaTgov.Unidades,1,FALSE))),"Unid. Não Disp",
" "))))))))))))))))</f>
        <v>SEM CUSTO</v>
      </c>
      <c r="AD173" t="str">
        <f ca="1">IF(C173&lt;=CRONO.NivelExibicao,MAX($AD$15:OFFSET(AD173,-1,0))+IF($C173&lt;&gt;1,1,MAX(1,COUNTIF(QCI!$A$13:$A$24,OFFSET($E173,-1,0)))),"")</f>
        <v/>
      </c>
      <c r="AE173" s="7" t="str">
        <f ca="1">IF(AND($C173="S",ORÇAMENTO.CodBarra&lt;&gt;""),IF(ORÇAMENTO.Fonte="",ORÇAMENTO.CodBarra,CONCATENATE(ORÇAMENTO.Fonte," ",ORÇAMENTO.CodBarra)))</f>
        <v>SINAPI 94793</v>
      </c>
      <c r="AF173" s="12" t="str">
        <f ca="1">IF(ISERROR(INDIRECT(ORÇAMENTO.BancoRef)),"(abra o arquivo 'Referência "&amp;Excel_BuiltIn_Database&amp;".xlsm)",IF(OR($C173&lt;&gt;"S",ORÇAMENTO.CodBarra=""),"(Sem Código)",IF(ISERROR(MATCH($AE173,INDIRECT(ORÇAMENTO.BancoRef),0)),"(Código não identificado nas referências)",MATCH($AE173,INDIRECT(ORÇAMENTO.BancoRef),0))))</f>
        <v>(abra o arquivo 'Referência 12-2024.xlsm)</v>
      </c>
      <c r="AG173" s="429">
        <f ca="1">ROUND(IF(DESONERACAO="sim",REFERENCIA.Desonerado,REFERENCIA.NaoDesonerado),2)</f>
        <v>0</v>
      </c>
      <c r="AH173" s="430">
        <f t="shared" ca="1" si="48"/>
        <v>0.31190000000000001</v>
      </c>
      <c r="AJ173" s="432">
        <v>5</v>
      </c>
      <c r="AL173" s="440"/>
      <c r="AM173" s="337">
        <f t="shared" ca="1" si="0"/>
        <v>0</v>
      </c>
      <c r="AN173" s="471">
        <f t="shared" ca="1" si="49"/>
        <v>0</v>
      </c>
    </row>
    <row r="174" spans="1:40" ht="25.5" x14ac:dyDescent="0.2">
      <c r="A174" t="str">
        <f t="shared" si="34"/>
        <v>S</v>
      </c>
      <c r="B174">
        <f t="shared" ca="1" si="35"/>
        <v>3</v>
      </c>
      <c r="C174" t="str">
        <f t="shared" ca="1" si="36"/>
        <v>S</v>
      </c>
      <c r="D174">
        <f t="shared" ca="1" si="37"/>
        <v>0</v>
      </c>
      <c r="E174">
        <f ca="1">IF($C174=1,OFFSET(E174,-1,0)+MAX(1,COUNTIF(QCI!$A$13:$A$24,OFFSET(ORÇAMENTO!E174,-1,0))),OFFSET(E174,-1,0))</f>
        <v>1</v>
      </c>
      <c r="F174">
        <f t="shared" ca="1" si="38"/>
        <v>11</v>
      </c>
      <c r="G174">
        <f t="shared" ca="1" si="39"/>
        <v>2</v>
      </c>
      <c r="H174">
        <f t="shared" ca="1" si="40"/>
        <v>0</v>
      </c>
      <c r="I174">
        <f t="shared" ca="1" si="41"/>
        <v>0</v>
      </c>
      <c r="J174">
        <f t="shared" ca="1" si="42"/>
        <v>0</v>
      </c>
      <c r="K174">
        <f ca="1">IF(OR($C174="S",$C174=0),0,MATCH(OFFSET($D174,0,$C174)+IF($C174&lt;&gt;1,1,COUNTIF(QCI!$A$13:$A$24,ORÇAMENTO!E174)),OFFSET($D174,1,$C174,ROW($C$405)-ROW($C174)),0))</f>
        <v>0</v>
      </c>
      <c r="L174" s="115" t="str">
        <f t="shared" ca="1" si="43"/>
        <v/>
      </c>
      <c r="M174" s="116" t="s">
        <v>706</v>
      </c>
      <c r="N174" s="117" t="str">
        <f t="shared" ca="1" si="44"/>
        <v>Serviço</v>
      </c>
      <c r="O174" s="118" t="str">
        <f t="shared" ca="1" si="45"/>
        <v>-</v>
      </c>
      <c r="P174" s="119" t="s">
        <v>751</v>
      </c>
      <c r="Q174" s="120" t="s">
        <v>1082</v>
      </c>
      <c r="R174" s="121" t="s">
        <v>1458</v>
      </c>
      <c r="S174" s="122" t="s">
        <v>639</v>
      </c>
      <c r="T174" s="123">
        <f ca="1">OFFSET(CÁLCULO!H$15,ROW($T174)-ROW(T$15),0)</f>
        <v>44</v>
      </c>
      <c r="U174" s="124"/>
      <c r="V174" s="125" t="s">
        <v>663</v>
      </c>
      <c r="W174" s="123">
        <f ca="1">IF($C174="S",ROUND(IF(TIPOORCAMENTO="Proposto",ORÇAMENTO.CustoUnitario*(1+$AH174),ORÇAMENTO.PrecoUnitarioLicitado),15-13*$AF$10),0)</f>
        <v>0</v>
      </c>
      <c r="X174" s="126" cm="1">
        <f t="array" aca="1" ref="X174" ca="1">IF($C174="S",IF(OR(Import.TipoArredondamento&lt;&gt;"TransfereGOV",ACOMPANHAMENTO="BM"),VTOTAL1,SUM(OFFSET(CÁLCULO!$AA$15,ROW($X174)-ROW($X$15),1):OFFSET(CÁLCULO!$AL$15,ROW($X174)-ROW($X$15),-1))),IF($C174=0,0,ROUND(SomaAgrup,15-13*$AF$11)))</f>
        <v>0</v>
      </c>
      <c r="Y174" s="127" t="s">
        <v>752</v>
      </c>
      <c r="Z174" t="str">
        <f t="shared" ca="1" si="46"/>
        <v/>
      </c>
      <c r="AA174" s="128">
        <f ca="1">IF($C174="S",IF($Z174="CP",$X174,IF($Z174="RA",(($X174)*QCI!$AA$3),0)),SomaAgrup)</f>
        <v>0</v>
      </c>
      <c r="AB174" s="129">
        <f t="shared" ca="1" si="47"/>
        <v>0</v>
      </c>
      <c r="AC174" s="567" t="str">
        <f ca="1">IF($N174=""," ",
IF(AND($C174&lt;&gt;"S",OR($R174="",$R174="(digite a descrição aqui)")),"DESCRIÇÃO",
IF(AND($C174="S",OR($Q174&lt;&gt;0,$T174&gt;0,$U174&gt;0),$P174=0),"FONTE",
IF(AND($C174="S",$P174&lt;&gt;0,OR($T174&gt;0,$U174&gt;0),$Q174=0),"CÓDIGO",
IF(AND($C174="S",$P174&lt;&gt;0,$Q174&lt;&gt;0,$R174="(Código não identificado nas referências)"),"CÓDIGO N/ID",
IF(AND($C174="S",OR($R174="",$R174="(digite a descrição aqui)"),OR($Q174&lt;&gt;0,$T174&gt;0,$U174&gt;0)),"DESCRIÇÃO",
IF(AND($C174="S",$P174&lt;&gt;0,$Q174&lt;&gt;0,$S174=""),"UNIDADE",
IF(AND($C174="S",$P174&lt;&gt;0,$Q174&lt;&gt;0,$U174=0),"SEM CUSTO",
IF(AND(TIPOORCAMENTO="Licitado",$AL174=0,$AN174&gt;0),"SEM PREÇO",
IF(AND($C174="S",$P174&lt;&gt;0,$Q174&lt;&gt;0,$U174&gt;0,$V174=0),"BDI",
IF(OR(AND(TIPOORCAMENTO="Proposto",$AG174&lt;&gt;"",$AG174&gt;0,ORÇAMENTO.CustoUnitario&gt;$AG174),AND(TIPOORCAMENTO="LICITADO",ORÇAMENTO.PrecoUnitarioLicitado&gt;$AN174)),"ACIMA REF.",
IF(AND($C174="S",$P174&lt;&gt;0,$Q174&lt;&gt;0,$T174=0,$U174&gt;0),"QUANT.",
IF(AND(Import.TipoArredondamento="TransfereGOV",$L174="F",$C174="S",LEN($Q174)&gt;13),"Código &gt;13",
IF(AND(Import.TipoArredondamento="TransfereGOV",$L174="F",$C174&lt;&gt;"S",LEN($R174)&gt;100),"Descrição &gt;100",
IF(AND(Import.TipoArredondamento="TransfereGOV",$L174="F",$C174="S",LEN($R174)&gt;500),"Descrição &gt;500",
IF(AND(Import.TipoArredondamento="TransfereGOV",$L174="F",$C174="S",LEFT(TRIM(UPPER($P174)),6)&lt;&gt;"SINAPI",ISNA(VLOOKUP(TRIM(UPPER($S174)),ListaTgov.Unidades,1,FALSE))),"Unid. Não Disp",
" "))))))))))))))))</f>
        <v>SEM CUSTO</v>
      </c>
      <c r="AD174" t="str">
        <f ca="1">IF(C174&lt;=CRONO.NivelExibicao,MAX($AD$15:OFFSET(AD174,-1,0))+IF($C174&lt;&gt;1,1,MAX(1,COUNTIF(QCI!$A$13:$A$24,OFFSET($E174,-1,0)))),"")</f>
        <v/>
      </c>
      <c r="AE174" s="7" t="str">
        <f ca="1">IF(AND($C174="S",ORÇAMENTO.CodBarra&lt;&gt;""),IF(ORÇAMENTO.Fonte="",ORÇAMENTO.CodBarra,CONCATENATE(ORÇAMENTO.Fonte," ",ORÇAMENTO.CodBarra)))</f>
        <v>SINAPI 86887</v>
      </c>
      <c r="AF174" s="12" t="str">
        <f ca="1">IF(ISERROR(INDIRECT(ORÇAMENTO.BancoRef)),"(abra o arquivo 'Referência "&amp;Excel_BuiltIn_Database&amp;".xlsm)",IF(OR($C174&lt;&gt;"S",ORÇAMENTO.CodBarra=""),"(Sem Código)",IF(ISERROR(MATCH($AE174,INDIRECT(ORÇAMENTO.BancoRef),0)),"(Código não identificado nas referências)",MATCH($AE174,INDIRECT(ORÇAMENTO.BancoRef),0))))</f>
        <v>(abra o arquivo 'Referência 12-2024.xlsm)</v>
      </c>
      <c r="AG174" s="429">
        <f ca="1">ROUND(IF(DESONERACAO="sim",REFERENCIA.Desonerado,REFERENCIA.NaoDesonerado),2)</f>
        <v>0</v>
      </c>
      <c r="AH174" s="430">
        <f t="shared" ca="1" si="48"/>
        <v>0.31190000000000001</v>
      </c>
      <c r="AJ174" s="432">
        <v>44</v>
      </c>
      <c r="AL174" s="440"/>
      <c r="AM174" s="337">
        <f t="shared" ca="1" si="0"/>
        <v>0</v>
      </c>
      <c r="AN174" s="471">
        <f t="shared" ca="1" si="49"/>
        <v>0</v>
      </c>
    </row>
    <row r="175" spans="1:40" ht="25.5" x14ac:dyDescent="0.2">
      <c r="A175" t="str">
        <f t="shared" si="34"/>
        <v>S</v>
      </c>
      <c r="B175">
        <f t="shared" ca="1" si="35"/>
        <v>3</v>
      </c>
      <c r="C175" t="str">
        <f t="shared" ca="1" si="36"/>
        <v>S</v>
      </c>
      <c r="D175">
        <f t="shared" ca="1" si="37"/>
        <v>0</v>
      </c>
      <c r="E175">
        <f ca="1">IF($C175=1,OFFSET(E175,-1,0)+MAX(1,COUNTIF(QCI!$A$13:$A$24,OFFSET(ORÇAMENTO!E175,-1,0))),OFFSET(E175,-1,0))</f>
        <v>1</v>
      </c>
      <c r="F175">
        <f t="shared" ca="1" si="38"/>
        <v>11</v>
      </c>
      <c r="G175">
        <f t="shared" ca="1" si="39"/>
        <v>2</v>
      </c>
      <c r="H175">
        <f t="shared" ca="1" si="40"/>
        <v>0</v>
      </c>
      <c r="I175">
        <f t="shared" ca="1" si="41"/>
        <v>0</v>
      </c>
      <c r="J175">
        <f t="shared" ca="1" si="42"/>
        <v>0</v>
      </c>
      <c r="K175">
        <f ca="1">IF(OR($C175="S",$C175=0),0,MATCH(OFFSET($D175,0,$C175)+IF($C175&lt;&gt;1,1,COUNTIF(QCI!$A$13:$A$24,ORÇAMENTO!E175)),OFFSET($D175,1,$C175,ROW($C$405)-ROW($C175)),0))</f>
        <v>0</v>
      </c>
      <c r="L175" s="115" t="str">
        <f t="shared" ca="1" si="43"/>
        <v/>
      </c>
      <c r="M175" s="116" t="s">
        <v>706</v>
      </c>
      <c r="N175" s="117" t="str">
        <f t="shared" ca="1" si="44"/>
        <v>Serviço</v>
      </c>
      <c r="O175" s="118" t="str">
        <f t="shared" ca="1" si="45"/>
        <v>-</v>
      </c>
      <c r="P175" s="119" t="s">
        <v>751</v>
      </c>
      <c r="Q175" s="120" t="s">
        <v>1083</v>
      </c>
      <c r="R175" s="121" t="s">
        <v>1459</v>
      </c>
      <c r="S175" s="122" t="s">
        <v>639</v>
      </c>
      <c r="T175" s="123">
        <f ca="1">OFFSET(CÁLCULO!H$15,ROW($T175)-ROW(T$15),0)</f>
        <v>1</v>
      </c>
      <c r="U175" s="124"/>
      <c r="V175" s="125" t="s">
        <v>663</v>
      </c>
      <c r="W175" s="123">
        <f ca="1">IF($C175="S",ROUND(IF(TIPOORCAMENTO="Proposto",ORÇAMENTO.CustoUnitario*(1+$AH175),ORÇAMENTO.PrecoUnitarioLicitado),15-13*$AF$10),0)</f>
        <v>0</v>
      </c>
      <c r="X175" s="126" cm="1">
        <f t="array" aca="1" ref="X175" ca="1">IF($C175="S",IF(OR(Import.TipoArredondamento&lt;&gt;"TransfereGOV",ACOMPANHAMENTO="BM"),VTOTAL1,SUM(OFFSET(CÁLCULO!$AA$15,ROW($X175)-ROW($X$15),1):OFFSET(CÁLCULO!$AL$15,ROW($X175)-ROW($X$15),-1))),IF($C175=0,0,ROUND(SomaAgrup,15-13*$AF$11)))</f>
        <v>0</v>
      </c>
      <c r="Y175" s="127" t="s">
        <v>752</v>
      </c>
      <c r="Z175" t="str">
        <f t="shared" ca="1" si="46"/>
        <v/>
      </c>
      <c r="AA175" s="128">
        <f ca="1">IF($C175="S",IF($Z175="CP",$X175,IF($Z175="RA",(($X175)*QCI!$AA$3),0)),SomaAgrup)</f>
        <v>0</v>
      </c>
      <c r="AB175" s="129">
        <f t="shared" ca="1" si="47"/>
        <v>0</v>
      </c>
      <c r="AC175" s="567" t="str">
        <f ca="1">IF($N175=""," ",
IF(AND($C175&lt;&gt;"S",OR($R175="",$R175="(digite a descrição aqui)")),"DESCRIÇÃO",
IF(AND($C175="S",OR($Q175&lt;&gt;0,$T175&gt;0,$U175&gt;0),$P175=0),"FONTE",
IF(AND($C175="S",$P175&lt;&gt;0,OR($T175&gt;0,$U175&gt;0),$Q175=0),"CÓDIGO",
IF(AND($C175="S",$P175&lt;&gt;0,$Q175&lt;&gt;0,$R175="(Código não identificado nas referências)"),"CÓDIGO N/ID",
IF(AND($C175="S",OR($R175="",$R175="(digite a descrição aqui)"),OR($Q175&lt;&gt;0,$T175&gt;0,$U175&gt;0)),"DESCRIÇÃO",
IF(AND($C175="S",$P175&lt;&gt;0,$Q175&lt;&gt;0,$S175=""),"UNIDADE",
IF(AND($C175="S",$P175&lt;&gt;0,$Q175&lt;&gt;0,$U175=0),"SEM CUSTO",
IF(AND(TIPOORCAMENTO="Licitado",$AL175=0,$AN175&gt;0),"SEM PREÇO",
IF(AND($C175="S",$P175&lt;&gt;0,$Q175&lt;&gt;0,$U175&gt;0,$V175=0),"BDI",
IF(OR(AND(TIPOORCAMENTO="Proposto",$AG175&lt;&gt;"",$AG175&gt;0,ORÇAMENTO.CustoUnitario&gt;$AG175),AND(TIPOORCAMENTO="LICITADO",ORÇAMENTO.PrecoUnitarioLicitado&gt;$AN175)),"ACIMA REF.",
IF(AND($C175="S",$P175&lt;&gt;0,$Q175&lt;&gt;0,$T175=0,$U175&gt;0),"QUANT.",
IF(AND(Import.TipoArredondamento="TransfereGOV",$L175="F",$C175="S",LEN($Q175)&gt;13),"Código &gt;13",
IF(AND(Import.TipoArredondamento="TransfereGOV",$L175="F",$C175&lt;&gt;"S",LEN($R175)&gt;100),"Descrição &gt;100",
IF(AND(Import.TipoArredondamento="TransfereGOV",$L175="F",$C175="S",LEN($R175)&gt;500),"Descrição &gt;500",
IF(AND(Import.TipoArredondamento="TransfereGOV",$L175="F",$C175="S",LEFT(TRIM(UPPER($P175)),6)&lt;&gt;"SINAPI",ISNA(VLOOKUP(TRIM(UPPER($S175)),ListaTgov.Unidades,1,FALSE))),"Unid. Não Disp",
" "))))))))))))))))</f>
        <v>SEM CUSTO</v>
      </c>
      <c r="AD175" t="str">
        <f ca="1">IF(C175&lt;=CRONO.NivelExibicao,MAX($AD$15:OFFSET(AD175,-1,0))+IF($C175&lt;&gt;1,1,MAX(1,COUNTIF(QCI!$A$13:$A$24,OFFSET($E175,-1,0)))),"")</f>
        <v/>
      </c>
      <c r="AE175" s="7" t="str">
        <f ca="1">IF(AND($C175="S",ORÇAMENTO.CodBarra&lt;&gt;""),IF(ORÇAMENTO.Fonte="",ORÇAMENTO.CodBarra,CONCATENATE(ORÇAMENTO.Fonte," ",ORÇAMENTO.CodBarra)))</f>
        <v>SINAPI 95675</v>
      </c>
      <c r="AF175" s="12" t="str">
        <f ca="1">IF(ISERROR(INDIRECT(ORÇAMENTO.BancoRef)),"(abra o arquivo 'Referência "&amp;Excel_BuiltIn_Database&amp;".xlsm)",IF(OR($C175&lt;&gt;"S",ORÇAMENTO.CodBarra=""),"(Sem Código)",IF(ISERROR(MATCH($AE175,INDIRECT(ORÇAMENTO.BancoRef),0)),"(Código não identificado nas referências)",MATCH($AE175,INDIRECT(ORÇAMENTO.BancoRef),0))))</f>
        <v>(abra o arquivo 'Referência 12-2024.xlsm)</v>
      </c>
      <c r="AG175" s="429">
        <f ca="1">ROUND(IF(DESONERACAO="sim",REFERENCIA.Desonerado,REFERENCIA.NaoDesonerado),2)</f>
        <v>0</v>
      </c>
      <c r="AH175" s="430">
        <f t="shared" ca="1" si="48"/>
        <v>0.31190000000000001</v>
      </c>
      <c r="AJ175" s="432">
        <v>1</v>
      </c>
      <c r="AL175" s="440"/>
      <c r="AM175" s="337">
        <f t="shared" ca="1" si="0"/>
        <v>0</v>
      </c>
      <c r="AN175" s="471">
        <f t="shared" ca="1" si="49"/>
        <v>0</v>
      </c>
    </row>
    <row r="176" spans="1:40" ht="38.25" x14ac:dyDescent="0.2">
      <c r="A176" t="str">
        <f t="shared" si="34"/>
        <v>S</v>
      </c>
      <c r="B176">
        <f t="shared" ca="1" si="35"/>
        <v>3</v>
      </c>
      <c r="C176" t="str">
        <f t="shared" ca="1" si="36"/>
        <v>S</v>
      </c>
      <c r="D176">
        <f t="shared" ca="1" si="37"/>
        <v>0</v>
      </c>
      <c r="E176">
        <f ca="1">IF($C176=1,OFFSET(E176,-1,0)+MAX(1,COUNTIF(QCI!$A$13:$A$24,OFFSET(ORÇAMENTO!E176,-1,0))),OFFSET(E176,-1,0))</f>
        <v>1</v>
      </c>
      <c r="F176">
        <f t="shared" ca="1" si="38"/>
        <v>11</v>
      </c>
      <c r="G176">
        <f t="shared" ca="1" si="39"/>
        <v>2</v>
      </c>
      <c r="H176">
        <f t="shared" ca="1" si="40"/>
        <v>0</v>
      </c>
      <c r="I176">
        <f t="shared" ca="1" si="41"/>
        <v>0</v>
      </c>
      <c r="J176">
        <f t="shared" ca="1" si="42"/>
        <v>0</v>
      </c>
      <c r="K176">
        <f ca="1">IF(OR($C176="S",$C176=0),0,MATCH(OFFSET($D176,0,$C176)+IF($C176&lt;&gt;1,1,COUNTIF(QCI!$A$13:$A$24,ORÇAMENTO!E176)),OFFSET($D176,1,$C176,ROW($C$405)-ROW($C176)),0))</f>
        <v>0</v>
      </c>
      <c r="L176" s="115" t="str">
        <f t="shared" ca="1" si="43"/>
        <v/>
      </c>
      <c r="M176" s="116" t="s">
        <v>706</v>
      </c>
      <c r="N176" s="117" t="str">
        <f t="shared" ca="1" si="44"/>
        <v>Serviço</v>
      </c>
      <c r="O176" s="118" t="str">
        <f t="shared" ca="1" si="45"/>
        <v>-</v>
      </c>
      <c r="P176" s="119" t="s">
        <v>751</v>
      </c>
      <c r="Q176" s="120" t="s">
        <v>1084</v>
      </c>
      <c r="R176" s="121" t="s">
        <v>1460</v>
      </c>
      <c r="S176" s="122" t="s">
        <v>639</v>
      </c>
      <c r="T176" s="123">
        <f ca="1">OFFSET(CÁLCULO!H$15,ROW($T176)-ROW(T$15),0)</f>
        <v>1</v>
      </c>
      <c r="U176" s="124"/>
      <c r="V176" s="125" t="s">
        <v>663</v>
      </c>
      <c r="W176" s="123">
        <f ca="1">IF($C176="S",ROUND(IF(TIPOORCAMENTO="Proposto",ORÇAMENTO.CustoUnitario*(1+$AH176),ORÇAMENTO.PrecoUnitarioLicitado),15-13*$AF$10),0)</f>
        <v>0</v>
      </c>
      <c r="X176" s="126" cm="1">
        <f t="array" aca="1" ref="X176" ca="1">IF($C176="S",IF(OR(Import.TipoArredondamento&lt;&gt;"TransfereGOV",ACOMPANHAMENTO="BM"),VTOTAL1,SUM(OFFSET(CÁLCULO!$AA$15,ROW($X176)-ROW($X$15),1):OFFSET(CÁLCULO!$AL$15,ROW($X176)-ROW($X$15),-1))),IF($C176=0,0,ROUND(SomaAgrup,15-13*$AF$11)))</f>
        <v>0</v>
      </c>
      <c r="Y176" s="127" t="s">
        <v>752</v>
      </c>
      <c r="Z176" t="str">
        <f t="shared" ca="1" si="46"/>
        <v/>
      </c>
      <c r="AA176" s="128">
        <f ca="1">IF($C176="S",IF($Z176="CP",$X176,IF($Z176="RA",(($X176)*QCI!$AA$3),0)),SomaAgrup)</f>
        <v>0</v>
      </c>
      <c r="AB176" s="129">
        <f t="shared" ca="1" si="47"/>
        <v>0</v>
      </c>
      <c r="AC176" s="567" t="str">
        <f ca="1">IF($N176=""," ",
IF(AND($C176&lt;&gt;"S",OR($R176="",$R176="(digite a descrição aqui)")),"DESCRIÇÃO",
IF(AND($C176="S",OR($Q176&lt;&gt;0,$T176&gt;0,$U176&gt;0),$P176=0),"FONTE",
IF(AND($C176="S",$P176&lt;&gt;0,OR($T176&gt;0,$U176&gt;0),$Q176=0),"CÓDIGO",
IF(AND($C176="S",$P176&lt;&gt;0,$Q176&lt;&gt;0,$R176="(Código não identificado nas referências)"),"CÓDIGO N/ID",
IF(AND($C176="S",OR($R176="",$R176="(digite a descrição aqui)"),OR($Q176&lt;&gt;0,$T176&gt;0,$U176&gt;0)),"DESCRIÇÃO",
IF(AND($C176="S",$P176&lt;&gt;0,$Q176&lt;&gt;0,$S176=""),"UNIDADE",
IF(AND($C176="S",$P176&lt;&gt;0,$Q176&lt;&gt;0,$U176=0),"SEM CUSTO",
IF(AND(TIPOORCAMENTO="Licitado",$AL176=0,$AN176&gt;0),"SEM PREÇO",
IF(AND($C176="S",$P176&lt;&gt;0,$Q176&lt;&gt;0,$U176&gt;0,$V176=0),"BDI",
IF(OR(AND(TIPOORCAMENTO="Proposto",$AG176&lt;&gt;"",$AG176&gt;0,ORÇAMENTO.CustoUnitario&gt;$AG176),AND(TIPOORCAMENTO="LICITADO",ORÇAMENTO.PrecoUnitarioLicitado&gt;$AN176)),"ACIMA REF.",
IF(AND($C176="S",$P176&lt;&gt;0,$Q176&lt;&gt;0,$T176=0,$U176&gt;0),"QUANT.",
IF(AND(Import.TipoArredondamento="TransfereGOV",$L176="F",$C176="S",LEN($Q176)&gt;13),"Código &gt;13",
IF(AND(Import.TipoArredondamento="TransfereGOV",$L176="F",$C176&lt;&gt;"S",LEN($R176)&gt;100),"Descrição &gt;100",
IF(AND(Import.TipoArredondamento="TransfereGOV",$L176="F",$C176="S",LEN($R176)&gt;500),"Descrição &gt;500",
IF(AND(Import.TipoArredondamento="TransfereGOV",$L176="F",$C176="S",LEFT(TRIM(UPPER($P176)),6)&lt;&gt;"SINAPI",ISNA(VLOOKUP(TRIM(UPPER($S176)),ListaTgov.Unidades,1,FALSE))),"Unid. Não Disp",
" "))))))))))))))))</f>
        <v>SEM CUSTO</v>
      </c>
      <c r="AD176" t="str">
        <f ca="1">IF(C176&lt;=CRONO.NivelExibicao,MAX($AD$15:OFFSET(AD176,-1,0))+IF($C176&lt;&gt;1,1,MAX(1,COUNTIF(QCI!$A$13:$A$24,OFFSET($E176,-1,0)))),"")</f>
        <v/>
      </c>
      <c r="AE176" s="7" t="str">
        <f ca="1">IF(AND($C176="S",ORÇAMENTO.CodBarra&lt;&gt;""),IF(ORÇAMENTO.Fonte="",ORÇAMENTO.CodBarra,CONCATENATE(ORÇAMENTO.Fonte," ",ORÇAMENTO.CodBarra)))</f>
        <v>SINAPI 95635</v>
      </c>
      <c r="AF176" s="12" t="str">
        <f ca="1">IF(ISERROR(INDIRECT(ORÇAMENTO.BancoRef)),"(abra o arquivo 'Referência "&amp;Excel_BuiltIn_Database&amp;".xlsm)",IF(OR($C176&lt;&gt;"S",ORÇAMENTO.CodBarra=""),"(Sem Código)",IF(ISERROR(MATCH($AE176,INDIRECT(ORÇAMENTO.BancoRef),0)),"(Código não identificado nas referências)",MATCH($AE176,INDIRECT(ORÇAMENTO.BancoRef),0))))</f>
        <v>(abra o arquivo 'Referência 12-2024.xlsm)</v>
      </c>
      <c r="AG176" s="429">
        <f ca="1">ROUND(IF(DESONERACAO="sim",REFERENCIA.Desonerado,REFERENCIA.NaoDesonerado),2)</f>
        <v>0</v>
      </c>
      <c r="AH176" s="430">
        <f t="shared" ca="1" si="48"/>
        <v>0.31190000000000001</v>
      </c>
      <c r="AJ176" s="432">
        <v>1</v>
      </c>
      <c r="AL176" s="440"/>
      <c r="AM176" s="337">
        <f t="shared" ca="1" si="0"/>
        <v>0</v>
      </c>
      <c r="AN176" s="471">
        <f t="shared" ca="1" si="49"/>
        <v>0</v>
      </c>
    </row>
    <row r="177" spans="1:40" ht="38.25" x14ac:dyDescent="0.2">
      <c r="A177" t="str">
        <f t="shared" si="34"/>
        <v>S</v>
      </c>
      <c r="B177">
        <f t="shared" ca="1" si="35"/>
        <v>3</v>
      </c>
      <c r="C177" t="str">
        <f t="shared" ca="1" si="36"/>
        <v>S</v>
      </c>
      <c r="D177">
        <f t="shared" ca="1" si="37"/>
        <v>0</v>
      </c>
      <c r="E177">
        <f ca="1">IF($C177=1,OFFSET(E177,-1,0)+MAX(1,COUNTIF(QCI!$A$13:$A$24,OFFSET(ORÇAMENTO!E177,-1,0))),OFFSET(E177,-1,0))</f>
        <v>1</v>
      </c>
      <c r="F177">
        <f t="shared" ca="1" si="38"/>
        <v>11</v>
      </c>
      <c r="G177">
        <f t="shared" ca="1" si="39"/>
        <v>2</v>
      </c>
      <c r="H177">
        <f t="shared" ca="1" si="40"/>
        <v>0</v>
      </c>
      <c r="I177">
        <f t="shared" ca="1" si="41"/>
        <v>0</v>
      </c>
      <c r="J177">
        <f t="shared" ca="1" si="42"/>
        <v>0</v>
      </c>
      <c r="K177">
        <f ca="1">IF(OR($C177="S",$C177=0),0,MATCH(OFFSET($D177,0,$C177)+IF($C177&lt;&gt;1,1,COUNTIF(QCI!$A$13:$A$24,ORÇAMENTO!E177)),OFFSET($D177,1,$C177,ROW($C$405)-ROW($C177)),0))</f>
        <v>0</v>
      </c>
      <c r="L177" s="115" t="str">
        <f t="shared" ca="1" si="43"/>
        <v/>
      </c>
      <c r="M177" s="116" t="s">
        <v>706</v>
      </c>
      <c r="N177" s="117" t="str">
        <f t="shared" ca="1" si="44"/>
        <v>Serviço</v>
      </c>
      <c r="O177" s="118" t="str">
        <f t="shared" ca="1" si="45"/>
        <v>-</v>
      </c>
      <c r="P177" s="119" t="s">
        <v>751</v>
      </c>
      <c r="Q177" s="120" t="s">
        <v>1078</v>
      </c>
      <c r="R177" s="121" t="s">
        <v>1454</v>
      </c>
      <c r="S177" s="122" t="s">
        <v>639</v>
      </c>
      <c r="T177" s="123">
        <f ca="1">OFFSET(CÁLCULO!H$15,ROW($T177)-ROW(T$15),0)</f>
        <v>9</v>
      </c>
      <c r="U177" s="124"/>
      <c r="V177" s="125" t="s">
        <v>663</v>
      </c>
      <c r="W177" s="123">
        <f ca="1">IF($C177="S",ROUND(IF(TIPOORCAMENTO="Proposto",ORÇAMENTO.CustoUnitario*(1+$AH177),ORÇAMENTO.PrecoUnitarioLicitado),15-13*$AF$10),0)</f>
        <v>0</v>
      </c>
      <c r="X177" s="126" cm="1">
        <f t="array" aca="1" ref="X177" ca="1">IF($C177="S",IF(OR(Import.TipoArredondamento&lt;&gt;"TransfereGOV",ACOMPANHAMENTO="BM"),VTOTAL1,SUM(OFFSET(CÁLCULO!$AA$15,ROW($X177)-ROW($X$15),1):OFFSET(CÁLCULO!$AL$15,ROW($X177)-ROW($X$15),-1))),IF($C177=0,0,ROUND(SomaAgrup,15-13*$AF$11)))</f>
        <v>0</v>
      </c>
      <c r="Y177" s="127" t="s">
        <v>752</v>
      </c>
      <c r="Z177" t="str">
        <f t="shared" ca="1" si="46"/>
        <v/>
      </c>
      <c r="AA177" s="128">
        <f ca="1">IF($C177="S",IF($Z177="CP",$X177,IF($Z177="RA",(($X177)*QCI!$AA$3),0)),SomaAgrup)</f>
        <v>0</v>
      </c>
      <c r="AB177" s="129">
        <f t="shared" ca="1" si="47"/>
        <v>0</v>
      </c>
      <c r="AC177" s="567" t="str">
        <f ca="1">IF($N177=""," ",
IF(AND($C177&lt;&gt;"S",OR($R177="",$R177="(digite a descrição aqui)")),"DESCRIÇÃO",
IF(AND($C177="S",OR($Q177&lt;&gt;0,$T177&gt;0,$U177&gt;0),$P177=0),"FONTE",
IF(AND($C177="S",$P177&lt;&gt;0,OR($T177&gt;0,$U177&gt;0),$Q177=0),"CÓDIGO",
IF(AND($C177="S",$P177&lt;&gt;0,$Q177&lt;&gt;0,$R177="(Código não identificado nas referências)"),"CÓDIGO N/ID",
IF(AND($C177="S",OR($R177="",$R177="(digite a descrição aqui)"),OR($Q177&lt;&gt;0,$T177&gt;0,$U177&gt;0)),"DESCRIÇÃO",
IF(AND($C177="S",$P177&lt;&gt;0,$Q177&lt;&gt;0,$S177=""),"UNIDADE",
IF(AND($C177="S",$P177&lt;&gt;0,$Q177&lt;&gt;0,$U177=0),"SEM CUSTO",
IF(AND(TIPOORCAMENTO="Licitado",$AL177=0,$AN177&gt;0),"SEM PREÇO",
IF(AND($C177="S",$P177&lt;&gt;0,$Q177&lt;&gt;0,$U177&gt;0,$V177=0),"BDI",
IF(OR(AND(TIPOORCAMENTO="Proposto",$AG177&lt;&gt;"",$AG177&gt;0,ORÇAMENTO.CustoUnitario&gt;$AG177),AND(TIPOORCAMENTO="LICITADO",ORÇAMENTO.PrecoUnitarioLicitado&gt;$AN177)),"ACIMA REF.",
IF(AND($C177="S",$P177&lt;&gt;0,$Q177&lt;&gt;0,$T177=0,$U177&gt;0),"QUANT.",
IF(AND(Import.TipoArredondamento="TransfereGOV",$L177="F",$C177="S",LEN($Q177)&gt;13),"Código &gt;13",
IF(AND(Import.TipoArredondamento="TransfereGOV",$L177="F",$C177&lt;&gt;"S",LEN($R177)&gt;100),"Descrição &gt;100",
IF(AND(Import.TipoArredondamento="TransfereGOV",$L177="F",$C177="S",LEN($R177)&gt;500),"Descrição &gt;500",
IF(AND(Import.TipoArredondamento="TransfereGOV",$L177="F",$C177="S",LEFT(TRIM(UPPER($P177)),6)&lt;&gt;"SINAPI",ISNA(VLOOKUP(TRIM(UPPER($S177)),ListaTgov.Unidades,1,FALSE))),"Unid. Não Disp",
" "))))))))))))))))</f>
        <v>SEM CUSTO</v>
      </c>
      <c r="AD177" t="str">
        <f ca="1">IF(C177&lt;=CRONO.NivelExibicao,MAX($AD$15:OFFSET(AD177,-1,0))+IF($C177&lt;&gt;1,1,MAX(1,COUNTIF(QCI!$A$13:$A$24,OFFSET($E177,-1,0)))),"")</f>
        <v/>
      </c>
      <c r="AE177" s="7" t="str">
        <f ca="1">IF(AND($C177="S",ORÇAMENTO.CodBarra&lt;&gt;""),IF(ORÇAMENTO.Fonte="",ORÇAMENTO.CodBarra,CONCATENATE(ORÇAMENTO.Fonte," ",ORÇAMENTO.CodBarra)))</f>
        <v>SINAPI 89381</v>
      </c>
      <c r="AF177" s="12" t="str">
        <f ca="1">IF(ISERROR(INDIRECT(ORÇAMENTO.BancoRef)),"(abra o arquivo 'Referência "&amp;Excel_BuiltIn_Database&amp;".xlsm)",IF(OR($C177&lt;&gt;"S",ORÇAMENTO.CodBarra=""),"(Sem Código)",IF(ISERROR(MATCH($AE177,INDIRECT(ORÇAMENTO.BancoRef),0)),"(Código não identificado nas referências)",MATCH($AE177,INDIRECT(ORÇAMENTO.BancoRef),0))))</f>
        <v>(abra o arquivo 'Referência 12-2024.xlsm)</v>
      </c>
      <c r="AG177" s="429">
        <f ca="1">ROUND(IF(DESONERACAO="sim",REFERENCIA.Desonerado,REFERENCIA.NaoDesonerado),2)</f>
        <v>0</v>
      </c>
      <c r="AH177" s="430">
        <f t="shared" ca="1" si="48"/>
        <v>0.31190000000000001</v>
      </c>
      <c r="AJ177" s="432">
        <v>9</v>
      </c>
      <c r="AL177" s="440"/>
      <c r="AM177" s="337">
        <f t="shared" ca="1" si="0"/>
        <v>0</v>
      </c>
      <c r="AN177" s="471">
        <f t="shared" ca="1" si="49"/>
        <v>0</v>
      </c>
    </row>
    <row r="178" spans="1:40" ht="38.25" x14ac:dyDescent="0.2">
      <c r="A178" t="str">
        <f t="shared" si="34"/>
        <v>S</v>
      </c>
      <c r="B178">
        <f t="shared" ca="1" si="35"/>
        <v>3</v>
      </c>
      <c r="C178" t="str">
        <f t="shared" ca="1" si="36"/>
        <v>S</v>
      </c>
      <c r="D178">
        <f t="shared" ca="1" si="37"/>
        <v>0</v>
      </c>
      <c r="E178">
        <f ca="1">IF($C178=1,OFFSET(E178,-1,0)+MAX(1,COUNTIF(QCI!$A$13:$A$24,OFFSET(ORÇAMENTO!E178,-1,0))),OFFSET(E178,-1,0))</f>
        <v>1</v>
      </c>
      <c r="F178">
        <f t="shared" ca="1" si="38"/>
        <v>11</v>
      </c>
      <c r="G178">
        <f t="shared" ca="1" si="39"/>
        <v>2</v>
      </c>
      <c r="H178">
        <f t="shared" ca="1" si="40"/>
        <v>0</v>
      </c>
      <c r="I178">
        <f t="shared" ca="1" si="41"/>
        <v>0</v>
      </c>
      <c r="J178">
        <f t="shared" ca="1" si="42"/>
        <v>0</v>
      </c>
      <c r="K178">
        <f ca="1">IF(OR($C178="S",$C178=0),0,MATCH(OFFSET($D178,0,$C178)+IF($C178&lt;&gt;1,1,COUNTIF(QCI!$A$13:$A$24,ORÇAMENTO!E178)),OFFSET($D178,1,$C178,ROW($C$405)-ROW($C178)),0))</f>
        <v>0</v>
      </c>
      <c r="L178" s="115" t="str">
        <f t="shared" ca="1" si="43"/>
        <v/>
      </c>
      <c r="M178" s="116" t="s">
        <v>706</v>
      </c>
      <c r="N178" s="117" t="str">
        <f t="shared" ca="1" si="44"/>
        <v>Serviço</v>
      </c>
      <c r="O178" s="118" t="str">
        <f t="shared" ca="1" si="45"/>
        <v>-</v>
      </c>
      <c r="P178" s="119" t="s">
        <v>751</v>
      </c>
      <c r="Q178" s="120" t="s">
        <v>1085</v>
      </c>
      <c r="R178" s="121" t="s">
        <v>1461</v>
      </c>
      <c r="S178" s="122" t="s">
        <v>639</v>
      </c>
      <c r="T178" s="123">
        <f ca="1">OFFSET(CÁLCULO!H$15,ROW($T178)-ROW(T$15),0)</f>
        <v>9</v>
      </c>
      <c r="U178" s="124"/>
      <c r="V178" s="125" t="s">
        <v>663</v>
      </c>
      <c r="W178" s="123">
        <f ca="1">IF($C178="S",ROUND(IF(TIPOORCAMENTO="Proposto",ORÇAMENTO.CustoUnitario*(1+$AH178),ORÇAMENTO.PrecoUnitarioLicitado),15-13*$AF$10),0)</f>
        <v>0</v>
      </c>
      <c r="X178" s="126" cm="1">
        <f t="array" aca="1" ref="X178" ca="1">IF($C178="S",IF(OR(Import.TipoArredondamento&lt;&gt;"TransfereGOV",ACOMPANHAMENTO="BM"),VTOTAL1,SUM(OFFSET(CÁLCULO!$AA$15,ROW($X178)-ROW($X$15),1):OFFSET(CÁLCULO!$AL$15,ROW($X178)-ROW($X$15),-1))),IF($C178=0,0,ROUND(SomaAgrup,15-13*$AF$11)))</f>
        <v>0</v>
      </c>
      <c r="Y178" s="127" t="s">
        <v>752</v>
      </c>
      <c r="Z178" t="str">
        <f t="shared" ca="1" si="46"/>
        <v/>
      </c>
      <c r="AA178" s="128">
        <f ca="1">IF($C178="S",IF($Z178="CP",$X178,IF($Z178="RA",(($X178)*QCI!$AA$3),0)),SomaAgrup)</f>
        <v>0</v>
      </c>
      <c r="AB178" s="129">
        <f t="shared" ca="1" si="47"/>
        <v>0</v>
      </c>
      <c r="AC178" s="567" t="str">
        <f ca="1">IF($N178=""," ",
IF(AND($C178&lt;&gt;"S",OR($R178="",$R178="(digite a descrição aqui)")),"DESCRIÇÃO",
IF(AND($C178="S",OR($Q178&lt;&gt;0,$T178&gt;0,$U178&gt;0),$P178=0),"FONTE",
IF(AND($C178="S",$P178&lt;&gt;0,OR($T178&gt;0,$U178&gt;0),$Q178=0),"CÓDIGO",
IF(AND($C178="S",$P178&lt;&gt;0,$Q178&lt;&gt;0,$R178="(Código não identificado nas referências)"),"CÓDIGO N/ID",
IF(AND($C178="S",OR($R178="",$R178="(digite a descrição aqui)"),OR($Q178&lt;&gt;0,$T178&gt;0,$U178&gt;0)),"DESCRIÇÃO",
IF(AND($C178="S",$P178&lt;&gt;0,$Q178&lt;&gt;0,$S178=""),"UNIDADE",
IF(AND($C178="S",$P178&lt;&gt;0,$Q178&lt;&gt;0,$U178=0),"SEM CUSTO",
IF(AND(TIPOORCAMENTO="Licitado",$AL178=0,$AN178&gt;0),"SEM PREÇO",
IF(AND($C178="S",$P178&lt;&gt;0,$Q178&lt;&gt;0,$U178&gt;0,$V178=0),"BDI",
IF(OR(AND(TIPOORCAMENTO="Proposto",$AG178&lt;&gt;"",$AG178&gt;0,ORÇAMENTO.CustoUnitario&gt;$AG178),AND(TIPOORCAMENTO="LICITADO",ORÇAMENTO.PrecoUnitarioLicitado&gt;$AN178)),"ACIMA REF.",
IF(AND($C178="S",$P178&lt;&gt;0,$Q178&lt;&gt;0,$T178=0,$U178&gt;0),"QUANT.",
IF(AND(Import.TipoArredondamento="TransfereGOV",$L178="F",$C178="S",LEN($Q178)&gt;13),"Código &gt;13",
IF(AND(Import.TipoArredondamento="TransfereGOV",$L178="F",$C178&lt;&gt;"S",LEN($R178)&gt;100),"Descrição &gt;100",
IF(AND(Import.TipoArredondamento="TransfereGOV",$L178="F",$C178="S",LEN($R178)&gt;500),"Descrição &gt;500",
IF(AND(Import.TipoArredondamento="TransfereGOV",$L178="F",$C178="S",LEFT(TRIM(UPPER($P178)),6)&lt;&gt;"SINAPI",ISNA(VLOOKUP(TRIM(UPPER($S178)),ListaTgov.Unidades,1,FALSE))),"Unid. Não Disp",
" "))))))))))))))))</f>
        <v>SEM CUSTO</v>
      </c>
      <c r="AD178" t="str">
        <f ca="1">IF(C178&lt;=CRONO.NivelExibicao,MAX($AD$15:OFFSET(AD178,-1,0))+IF($C178&lt;&gt;1,1,MAX(1,COUNTIF(QCI!$A$13:$A$24,OFFSET($E178,-1,0)))),"")</f>
        <v/>
      </c>
      <c r="AE178" s="7" t="str">
        <f ca="1">IF(AND($C178="S",ORÇAMENTO.CodBarra&lt;&gt;""),IF(ORÇAMENTO.Fonte="",ORÇAMENTO.CodBarra,CONCATENATE(ORÇAMENTO.Fonte," ",ORÇAMENTO.CodBarra)))</f>
        <v>SINAPI 103948</v>
      </c>
      <c r="AF178" s="12" t="str">
        <f ca="1">IF(ISERROR(INDIRECT(ORÇAMENTO.BancoRef)),"(abra o arquivo 'Referência "&amp;Excel_BuiltIn_Database&amp;".xlsm)",IF(OR($C178&lt;&gt;"S",ORÇAMENTO.CodBarra=""),"(Sem Código)",IF(ISERROR(MATCH($AE178,INDIRECT(ORÇAMENTO.BancoRef),0)),"(Código não identificado nas referências)",MATCH($AE178,INDIRECT(ORÇAMENTO.BancoRef),0))))</f>
        <v>(abra o arquivo 'Referência 12-2024.xlsm)</v>
      </c>
      <c r="AG178" s="429">
        <f ca="1">ROUND(IF(DESONERACAO="sim",REFERENCIA.Desonerado,REFERENCIA.NaoDesonerado),2)</f>
        <v>0</v>
      </c>
      <c r="AH178" s="430">
        <f t="shared" ca="1" si="48"/>
        <v>0.31190000000000001</v>
      </c>
      <c r="AJ178" s="432">
        <v>9</v>
      </c>
      <c r="AL178" s="440"/>
      <c r="AM178" s="337">
        <f t="shared" ca="1" si="0"/>
        <v>0</v>
      </c>
      <c r="AN178" s="471">
        <f t="shared" ca="1" si="49"/>
        <v>0</v>
      </c>
    </row>
    <row r="179" spans="1:40" ht="38.25" x14ac:dyDescent="0.2">
      <c r="A179" t="str">
        <f t="shared" si="34"/>
        <v>S</v>
      </c>
      <c r="B179">
        <f t="shared" ca="1" si="35"/>
        <v>3</v>
      </c>
      <c r="C179" t="str">
        <f t="shared" ca="1" si="36"/>
        <v>S</v>
      </c>
      <c r="D179">
        <f t="shared" ca="1" si="37"/>
        <v>0</v>
      </c>
      <c r="E179">
        <f ca="1">IF($C179=1,OFFSET(E179,-1,0)+MAX(1,COUNTIF(QCI!$A$13:$A$24,OFFSET(ORÇAMENTO!E179,-1,0))),OFFSET(E179,-1,0))</f>
        <v>1</v>
      </c>
      <c r="F179">
        <f t="shared" ca="1" si="38"/>
        <v>11</v>
      </c>
      <c r="G179">
        <f t="shared" ca="1" si="39"/>
        <v>2</v>
      </c>
      <c r="H179">
        <f t="shared" ca="1" si="40"/>
        <v>0</v>
      </c>
      <c r="I179">
        <f t="shared" ca="1" si="41"/>
        <v>0</v>
      </c>
      <c r="J179">
        <f t="shared" ca="1" si="42"/>
        <v>0</v>
      </c>
      <c r="K179">
        <f ca="1">IF(OR($C179="S",$C179=0),0,MATCH(OFFSET($D179,0,$C179)+IF($C179&lt;&gt;1,1,COUNTIF(QCI!$A$13:$A$24,ORÇAMENTO!E179)),OFFSET($D179,1,$C179,ROW($C$405)-ROW($C179)),0))</f>
        <v>0</v>
      </c>
      <c r="L179" s="115" t="str">
        <f t="shared" ca="1" si="43"/>
        <v/>
      </c>
      <c r="M179" s="116" t="s">
        <v>706</v>
      </c>
      <c r="N179" s="117" t="str">
        <f t="shared" ca="1" si="44"/>
        <v>Serviço</v>
      </c>
      <c r="O179" s="118" t="str">
        <f t="shared" ca="1" si="45"/>
        <v>-</v>
      </c>
      <c r="P179" s="119" t="s">
        <v>751</v>
      </c>
      <c r="Q179" s="120" t="s">
        <v>1046</v>
      </c>
      <c r="R179" s="121" t="s">
        <v>1422</v>
      </c>
      <c r="S179" s="122" t="s">
        <v>639</v>
      </c>
      <c r="T179" s="123">
        <f ca="1">OFFSET(CÁLCULO!H$15,ROW($T179)-ROW(T$15),0)</f>
        <v>4</v>
      </c>
      <c r="U179" s="124"/>
      <c r="V179" s="125" t="s">
        <v>663</v>
      </c>
      <c r="W179" s="123">
        <f ca="1">IF($C179="S",ROUND(IF(TIPOORCAMENTO="Proposto",ORÇAMENTO.CustoUnitario*(1+$AH179),ORÇAMENTO.PrecoUnitarioLicitado),15-13*$AF$10),0)</f>
        <v>0</v>
      </c>
      <c r="X179" s="126" cm="1">
        <f t="array" aca="1" ref="X179" ca="1">IF($C179="S",IF(OR(Import.TipoArredondamento&lt;&gt;"TransfereGOV",ACOMPANHAMENTO="BM"),VTOTAL1,SUM(OFFSET(CÁLCULO!$AA$15,ROW($X179)-ROW($X$15),1):OFFSET(CÁLCULO!$AL$15,ROW($X179)-ROW($X$15),-1))),IF($C179=0,0,ROUND(SomaAgrup,15-13*$AF$11)))</f>
        <v>0</v>
      </c>
      <c r="Y179" s="127" t="s">
        <v>752</v>
      </c>
      <c r="Z179" t="str">
        <f t="shared" ca="1" si="46"/>
        <v/>
      </c>
      <c r="AA179" s="128">
        <f ca="1">IF($C179="S",IF($Z179="CP",$X179,IF($Z179="RA",(($X179)*QCI!$AA$3),0)),SomaAgrup)</f>
        <v>0</v>
      </c>
      <c r="AB179" s="129">
        <f t="shared" ca="1" si="47"/>
        <v>0</v>
      </c>
      <c r="AC179" s="567" t="str">
        <f ca="1">IF($N179=""," ",
IF(AND($C179&lt;&gt;"S",OR($R179="",$R179="(digite a descrição aqui)")),"DESCRIÇÃO",
IF(AND($C179="S",OR($Q179&lt;&gt;0,$T179&gt;0,$U179&gt;0),$P179=0),"FONTE",
IF(AND($C179="S",$P179&lt;&gt;0,OR($T179&gt;0,$U179&gt;0),$Q179=0),"CÓDIGO",
IF(AND($C179="S",$P179&lt;&gt;0,$Q179&lt;&gt;0,$R179="(Código não identificado nas referências)"),"CÓDIGO N/ID",
IF(AND($C179="S",OR($R179="",$R179="(digite a descrição aqui)"),OR($Q179&lt;&gt;0,$T179&gt;0,$U179&gt;0)),"DESCRIÇÃO",
IF(AND($C179="S",$P179&lt;&gt;0,$Q179&lt;&gt;0,$S179=""),"UNIDADE",
IF(AND($C179="S",$P179&lt;&gt;0,$Q179&lt;&gt;0,$U179=0),"SEM CUSTO",
IF(AND(TIPOORCAMENTO="Licitado",$AL179=0,$AN179&gt;0),"SEM PREÇO",
IF(AND($C179="S",$P179&lt;&gt;0,$Q179&lt;&gt;0,$U179&gt;0,$V179=0),"BDI",
IF(OR(AND(TIPOORCAMENTO="Proposto",$AG179&lt;&gt;"",$AG179&gt;0,ORÇAMENTO.CustoUnitario&gt;$AG179),AND(TIPOORCAMENTO="LICITADO",ORÇAMENTO.PrecoUnitarioLicitado&gt;$AN179)),"ACIMA REF.",
IF(AND($C179="S",$P179&lt;&gt;0,$Q179&lt;&gt;0,$T179=0,$U179&gt;0),"QUANT.",
IF(AND(Import.TipoArredondamento="TransfereGOV",$L179="F",$C179="S",LEN($Q179)&gt;13),"Código &gt;13",
IF(AND(Import.TipoArredondamento="TransfereGOV",$L179="F",$C179&lt;&gt;"S",LEN($R179)&gt;100),"Descrição &gt;100",
IF(AND(Import.TipoArredondamento="TransfereGOV",$L179="F",$C179="S",LEN($R179)&gt;500),"Descrição &gt;500",
IF(AND(Import.TipoArredondamento="TransfereGOV",$L179="F",$C179="S",LEFT(TRIM(UPPER($P179)),6)&lt;&gt;"SINAPI",ISNA(VLOOKUP(TRIM(UPPER($S179)),ListaTgov.Unidades,1,FALSE))),"Unid. Não Disp",
" "))))))))))))))))</f>
        <v>SEM CUSTO</v>
      </c>
      <c r="AD179" t="str">
        <f ca="1">IF(C179&lt;=CRONO.NivelExibicao,MAX($AD$15:OFFSET(AD179,-1,0))+IF($C179&lt;&gt;1,1,MAX(1,COUNTIF(QCI!$A$13:$A$24,OFFSET($E179,-1,0)))),"")</f>
        <v/>
      </c>
      <c r="AE179" s="7" t="str">
        <f ca="1">IF(AND($C179="S",ORÇAMENTO.CodBarra&lt;&gt;""),IF(ORÇAMENTO.Fonte="",ORÇAMENTO.CodBarra,CONCATENATE(ORÇAMENTO.Fonte," ",ORÇAMENTO.CodBarra)))</f>
        <v>SINAPI 104009</v>
      </c>
      <c r="AF179" s="12" t="str">
        <f ca="1">IF(ISERROR(INDIRECT(ORÇAMENTO.BancoRef)),"(abra o arquivo 'Referência "&amp;Excel_BuiltIn_Database&amp;".xlsm)",IF(OR($C179&lt;&gt;"S",ORÇAMENTO.CodBarra=""),"(Sem Código)",IF(ISERROR(MATCH($AE179,INDIRECT(ORÇAMENTO.BancoRef),0)),"(Código não identificado nas referências)",MATCH($AE179,INDIRECT(ORÇAMENTO.BancoRef),0))))</f>
        <v>(abra o arquivo 'Referência 12-2024.xlsm)</v>
      </c>
      <c r="AG179" s="429">
        <f ca="1">ROUND(IF(DESONERACAO="sim",REFERENCIA.Desonerado,REFERENCIA.NaoDesonerado),2)</f>
        <v>0</v>
      </c>
      <c r="AH179" s="430">
        <f t="shared" ca="1" si="48"/>
        <v>0.31190000000000001</v>
      </c>
      <c r="AJ179" s="432">
        <v>4</v>
      </c>
      <c r="AL179" s="440"/>
      <c r="AM179" s="337">
        <f t="shared" ca="1" si="0"/>
        <v>0</v>
      </c>
      <c r="AN179" s="471">
        <f t="shared" ca="1" si="49"/>
        <v>0</v>
      </c>
    </row>
    <row r="180" spans="1:40" ht="38.25" x14ac:dyDescent="0.2">
      <c r="A180" t="str">
        <f t="shared" si="34"/>
        <v>S</v>
      </c>
      <c r="B180">
        <f t="shared" ca="1" si="35"/>
        <v>3</v>
      </c>
      <c r="C180" t="str">
        <f t="shared" ca="1" si="36"/>
        <v>S</v>
      </c>
      <c r="D180">
        <f t="shared" ca="1" si="37"/>
        <v>0</v>
      </c>
      <c r="E180">
        <f ca="1">IF($C180=1,OFFSET(E180,-1,0)+MAX(1,COUNTIF(QCI!$A$13:$A$24,OFFSET(ORÇAMENTO!E180,-1,0))),OFFSET(E180,-1,0))</f>
        <v>1</v>
      </c>
      <c r="F180">
        <f t="shared" ca="1" si="38"/>
        <v>11</v>
      </c>
      <c r="G180">
        <f t="shared" ca="1" si="39"/>
        <v>2</v>
      </c>
      <c r="H180">
        <f t="shared" ca="1" si="40"/>
        <v>0</v>
      </c>
      <c r="I180">
        <f t="shared" ca="1" si="41"/>
        <v>0</v>
      </c>
      <c r="J180">
        <f t="shared" ca="1" si="42"/>
        <v>0</v>
      </c>
      <c r="K180">
        <f ca="1">IF(OR($C180="S",$C180=0),0,MATCH(OFFSET($D180,0,$C180)+IF($C180&lt;&gt;1,1,COUNTIF(QCI!$A$13:$A$24,ORÇAMENTO!E180)),OFFSET($D180,1,$C180,ROW($C$405)-ROW($C180)),0))</f>
        <v>0</v>
      </c>
      <c r="L180" s="115" t="str">
        <f t="shared" ca="1" si="43"/>
        <v/>
      </c>
      <c r="M180" s="116" t="s">
        <v>706</v>
      </c>
      <c r="N180" s="117" t="str">
        <f t="shared" ca="1" si="44"/>
        <v>Serviço</v>
      </c>
      <c r="O180" s="118" t="str">
        <f t="shared" ca="1" si="45"/>
        <v>-</v>
      </c>
      <c r="P180" s="119" t="s">
        <v>751</v>
      </c>
      <c r="Q180" s="120" t="s">
        <v>1086</v>
      </c>
      <c r="R180" s="121" t="s">
        <v>1462</v>
      </c>
      <c r="S180" s="122" t="s">
        <v>639</v>
      </c>
      <c r="T180" s="123">
        <f ca="1">OFFSET(CÁLCULO!H$15,ROW($T180)-ROW(T$15),0)</f>
        <v>3</v>
      </c>
      <c r="U180" s="124"/>
      <c r="V180" s="125" t="s">
        <v>663</v>
      </c>
      <c r="W180" s="123">
        <f ca="1">IF($C180="S",ROUND(IF(TIPOORCAMENTO="Proposto",ORÇAMENTO.CustoUnitario*(1+$AH180),ORÇAMENTO.PrecoUnitarioLicitado),15-13*$AF$10),0)</f>
        <v>0</v>
      </c>
      <c r="X180" s="126" cm="1">
        <f t="array" aca="1" ref="X180" ca="1">IF($C180="S",IF(OR(Import.TipoArredondamento&lt;&gt;"TransfereGOV",ACOMPANHAMENTO="BM"),VTOTAL1,SUM(OFFSET(CÁLCULO!$AA$15,ROW($X180)-ROW($X$15),1):OFFSET(CÁLCULO!$AL$15,ROW($X180)-ROW($X$15),-1))),IF($C180=0,0,ROUND(SomaAgrup,15-13*$AF$11)))</f>
        <v>0</v>
      </c>
      <c r="Y180" s="127" t="s">
        <v>752</v>
      </c>
      <c r="Z180" t="str">
        <f t="shared" ca="1" si="46"/>
        <v/>
      </c>
      <c r="AA180" s="128">
        <f ca="1">IF($C180="S",IF($Z180="CP",$X180,IF($Z180="RA",(($X180)*QCI!$AA$3),0)),SomaAgrup)</f>
        <v>0</v>
      </c>
      <c r="AB180" s="129">
        <f t="shared" ca="1" si="47"/>
        <v>0</v>
      </c>
      <c r="AC180" s="567" t="str">
        <f ca="1">IF($N180=""," ",
IF(AND($C180&lt;&gt;"S",OR($R180="",$R180="(digite a descrição aqui)")),"DESCRIÇÃO",
IF(AND($C180="S",OR($Q180&lt;&gt;0,$T180&gt;0,$U180&gt;0),$P180=0),"FONTE",
IF(AND($C180="S",$P180&lt;&gt;0,OR($T180&gt;0,$U180&gt;0),$Q180=0),"CÓDIGO",
IF(AND($C180="S",$P180&lt;&gt;0,$Q180&lt;&gt;0,$R180="(Código não identificado nas referências)"),"CÓDIGO N/ID",
IF(AND($C180="S",OR($R180="",$R180="(digite a descrição aqui)"),OR($Q180&lt;&gt;0,$T180&gt;0,$U180&gt;0)),"DESCRIÇÃO",
IF(AND($C180="S",$P180&lt;&gt;0,$Q180&lt;&gt;0,$S180=""),"UNIDADE",
IF(AND($C180="S",$P180&lt;&gt;0,$Q180&lt;&gt;0,$U180=0),"SEM CUSTO",
IF(AND(TIPOORCAMENTO="Licitado",$AL180=0,$AN180&gt;0),"SEM PREÇO",
IF(AND($C180="S",$P180&lt;&gt;0,$Q180&lt;&gt;0,$U180&gt;0,$V180=0),"BDI",
IF(OR(AND(TIPOORCAMENTO="Proposto",$AG180&lt;&gt;"",$AG180&gt;0,ORÇAMENTO.CustoUnitario&gt;$AG180),AND(TIPOORCAMENTO="LICITADO",ORÇAMENTO.PrecoUnitarioLicitado&gt;$AN180)),"ACIMA REF.",
IF(AND($C180="S",$P180&lt;&gt;0,$Q180&lt;&gt;0,$T180=0,$U180&gt;0),"QUANT.",
IF(AND(Import.TipoArredondamento="TransfereGOV",$L180="F",$C180="S",LEN($Q180)&gt;13),"Código &gt;13",
IF(AND(Import.TipoArredondamento="TransfereGOV",$L180="F",$C180&lt;&gt;"S",LEN($R180)&gt;100),"Descrição &gt;100",
IF(AND(Import.TipoArredondamento="TransfereGOV",$L180="F",$C180="S",LEN($R180)&gt;500),"Descrição &gt;500",
IF(AND(Import.TipoArredondamento="TransfereGOV",$L180="F",$C180="S",LEFT(TRIM(UPPER($P180)),6)&lt;&gt;"SINAPI",ISNA(VLOOKUP(TRIM(UPPER($S180)),ListaTgov.Unidades,1,FALSE))),"Unid. Não Disp",
" "))))))))))))))))</f>
        <v>SEM CUSTO</v>
      </c>
      <c r="AD180" t="str">
        <f ca="1">IF(C180&lt;=CRONO.NivelExibicao,MAX($AD$15:OFFSET(AD180,-1,0))+IF($C180&lt;&gt;1,1,MAX(1,COUNTIF(QCI!$A$13:$A$24,OFFSET($E180,-1,0)))),"")</f>
        <v/>
      </c>
      <c r="AE180" s="7" t="str">
        <f ca="1">IF(AND($C180="S",ORÇAMENTO.CodBarra&lt;&gt;""),IF(ORÇAMENTO.Fonte="",ORÇAMENTO.CodBarra,CONCATENATE(ORÇAMENTO.Fonte," ",ORÇAMENTO.CodBarra)))</f>
        <v>SINAPI 103964</v>
      </c>
      <c r="AF180" s="12" t="str">
        <f ca="1">IF(ISERROR(INDIRECT(ORÇAMENTO.BancoRef)),"(abra o arquivo 'Referência "&amp;Excel_BuiltIn_Database&amp;".xlsm)",IF(OR($C180&lt;&gt;"S",ORÇAMENTO.CodBarra=""),"(Sem Código)",IF(ISERROR(MATCH($AE180,INDIRECT(ORÇAMENTO.BancoRef),0)),"(Código não identificado nas referências)",MATCH($AE180,INDIRECT(ORÇAMENTO.BancoRef),0))))</f>
        <v>(abra o arquivo 'Referência 12-2024.xlsm)</v>
      </c>
      <c r="AG180" s="429">
        <f ca="1">ROUND(IF(DESONERACAO="sim",REFERENCIA.Desonerado,REFERENCIA.NaoDesonerado),2)</f>
        <v>0</v>
      </c>
      <c r="AH180" s="430">
        <f t="shared" ca="1" si="48"/>
        <v>0.31190000000000001</v>
      </c>
      <c r="AJ180" s="432">
        <v>3</v>
      </c>
      <c r="AL180" s="440"/>
      <c r="AM180" s="337">
        <f t="shared" ca="1" si="0"/>
        <v>0</v>
      </c>
      <c r="AN180" s="471">
        <f t="shared" ca="1" si="49"/>
        <v>0</v>
      </c>
    </row>
    <row r="181" spans="1:40" ht="38.25" x14ac:dyDescent="0.2">
      <c r="A181" t="str">
        <f t="shared" si="34"/>
        <v>S</v>
      </c>
      <c r="B181">
        <f t="shared" ca="1" si="35"/>
        <v>3</v>
      </c>
      <c r="C181" t="str">
        <f t="shared" ca="1" si="36"/>
        <v>S</v>
      </c>
      <c r="D181">
        <f t="shared" ca="1" si="37"/>
        <v>0</v>
      </c>
      <c r="E181">
        <f ca="1">IF($C181=1,OFFSET(E181,-1,0)+MAX(1,COUNTIF(QCI!$A$13:$A$24,OFFSET(ORÇAMENTO!E181,-1,0))),OFFSET(E181,-1,0))</f>
        <v>1</v>
      </c>
      <c r="F181">
        <f t="shared" ca="1" si="38"/>
        <v>11</v>
      </c>
      <c r="G181">
        <f t="shared" ca="1" si="39"/>
        <v>2</v>
      </c>
      <c r="H181">
        <f t="shared" ca="1" si="40"/>
        <v>0</v>
      </c>
      <c r="I181">
        <f t="shared" ca="1" si="41"/>
        <v>0</v>
      </c>
      <c r="J181">
        <f t="shared" ca="1" si="42"/>
        <v>0</v>
      </c>
      <c r="K181">
        <f ca="1">IF(OR($C181="S",$C181=0),0,MATCH(OFFSET($D181,0,$C181)+IF($C181&lt;&gt;1,1,COUNTIF(QCI!$A$13:$A$24,ORÇAMENTO!E181)),OFFSET($D181,1,$C181,ROW($C$405)-ROW($C181)),0))</f>
        <v>0</v>
      </c>
      <c r="L181" s="115" t="str">
        <f t="shared" ca="1" si="43"/>
        <v/>
      </c>
      <c r="M181" s="116" t="s">
        <v>706</v>
      </c>
      <c r="N181" s="117" t="str">
        <f t="shared" ca="1" si="44"/>
        <v>Serviço</v>
      </c>
      <c r="O181" s="118" t="str">
        <f t="shared" ca="1" si="45"/>
        <v>-</v>
      </c>
      <c r="P181" s="119" t="s">
        <v>751</v>
      </c>
      <c r="Q181" s="120" t="s">
        <v>1087</v>
      </c>
      <c r="R181" s="121" t="s">
        <v>1463</v>
      </c>
      <c r="S181" s="122" t="s">
        <v>639</v>
      </c>
      <c r="T181" s="123">
        <f ca="1">OFFSET(CÁLCULO!H$15,ROW($T181)-ROW(T$15),0)</f>
        <v>1</v>
      </c>
      <c r="U181" s="124"/>
      <c r="V181" s="125" t="s">
        <v>663</v>
      </c>
      <c r="W181" s="123">
        <f ca="1">IF($C181="S",ROUND(IF(TIPOORCAMENTO="Proposto",ORÇAMENTO.CustoUnitario*(1+$AH181),ORÇAMENTO.PrecoUnitarioLicitado),15-13*$AF$10),0)</f>
        <v>0</v>
      </c>
      <c r="X181" s="126" cm="1">
        <f t="array" aca="1" ref="X181" ca="1">IF($C181="S",IF(OR(Import.TipoArredondamento&lt;&gt;"TransfereGOV",ACOMPANHAMENTO="BM"),VTOTAL1,SUM(OFFSET(CÁLCULO!$AA$15,ROW($X181)-ROW($X$15),1):OFFSET(CÁLCULO!$AL$15,ROW($X181)-ROW($X$15),-1))),IF($C181=0,0,ROUND(SomaAgrup,15-13*$AF$11)))</f>
        <v>0</v>
      </c>
      <c r="Y181" s="127" t="s">
        <v>752</v>
      </c>
      <c r="Z181" t="str">
        <f t="shared" ca="1" si="46"/>
        <v/>
      </c>
      <c r="AA181" s="128">
        <f ca="1">IF($C181="S",IF($Z181="CP",$X181,IF($Z181="RA",(($X181)*QCI!$AA$3),0)),SomaAgrup)</f>
        <v>0</v>
      </c>
      <c r="AB181" s="129">
        <f t="shared" ca="1" si="47"/>
        <v>0</v>
      </c>
      <c r="AC181" s="567" t="str">
        <f ca="1">IF($N181=""," ",
IF(AND($C181&lt;&gt;"S",OR($R181="",$R181="(digite a descrição aqui)")),"DESCRIÇÃO",
IF(AND($C181="S",OR($Q181&lt;&gt;0,$T181&gt;0,$U181&gt;0),$P181=0),"FONTE",
IF(AND($C181="S",$P181&lt;&gt;0,OR($T181&gt;0,$U181&gt;0),$Q181=0),"CÓDIGO",
IF(AND($C181="S",$P181&lt;&gt;0,$Q181&lt;&gt;0,$R181="(Código não identificado nas referências)"),"CÓDIGO N/ID",
IF(AND($C181="S",OR($R181="",$R181="(digite a descrição aqui)"),OR($Q181&lt;&gt;0,$T181&gt;0,$U181&gt;0)),"DESCRIÇÃO",
IF(AND($C181="S",$P181&lt;&gt;0,$Q181&lt;&gt;0,$S181=""),"UNIDADE",
IF(AND($C181="S",$P181&lt;&gt;0,$Q181&lt;&gt;0,$U181=0),"SEM CUSTO",
IF(AND(TIPOORCAMENTO="Licitado",$AL181=0,$AN181&gt;0),"SEM PREÇO",
IF(AND($C181="S",$P181&lt;&gt;0,$Q181&lt;&gt;0,$U181&gt;0,$V181=0),"BDI",
IF(OR(AND(TIPOORCAMENTO="Proposto",$AG181&lt;&gt;"",$AG181&gt;0,ORÇAMENTO.CustoUnitario&gt;$AG181),AND(TIPOORCAMENTO="LICITADO",ORÇAMENTO.PrecoUnitarioLicitado&gt;$AN181)),"ACIMA REF.",
IF(AND($C181="S",$P181&lt;&gt;0,$Q181&lt;&gt;0,$T181=0,$U181&gt;0),"QUANT.",
IF(AND(Import.TipoArredondamento="TransfereGOV",$L181="F",$C181="S",LEN($Q181)&gt;13),"Código &gt;13",
IF(AND(Import.TipoArredondamento="TransfereGOV",$L181="F",$C181&lt;&gt;"S",LEN($R181)&gt;100),"Descrição &gt;100",
IF(AND(Import.TipoArredondamento="TransfereGOV",$L181="F",$C181="S",LEN($R181)&gt;500),"Descrição &gt;500",
IF(AND(Import.TipoArredondamento="TransfereGOV",$L181="F",$C181="S",LEFT(TRIM(UPPER($P181)),6)&lt;&gt;"SINAPI",ISNA(VLOOKUP(TRIM(UPPER($S181)),ListaTgov.Unidades,1,FALSE))),"Unid. Não Disp",
" "))))))))))))))))</f>
        <v>SEM CUSTO</v>
      </c>
      <c r="AD181" t="str">
        <f ca="1">IF(C181&lt;=CRONO.NivelExibicao,MAX($AD$15:OFFSET(AD181,-1,0))+IF($C181&lt;&gt;1,1,MAX(1,COUNTIF(QCI!$A$13:$A$24,OFFSET($E181,-1,0)))),"")</f>
        <v/>
      </c>
      <c r="AE181" s="7" t="str">
        <f ca="1">IF(AND($C181="S",ORÇAMENTO.CodBarra&lt;&gt;""),IF(ORÇAMENTO.Fonte="",ORÇAMENTO.CodBarra,CONCATENATE(ORÇAMENTO.Fonte," ",ORÇAMENTO.CodBarra)))</f>
        <v>SINAPI 103966</v>
      </c>
      <c r="AF181" s="12" t="str">
        <f ca="1">IF(ISERROR(INDIRECT(ORÇAMENTO.BancoRef)),"(abra o arquivo 'Referência "&amp;Excel_BuiltIn_Database&amp;".xlsm)",IF(OR($C181&lt;&gt;"S",ORÇAMENTO.CodBarra=""),"(Sem Código)",IF(ISERROR(MATCH($AE181,INDIRECT(ORÇAMENTO.BancoRef),0)),"(Código não identificado nas referências)",MATCH($AE181,INDIRECT(ORÇAMENTO.BancoRef),0))))</f>
        <v>(abra o arquivo 'Referência 12-2024.xlsm)</v>
      </c>
      <c r="AG181" s="429">
        <f ca="1">ROUND(IF(DESONERACAO="sim",REFERENCIA.Desonerado,REFERENCIA.NaoDesonerado),2)</f>
        <v>0</v>
      </c>
      <c r="AH181" s="430">
        <f t="shared" ca="1" si="48"/>
        <v>0.31190000000000001</v>
      </c>
      <c r="AJ181" s="432">
        <v>1</v>
      </c>
      <c r="AL181" s="440"/>
      <c r="AM181" s="337">
        <f t="shared" ca="1" si="0"/>
        <v>0</v>
      </c>
      <c r="AN181" s="471">
        <f t="shared" ca="1" si="49"/>
        <v>0</v>
      </c>
    </row>
    <row r="182" spans="1:40" ht="38.25" x14ac:dyDescent="0.2">
      <c r="A182" t="str">
        <f t="shared" si="34"/>
        <v>S</v>
      </c>
      <c r="B182">
        <f t="shared" ca="1" si="35"/>
        <v>3</v>
      </c>
      <c r="C182" t="str">
        <f t="shared" ca="1" si="36"/>
        <v>S</v>
      </c>
      <c r="D182">
        <f t="shared" ca="1" si="37"/>
        <v>0</v>
      </c>
      <c r="E182">
        <f ca="1">IF($C182=1,OFFSET(E182,-1,0)+MAX(1,COUNTIF(QCI!$A$13:$A$24,OFFSET(ORÇAMENTO!E182,-1,0))),OFFSET(E182,-1,0))</f>
        <v>1</v>
      </c>
      <c r="F182">
        <f t="shared" ca="1" si="38"/>
        <v>11</v>
      </c>
      <c r="G182">
        <f t="shared" ca="1" si="39"/>
        <v>2</v>
      </c>
      <c r="H182">
        <f t="shared" ca="1" si="40"/>
        <v>0</v>
      </c>
      <c r="I182">
        <f t="shared" ca="1" si="41"/>
        <v>0</v>
      </c>
      <c r="J182">
        <f t="shared" ca="1" si="42"/>
        <v>0</v>
      </c>
      <c r="K182">
        <f ca="1">IF(OR($C182="S",$C182=0),0,MATCH(OFFSET($D182,0,$C182)+IF($C182&lt;&gt;1,1,COUNTIF(QCI!$A$13:$A$24,ORÇAMENTO!E182)),OFFSET($D182,1,$C182,ROW($C$405)-ROW($C182)),0))</f>
        <v>0</v>
      </c>
      <c r="L182" s="115" t="str">
        <f t="shared" ca="1" si="43"/>
        <v/>
      </c>
      <c r="M182" s="116" t="s">
        <v>706</v>
      </c>
      <c r="N182" s="117" t="str">
        <f t="shared" ca="1" si="44"/>
        <v>Serviço</v>
      </c>
      <c r="O182" s="118" t="str">
        <f t="shared" ca="1" si="45"/>
        <v>-</v>
      </c>
      <c r="P182" s="119" t="s">
        <v>751</v>
      </c>
      <c r="Q182" s="120" t="s">
        <v>1088</v>
      </c>
      <c r="R182" s="121" t="s">
        <v>1464</v>
      </c>
      <c r="S182" s="122" t="s">
        <v>639</v>
      </c>
      <c r="T182" s="123">
        <f ca="1">OFFSET(CÁLCULO!H$15,ROW($T182)-ROW(T$15),0)</f>
        <v>4</v>
      </c>
      <c r="U182" s="124"/>
      <c r="V182" s="125" t="s">
        <v>663</v>
      </c>
      <c r="W182" s="123">
        <f ca="1">IF($C182="S",ROUND(IF(TIPOORCAMENTO="Proposto",ORÇAMENTO.CustoUnitario*(1+$AH182),ORÇAMENTO.PrecoUnitarioLicitado),15-13*$AF$10),0)</f>
        <v>0</v>
      </c>
      <c r="X182" s="126" cm="1">
        <f t="array" aca="1" ref="X182" ca="1">IF($C182="S",IF(OR(Import.TipoArredondamento&lt;&gt;"TransfereGOV",ACOMPANHAMENTO="BM"),VTOTAL1,SUM(OFFSET(CÁLCULO!$AA$15,ROW($X182)-ROW($X$15),1):OFFSET(CÁLCULO!$AL$15,ROW($X182)-ROW($X$15),-1))),IF($C182=0,0,ROUND(SomaAgrup,15-13*$AF$11)))</f>
        <v>0</v>
      </c>
      <c r="Y182" s="127" t="s">
        <v>752</v>
      </c>
      <c r="Z182" t="str">
        <f t="shared" ca="1" si="46"/>
        <v/>
      </c>
      <c r="AA182" s="128">
        <f ca="1">IF($C182="S",IF($Z182="CP",$X182,IF($Z182="RA",(($X182)*QCI!$AA$3),0)),SomaAgrup)</f>
        <v>0</v>
      </c>
      <c r="AB182" s="129">
        <f t="shared" ca="1" si="47"/>
        <v>0</v>
      </c>
      <c r="AC182" s="567" t="str">
        <f ca="1">IF($N182=""," ",
IF(AND($C182&lt;&gt;"S",OR($R182="",$R182="(digite a descrição aqui)")),"DESCRIÇÃO",
IF(AND($C182="S",OR($Q182&lt;&gt;0,$T182&gt;0,$U182&gt;0),$P182=0),"FONTE",
IF(AND($C182="S",$P182&lt;&gt;0,OR($T182&gt;0,$U182&gt;0),$Q182=0),"CÓDIGO",
IF(AND($C182="S",$P182&lt;&gt;0,$Q182&lt;&gt;0,$R182="(Código não identificado nas referências)"),"CÓDIGO N/ID",
IF(AND($C182="S",OR($R182="",$R182="(digite a descrição aqui)"),OR($Q182&lt;&gt;0,$T182&gt;0,$U182&gt;0)),"DESCRIÇÃO",
IF(AND($C182="S",$P182&lt;&gt;0,$Q182&lt;&gt;0,$S182=""),"UNIDADE",
IF(AND($C182="S",$P182&lt;&gt;0,$Q182&lt;&gt;0,$U182=0),"SEM CUSTO",
IF(AND(TIPOORCAMENTO="Licitado",$AL182=0,$AN182&gt;0),"SEM PREÇO",
IF(AND($C182="S",$P182&lt;&gt;0,$Q182&lt;&gt;0,$U182&gt;0,$V182=0),"BDI",
IF(OR(AND(TIPOORCAMENTO="Proposto",$AG182&lt;&gt;"",$AG182&gt;0,ORÇAMENTO.CustoUnitario&gt;$AG182),AND(TIPOORCAMENTO="LICITADO",ORÇAMENTO.PrecoUnitarioLicitado&gt;$AN182)),"ACIMA REF.",
IF(AND($C182="S",$P182&lt;&gt;0,$Q182&lt;&gt;0,$T182=0,$U182&gt;0),"QUANT.",
IF(AND(Import.TipoArredondamento="TransfereGOV",$L182="F",$C182="S",LEN($Q182)&gt;13),"Código &gt;13",
IF(AND(Import.TipoArredondamento="TransfereGOV",$L182="F",$C182&lt;&gt;"S",LEN($R182)&gt;100),"Descrição &gt;100",
IF(AND(Import.TipoArredondamento="TransfereGOV",$L182="F",$C182="S",LEN($R182)&gt;500),"Descrição &gt;500",
IF(AND(Import.TipoArredondamento="TransfereGOV",$L182="F",$C182="S",LEFT(TRIM(UPPER($P182)),6)&lt;&gt;"SINAPI",ISNA(VLOOKUP(TRIM(UPPER($S182)),ListaTgov.Unidades,1,FALSE))),"Unid. Não Disp",
" "))))))))))))))))</f>
        <v>SEM CUSTO</v>
      </c>
      <c r="AD182" t="str">
        <f ca="1">IF(C182&lt;=CRONO.NivelExibicao,MAX($AD$15:OFFSET(AD182,-1,0))+IF($C182&lt;&gt;1,1,MAX(1,COUNTIF(QCI!$A$13:$A$24,OFFSET($E182,-1,0)))),"")</f>
        <v/>
      </c>
      <c r="AE182" s="7" t="str">
        <f ca="1">IF(AND($C182="S",ORÇAMENTO.CodBarra&lt;&gt;""),IF(ORÇAMENTO.Fonte="",ORÇAMENTO.CodBarra,CONCATENATE(ORÇAMENTO.Fonte," ",ORÇAMENTO.CodBarra)))</f>
        <v>SINAPI 104003</v>
      </c>
      <c r="AF182" s="12" t="str">
        <f ca="1">IF(ISERROR(INDIRECT(ORÇAMENTO.BancoRef)),"(abra o arquivo 'Referência "&amp;Excel_BuiltIn_Database&amp;".xlsm)",IF(OR($C182&lt;&gt;"S",ORÇAMENTO.CodBarra=""),"(Sem Código)",IF(ISERROR(MATCH($AE182,INDIRECT(ORÇAMENTO.BancoRef),0)),"(Código não identificado nas referências)",MATCH($AE182,INDIRECT(ORÇAMENTO.BancoRef),0))))</f>
        <v>(abra o arquivo 'Referência 12-2024.xlsm)</v>
      </c>
      <c r="AG182" s="429">
        <f ca="1">ROUND(IF(DESONERACAO="sim",REFERENCIA.Desonerado,REFERENCIA.NaoDesonerado),2)</f>
        <v>0</v>
      </c>
      <c r="AH182" s="430">
        <f t="shared" ca="1" si="48"/>
        <v>0.31190000000000001</v>
      </c>
      <c r="AJ182" s="432">
        <v>4</v>
      </c>
      <c r="AL182" s="440"/>
      <c r="AM182" s="337">
        <f t="shared" ca="1" si="0"/>
        <v>0</v>
      </c>
      <c r="AN182" s="471">
        <f t="shared" ca="1" si="49"/>
        <v>0</v>
      </c>
    </row>
    <row r="183" spans="1:40" ht="51" x14ac:dyDescent="0.2">
      <c r="A183" t="str">
        <f t="shared" si="34"/>
        <v>S</v>
      </c>
      <c r="B183">
        <f t="shared" ca="1" si="35"/>
        <v>3</v>
      </c>
      <c r="C183" t="str">
        <f t="shared" ca="1" si="36"/>
        <v>S</v>
      </c>
      <c r="D183">
        <f t="shared" ca="1" si="37"/>
        <v>0</v>
      </c>
      <c r="E183">
        <f ca="1">IF($C183=1,OFFSET(E183,-1,0)+MAX(1,COUNTIF(QCI!$A$13:$A$24,OFFSET(ORÇAMENTO!E183,-1,0))),OFFSET(E183,-1,0))</f>
        <v>1</v>
      </c>
      <c r="F183">
        <f t="shared" ca="1" si="38"/>
        <v>11</v>
      </c>
      <c r="G183">
        <f t="shared" ca="1" si="39"/>
        <v>2</v>
      </c>
      <c r="H183">
        <f t="shared" ca="1" si="40"/>
        <v>0</v>
      </c>
      <c r="I183">
        <f t="shared" ca="1" si="41"/>
        <v>0</v>
      </c>
      <c r="J183">
        <f t="shared" ca="1" si="42"/>
        <v>0</v>
      </c>
      <c r="K183">
        <f ca="1">IF(OR($C183="S",$C183=0),0,MATCH(OFFSET($D183,0,$C183)+IF($C183&lt;&gt;1,1,COUNTIF(QCI!$A$13:$A$24,ORÇAMENTO!E183)),OFFSET($D183,1,$C183,ROW($C$405)-ROW($C183)),0))</f>
        <v>0</v>
      </c>
      <c r="L183" s="115" t="str">
        <f t="shared" ca="1" si="43"/>
        <v/>
      </c>
      <c r="M183" s="116" t="s">
        <v>706</v>
      </c>
      <c r="N183" s="117" t="str">
        <f t="shared" ca="1" si="44"/>
        <v>Serviço</v>
      </c>
      <c r="O183" s="118" t="str">
        <f t="shared" ca="1" si="45"/>
        <v>-</v>
      </c>
      <c r="P183" s="119" t="s">
        <v>751</v>
      </c>
      <c r="Q183" s="120" t="s">
        <v>1089</v>
      </c>
      <c r="R183" s="121" t="s">
        <v>1465</v>
      </c>
      <c r="S183" s="122" t="s">
        <v>639</v>
      </c>
      <c r="T183" s="123">
        <f ca="1">OFFSET(CÁLCULO!H$15,ROW($T183)-ROW(T$15),0)</f>
        <v>26</v>
      </c>
      <c r="U183" s="124"/>
      <c r="V183" s="125" t="s">
        <v>663</v>
      </c>
      <c r="W183" s="123">
        <f ca="1">IF($C183="S",ROUND(IF(TIPOORCAMENTO="Proposto",ORÇAMENTO.CustoUnitario*(1+$AH183),ORÇAMENTO.PrecoUnitarioLicitado),15-13*$AF$10),0)</f>
        <v>0</v>
      </c>
      <c r="X183" s="126" cm="1">
        <f t="array" aca="1" ref="X183" ca="1">IF($C183="S",IF(OR(Import.TipoArredondamento&lt;&gt;"TransfereGOV",ACOMPANHAMENTO="BM"),VTOTAL1,SUM(OFFSET(CÁLCULO!$AA$15,ROW($X183)-ROW($X$15),1):OFFSET(CÁLCULO!$AL$15,ROW($X183)-ROW($X$15),-1))),IF($C183=0,0,ROUND(SomaAgrup,15-13*$AF$11)))</f>
        <v>0</v>
      </c>
      <c r="Y183" s="127" t="s">
        <v>752</v>
      </c>
      <c r="Z183" t="str">
        <f t="shared" ca="1" si="46"/>
        <v/>
      </c>
      <c r="AA183" s="128">
        <f ca="1">IF($C183="S",IF($Z183="CP",$X183,IF($Z183="RA",(($X183)*QCI!$AA$3),0)),SomaAgrup)</f>
        <v>0</v>
      </c>
      <c r="AB183" s="129">
        <f t="shared" ca="1" si="47"/>
        <v>0</v>
      </c>
      <c r="AC183" s="567" t="str">
        <f ca="1">IF($N183=""," ",
IF(AND($C183&lt;&gt;"S",OR($R183="",$R183="(digite a descrição aqui)")),"DESCRIÇÃO",
IF(AND($C183="S",OR($Q183&lt;&gt;0,$T183&gt;0,$U183&gt;0),$P183=0),"FONTE",
IF(AND($C183="S",$P183&lt;&gt;0,OR($T183&gt;0,$U183&gt;0),$Q183=0),"CÓDIGO",
IF(AND($C183="S",$P183&lt;&gt;0,$Q183&lt;&gt;0,$R183="(Código não identificado nas referências)"),"CÓDIGO N/ID",
IF(AND($C183="S",OR($R183="",$R183="(digite a descrição aqui)"),OR($Q183&lt;&gt;0,$T183&gt;0,$U183&gt;0)),"DESCRIÇÃO",
IF(AND($C183="S",$P183&lt;&gt;0,$Q183&lt;&gt;0,$S183=""),"UNIDADE",
IF(AND($C183="S",$P183&lt;&gt;0,$Q183&lt;&gt;0,$U183=0),"SEM CUSTO",
IF(AND(TIPOORCAMENTO="Licitado",$AL183=0,$AN183&gt;0),"SEM PREÇO",
IF(AND($C183="S",$P183&lt;&gt;0,$Q183&lt;&gt;0,$U183&gt;0,$V183=0),"BDI",
IF(OR(AND(TIPOORCAMENTO="Proposto",$AG183&lt;&gt;"",$AG183&gt;0,ORÇAMENTO.CustoUnitario&gt;$AG183),AND(TIPOORCAMENTO="LICITADO",ORÇAMENTO.PrecoUnitarioLicitado&gt;$AN183)),"ACIMA REF.",
IF(AND($C183="S",$P183&lt;&gt;0,$Q183&lt;&gt;0,$T183=0,$U183&gt;0),"QUANT.",
IF(AND(Import.TipoArredondamento="TransfereGOV",$L183="F",$C183="S",LEN($Q183)&gt;13),"Código &gt;13",
IF(AND(Import.TipoArredondamento="TransfereGOV",$L183="F",$C183&lt;&gt;"S",LEN($R183)&gt;100),"Descrição &gt;100",
IF(AND(Import.TipoArredondamento="TransfereGOV",$L183="F",$C183="S",LEN($R183)&gt;500),"Descrição &gt;500",
IF(AND(Import.TipoArredondamento="TransfereGOV",$L183="F",$C183="S",LEFT(TRIM(UPPER($P183)),6)&lt;&gt;"SINAPI",ISNA(VLOOKUP(TRIM(UPPER($S183)),ListaTgov.Unidades,1,FALSE))),"Unid. Não Disp",
" "))))))))))))))))</f>
        <v>SEM CUSTO</v>
      </c>
      <c r="AD183" t="str">
        <f ca="1">IF(C183&lt;=CRONO.NivelExibicao,MAX($AD$15:OFFSET(AD183,-1,0))+IF($C183&lt;&gt;1,1,MAX(1,COUNTIF(QCI!$A$13:$A$24,OFFSET($E183,-1,0)))),"")</f>
        <v/>
      </c>
      <c r="AE183" s="7" t="str">
        <f ca="1">IF(AND($C183="S",ORÇAMENTO.CodBarra&lt;&gt;""),IF(ORÇAMENTO.Fonte="",ORÇAMENTO.CodBarra,CONCATENATE(ORÇAMENTO.Fonte," ",ORÇAMENTO.CodBarra)))</f>
        <v>SINAPI 89429</v>
      </c>
      <c r="AF183" s="12" t="str">
        <f ca="1">IF(ISERROR(INDIRECT(ORÇAMENTO.BancoRef)),"(abra o arquivo 'Referência "&amp;Excel_BuiltIn_Database&amp;".xlsm)",IF(OR($C183&lt;&gt;"S",ORÇAMENTO.CodBarra=""),"(Sem Código)",IF(ISERROR(MATCH($AE183,INDIRECT(ORÇAMENTO.BancoRef),0)),"(Código não identificado nas referências)",MATCH($AE183,INDIRECT(ORÇAMENTO.BancoRef),0))))</f>
        <v>(abra o arquivo 'Referência 12-2024.xlsm)</v>
      </c>
      <c r="AG183" s="429">
        <f ca="1">ROUND(IF(DESONERACAO="sim",REFERENCIA.Desonerado,REFERENCIA.NaoDesonerado),2)</f>
        <v>0</v>
      </c>
      <c r="AH183" s="430">
        <f t="shared" ca="1" si="48"/>
        <v>0.31190000000000001</v>
      </c>
      <c r="AJ183" s="432">
        <v>26</v>
      </c>
      <c r="AL183" s="440"/>
      <c r="AM183" s="337">
        <f t="shared" ca="1" si="0"/>
        <v>0</v>
      </c>
      <c r="AN183" s="471">
        <f t="shared" ca="1" si="49"/>
        <v>0</v>
      </c>
    </row>
    <row r="184" spans="1:40" ht="38.25" x14ac:dyDescent="0.2">
      <c r="A184" t="str">
        <f t="shared" si="34"/>
        <v>S</v>
      </c>
      <c r="B184">
        <f t="shared" ca="1" si="35"/>
        <v>3</v>
      </c>
      <c r="C184" t="str">
        <f t="shared" ca="1" si="36"/>
        <v>S</v>
      </c>
      <c r="D184">
        <f t="shared" ca="1" si="37"/>
        <v>0</v>
      </c>
      <c r="E184">
        <f ca="1">IF($C184=1,OFFSET(E184,-1,0)+MAX(1,COUNTIF(QCI!$A$13:$A$24,OFFSET(ORÇAMENTO!E184,-1,0))),OFFSET(E184,-1,0))</f>
        <v>1</v>
      </c>
      <c r="F184">
        <f t="shared" ca="1" si="38"/>
        <v>11</v>
      </c>
      <c r="G184">
        <f t="shared" ca="1" si="39"/>
        <v>2</v>
      </c>
      <c r="H184">
        <f t="shared" ca="1" si="40"/>
        <v>0</v>
      </c>
      <c r="I184">
        <f t="shared" ca="1" si="41"/>
        <v>0</v>
      </c>
      <c r="J184">
        <f t="shared" ca="1" si="42"/>
        <v>0</v>
      </c>
      <c r="K184">
        <f ca="1">IF(OR($C184="S",$C184=0),0,MATCH(OFFSET($D184,0,$C184)+IF($C184&lt;&gt;1,1,COUNTIF(QCI!$A$13:$A$24,ORÇAMENTO!E184)),OFFSET($D184,1,$C184,ROW($C$405)-ROW($C184)),0))</f>
        <v>0</v>
      </c>
      <c r="L184" s="115" t="str">
        <f t="shared" ca="1" si="43"/>
        <v/>
      </c>
      <c r="M184" s="116" t="s">
        <v>706</v>
      </c>
      <c r="N184" s="117" t="str">
        <f t="shared" ca="1" si="44"/>
        <v>Serviço</v>
      </c>
      <c r="O184" s="118" t="str">
        <f t="shared" ca="1" si="45"/>
        <v>-</v>
      </c>
      <c r="P184" s="119" t="s">
        <v>751</v>
      </c>
      <c r="Q184" s="120" t="s">
        <v>1090</v>
      </c>
      <c r="R184" s="121" t="s">
        <v>1466</v>
      </c>
      <c r="S184" s="122" t="s">
        <v>639</v>
      </c>
      <c r="T184" s="123">
        <f ca="1">OFFSET(CÁLCULO!H$15,ROW($T184)-ROW(T$15),0)</f>
        <v>3</v>
      </c>
      <c r="U184" s="124"/>
      <c r="V184" s="125" t="s">
        <v>663</v>
      </c>
      <c r="W184" s="123">
        <f ca="1">IF($C184="S",ROUND(IF(TIPOORCAMENTO="Proposto",ORÇAMENTO.CustoUnitario*(1+$AH184),ORÇAMENTO.PrecoUnitarioLicitado),15-13*$AF$10),0)</f>
        <v>0</v>
      </c>
      <c r="X184" s="126" cm="1">
        <f t="array" aca="1" ref="X184" ca="1">IF($C184="S",IF(OR(Import.TipoArredondamento&lt;&gt;"TransfereGOV",ACOMPANHAMENTO="BM"),VTOTAL1,SUM(OFFSET(CÁLCULO!$AA$15,ROW($X184)-ROW($X$15),1):OFFSET(CÁLCULO!$AL$15,ROW($X184)-ROW($X$15),-1))),IF($C184=0,0,ROUND(SomaAgrup,15-13*$AF$11)))</f>
        <v>0</v>
      </c>
      <c r="Y184" s="127" t="s">
        <v>752</v>
      </c>
      <c r="Z184" t="str">
        <f t="shared" ca="1" si="46"/>
        <v/>
      </c>
      <c r="AA184" s="128">
        <f ca="1">IF($C184="S",IF($Z184="CP",$X184,IF($Z184="RA",(($X184)*QCI!$AA$3),0)),SomaAgrup)</f>
        <v>0</v>
      </c>
      <c r="AB184" s="129">
        <f t="shared" ca="1" si="47"/>
        <v>0</v>
      </c>
      <c r="AC184" s="567" t="str">
        <f ca="1">IF($N184=""," ",
IF(AND($C184&lt;&gt;"S",OR($R184="",$R184="(digite a descrição aqui)")),"DESCRIÇÃO",
IF(AND($C184="S",OR($Q184&lt;&gt;0,$T184&gt;0,$U184&gt;0),$P184=0),"FONTE",
IF(AND($C184="S",$P184&lt;&gt;0,OR($T184&gt;0,$U184&gt;0),$Q184=0),"CÓDIGO",
IF(AND($C184="S",$P184&lt;&gt;0,$Q184&lt;&gt;0,$R184="(Código não identificado nas referências)"),"CÓDIGO N/ID",
IF(AND($C184="S",OR($R184="",$R184="(digite a descrição aqui)"),OR($Q184&lt;&gt;0,$T184&gt;0,$U184&gt;0)),"DESCRIÇÃO",
IF(AND($C184="S",$P184&lt;&gt;0,$Q184&lt;&gt;0,$S184=""),"UNIDADE",
IF(AND($C184="S",$P184&lt;&gt;0,$Q184&lt;&gt;0,$U184=0),"SEM CUSTO",
IF(AND(TIPOORCAMENTO="Licitado",$AL184=0,$AN184&gt;0),"SEM PREÇO",
IF(AND($C184="S",$P184&lt;&gt;0,$Q184&lt;&gt;0,$U184&gt;0,$V184=0),"BDI",
IF(OR(AND(TIPOORCAMENTO="Proposto",$AG184&lt;&gt;"",$AG184&gt;0,ORÇAMENTO.CustoUnitario&gt;$AG184),AND(TIPOORCAMENTO="LICITADO",ORÇAMENTO.PrecoUnitarioLicitado&gt;$AN184)),"ACIMA REF.",
IF(AND($C184="S",$P184&lt;&gt;0,$Q184&lt;&gt;0,$T184=0,$U184&gt;0),"QUANT.",
IF(AND(Import.TipoArredondamento="TransfereGOV",$L184="F",$C184="S",LEN($Q184)&gt;13),"Código &gt;13",
IF(AND(Import.TipoArredondamento="TransfereGOV",$L184="F",$C184&lt;&gt;"S",LEN($R184)&gt;100),"Descrição &gt;100",
IF(AND(Import.TipoArredondamento="TransfereGOV",$L184="F",$C184="S",LEN($R184)&gt;500),"Descrição &gt;500",
IF(AND(Import.TipoArredondamento="TransfereGOV",$L184="F",$C184="S",LEFT(TRIM(UPPER($P184)),6)&lt;&gt;"SINAPI",ISNA(VLOOKUP(TRIM(UPPER($S184)),ListaTgov.Unidades,1,FALSE))),"Unid. Não Disp",
" "))))))))))))))))</f>
        <v>SEM CUSTO</v>
      </c>
      <c r="AD184" t="str">
        <f ca="1">IF(C184&lt;=CRONO.NivelExibicao,MAX($AD$15:OFFSET(AD184,-1,0))+IF($C184&lt;&gt;1,1,MAX(1,COUNTIF(QCI!$A$13:$A$24,OFFSET($E184,-1,0)))),"")</f>
        <v/>
      </c>
      <c r="AE184" s="7" t="str">
        <f ca="1">IF(AND($C184="S",ORÇAMENTO.CodBarra&lt;&gt;""),IF(ORÇAMENTO.Fonte="",ORÇAMENTO.CodBarra,CONCATENATE(ORÇAMENTO.Fonte," ",ORÇAMENTO.CodBarra)))</f>
        <v>SINAPI 89595</v>
      </c>
      <c r="AF184" s="12" t="str">
        <f ca="1">IF(ISERROR(INDIRECT(ORÇAMENTO.BancoRef)),"(abra o arquivo 'Referência "&amp;Excel_BuiltIn_Database&amp;".xlsm)",IF(OR($C184&lt;&gt;"S",ORÇAMENTO.CodBarra=""),"(Sem Código)",IF(ISERROR(MATCH($AE184,INDIRECT(ORÇAMENTO.BancoRef),0)),"(Código não identificado nas referências)",MATCH($AE184,INDIRECT(ORÇAMENTO.BancoRef),0))))</f>
        <v>(abra o arquivo 'Referência 12-2024.xlsm)</v>
      </c>
      <c r="AG184" s="429">
        <f ca="1">ROUND(IF(DESONERACAO="sim",REFERENCIA.Desonerado,REFERENCIA.NaoDesonerado),2)</f>
        <v>0</v>
      </c>
      <c r="AH184" s="430">
        <f t="shared" ca="1" si="48"/>
        <v>0.31190000000000001</v>
      </c>
      <c r="AJ184" s="432">
        <v>3</v>
      </c>
      <c r="AL184" s="440"/>
      <c r="AM184" s="337">
        <f t="shared" ca="1" si="0"/>
        <v>0</v>
      </c>
      <c r="AN184" s="471">
        <f t="shared" ca="1" si="49"/>
        <v>0</v>
      </c>
    </row>
    <row r="185" spans="1:40" ht="38.25" x14ac:dyDescent="0.2">
      <c r="A185" t="str">
        <f t="shared" si="34"/>
        <v>S</v>
      </c>
      <c r="B185">
        <f t="shared" ca="1" si="35"/>
        <v>3</v>
      </c>
      <c r="C185" t="str">
        <f t="shared" ca="1" si="36"/>
        <v>S</v>
      </c>
      <c r="D185">
        <f t="shared" ca="1" si="37"/>
        <v>0</v>
      </c>
      <c r="E185">
        <f ca="1">IF($C185=1,OFFSET(E185,-1,0)+MAX(1,COUNTIF(QCI!$A$13:$A$24,OFFSET(ORÇAMENTO!E185,-1,0))),OFFSET(E185,-1,0))</f>
        <v>1</v>
      </c>
      <c r="F185">
        <f t="shared" ca="1" si="38"/>
        <v>11</v>
      </c>
      <c r="G185">
        <f t="shared" ca="1" si="39"/>
        <v>2</v>
      </c>
      <c r="H185">
        <f t="shared" ca="1" si="40"/>
        <v>0</v>
      </c>
      <c r="I185">
        <f t="shared" ca="1" si="41"/>
        <v>0</v>
      </c>
      <c r="J185">
        <f t="shared" ca="1" si="42"/>
        <v>0</v>
      </c>
      <c r="K185">
        <f ca="1">IF(OR($C185="S",$C185=0),0,MATCH(OFFSET($D185,0,$C185)+IF($C185&lt;&gt;1,1,COUNTIF(QCI!$A$13:$A$24,ORÇAMENTO!E185)),OFFSET($D185,1,$C185,ROW($C$405)-ROW($C185)),0))</f>
        <v>0</v>
      </c>
      <c r="L185" s="115" t="str">
        <f t="shared" ca="1" si="43"/>
        <v/>
      </c>
      <c r="M185" s="116" t="s">
        <v>706</v>
      </c>
      <c r="N185" s="117" t="str">
        <f t="shared" ca="1" si="44"/>
        <v>Serviço</v>
      </c>
      <c r="O185" s="118" t="str">
        <f t="shared" ca="1" si="45"/>
        <v>-</v>
      </c>
      <c r="P185" s="119" t="s">
        <v>751</v>
      </c>
      <c r="Q185" s="120" t="s">
        <v>1091</v>
      </c>
      <c r="R185" s="121" t="s">
        <v>1467</v>
      </c>
      <c r="S185" s="122" t="s">
        <v>639</v>
      </c>
      <c r="T185" s="123">
        <f ca="1">OFFSET(CÁLCULO!H$15,ROW($T185)-ROW(T$15),0)</f>
        <v>1</v>
      </c>
      <c r="U185" s="124"/>
      <c r="V185" s="125" t="s">
        <v>663</v>
      </c>
      <c r="W185" s="123">
        <f ca="1">IF($C185="S",ROUND(IF(TIPOORCAMENTO="Proposto",ORÇAMENTO.CustoUnitario*(1+$AH185),ORÇAMENTO.PrecoUnitarioLicitado),15-13*$AF$10),0)</f>
        <v>0</v>
      </c>
      <c r="X185" s="126" cm="1">
        <f t="array" aca="1" ref="X185" ca="1">IF($C185="S",IF(OR(Import.TipoArredondamento&lt;&gt;"TransfereGOV",ACOMPANHAMENTO="BM"),VTOTAL1,SUM(OFFSET(CÁLCULO!$AA$15,ROW($X185)-ROW($X$15),1):OFFSET(CÁLCULO!$AL$15,ROW($X185)-ROW($X$15),-1))),IF($C185=0,0,ROUND(SomaAgrup,15-13*$AF$11)))</f>
        <v>0</v>
      </c>
      <c r="Y185" s="127" t="s">
        <v>752</v>
      </c>
      <c r="Z185" t="str">
        <f t="shared" ca="1" si="46"/>
        <v/>
      </c>
      <c r="AA185" s="128">
        <f ca="1">IF($C185="S",IF($Z185="CP",$X185,IF($Z185="RA",(($X185)*QCI!$AA$3),0)),SomaAgrup)</f>
        <v>0</v>
      </c>
      <c r="AB185" s="129">
        <f t="shared" ca="1" si="47"/>
        <v>0</v>
      </c>
      <c r="AC185" s="567" t="str">
        <f ca="1">IF($N185=""," ",
IF(AND($C185&lt;&gt;"S",OR($R185="",$R185="(digite a descrição aqui)")),"DESCRIÇÃO",
IF(AND($C185="S",OR($Q185&lt;&gt;0,$T185&gt;0,$U185&gt;0),$P185=0),"FONTE",
IF(AND($C185="S",$P185&lt;&gt;0,OR($T185&gt;0,$U185&gt;0),$Q185=0),"CÓDIGO",
IF(AND($C185="S",$P185&lt;&gt;0,$Q185&lt;&gt;0,$R185="(Código não identificado nas referências)"),"CÓDIGO N/ID",
IF(AND($C185="S",OR($R185="",$R185="(digite a descrição aqui)"),OR($Q185&lt;&gt;0,$T185&gt;0,$U185&gt;0)),"DESCRIÇÃO",
IF(AND($C185="S",$P185&lt;&gt;0,$Q185&lt;&gt;0,$S185=""),"UNIDADE",
IF(AND($C185="S",$P185&lt;&gt;0,$Q185&lt;&gt;0,$U185=0),"SEM CUSTO",
IF(AND(TIPOORCAMENTO="Licitado",$AL185=0,$AN185&gt;0),"SEM PREÇO",
IF(AND($C185="S",$P185&lt;&gt;0,$Q185&lt;&gt;0,$U185&gt;0,$V185=0),"BDI",
IF(OR(AND(TIPOORCAMENTO="Proposto",$AG185&lt;&gt;"",$AG185&gt;0,ORÇAMENTO.CustoUnitario&gt;$AG185),AND(TIPOORCAMENTO="LICITADO",ORÇAMENTO.PrecoUnitarioLicitado&gt;$AN185)),"ACIMA REF.",
IF(AND($C185="S",$P185&lt;&gt;0,$Q185&lt;&gt;0,$T185=0,$U185&gt;0),"QUANT.",
IF(AND(Import.TipoArredondamento="TransfereGOV",$L185="F",$C185="S",LEN($Q185)&gt;13),"Código &gt;13",
IF(AND(Import.TipoArredondamento="TransfereGOV",$L185="F",$C185&lt;&gt;"S",LEN($R185)&gt;100),"Descrição &gt;100",
IF(AND(Import.TipoArredondamento="TransfereGOV",$L185="F",$C185="S",LEN($R185)&gt;500),"Descrição &gt;500",
IF(AND(Import.TipoArredondamento="TransfereGOV",$L185="F",$C185="S",LEFT(TRIM(UPPER($P185)),6)&lt;&gt;"SINAPI",ISNA(VLOOKUP(TRIM(UPPER($S185)),ListaTgov.Unidades,1,FALSE))),"Unid. Não Disp",
" "))))))))))))))))</f>
        <v>SEM CUSTO</v>
      </c>
      <c r="AD185" t="str">
        <f ca="1">IF(C185&lt;=CRONO.NivelExibicao,MAX($AD$15:OFFSET(AD185,-1,0))+IF($C185&lt;&gt;1,1,MAX(1,COUNTIF(QCI!$A$13:$A$24,OFFSET($E185,-1,0)))),"")</f>
        <v/>
      </c>
      <c r="AE185" s="7" t="str">
        <f ca="1">IF(AND($C185="S",ORÇAMENTO.CodBarra&lt;&gt;""),IF(ORÇAMENTO.Fonte="",ORÇAMENTO.CodBarra,CONCATENATE(ORÇAMENTO.Fonte," ",ORÇAMENTO.CodBarra)))</f>
        <v>SINAPI 89391</v>
      </c>
      <c r="AF185" s="12" t="str">
        <f ca="1">IF(ISERROR(INDIRECT(ORÇAMENTO.BancoRef)),"(abra o arquivo 'Referência "&amp;Excel_BuiltIn_Database&amp;".xlsm)",IF(OR($C185&lt;&gt;"S",ORÇAMENTO.CodBarra=""),"(Sem Código)",IF(ISERROR(MATCH($AE185,INDIRECT(ORÇAMENTO.BancoRef),0)),"(Código não identificado nas referências)",MATCH($AE185,INDIRECT(ORÇAMENTO.BancoRef),0))))</f>
        <v>(abra o arquivo 'Referência 12-2024.xlsm)</v>
      </c>
      <c r="AG185" s="429">
        <f ca="1">ROUND(IF(DESONERACAO="sim",REFERENCIA.Desonerado,REFERENCIA.NaoDesonerado),2)</f>
        <v>0</v>
      </c>
      <c r="AH185" s="430">
        <f t="shared" ca="1" si="48"/>
        <v>0.31190000000000001</v>
      </c>
      <c r="AJ185" s="432">
        <v>1</v>
      </c>
      <c r="AL185" s="440"/>
      <c r="AM185" s="337">
        <f t="shared" ca="1" si="0"/>
        <v>0</v>
      </c>
      <c r="AN185" s="471">
        <f t="shared" ca="1" si="49"/>
        <v>0</v>
      </c>
    </row>
    <row r="186" spans="1:40" ht="51" x14ac:dyDescent="0.2">
      <c r="A186" t="str">
        <f t="shared" si="34"/>
        <v>S</v>
      </c>
      <c r="B186">
        <f t="shared" ca="1" si="35"/>
        <v>3</v>
      </c>
      <c r="C186" t="str">
        <f t="shared" ca="1" si="36"/>
        <v>S</v>
      </c>
      <c r="D186">
        <f t="shared" ca="1" si="37"/>
        <v>0</v>
      </c>
      <c r="E186">
        <f ca="1">IF($C186=1,OFFSET(E186,-1,0)+MAX(1,COUNTIF(QCI!$A$13:$A$24,OFFSET(ORÇAMENTO!E186,-1,0))),OFFSET(E186,-1,0))</f>
        <v>1</v>
      </c>
      <c r="F186">
        <f t="shared" ca="1" si="38"/>
        <v>11</v>
      </c>
      <c r="G186">
        <f t="shared" ca="1" si="39"/>
        <v>2</v>
      </c>
      <c r="H186">
        <f t="shared" ca="1" si="40"/>
        <v>0</v>
      </c>
      <c r="I186">
        <f t="shared" ca="1" si="41"/>
        <v>0</v>
      </c>
      <c r="J186">
        <f t="shared" ca="1" si="42"/>
        <v>0</v>
      </c>
      <c r="K186">
        <f ca="1">IF(OR($C186="S",$C186=0),0,MATCH(OFFSET($D186,0,$C186)+IF($C186&lt;&gt;1,1,COUNTIF(QCI!$A$13:$A$24,ORÇAMENTO!E186)),OFFSET($D186,1,$C186,ROW($C$405)-ROW($C186)),0))</f>
        <v>0</v>
      </c>
      <c r="L186" s="115" t="str">
        <f t="shared" ca="1" si="43"/>
        <v/>
      </c>
      <c r="M186" s="116" t="s">
        <v>706</v>
      </c>
      <c r="N186" s="117" t="str">
        <f t="shared" ca="1" si="44"/>
        <v>Serviço</v>
      </c>
      <c r="O186" s="118" t="str">
        <f t="shared" ca="1" si="45"/>
        <v>-</v>
      </c>
      <c r="P186" s="119" t="s">
        <v>751</v>
      </c>
      <c r="Q186" s="120" t="s">
        <v>1092</v>
      </c>
      <c r="R186" s="121" t="s">
        <v>1468</v>
      </c>
      <c r="S186" s="122" t="s">
        <v>639</v>
      </c>
      <c r="T186" s="123">
        <f ca="1">OFFSET(CÁLCULO!H$15,ROW($T186)-ROW(T$15),0)</f>
        <v>18</v>
      </c>
      <c r="U186" s="124"/>
      <c r="V186" s="125" t="s">
        <v>663</v>
      </c>
      <c r="W186" s="123">
        <f ca="1">IF($C186="S",ROUND(IF(TIPOORCAMENTO="Proposto",ORÇAMENTO.CustoUnitario*(1+$AH186),ORÇAMENTO.PrecoUnitarioLicitado),15-13*$AF$10),0)</f>
        <v>0</v>
      </c>
      <c r="X186" s="126" cm="1">
        <f t="array" aca="1" ref="X186" ca="1">IF($C186="S",IF(OR(Import.TipoArredondamento&lt;&gt;"TransfereGOV",ACOMPANHAMENTO="BM"),VTOTAL1,SUM(OFFSET(CÁLCULO!$AA$15,ROW($X186)-ROW($X$15),1):OFFSET(CÁLCULO!$AL$15,ROW($X186)-ROW($X$15),-1))),IF($C186=0,0,ROUND(SomaAgrup,15-13*$AF$11)))</f>
        <v>0</v>
      </c>
      <c r="Y186" s="127" t="s">
        <v>752</v>
      </c>
      <c r="Z186" t="str">
        <f t="shared" ca="1" si="46"/>
        <v/>
      </c>
      <c r="AA186" s="128">
        <f ca="1">IF($C186="S",IF($Z186="CP",$X186,IF($Z186="RA",(($X186)*QCI!$AA$3),0)),SomaAgrup)</f>
        <v>0</v>
      </c>
      <c r="AB186" s="129">
        <f t="shared" ca="1" si="47"/>
        <v>0</v>
      </c>
      <c r="AC186" s="567" t="str">
        <f ca="1">IF($N186=""," ",
IF(AND($C186&lt;&gt;"S",OR($R186="",$R186="(digite a descrição aqui)")),"DESCRIÇÃO",
IF(AND($C186="S",OR($Q186&lt;&gt;0,$T186&gt;0,$U186&gt;0),$P186=0),"FONTE",
IF(AND($C186="S",$P186&lt;&gt;0,OR($T186&gt;0,$U186&gt;0),$Q186=0),"CÓDIGO",
IF(AND($C186="S",$P186&lt;&gt;0,$Q186&lt;&gt;0,$R186="(Código não identificado nas referências)"),"CÓDIGO N/ID",
IF(AND($C186="S",OR($R186="",$R186="(digite a descrição aqui)"),OR($Q186&lt;&gt;0,$T186&gt;0,$U186&gt;0)),"DESCRIÇÃO",
IF(AND($C186="S",$P186&lt;&gt;0,$Q186&lt;&gt;0,$S186=""),"UNIDADE",
IF(AND($C186="S",$P186&lt;&gt;0,$Q186&lt;&gt;0,$U186=0),"SEM CUSTO",
IF(AND(TIPOORCAMENTO="Licitado",$AL186=0,$AN186&gt;0),"SEM PREÇO",
IF(AND($C186="S",$P186&lt;&gt;0,$Q186&lt;&gt;0,$U186&gt;0,$V186=0),"BDI",
IF(OR(AND(TIPOORCAMENTO="Proposto",$AG186&lt;&gt;"",$AG186&gt;0,ORÇAMENTO.CustoUnitario&gt;$AG186),AND(TIPOORCAMENTO="LICITADO",ORÇAMENTO.PrecoUnitarioLicitado&gt;$AN186)),"ACIMA REF.",
IF(AND($C186="S",$P186&lt;&gt;0,$Q186&lt;&gt;0,$T186=0,$U186&gt;0),"QUANT.",
IF(AND(Import.TipoArredondamento="TransfereGOV",$L186="F",$C186="S",LEN($Q186)&gt;13),"Código &gt;13",
IF(AND(Import.TipoArredondamento="TransfereGOV",$L186="F",$C186&lt;&gt;"S",LEN($R186)&gt;100),"Descrição &gt;100",
IF(AND(Import.TipoArredondamento="TransfereGOV",$L186="F",$C186="S",LEN($R186)&gt;500),"Descrição &gt;500",
IF(AND(Import.TipoArredondamento="TransfereGOV",$L186="F",$C186="S",LEFT(TRIM(UPPER($P186)),6)&lt;&gt;"SINAPI",ISNA(VLOOKUP(TRIM(UPPER($S186)),ListaTgov.Unidades,1,FALSE))),"Unid. Não Disp",
" "))))))))))))))))</f>
        <v>SEM CUSTO</v>
      </c>
      <c r="AD186" t="str">
        <f ca="1">IF(C186&lt;=CRONO.NivelExibicao,MAX($AD$15:OFFSET(AD186,-1,0))+IF($C186&lt;&gt;1,1,MAX(1,COUNTIF(QCI!$A$13:$A$24,OFFSET($E186,-1,0)))),"")</f>
        <v/>
      </c>
      <c r="AE186" s="7" t="str">
        <f ca="1">IF(AND($C186="S",ORÇAMENTO.CodBarra&lt;&gt;""),IF(ORÇAMENTO.Fonte="",ORÇAMENTO.CodBarra,CONCATENATE(ORÇAMENTO.Fonte," ",ORÇAMENTO.CodBarra)))</f>
        <v>SINAPI 103992</v>
      </c>
      <c r="AF186" s="12" t="str">
        <f ca="1">IF(ISERROR(INDIRECT(ORÇAMENTO.BancoRef)),"(abra o arquivo 'Referência "&amp;Excel_BuiltIn_Database&amp;".xlsm)",IF(OR($C186&lt;&gt;"S",ORÇAMENTO.CodBarra=""),"(Sem Código)",IF(ISERROR(MATCH($AE186,INDIRECT(ORÇAMENTO.BancoRef),0)),"(Código não identificado nas referências)",MATCH($AE186,INDIRECT(ORÇAMENTO.BancoRef),0))))</f>
        <v>(abra o arquivo 'Referência 12-2024.xlsm)</v>
      </c>
      <c r="AG186" s="429">
        <f ca="1">ROUND(IF(DESONERACAO="sim",REFERENCIA.Desonerado,REFERENCIA.NaoDesonerado),2)</f>
        <v>0</v>
      </c>
      <c r="AH186" s="430">
        <f t="shared" ca="1" si="48"/>
        <v>0.31190000000000001</v>
      </c>
      <c r="AJ186" s="432">
        <v>18</v>
      </c>
      <c r="AL186" s="440"/>
      <c r="AM186" s="337">
        <f t="shared" ca="1" si="0"/>
        <v>0</v>
      </c>
      <c r="AN186" s="471">
        <f t="shared" ca="1" si="49"/>
        <v>0</v>
      </c>
    </row>
    <row r="187" spans="1:40" ht="38.25" x14ac:dyDescent="0.2">
      <c r="A187" t="str">
        <f t="shared" si="34"/>
        <v>S</v>
      </c>
      <c r="B187">
        <f t="shared" ca="1" si="35"/>
        <v>3</v>
      </c>
      <c r="C187" t="str">
        <f t="shared" ca="1" si="36"/>
        <v>S</v>
      </c>
      <c r="D187">
        <f t="shared" ca="1" si="37"/>
        <v>0</v>
      </c>
      <c r="E187">
        <f ca="1">IF($C187=1,OFFSET(E187,-1,0)+MAX(1,COUNTIF(QCI!$A$13:$A$24,OFFSET(ORÇAMENTO!E187,-1,0))),OFFSET(E187,-1,0))</f>
        <v>1</v>
      </c>
      <c r="F187">
        <f t="shared" ca="1" si="38"/>
        <v>11</v>
      </c>
      <c r="G187">
        <f t="shared" ca="1" si="39"/>
        <v>2</v>
      </c>
      <c r="H187">
        <f t="shared" ca="1" si="40"/>
        <v>0</v>
      </c>
      <c r="I187">
        <f t="shared" ca="1" si="41"/>
        <v>0</v>
      </c>
      <c r="J187">
        <f t="shared" ca="1" si="42"/>
        <v>0</v>
      </c>
      <c r="K187">
        <f ca="1">IF(OR($C187="S",$C187=0),0,MATCH(OFFSET($D187,0,$C187)+IF($C187&lt;&gt;1,1,COUNTIF(QCI!$A$13:$A$24,ORÇAMENTO!E187)),OFFSET($D187,1,$C187,ROW($C$405)-ROW($C187)),0))</f>
        <v>0</v>
      </c>
      <c r="L187" s="115" t="str">
        <f t="shared" ca="1" si="43"/>
        <v/>
      </c>
      <c r="M187" s="116" t="s">
        <v>706</v>
      </c>
      <c r="N187" s="117" t="str">
        <f t="shared" ca="1" si="44"/>
        <v>Serviço</v>
      </c>
      <c r="O187" s="118" t="str">
        <f t="shared" ca="1" si="45"/>
        <v>-</v>
      </c>
      <c r="P187" s="119" t="s">
        <v>751</v>
      </c>
      <c r="Q187" s="120" t="s">
        <v>1091</v>
      </c>
      <c r="R187" s="121" t="s">
        <v>1467</v>
      </c>
      <c r="S187" s="122" t="s">
        <v>639</v>
      </c>
      <c r="T187" s="123">
        <f ca="1">OFFSET(CÁLCULO!H$15,ROW($T187)-ROW(T$15),0)</f>
        <v>7</v>
      </c>
      <c r="U187" s="124"/>
      <c r="V187" s="125" t="s">
        <v>663</v>
      </c>
      <c r="W187" s="123">
        <f ca="1">IF($C187="S",ROUND(IF(TIPOORCAMENTO="Proposto",ORÇAMENTO.CustoUnitario*(1+$AH187),ORÇAMENTO.PrecoUnitarioLicitado),15-13*$AF$10),0)</f>
        <v>0</v>
      </c>
      <c r="X187" s="126" cm="1">
        <f t="array" aca="1" ref="X187" ca="1">IF($C187="S",IF(OR(Import.TipoArredondamento&lt;&gt;"TransfereGOV",ACOMPANHAMENTO="BM"),VTOTAL1,SUM(OFFSET(CÁLCULO!$AA$15,ROW($X187)-ROW($X$15),1):OFFSET(CÁLCULO!$AL$15,ROW($X187)-ROW($X$15),-1))),IF($C187=0,0,ROUND(SomaAgrup,15-13*$AF$11)))</f>
        <v>0</v>
      </c>
      <c r="Y187" s="127" t="s">
        <v>752</v>
      </c>
      <c r="Z187" t="str">
        <f t="shared" ca="1" si="46"/>
        <v/>
      </c>
      <c r="AA187" s="128">
        <f ca="1">IF($C187="S",IF($Z187="CP",$X187,IF($Z187="RA",(($X187)*QCI!$AA$3),0)),SomaAgrup)</f>
        <v>0</v>
      </c>
      <c r="AB187" s="129">
        <f t="shared" ca="1" si="47"/>
        <v>0</v>
      </c>
      <c r="AC187" s="567" t="str">
        <f ca="1">IF($N187=""," ",
IF(AND($C187&lt;&gt;"S",OR($R187="",$R187="(digite a descrição aqui)")),"DESCRIÇÃO",
IF(AND($C187="S",OR($Q187&lt;&gt;0,$T187&gt;0,$U187&gt;0),$P187=0),"FONTE",
IF(AND($C187="S",$P187&lt;&gt;0,OR($T187&gt;0,$U187&gt;0),$Q187=0),"CÓDIGO",
IF(AND($C187="S",$P187&lt;&gt;0,$Q187&lt;&gt;0,$R187="(Código não identificado nas referências)"),"CÓDIGO N/ID",
IF(AND($C187="S",OR($R187="",$R187="(digite a descrição aqui)"),OR($Q187&lt;&gt;0,$T187&gt;0,$U187&gt;0)),"DESCRIÇÃO",
IF(AND($C187="S",$P187&lt;&gt;0,$Q187&lt;&gt;0,$S187=""),"UNIDADE",
IF(AND($C187="S",$P187&lt;&gt;0,$Q187&lt;&gt;0,$U187=0),"SEM CUSTO",
IF(AND(TIPOORCAMENTO="Licitado",$AL187=0,$AN187&gt;0),"SEM PREÇO",
IF(AND($C187="S",$P187&lt;&gt;0,$Q187&lt;&gt;0,$U187&gt;0,$V187=0),"BDI",
IF(OR(AND(TIPOORCAMENTO="Proposto",$AG187&lt;&gt;"",$AG187&gt;0,ORÇAMENTO.CustoUnitario&gt;$AG187),AND(TIPOORCAMENTO="LICITADO",ORÇAMENTO.PrecoUnitarioLicitado&gt;$AN187)),"ACIMA REF.",
IF(AND($C187="S",$P187&lt;&gt;0,$Q187&lt;&gt;0,$T187=0,$U187&gt;0),"QUANT.",
IF(AND(Import.TipoArredondamento="TransfereGOV",$L187="F",$C187="S",LEN($Q187)&gt;13),"Código &gt;13",
IF(AND(Import.TipoArredondamento="TransfereGOV",$L187="F",$C187&lt;&gt;"S",LEN($R187)&gt;100),"Descrição &gt;100",
IF(AND(Import.TipoArredondamento="TransfereGOV",$L187="F",$C187="S",LEN($R187)&gt;500),"Descrição &gt;500",
IF(AND(Import.TipoArredondamento="TransfereGOV",$L187="F",$C187="S",LEFT(TRIM(UPPER($P187)),6)&lt;&gt;"SINAPI",ISNA(VLOOKUP(TRIM(UPPER($S187)),ListaTgov.Unidades,1,FALSE))),"Unid. Não Disp",
" "))))))))))))))))</f>
        <v>SEM CUSTO</v>
      </c>
      <c r="AD187" t="str">
        <f ca="1">IF(C187&lt;=CRONO.NivelExibicao,MAX($AD$15:OFFSET(AD187,-1,0))+IF($C187&lt;&gt;1,1,MAX(1,COUNTIF(QCI!$A$13:$A$24,OFFSET($E187,-1,0)))),"")</f>
        <v/>
      </c>
      <c r="AE187" s="7" t="str">
        <f ca="1">IF(AND($C187="S",ORÇAMENTO.CodBarra&lt;&gt;""),IF(ORÇAMENTO.Fonte="",ORÇAMENTO.CodBarra,CONCATENATE(ORÇAMENTO.Fonte," ",ORÇAMENTO.CodBarra)))</f>
        <v>SINAPI 89391</v>
      </c>
      <c r="AF187" s="12" t="str">
        <f ca="1">IF(ISERROR(INDIRECT(ORÇAMENTO.BancoRef)),"(abra o arquivo 'Referência "&amp;Excel_BuiltIn_Database&amp;".xlsm)",IF(OR($C187&lt;&gt;"S",ORÇAMENTO.CodBarra=""),"(Sem Código)",IF(ISERROR(MATCH($AE187,INDIRECT(ORÇAMENTO.BancoRef),0)),"(Código não identificado nas referências)",MATCH($AE187,INDIRECT(ORÇAMENTO.BancoRef),0))))</f>
        <v>(abra o arquivo 'Referência 12-2024.xlsm)</v>
      </c>
      <c r="AG187" s="429">
        <f ca="1">ROUND(IF(DESONERACAO="sim",REFERENCIA.Desonerado,REFERENCIA.NaoDesonerado),2)</f>
        <v>0</v>
      </c>
      <c r="AH187" s="430">
        <f t="shared" ca="1" si="48"/>
        <v>0.31190000000000001</v>
      </c>
      <c r="AJ187" s="432">
        <v>7</v>
      </c>
      <c r="AL187" s="440"/>
      <c r="AM187" s="337">
        <f t="shared" ca="1" si="0"/>
        <v>0</v>
      </c>
      <c r="AN187" s="471">
        <f t="shared" ca="1" si="49"/>
        <v>0</v>
      </c>
    </row>
    <row r="188" spans="1:40" ht="51" x14ac:dyDescent="0.2">
      <c r="A188" t="str">
        <f t="shared" si="34"/>
        <v>S</v>
      </c>
      <c r="B188">
        <f t="shared" ca="1" si="35"/>
        <v>3</v>
      </c>
      <c r="C188" t="str">
        <f t="shared" ca="1" si="36"/>
        <v>S</v>
      </c>
      <c r="D188">
        <f t="shared" ca="1" si="37"/>
        <v>0</v>
      </c>
      <c r="E188">
        <f ca="1">IF($C188=1,OFFSET(E188,-1,0)+MAX(1,COUNTIF(QCI!$A$13:$A$24,OFFSET(ORÇAMENTO!E188,-1,0))),OFFSET(E188,-1,0))</f>
        <v>1</v>
      </c>
      <c r="F188">
        <f t="shared" ca="1" si="38"/>
        <v>11</v>
      </c>
      <c r="G188">
        <f t="shared" ca="1" si="39"/>
        <v>2</v>
      </c>
      <c r="H188">
        <f t="shared" ca="1" si="40"/>
        <v>0</v>
      </c>
      <c r="I188">
        <f t="shared" ca="1" si="41"/>
        <v>0</v>
      </c>
      <c r="J188">
        <f t="shared" ca="1" si="42"/>
        <v>0</v>
      </c>
      <c r="K188">
        <f ca="1">IF(OR($C188="S",$C188=0),0,MATCH(OFFSET($D188,0,$C188)+IF($C188&lt;&gt;1,1,COUNTIF(QCI!$A$13:$A$24,ORÇAMENTO!E188)),OFFSET($D188,1,$C188,ROW($C$405)-ROW($C188)),0))</f>
        <v>0</v>
      </c>
      <c r="L188" s="115" t="str">
        <f t="shared" ca="1" si="43"/>
        <v/>
      </c>
      <c r="M188" s="116" t="s">
        <v>706</v>
      </c>
      <c r="N188" s="117" t="str">
        <f t="shared" ca="1" si="44"/>
        <v>Serviço</v>
      </c>
      <c r="O188" s="118" t="str">
        <f t="shared" ca="1" si="45"/>
        <v>-</v>
      </c>
      <c r="P188" s="119" t="s">
        <v>751</v>
      </c>
      <c r="Q188" s="120" t="s">
        <v>1092</v>
      </c>
      <c r="R188" s="121" t="s">
        <v>1468</v>
      </c>
      <c r="S188" s="122" t="s">
        <v>639</v>
      </c>
      <c r="T188" s="123">
        <f ca="1">OFFSET(CÁLCULO!H$15,ROW($T188)-ROW(T$15),0)</f>
        <v>9</v>
      </c>
      <c r="U188" s="124"/>
      <c r="V188" s="125" t="s">
        <v>663</v>
      </c>
      <c r="W188" s="123">
        <f ca="1">IF($C188="S",ROUND(IF(TIPOORCAMENTO="Proposto",ORÇAMENTO.CustoUnitario*(1+$AH188),ORÇAMENTO.PrecoUnitarioLicitado),15-13*$AF$10),0)</f>
        <v>0</v>
      </c>
      <c r="X188" s="126" cm="1">
        <f t="array" aca="1" ref="X188" ca="1">IF($C188="S",IF(OR(Import.TipoArredondamento&lt;&gt;"TransfereGOV",ACOMPANHAMENTO="BM"),VTOTAL1,SUM(OFFSET(CÁLCULO!$AA$15,ROW($X188)-ROW($X$15),1):OFFSET(CÁLCULO!$AL$15,ROW($X188)-ROW($X$15),-1))),IF($C188=0,0,ROUND(SomaAgrup,15-13*$AF$11)))</f>
        <v>0</v>
      </c>
      <c r="Y188" s="127" t="s">
        <v>752</v>
      </c>
      <c r="Z188" t="str">
        <f t="shared" ca="1" si="46"/>
        <v/>
      </c>
      <c r="AA188" s="128">
        <f ca="1">IF($C188="S",IF($Z188="CP",$X188,IF($Z188="RA",(($X188)*QCI!$AA$3),0)),SomaAgrup)</f>
        <v>0</v>
      </c>
      <c r="AB188" s="129">
        <f t="shared" ca="1" si="47"/>
        <v>0</v>
      </c>
      <c r="AC188" s="567" t="str">
        <f ca="1">IF($N188=""," ",
IF(AND($C188&lt;&gt;"S",OR($R188="",$R188="(digite a descrição aqui)")),"DESCRIÇÃO",
IF(AND($C188="S",OR($Q188&lt;&gt;0,$T188&gt;0,$U188&gt;0),$P188=0),"FONTE",
IF(AND($C188="S",$P188&lt;&gt;0,OR($T188&gt;0,$U188&gt;0),$Q188=0),"CÓDIGO",
IF(AND($C188="S",$P188&lt;&gt;0,$Q188&lt;&gt;0,$R188="(Código não identificado nas referências)"),"CÓDIGO N/ID",
IF(AND($C188="S",OR($R188="",$R188="(digite a descrição aqui)"),OR($Q188&lt;&gt;0,$T188&gt;0,$U188&gt;0)),"DESCRIÇÃO",
IF(AND($C188="S",$P188&lt;&gt;0,$Q188&lt;&gt;0,$S188=""),"UNIDADE",
IF(AND($C188="S",$P188&lt;&gt;0,$Q188&lt;&gt;0,$U188=0),"SEM CUSTO",
IF(AND(TIPOORCAMENTO="Licitado",$AL188=0,$AN188&gt;0),"SEM PREÇO",
IF(AND($C188="S",$P188&lt;&gt;0,$Q188&lt;&gt;0,$U188&gt;0,$V188=0),"BDI",
IF(OR(AND(TIPOORCAMENTO="Proposto",$AG188&lt;&gt;"",$AG188&gt;0,ORÇAMENTO.CustoUnitario&gt;$AG188),AND(TIPOORCAMENTO="LICITADO",ORÇAMENTO.PrecoUnitarioLicitado&gt;$AN188)),"ACIMA REF.",
IF(AND($C188="S",$P188&lt;&gt;0,$Q188&lt;&gt;0,$T188=0,$U188&gt;0),"QUANT.",
IF(AND(Import.TipoArredondamento="TransfereGOV",$L188="F",$C188="S",LEN($Q188)&gt;13),"Código &gt;13",
IF(AND(Import.TipoArredondamento="TransfereGOV",$L188="F",$C188&lt;&gt;"S",LEN($R188)&gt;100),"Descrição &gt;100",
IF(AND(Import.TipoArredondamento="TransfereGOV",$L188="F",$C188="S",LEN($R188)&gt;500),"Descrição &gt;500",
IF(AND(Import.TipoArredondamento="TransfereGOV",$L188="F",$C188="S",LEFT(TRIM(UPPER($P188)),6)&lt;&gt;"SINAPI",ISNA(VLOOKUP(TRIM(UPPER($S188)),ListaTgov.Unidades,1,FALSE))),"Unid. Não Disp",
" "))))))))))))))))</f>
        <v>SEM CUSTO</v>
      </c>
      <c r="AD188" t="str">
        <f ca="1">IF(C188&lt;=CRONO.NivelExibicao,MAX($AD$15:OFFSET(AD188,-1,0))+IF($C188&lt;&gt;1,1,MAX(1,COUNTIF(QCI!$A$13:$A$24,OFFSET($E188,-1,0)))),"")</f>
        <v/>
      </c>
      <c r="AE188" s="7" t="str">
        <f ca="1">IF(AND($C188="S",ORÇAMENTO.CodBarra&lt;&gt;""),IF(ORÇAMENTO.Fonte="",ORÇAMENTO.CodBarra,CONCATENATE(ORÇAMENTO.Fonte," ",ORÇAMENTO.CodBarra)))</f>
        <v>SINAPI 103992</v>
      </c>
      <c r="AF188" s="12" t="str">
        <f ca="1">IF(ISERROR(INDIRECT(ORÇAMENTO.BancoRef)),"(abra o arquivo 'Referência "&amp;Excel_BuiltIn_Database&amp;".xlsm)",IF(OR($C188&lt;&gt;"S",ORÇAMENTO.CodBarra=""),"(Sem Código)",IF(ISERROR(MATCH($AE188,INDIRECT(ORÇAMENTO.BancoRef),0)),"(Código não identificado nas referências)",MATCH($AE188,INDIRECT(ORÇAMENTO.BancoRef),0))))</f>
        <v>(abra o arquivo 'Referência 12-2024.xlsm)</v>
      </c>
      <c r="AG188" s="429">
        <f ca="1">ROUND(IF(DESONERACAO="sim",REFERENCIA.Desonerado,REFERENCIA.NaoDesonerado),2)</f>
        <v>0</v>
      </c>
      <c r="AH188" s="430">
        <f t="shared" ca="1" si="48"/>
        <v>0.31190000000000001</v>
      </c>
      <c r="AJ188" s="432">
        <v>9</v>
      </c>
      <c r="AL188" s="440"/>
      <c r="AM188" s="337">
        <f t="shared" ca="1" si="0"/>
        <v>0</v>
      </c>
      <c r="AN188" s="471">
        <f t="shared" ca="1" si="49"/>
        <v>0</v>
      </c>
    </row>
    <row r="189" spans="1:40" ht="51" x14ac:dyDescent="0.2">
      <c r="A189" t="str">
        <f t="shared" si="34"/>
        <v>S</v>
      </c>
      <c r="B189">
        <f t="shared" ca="1" si="35"/>
        <v>3</v>
      </c>
      <c r="C189" t="str">
        <f t="shared" ca="1" si="36"/>
        <v>S</v>
      </c>
      <c r="D189">
        <f t="shared" ca="1" si="37"/>
        <v>0</v>
      </c>
      <c r="E189">
        <f ca="1">IF($C189=1,OFFSET(E189,-1,0)+MAX(1,COUNTIF(QCI!$A$13:$A$24,OFFSET(ORÇAMENTO!E189,-1,0))),OFFSET(E189,-1,0))</f>
        <v>1</v>
      </c>
      <c r="F189">
        <f t="shared" ca="1" si="38"/>
        <v>11</v>
      </c>
      <c r="G189">
        <f t="shared" ca="1" si="39"/>
        <v>2</v>
      </c>
      <c r="H189">
        <f t="shared" ca="1" si="40"/>
        <v>0</v>
      </c>
      <c r="I189">
        <f t="shared" ca="1" si="41"/>
        <v>0</v>
      </c>
      <c r="J189">
        <f t="shared" ca="1" si="42"/>
        <v>0</v>
      </c>
      <c r="K189">
        <f ca="1">IF(OR($C189="S",$C189=0),0,MATCH(OFFSET($D189,0,$C189)+IF($C189&lt;&gt;1,1,COUNTIF(QCI!$A$13:$A$24,ORÇAMENTO!E189)),OFFSET($D189,1,$C189,ROW($C$405)-ROW($C189)),0))</f>
        <v>0</v>
      </c>
      <c r="L189" s="115" t="str">
        <f t="shared" ca="1" si="43"/>
        <v/>
      </c>
      <c r="M189" s="116" t="s">
        <v>706</v>
      </c>
      <c r="N189" s="117" t="str">
        <f t="shared" ca="1" si="44"/>
        <v>Serviço</v>
      </c>
      <c r="O189" s="118" t="str">
        <f t="shared" ca="1" si="45"/>
        <v>-</v>
      </c>
      <c r="P189" s="119" t="s">
        <v>751</v>
      </c>
      <c r="Q189" s="120" t="s">
        <v>1093</v>
      </c>
      <c r="R189" s="121" t="s">
        <v>1469</v>
      </c>
      <c r="S189" s="122" t="s">
        <v>639</v>
      </c>
      <c r="T189" s="123">
        <f ca="1">OFFSET(CÁLCULO!H$15,ROW($T189)-ROW(T$15),0)</f>
        <v>9</v>
      </c>
      <c r="U189" s="124"/>
      <c r="V189" s="125" t="s">
        <v>663</v>
      </c>
      <c r="W189" s="123">
        <f ca="1">IF($C189="S",ROUND(IF(TIPOORCAMENTO="Proposto",ORÇAMENTO.CustoUnitario*(1+$AH189),ORÇAMENTO.PrecoUnitarioLicitado),15-13*$AF$10),0)</f>
        <v>0</v>
      </c>
      <c r="X189" s="126" cm="1">
        <f t="array" aca="1" ref="X189" ca="1">IF($C189="S",IF(OR(Import.TipoArredondamento&lt;&gt;"TransfereGOV",ACOMPANHAMENTO="BM"),VTOTAL1,SUM(OFFSET(CÁLCULO!$AA$15,ROW($X189)-ROW($X$15),1):OFFSET(CÁLCULO!$AL$15,ROW($X189)-ROW($X$15),-1))),IF($C189=0,0,ROUND(SomaAgrup,15-13*$AF$11)))</f>
        <v>0</v>
      </c>
      <c r="Y189" s="127" t="s">
        <v>752</v>
      </c>
      <c r="Z189" t="str">
        <f t="shared" ca="1" si="46"/>
        <v/>
      </c>
      <c r="AA189" s="128">
        <f ca="1">IF($C189="S",IF($Z189="CP",$X189,IF($Z189="RA",(($X189)*QCI!$AA$3),0)),SomaAgrup)</f>
        <v>0</v>
      </c>
      <c r="AB189" s="129">
        <f t="shared" ca="1" si="47"/>
        <v>0</v>
      </c>
      <c r="AC189" s="567" t="str">
        <f ca="1">IF($N189=""," ",
IF(AND($C189&lt;&gt;"S",OR($R189="",$R189="(digite a descrição aqui)")),"DESCRIÇÃO",
IF(AND($C189="S",OR($Q189&lt;&gt;0,$T189&gt;0,$U189&gt;0),$P189=0),"FONTE",
IF(AND($C189="S",$P189&lt;&gt;0,OR($T189&gt;0,$U189&gt;0),$Q189=0),"CÓDIGO",
IF(AND($C189="S",$P189&lt;&gt;0,$Q189&lt;&gt;0,$R189="(Código não identificado nas referências)"),"CÓDIGO N/ID",
IF(AND($C189="S",OR($R189="",$R189="(digite a descrição aqui)"),OR($Q189&lt;&gt;0,$T189&gt;0,$U189&gt;0)),"DESCRIÇÃO",
IF(AND($C189="S",$P189&lt;&gt;0,$Q189&lt;&gt;0,$S189=""),"UNIDADE",
IF(AND($C189="S",$P189&lt;&gt;0,$Q189&lt;&gt;0,$U189=0),"SEM CUSTO",
IF(AND(TIPOORCAMENTO="Licitado",$AL189=0,$AN189&gt;0),"SEM PREÇO",
IF(AND($C189="S",$P189&lt;&gt;0,$Q189&lt;&gt;0,$U189&gt;0,$V189=0),"BDI",
IF(OR(AND(TIPOORCAMENTO="Proposto",$AG189&lt;&gt;"",$AG189&gt;0,ORÇAMENTO.CustoUnitario&gt;$AG189),AND(TIPOORCAMENTO="LICITADO",ORÇAMENTO.PrecoUnitarioLicitado&gt;$AN189)),"ACIMA REF.",
IF(AND($C189="S",$P189&lt;&gt;0,$Q189&lt;&gt;0,$T189=0,$U189&gt;0),"QUANT.",
IF(AND(Import.TipoArredondamento="TransfereGOV",$L189="F",$C189="S",LEN($Q189)&gt;13),"Código &gt;13",
IF(AND(Import.TipoArredondamento="TransfereGOV",$L189="F",$C189&lt;&gt;"S",LEN($R189)&gt;100),"Descrição &gt;100",
IF(AND(Import.TipoArredondamento="TransfereGOV",$L189="F",$C189="S",LEN($R189)&gt;500),"Descrição &gt;500",
IF(AND(Import.TipoArredondamento="TransfereGOV",$L189="F",$C189="S",LEFT(TRIM(UPPER($P189)),6)&lt;&gt;"SINAPI",ISNA(VLOOKUP(TRIM(UPPER($S189)),ListaTgov.Unidades,1,FALSE))),"Unid. Não Disp",
" "))))))))))))))))</f>
        <v>SEM CUSTO</v>
      </c>
      <c r="AD189" t="str">
        <f ca="1">IF(C189&lt;=CRONO.NivelExibicao,MAX($AD$15:OFFSET(AD189,-1,0))+IF($C189&lt;&gt;1,1,MAX(1,COUNTIF(QCI!$A$13:$A$24,OFFSET($E189,-1,0)))),"")</f>
        <v/>
      </c>
      <c r="AE189" s="7" t="str">
        <f ca="1">IF(AND($C189="S",ORÇAMENTO.CodBarra&lt;&gt;""),IF(ORÇAMENTO.Fonte="",ORÇAMENTO.CodBarra,CONCATENATE(ORÇAMENTO.Fonte," ",ORÇAMENTO.CodBarra)))</f>
        <v>SINAPI 104001</v>
      </c>
      <c r="AF189" s="12" t="str">
        <f ca="1">IF(ISERROR(INDIRECT(ORÇAMENTO.BancoRef)),"(abra o arquivo 'Referência "&amp;Excel_BuiltIn_Database&amp;".xlsm)",IF(OR($C189&lt;&gt;"S",ORÇAMENTO.CodBarra=""),"(Sem Código)",IF(ISERROR(MATCH($AE189,INDIRECT(ORÇAMENTO.BancoRef),0)),"(Código não identificado nas referências)",MATCH($AE189,INDIRECT(ORÇAMENTO.BancoRef),0))))</f>
        <v>(abra o arquivo 'Referência 12-2024.xlsm)</v>
      </c>
      <c r="AG189" s="429">
        <f ca="1">ROUND(IF(DESONERACAO="sim",REFERENCIA.Desonerado,REFERENCIA.NaoDesonerado),2)</f>
        <v>0</v>
      </c>
      <c r="AH189" s="430">
        <f t="shared" ca="1" si="48"/>
        <v>0.31190000000000001</v>
      </c>
      <c r="AJ189" s="432">
        <v>9</v>
      </c>
      <c r="AL189" s="440"/>
      <c r="AM189" s="337">
        <f t="shared" ca="1" si="0"/>
        <v>0</v>
      </c>
      <c r="AN189" s="471">
        <f t="shared" ca="1" si="49"/>
        <v>0</v>
      </c>
    </row>
    <row r="190" spans="1:40" ht="38.25" x14ac:dyDescent="0.2">
      <c r="A190" t="str">
        <f t="shared" si="34"/>
        <v>S</v>
      </c>
      <c r="B190">
        <f t="shared" ca="1" si="35"/>
        <v>3</v>
      </c>
      <c r="C190" t="str">
        <f t="shared" ca="1" si="36"/>
        <v>S</v>
      </c>
      <c r="D190">
        <f t="shared" ca="1" si="37"/>
        <v>0</v>
      </c>
      <c r="E190">
        <f ca="1">IF($C190=1,OFFSET(E190,-1,0)+MAX(1,COUNTIF(QCI!$A$13:$A$24,OFFSET(ORÇAMENTO!E190,-1,0))),OFFSET(E190,-1,0))</f>
        <v>1</v>
      </c>
      <c r="F190">
        <f t="shared" ca="1" si="38"/>
        <v>11</v>
      </c>
      <c r="G190">
        <f t="shared" ca="1" si="39"/>
        <v>2</v>
      </c>
      <c r="H190">
        <f t="shared" ca="1" si="40"/>
        <v>0</v>
      </c>
      <c r="I190">
        <f t="shared" ca="1" si="41"/>
        <v>0</v>
      </c>
      <c r="J190">
        <f t="shared" ca="1" si="42"/>
        <v>0</v>
      </c>
      <c r="K190">
        <f ca="1">IF(OR($C190="S",$C190=0),0,MATCH(OFFSET($D190,0,$C190)+IF($C190&lt;&gt;1,1,COUNTIF(QCI!$A$13:$A$24,ORÇAMENTO!E190)),OFFSET($D190,1,$C190,ROW($C$405)-ROW($C190)),0))</f>
        <v>0</v>
      </c>
      <c r="L190" s="115" t="str">
        <f t="shared" ca="1" si="43"/>
        <v/>
      </c>
      <c r="M190" s="116" t="s">
        <v>706</v>
      </c>
      <c r="N190" s="117" t="str">
        <f t="shared" ca="1" si="44"/>
        <v>Serviço</v>
      </c>
      <c r="O190" s="118" t="str">
        <f t="shared" ca="1" si="45"/>
        <v>-</v>
      </c>
      <c r="P190" s="119" t="s">
        <v>751</v>
      </c>
      <c r="Q190" s="120" t="s">
        <v>1094</v>
      </c>
      <c r="R190" s="121" t="s">
        <v>1470</v>
      </c>
      <c r="S190" s="122" t="s">
        <v>639</v>
      </c>
      <c r="T190" s="123">
        <f ca="1">OFFSET(CÁLCULO!H$15,ROW($T190)-ROW(T$15),0)</f>
        <v>36</v>
      </c>
      <c r="U190" s="124"/>
      <c r="V190" s="125" t="s">
        <v>663</v>
      </c>
      <c r="W190" s="123">
        <f ca="1">IF($C190="S",ROUND(IF(TIPOORCAMENTO="Proposto",ORÇAMENTO.CustoUnitario*(1+$AH190),ORÇAMENTO.PrecoUnitarioLicitado),15-13*$AF$10),0)</f>
        <v>0</v>
      </c>
      <c r="X190" s="126" cm="1">
        <f t="array" aca="1" ref="X190" ca="1">IF($C190="S",IF(OR(Import.TipoArredondamento&lt;&gt;"TransfereGOV",ACOMPANHAMENTO="BM"),VTOTAL1,SUM(OFFSET(CÁLCULO!$AA$15,ROW($X190)-ROW($X$15),1):OFFSET(CÁLCULO!$AL$15,ROW($X190)-ROW($X$15),-1))),IF($C190=0,0,ROUND(SomaAgrup,15-13*$AF$11)))</f>
        <v>0</v>
      </c>
      <c r="Y190" s="127" t="s">
        <v>752</v>
      </c>
      <c r="Z190" t="str">
        <f t="shared" ca="1" si="46"/>
        <v/>
      </c>
      <c r="AA190" s="128">
        <f ca="1">IF($C190="S",IF($Z190="CP",$X190,IF($Z190="RA",(($X190)*QCI!$AA$3),0)),SomaAgrup)</f>
        <v>0</v>
      </c>
      <c r="AB190" s="129">
        <f t="shared" ca="1" si="47"/>
        <v>0</v>
      </c>
      <c r="AC190" s="567" t="str">
        <f ca="1">IF($N190=""," ",
IF(AND($C190&lt;&gt;"S",OR($R190="",$R190="(digite a descrição aqui)")),"DESCRIÇÃO",
IF(AND($C190="S",OR($Q190&lt;&gt;0,$T190&gt;0,$U190&gt;0),$P190=0),"FONTE",
IF(AND($C190="S",$P190&lt;&gt;0,OR($T190&gt;0,$U190&gt;0),$Q190=0),"CÓDIGO",
IF(AND($C190="S",$P190&lt;&gt;0,$Q190&lt;&gt;0,$R190="(Código não identificado nas referências)"),"CÓDIGO N/ID",
IF(AND($C190="S",OR($R190="",$R190="(digite a descrição aqui)"),OR($Q190&lt;&gt;0,$T190&gt;0,$U190&gt;0)),"DESCRIÇÃO",
IF(AND($C190="S",$P190&lt;&gt;0,$Q190&lt;&gt;0,$S190=""),"UNIDADE",
IF(AND($C190="S",$P190&lt;&gt;0,$Q190&lt;&gt;0,$U190=0),"SEM CUSTO",
IF(AND(TIPOORCAMENTO="Licitado",$AL190=0,$AN190&gt;0),"SEM PREÇO",
IF(AND($C190="S",$P190&lt;&gt;0,$Q190&lt;&gt;0,$U190&gt;0,$V190=0),"BDI",
IF(OR(AND(TIPOORCAMENTO="Proposto",$AG190&lt;&gt;"",$AG190&gt;0,ORÇAMENTO.CustoUnitario&gt;$AG190),AND(TIPOORCAMENTO="LICITADO",ORÇAMENTO.PrecoUnitarioLicitado&gt;$AN190)),"ACIMA REF.",
IF(AND($C190="S",$P190&lt;&gt;0,$Q190&lt;&gt;0,$T190=0,$U190&gt;0),"QUANT.",
IF(AND(Import.TipoArredondamento="TransfereGOV",$L190="F",$C190="S",LEN($Q190)&gt;13),"Código &gt;13",
IF(AND(Import.TipoArredondamento="TransfereGOV",$L190="F",$C190&lt;&gt;"S",LEN($R190)&gt;100),"Descrição &gt;100",
IF(AND(Import.TipoArredondamento="TransfereGOV",$L190="F",$C190="S",LEN($R190)&gt;500),"Descrição &gt;500",
IF(AND(Import.TipoArredondamento="TransfereGOV",$L190="F",$C190="S",LEFT(TRIM(UPPER($P190)),6)&lt;&gt;"SINAPI",ISNA(VLOOKUP(TRIM(UPPER($S190)),ListaTgov.Unidades,1,FALSE))),"Unid. Não Disp",
" "))))))))))))))))</f>
        <v>SEM CUSTO</v>
      </c>
      <c r="AD190" t="str">
        <f ca="1">IF(C190&lt;=CRONO.NivelExibicao,MAX($AD$15:OFFSET(AD190,-1,0))+IF($C190&lt;&gt;1,1,MAX(1,COUNTIF(QCI!$A$13:$A$24,OFFSET($E190,-1,0)))),"")</f>
        <v/>
      </c>
      <c r="AE190" s="7" t="str">
        <f ca="1">IF(AND($C190="S",ORÇAMENTO.CodBarra&lt;&gt;""),IF(ORÇAMENTO.Fonte="",ORÇAMENTO.CodBarra,CONCATENATE(ORÇAMENTO.Fonte," ",ORÇAMENTO.CodBarra)))</f>
        <v>SINAPI 89368</v>
      </c>
      <c r="AF190" s="12" t="str">
        <f ca="1">IF(ISERROR(INDIRECT(ORÇAMENTO.BancoRef)),"(abra o arquivo 'Referência "&amp;Excel_BuiltIn_Database&amp;".xlsm)",IF(OR($C190&lt;&gt;"S",ORÇAMENTO.CodBarra=""),"(Sem Código)",IF(ISERROR(MATCH($AE190,INDIRECT(ORÇAMENTO.BancoRef),0)),"(Código não identificado nas referências)",MATCH($AE190,INDIRECT(ORÇAMENTO.BancoRef),0))))</f>
        <v>(abra o arquivo 'Referência 12-2024.xlsm)</v>
      </c>
      <c r="AG190" s="429">
        <f ca="1">ROUND(IF(DESONERACAO="sim",REFERENCIA.Desonerado,REFERENCIA.NaoDesonerado),2)</f>
        <v>0</v>
      </c>
      <c r="AH190" s="430">
        <f t="shared" ca="1" si="48"/>
        <v>0.31190000000000001</v>
      </c>
      <c r="AJ190" s="432">
        <v>36</v>
      </c>
      <c r="AL190" s="440"/>
      <c r="AM190" s="337">
        <f t="shared" ca="1" si="0"/>
        <v>0</v>
      </c>
      <c r="AN190" s="471">
        <f t="shared" ca="1" si="49"/>
        <v>0</v>
      </c>
    </row>
    <row r="191" spans="1:40" ht="38.25" x14ac:dyDescent="0.2">
      <c r="A191" t="str">
        <f t="shared" si="34"/>
        <v>S</v>
      </c>
      <c r="B191">
        <f t="shared" ca="1" si="35"/>
        <v>3</v>
      </c>
      <c r="C191" t="str">
        <f t="shared" ca="1" si="36"/>
        <v>S</v>
      </c>
      <c r="D191">
        <f t="shared" ca="1" si="37"/>
        <v>0</v>
      </c>
      <c r="E191">
        <f ca="1">IF($C191=1,OFFSET(E191,-1,0)+MAX(1,COUNTIF(QCI!$A$13:$A$24,OFFSET(ORÇAMENTO!E191,-1,0))),OFFSET(E191,-1,0))</f>
        <v>1</v>
      </c>
      <c r="F191">
        <f t="shared" ca="1" si="38"/>
        <v>11</v>
      </c>
      <c r="G191">
        <f t="shared" ca="1" si="39"/>
        <v>2</v>
      </c>
      <c r="H191">
        <f t="shared" ca="1" si="40"/>
        <v>0</v>
      </c>
      <c r="I191">
        <f t="shared" ca="1" si="41"/>
        <v>0</v>
      </c>
      <c r="J191">
        <f t="shared" ca="1" si="42"/>
        <v>0</v>
      </c>
      <c r="K191">
        <f ca="1">IF(OR($C191="S",$C191=0),0,MATCH(OFFSET($D191,0,$C191)+IF($C191&lt;&gt;1,1,COUNTIF(QCI!$A$13:$A$24,ORÇAMENTO!E191)),OFFSET($D191,1,$C191,ROW($C$405)-ROW($C191)),0))</f>
        <v>0</v>
      </c>
      <c r="L191" s="115" t="str">
        <f t="shared" ca="1" si="43"/>
        <v/>
      </c>
      <c r="M191" s="116" t="s">
        <v>706</v>
      </c>
      <c r="N191" s="117" t="str">
        <f t="shared" ca="1" si="44"/>
        <v>Serviço</v>
      </c>
      <c r="O191" s="118" t="str">
        <f t="shared" ca="1" si="45"/>
        <v>-</v>
      </c>
      <c r="P191" s="119" t="s">
        <v>751</v>
      </c>
      <c r="Q191" s="120" t="s">
        <v>1095</v>
      </c>
      <c r="R191" s="121" t="s">
        <v>1471</v>
      </c>
      <c r="S191" s="122" t="s">
        <v>639</v>
      </c>
      <c r="T191" s="123">
        <f ca="1">OFFSET(CÁLCULO!H$15,ROW($T191)-ROW(T$15),0)</f>
        <v>34</v>
      </c>
      <c r="U191" s="124"/>
      <c r="V191" s="125" t="s">
        <v>663</v>
      </c>
      <c r="W191" s="123">
        <f ca="1">IF($C191="S",ROUND(IF(TIPOORCAMENTO="Proposto",ORÇAMENTO.CustoUnitario*(1+$AH191),ORÇAMENTO.PrecoUnitarioLicitado),15-13*$AF$10),0)</f>
        <v>0</v>
      </c>
      <c r="X191" s="126" cm="1">
        <f t="array" aca="1" ref="X191" ca="1">IF($C191="S",IF(OR(Import.TipoArredondamento&lt;&gt;"TransfereGOV",ACOMPANHAMENTO="BM"),VTOTAL1,SUM(OFFSET(CÁLCULO!$AA$15,ROW($X191)-ROW($X$15),1):OFFSET(CÁLCULO!$AL$15,ROW($X191)-ROW($X$15),-1))),IF($C191=0,0,ROUND(SomaAgrup,15-13*$AF$11)))</f>
        <v>0</v>
      </c>
      <c r="Y191" s="127" t="s">
        <v>752</v>
      </c>
      <c r="Z191" t="str">
        <f t="shared" ca="1" si="46"/>
        <v/>
      </c>
      <c r="AA191" s="128">
        <f ca="1">IF($C191="S",IF($Z191="CP",$X191,IF($Z191="RA",(($X191)*QCI!$AA$3),0)),SomaAgrup)</f>
        <v>0</v>
      </c>
      <c r="AB191" s="129">
        <f t="shared" ca="1" si="47"/>
        <v>0</v>
      </c>
      <c r="AC191" s="567" t="str">
        <f ca="1">IF($N191=""," ",
IF(AND($C191&lt;&gt;"S",OR($R191="",$R191="(digite a descrição aqui)")),"DESCRIÇÃO",
IF(AND($C191="S",OR($Q191&lt;&gt;0,$T191&gt;0,$U191&gt;0),$P191=0),"FONTE",
IF(AND($C191="S",$P191&lt;&gt;0,OR($T191&gt;0,$U191&gt;0),$Q191=0),"CÓDIGO",
IF(AND($C191="S",$P191&lt;&gt;0,$Q191&lt;&gt;0,$R191="(Código não identificado nas referências)"),"CÓDIGO N/ID",
IF(AND($C191="S",OR($R191="",$R191="(digite a descrição aqui)"),OR($Q191&lt;&gt;0,$T191&gt;0,$U191&gt;0)),"DESCRIÇÃO",
IF(AND($C191="S",$P191&lt;&gt;0,$Q191&lt;&gt;0,$S191=""),"UNIDADE",
IF(AND($C191="S",$P191&lt;&gt;0,$Q191&lt;&gt;0,$U191=0),"SEM CUSTO",
IF(AND(TIPOORCAMENTO="Licitado",$AL191=0,$AN191&gt;0),"SEM PREÇO",
IF(AND($C191="S",$P191&lt;&gt;0,$Q191&lt;&gt;0,$U191&gt;0,$V191=0),"BDI",
IF(OR(AND(TIPOORCAMENTO="Proposto",$AG191&lt;&gt;"",$AG191&gt;0,ORÇAMENTO.CustoUnitario&gt;$AG191),AND(TIPOORCAMENTO="LICITADO",ORÇAMENTO.PrecoUnitarioLicitado&gt;$AN191)),"ACIMA REF.",
IF(AND($C191="S",$P191&lt;&gt;0,$Q191&lt;&gt;0,$T191=0,$U191&gt;0),"QUANT.",
IF(AND(Import.TipoArredondamento="TransfereGOV",$L191="F",$C191="S",LEN($Q191)&gt;13),"Código &gt;13",
IF(AND(Import.TipoArredondamento="TransfereGOV",$L191="F",$C191&lt;&gt;"S",LEN($R191)&gt;100),"Descrição &gt;100",
IF(AND(Import.TipoArredondamento="TransfereGOV",$L191="F",$C191="S",LEN($R191)&gt;500),"Descrição &gt;500",
IF(AND(Import.TipoArredondamento="TransfereGOV",$L191="F",$C191="S",LEFT(TRIM(UPPER($P191)),6)&lt;&gt;"SINAPI",ISNA(VLOOKUP(TRIM(UPPER($S191)),ListaTgov.Unidades,1,FALSE))),"Unid. Não Disp",
" "))))))))))))))))</f>
        <v>SEM CUSTO</v>
      </c>
      <c r="AD191" t="str">
        <f ca="1">IF(C191&lt;=CRONO.NivelExibicao,MAX($AD$15:OFFSET(AD191,-1,0))+IF($C191&lt;&gt;1,1,MAX(1,COUNTIF(QCI!$A$13:$A$24,OFFSET($E191,-1,0)))),"")</f>
        <v/>
      </c>
      <c r="AE191" s="7" t="str">
        <f ca="1">IF(AND($C191="S",ORÇAMENTO.CodBarra&lt;&gt;""),IF(ORÇAMENTO.Fonte="",ORÇAMENTO.CodBarra,CONCATENATE(ORÇAMENTO.Fonte," ",ORÇAMENTO.CodBarra)))</f>
        <v>SINAPI 89409</v>
      </c>
      <c r="AF191" s="12" t="str">
        <f ca="1">IF(ISERROR(INDIRECT(ORÇAMENTO.BancoRef)),"(abra o arquivo 'Referência "&amp;Excel_BuiltIn_Database&amp;".xlsm)",IF(OR($C191&lt;&gt;"S",ORÇAMENTO.CodBarra=""),"(Sem Código)",IF(ISERROR(MATCH($AE191,INDIRECT(ORÇAMENTO.BancoRef),0)),"(Código não identificado nas referências)",MATCH($AE191,INDIRECT(ORÇAMENTO.BancoRef),0))))</f>
        <v>(abra o arquivo 'Referência 12-2024.xlsm)</v>
      </c>
      <c r="AG191" s="429">
        <f ca="1">ROUND(IF(DESONERACAO="sim",REFERENCIA.Desonerado,REFERENCIA.NaoDesonerado),2)</f>
        <v>0</v>
      </c>
      <c r="AH191" s="430">
        <f t="shared" ca="1" si="48"/>
        <v>0.31190000000000001</v>
      </c>
      <c r="AJ191" s="432">
        <v>34</v>
      </c>
      <c r="AL191" s="440"/>
      <c r="AM191" s="337">
        <f t="shared" ca="1" si="0"/>
        <v>0</v>
      </c>
      <c r="AN191" s="471">
        <f t="shared" ca="1" si="49"/>
        <v>0</v>
      </c>
    </row>
    <row r="192" spans="1:40" ht="38.25" x14ac:dyDescent="0.2">
      <c r="A192" t="str">
        <f t="shared" si="34"/>
        <v>S</v>
      </c>
      <c r="B192">
        <f t="shared" ca="1" si="35"/>
        <v>3</v>
      </c>
      <c r="C192" t="str">
        <f t="shared" ca="1" si="36"/>
        <v>S</v>
      </c>
      <c r="D192">
        <f t="shared" ca="1" si="37"/>
        <v>0</v>
      </c>
      <c r="E192">
        <f ca="1">IF($C192=1,OFFSET(E192,-1,0)+MAX(1,COUNTIF(QCI!$A$13:$A$24,OFFSET(ORÇAMENTO!E192,-1,0))),OFFSET(E192,-1,0))</f>
        <v>1</v>
      </c>
      <c r="F192">
        <f t="shared" ca="1" si="38"/>
        <v>11</v>
      </c>
      <c r="G192">
        <f t="shared" ca="1" si="39"/>
        <v>2</v>
      </c>
      <c r="H192">
        <f t="shared" ca="1" si="40"/>
        <v>0</v>
      </c>
      <c r="I192">
        <f t="shared" ca="1" si="41"/>
        <v>0</v>
      </c>
      <c r="J192">
        <f t="shared" ca="1" si="42"/>
        <v>0</v>
      </c>
      <c r="K192">
        <f ca="1">IF(OR($C192="S",$C192=0),0,MATCH(OFFSET($D192,0,$C192)+IF($C192&lt;&gt;1,1,COUNTIF(QCI!$A$13:$A$24,ORÇAMENTO!E192)),OFFSET($D192,1,$C192,ROW($C$405)-ROW($C192)),0))</f>
        <v>0</v>
      </c>
      <c r="L192" s="115" t="str">
        <f t="shared" ca="1" si="43"/>
        <v/>
      </c>
      <c r="M192" s="116" t="s">
        <v>706</v>
      </c>
      <c r="N192" s="117" t="str">
        <f t="shared" ca="1" si="44"/>
        <v>Serviço</v>
      </c>
      <c r="O192" s="118" t="str">
        <f t="shared" ca="1" si="45"/>
        <v>-</v>
      </c>
      <c r="P192" s="119" t="s">
        <v>751</v>
      </c>
      <c r="Q192" s="120" t="s">
        <v>1096</v>
      </c>
      <c r="R192" s="121" t="s">
        <v>1472</v>
      </c>
      <c r="S192" s="122" t="s">
        <v>639</v>
      </c>
      <c r="T192" s="123">
        <f ca="1">OFFSET(CÁLCULO!H$15,ROW($T192)-ROW(T$15),0)</f>
        <v>5</v>
      </c>
      <c r="U192" s="124"/>
      <c r="V192" s="125" t="s">
        <v>663</v>
      </c>
      <c r="W192" s="123">
        <f ca="1">IF($C192="S",ROUND(IF(TIPOORCAMENTO="Proposto",ORÇAMENTO.CustoUnitario*(1+$AH192),ORÇAMENTO.PrecoUnitarioLicitado),15-13*$AF$10),0)</f>
        <v>0</v>
      </c>
      <c r="X192" s="126" cm="1">
        <f t="array" aca="1" ref="X192" ca="1">IF($C192="S",IF(OR(Import.TipoArredondamento&lt;&gt;"TransfereGOV",ACOMPANHAMENTO="BM"),VTOTAL1,SUM(OFFSET(CÁLCULO!$AA$15,ROW($X192)-ROW($X$15),1):OFFSET(CÁLCULO!$AL$15,ROW($X192)-ROW($X$15),-1))),IF($C192=0,0,ROUND(SomaAgrup,15-13*$AF$11)))</f>
        <v>0</v>
      </c>
      <c r="Y192" s="127" t="s">
        <v>752</v>
      </c>
      <c r="Z192" t="str">
        <f t="shared" ca="1" si="46"/>
        <v/>
      </c>
      <c r="AA192" s="128">
        <f ca="1">IF($C192="S",IF($Z192="CP",$X192,IF($Z192="RA",(($X192)*QCI!$AA$3),0)),SomaAgrup)</f>
        <v>0</v>
      </c>
      <c r="AB192" s="129">
        <f t="shared" ca="1" si="47"/>
        <v>0</v>
      </c>
      <c r="AC192" s="567" t="str">
        <f ca="1">IF($N192=""," ",
IF(AND($C192&lt;&gt;"S",OR($R192="",$R192="(digite a descrição aqui)")),"DESCRIÇÃO",
IF(AND($C192="S",OR($Q192&lt;&gt;0,$T192&gt;0,$U192&gt;0),$P192=0),"FONTE",
IF(AND($C192="S",$P192&lt;&gt;0,OR($T192&gt;0,$U192&gt;0),$Q192=0),"CÓDIGO",
IF(AND($C192="S",$P192&lt;&gt;0,$Q192&lt;&gt;0,$R192="(Código não identificado nas referências)"),"CÓDIGO N/ID",
IF(AND($C192="S",OR($R192="",$R192="(digite a descrição aqui)"),OR($Q192&lt;&gt;0,$T192&gt;0,$U192&gt;0)),"DESCRIÇÃO",
IF(AND($C192="S",$P192&lt;&gt;0,$Q192&lt;&gt;0,$S192=""),"UNIDADE",
IF(AND($C192="S",$P192&lt;&gt;0,$Q192&lt;&gt;0,$U192=0),"SEM CUSTO",
IF(AND(TIPOORCAMENTO="Licitado",$AL192=0,$AN192&gt;0),"SEM PREÇO",
IF(AND($C192="S",$P192&lt;&gt;0,$Q192&lt;&gt;0,$U192&gt;0,$V192=0),"BDI",
IF(OR(AND(TIPOORCAMENTO="Proposto",$AG192&lt;&gt;"",$AG192&gt;0,ORÇAMENTO.CustoUnitario&gt;$AG192),AND(TIPOORCAMENTO="LICITADO",ORÇAMENTO.PrecoUnitarioLicitado&gt;$AN192)),"ACIMA REF.",
IF(AND($C192="S",$P192&lt;&gt;0,$Q192&lt;&gt;0,$T192=0,$U192&gt;0),"QUANT.",
IF(AND(Import.TipoArredondamento="TransfereGOV",$L192="F",$C192="S",LEN($Q192)&gt;13),"Código &gt;13",
IF(AND(Import.TipoArredondamento="TransfereGOV",$L192="F",$C192&lt;&gt;"S",LEN($R192)&gt;100),"Descrição &gt;100",
IF(AND(Import.TipoArredondamento="TransfereGOV",$L192="F",$C192="S",LEN($R192)&gt;500),"Descrição &gt;500",
IF(AND(Import.TipoArredondamento="TransfereGOV",$L192="F",$C192="S",LEFT(TRIM(UPPER($P192)),6)&lt;&gt;"SINAPI",ISNA(VLOOKUP(TRIM(UPPER($S192)),ListaTgov.Unidades,1,FALSE))),"Unid. Não Disp",
" "))))))))))))))))</f>
        <v>SEM CUSTO</v>
      </c>
      <c r="AD192" t="str">
        <f ca="1">IF(C192&lt;=CRONO.NivelExibicao,MAX($AD$15:OFFSET(AD192,-1,0))+IF($C192&lt;&gt;1,1,MAX(1,COUNTIF(QCI!$A$13:$A$24,OFFSET($E192,-1,0)))),"")</f>
        <v/>
      </c>
      <c r="AE192" s="7" t="str">
        <f ca="1">IF(AND($C192="S",ORÇAMENTO.CodBarra&lt;&gt;""),IF(ORÇAMENTO.Fonte="",ORÇAMENTO.CodBarra,CONCATENATE(ORÇAMENTO.Fonte," ",ORÇAMENTO.CodBarra)))</f>
        <v>SINAPI 103981</v>
      </c>
      <c r="AF192" s="12" t="str">
        <f ca="1">IF(ISERROR(INDIRECT(ORÇAMENTO.BancoRef)),"(abra o arquivo 'Referência "&amp;Excel_BuiltIn_Database&amp;".xlsm)",IF(OR($C192&lt;&gt;"S",ORÇAMENTO.CodBarra=""),"(Sem Código)",IF(ISERROR(MATCH($AE192,INDIRECT(ORÇAMENTO.BancoRef),0)),"(Código não identificado nas referências)",MATCH($AE192,INDIRECT(ORÇAMENTO.BancoRef),0))))</f>
        <v>(abra o arquivo 'Referência 12-2024.xlsm)</v>
      </c>
      <c r="AG192" s="429">
        <f ca="1">ROUND(IF(DESONERACAO="sim",REFERENCIA.Desonerado,REFERENCIA.NaoDesonerado),2)</f>
        <v>0</v>
      </c>
      <c r="AH192" s="430">
        <f t="shared" ca="1" si="48"/>
        <v>0.31190000000000001</v>
      </c>
      <c r="AJ192" s="432">
        <v>5</v>
      </c>
      <c r="AL192" s="440"/>
      <c r="AM192" s="337">
        <f t="shared" ca="1" si="0"/>
        <v>0</v>
      </c>
      <c r="AN192" s="471">
        <f t="shared" ca="1" si="49"/>
        <v>0</v>
      </c>
    </row>
    <row r="193" spans="1:40" ht="38.25" x14ac:dyDescent="0.2">
      <c r="A193" t="str">
        <f t="shared" si="34"/>
        <v>S</v>
      </c>
      <c r="B193">
        <f t="shared" ca="1" si="35"/>
        <v>3</v>
      </c>
      <c r="C193" t="str">
        <f t="shared" ca="1" si="36"/>
        <v>S</v>
      </c>
      <c r="D193">
        <f t="shared" ca="1" si="37"/>
        <v>0</v>
      </c>
      <c r="E193">
        <f ca="1">IF($C193=1,OFFSET(E193,-1,0)+MAX(1,COUNTIF(QCI!$A$13:$A$24,OFFSET(ORÇAMENTO!E193,-1,0))),OFFSET(E193,-1,0))</f>
        <v>1</v>
      </c>
      <c r="F193">
        <f t="shared" ca="1" si="38"/>
        <v>11</v>
      </c>
      <c r="G193">
        <f t="shared" ca="1" si="39"/>
        <v>2</v>
      </c>
      <c r="H193">
        <f t="shared" ca="1" si="40"/>
        <v>0</v>
      </c>
      <c r="I193">
        <f t="shared" ca="1" si="41"/>
        <v>0</v>
      </c>
      <c r="J193">
        <f t="shared" ca="1" si="42"/>
        <v>0</v>
      </c>
      <c r="K193">
        <f ca="1">IF(OR($C193="S",$C193=0),0,MATCH(OFFSET($D193,0,$C193)+IF($C193&lt;&gt;1,1,COUNTIF(QCI!$A$13:$A$24,ORÇAMENTO!E193)),OFFSET($D193,1,$C193,ROW($C$405)-ROW($C193)),0))</f>
        <v>0</v>
      </c>
      <c r="L193" s="115" t="str">
        <f t="shared" ca="1" si="43"/>
        <v/>
      </c>
      <c r="M193" s="116" t="s">
        <v>706</v>
      </c>
      <c r="N193" s="117" t="str">
        <f t="shared" ca="1" si="44"/>
        <v>Serviço</v>
      </c>
      <c r="O193" s="118" t="str">
        <f t="shared" ca="1" si="45"/>
        <v>-</v>
      </c>
      <c r="P193" s="119" t="s">
        <v>751</v>
      </c>
      <c r="Q193" s="120" t="s">
        <v>1097</v>
      </c>
      <c r="R193" s="121" t="s">
        <v>1473</v>
      </c>
      <c r="S193" s="122" t="s">
        <v>639</v>
      </c>
      <c r="T193" s="123">
        <f ca="1">OFFSET(CÁLCULO!H$15,ROW($T193)-ROW(T$15),0)</f>
        <v>5</v>
      </c>
      <c r="U193" s="124"/>
      <c r="V193" s="125" t="s">
        <v>663</v>
      </c>
      <c r="W193" s="123">
        <f ca="1">IF($C193="S",ROUND(IF(TIPOORCAMENTO="Proposto",ORÇAMENTO.CustoUnitario*(1+$AH193),ORÇAMENTO.PrecoUnitarioLicitado),15-13*$AF$10),0)</f>
        <v>0</v>
      </c>
      <c r="X193" s="126" cm="1">
        <f t="array" aca="1" ref="X193" ca="1">IF($C193="S",IF(OR(Import.TipoArredondamento&lt;&gt;"TransfereGOV",ACOMPANHAMENTO="BM"),VTOTAL1,SUM(OFFSET(CÁLCULO!$AA$15,ROW($X193)-ROW($X$15),1):OFFSET(CÁLCULO!$AL$15,ROW($X193)-ROW($X$15),-1))),IF($C193=0,0,ROUND(SomaAgrup,15-13*$AF$11)))</f>
        <v>0</v>
      </c>
      <c r="Y193" s="127" t="s">
        <v>752</v>
      </c>
      <c r="Z193" t="str">
        <f t="shared" ca="1" si="46"/>
        <v/>
      </c>
      <c r="AA193" s="128">
        <f ca="1">IF($C193="S",IF($Z193="CP",$X193,IF($Z193="RA",(($X193)*QCI!$AA$3),0)),SomaAgrup)</f>
        <v>0</v>
      </c>
      <c r="AB193" s="129">
        <f t="shared" ca="1" si="47"/>
        <v>0</v>
      </c>
      <c r="AC193" s="567" t="str">
        <f ca="1">IF($N193=""," ",
IF(AND($C193&lt;&gt;"S",OR($R193="",$R193="(digite a descrição aqui)")),"DESCRIÇÃO",
IF(AND($C193="S",OR($Q193&lt;&gt;0,$T193&gt;0,$U193&gt;0),$P193=0),"FONTE",
IF(AND($C193="S",$P193&lt;&gt;0,OR($T193&gt;0,$U193&gt;0),$Q193=0),"CÓDIGO",
IF(AND($C193="S",$P193&lt;&gt;0,$Q193&lt;&gt;0,$R193="(Código não identificado nas referências)"),"CÓDIGO N/ID",
IF(AND($C193="S",OR($R193="",$R193="(digite a descrição aqui)"),OR($Q193&lt;&gt;0,$T193&gt;0,$U193&gt;0)),"DESCRIÇÃO",
IF(AND($C193="S",$P193&lt;&gt;0,$Q193&lt;&gt;0,$S193=""),"UNIDADE",
IF(AND($C193="S",$P193&lt;&gt;0,$Q193&lt;&gt;0,$U193=0),"SEM CUSTO",
IF(AND(TIPOORCAMENTO="Licitado",$AL193=0,$AN193&gt;0),"SEM PREÇO",
IF(AND($C193="S",$P193&lt;&gt;0,$Q193&lt;&gt;0,$U193&gt;0,$V193=0),"BDI",
IF(OR(AND(TIPOORCAMENTO="Proposto",$AG193&lt;&gt;"",$AG193&gt;0,ORÇAMENTO.CustoUnitario&gt;$AG193),AND(TIPOORCAMENTO="LICITADO",ORÇAMENTO.PrecoUnitarioLicitado&gt;$AN193)),"ACIMA REF.",
IF(AND($C193="S",$P193&lt;&gt;0,$Q193&lt;&gt;0,$T193=0,$U193&gt;0),"QUANT.",
IF(AND(Import.TipoArredondamento="TransfereGOV",$L193="F",$C193="S",LEN($Q193)&gt;13),"Código &gt;13",
IF(AND(Import.TipoArredondamento="TransfereGOV",$L193="F",$C193&lt;&gt;"S",LEN($R193)&gt;100),"Descrição &gt;100",
IF(AND(Import.TipoArredondamento="TransfereGOV",$L193="F",$C193="S",LEN($R193)&gt;500),"Descrição &gt;500",
IF(AND(Import.TipoArredondamento="TransfereGOV",$L193="F",$C193="S",LEFT(TRIM(UPPER($P193)),6)&lt;&gt;"SINAPI",ISNA(VLOOKUP(TRIM(UPPER($S193)),ListaTgov.Unidades,1,FALSE))),"Unid. Não Disp",
" "))))))))))))))))</f>
        <v>SEM CUSTO</v>
      </c>
      <c r="AD193" t="str">
        <f ca="1">IF(C193&lt;=CRONO.NivelExibicao,MAX($AD$15:OFFSET(AD193,-1,0))+IF($C193&lt;&gt;1,1,MAX(1,COUNTIF(QCI!$A$13:$A$24,OFFSET($E193,-1,0)))),"")</f>
        <v/>
      </c>
      <c r="AE193" s="7" t="str">
        <f ca="1">IF(AND($C193="S",ORÇAMENTO.CodBarra&lt;&gt;""),IF(ORÇAMENTO.Fonte="",ORÇAMENTO.CodBarra,CONCATENATE(ORÇAMENTO.Fonte," ",ORÇAMENTO.CodBarra)))</f>
        <v>SINAPI 103985</v>
      </c>
      <c r="AF193" s="12" t="str">
        <f ca="1">IF(ISERROR(INDIRECT(ORÇAMENTO.BancoRef)),"(abra o arquivo 'Referência "&amp;Excel_BuiltIn_Database&amp;".xlsm)",IF(OR($C193&lt;&gt;"S",ORÇAMENTO.CodBarra=""),"(Sem Código)",IF(ISERROR(MATCH($AE193,INDIRECT(ORÇAMENTO.BancoRef),0)),"(Código não identificado nas referências)",MATCH($AE193,INDIRECT(ORÇAMENTO.BancoRef),0))))</f>
        <v>(abra o arquivo 'Referência 12-2024.xlsm)</v>
      </c>
      <c r="AG193" s="429">
        <f ca="1">ROUND(IF(DESONERACAO="sim",REFERENCIA.Desonerado,REFERENCIA.NaoDesonerado),2)</f>
        <v>0</v>
      </c>
      <c r="AH193" s="430">
        <f t="shared" ca="1" si="48"/>
        <v>0.31190000000000001</v>
      </c>
      <c r="AJ193" s="432">
        <v>5</v>
      </c>
      <c r="AL193" s="440"/>
      <c r="AM193" s="337">
        <f t="shared" ca="1" si="0"/>
        <v>0</v>
      </c>
      <c r="AN193" s="471">
        <f t="shared" ca="1" si="49"/>
        <v>0</v>
      </c>
    </row>
    <row r="194" spans="1:40" ht="25.5" x14ac:dyDescent="0.2">
      <c r="A194" t="str">
        <f t="shared" si="34"/>
        <v>S</v>
      </c>
      <c r="B194">
        <f t="shared" ca="1" si="35"/>
        <v>3</v>
      </c>
      <c r="C194" t="str">
        <f t="shared" ca="1" si="36"/>
        <v>S</v>
      </c>
      <c r="D194">
        <f t="shared" ca="1" si="37"/>
        <v>0</v>
      </c>
      <c r="E194">
        <f ca="1">IF($C194=1,OFFSET(E194,-1,0)+MAX(1,COUNTIF(QCI!$A$13:$A$24,OFFSET(ORÇAMENTO!E194,-1,0))),OFFSET(E194,-1,0))</f>
        <v>1</v>
      </c>
      <c r="F194">
        <f t="shared" ca="1" si="38"/>
        <v>11</v>
      </c>
      <c r="G194">
        <f t="shared" ca="1" si="39"/>
        <v>2</v>
      </c>
      <c r="H194">
        <f t="shared" ca="1" si="40"/>
        <v>0</v>
      </c>
      <c r="I194">
        <f t="shared" ca="1" si="41"/>
        <v>0</v>
      </c>
      <c r="J194">
        <f t="shared" ca="1" si="42"/>
        <v>0</v>
      </c>
      <c r="K194">
        <f ca="1">IF(OR($C194="S",$C194=0),0,MATCH(OFFSET($D194,0,$C194)+IF($C194&lt;&gt;1,1,COUNTIF(QCI!$A$13:$A$24,ORÇAMENTO!E194)),OFFSET($D194,1,$C194,ROW($C$405)-ROW($C194)),0))</f>
        <v>0</v>
      </c>
      <c r="L194" s="115" t="str">
        <f t="shared" ca="1" si="43"/>
        <v/>
      </c>
      <c r="M194" s="116" t="s">
        <v>706</v>
      </c>
      <c r="N194" s="117" t="str">
        <f t="shared" ca="1" si="44"/>
        <v>Serviço</v>
      </c>
      <c r="O194" s="118" t="str">
        <f t="shared" ca="1" si="45"/>
        <v>-</v>
      </c>
      <c r="P194" s="119" t="s">
        <v>751</v>
      </c>
      <c r="Q194" s="120" t="s">
        <v>1098</v>
      </c>
      <c r="R194" s="121" t="s">
        <v>1474</v>
      </c>
      <c r="S194" s="122" t="s">
        <v>639</v>
      </c>
      <c r="T194" s="123">
        <f ca="1">OFFSET(CÁLCULO!H$15,ROW($T194)-ROW(T$15),0)</f>
        <v>14</v>
      </c>
      <c r="U194" s="124"/>
      <c r="V194" s="125" t="s">
        <v>663</v>
      </c>
      <c r="W194" s="123">
        <f ca="1">IF($C194="S",ROUND(IF(TIPOORCAMENTO="Proposto",ORÇAMENTO.CustoUnitario*(1+$AH194),ORÇAMENTO.PrecoUnitarioLicitado),15-13*$AF$10),0)</f>
        <v>0</v>
      </c>
      <c r="X194" s="126" cm="1">
        <f t="array" aca="1" ref="X194" ca="1">IF($C194="S",IF(OR(Import.TipoArredondamento&lt;&gt;"TransfereGOV",ACOMPANHAMENTO="BM"),VTOTAL1,SUM(OFFSET(CÁLCULO!$AA$15,ROW($X194)-ROW($X$15),1):OFFSET(CÁLCULO!$AL$15,ROW($X194)-ROW($X$15),-1))),IF($C194=0,0,ROUND(SomaAgrup,15-13*$AF$11)))</f>
        <v>0</v>
      </c>
      <c r="Y194" s="127" t="s">
        <v>752</v>
      </c>
      <c r="Z194" t="str">
        <f t="shared" ca="1" si="46"/>
        <v/>
      </c>
      <c r="AA194" s="128">
        <f ca="1">IF($C194="S",IF($Z194="CP",$X194,IF($Z194="RA",(($X194)*QCI!$AA$3),0)),SomaAgrup)</f>
        <v>0</v>
      </c>
      <c r="AB194" s="129">
        <f t="shared" ca="1" si="47"/>
        <v>0</v>
      </c>
      <c r="AC194" s="567" t="str">
        <f ca="1">IF($N194=""," ",
IF(AND($C194&lt;&gt;"S",OR($R194="",$R194="(digite a descrição aqui)")),"DESCRIÇÃO",
IF(AND($C194="S",OR($Q194&lt;&gt;0,$T194&gt;0,$U194&gt;0),$P194=0),"FONTE",
IF(AND($C194="S",$P194&lt;&gt;0,OR($T194&gt;0,$U194&gt;0),$Q194=0),"CÓDIGO",
IF(AND($C194="S",$P194&lt;&gt;0,$Q194&lt;&gt;0,$R194="(Código não identificado nas referências)"),"CÓDIGO N/ID",
IF(AND($C194="S",OR($R194="",$R194="(digite a descrição aqui)"),OR($Q194&lt;&gt;0,$T194&gt;0,$U194&gt;0)),"DESCRIÇÃO",
IF(AND($C194="S",$P194&lt;&gt;0,$Q194&lt;&gt;0,$S194=""),"UNIDADE",
IF(AND($C194="S",$P194&lt;&gt;0,$Q194&lt;&gt;0,$U194=0),"SEM CUSTO",
IF(AND(TIPOORCAMENTO="Licitado",$AL194=0,$AN194&gt;0),"SEM PREÇO",
IF(AND($C194="S",$P194&lt;&gt;0,$Q194&lt;&gt;0,$U194&gt;0,$V194=0),"BDI",
IF(OR(AND(TIPOORCAMENTO="Proposto",$AG194&lt;&gt;"",$AG194&gt;0,ORÇAMENTO.CustoUnitario&gt;$AG194),AND(TIPOORCAMENTO="LICITADO",ORÇAMENTO.PrecoUnitarioLicitado&gt;$AN194)),"ACIMA REF.",
IF(AND($C194="S",$P194&lt;&gt;0,$Q194&lt;&gt;0,$T194=0,$U194&gt;0),"QUANT.",
IF(AND(Import.TipoArredondamento="TransfereGOV",$L194="F",$C194="S",LEN($Q194)&gt;13),"Código &gt;13",
IF(AND(Import.TipoArredondamento="TransfereGOV",$L194="F",$C194&lt;&gt;"S",LEN($R194)&gt;100),"Descrição &gt;100",
IF(AND(Import.TipoArredondamento="TransfereGOV",$L194="F",$C194="S",LEN($R194)&gt;500),"Descrição &gt;500",
IF(AND(Import.TipoArredondamento="TransfereGOV",$L194="F",$C194="S",LEFT(TRIM(UPPER($P194)),6)&lt;&gt;"SINAPI",ISNA(VLOOKUP(TRIM(UPPER($S194)),ListaTgov.Unidades,1,FALSE))),"Unid. Não Disp",
" "))))))))))))))))</f>
        <v>SEM CUSTO</v>
      </c>
      <c r="AD194" t="str">
        <f ca="1">IF(C194&lt;=CRONO.NivelExibicao,MAX($AD$15:OFFSET(AD194,-1,0))+IF($C194&lt;&gt;1,1,MAX(1,COUNTIF(QCI!$A$13:$A$24,OFFSET($E194,-1,0)))),"")</f>
        <v/>
      </c>
      <c r="AE194" s="7" t="str">
        <f ca="1">IF(AND($C194="S",ORÇAMENTO.CodBarra&lt;&gt;""),IF(ORÇAMENTO.Fonte="",ORÇAMENTO.CodBarra,CONCATENATE(ORÇAMENTO.Fonte," ",ORÇAMENTO.CodBarra)))</f>
        <v>SINAPI 96690</v>
      </c>
      <c r="AF194" s="12" t="str">
        <f ca="1">IF(ISERROR(INDIRECT(ORÇAMENTO.BancoRef)),"(abra o arquivo 'Referência "&amp;Excel_BuiltIn_Database&amp;".xlsm)",IF(OR($C194&lt;&gt;"S",ORÇAMENTO.CodBarra=""),"(Sem Código)",IF(ISERROR(MATCH($AE194,INDIRECT(ORÇAMENTO.BancoRef),0)),"(Código não identificado nas referências)",MATCH($AE194,INDIRECT(ORÇAMENTO.BancoRef),0))))</f>
        <v>(abra o arquivo 'Referência 12-2024.xlsm)</v>
      </c>
      <c r="AG194" s="429">
        <f ca="1">ROUND(IF(DESONERACAO="sim",REFERENCIA.Desonerado,REFERENCIA.NaoDesonerado),2)</f>
        <v>0</v>
      </c>
      <c r="AH194" s="430">
        <f t="shared" ca="1" si="48"/>
        <v>0.31190000000000001</v>
      </c>
      <c r="AJ194" s="432">
        <v>14</v>
      </c>
      <c r="AL194" s="440"/>
      <c r="AM194" s="337">
        <f t="shared" ca="1" si="0"/>
        <v>0</v>
      </c>
      <c r="AN194" s="471">
        <f t="shared" ca="1" si="49"/>
        <v>0</v>
      </c>
    </row>
    <row r="195" spans="1:40" ht="38.25" x14ac:dyDescent="0.2">
      <c r="A195" t="str">
        <f t="shared" si="34"/>
        <v>S</v>
      </c>
      <c r="B195">
        <f t="shared" ca="1" si="35"/>
        <v>3</v>
      </c>
      <c r="C195" t="str">
        <f t="shared" ca="1" si="36"/>
        <v>S</v>
      </c>
      <c r="D195">
        <f t="shared" ca="1" si="37"/>
        <v>0</v>
      </c>
      <c r="E195">
        <f ca="1">IF($C195=1,OFFSET(E195,-1,0)+MAX(1,COUNTIF(QCI!$A$13:$A$24,OFFSET(ORÇAMENTO!E195,-1,0))),OFFSET(E195,-1,0))</f>
        <v>1</v>
      </c>
      <c r="F195">
        <f t="shared" ca="1" si="38"/>
        <v>11</v>
      </c>
      <c r="G195">
        <f t="shared" ca="1" si="39"/>
        <v>2</v>
      </c>
      <c r="H195">
        <f t="shared" ca="1" si="40"/>
        <v>0</v>
      </c>
      <c r="I195">
        <f t="shared" ca="1" si="41"/>
        <v>0</v>
      </c>
      <c r="J195">
        <f t="shared" ca="1" si="42"/>
        <v>0</v>
      </c>
      <c r="K195">
        <f ca="1">IF(OR($C195="S",$C195=0),0,MATCH(OFFSET($D195,0,$C195)+IF($C195&lt;&gt;1,1,COUNTIF(QCI!$A$13:$A$24,ORÇAMENTO!E195)),OFFSET($D195,1,$C195,ROW($C$405)-ROW($C195)),0))</f>
        <v>0</v>
      </c>
      <c r="L195" s="115" t="str">
        <f t="shared" ca="1" si="43"/>
        <v/>
      </c>
      <c r="M195" s="116" t="s">
        <v>706</v>
      </c>
      <c r="N195" s="117" t="str">
        <f t="shared" ca="1" si="44"/>
        <v>Serviço</v>
      </c>
      <c r="O195" s="118" t="str">
        <f t="shared" ca="1" si="45"/>
        <v>-</v>
      </c>
      <c r="P195" s="119" t="s">
        <v>751</v>
      </c>
      <c r="Q195" s="120" t="s">
        <v>1099</v>
      </c>
      <c r="R195" s="121" t="s">
        <v>1475</v>
      </c>
      <c r="S195" s="122" t="s">
        <v>639</v>
      </c>
      <c r="T195" s="123">
        <f ca="1">OFFSET(CÁLCULO!H$15,ROW($T195)-ROW(T$15),0)</f>
        <v>148</v>
      </c>
      <c r="U195" s="124"/>
      <c r="V195" s="125" t="s">
        <v>663</v>
      </c>
      <c r="W195" s="123">
        <f ca="1">IF($C195="S",ROUND(IF(TIPOORCAMENTO="Proposto",ORÇAMENTO.CustoUnitario*(1+$AH195),ORÇAMENTO.PrecoUnitarioLicitado),15-13*$AF$10),0)</f>
        <v>0</v>
      </c>
      <c r="X195" s="126" cm="1">
        <f t="array" aca="1" ref="X195" ca="1">IF($C195="S",IF(OR(Import.TipoArredondamento&lt;&gt;"TransfereGOV",ACOMPANHAMENTO="BM"),VTOTAL1,SUM(OFFSET(CÁLCULO!$AA$15,ROW($X195)-ROW($X$15),1):OFFSET(CÁLCULO!$AL$15,ROW($X195)-ROW($X$15),-1))),IF($C195=0,0,ROUND(SomaAgrup,15-13*$AF$11)))</f>
        <v>0</v>
      </c>
      <c r="Y195" s="127" t="s">
        <v>752</v>
      </c>
      <c r="Z195" t="str">
        <f t="shared" ca="1" si="46"/>
        <v/>
      </c>
      <c r="AA195" s="128">
        <f ca="1">IF($C195="S",IF($Z195="CP",$X195,IF($Z195="RA",(($X195)*QCI!$AA$3),0)),SomaAgrup)</f>
        <v>0</v>
      </c>
      <c r="AB195" s="129">
        <f t="shared" ca="1" si="47"/>
        <v>0</v>
      </c>
      <c r="AC195" s="567" t="str">
        <f ca="1">IF($N195=""," ",
IF(AND($C195&lt;&gt;"S",OR($R195="",$R195="(digite a descrição aqui)")),"DESCRIÇÃO",
IF(AND($C195="S",OR($Q195&lt;&gt;0,$T195&gt;0,$U195&gt;0),$P195=0),"FONTE",
IF(AND($C195="S",$P195&lt;&gt;0,OR($T195&gt;0,$U195&gt;0),$Q195=0),"CÓDIGO",
IF(AND($C195="S",$P195&lt;&gt;0,$Q195&lt;&gt;0,$R195="(Código não identificado nas referências)"),"CÓDIGO N/ID",
IF(AND($C195="S",OR($R195="",$R195="(digite a descrição aqui)"),OR($Q195&lt;&gt;0,$T195&gt;0,$U195&gt;0)),"DESCRIÇÃO",
IF(AND($C195="S",$P195&lt;&gt;0,$Q195&lt;&gt;0,$S195=""),"UNIDADE",
IF(AND($C195="S",$P195&lt;&gt;0,$Q195&lt;&gt;0,$U195=0),"SEM CUSTO",
IF(AND(TIPOORCAMENTO="Licitado",$AL195=0,$AN195&gt;0),"SEM PREÇO",
IF(AND($C195="S",$P195&lt;&gt;0,$Q195&lt;&gt;0,$U195&gt;0,$V195=0),"BDI",
IF(OR(AND(TIPOORCAMENTO="Proposto",$AG195&lt;&gt;"",$AG195&gt;0,ORÇAMENTO.CustoUnitario&gt;$AG195),AND(TIPOORCAMENTO="LICITADO",ORÇAMENTO.PrecoUnitarioLicitado&gt;$AN195)),"ACIMA REF.",
IF(AND($C195="S",$P195&lt;&gt;0,$Q195&lt;&gt;0,$T195=0,$U195&gt;0),"QUANT.",
IF(AND(Import.TipoArredondamento="TransfereGOV",$L195="F",$C195="S",LEN($Q195)&gt;13),"Código &gt;13",
IF(AND(Import.TipoArredondamento="TransfereGOV",$L195="F",$C195&lt;&gt;"S",LEN($R195)&gt;100),"Descrição &gt;100",
IF(AND(Import.TipoArredondamento="TransfereGOV",$L195="F",$C195="S",LEN($R195)&gt;500),"Descrição &gt;500",
IF(AND(Import.TipoArredondamento="TransfereGOV",$L195="F",$C195="S",LEFT(TRIM(UPPER($P195)),6)&lt;&gt;"SINAPI",ISNA(VLOOKUP(TRIM(UPPER($S195)),ListaTgov.Unidades,1,FALSE))),"Unid. Não Disp",
" "))))))))))))))))</f>
        <v>SEM CUSTO</v>
      </c>
      <c r="AD195" t="str">
        <f ca="1">IF(C195&lt;=CRONO.NivelExibicao,MAX($AD$15:OFFSET(AD195,-1,0))+IF($C195&lt;&gt;1,1,MAX(1,COUNTIF(QCI!$A$13:$A$24,OFFSET($E195,-1,0)))),"")</f>
        <v/>
      </c>
      <c r="AE195" s="7" t="str">
        <f ca="1">IF(AND($C195="S",ORÇAMENTO.CodBarra&lt;&gt;""),IF(ORÇAMENTO.Fonte="",ORÇAMENTO.CodBarra,CONCATENATE(ORÇAMENTO.Fonte," ",ORÇAMENTO.CodBarra)))</f>
        <v>SINAPI 89362</v>
      </c>
      <c r="AF195" s="12" t="str">
        <f ca="1">IF(ISERROR(INDIRECT(ORÇAMENTO.BancoRef)),"(abra o arquivo 'Referência "&amp;Excel_BuiltIn_Database&amp;".xlsm)",IF(OR($C195&lt;&gt;"S",ORÇAMENTO.CodBarra=""),"(Sem Código)",IF(ISERROR(MATCH($AE195,INDIRECT(ORÇAMENTO.BancoRef),0)),"(Código não identificado nas referências)",MATCH($AE195,INDIRECT(ORÇAMENTO.BancoRef),0))))</f>
        <v>(abra o arquivo 'Referência 12-2024.xlsm)</v>
      </c>
      <c r="AG195" s="429">
        <f ca="1">ROUND(IF(DESONERACAO="sim",REFERENCIA.Desonerado,REFERENCIA.NaoDesonerado),2)</f>
        <v>0</v>
      </c>
      <c r="AH195" s="430">
        <f t="shared" ca="1" si="48"/>
        <v>0.31190000000000001</v>
      </c>
      <c r="AJ195" s="432">
        <v>148</v>
      </c>
      <c r="AL195" s="440"/>
      <c r="AM195" s="337">
        <f t="shared" ca="1" si="0"/>
        <v>0</v>
      </c>
      <c r="AN195" s="471">
        <f t="shared" ca="1" si="49"/>
        <v>0</v>
      </c>
    </row>
    <row r="196" spans="1:40" ht="38.25" x14ac:dyDescent="0.2">
      <c r="A196" t="str">
        <f t="shared" si="34"/>
        <v>S</v>
      </c>
      <c r="B196">
        <f t="shared" ca="1" si="35"/>
        <v>3</v>
      </c>
      <c r="C196" t="str">
        <f t="shared" ca="1" si="36"/>
        <v>S</v>
      </c>
      <c r="D196">
        <f t="shared" ca="1" si="37"/>
        <v>0</v>
      </c>
      <c r="E196">
        <f ca="1">IF($C196=1,OFFSET(E196,-1,0)+MAX(1,COUNTIF(QCI!$A$13:$A$24,OFFSET(ORÇAMENTO!E196,-1,0))),OFFSET(E196,-1,0))</f>
        <v>1</v>
      </c>
      <c r="F196">
        <f t="shared" ca="1" si="38"/>
        <v>11</v>
      </c>
      <c r="G196">
        <f t="shared" ca="1" si="39"/>
        <v>2</v>
      </c>
      <c r="H196">
        <f t="shared" ca="1" si="40"/>
        <v>0</v>
      </c>
      <c r="I196">
        <f t="shared" ca="1" si="41"/>
        <v>0</v>
      </c>
      <c r="J196">
        <f t="shared" ca="1" si="42"/>
        <v>0</v>
      </c>
      <c r="K196">
        <f ca="1">IF(OR($C196="S",$C196=0),0,MATCH(OFFSET($D196,0,$C196)+IF($C196&lt;&gt;1,1,COUNTIF(QCI!$A$13:$A$24,ORÇAMENTO!E196)),OFFSET($D196,1,$C196,ROW($C$405)-ROW($C196)),0))</f>
        <v>0</v>
      </c>
      <c r="L196" s="115" t="str">
        <f t="shared" ca="1" si="43"/>
        <v/>
      </c>
      <c r="M196" s="116" t="s">
        <v>706</v>
      </c>
      <c r="N196" s="117" t="str">
        <f t="shared" ca="1" si="44"/>
        <v>Serviço</v>
      </c>
      <c r="O196" s="118" t="str">
        <f t="shared" ca="1" si="45"/>
        <v>-</v>
      </c>
      <c r="P196" s="119" t="s">
        <v>751</v>
      </c>
      <c r="Q196" s="120" t="s">
        <v>1100</v>
      </c>
      <c r="R196" s="121" t="s">
        <v>1476</v>
      </c>
      <c r="S196" s="122" t="s">
        <v>639</v>
      </c>
      <c r="T196" s="123">
        <f ca="1">OFFSET(CÁLCULO!H$15,ROW($T196)-ROW(T$15),0)</f>
        <v>9</v>
      </c>
      <c r="U196" s="124"/>
      <c r="V196" s="125" t="s">
        <v>663</v>
      </c>
      <c r="W196" s="123">
        <f ca="1">IF($C196="S",ROUND(IF(TIPOORCAMENTO="Proposto",ORÇAMENTO.CustoUnitario*(1+$AH196),ORÇAMENTO.PrecoUnitarioLicitado),15-13*$AF$10),0)</f>
        <v>0</v>
      </c>
      <c r="X196" s="126" cm="1">
        <f t="array" aca="1" ref="X196" ca="1">IF($C196="S",IF(OR(Import.TipoArredondamento&lt;&gt;"TransfereGOV",ACOMPANHAMENTO="BM"),VTOTAL1,SUM(OFFSET(CÁLCULO!$AA$15,ROW($X196)-ROW($X$15),1):OFFSET(CÁLCULO!$AL$15,ROW($X196)-ROW($X$15),-1))),IF($C196=0,0,ROUND(SomaAgrup,15-13*$AF$11)))</f>
        <v>0</v>
      </c>
      <c r="Y196" s="127" t="s">
        <v>752</v>
      </c>
      <c r="Z196" t="str">
        <f t="shared" ca="1" si="46"/>
        <v/>
      </c>
      <c r="AA196" s="128">
        <f ca="1">IF($C196="S",IF($Z196="CP",$X196,IF($Z196="RA",(($X196)*QCI!$AA$3),0)),SomaAgrup)</f>
        <v>0</v>
      </c>
      <c r="AB196" s="129">
        <f t="shared" ca="1" si="47"/>
        <v>0</v>
      </c>
      <c r="AC196" s="567" t="str">
        <f ca="1">IF($N196=""," ",
IF(AND($C196&lt;&gt;"S",OR($R196="",$R196="(digite a descrição aqui)")),"DESCRIÇÃO",
IF(AND($C196="S",OR($Q196&lt;&gt;0,$T196&gt;0,$U196&gt;0),$P196=0),"FONTE",
IF(AND($C196="S",$P196&lt;&gt;0,OR($T196&gt;0,$U196&gt;0),$Q196=0),"CÓDIGO",
IF(AND($C196="S",$P196&lt;&gt;0,$Q196&lt;&gt;0,$R196="(Código não identificado nas referências)"),"CÓDIGO N/ID",
IF(AND($C196="S",OR($R196="",$R196="(digite a descrição aqui)"),OR($Q196&lt;&gt;0,$T196&gt;0,$U196&gt;0)),"DESCRIÇÃO",
IF(AND($C196="S",$P196&lt;&gt;0,$Q196&lt;&gt;0,$S196=""),"UNIDADE",
IF(AND($C196="S",$P196&lt;&gt;0,$Q196&lt;&gt;0,$U196=0),"SEM CUSTO",
IF(AND(TIPOORCAMENTO="Licitado",$AL196=0,$AN196&gt;0),"SEM PREÇO",
IF(AND($C196="S",$P196&lt;&gt;0,$Q196&lt;&gt;0,$U196&gt;0,$V196=0),"BDI",
IF(OR(AND(TIPOORCAMENTO="Proposto",$AG196&lt;&gt;"",$AG196&gt;0,ORÇAMENTO.CustoUnitario&gt;$AG196),AND(TIPOORCAMENTO="LICITADO",ORÇAMENTO.PrecoUnitarioLicitado&gt;$AN196)),"ACIMA REF.",
IF(AND($C196="S",$P196&lt;&gt;0,$Q196&lt;&gt;0,$T196=0,$U196&gt;0),"QUANT.",
IF(AND(Import.TipoArredondamento="TransfereGOV",$L196="F",$C196="S",LEN($Q196)&gt;13),"Código &gt;13",
IF(AND(Import.TipoArredondamento="TransfereGOV",$L196="F",$C196&lt;&gt;"S",LEN($R196)&gt;100),"Descrição &gt;100",
IF(AND(Import.TipoArredondamento="TransfereGOV",$L196="F",$C196="S",LEN($R196)&gt;500),"Descrição &gt;500",
IF(AND(Import.TipoArredondamento="TransfereGOV",$L196="F",$C196="S",LEFT(TRIM(UPPER($P196)),6)&lt;&gt;"SINAPI",ISNA(VLOOKUP(TRIM(UPPER($S196)),ListaTgov.Unidades,1,FALSE))),"Unid. Não Disp",
" "))))))))))))))))</f>
        <v>SEM CUSTO</v>
      </c>
      <c r="AD196" t="str">
        <f ca="1">IF(C196&lt;=CRONO.NivelExibicao,MAX($AD$15:OFFSET(AD196,-1,0))+IF($C196&lt;&gt;1,1,MAX(1,COUNTIF(QCI!$A$13:$A$24,OFFSET($E196,-1,0)))),"")</f>
        <v/>
      </c>
      <c r="AE196" s="7" t="str">
        <f ca="1">IF(AND($C196="S",ORÇAMENTO.CodBarra&lt;&gt;""),IF(ORÇAMENTO.Fonte="",ORÇAMENTO.CodBarra,CONCATENATE(ORÇAMENTO.Fonte," ",ORÇAMENTO.CodBarra)))</f>
        <v>SINAPI 103980</v>
      </c>
      <c r="AF196" s="12" t="str">
        <f ca="1">IF(ISERROR(INDIRECT(ORÇAMENTO.BancoRef)),"(abra o arquivo 'Referência "&amp;Excel_BuiltIn_Database&amp;".xlsm)",IF(OR($C196&lt;&gt;"S",ORÇAMENTO.CodBarra=""),"(Sem Código)",IF(ISERROR(MATCH($AE196,INDIRECT(ORÇAMENTO.BancoRef),0)),"(Código não identificado nas referências)",MATCH($AE196,INDIRECT(ORÇAMENTO.BancoRef),0))))</f>
        <v>(abra o arquivo 'Referência 12-2024.xlsm)</v>
      </c>
      <c r="AG196" s="429">
        <f ca="1">ROUND(IF(DESONERACAO="sim",REFERENCIA.Desonerado,REFERENCIA.NaoDesonerado),2)</f>
        <v>0</v>
      </c>
      <c r="AH196" s="430">
        <f t="shared" ca="1" si="48"/>
        <v>0.31190000000000001</v>
      </c>
      <c r="AJ196" s="432">
        <v>9</v>
      </c>
      <c r="AL196" s="440"/>
      <c r="AM196" s="337">
        <f t="shared" ca="1" si="0"/>
        <v>0</v>
      </c>
      <c r="AN196" s="471">
        <f t="shared" ca="1" si="49"/>
        <v>0</v>
      </c>
    </row>
    <row r="197" spans="1:40" ht="38.25" x14ac:dyDescent="0.2">
      <c r="A197" t="str">
        <f t="shared" si="34"/>
        <v>S</v>
      </c>
      <c r="B197">
        <f t="shared" ca="1" si="35"/>
        <v>3</v>
      </c>
      <c r="C197" t="str">
        <f t="shared" ca="1" si="36"/>
        <v>S</v>
      </c>
      <c r="D197">
        <f t="shared" ca="1" si="37"/>
        <v>0</v>
      </c>
      <c r="E197">
        <f ca="1">IF($C197=1,OFFSET(E197,-1,0)+MAX(1,COUNTIF(QCI!$A$13:$A$24,OFFSET(ORÇAMENTO!E197,-1,0))),OFFSET(E197,-1,0))</f>
        <v>1</v>
      </c>
      <c r="F197">
        <f t="shared" ca="1" si="38"/>
        <v>11</v>
      </c>
      <c r="G197">
        <f t="shared" ca="1" si="39"/>
        <v>2</v>
      </c>
      <c r="H197">
        <f t="shared" ca="1" si="40"/>
        <v>0</v>
      </c>
      <c r="I197">
        <f t="shared" ca="1" si="41"/>
        <v>0</v>
      </c>
      <c r="J197">
        <f t="shared" ca="1" si="42"/>
        <v>0</v>
      </c>
      <c r="K197">
        <f ca="1">IF(OR($C197="S",$C197=0),0,MATCH(OFFSET($D197,0,$C197)+IF($C197&lt;&gt;1,1,COUNTIF(QCI!$A$13:$A$24,ORÇAMENTO!E197)),OFFSET($D197,1,$C197,ROW($C$405)-ROW($C197)),0))</f>
        <v>0</v>
      </c>
      <c r="L197" s="115" t="str">
        <f t="shared" ca="1" si="43"/>
        <v/>
      </c>
      <c r="M197" s="116" t="s">
        <v>706</v>
      </c>
      <c r="N197" s="117" t="str">
        <f t="shared" ca="1" si="44"/>
        <v>Serviço</v>
      </c>
      <c r="O197" s="118" t="str">
        <f t="shared" ca="1" si="45"/>
        <v>-</v>
      </c>
      <c r="P197" s="119" t="s">
        <v>751</v>
      </c>
      <c r="Q197" s="120" t="s">
        <v>1101</v>
      </c>
      <c r="R197" s="121" t="s">
        <v>1477</v>
      </c>
      <c r="S197" s="122" t="s">
        <v>639</v>
      </c>
      <c r="T197" s="123">
        <f ca="1">OFFSET(CÁLCULO!H$15,ROW($T197)-ROW(T$15),0)</f>
        <v>4</v>
      </c>
      <c r="U197" s="124"/>
      <c r="V197" s="125" t="s">
        <v>663</v>
      </c>
      <c r="W197" s="123">
        <f ca="1">IF($C197="S",ROUND(IF(TIPOORCAMENTO="Proposto",ORÇAMENTO.CustoUnitario*(1+$AH197),ORÇAMENTO.PrecoUnitarioLicitado),15-13*$AF$10),0)</f>
        <v>0</v>
      </c>
      <c r="X197" s="126" cm="1">
        <f t="array" aca="1" ref="X197" ca="1">IF($C197="S",IF(OR(Import.TipoArredondamento&lt;&gt;"TransfereGOV",ACOMPANHAMENTO="BM"),VTOTAL1,SUM(OFFSET(CÁLCULO!$AA$15,ROW($X197)-ROW($X$15),1):OFFSET(CÁLCULO!$AL$15,ROW($X197)-ROW($X$15),-1))),IF($C197=0,0,ROUND(SomaAgrup,15-13*$AF$11)))</f>
        <v>0</v>
      </c>
      <c r="Y197" s="127" t="s">
        <v>752</v>
      </c>
      <c r="Z197" t="str">
        <f t="shared" ca="1" si="46"/>
        <v/>
      </c>
      <c r="AA197" s="128">
        <f ca="1">IF($C197="S",IF($Z197="CP",$X197,IF($Z197="RA",(($X197)*QCI!$AA$3),0)),SomaAgrup)</f>
        <v>0</v>
      </c>
      <c r="AB197" s="129">
        <f t="shared" ca="1" si="47"/>
        <v>0</v>
      </c>
      <c r="AC197" s="567" t="str">
        <f ca="1">IF($N197=""," ",
IF(AND($C197&lt;&gt;"S",OR($R197="",$R197="(digite a descrição aqui)")),"DESCRIÇÃO",
IF(AND($C197="S",OR($Q197&lt;&gt;0,$T197&gt;0,$U197&gt;0),$P197=0),"FONTE",
IF(AND($C197="S",$P197&lt;&gt;0,OR($T197&gt;0,$U197&gt;0),$Q197=0),"CÓDIGO",
IF(AND($C197="S",$P197&lt;&gt;0,$Q197&lt;&gt;0,$R197="(Código não identificado nas referências)"),"CÓDIGO N/ID",
IF(AND($C197="S",OR($R197="",$R197="(digite a descrição aqui)"),OR($Q197&lt;&gt;0,$T197&gt;0,$U197&gt;0)),"DESCRIÇÃO",
IF(AND($C197="S",$P197&lt;&gt;0,$Q197&lt;&gt;0,$S197=""),"UNIDADE",
IF(AND($C197="S",$P197&lt;&gt;0,$Q197&lt;&gt;0,$U197=0),"SEM CUSTO",
IF(AND(TIPOORCAMENTO="Licitado",$AL197=0,$AN197&gt;0),"SEM PREÇO",
IF(AND($C197="S",$P197&lt;&gt;0,$Q197&lt;&gt;0,$U197&gt;0,$V197=0),"BDI",
IF(OR(AND(TIPOORCAMENTO="Proposto",$AG197&lt;&gt;"",$AG197&gt;0,ORÇAMENTO.CustoUnitario&gt;$AG197),AND(TIPOORCAMENTO="LICITADO",ORÇAMENTO.PrecoUnitarioLicitado&gt;$AN197)),"ACIMA REF.",
IF(AND($C197="S",$P197&lt;&gt;0,$Q197&lt;&gt;0,$T197=0,$U197&gt;0),"QUANT.",
IF(AND(Import.TipoArredondamento="TransfereGOV",$L197="F",$C197="S",LEN($Q197)&gt;13),"Código &gt;13",
IF(AND(Import.TipoArredondamento="TransfereGOV",$L197="F",$C197&lt;&gt;"S",LEN($R197)&gt;100),"Descrição &gt;100",
IF(AND(Import.TipoArredondamento="TransfereGOV",$L197="F",$C197="S",LEN($R197)&gt;500),"Descrição &gt;500",
IF(AND(Import.TipoArredondamento="TransfereGOV",$L197="F",$C197="S",LEFT(TRIM(UPPER($P197)),6)&lt;&gt;"SINAPI",ISNA(VLOOKUP(TRIM(UPPER($S197)),ListaTgov.Unidades,1,FALSE))),"Unid. Não Disp",
" "))))))))))))))))</f>
        <v>SEM CUSTO</v>
      </c>
      <c r="AD197" t="str">
        <f ca="1">IF(C197&lt;=CRONO.NivelExibicao,MAX($AD$15:OFFSET(AD197,-1,0))+IF($C197&lt;&gt;1,1,MAX(1,COUNTIF(QCI!$A$13:$A$24,OFFSET($E197,-1,0)))),"")</f>
        <v/>
      </c>
      <c r="AE197" s="7" t="str">
        <f ca="1">IF(AND($C197="S",ORÇAMENTO.CodBarra&lt;&gt;""),IF(ORÇAMENTO.Fonte="",ORÇAMENTO.CodBarra,CONCATENATE(ORÇAMENTO.Fonte," ",ORÇAMENTO.CodBarra)))</f>
        <v>SINAPI 103951</v>
      </c>
      <c r="AF197" s="12" t="str">
        <f ca="1">IF(ISERROR(INDIRECT(ORÇAMENTO.BancoRef)),"(abra o arquivo 'Referência "&amp;Excel_BuiltIn_Database&amp;".xlsm)",IF(OR($C197&lt;&gt;"S",ORÇAMENTO.CodBarra=""),"(Sem Código)",IF(ISERROR(MATCH($AE197,INDIRECT(ORÇAMENTO.BancoRef),0)),"(Código não identificado nas referências)",MATCH($AE197,INDIRECT(ORÇAMENTO.BancoRef),0))))</f>
        <v>(abra o arquivo 'Referência 12-2024.xlsm)</v>
      </c>
      <c r="AG197" s="429">
        <f ca="1">ROUND(IF(DESONERACAO="sim",REFERENCIA.Desonerado,REFERENCIA.NaoDesonerado),2)</f>
        <v>0</v>
      </c>
      <c r="AH197" s="430">
        <f t="shared" ca="1" si="48"/>
        <v>0.31190000000000001</v>
      </c>
      <c r="AJ197" s="432">
        <v>4</v>
      </c>
      <c r="AL197" s="440"/>
      <c r="AM197" s="337">
        <f t="shared" ca="1" si="0"/>
        <v>0</v>
      </c>
      <c r="AN197" s="471">
        <f t="shared" ca="1" si="49"/>
        <v>0</v>
      </c>
    </row>
    <row r="198" spans="1:40" ht="38.25" x14ac:dyDescent="0.2">
      <c r="A198" t="str">
        <f t="shared" si="34"/>
        <v>S</v>
      </c>
      <c r="B198">
        <f t="shared" ca="1" si="35"/>
        <v>3</v>
      </c>
      <c r="C198" t="str">
        <f t="shared" ca="1" si="36"/>
        <v>S</v>
      </c>
      <c r="D198">
        <f t="shared" ca="1" si="37"/>
        <v>0</v>
      </c>
      <c r="E198">
        <f ca="1">IF($C198=1,OFFSET(E198,-1,0)+MAX(1,COUNTIF(QCI!$A$13:$A$24,OFFSET(ORÇAMENTO!E198,-1,0))),OFFSET(E198,-1,0))</f>
        <v>1</v>
      </c>
      <c r="F198">
        <f t="shared" ca="1" si="38"/>
        <v>11</v>
      </c>
      <c r="G198">
        <f t="shared" ca="1" si="39"/>
        <v>2</v>
      </c>
      <c r="H198">
        <f t="shared" ca="1" si="40"/>
        <v>0</v>
      </c>
      <c r="I198">
        <f t="shared" ca="1" si="41"/>
        <v>0</v>
      </c>
      <c r="J198">
        <f t="shared" ca="1" si="42"/>
        <v>0</v>
      </c>
      <c r="K198">
        <f ca="1">IF(OR($C198="S",$C198=0),0,MATCH(OFFSET($D198,0,$C198)+IF($C198&lt;&gt;1,1,COUNTIF(QCI!$A$13:$A$24,ORÇAMENTO!E198)),OFFSET($D198,1,$C198,ROW($C$405)-ROW($C198)),0))</f>
        <v>0</v>
      </c>
      <c r="L198" s="115" t="str">
        <f t="shared" ca="1" si="43"/>
        <v/>
      </c>
      <c r="M198" s="116" t="s">
        <v>706</v>
      </c>
      <c r="N198" s="117" t="str">
        <f t="shared" ca="1" si="44"/>
        <v>Serviço</v>
      </c>
      <c r="O198" s="118" t="str">
        <f t="shared" ca="1" si="45"/>
        <v>-</v>
      </c>
      <c r="P198" s="119" t="s">
        <v>751</v>
      </c>
      <c r="Q198" s="120" t="s">
        <v>1102</v>
      </c>
      <c r="R198" s="121" t="s">
        <v>1478</v>
      </c>
      <c r="S198" s="122" t="s">
        <v>639</v>
      </c>
      <c r="T198" s="123">
        <f ca="1">OFFSET(CÁLCULO!H$15,ROW($T198)-ROW(T$15),0)</f>
        <v>10</v>
      </c>
      <c r="U198" s="124"/>
      <c r="V198" s="125" t="s">
        <v>663</v>
      </c>
      <c r="W198" s="123">
        <f ca="1">IF($C198="S",ROUND(IF(TIPOORCAMENTO="Proposto",ORÇAMENTO.CustoUnitario*(1+$AH198),ORÇAMENTO.PrecoUnitarioLicitado),15-13*$AF$10),0)</f>
        <v>0</v>
      </c>
      <c r="X198" s="126" cm="1">
        <f t="array" aca="1" ref="X198" ca="1">IF($C198="S",IF(OR(Import.TipoArredondamento&lt;&gt;"TransfereGOV",ACOMPANHAMENTO="BM"),VTOTAL1,SUM(OFFSET(CÁLCULO!$AA$15,ROW($X198)-ROW($X$15),1):OFFSET(CÁLCULO!$AL$15,ROW($X198)-ROW($X$15),-1))),IF($C198=0,0,ROUND(SomaAgrup,15-13*$AF$11)))</f>
        <v>0</v>
      </c>
      <c r="Y198" s="127" t="s">
        <v>752</v>
      </c>
      <c r="Z198" t="str">
        <f t="shared" ca="1" si="46"/>
        <v/>
      </c>
      <c r="AA198" s="128">
        <f ca="1">IF($C198="S",IF($Z198="CP",$X198,IF($Z198="RA",(($X198)*QCI!$AA$3),0)),SomaAgrup)</f>
        <v>0</v>
      </c>
      <c r="AB198" s="129">
        <f t="shared" ca="1" si="47"/>
        <v>0</v>
      </c>
      <c r="AC198" s="567" t="str">
        <f ca="1">IF($N198=""," ",
IF(AND($C198&lt;&gt;"S",OR($R198="",$R198="(digite a descrição aqui)")),"DESCRIÇÃO",
IF(AND($C198="S",OR($Q198&lt;&gt;0,$T198&gt;0,$U198&gt;0),$P198=0),"FONTE",
IF(AND($C198="S",$P198&lt;&gt;0,OR($T198&gt;0,$U198&gt;0),$Q198=0),"CÓDIGO",
IF(AND($C198="S",$P198&lt;&gt;0,$Q198&lt;&gt;0,$R198="(Código não identificado nas referências)"),"CÓDIGO N/ID",
IF(AND($C198="S",OR($R198="",$R198="(digite a descrição aqui)"),OR($Q198&lt;&gt;0,$T198&gt;0,$U198&gt;0)),"DESCRIÇÃO",
IF(AND($C198="S",$P198&lt;&gt;0,$Q198&lt;&gt;0,$S198=""),"UNIDADE",
IF(AND($C198="S",$P198&lt;&gt;0,$Q198&lt;&gt;0,$U198=0),"SEM CUSTO",
IF(AND(TIPOORCAMENTO="Licitado",$AL198=0,$AN198&gt;0),"SEM PREÇO",
IF(AND($C198="S",$P198&lt;&gt;0,$Q198&lt;&gt;0,$U198&gt;0,$V198=0),"BDI",
IF(OR(AND(TIPOORCAMENTO="Proposto",$AG198&lt;&gt;"",$AG198&gt;0,ORÇAMENTO.CustoUnitario&gt;$AG198),AND(TIPOORCAMENTO="LICITADO",ORÇAMENTO.PrecoUnitarioLicitado&gt;$AN198)),"ACIMA REF.",
IF(AND($C198="S",$P198&lt;&gt;0,$Q198&lt;&gt;0,$T198=0,$U198&gt;0),"QUANT.",
IF(AND(Import.TipoArredondamento="TransfereGOV",$L198="F",$C198="S",LEN($Q198)&gt;13),"Código &gt;13",
IF(AND(Import.TipoArredondamento="TransfereGOV",$L198="F",$C198&lt;&gt;"S",LEN($R198)&gt;100),"Descrição &gt;100",
IF(AND(Import.TipoArredondamento="TransfereGOV",$L198="F",$C198="S",LEN($R198)&gt;500),"Descrição &gt;500",
IF(AND(Import.TipoArredondamento="TransfereGOV",$L198="F",$C198="S",LEFT(TRIM(UPPER($P198)),6)&lt;&gt;"SINAPI",ISNA(VLOOKUP(TRIM(UPPER($S198)),ListaTgov.Unidades,1,FALSE))),"Unid. Não Disp",
" "))))))))))))))))</f>
        <v>SEM CUSTO</v>
      </c>
      <c r="AD198" t="str">
        <f ca="1">IF(C198&lt;=CRONO.NivelExibicao,MAX($AD$15:OFFSET(AD198,-1,0))+IF($C198&lt;&gt;1,1,MAX(1,COUNTIF(QCI!$A$13:$A$24,OFFSET($E198,-1,0)))),"")</f>
        <v/>
      </c>
      <c r="AE198" s="7" t="str">
        <f ca="1">IF(AND($C198="S",ORÇAMENTO.CodBarra&lt;&gt;""),IF(ORÇAMENTO.Fonte="",ORÇAMENTO.CodBarra,CONCATENATE(ORÇAMENTO.Fonte," ",ORÇAMENTO.CodBarra)))</f>
        <v>SINAPI 89366</v>
      </c>
      <c r="AF198" s="12" t="str">
        <f ca="1">IF(ISERROR(INDIRECT(ORÇAMENTO.BancoRef)),"(abra o arquivo 'Referência "&amp;Excel_BuiltIn_Database&amp;".xlsm)",IF(OR($C198&lt;&gt;"S",ORÇAMENTO.CodBarra=""),"(Sem Código)",IF(ISERROR(MATCH($AE198,INDIRECT(ORÇAMENTO.BancoRef),0)),"(Código não identificado nas referências)",MATCH($AE198,INDIRECT(ORÇAMENTO.BancoRef),0))))</f>
        <v>(abra o arquivo 'Referência 12-2024.xlsm)</v>
      </c>
      <c r="AG198" s="429">
        <f ca="1">ROUND(IF(DESONERACAO="sim",REFERENCIA.Desonerado,REFERENCIA.NaoDesonerado),2)</f>
        <v>0</v>
      </c>
      <c r="AH198" s="430">
        <f t="shared" ca="1" si="48"/>
        <v>0.31190000000000001</v>
      </c>
      <c r="AJ198" s="432">
        <v>10</v>
      </c>
      <c r="AL198" s="440"/>
      <c r="AM198" s="337">
        <f t="shared" ca="1" si="0"/>
        <v>0</v>
      </c>
      <c r="AN198" s="471">
        <f t="shared" ca="1" si="49"/>
        <v>0</v>
      </c>
    </row>
    <row r="199" spans="1:40" ht="25.5" x14ac:dyDescent="0.2">
      <c r="A199" t="str">
        <f t="shared" si="34"/>
        <v>S</v>
      </c>
      <c r="B199">
        <f t="shared" ca="1" si="35"/>
        <v>3</v>
      </c>
      <c r="C199" t="str">
        <f t="shared" ca="1" si="36"/>
        <v>S</v>
      </c>
      <c r="D199">
        <f t="shared" ca="1" si="37"/>
        <v>0</v>
      </c>
      <c r="E199">
        <f ca="1">IF($C199=1,OFFSET(E199,-1,0)+MAX(1,COUNTIF(QCI!$A$13:$A$24,OFFSET(ORÇAMENTO!E199,-1,0))),OFFSET(E199,-1,0))</f>
        <v>1</v>
      </c>
      <c r="F199">
        <f t="shared" ca="1" si="38"/>
        <v>11</v>
      </c>
      <c r="G199">
        <f t="shared" ca="1" si="39"/>
        <v>2</v>
      </c>
      <c r="H199">
        <f t="shared" ca="1" si="40"/>
        <v>0</v>
      </c>
      <c r="I199">
        <f t="shared" ca="1" si="41"/>
        <v>0</v>
      </c>
      <c r="J199">
        <f t="shared" ca="1" si="42"/>
        <v>0</v>
      </c>
      <c r="K199">
        <f ca="1">IF(OR($C199="S",$C199=0),0,MATCH(OFFSET($D199,0,$C199)+IF($C199&lt;&gt;1,1,COUNTIF(QCI!$A$13:$A$24,ORÇAMENTO!E199)),OFFSET($D199,1,$C199,ROW($C$405)-ROW($C199)),0))</f>
        <v>0</v>
      </c>
      <c r="L199" s="115" t="str">
        <f t="shared" ca="1" si="43"/>
        <v/>
      </c>
      <c r="M199" s="116" t="s">
        <v>706</v>
      </c>
      <c r="N199" s="117" t="str">
        <f t="shared" ca="1" si="44"/>
        <v>Serviço</v>
      </c>
      <c r="O199" s="118" t="str">
        <f t="shared" ca="1" si="45"/>
        <v>-</v>
      </c>
      <c r="P199" s="119" t="s">
        <v>751</v>
      </c>
      <c r="Q199" s="120" t="s">
        <v>1103</v>
      </c>
      <c r="R199" s="121" t="s">
        <v>1479</v>
      </c>
      <c r="S199" s="122" t="s">
        <v>639</v>
      </c>
      <c r="T199" s="123">
        <f ca="1">OFFSET(CÁLCULO!H$15,ROW($T199)-ROW(T$15),0)</f>
        <v>4</v>
      </c>
      <c r="U199" s="124"/>
      <c r="V199" s="125" t="s">
        <v>663</v>
      </c>
      <c r="W199" s="123">
        <f ca="1">IF($C199="S",ROUND(IF(TIPOORCAMENTO="Proposto",ORÇAMENTO.CustoUnitario*(1+$AH199),ORÇAMENTO.PrecoUnitarioLicitado),15-13*$AF$10),0)</f>
        <v>0</v>
      </c>
      <c r="X199" s="126" cm="1">
        <f t="array" aca="1" ref="X199" ca="1">IF($C199="S",IF(OR(Import.TipoArredondamento&lt;&gt;"TransfereGOV",ACOMPANHAMENTO="BM"),VTOTAL1,SUM(OFFSET(CÁLCULO!$AA$15,ROW($X199)-ROW($X$15),1):OFFSET(CÁLCULO!$AL$15,ROW($X199)-ROW($X$15),-1))),IF($C199=0,0,ROUND(SomaAgrup,15-13*$AF$11)))</f>
        <v>0</v>
      </c>
      <c r="Y199" s="127" t="s">
        <v>752</v>
      </c>
      <c r="Z199" t="str">
        <f t="shared" ca="1" si="46"/>
        <v/>
      </c>
      <c r="AA199" s="128">
        <f ca="1">IF($C199="S",IF($Z199="CP",$X199,IF($Z199="RA",(($X199)*QCI!$AA$3),0)),SomaAgrup)</f>
        <v>0</v>
      </c>
      <c r="AB199" s="129">
        <f t="shared" ca="1" si="47"/>
        <v>0</v>
      </c>
      <c r="AC199" s="567" t="str">
        <f ca="1">IF($N199=""," ",
IF(AND($C199&lt;&gt;"S",OR($R199="",$R199="(digite a descrição aqui)")),"DESCRIÇÃO",
IF(AND($C199="S",OR($Q199&lt;&gt;0,$T199&gt;0,$U199&gt;0),$P199=0),"FONTE",
IF(AND($C199="S",$P199&lt;&gt;0,OR($T199&gt;0,$U199&gt;0),$Q199=0),"CÓDIGO",
IF(AND($C199="S",$P199&lt;&gt;0,$Q199&lt;&gt;0,$R199="(Código não identificado nas referências)"),"CÓDIGO N/ID",
IF(AND($C199="S",OR($R199="",$R199="(digite a descrição aqui)"),OR($Q199&lt;&gt;0,$T199&gt;0,$U199&gt;0)),"DESCRIÇÃO",
IF(AND($C199="S",$P199&lt;&gt;0,$Q199&lt;&gt;0,$S199=""),"UNIDADE",
IF(AND($C199="S",$P199&lt;&gt;0,$Q199&lt;&gt;0,$U199=0),"SEM CUSTO",
IF(AND(TIPOORCAMENTO="Licitado",$AL199=0,$AN199&gt;0),"SEM PREÇO",
IF(AND($C199="S",$P199&lt;&gt;0,$Q199&lt;&gt;0,$U199&gt;0,$V199=0),"BDI",
IF(OR(AND(TIPOORCAMENTO="Proposto",$AG199&lt;&gt;"",$AG199&gt;0,ORÇAMENTO.CustoUnitario&gt;$AG199),AND(TIPOORCAMENTO="LICITADO",ORÇAMENTO.PrecoUnitarioLicitado&gt;$AN199)),"ACIMA REF.",
IF(AND($C199="S",$P199&lt;&gt;0,$Q199&lt;&gt;0,$T199=0,$U199&gt;0),"QUANT.",
IF(AND(Import.TipoArredondamento="TransfereGOV",$L199="F",$C199="S",LEN($Q199)&gt;13),"Código &gt;13",
IF(AND(Import.TipoArredondamento="TransfereGOV",$L199="F",$C199&lt;&gt;"S",LEN($R199)&gt;100),"Descrição &gt;100",
IF(AND(Import.TipoArredondamento="TransfereGOV",$L199="F",$C199="S",LEN($R199)&gt;500),"Descrição &gt;500",
IF(AND(Import.TipoArredondamento="TransfereGOV",$L199="F",$C199="S",LEFT(TRIM(UPPER($P199)),6)&lt;&gt;"SINAPI",ISNA(VLOOKUP(TRIM(UPPER($S199)),ListaTgov.Unidades,1,FALSE))),"Unid. Não Disp",
" "))))))))))))))))</f>
        <v>SEM CUSTO</v>
      </c>
      <c r="AD199" t="str">
        <f ca="1">IF(C199&lt;=CRONO.NivelExibicao,MAX($AD$15:OFFSET(AD199,-1,0))+IF($C199&lt;&gt;1,1,MAX(1,COUNTIF(QCI!$A$13:$A$24,OFFSET($E199,-1,0)))),"")</f>
        <v/>
      </c>
      <c r="AE199" s="7" t="str">
        <f ca="1">IF(AND($C199="S",ORÇAMENTO.CodBarra&lt;&gt;""),IF(ORÇAMENTO.Fonte="",ORÇAMENTO.CodBarra,CONCATENATE(ORÇAMENTO.Fonte," ",ORÇAMENTO.CodBarra)))</f>
        <v>SINAPI 89558</v>
      </c>
      <c r="AF199" s="12" t="str">
        <f ca="1">IF(ISERROR(INDIRECT(ORÇAMENTO.BancoRef)),"(abra o arquivo 'Referência "&amp;Excel_BuiltIn_Database&amp;".xlsm)",IF(OR($C199&lt;&gt;"S",ORÇAMENTO.CodBarra=""),"(Sem Código)",IF(ISERROR(MATCH($AE199,INDIRECT(ORÇAMENTO.BancoRef),0)),"(Código não identificado nas referências)",MATCH($AE199,INDIRECT(ORÇAMENTO.BancoRef),0))))</f>
        <v>(abra o arquivo 'Referência 12-2024.xlsm)</v>
      </c>
      <c r="AG199" s="429">
        <f ca="1">ROUND(IF(DESONERACAO="sim",REFERENCIA.Desonerado,REFERENCIA.NaoDesonerado),2)</f>
        <v>0</v>
      </c>
      <c r="AH199" s="430">
        <f t="shared" ca="1" si="48"/>
        <v>0.31190000000000001</v>
      </c>
      <c r="AJ199" s="432">
        <v>4</v>
      </c>
      <c r="AL199" s="440"/>
      <c r="AM199" s="337">
        <f t="shared" ca="1" si="0"/>
        <v>0</v>
      </c>
      <c r="AN199" s="471">
        <f t="shared" ca="1" si="49"/>
        <v>0</v>
      </c>
    </row>
    <row r="200" spans="1:40" ht="38.25" x14ac:dyDescent="0.2">
      <c r="A200" t="str">
        <f t="shared" si="34"/>
        <v>S</v>
      </c>
      <c r="B200">
        <f t="shared" ca="1" si="35"/>
        <v>3</v>
      </c>
      <c r="C200" t="str">
        <f t="shared" ca="1" si="36"/>
        <v>S</v>
      </c>
      <c r="D200">
        <f t="shared" ca="1" si="37"/>
        <v>0</v>
      </c>
      <c r="E200">
        <f ca="1">IF($C200=1,OFFSET(E200,-1,0)+MAX(1,COUNTIF(QCI!$A$13:$A$24,OFFSET(ORÇAMENTO!E200,-1,0))),OFFSET(E200,-1,0))</f>
        <v>1</v>
      </c>
      <c r="F200">
        <f t="shared" ca="1" si="38"/>
        <v>11</v>
      </c>
      <c r="G200">
        <f t="shared" ca="1" si="39"/>
        <v>2</v>
      </c>
      <c r="H200">
        <f t="shared" ca="1" si="40"/>
        <v>0</v>
      </c>
      <c r="I200">
        <f t="shared" ca="1" si="41"/>
        <v>0</v>
      </c>
      <c r="J200">
        <f t="shared" ca="1" si="42"/>
        <v>0</v>
      </c>
      <c r="K200">
        <f ca="1">IF(OR($C200="S",$C200=0),0,MATCH(OFFSET($D200,0,$C200)+IF($C200&lt;&gt;1,1,COUNTIF(QCI!$A$13:$A$24,ORÇAMENTO!E200)),OFFSET($D200,1,$C200,ROW($C$405)-ROW($C200)),0))</f>
        <v>0</v>
      </c>
      <c r="L200" s="115" t="str">
        <f t="shared" ca="1" si="43"/>
        <v/>
      </c>
      <c r="M200" s="116" t="s">
        <v>706</v>
      </c>
      <c r="N200" s="117" t="str">
        <f t="shared" ca="1" si="44"/>
        <v>Serviço</v>
      </c>
      <c r="O200" s="118" t="str">
        <f t="shared" ca="1" si="45"/>
        <v>-</v>
      </c>
      <c r="P200" s="119" t="s">
        <v>751</v>
      </c>
      <c r="Q200" s="120" t="s">
        <v>1104</v>
      </c>
      <c r="R200" s="121" t="s">
        <v>1480</v>
      </c>
      <c r="S200" s="122" t="s">
        <v>639</v>
      </c>
      <c r="T200" s="123">
        <f ca="1">OFFSET(CÁLCULO!H$15,ROW($T200)-ROW(T$15),0)</f>
        <v>1</v>
      </c>
      <c r="U200" s="124"/>
      <c r="V200" s="125" t="s">
        <v>663</v>
      </c>
      <c r="W200" s="123">
        <f ca="1">IF($C200="S",ROUND(IF(TIPOORCAMENTO="Proposto",ORÇAMENTO.CustoUnitario*(1+$AH200),ORÇAMENTO.PrecoUnitarioLicitado),15-13*$AF$10),0)</f>
        <v>0</v>
      </c>
      <c r="X200" s="126" cm="1">
        <f t="array" aca="1" ref="X200" ca="1">IF($C200="S",IF(OR(Import.TipoArredondamento&lt;&gt;"TransfereGOV",ACOMPANHAMENTO="BM"),VTOTAL1,SUM(OFFSET(CÁLCULO!$AA$15,ROW($X200)-ROW($X$15),1):OFFSET(CÁLCULO!$AL$15,ROW($X200)-ROW($X$15),-1))),IF($C200=0,0,ROUND(SomaAgrup,15-13*$AF$11)))</f>
        <v>0</v>
      </c>
      <c r="Y200" s="127" t="s">
        <v>752</v>
      </c>
      <c r="Z200" t="str">
        <f t="shared" ca="1" si="46"/>
        <v/>
      </c>
      <c r="AA200" s="128">
        <f ca="1">IF($C200="S",IF($Z200="CP",$X200,IF($Z200="RA",(($X200)*QCI!$AA$3),0)),SomaAgrup)</f>
        <v>0</v>
      </c>
      <c r="AB200" s="129">
        <f t="shared" ca="1" si="47"/>
        <v>0</v>
      </c>
      <c r="AC200" s="567" t="str">
        <f ca="1">IF($N200=""," ",
IF(AND($C200&lt;&gt;"S",OR($R200="",$R200="(digite a descrição aqui)")),"DESCRIÇÃO",
IF(AND($C200="S",OR($Q200&lt;&gt;0,$T200&gt;0,$U200&gt;0),$P200=0),"FONTE",
IF(AND($C200="S",$P200&lt;&gt;0,OR($T200&gt;0,$U200&gt;0),$Q200=0),"CÓDIGO",
IF(AND($C200="S",$P200&lt;&gt;0,$Q200&lt;&gt;0,$R200="(Código não identificado nas referências)"),"CÓDIGO N/ID",
IF(AND($C200="S",OR($R200="",$R200="(digite a descrição aqui)"),OR($Q200&lt;&gt;0,$T200&gt;0,$U200&gt;0)),"DESCRIÇÃO",
IF(AND($C200="S",$P200&lt;&gt;0,$Q200&lt;&gt;0,$S200=""),"UNIDADE",
IF(AND($C200="S",$P200&lt;&gt;0,$Q200&lt;&gt;0,$U200=0),"SEM CUSTO",
IF(AND(TIPOORCAMENTO="Licitado",$AL200=0,$AN200&gt;0),"SEM PREÇO",
IF(AND($C200="S",$P200&lt;&gt;0,$Q200&lt;&gt;0,$U200&gt;0,$V200=0),"BDI",
IF(OR(AND(TIPOORCAMENTO="Proposto",$AG200&lt;&gt;"",$AG200&gt;0,ORÇAMENTO.CustoUnitario&gt;$AG200),AND(TIPOORCAMENTO="LICITADO",ORÇAMENTO.PrecoUnitarioLicitado&gt;$AN200)),"ACIMA REF.",
IF(AND($C200="S",$P200&lt;&gt;0,$Q200&lt;&gt;0,$T200=0,$U200&gt;0),"QUANT.",
IF(AND(Import.TipoArredondamento="TransfereGOV",$L200="F",$C200="S",LEN($Q200)&gt;13),"Código &gt;13",
IF(AND(Import.TipoArredondamento="TransfereGOV",$L200="F",$C200&lt;&gt;"S",LEN($R200)&gt;100),"Descrição &gt;100",
IF(AND(Import.TipoArredondamento="TransfereGOV",$L200="F",$C200="S",LEN($R200)&gt;500),"Descrição &gt;500",
IF(AND(Import.TipoArredondamento="TransfereGOV",$L200="F",$C200="S",LEFT(TRIM(UPPER($P200)),6)&lt;&gt;"SINAPI",ISNA(VLOOKUP(TRIM(UPPER($S200)),ListaTgov.Unidades,1,FALSE))),"Unid. Não Disp",
" "))))))))))))))))</f>
        <v>SEM CUSTO</v>
      </c>
      <c r="AD200" t="str">
        <f ca="1">IF(C200&lt;=CRONO.NivelExibicao,MAX($AD$15:OFFSET(AD200,-1,0))+IF($C200&lt;&gt;1,1,MAX(1,COUNTIF(QCI!$A$13:$A$24,OFFSET($E200,-1,0)))),"")</f>
        <v/>
      </c>
      <c r="AE200" s="7" t="str">
        <f ca="1">IF(AND($C200="S",ORÇAMENTO.CodBarra&lt;&gt;""),IF(ORÇAMENTO.Fonte="",ORÇAMENTO.CodBarra,CONCATENATE(ORÇAMENTO.Fonte," ",ORÇAMENTO.CodBarra)))</f>
        <v>SINAPI 103995</v>
      </c>
      <c r="AF200" s="12" t="str">
        <f ca="1">IF(ISERROR(INDIRECT(ORÇAMENTO.BancoRef)),"(abra o arquivo 'Referência "&amp;Excel_BuiltIn_Database&amp;".xlsm)",IF(OR($C200&lt;&gt;"S",ORÇAMENTO.CodBarra=""),"(Sem Código)",IF(ISERROR(MATCH($AE200,INDIRECT(ORÇAMENTO.BancoRef),0)),"(Código não identificado nas referências)",MATCH($AE200,INDIRECT(ORÇAMENTO.BancoRef),0))))</f>
        <v>(abra o arquivo 'Referência 12-2024.xlsm)</v>
      </c>
      <c r="AG200" s="429">
        <f ca="1">ROUND(IF(DESONERACAO="sim",REFERENCIA.Desonerado,REFERENCIA.NaoDesonerado),2)</f>
        <v>0</v>
      </c>
      <c r="AH200" s="430">
        <f t="shared" ca="1" si="48"/>
        <v>0.31190000000000001</v>
      </c>
      <c r="AJ200" s="432">
        <v>1</v>
      </c>
      <c r="AL200" s="440"/>
      <c r="AM200" s="337">
        <f t="shared" ca="1" si="0"/>
        <v>0</v>
      </c>
      <c r="AN200" s="471">
        <f t="shared" ca="1" si="49"/>
        <v>0</v>
      </c>
    </row>
    <row r="201" spans="1:40" ht="38.25" x14ac:dyDescent="0.2">
      <c r="A201" t="str">
        <f t="shared" si="34"/>
        <v>S</v>
      </c>
      <c r="B201">
        <f t="shared" ca="1" si="35"/>
        <v>3</v>
      </c>
      <c r="C201" t="str">
        <f t="shared" ca="1" si="36"/>
        <v>S</v>
      </c>
      <c r="D201">
        <f t="shared" ca="1" si="37"/>
        <v>0</v>
      </c>
      <c r="E201">
        <f ca="1">IF($C201=1,OFFSET(E201,-1,0)+MAX(1,COUNTIF(QCI!$A$13:$A$24,OFFSET(ORÇAMENTO!E201,-1,0))),OFFSET(E201,-1,0))</f>
        <v>1</v>
      </c>
      <c r="F201">
        <f t="shared" ca="1" si="38"/>
        <v>11</v>
      </c>
      <c r="G201">
        <f t="shared" ca="1" si="39"/>
        <v>2</v>
      </c>
      <c r="H201">
        <f t="shared" ca="1" si="40"/>
        <v>0</v>
      </c>
      <c r="I201">
        <f t="shared" ca="1" si="41"/>
        <v>0</v>
      </c>
      <c r="J201">
        <f t="shared" ca="1" si="42"/>
        <v>0</v>
      </c>
      <c r="K201">
        <f ca="1">IF(OR($C201="S",$C201=0),0,MATCH(OFFSET($D201,0,$C201)+IF($C201&lt;&gt;1,1,COUNTIF(QCI!$A$13:$A$24,ORÇAMENTO!E201)),OFFSET($D201,1,$C201,ROW($C$405)-ROW($C201)),0))</f>
        <v>0</v>
      </c>
      <c r="L201" s="115" t="str">
        <f t="shared" ca="1" si="43"/>
        <v/>
      </c>
      <c r="M201" s="116" t="s">
        <v>706</v>
      </c>
      <c r="N201" s="117" t="str">
        <f t="shared" ca="1" si="44"/>
        <v>Serviço</v>
      </c>
      <c r="O201" s="118" t="str">
        <f t="shared" ca="1" si="45"/>
        <v>-</v>
      </c>
      <c r="P201" s="119" t="s">
        <v>751</v>
      </c>
      <c r="Q201" s="120" t="s">
        <v>1105</v>
      </c>
      <c r="R201" s="121" t="s">
        <v>1481</v>
      </c>
      <c r="S201" s="122" t="s">
        <v>621</v>
      </c>
      <c r="T201" s="123">
        <f ca="1">OFFSET(CÁLCULO!H$15,ROW($T201)-ROW(T$15),0)</f>
        <v>88</v>
      </c>
      <c r="U201" s="124"/>
      <c r="V201" s="125" t="s">
        <v>663</v>
      </c>
      <c r="W201" s="123">
        <f ca="1">IF($C201="S",ROUND(IF(TIPOORCAMENTO="Proposto",ORÇAMENTO.CustoUnitario*(1+$AH201),ORÇAMENTO.PrecoUnitarioLicitado),15-13*$AF$10),0)</f>
        <v>0</v>
      </c>
      <c r="X201" s="126" cm="1">
        <f t="array" aca="1" ref="X201" ca="1">IF($C201="S",IF(OR(Import.TipoArredondamento&lt;&gt;"TransfereGOV",ACOMPANHAMENTO="BM"),VTOTAL1,SUM(OFFSET(CÁLCULO!$AA$15,ROW($X201)-ROW($X$15),1):OFFSET(CÁLCULO!$AL$15,ROW($X201)-ROW($X$15),-1))),IF($C201=0,0,ROUND(SomaAgrup,15-13*$AF$11)))</f>
        <v>0</v>
      </c>
      <c r="Y201" s="127" t="s">
        <v>752</v>
      </c>
      <c r="Z201" t="str">
        <f t="shared" ca="1" si="46"/>
        <v/>
      </c>
      <c r="AA201" s="128">
        <f ca="1">IF($C201="S",IF($Z201="CP",$X201,IF($Z201="RA",(($X201)*QCI!$AA$3),0)),SomaAgrup)</f>
        <v>0</v>
      </c>
      <c r="AB201" s="129">
        <f t="shared" ca="1" si="47"/>
        <v>0</v>
      </c>
      <c r="AC201" s="567" t="str">
        <f ca="1">IF($N201=""," ",
IF(AND($C201&lt;&gt;"S",OR($R201="",$R201="(digite a descrição aqui)")),"DESCRIÇÃO",
IF(AND($C201="S",OR($Q201&lt;&gt;0,$T201&gt;0,$U201&gt;0),$P201=0),"FONTE",
IF(AND($C201="S",$P201&lt;&gt;0,OR($T201&gt;0,$U201&gt;0),$Q201=0),"CÓDIGO",
IF(AND($C201="S",$P201&lt;&gt;0,$Q201&lt;&gt;0,$R201="(Código não identificado nas referências)"),"CÓDIGO N/ID",
IF(AND($C201="S",OR($R201="",$R201="(digite a descrição aqui)"),OR($Q201&lt;&gt;0,$T201&gt;0,$U201&gt;0)),"DESCRIÇÃO",
IF(AND($C201="S",$P201&lt;&gt;0,$Q201&lt;&gt;0,$S201=""),"UNIDADE",
IF(AND($C201="S",$P201&lt;&gt;0,$Q201&lt;&gt;0,$U201=0),"SEM CUSTO",
IF(AND(TIPOORCAMENTO="Licitado",$AL201=0,$AN201&gt;0),"SEM PREÇO",
IF(AND($C201="S",$P201&lt;&gt;0,$Q201&lt;&gt;0,$U201&gt;0,$V201=0),"BDI",
IF(OR(AND(TIPOORCAMENTO="Proposto",$AG201&lt;&gt;"",$AG201&gt;0,ORÇAMENTO.CustoUnitario&gt;$AG201),AND(TIPOORCAMENTO="LICITADO",ORÇAMENTO.PrecoUnitarioLicitado&gt;$AN201)),"ACIMA REF.",
IF(AND($C201="S",$P201&lt;&gt;0,$Q201&lt;&gt;0,$T201=0,$U201&gt;0),"QUANT.",
IF(AND(Import.TipoArredondamento="TransfereGOV",$L201="F",$C201="S",LEN($Q201)&gt;13),"Código &gt;13",
IF(AND(Import.TipoArredondamento="TransfereGOV",$L201="F",$C201&lt;&gt;"S",LEN($R201)&gt;100),"Descrição &gt;100",
IF(AND(Import.TipoArredondamento="TransfereGOV",$L201="F",$C201="S",LEN($R201)&gt;500),"Descrição &gt;500",
IF(AND(Import.TipoArredondamento="TransfereGOV",$L201="F",$C201="S",LEFT(TRIM(UPPER($P201)),6)&lt;&gt;"SINAPI",ISNA(VLOOKUP(TRIM(UPPER($S201)),ListaTgov.Unidades,1,FALSE))),"Unid. Não Disp",
" "))))))))))))))))</f>
        <v>SEM CUSTO</v>
      </c>
      <c r="AD201" t="str">
        <f ca="1">IF(C201&lt;=CRONO.NivelExibicao,MAX($AD$15:OFFSET(AD201,-1,0))+IF($C201&lt;&gt;1,1,MAX(1,COUNTIF(QCI!$A$13:$A$24,OFFSET($E201,-1,0)))),"")</f>
        <v/>
      </c>
      <c r="AE201" s="7" t="str">
        <f ca="1">IF(AND($C201="S",ORÇAMENTO.CodBarra&lt;&gt;""),IF(ORÇAMENTO.Fonte="",ORÇAMENTO.CodBarra,CONCATENATE(ORÇAMENTO.Fonte," ",ORÇAMENTO.CodBarra)))</f>
        <v>SINAPI 103979</v>
      </c>
      <c r="AF201" s="12" t="str">
        <f ca="1">IF(ISERROR(INDIRECT(ORÇAMENTO.BancoRef)),"(abra o arquivo 'Referência "&amp;Excel_BuiltIn_Database&amp;".xlsm)",IF(OR($C201&lt;&gt;"S",ORÇAMENTO.CodBarra=""),"(Sem Código)",IF(ISERROR(MATCH($AE201,INDIRECT(ORÇAMENTO.BancoRef),0)),"(Código não identificado nas referências)",MATCH($AE201,INDIRECT(ORÇAMENTO.BancoRef),0))))</f>
        <v>(abra o arquivo 'Referência 12-2024.xlsm)</v>
      </c>
      <c r="AG201" s="429">
        <f ca="1">ROUND(IF(DESONERACAO="sim",REFERENCIA.Desonerado,REFERENCIA.NaoDesonerado),2)</f>
        <v>0</v>
      </c>
      <c r="AH201" s="430">
        <f t="shared" ca="1" si="48"/>
        <v>0.31190000000000001</v>
      </c>
      <c r="AJ201" s="432">
        <v>88</v>
      </c>
      <c r="AL201" s="440"/>
      <c r="AM201" s="337">
        <f t="shared" ca="1" si="0"/>
        <v>0</v>
      </c>
      <c r="AN201" s="471">
        <f t="shared" ca="1" si="49"/>
        <v>0</v>
      </c>
    </row>
    <row r="202" spans="1:40" ht="38.25" x14ac:dyDescent="0.2">
      <c r="A202" t="str">
        <f t="shared" si="34"/>
        <v>S</v>
      </c>
      <c r="B202">
        <f t="shared" ca="1" si="35"/>
        <v>3</v>
      </c>
      <c r="C202" t="str">
        <f t="shared" ca="1" si="36"/>
        <v>S</v>
      </c>
      <c r="D202">
        <f t="shared" ca="1" si="37"/>
        <v>0</v>
      </c>
      <c r="E202">
        <f ca="1">IF($C202=1,OFFSET(E202,-1,0)+MAX(1,COUNTIF(QCI!$A$13:$A$24,OFFSET(ORÇAMENTO!E202,-1,0))),OFFSET(E202,-1,0))</f>
        <v>1</v>
      </c>
      <c r="F202">
        <f t="shared" ca="1" si="38"/>
        <v>11</v>
      </c>
      <c r="G202">
        <f t="shared" ca="1" si="39"/>
        <v>2</v>
      </c>
      <c r="H202">
        <f t="shared" ca="1" si="40"/>
        <v>0</v>
      </c>
      <c r="I202">
        <f t="shared" ca="1" si="41"/>
        <v>0</v>
      </c>
      <c r="J202">
        <f t="shared" ca="1" si="42"/>
        <v>0</v>
      </c>
      <c r="K202">
        <f ca="1">IF(OR($C202="S",$C202=0),0,MATCH(OFFSET($D202,0,$C202)+IF($C202&lt;&gt;1,1,COUNTIF(QCI!$A$13:$A$24,ORÇAMENTO!E202)),OFFSET($D202,1,$C202,ROW($C$405)-ROW($C202)),0))</f>
        <v>0</v>
      </c>
      <c r="L202" s="115" t="str">
        <f t="shared" ca="1" si="43"/>
        <v/>
      </c>
      <c r="M202" s="116" t="s">
        <v>706</v>
      </c>
      <c r="N202" s="117" t="str">
        <f t="shared" ca="1" si="44"/>
        <v>Serviço</v>
      </c>
      <c r="O202" s="118" t="str">
        <f t="shared" ca="1" si="45"/>
        <v>-</v>
      </c>
      <c r="P202" s="119" t="s">
        <v>751</v>
      </c>
      <c r="Q202" s="120" t="s">
        <v>1106</v>
      </c>
      <c r="R202" s="121" t="s">
        <v>1482</v>
      </c>
      <c r="S202" s="122" t="s">
        <v>639</v>
      </c>
      <c r="T202" s="123">
        <f ca="1">OFFSET(CÁLCULO!H$15,ROW($T202)-ROW(T$15),0)</f>
        <v>8</v>
      </c>
      <c r="U202" s="124"/>
      <c r="V202" s="125" t="s">
        <v>663</v>
      </c>
      <c r="W202" s="123">
        <f ca="1">IF($C202="S",ROUND(IF(TIPOORCAMENTO="Proposto",ORÇAMENTO.CustoUnitario*(1+$AH202),ORÇAMENTO.PrecoUnitarioLicitado),15-13*$AF$10),0)</f>
        <v>0</v>
      </c>
      <c r="X202" s="126" cm="1">
        <f t="array" aca="1" ref="X202" ca="1">IF($C202="S",IF(OR(Import.TipoArredondamento&lt;&gt;"TransfereGOV",ACOMPANHAMENTO="BM"),VTOTAL1,SUM(OFFSET(CÁLCULO!$AA$15,ROW($X202)-ROW($X$15),1):OFFSET(CÁLCULO!$AL$15,ROW($X202)-ROW($X$15),-1))),IF($C202=0,0,ROUND(SomaAgrup,15-13*$AF$11)))</f>
        <v>0</v>
      </c>
      <c r="Y202" s="127" t="s">
        <v>752</v>
      </c>
      <c r="Z202" t="str">
        <f t="shared" ca="1" si="46"/>
        <v/>
      </c>
      <c r="AA202" s="128">
        <f ca="1">IF($C202="S",IF($Z202="CP",$X202,IF($Z202="RA",(($X202)*QCI!$AA$3),0)),SomaAgrup)</f>
        <v>0</v>
      </c>
      <c r="AB202" s="129">
        <f t="shared" ca="1" si="47"/>
        <v>0</v>
      </c>
      <c r="AC202" s="567" t="str">
        <f ca="1">IF($N202=""," ",
IF(AND($C202&lt;&gt;"S",OR($R202="",$R202="(digite a descrição aqui)")),"DESCRIÇÃO",
IF(AND($C202="S",OR($Q202&lt;&gt;0,$T202&gt;0,$U202&gt;0),$P202=0),"FONTE",
IF(AND($C202="S",$P202&lt;&gt;0,OR($T202&gt;0,$U202&gt;0),$Q202=0),"CÓDIGO",
IF(AND($C202="S",$P202&lt;&gt;0,$Q202&lt;&gt;0,$R202="(Código não identificado nas referências)"),"CÓDIGO N/ID",
IF(AND($C202="S",OR($R202="",$R202="(digite a descrição aqui)"),OR($Q202&lt;&gt;0,$T202&gt;0,$U202&gt;0)),"DESCRIÇÃO",
IF(AND($C202="S",$P202&lt;&gt;0,$Q202&lt;&gt;0,$S202=""),"UNIDADE",
IF(AND($C202="S",$P202&lt;&gt;0,$Q202&lt;&gt;0,$U202=0),"SEM CUSTO",
IF(AND(TIPOORCAMENTO="Licitado",$AL202=0,$AN202&gt;0),"SEM PREÇO",
IF(AND($C202="S",$P202&lt;&gt;0,$Q202&lt;&gt;0,$U202&gt;0,$V202=0),"BDI",
IF(OR(AND(TIPOORCAMENTO="Proposto",$AG202&lt;&gt;"",$AG202&gt;0,ORÇAMENTO.CustoUnitario&gt;$AG202),AND(TIPOORCAMENTO="LICITADO",ORÇAMENTO.PrecoUnitarioLicitado&gt;$AN202)),"ACIMA REF.",
IF(AND($C202="S",$P202&lt;&gt;0,$Q202&lt;&gt;0,$T202=0,$U202&gt;0),"QUANT.",
IF(AND(Import.TipoArredondamento="TransfereGOV",$L202="F",$C202="S",LEN($Q202)&gt;13),"Código &gt;13",
IF(AND(Import.TipoArredondamento="TransfereGOV",$L202="F",$C202&lt;&gt;"S",LEN($R202)&gt;100),"Descrição &gt;100",
IF(AND(Import.TipoArredondamento="TransfereGOV",$L202="F",$C202="S",LEN($R202)&gt;500),"Descrição &gt;500",
IF(AND(Import.TipoArredondamento="TransfereGOV",$L202="F",$C202="S",LEFT(TRIM(UPPER($P202)),6)&lt;&gt;"SINAPI",ISNA(VLOOKUP(TRIM(UPPER($S202)),ListaTgov.Unidades,1,FALSE))),"Unid. Não Disp",
" "))))))))))))))))</f>
        <v>SEM CUSTO</v>
      </c>
      <c r="AD202" t="str">
        <f ca="1">IF(C202&lt;=CRONO.NivelExibicao,MAX($AD$15:OFFSET(AD202,-1,0))+IF($C202&lt;&gt;1,1,MAX(1,COUNTIF(QCI!$A$13:$A$24,OFFSET($E202,-1,0)))),"")</f>
        <v/>
      </c>
      <c r="AE202" s="7" t="str">
        <f ca="1">IF(AND($C202="S",ORÇAMENTO.CodBarra&lt;&gt;""),IF(ORÇAMENTO.Fonte="",ORÇAMENTO.CodBarra,CONCATENATE(ORÇAMENTO.Fonte," ",ORÇAMENTO.CodBarra)))</f>
        <v>SINAPI 103956</v>
      </c>
      <c r="AF202" s="12" t="str">
        <f ca="1">IF(ISERROR(INDIRECT(ORÇAMENTO.BancoRef)),"(abra o arquivo 'Referência "&amp;Excel_BuiltIn_Database&amp;".xlsm)",IF(OR($C202&lt;&gt;"S",ORÇAMENTO.CodBarra=""),"(Sem Código)",IF(ISERROR(MATCH($AE202,INDIRECT(ORÇAMENTO.BancoRef),0)),"(Código não identificado nas referências)",MATCH($AE202,INDIRECT(ORÇAMENTO.BancoRef),0))))</f>
        <v>(abra o arquivo 'Referência 12-2024.xlsm)</v>
      </c>
      <c r="AG202" s="429">
        <f ca="1">ROUND(IF(DESONERACAO="sim",REFERENCIA.Desonerado,REFERENCIA.NaoDesonerado),2)</f>
        <v>0</v>
      </c>
      <c r="AH202" s="430">
        <f t="shared" ca="1" si="48"/>
        <v>0.31190000000000001</v>
      </c>
      <c r="AJ202" s="432">
        <v>8</v>
      </c>
      <c r="AL202" s="440"/>
      <c r="AM202" s="337">
        <f t="shared" ca="1" si="0"/>
        <v>0</v>
      </c>
      <c r="AN202" s="471">
        <f t="shared" ca="1" si="49"/>
        <v>0</v>
      </c>
    </row>
    <row r="203" spans="1:40" ht="25.5" x14ac:dyDescent="0.2">
      <c r="A203" t="str">
        <f t="shared" si="34"/>
        <v>S</v>
      </c>
      <c r="B203">
        <f t="shared" ca="1" si="35"/>
        <v>3</v>
      </c>
      <c r="C203" t="str">
        <f t="shared" ca="1" si="36"/>
        <v>S</v>
      </c>
      <c r="D203">
        <f t="shared" ca="1" si="37"/>
        <v>0</v>
      </c>
      <c r="E203">
        <f ca="1">IF($C203=1,OFFSET(E203,-1,0)+MAX(1,COUNTIF(QCI!$A$13:$A$24,OFFSET(ORÇAMENTO!E203,-1,0))),OFFSET(E203,-1,0))</f>
        <v>1</v>
      </c>
      <c r="F203">
        <f t="shared" ca="1" si="38"/>
        <v>11</v>
      </c>
      <c r="G203">
        <f t="shared" ca="1" si="39"/>
        <v>2</v>
      </c>
      <c r="H203">
        <f t="shared" ca="1" si="40"/>
        <v>0</v>
      </c>
      <c r="I203">
        <f t="shared" ca="1" si="41"/>
        <v>0</v>
      </c>
      <c r="J203">
        <f t="shared" ca="1" si="42"/>
        <v>0</v>
      </c>
      <c r="K203">
        <f ca="1">IF(OR($C203="S",$C203=0),0,MATCH(OFFSET($D203,0,$C203)+IF($C203&lt;&gt;1,1,COUNTIF(QCI!$A$13:$A$24,ORÇAMENTO!E203)),OFFSET($D203,1,$C203,ROW($C$405)-ROW($C203)),0))</f>
        <v>0</v>
      </c>
      <c r="L203" s="115" t="str">
        <f t="shared" ca="1" si="43"/>
        <v/>
      </c>
      <c r="M203" s="116" t="s">
        <v>706</v>
      </c>
      <c r="N203" s="117" t="str">
        <f t="shared" ca="1" si="44"/>
        <v>Serviço</v>
      </c>
      <c r="O203" s="118" t="str">
        <f t="shared" ca="1" si="45"/>
        <v>-</v>
      </c>
      <c r="P203" s="119" t="s">
        <v>751</v>
      </c>
      <c r="Q203" s="120" t="s">
        <v>1107</v>
      </c>
      <c r="R203" s="121" t="s">
        <v>1483</v>
      </c>
      <c r="S203" s="122" t="s">
        <v>621</v>
      </c>
      <c r="T203" s="123">
        <f ca="1">OFFSET(CÁLCULO!H$15,ROW($T203)-ROW(T$15),0)</f>
        <v>292</v>
      </c>
      <c r="U203" s="124"/>
      <c r="V203" s="125" t="s">
        <v>663</v>
      </c>
      <c r="W203" s="123">
        <f ca="1">IF($C203="S",ROUND(IF(TIPOORCAMENTO="Proposto",ORÇAMENTO.CustoUnitario*(1+$AH203),ORÇAMENTO.PrecoUnitarioLicitado),15-13*$AF$10),0)</f>
        <v>0</v>
      </c>
      <c r="X203" s="126" cm="1">
        <f t="array" aca="1" ref="X203" ca="1">IF($C203="S",IF(OR(Import.TipoArredondamento&lt;&gt;"TransfereGOV",ACOMPANHAMENTO="BM"),VTOTAL1,SUM(OFFSET(CÁLCULO!$AA$15,ROW($X203)-ROW($X$15),1):OFFSET(CÁLCULO!$AL$15,ROW($X203)-ROW($X$15),-1))),IF($C203=0,0,ROUND(SomaAgrup,15-13*$AF$11)))</f>
        <v>0</v>
      </c>
      <c r="Y203" s="127" t="s">
        <v>752</v>
      </c>
      <c r="Z203" t="str">
        <f t="shared" ca="1" si="46"/>
        <v/>
      </c>
      <c r="AA203" s="128">
        <f ca="1">IF($C203="S",IF($Z203="CP",$X203,IF($Z203="RA",(($X203)*QCI!$AA$3),0)),SomaAgrup)</f>
        <v>0</v>
      </c>
      <c r="AB203" s="129">
        <f t="shared" ca="1" si="47"/>
        <v>0</v>
      </c>
      <c r="AC203" s="567" t="str">
        <f ca="1">IF($N203=""," ",
IF(AND($C203&lt;&gt;"S",OR($R203="",$R203="(digite a descrição aqui)")),"DESCRIÇÃO",
IF(AND($C203="S",OR($Q203&lt;&gt;0,$T203&gt;0,$U203&gt;0),$P203=0),"FONTE",
IF(AND($C203="S",$P203&lt;&gt;0,OR($T203&gt;0,$U203&gt;0),$Q203=0),"CÓDIGO",
IF(AND($C203="S",$P203&lt;&gt;0,$Q203&lt;&gt;0,$R203="(Código não identificado nas referências)"),"CÓDIGO N/ID",
IF(AND($C203="S",OR($R203="",$R203="(digite a descrição aqui)"),OR($Q203&lt;&gt;0,$T203&gt;0,$U203&gt;0)),"DESCRIÇÃO",
IF(AND($C203="S",$P203&lt;&gt;0,$Q203&lt;&gt;0,$S203=""),"UNIDADE",
IF(AND($C203="S",$P203&lt;&gt;0,$Q203&lt;&gt;0,$U203=0),"SEM CUSTO",
IF(AND(TIPOORCAMENTO="Licitado",$AL203=0,$AN203&gt;0),"SEM PREÇO",
IF(AND($C203="S",$P203&lt;&gt;0,$Q203&lt;&gt;0,$U203&gt;0,$V203=0),"BDI",
IF(OR(AND(TIPOORCAMENTO="Proposto",$AG203&lt;&gt;"",$AG203&gt;0,ORÇAMENTO.CustoUnitario&gt;$AG203),AND(TIPOORCAMENTO="LICITADO",ORÇAMENTO.PrecoUnitarioLicitado&gt;$AN203)),"ACIMA REF.",
IF(AND($C203="S",$P203&lt;&gt;0,$Q203&lt;&gt;0,$T203=0,$U203&gt;0),"QUANT.",
IF(AND(Import.TipoArredondamento="TransfereGOV",$L203="F",$C203="S",LEN($Q203)&gt;13),"Código &gt;13",
IF(AND(Import.TipoArredondamento="TransfereGOV",$L203="F",$C203&lt;&gt;"S",LEN($R203)&gt;100),"Descrição &gt;100",
IF(AND(Import.TipoArredondamento="TransfereGOV",$L203="F",$C203="S",LEN($R203)&gt;500),"Descrição &gt;500",
IF(AND(Import.TipoArredondamento="TransfereGOV",$L203="F",$C203="S",LEFT(TRIM(UPPER($P203)),6)&lt;&gt;"SINAPI",ISNA(VLOOKUP(TRIM(UPPER($S203)),ListaTgov.Unidades,1,FALSE))),"Unid. Não Disp",
" "))))))))))))))))</f>
        <v>SEM CUSTO</v>
      </c>
      <c r="AD203" t="str">
        <f ca="1">IF(C203&lt;=CRONO.NivelExibicao,MAX($AD$15:OFFSET(AD203,-1,0))+IF($C203&lt;&gt;1,1,MAX(1,COUNTIF(QCI!$A$13:$A$24,OFFSET($E203,-1,0)))),"")</f>
        <v/>
      </c>
      <c r="AE203" s="7" t="str">
        <f ca="1">IF(AND($C203="S",ORÇAMENTO.CodBarra&lt;&gt;""),IF(ORÇAMENTO.Fonte="",ORÇAMENTO.CodBarra,CONCATENATE(ORÇAMENTO.Fonte," ",ORÇAMENTO.CodBarra)))</f>
        <v>SINAPI 89356</v>
      </c>
      <c r="AF203" s="12" t="str">
        <f ca="1">IF(ISERROR(INDIRECT(ORÇAMENTO.BancoRef)),"(abra o arquivo 'Referência "&amp;Excel_BuiltIn_Database&amp;".xlsm)",IF(OR($C203&lt;&gt;"S",ORÇAMENTO.CodBarra=""),"(Sem Código)",IF(ISERROR(MATCH($AE203,INDIRECT(ORÇAMENTO.BancoRef),0)),"(Código não identificado nas referências)",MATCH($AE203,INDIRECT(ORÇAMENTO.BancoRef),0))))</f>
        <v>(abra o arquivo 'Referência 12-2024.xlsm)</v>
      </c>
      <c r="AG203" s="429">
        <f ca="1">ROUND(IF(DESONERACAO="sim",REFERENCIA.Desonerado,REFERENCIA.NaoDesonerado),2)</f>
        <v>0</v>
      </c>
      <c r="AH203" s="430">
        <f t="shared" ca="1" si="48"/>
        <v>0.31190000000000001</v>
      </c>
      <c r="AJ203" s="432">
        <v>292</v>
      </c>
      <c r="AL203" s="440"/>
      <c r="AM203" s="337">
        <f t="shared" ca="1" si="0"/>
        <v>0</v>
      </c>
      <c r="AN203" s="471">
        <f t="shared" ca="1" si="49"/>
        <v>0</v>
      </c>
    </row>
    <row r="204" spans="1:40" ht="25.5" x14ac:dyDescent="0.2">
      <c r="A204" t="str">
        <f t="shared" si="34"/>
        <v>S</v>
      </c>
      <c r="B204">
        <f t="shared" ca="1" si="35"/>
        <v>3</v>
      </c>
      <c r="C204" t="str">
        <f t="shared" ca="1" si="36"/>
        <v>S</v>
      </c>
      <c r="D204">
        <f t="shared" ca="1" si="37"/>
        <v>0</v>
      </c>
      <c r="E204">
        <f ca="1">IF($C204=1,OFFSET(E204,-1,0)+MAX(1,COUNTIF(QCI!$A$13:$A$24,OFFSET(ORÇAMENTO!E204,-1,0))),OFFSET(E204,-1,0))</f>
        <v>1</v>
      </c>
      <c r="F204">
        <f t="shared" ca="1" si="38"/>
        <v>11</v>
      </c>
      <c r="G204">
        <f t="shared" ca="1" si="39"/>
        <v>2</v>
      </c>
      <c r="H204">
        <f t="shared" ca="1" si="40"/>
        <v>0</v>
      </c>
      <c r="I204">
        <f t="shared" ca="1" si="41"/>
        <v>0</v>
      </c>
      <c r="J204">
        <f t="shared" ca="1" si="42"/>
        <v>0</v>
      </c>
      <c r="K204">
        <f ca="1">IF(OR($C204="S",$C204=0),0,MATCH(OFFSET($D204,0,$C204)+IF($C204&lt;&gt;1,1,COUNTIF(QCI!$A$13:$A$24,ORÇAMENTO!E204)),OFFSET($D204,1,$C204,ROW($C$405)-ROW($C204)),0))</f>
        <v>0</v>
      </c>
      <c r="L204" s="115" t="str">
        <f t="shared" ca="1" si="43"/>
        <v/>
      </c>
      <c r="M204" s="116" t="s">
        <v>706</v>
      </c>
      <c r="N204" s="117" t="str">
        <f t="shared" ca="1" si="44"/>
        <v>Serviço</v>
      </c>
      <c r="O204" s="118" t="str">
        <f t="shared" ca="1" si="45"/>
        <v>-</v>
      </c>
      <c r="P204" s="119" t="s">
        <v>751</v>
      </c>
      <c r="Q204" s="120" t="s">
        <v>1108</v>
      </c>
      <c r="R204" s="121" t="s">
        <v>1484</v>
      </c>
      <c r="S204" s="122" t="s">
        <v>621</v>
      </c>
      <c r="T204" s="123">
        <f ca="1">OFFSET(CÁLCULO!H$15,ROW($T204)-ROW(T$15),0)</f>
        <v>152.80000000000001</v>
      </c>
      <c r="U204" s="124"/>
      <c r="V204" s="125" t="s">
        <v>663</v>
      </c>
      <c r="W204" s="123">
        <f ca="1">IF($C204="S",ROUND(IF(TIPOORCAMENTO="Proposto",ORÇAMENTO.CustoUnitario*(1+$AH204),ORÇAMENTO.PrecoUnitarioLicitado),15-13*$AF$10),0)</f>
        <v>0</v>
      </c>
      <c r="X204" s="126" cm="1">
        <f t="array" aca="1" ref="X204" ca="1">IF($C204="S",IF(OR(Import.TipoArredondamento&lt;&gt;"TransfereGOV",ACOMPANHAMENTO="BM"),VTOTAL1,SUM(OFFSET(CÁLCULO!$AA$15,ROW($X204)-ROW($X$15),1):OFFSET(CÁLCULO!$AL$15,ROW($X204)-ROW($X$15),-1))),IF($C204=0,0,ROUND(SomaAgrup,15-13*$AF$11)))</f>
        <v>0</v>
      </c>
      <c r="Y204" s="127" t="s">
        <v>752</v>
      </c>
      <c r="Z204" t="str">
        <f t="shared" ca="1" si="46"/>
        <v/>
      </c>
      <c r="AA204" s="128">
        <f ca="1">IF($C204="S",IF($Z204="CP",$X204,IF($Z204="RA",(($X204)*QCI!$AA$3),0)),SomaAgrup)</f>
        <v>0</v>
      </c>
      <c r="AB204" s="129">
        <f t="shared" ca="1" si="47"/>
        <v>0</v>
      </c>
      <c r="AC204" s="567" t="str">
        <f ca="1">IF($N204=""," ",
IF(AND($C204&lt;&gt;"S",OR($R204="",$R204="(digite a descrição aqui)")),"DESCRIÇÃO",
IF(AND($C204="S",OR($Q204&lt;&gt;0,$T204&gt;0,$U204&gt;0),$P204=0),"FONTE",
IF(AND($C204="S",$P204&lt;&gt;0,OR($T204&gt;0,$U204&gt;0),$Q204=0),"CÓDIGO",
IF(AND($C204="S",$P204&lt;&gt;0,$Q204&lt;&gt;0,$R204="(Código não identificado nas referências)"),"CÓDIGO N/ID",
IF(AND($C204="S",OR($R204="",$R204="(digite a descrição aqui)"),OR($Q204&lt;&gt;0,$T204&gt;0,$U204&gt;0)),"DESCRIÇÃO",
IF(AND($C204="S",$P204&lt;&gt;0,$Q204&lt;&gt;0,$S204=""),"UNIDADE",
IF(AND($C204="S",$P204&lt;&gt;0,$Q204&lt;&gt;0,$U204=0),"SEM CUSTO",
IF(AND(TIPOORCAMENTO="Licitado",$AL204=0,$AN204&gt;0),"SEM PREÇO",
IF(AND($C204="S",$P204&lt;&gt;0,$Q204&lt;&gt;0,$U204&gt;0,$V204=0),"BDI",
IF(OR(AND(TIPOORCAMENTO="Proposto",$AG204&lt;&gt;"",$AG204&gt;0,ORÇAMENTO.CustoUnitario&gt;$AG204),AND(TIPOORCAMENTO="LICITADO",ORÇAMENTO.PrecoUnitarioLicitado&gt;$AN204)),"ACIMA REF.",
IF(AND($C204="S",$P204&lt;&gt;0,$Q204&lt;&gt;0,$T204=0,$U204&gt;0),"QUANT.",
IF(AND(Import.TipoArredondamento="TransfereGOV",$L204="F",$C204="S",LEN($Q204)&gt;13),"Código &gt;13",
IF(AND(Import.TipoArredondamento="TransfereGOV",$L204="F",$C204&lt;&gt;"S",LEN($R204)&gt;100),"Descrição &gt;100",
IF(AND(Import.TipoArredondamento="TransfereGOV",$L204="F",$C204="S",LEN($R204)&gt;500),"Descrição &gt;500",
IF(AND(Import.TipoArredondamento="TransfereGOV",$L204="F",$C204="S",LEFT(TRIM(UPPER($P204)),6)&lt;&gt;"SINAPI",ISNA(VLOOKUP(TRIM(UPPER($S204)),ListaTgov.Unidades,1,FALSE))),"Unid. Não Disp",
" "))))))))))))))))</f>
        <v>SEM CUSTO</v>
      </c>
      <c r="AD204" t="str">
        <f ca="1">IF(C204&lt;=CRONO.NivelExibicao,MAX($AD$15:OFFSET(AD204,-1,0))+IF($C204&lt;&gt;1,1,MAX(1,COUNTIF(QCI!$A$13:$A$24,OFFSET($E204,-1,0)))),"")</f>
        <v/>
      </c>
      <c r="AE204" s="7" t="str">
        <f ca="1">IF(AND($C204="S",ORÇAMENTO.CodBarra&lt;&gt;""),IF(ORÇAMENTO.Fonte="",ORÇAMENTO.CodBarra,CONCATENATE(ORÇAMENTO.Fonte," ",ORÇAMENTO.CodBarra)))</f>
        <v>SINAPI 89357</v>
      </c>
      <c r="AF204" s="12" t="str">
        <f ca="1">IF(ISERROR(INDIRECT(ORÇAMENTO.BancoRef)),"(abra o arquivo 'Referência "&amp;Excel_BuiltIn_Database&amp;".xlsm)",IF(OR($C204&lt;&gt;"S",ORÇAMENTO.CodBarra=""),"(Sem Código)",IF(ISERROR(MATCH($AE204,INDIRECT(ORÇAMENTO.BancoRef),0)),"(Código não identificado nas referências)",MATCH($AE204,INDIRECT(ORÇAMENTO.BancoRef),0))))</f>
        <v>(abra o arquivo 'Referência 12-2024.xlsm)</v>
      </c>
      <c r="AG204" s="429">
        <f ca="1">ROUND(IF(DESONERACAO="sim",REFERENCIA.Desonerado,REFERENCIA.NaoDesonerado),2)</f>
        <v>0</v>
      </c>
      <c r="AH204" s="430">
        <f t="shared" ca="1" si="48"/>
        <v>0.31190000000000001</v>
      </c>
      <c r="AJ204" s="432">
        <v>152.80000000000001</v>
      </c>
      <c r="AL204" s="440"/>
      <c r="AM204" s="337">
        <f t="shared" ca="1" si="0"/>
        <v>0</v>
      </c>
      <c r="AN204" s="471">
        <f t="shared" ca="1" si="49"/>
        <v>0</v>
      </c>
    </row>
    <row r="205" spans="1:40" ht="38.25" x14ac:dyDescent="0.2">
      <c r="A205" t="str">
        <f t="shared" si="34"/>
        <v>S</v>
      </c>
      <c r="B205">
        <f t="shared" ca="1" si="35"/>
        <v>3</v>
      </c>
      <c r="C205" t="str">
        <f t="shared" ca="1" si="36"/>
        <v>S</v>
      </c>
      <c r="D205">
        <f t="shared" ca="1" si="37"/>
        <v>0</v>
      </c>
      <c r="E205">
        <f ca="1">IF($C205=1,OFFSET(E205,-1,0)+MAX(1,COUNTIF(QCI!$A$13:$A$24,OFFSET(ORÇAMENTO!E205,-1,0))),OFFSET(E205,-1,0))</f>
        <v>1</v>
      </c>
      <c r="F205">
        <f t="shared" ca="1" si="38"/>
        <v>11</v>
      </c>
      <c r="G205">
        <f t="shared" ca="1" si="39"/>
        <v>2</v>
      </c>
      <c r="H205">
        <f t="shared" ca="1" si="40"/>
        <v>0</v>
      </c>
      <c r="I205">
        <f t="shared" ca="1" si="41"/>
        <v>0</v>
      </c>
      <c r="J205">
        <f t="shared" ca="1" si="42"/>
        <v>0</v>
      </c>
      <c r="K205">
        <f ca="1">IF(OR($C205="S",$C205=0),0,MATCH(OFFSET($D205,0,$C205)+IF($C205&lt;&gt;1,1,COUNTIF(QCI!$A$13:$A$24,ORÇAMENTO!E205)),OFFSET($D205,1,$C205,ROW($C$405)-ROW($C205)),0))</f>
        <v>0</v>
      </c>
      <c r="L205" s="115" t="str">
        <f t="shared" ca="1" si="43"/>
        <v/>
      </c>
      <c r="M205" s="116" t="s">
        <v>706</v>
      </c>
      <c r="N205" s="117" t="str">
        <f t="shared" ca="1" si="44"/>
        <v>Serviço</v>
      </c>
      <c r="O205" s="118" t="str">
        <f t="shared" ca="1" si="45"/>
        <v>-</v>
      </c>
      <c r="P205" s="119" t="s">
        <v>751</v>
      </c>
      <c r="Q205" s="120" t="s">
        <v>1109</v>
      </c>
      <c r="R205" s="121" t="s">
        <v>1485</v>
      </c>
      <c r="S205" s="122" t="s">
        <v>621</v>
      </c>
      <c r="T205" s="123">
        <f ca="1">OFFSET(CÁLCULO!H$15,ROW($T205)-ROW(T$15),0)</f>
        <v>137</v>
      </c>
      <c r="U205" s="124"/>
      <c r="V205" s="125" t="s">
        <v>663</v>
      </c>
      <c r="W205" s="123">
        <f ca="1">IF($C205="S",ROUND(IF(TIPOORCAMENTO="Proposto",ORÇAMENTO.CustoUnitario*(1+$AH205),ORÇAMENTO.PrecoUnitarioLicitado),15-13*$AF$10),0)</f>
        <v>0</v>
      </c>
      <c r="X205" s="126" cm="1">
        <f t="array" aca="1" ref="X205" ca="1">IF($C205="S",IF(OR(Import.TipoArredondamento&lt;&gt;"TransfereGOV",ACOMPANHAMENTO="BM"),VTOTAL1,SUM(OFFSET(CÁLCULO!$AA$15,ROW($X205)-ROW($X$15),1):OFFSET(CÁLCULO!$AL$15,ROW($X205)-ROW($X$15),-1))),IF($C205=0,0,ROUND(SomaAgrup,15-13*$AF$11)))</f>
        <v>0</v>
      </c>
      <c r="Y205" s="127" t="s">
        <v>752</v>
      </c>
      <c r="Z205" t="str">
        <f t="shared" ca="1" si="46"/>
        <v/>
      </c>
      <c r="AA205" s="128">
        <f ca="1">IF($C205="S",IF($Z205="CP",$X205,IF($Z205="RA",(($X205)*QCI!$AA$3),0)),SomaAgrup)</f>
        <v>0</v>
      </c>
      <c r="AB205" s="129">
        <f t="shared" ca="1" si="47"/>
        <v>0</v>
      </c>
      <c r="AC205" s="567" t="str">
        <f ca="1">IF($N205=""," ",
IF(AND($C205&lt;&gt;"S",OR($R205="",$R205="(digite a descrição aqui)")),"DESCRIÇÃO",
IF(AND($C205="S",OR($Q205&lt;&gt;0,$T205&gt;0,$U205&gt;0),$P205=0),"FONTE",
IF(AND($C205="S",$P205&lt;&gt;0,OR($T205&gt;0,$U205&gt;0),$Q205=0),"CÓDIGO",
IF(AND($C205="S",$P205&lt;&gt;0,$Q205&lt;&gt;0,$R205="(Código não identificado nas referências)"),"CÓDIGO N/ID",
IF(AND($C205="S",OR($R205="",$R205="(digite a descrição aqui)"),OR($Q205&lt;&gt;0,$T205&gt;0,$U205&gt;0)),"DESCRIÇÃO",
IF(AND($C205="S",$P205&lt;&gt;0,$Q205&lt;&gt;0,$S205=""),"UNIDADE",
IF(AND($C205="S",$P205&lt;&gt;0,$Q205&lt;&gt;0,$U205=0),"SEM CUSTO",
IF(AND(TIPOORCAMENTO="Licitado",$AL205=0,$AN205&gt;0),"SEM PREÇO",
IF(AND($C205="S",$P205&lt;&gt;0,$Q205&lt;&gt;0,$U205&gt;0,$V205=0),"BDI",
IF(OR(AND(TIPOORCAMENTO="Proposto",$AG205&lt;&gt;"",$AG205&gt;0,ORÇAMENTO.CustoUnitario&gt;$AG205),AND(TIPOORCAMENTO="LICITADO",ORÇAMENTO.PrecoUnitarioLicitado&gt;$AN205)),"ACIMA REF.",
IF(AND($C205="S",$P205&lt;&gt;0,$Q205&lt;&gt;0,$T205=0,$U205&gt;0),"QUANT.",
IF(AND(Import.TipoArredondamento="TransfereGOV",$L205="F",$C205="S",LEN($Q205)&gt;13),"Código &gt;13",
IF(AND(Import.TipoArredondamento="TransfereGOV",$L205="F",$C205&lt;&gt;"S",LEN($R205)&gt;100),"Descrição &gt;100",
IF(AND(Import.TipoArredondamento="TransfereGOV",$L205="F",$C205="S",LEN($R205)&gt;500),"Descrição &gt;500",
IF(AND(Import.TipoArredondamento="TransfereGOV",$L205="F",$C205="S",LEFT(TRIM(UPPER($P205)),6)&lt;&gt;"SINAPI",ISNA(VLOOKUP(TRIM(UPPER($S205)),ListaTgov.Unidades,1,FALSE))),"Unid. Não Disp",
" "))))))))))))))))</f>
        <v>SEM CUSTO</v>
      </c>
      <c r="AD205" t="str">
        <f ca="1">IF(C205&lt;=CRONO.NivelExibicao,MAX($AD$15:OFFSET(AD205,-1,0))+IF($C205&lt;&gt;1,1,MAX(1,COUNTIF(QCI!$A$13:$A$24,OFFSET($E205,-1,0)))),"")</f>
        <v/>
      </c>
      <c r="AE205" s="7" t="str">
        <f ca="1">IF(AND($C205="S",ORÇAMENTO.CodBarra&lt;&gt;""),IF(ORÇAMENTO.Fonte="",ORÇAMENTO.CodBarra,CONCATENATE(ORÇAMENTO.Fonte," ",ORÇAMENTO.CodBarra)))</f>
        <v>SINAPI 103978</v>
      </c>
      <c r="AF205" s="12" t="str">
        <f ca="1">IF(ISERROR(INDIRECT(ORÇAMENTO.BancoRef)),"(abra o arquivo 'Referência "&amp;Excel_BuiltIn_Database&amp;".xlsm)",IF(OR($C205&lt;&gt;"S",ORÇAMENTO.CodBarra=""),"(Sem Código)",IF(ISERROR(MATCH($AE205,INDIRECT(ORÇAMENTO.BancoRef),0)),"(Código não identificado nas referências)",MATCH($AE205,INDIRECT(ORÇAMENTO.BancoRef),0))))</f>
        <v>(abra o arquivo 'Referência 12-2024.xlsm)</v>
      </c>
      <c r="AG205" s="429">
        <f ca="1">ROUND(IF(DESONERACAO="sim",REFERENCIA.Desonerado,REFERENCIA.NaoDesonerado),2)</f>
        <v>0</v>
      </c>
      <c r="AH205" s="430">
        <f t="shared" ca="1" si="48"/>
        <v>0.31190000000000001</v>
      </c>
      <c r="AJ205" s="432">
        <v>137</v>
      </c>
      <c r="AL205" s="440"/>
      <c r="AM205" s="337">
        <f t="shared" ca="1" si="0"/>
        <v>0</v>
      </c>
      <c r="AN205" s="471">
        <f t="shared" ca="1" si="49"/>
        <v>0</v>
      </c>
    </row>
    <row r="206" spans="1:40" ht="25.5" x14ac:dyDescent="0.2">
      <c r="A206" t="str">
        <f t="shared" si="34"/>
        <v>S</v>
      </c>
      <c r="B206">
        <f t="shared" ca="1" si="35"/>
        <v>3</v>
      </c>
      <c r="C206" t="str">
        <f t="shared" ca="1" si="36"/>
        <v>S</v>
      </c>
      <c r="D206">
        <f t="shared" ca="1" si="37"/>
        <v>0</v>
      </c>
      <c r="E206">
        <f ca="1">IF($C206=1,OFFSET(E206,-1,0)+MAX(1,COUNTIF(QCI!$A$13:$A$24,OFFSET(ORÇAMENTO!E206,-1,0))),OFFSET(E206,-1,0))</f>
        <v>1</v>
      </c>
      <c r="F206">
        <f t="shared" ca="1" si="38"/>
        <v>11</v>
      </c>
      <c r="G206">
        <f t="shared" ca="1" si="39"/>
        <v>2</v>
      </c>
      <c r="H206">
        <f t="shared" ca="1" si="40"/>
        <v>0</v>
      </c>
      <c r="I206">
        <f t="shared" ca="1" si="41"/>
        <v>0</v>
      </c>
      <c r="J206">
        <f t="shared" ca="1" si="42"/>
        <v>0</v>
      </c>
      <c r="K206">
        <f ca="1">IF(OR($C206="S",$C206=0),0,MATCH(OFFSET($D206,0,$C206)+IF($C206&lt;&gt;1,1,COUNTIF(QCI!$A$13:$A$24,ORÇAMENTO!E206)),OFFSET($D206,1,$C206,ROW($C$405)-ROW($C206)),0))</f>
        <v>0</v>
      </c>
      <c r="L206" s="115" t="str">
        <f t="shared" ca="1" si="43"/>
        <v/>
      </c>
      <c r="M206" s="116" t="s">
        <v>706</v>
      </c>
      <c r="N206" s="117" t="str">
        <f t="shared" ca="1" si="44"/>
        <v>Serviço</v>
      </c>
      <c r="O206" s="118" t="str">
        <f t="shared" ca="1" si="45"/>
        <v>-</v>
      </c>
      <c r="P206" s="119" t="s">
        <v>751</v>
      </c>
      <c r="Q206" s="120" t="s">
        <v>1110</v>
      </c>
      <c r="R206" s="121" t="s">
        <v>1486</v>
      </c>
      <c r="S206" s="122" t="s">
        <v>639</v>
      </c>
      <c r="T206" s="123">
        <f ca="1">OFFSET(CÁLCULO!H$15,ROW($T206)-ROW(T$15),0)</f>
        <v>5</v>
      </c>
      <c r="U206" s="124"/>
      <c r="V206" s="125" t="s">
        <v>663</v>
      </c>
      <c r="W206" s="123">
        <f ca="1">IF($C206="S",ROUND(IF(TIPOORCAMENTO="Proposto",ORÇAMENTO.CustoUnitario*(1+$AH206),ORÇAMENTO.PrecoUnitarioLicitado),15-13*$AF$10),0)</f>
        <v>0</v>
      </c>
      <c r="X206" s="126" cm="1">
        <f t="array" aca="1" ref="X206" ca="1">IF($C206="S",IF(OR(Import.TipoArredondamento&lt;&gt;"TransfereGOV",ACOMPANHAMENTO="BM"),VTOTAL1,SUM(OFFSET(CÁLCULO!$AA$15,ROW($X206)-ROW($X$15),1):OFFSET(CÁLCULO!$AL$15,ROW($X206)-ROW($X$15),-1))),IF($C206=0,0,ROUND(SomaAgrup,15-13*$AF$11)))</f>
        <v>0</v>
      </c>
      <c r="Y206" s="127" t="s">
        <v>752</v>
      </c>
      <c r="Z206" t="str">
        <f t="shared" ca="1" si="46"/>
        <v/>
      </c>
      <c r="AA206" s="128">
        <f ca="1">IF($C206="S",IF($Z206="CP",$X206,IF($Z206="RA",(($X206)*QCI!$AA$3),0)),SomaAgrup)</f>
        <v>0</v>
      </c>
      <c r="AB206" s="129">
        <f t="shared" ca="1" si="47"/>
        <v>0</v>
      </c>
      <c r="AC206" s="567" t="str">
        <f ca="1">IF($N206=""," ",
IF(AND($C206&lt;&gt;"S",OR($R206="",$R206="(digite a descrição aqui)")),"DESCRIÇÃO",
IF(AND($C206="S",OR($Q206&lt;&gt;0,$T206&gt;0,$U206&gt;0),$P206=0),"FONTE",
IF(AND($C206="S",$P206&lt;&gt;0,OR($T206&gt;0,$U206&gt;0),$Q206=0),"CÓDIGO",
IF(AND($C206="S",$P206&lt;&gt;0,$Q206&lt;&gt;0,$R206="(Código não identificado nas referências)"),"CÓDIGO N/ID",
IF(AND($C206="S",OR($R206="",$R206="(digite a descrição aqui)"),OR($Q206&lt;&gt;0,$T206&gt;0,$U206&gt;0)),"DESCRIÇÃO",
IF(AND($C206="S",$P206&lt;&gt;0,$Q206&lt;&gt;0,$S206=""),"UNIDADE",
IF(AND($C206="S",$P206&lt;&gt;0,$Q206&lt;&gt;0,$U206=0),"SEM CUSTO",
IF(AND(TIPOORCAMENTO="Licitado",$AL206=0,$AN206&gt;0),"SEM PREÇO",
IF(AND($C206="S",$P206&lt;&gt;0,$Q206&lt;&gt;0,$U206&gt;0,$V206=0),"BDI",
IF(OR(AND(TIPOORCAMENTO="Proposto",$AG206&lt;&gt;"",$AG206&gt;0,ORÇAMENTO.CustoUnitario&gt;$AG206),AND(TIPOORCAMENTO="LICITADO",ORÇAMENTO.PrecoUnitarioLicitado&gt;$AN206)),"ACIMA REF.",
IF(AND($C206="S",$P206&lt;&gt;0,$Q206&lt;&gt;0,$T206=0,$U206&gt;0),"QUANT.",
IF(AND(Import.TipoArredondamento="TransfereGOV",$L206="F",$C206="S",LEN($Q206)&gt;13),"Código &gt;13",
IF(AND(Import.TipoArredondamento="TransfereGOV",$L206="F",$C206&lt;&gt;"S",LEN($R206)&gt;100),"Descrição &gt;100",
IF(AND(Import.TipoArredondamento="TransfereGOV",$L206="F",$C206="S",LEN($R206)&gt;500),"Descrição &gt;500",
IF(AND(Import.TipoArredondamento="TransfereGOV",$L206="F",$C206="S",LEFT(TRIM(UPPER($P206)),6)&lt;&gt;"SINAPI",ISNA(VLOOKUP(TRIM(UPPER($S206)),ListaTgov.Unidades,1,FALSE))),"Unid. Não Disp",
" "))))))))))))))))</f>
        <v>SEM CUSTO</v>
      </c>
      <c r="AD206" t="str">
        <f ca="1">IF(C206&lt;=CRONO.NivelExibicao,MAX($AD$15:OFFSET(AD206,-1,0))+IF($C206&lt;&gt;1,1,MAX(1,COUNTIF(QCI!$A$13:$A$24,OFFSET($E206,-1,0)))),"")</f>
        <v/>
      </c>
      <c r="AE206" s="7" t="str">
        <f ca="1">IF(AND($C206="S",ORÇAMENTO.CodBarra&lt;&gt;""),IF(ORÇAMENTO.Fonte="",ORÇAMENTO.CodBarra,CONCATENATE(ORÇAMENTO.Fonte," ",ORÇAMENTO.CodBarra)))</f>
        <v>SINAPI 94690</v>
      </c>
      <c r="AF206" s="12" t="str">
        <f ca="1">IF(ISERROR(INDIRECT(ORÇAMENTO.BancoRef)),"(abra o arquivo 'Referência "&amp;Excel_BuiltIn_Database&amp;".xlsm)",IF(OR($C206&lt;&gt;"S",ORÇAMENTO.CodBarra=""),"(Sem Código)",IF(ISERROR(MATCH($AE206,INDIRECT(ORÇAMENTO.BancoRef),0)),"(Código não identificado nas referências)",MATCH($AE206,INDIRECT(ORÇAMENTO.BancoRef),0))))</f>
        <v>(abra o arquivo 'Referência 12-2024.xlsm)</v>
      </c>
      <c r="AG206" s="429">
        <f ca="1">ROUND(IF(DESONERACAO="sim",REFERENCIA.Desonerado,REFERENCIA.NaoDesonerado),2)</f>
        <v>0</v>
      </c>
      <c r="AH206" s="430">
        <f t="shared" ca="1" si="48"/>
        <v>0.31190000000000001</v>
      </c>
      <c r="AJ206" s="432">
        <v>5</v>
      </c>
      <c r="AL206" s="440"/>
      <c r="AM206" s="337">
        <f t="shared" ca="1" si="0"/>
        <v>0</v>
      </c>
      <c r="AN206" s="471">
        <f t="shared" ca="1" si="49"/>
        <v>0</v>
      </c>
    </row>
    <row r="207" spans="1:40" ht="25.5" x14ac:dyDescent="0.2">
      <c r="A207" t="str">
        <f t="shared" ref="A207:A271" si="50">CHOOSE(1+LOG(1+2*(ORÇAMENTO.Nivel="Meta")+4*(ORÇAMENTO.Nivel="Nível 2")+8*(ORÇAMENTO.Nivel="Nível 3")+16*(ORÇAMENTO.Nivel="Nível 4")+32*(ORÇAMENTO.Nivel="Serviço"),2),0,1,2,3,4,"S")</f>
        <v>S</v>
      </c>
      <c r="B207">
        <f t="shared" ref="B207:B271" ca="1" si="51">IF(OR(C207="s",C207=0),OFFSET(B207,-1,0),C207)</f>
        <v>3</v>
      </c>
      <c r="C207" t="str">
        <f t="shared" ref="C207:C271" ca="1" si="52">IF(OFFSET(C207,-1,0)="L",1,IF(OFFSET(C207,-1,0)=1,2,IF(OR(A207="s",A207=0),"S",IF(AND(OFFSET(C207,-1,0)=2,A207=4),3,IF(AND(OR(OFFSET(C207,-1,0)="s",OFFSET(C207,-1,0)=0),A207&lt;&gt;"s",A207&gt;OFFSET(B207,-1,0)),OFFSET(B207,-1,0),A207)))))</f>
        <v>S</v>
      </c>
      <c r="D207">
        <f t="shared" ref="D207:D271" ca="1" si="53">IF(OR(C207="S",C207=0),0,IF(ISERROR(K207),J207,SMALL(J207:K207,1)))</f>
        <v>0</v>
      </c>
      <c r="E207">
        <f ca="1">IF($C207=1,OFFSET(E207,-1,0)+MAX(1,COUNTIF(QCI!$A$13:$A$24,OFFSET(ORÇAMENTO!E207,-1,0))),OFFSET(E207,-1,0))</f>
        <v>1</v>
      </c>
      <c r="F207">
        <f t="shared" ref="F207:F271" ca="1" si="54">IF($C207=1,0,IF($C207=2,OFFSET(F207,-1,0)+1,OFFSET(F207,-1,0)))</f>
        <v>11</v>
      </c>
      <c r="G207">
        <f t="shared" ref="G207:G271" ca="1" si="55">IF(AND($C207&lt;=2,$C207&lt;&gt;0),0,IF($C207=3,OFFSET(G207,-1,0)+1,OFFSET(G207,-1,0)))</f>
        <v>2</v>
      </c>
      <c r="H207">
        <f t="shared" ref="H207:H271" ca="1" si="56">IF(AND($C207&lt;=3,$C207&lt;&gt;0),0,IF($C207=4,OFFSET(H207,-1,0)+1,OFFSET(H207,-1,0)))</f>
        <v>0</v>
      </c>
      <c r="I207">
        <f t="shared" ref="I207:I271" ca="1" si="57">IF(AND($C207&lt;=4,$C207&lt;&gt;0),0,IF(AND($C207="S",$X207&gt;0),OFFSET(I207,-1,0)+1,OFFSET(I207,-1,0)))</f>
        <v>0</v>
      </c>
      <c r="J207">
        <f t="shared" ref="J207:J271" ca="1" si="58">IF(OR($C207="S",$C207=0),0,MATCH(0,OFFSET($D207,1,$C207,ROW($C$405)-ROW($C207)),0))</f>
        <v>0</v>
      </c>
      <c r="K207">
        <f ca="1">IF(OR($C207="S",$C207=0),0,MATCH(OFFSET($D207,0,$C207)+IF($C207&lt;&gt;1,1,COUNTIF(QCI!$A$13:$A$24,ORÇAMENTO!E207)),OFFSET($D207,1,$C207,ROW($C$405)-ROW($C207)),0))</f>
        <v>0</v>
      </c>
      <c r="L207" s="115" t="str">
        <f t="shared" ref="L207:L271" ca="1" si="59">IF(OR($X207&gt;0,$C207=1,$C207=2,$C207=3,$C207=4),"F","")</f>
        <v/>
      </c>
      <c r="M207" s="116" t="s">
        <v>706</v>
      </c>
      <c r="N207" s="117" t="str">
        <f t="shared" ref="N207:N271" ca="1" si="60">CHOOSE(1+LOG(1+2*(C207=1)+4*(C207=2)+8*(C207=3)+16*(C207=4)+32*(C207="S"),2),"","Meta","Nível 2","Nível 3","Nível 4","Serviço")</f>
        <v>Serviço</v>
      </c>
      <c r="O207" s="118" t="str">
        <f t="shared" ref="O207:O271" ca="1" si="61">IF(OR($C207=0,$L207=""),"-",CONCATENATE(E207&amp;".",IF(AND($A$5&gt;=2,$C207&gt;=2),F207&amp;".",""),IF(AND($A$5&gt;=3,$C207&gt;=3),G207&amp;".",""),IF(AND($A$5&gt;=4,$C207&gt;=4),H207&amp;".",""),IF($C207="S",I207&amp;".","")))</f>
        <v>-</v>
      </c>
      <c r="P207" s="119" t="s">
        <v>751</v>
      </c>
      <c r="Q207" s="120" t="s">
        <v>1111</v>
      </c>
      <c r="R207" s="121" t="s">
        <v>1487</v>
      </c>
      <c r="S207" s="122" t="s">
        <v>639</v>
      </c>
      <c r="T207" s="123">
        <f ca="1">OFFSET(CÁLCULO!H$15,ROW($T207)-ROW(T$15),0)</f>
        <v>1</v>
      </c>
      <c r="U207" s="124"/>
      <c r="V207" s="125" t="s">
        <v>663</v>
      </c>
      <c r="W207" s="123">
        <f ca="1">IF($C207="S",ROUND(IF(TIPOORCAMENTO="Proposto",ORÇAMENTO.CustoUnitario*(1+$AH207),ORÇAMENTO.PrecoUnitarioLicitado),15-13*$AF$10),0)</f>
        <v>0</v>
      </c>
      <c r="X207" s="126" cm="1">
        <f t="array" aca="1" ref="X207" ca="1">IF($C207="S",IF(OR(Import.TipoArredondamento&lt;&gt;"TransfereGOV",ACOMPANHAMENTO="BM"),VTOTAL1,SUM(OFFSET(CÁLCULO!$AA$15,ROW($X207)-ROW($X$15),1):OFFSET(CÁLCULO!$AL$15,ROW($X207)-ROW($X$15),-1))),IF($C207=0,0,ROUND(SomaAgrup,15-13*$AF$11)))</f>
        <v>0</v>
      </c>
      <c r="Y207" s="127" t="s">
        <v>752</v>
      </c>
      <c r="Z207" t="str">
        <f t="shared" ref="Z207:Z271" ca="1" si="62">IF(AND($C207="S",$X207&gt;0),IF(ISBLANK($Y207),"RA",LEFT($Y207,2)),"")</f>
        <v/>
      </c>
      <c r="AA207" s="128">
        <f ca="1">IF($C207="S",IF($Z207="CP",$X207,IF($Z207="RA",(($X207)*QCI!$AA$3),0)),SomaAgrup)</f>
        <v>0</v>
      </c>
      <c r="AB207" s="129">
        <f t="shared" ref="AB207:AB271" ca="1" si="63">IF($C207="S",IF($Z207="OU",ROUND($X207,2),0),SomaAgrup)</f>
        <v>0</v>
      </c>
      <c r="AC207" s="567" t="str">
        <f ca="1">IF($N207=""," ",
IF(AND($C207&lt;&gt;"S",OR($R207="",$R207="(digite a descrição aqui)")),"DESCRIÇÃO",
IF(AND($C207="S",OR($Q207&lt;&gt;0,$T207&gt;0,$U207&gt;0),$P207=0),"FONTE",
IF(AND($C207="S",$P207&lt;&gt;0,OR($T207&gt;0,$U207&gt;0),$Q207=0),"CÓDIGO",
IF(AND($C207="S",$P207&lt;&gt;0,$Q207&lt;&gt;0,$R207="(Código não identificado nas referências)"),"CÓDIGO N/ID",
IF(AND($C207="S",OR($R207="",$R207="(digite a descrição aqui)"),OR($Q207&lt;&gt;0,$T207&gt;0,$U207&gt;0)),"DESCRIÇÃO",
IF(AND($C207="S",$P207&lt;&gt;0,$Q207&lt;&gt;0,$S207=""),"UNIDADE",
IF(AND($C207="S",$P207&lt;&gt;0,$Q207&lt;&gt;0,$U207=0),"SEM CUSTO",
IF(AND(TIPOORCAMENTO="Licitado",$AL207=0,$AN207&gt;0),"SEM PREÇO",
IF(AND($C207="S",$P207&lt;&gt;0,$Q207&lt;&gt;0,$U207&gt;0,$V207=0),"BDI",
IF(OR(AND(TIPOORCAMENTO="Proposto",$AG207&lt;&gt;"",$AG207&gt;0,ORÇAMENTO.CustoUnitario&gt;$AG207),AND(TIPOORCAMENTO="LICITADO",ORÇAMENTO.PrecoUnitarioLicitado&gt;$AN207)),"ACIMA REF.",
IF(AND($C207="S",$P207&lt;&gt;0,$Q207&lt;&gt;0,$T207=0,$U207&gt;0),"QUANT.",
IF(AND(Import.TipoArredondamento="TransfereGOV",$L207="F",$C207="S",LEN($Q207)&gt;13),"Código &gt;13",
IF(AND(Import.TipoArredondamento="TransfereGOV",$L207="F",$C207&lt;&gt;"S",LEN($R207)&gt;100),"Descrição &gt;100",
IF(AND(Import.TipoArredondamento="TransfereGOV",$L207="F",$C207="S",LEN($R207)&gt;500),"Descrição &gt;500",
IF(AND(Import.TipoArredondamento="TransfereGOV",$L207="F",$C207="S",LEFT(TRIM(UPPER($P207)),6)&lt;&gt;"SINAPI",ISNA(VLOOKUP(TRIM(UPPER($S207)),ListaTgov.Unidades,1,FALSE))),"Unid. Não Disp",
" "))))))))))))))))</f>
        <v>SEM CUSTO</v>
      </c>
      <c r="AD207" t="str">
        <f ca="1">IF(C207&lt;=CRONO.NivelExibicao,MAX($AD$15:OFFSET(AD207,-1,0))+IF($C207&lt;&gt;1,1,MAX(1,COUNTIF(QCI!$A$13:$A$24,OFFSET($E207,-1,0)))),"")</f>
        <v/>
      </c>
      <c r="AE207" s="7" t="str">
        <f ca="1">IF(AND($C207="S",ORÇAMENTO.CodBarra&lt;&gt;""),IF(ORÇAMENTO.Fonte="",ORÇAMENTO.CodBarra,CONCATENATE(ORÇAMENTO.Fonte," ",ORÇAMENTO.CodBarra)))</f>
        <v>SINAPI 89395</v>
      </c>
      <c r="AF207" s="12" t="str">
        <f ca="1">IF(ISERROR(INDIRECT(ORÇAMENTO.BancoRef)),"(abra o arquivo 'Referência "&amp;Excel_BuiltIn_Database&amp;".xlsm)",IF(OR($C207&lt;&gt;"S",ORÇAMENTO.CodBarra=""),"(Sem Código)",IF(ISERROR(MATCH($AE207,INDIRECT(ORÇAMENTO.BancoRef),0)),"(Código não identificado nas referências)",MATCH($AE207,INDIRECT(ORÇAMENTO.BancoRef),0))))</f>
        <v>(abra o arquivo 'Referência 12-2024.xlsm)</v>
      </c>
      <c r="AG207" s="429">
        <f ca="1">ROUND(IF(DESONERACAO="sim",REFERENCIA.Desonerado,REFERENCIA.NaoDesonerado),2)</f>
        <v>0</v>
      </c>
      <c r="AH207" s="430">
        <f t="shared" ref="AH207:AH271" ca="1" si="64">ROUND(IF(ISNUMBER(ORÇAMENTO.OpcaoBDI),ORÇAMENTO.OpcaoBDI,IF(LEFT(ORÇAMENTO.OpcaoBDI,3)="BDI",HLOOKUP(ORÇAMENTO.OpcaoBDI,$F$4:$H$5,2,FALSE),0)),15-11*$AF$9)</f>
        <v>0.31190000000000001</v>
      </c>
      <c r="AJ207" s="432">
        <v>1</v>
      </c>
      <c r="AL207" s="440"/>
      <c r="AM207" s="337">
        <f t="shared" ca="1" si="0"/>
        <v>0</v>
      </c>
      <c r="AN207" s="471">
        <f t="shared" ref="AN207:AN271" ca="1" si="65">ROUND(ORÇAMENTO.CustoUnitario*(1+$AH207),2)</f>
        <v>0</v>
      </c>
    </row>
    <row r="208" spans="1:40" ht="25.5" x14ac:dyDescent="0.2">
      <c r="A208" t="str">
        <f t="shared" si="50"/>
        <v>S</v>
      </c>
      <c r="B208">
        <f t="shared" ca="1" si="51"/>
        <v>3</v>
      </c>
      <c r="C208" t="str">
        <f t="shared" ca="1" si="52"/>
        <v>S</v>
      </c>
      <c r="D208">
        <f t="shared" ca="1" si="53"/>
        <v>0</v>
      </c>
      <c r="E208">
        <f ca="1">IF($C208=1,OFFSET(E208,-1,0)+MAX(1,COUNTIF(QCI!$A$13:$A$24,OFFSET(ORÇAMENTO!E208,-1,0))),OFFSET(E208,-1,0))</f>
        <v>1</v>
      </c>
      <c r="F208">
        <f t="shared" ca="1" si="54"/>
        <v>11</v>
      </c>
      <c r="G208">
        <f t="shared" ca="1" si="55"/>
        <v>2</v>
      </c>
      <c r="H208">
        <f t="shared" ca="1" si="56"/>
        <v>0</v>
      </c>
      <c r="I208">
        <f t="shared" ca="1" si="57"/>
        <v>0</v>
      </c>
      <c r="J208">
        <f t="shared" ca="1" si="58"/>
        <v>0</v>
      </c>
      <c r="K208">
        <f ca="1">IF(OR($C208="S",$C208=0),0,MATCH(OFFSET($D208,0,$C208)+IF($C208&lt;&gt;1,1,COUNTIF(QCI!$A$13:$A$24,ORÇAMENTO!E208)),OFFSET($D208,1,$C208,ROW($C$405)-ROW($C208)),0))</f>
        <v>0</v>
      </c>
      <c r="L208" s="115" t="str">
        <f t="shared" ca="1" si="59"/>
        <v/>
      </c>
      <c r="M208" s="116" t="s">
        <v>706</v>
      </c>
      <c r="N208" s="117" t="str">
        <f t="shared" ca="1" si="60"/>
        <v>Serviço</v>
      </c>
      <c r="O208" s="118" t="str">
        <f t="shared" ca="1" si="61"/>
        <v>-</v>
      </c>
      <c r="P208" s="119" t="s">
        <v>751</v>
      </c>
      <c r="Q208" s="120" t="s">
        <v>1112</v>
      </c>
      <c r="R208" s="121" t="s">
        <v>1488</v>
      </c>
      <c r="S208" s="122" t="s">
        <v>639</v>
      </c>
      <c r="T208" s="123">
        <f ca="1">OFFSET(CÁLCULO!H$15,ROW($T208)-ROW(T$15),0)</f>
        <v>1</v>
      </c>
      <c r="U208" s="124"/>
      <c r="V208" s="125" t="s">
        <v>663</v>
      </c>
      <c r="W208" s="123">
        <f ca="1">IF($C208="S",ROUND(IF(TIPOORCAMENTO="Proposto",ORÇAMENTO.CustoUnitario*(1+$AH208),ORÇAMENTO.PrecoUnitarioLicitado),15-13*$AF$10),0)</f>
        <v>0</v>
      </c>
      <c r="X208" s="126" cm="1">
        <f t="array" aca="1" ref="X208" ca="1">IF($C208="S",IF(OR(Import.TipoArredondamento&lt;&gt;"TransfereGOV",ACOMPANHAMENTO="BM"),VTOTAL1,SUM(OFFSET(CÁLCULO!$AA$15,ROW($X208)-ROW($X$15),1):OFFSET(CÁLCULO!$AL$15,ROW($X208)-ROW($X$15),-1))),IF($C208=0,0,ROUND(SomaAgrup,15-13*$AF$11)))</f>
        <v>0</v>
      </c>
      <c r="Y208" s="127" t="s">
        <v>752</v>
      </c>
      <c r="Z208" t="str">
        <f t="shared" ca="1" si="62"/>
        <v/>
      </c>
      <c r="AA208" s="128">
        <f ca="1">IF($C208="S",IF($Z208="CP",$X208,IF($Z208="RA",(($X208)*QCI!$AA$3),0)),SomaAgrup)</f>
        <v>0</v>
      </c>
      <c r="AB208" s="129">
        <f t="shared" ca="1" si="63"/>
        <v>0</v>
      </c>
      <c r="AC208" s="567" t="str">
        <f ca="1">IF($N208=""," ",
IF(AND($C208&lt;&gt;"S",OR($R208="",$R208="(digite a descrição aqui)")),"DESCRIÇÃO",
IF(AND($C208="S",OR($Q208&lt;&gt;0,$T208&gt;0,$U208&gt;0),$P208=0),"FONTE",
IF(AND($C208="S",$P208&lt;&gt;0,OR($T208&gt;0,$U208&gt;0),$Q208=0),"CÓDIGO",
IF(AND($C208="S",$P208&lt;&gt;0,$Q208&lt;&gt;0,$R208="(Código não identificado nas referências)"),"CÓDIGO N/ID",
IF(AND($C208="S",OR($R208="",$R208="(digite a descrição aqui)"),OR($Q208&lt;&gt;0,$T208&gt;0,$U208&gt;0)),"DESCRIÇÃO",
IF(AND($C208="S",$P208&lt;&gt;0,$Q208&lt;&gt;0,$S208=""),"UNIDADE",
IF(AND($C208="S",$P208&lt;&gt;0,$Q208&lt;&gt;0,$U208=0),"SEM CUSTO",
IF(AND(TIPOORCAMENTO="Licitado",$AL208=0,$AN208&gt;0),"SEM PREÇO",
IF(AND($C208="S",$P208&lt;&gt;0,$Q208&lt;&gt;0,$U208&gt;0,$V208=0),"BDI",
IF(OR(AND(TIPOORCAMENTO="Proposto",$AG208&lt;&gt;"",$AG208&gt;0,ORÇAMENTO.CustoUnitario&gt;$AG208),AND(TIPOORCAMENTO="LICITADO",ORÇAMENTO.PrecoUnitarioLicitado&gt;$AN208)),"ACIMA REF.",
IF(AND($C208="S",$P208&lt;&gt;0,$Q208&lt;&gt;0,$T208=0,$U208&gt;0),"QUANT.",
IF(AND(Import.TipoArredondamento="TransfereGOV",$L208="F",$C208="S",LEN($Q208)&gt;13),"Código &gt;13",
IF(AND(Import.TipoArredondamento="TransfereGOV",$L208="F",$C208&lt;&gt;"S",LEN($R208)&gt;100),"Descrição &gt;100",
IF(AND(Import.TipoArredondamento="TransfereGOV",$L208="F",$C208="S",LEN($R208)&gt;500),"Descrição &gt;500",
IF(AND(Import.TipoArredondamento="TransfereGOV",$L208="F",$C208="S",LEFT(TRIM(UPPER($P208)),6)&lt;&gt;"SINAPI",ISNA(VLOOKUP(TRIM(UPPER($S208)),ListaTgov.Unidades,1,FALSE))),"Unid. Não Disp",
" "))))))))))))))))</f>
        <v>SEM CUSTO</v>
      </c>
      <c r="AD208" t="str">
        <f ca="1">IF(C208&lt;=CRONO.NivelExibicao,MAX($AD$15:OFFSET(AD208,-1,0))+IF($C208&lt;&gt;1,1,MAX(1,COUNTIF(QCI!$A$13:$A$24,OFFSET($E208,-1,0)))),"")</f>
        <v/>
      </c>
      <c r="AE208" s="7" t="str">
        <f ca="1">IF(AND($C208="S",ORÇAMENTO.CodBarra&lt;&gt;""),IF(ORÇAMENTO.Fonte="",ORÇAMENTO.CodBarra,CONCATENATE(ORÇAMENTO.Fonte," ",ORÇAMENTO.CodBarra)))</f>
        <v>SINAPI 94692</v>
      </c>
      <c r="AF208" s="12" t="str">
        <f ca="1">IF(ISERROR(INDIRECT(ORÇAMENTO.BancoRef)),"(abra o arquivo 'Referência "&amp;Excel_BuiltIn_Database&amp;".xlsm)",IF(OR($C208&lt;&gt;"S",ORÇAMENTO.CodBarra=""),"(Sem Código)",IF(ISERROR(MATCH($AE208,INDIRECT(ORÇAMENTO.BancoRef),0)),"(Código não identificado nas referências)",MATCH($AE208,INDIRECT(ORÇAMENTO.BancoRef),0))))</f>
        <v>(abra o arquivo 'Referência 12-2024.xlsm)</v>
      </c>
      <c r="AG208" s="429">
        <f ca="1">ROUND(IF(DESONERACAO="sim",REFERENCIA.Desonerado,REFERENCIA.NaoDesonerado),2)</f>
        <v>0</v>
      </c>
      <c r="AH208" s="430">
        <f t="shared" ca="1" si="64"/>
        <v>0.31190000000000001</v>
      </c>
      <c r="AJ208" s="432">
        <v>1</v>
      </c>
      <c r="AL208" s="440"/>
      <c r="AM208" s="337">
        <f t="shared" ca="1" si="0"/>
        <v>0</v>
      </c>
      <c r="AN208" s="471">
        <f t="shared" ca="1" si="65"/>
        <v>0</v>
      </c>
    </row>
    <row r="209" spans="1:40" ht="25.5" x14ac:dyDescent="0.2">
      <c r="A209" t="str">
        <f t="shared" si="50"/>
        <v>S</v>
      </c>
      <c r="B209">
        <f t="shared" ca="1" si="51"/>
        <v>3</v>
      </c>
      <c r="C209" t="str">
        <f t="shared" ca="1" si="52"/>
        <v>S</v>
      </c>
      <c r="D209">
        <f t="shared" ca="1" si="53"/>
        <v>0</v>
      </c>
      <c r="E209">
        <f ca="1">IF($C209=1,OFFSET(E209,-1,0)+MAX(1,COUNTIF(QCI!$A$13:$A$24,OFFSET(ORÇAMENTO!E209,-1,0))),OFFSET(E209,-1,0))</f>
        <v>1</v>
      </c>
      <c r="F209">
        <f t="shared" ca="1" si="54"/>
        <v>11</v>
      </c>
      <c r="G209">
        <f t="shared" ca="1" si="55"/>
        <v>2</v>
      </c>
      <c r="H209">
        <f t="shared" ca="1" si="56"/>
        <v>0</v>
      </c>
      <c r="I209">
        <f t="shared" ca="1" si="57"/>
        <v>0</v>
      </c>
      <c r="J209">
        <f t="shared" ca="1" si="58"/>
        <v>0</v>
      </c>
      <c r="K209">
        <f ca="1">IF(OR($C209="S",$C209=0),0,MATCH(OFFSET($D209,0,$C209)+IF($C209&lt;&gt;1,1,COUNTIF(QCI!$A$13:$A$24,ORÇAMENTO!E209)),OFFSET($D209,1,$C209,ROW($C$405)-ROW($C209)),0))</f>
        <v>0</v>
      </c>
      <c r="L209" s="115" t="str">
        <f t="shared" ca="1" si="59"/>
        <v/>
      </c>
      <c r="M209" s="116" t="s">
        <v>706</v>
      </c>
      <c r="N209" s="117" t="str">
        <f t="shared" ca="1" si="60"/>
        <v>Serviço</v>
      </c>
      <c r="O209" s="118" t="str">
        <f t="shared" ca="1" si="61"/>
        <v>-</v>
      </c>
      <c r="P209" s="119" t="s">
        <v>751</v>
      </c>
      <c r="Q209" s="120" t="s">
        <v>1113</v>
      </c>
      <c r="R209" s="121" t="s">
        <v>1489</v>
      </c>
      <c r="S209" s="122" t="s">
        <v>639</v>
      </c>
      <c r="T209" s="123">
        <f ca="1">OFFSET(CÁLCULO!H$15,ROW($T209)-ROW(T$15),0)</f>
        <v>39</v>
      </c>
      <c r="U209" s="124"/>
      <c r="V209" s="125" t="s">
        <v>663</v>
      </c>
      <c r="W209" s="123">
        <f ca="1">IF($C209="S",ROUND(IF(TIPOORCAMENTO="Proposto",ORÇAMENTO.CustoUnitario*(1+$AH209),ORÇAMENTO.PrecoUnitarioLicitado),15-13*$AF$10),0)</f>
        <v>0</v>
      </c>
      <c r="X209" s="126" cm="1">
        <f t="array" aca="1" ref="X209" ca="1">IF($C209="S",IF(OR(Import.TipoArredondamento&lt;&gt;"TransfereGOV",ACOMPANHAMENTO="BM"),VTOTAL1,SUM(OFFSET(CÁLCULO!$AA$15,ROW($X209)-ROW($X$15),1):OFFSET(CÁLCULO!$AL$15,ROW($X209)-ROW($X$15),-1))),IF($C209=0,0,ROUND(SomaAgrup,15-13*$AF$11)))</f>
        <v>0</v>
      </c>
      <c r="Y209" s="127" t="s">
        <v>752</v>
      </c>
      <c r="Z209" t="str">
        <f t="shared" ca="1" si="62"/>
        <v/>
      </c>
      <c r="AA209" s="128">
        <f ca="1">IF($C209="S",IF($Z209="CP",$X209,IF($Z209="RA",(($X209)*QCI!$AA$3),0)),SomaAgrup)</f>
        <v>0</v>
      </c>
      <c r="AB209" s="129">
        <f t="shared" ca="1" si="63"/>
        <v>0</v>
      </c>
      <c r="AC209" s="567" t="str">
        <f ca="1">IF($N209=""," ",
IF(AND($C209&lt;&gt;"S",OR($R209="",$R209="(digite a descrição aqui)")),"DESCRIÇÃO",
IF(AND($C209="S",OR($Q209&lt;&gt;0,$T209&gt;0,$U209&gt;0),$P209=0),"FONTE",
IF(AND($C209="S",$P209&lt;&gt;0,OR($T209&gt;0,$U209&gt;0),$Q209=0),"CÓDIGO",
IF(AND($C209="S",$P209&lt;&gt;0,$Q209&lt;&gt;0,$R209="(Código não identificado nas referências)"),"CÓDIGO N/ID",
IF(AND($C209="S",OR($R209="",$R209="(digite a descrição aqui)"),OR($Q209&lt;&gt;0,$T209&gt;0,$U209&gt;0)),"DESCRIÇÃO",
IF(AND($C209="S",$P209&lt;&gt;0,$Q209&lt;&gt;0,$S209=""),"UNIDADE",
IF(AND($C209="S",$P209&lt;&gt;0,$Q209&lt;&gt;0,$U209=0),"SEM CUSTO",
IF(AND(TIPOORCAMENTO="Licitado",$AL209=0,$AN209&gt;0),"SEM PREÇO",
IF(AND($C209="S",$P209&lt;&gt;0,$Q209&lt;&gt;0,$U209&gt;0,$V209=0),"BDI",
IF(OR(AND(TIPOORCAMENTO="Proposto",$AG209&lt;&gt;"",$AG209&gt;0,ORÇAMENTO.CustoUnitario&gt;$AG209),AND(TIPOORCAMENTO="LICITADO",ORÇAMENTO.PrecoUnitarioLicitado&gt;$AN209)),"ACIMA REF.",
IF(AND($C209="S",$P209&lt;&gt;0,$Q209&lt;&gt;0,$T209=0,$U209&gt;0),"QUANT.",
IF(AND(Import.TipoArredondamento="TransfereGOV",$L209="F",$C209="S",LEN($Q209)&gt;13),"Código &gt;13",
IF(AND(Import.TipoArredondamento="TransfereGOV",$L209="F",$C209&lt;&gt;"S",LEN($R209)&gt;100),"Descrição &gt;100",
IF(AND(Import.TipoArredondamento="TransfereGOV",$L209="F",$C209="S",LEN($R209)&gt;500),"Descrição &gt;500",
IF(AND(Import.TipoArredondamento="TransfereGOV",$L209="F",$C209="S",LEFT(TRIM(UPPER($P209)),6)&lt;&gt;"SINAPI",ISNA(VLOOKUP(TRIM(UPPER($S209)),ListaTgov.Unidades,1,FALSE))),"Unid. Não Disp",
" "))))))))))))))))</f>
        <v>SEM CUSTO</v>
      </c>
      <c r="AD209" t="str">
        <f ca="1">IF(C209&lt;=CRONO.NivelExibicao,MAX($AD$15:OFFSET(AD209,-1,0))+IF($C209&lt;&gt;1,1,MAX(1,COUNTIF(QCI!$A$13:$A$24,OFFSET($E209,-1,0)))),"")</f>
        <v/>
      </c>
      <c r="AE209" s="7" t="str">
        <f ca="1">IF(AND($C209="S",ORÇAMENTO.CodBarra&lt;&gt;""),IF(ORÇAMENTO.Fonte="",ORÇAMENTO.CodBarra,CONCATENATE(ORÇAMENTO.Fonte," ",ORÇAMENTO.CodBarra)))</f>
        <v>SINAPI 94688</v>
      </c>
      <c r="AF209" s="12" t="str">
        <f ca="1">IF(ISERROR(INDIRECT(ORÇAMENTO.BancoRef)),"(abra o arquivo 'Referência "&amp;Excel_BuiltIn_Database&amp;".xlsm)",IF(OR($C209&lt;&gt;"S",ORÇAMENTO.CodBarra=""),"(Sem Código)",IF(ISERROR(MATCH($AE209,INDIRECT(ORÇAMENTO.BancoRef),0)),"(Código não identificado nas referências)",MATCH($AE209,INDIRECT(ORÇAMENTO.BancoRef),0))))</f>
        <v>(abra o arquivo 'Referência 12-2024.xlsm)</v>
      </c>
      <c r="AG209" s="429">
        <f ca="1">ROUND(IF(DESONERACAO="sim",REFERENCIA.Desonerado,REFERENCIA.NaoDesonerado),2)</f>
        <v>0</v>
      </c>
      <c r="AH209" s="430">
        <f t="shared" ca="1" si="64"/>
        <v>0.31190000000000001</v>
      </c>
      <c r="AJ209" s="432">
        <v>39</v>
      </c>
      <c r="AL209" s="440"/>
      <c r="AM209" s="337">
        <f t="shared" ca="1" si="0"/>
        <v>0</v>
      </c>
      <c r="AN209" s="471">
        <f t="shared" ca="1" si="65"/>
        <v>0</v>
      </c>
    </row>
    <row r="210" spans="1:40" ht="38.25" x14ac:dyDescent="0.2">
      <c r="A210" t="str">
        <f t="shared" si="50"/>
        <v>S</v>
      </c>
      <c r="B210">
        <f t="shared" ca="1" si="51"/>
        <v>3</v>
      </c>
      <c r="C210" t="str">
        <f t="shared" ca="1" si="52"/>
        <v>S</v>
      </c>
      <c r="D210">
        <f t="shared" ca="1" si="53"/>
        <v>0</v>
      </c>
      <c r="E210">
        <f ca="1">IF($C210=1,OFFSET(E210,-1,0)+MAX(1,COUNTIF(QCI!$A$13:$A$24,OFFSET(ORÇAMENTO!E210,-1,0))),OFFSET(E210,-1,0))</f>
        <v>1</v>
      </c>
      <c r="F210">
        <f t="shared" ca="1" si="54"/>
        <v>11</v>
      </c>
      <c r="G210">
        <f t="shared" ca="1" si="55"/>
        <v>2</v>
      </c>
      <c r="H210">
        <f t="shared" ca="1" si="56"/>
        <v>0</v>
      </c>
      <c r="I210">
        <f t="shared" ca="1" si="57"/>
        <v>0</v>
      </c>
      <c r="J210">
        <f t="shared" ca="1" si="58"/>
        <v>0</v>
      </c>
      <c r="K210">
        <f ca="1">IF(OR($C210="S",$C210=0),0,MATCH(OFFSET($D210,0,$C210)+IF($C210&lt;&gt;1,1,COUNTIF(QCI!$A$13:$A$24,ORÇAMENTO!E210)),OFFSET($D210,1,$C210,ROW($C$405)-ROW($C210)),0))</f>
        <v>0</v>
      </c>
      <c r="L210" s="115" t="str">
        <f t="shared" ca="1" si="59"/>
        <v/>
      </c>
      <c r="M210" s="116" t="s">
        <v>706</v>
      </c>
      <c r="N210" s="117" t="str">
        <f t="shared" ca="1" si="60"/>
        <v>Serviço</v>
      </c>
      <c r="O210" s="118" t="str">
        <f t="shared" ca="1" si="61"/>
        <v>-</v>
      </c>
      <c r="P210" s="119" t="s">
        <v>751</v>
      </c>
      <c r="Q210" s="120" t="s">
        <v>1114</v>
      </c>
      <c r="R210" s="121" t="s">
        <v>1490</v>
      </c>
      <c r="S210" s="122" t="s">
        <v>639</v>
      </c>
      <c r="T210" s="123">
        <f ca="1">OFFSET(CÁLCULO!H$15,ROW($T210)-ROW(T$15),0)</f>
        <v>49</v>
      </c>
      <c r="U210" s="124"/>
      <c r="V210" s="125" t="s">
        <v>663</v>
      </c>
      <c r="W210" s="123">
        <f ca="1">IF($C210="S",ROUND(IF(TIPOORCAMENTO="Proposto",ORÇAMENTO.CustoUnitario*(1+$AH210),ORÇAMENTO.PrecoUnitarioLicitado),15-13*$AF$10),0)</f>
        <v>0</v>
      </c>
      <c r="X210" s="126" cm="1">
        <f t="array" aca="1" ref="X210" ca="1">IF($C210="S",IF(OR(Import.TipoArredondamento&lt;&gt;"TransfereGOV",ACOMPANHAMENTO="BM"),VTOTAL1,SUM(OFFSET(CÁLCULO!$AA$15,ROW($X210)-ROW($X$15),1):OFFSET(CÁLCULO!$AL$15,ROW($X210)-ROW($X$15),-1))),IF($C210=0,0,ROUND(SomaAgrup,15-13*$AF$11)))</f>
        <v>0</v>
      </c>
      <c r="Y210" s="127" t="s">
        <v>752</v>
      </c>
      <c r="Z210" t="str">
        <f t="shared" ca="1" si="62"/>
        <v/>
      </c>
      <c r="AA210" s="128">
        <f ca="1">IF($C210="S",IF($Z210="CP",$X210,IF($Z210="RA",(($X210)*QCI!$AA$3),0)),SomaAgrup)</f>
        <v>0</v>
      </c>
      <c r="AB210" s="129">
        <f t="shared" ca="1" si="63"/>
        <v>0</v>
      </c>
      <c r="AC210" s="567" t="str">
        <f ca="1">IF($N210=""," ",
IF(AND($C210&lt;&gt;"S",OR($R210="",$R210="(digite a descrição aqui)")),"DESCRIÇÃO",
IF(AND($C210="S",OR($Q210&lt;&gt;0,$T210&gt;0,$U210&gt;0),$P210=0),"FONTE",
IF(AND($C210="S",$P210&lt;&gt;0,OR($T210&gt;0,$U210&gt;0),$Q210=0),"CÓDIGO",
IF(AND($C210="S",$P210&lt;&gt;0,$Q210&lt;&gt;0,$R210="(Código não identificado nas referências)"),"CÓDIGO N/ID",
IF(AND($C210="S",OR($R210="",$R210="(digite a descrição aqui)"),OR($Q210&lt;&gt;0,$T210&gt;0,$U210&gt;0)),"DESCRIÇÃO",
IF(AND($C210="S",$P210&lt;&gt;0,$Q210&lt;&gt;0,$S210=""),"UNIDADE",
IF(AND($C210="S",$P210&lt;&gt;0,$Q210&lt;&gt;0,$U210=0),"SEM CUSTO",
IF(AND(TIPOORCAMENTO="Licitado",$AL210=0,$AN210&gt;0),"SEM PREÇO",
IF(AND($C210="S",$P210&lt;&gt;0,$Q210&lt;&gt;0,$U210&gt;0,$V210=0),"BDI",
IF(OR(AND(TIPOORCAMENTO="Proposto",$AG210&lt;&gt;"",$AG210&gt;0,ORÇAMENTO.CustoUnitario&gt;$AG210),AND(TIPOORCAMENTO="LICITADO",ORÇAMENTO.PrecoUnitarioLicitado&gt;$AN210)),"ACIMA REF.",
IF(AND($C210="S",$P210&lt;&gt;0,$Q210&lt;&gt;0,$T210=0,$U210&gt;0),"QUANT.",
IF(AND(Import.TipoArredondamento="TransfereGOV",$L210="F",$C210="S",LEN($Q210)&gt;13),"Código &gt;13",
IF(AND(Import.TipoArredondamento="TransfereGOV",$L210="F",$C210&lt;&gt;"S",LEN($R210)&gt;100),"Descrição &gt;100",
IF(AND(Import.TipoArredondamento="TransfereGOV",$L210="F",$C210="S",LEN($R210)&gt;500),"Descrição &gt;500",
IF(AND(Import.TipoArredondamento="TransfereGOV",$L210="F",$C210="S",LEFT(TRIM(UPPER($P210)),6)&lt;&gt;"SINAPI",ISNA(VLOOKUP(TRIM(UPPER($S210)),ListaTgov.Unidades,1,FALSE))),"Unid. Não Disp",
" "))))))))))))))))</f>
        <v>SEM CUSTO</v>
      </c>
      <c r="AD210" t="str">
        <f ca="1">IF(C210&lt;=CRONO.NivelExibicao,MAX($AD$15:OFFSET(AD210,-1,0))+IF($C210&lt;&gt;1,1,MAX(1,COUNTIF(QCI!$A$13:$A$24,OFFSET($E210,-1,0)))),"")</f>
        <v/>
      </c>
      <c r="AE210" s="7" t="str">
        <f ca="1">IF(AND($C210="S",ORÇAMENTO.CodBarra&lt;&gt;""),IF(ORÇAMENTO.Fonte="",ORÇAMENTO.CodBarra,CONCATENATE(ORÇAMENTO.Fonte," ",ORÇAMENTO.CodBarra)))</f>
        <v>SINAPI 89400</v>
      </c>
      <c r="AF210" s="12" t="str">
        <f ca="1">IF(ISERROR(INDIRECT(ORÇAMENTO.BancoRef)),"(abra o arquivo 'Referência "&amp;Excel_BuiltIn_Database&amp;".xlsm)",IF(OR($C210&lt;&gt;"S",ORÇAMENTO.CodBarra=""),"(Sem Código)",IF(ISERROR(MATCH($AE210,INDIRECT(ORÇAMENTO.BancoRef),0)),"(Código não identificado nas referências)",MATCH($AE210,INDIRECT(ORÇAMENTO.BancoRef),0))))</f>
        <v>(abra o arquivo 'Referência 12-2024.xlsm)</v>
      </c>
      <c r="AG210" s="429">
        <f ca="1">ROUND(IF(DESONERACAO="sim",REFERENCIA.Desonerado,REFERENCIA.NaoDesonerado),2)</f>
        <v>0</v>
      </c>
      <c r="AH210" s="430">
        <f t="shared" ca="1" si="64"/>
        <v>0.31190000000000001</v>
      </c>
      <c r="AJ210" s="432">
        <v>49</v>
      </c>
      <c r="AL210" s="440"/>
      <c r="AM210" s="337">
        <f t="shared" ca="1" si="0"/>
        <v>0</v>
      </c>
      <c r="AN210" s="471">
        <f t="shared" ca="1" si="65"/>
        <v>0</v>
      </c>
    </row>
    <row r="211" spans="1:40" ht="25.5" x14ac:dyDescent="0.2">
      <c r="A211" t="str">
        <f t="shared" si="50"/>
        <v>S</v>
      </c>
      <c r="B211">
        <f t="shared" ca="1" si="51"/>
        <v>3</v>
      </c>
      <c r="C211" t="str">
        <f t="shared" ca="1" si="52"/>
        <v>S</v>
      </c>
      <c r="D211">
        <f t="shared" ca="1" si="53"/>
        <v>0</v>
      </c>
      <c r="E211">
        <f ca="1">IF($C211=1,OFFSET(E211,-1,0)+MAX(1,COUNTIF(QCI!$A$13:$A$24,OFFSET(ORÇAMENTO!E211,-1,0))),OFFSET(E211,-1,0))</f>
        <v>1</v>
      </c>
      <c r="F211">
        <f t="shared" ca="1" si="54"/>
        <v>11</v>
      </c>
      <c r="G211">
        <f t="shared" ca="1" si="55"/>
        <v>2</v>
      </c>
      <c r="H211">
        <f t="shared" ca="1" si="56"/>
        <v>0</v>
      </c>
      <c r="I211">
        <f t="shared" ca="1" si="57"/>
        <v>0</v>
      </c>
      <c r="J211">
        <f t="shared" ca="1" si="58"/>
        <v>0</v>
      </c>
      <c r="K211">
        <f ca="1">IF(OR($C211="S",$C211=0),0,MATCH(OFFSET($D211,0,$C211)+IF($C211&lt;&gt;1,1,COUNTIF(QCI!$A$13:$A$24,ORÇAMENTO!E211)),OFFSET($D211,1,$C211,ROW($C$405)-ROW($C211)),0))</f>
        <v>0</v>
      </c>
      <c r="L211" s="115" t="str">
        <f t="shared" ca="1" si="59"/>
        <v/>
      </c>
      <c r="M211" s="116" t="s">
        <v>706</v>
      </c>
      <c r="N211" s="117" t="str">
        <f t="shared" ca="1" si="60"/>
        <v>Serviço</v>
      </c>
      <c r="O211" s="118" t="str">
        <f t="shared" ca="1" si="61"/>
        <v>-</v>
      </c>
      <c r="P211" s="119" t="s">
        <v>751</v>
      </c>
      <c r="Q211" s="120" t="s">
        <v>1115</v>
      </c>
      <c r="R211" s="121" t="s">
        <v>1491</v>
      </c>
      <c r="S211" s="122" t="s">
        <v>639</v>
      </c>
      <c r="T211" s="123">
        <f ca="1">OFFSET(CÁLCULO!H$15,ROW($T211)-ROW(T$15),0)</f>
        <v>23</v>
      </c>
      <c r="U211" s="124"/>
      <c r="V211" s="125" t="s">
        <v>663</v>
      </c>
      <c r="W211" s="123">
        <f ca="1">IF($C211="S",ROUND(IF(TIPOORCAMENTO="Proposto",ORÇAMENTO.CustoUnitario*(1+$AH211),ORÇAMENTO.PrecoUnitarioLicitado),15-13*$AF$10),0)</f>
        <v>0</v>
      </c>
      <c r="X211" s="126" cm="1">
        <f t="array" aca="1" ref="X211" ca="1">IF($C211="S",IF(OR(Import.TipoArredondamento&lt;&gt;"TransfereGOV",ACOMPANHAMENTO="BM"),VTOTAL1,SUM(OFFSET(CÁLCULO!$AA$15,ROW($X211)-ROW($X$15),1):OFFSET(CÁLCULO!$AL$15,ROW($X211)-ROW($X$15),-1))),IF($C211=0,0,ROUND(SomaAgrup,15-13*$AF$11)))</f>
        <v>0</v>
      </c>
      <c r="Y211" s="127" t="s">
        <v>752</v>
      </c>
      <c r="Z211" t="str">
        <f t="shared" ca="1" si="62"/>
        <v/>
      </c>
      <c r="AA211" s="128">
        <f ca="1">IF($C211="S",IF($Z211="CP",$X211,IF($Z211="RA",(($X211)*QCI!$AA$3),0)),SomaAgrup)</f>
        <v>0</v>
      </c>
      <c r="AB211" s="129">
        <f t="shared" ca="1" si="63"/>
        <v>0</v>
      </c>
      <c r="AC211" s="567" t="str">
        <f ca="1">IF($N211=""," ",
IF(AND($C211&lt;&gt;"S",OR($R211="",$R211="(digite a descrição aqui)")),"DESCRIÇÃO",
IF(AND($C211="S",OR($Q211&lt;&gt;0,$T211&gt;0,$U211&gt;0),$P211=0),"FONTE",
IF(AND($C211="S",$P211&lt;&gt;0,OR($T211&gt;0,$U211&gt;0),$Q211=0),"CÓDIGO",
IF(AND($C211="S",$P211&lt;&gt;0,$Q211&lt;&gt;0,$R211="(Código não identificado nas referências)"),"CÓDIGO N/ID",
IF(AND($C211="S",OR($R211="",$R211="(digite a descrição aqui)"),OR($Q211&lt;&gt;0,$T211&gt;0,$U211&gt;0)),"DESCRIÇÃO",
IF(AND($C211="S",$P211&lt;&gt;0,$Q211&lt;&gt;0,$S211=""),"UNIDADE",
IF(AND($C211="S",$P211&lt;&gt;0,$Q211&lt;&gt;0,$U211=0),"SEM CUSTO",
IF(AND(TIPOORCAMENTO="Licitado",$AL211=0,$AN211&gt;0),"SEM PREÇO",
IF(AND($C211="S",$P211&lt;&gt;0,$Q211&lt;&gt;0,$U211&gt;0,$V211=0),"BDI",
IF(OR(AND(TIPOORCAMENTO="Proposto",$AG211&lt;&gt;"",$AG211&gt;0,ORÇAMENTO.CustoUnitario&gt;$AG211),AND(TIPOORCAMENTO="LICITADO",ORÇAMENTO.PrecoUnitarioLicitado&gt;$AN211)),"ACIMA REF.",
IF(AND($C211="S",$P211&lt;&gt;0,$Q211&lt;&gt;0,$T211=0,$U211&gt;0),"QUANT.",
IF(AND(Import.TipoArredondamento="TransfereGOV",$L211="F",$C211="S",LEN($Q211)&gt;13),"Código &gt;13",
IF(AND(Import.TipoArredondamento="TransfereGOV",$L211="F",$C211&lt;&gt;"S",LEN($R211)&gt;100),"Descrição &gt;100",
IF(AND(Import.TipoArredondamento="TransfereGOV",$L211="F",$C211="S",LEN($R211)&gt;500),"Descrição &gt;500",
IF(AND(Import.TipoArredondamento="TransfereGOV",$L211="F",$C211="S",LEFT(TRIM(UPPER($P211)),6)&lt;&gt;"SINAPI",ISNA(VLOOKUP(TRIM(UPPER($S211)),ListaTgov.Unidades,1,FALSE))),"Unid. Não Disp",
" "))))))))))))))))</f>
        <v>SEM CUSTO</v>
      </c>
      <c r="AD211" t="str">
        <f ca="1">IF(C211&lt;=CRONO.NivelExibicao,MAX($AD$15:OFFSET(AD211,-1,0))+IF($C211&lt;&gt;1,1,MAX(1,COUNTIF(QCI!$A$13:$A$24,OFFSET($E211,-1,0)))),"")</f>
        <v/>
      </c>
      <c r="AE211" s="7" t="str">
        <f ca="1">IF(AND($C211="S",ORÇAMENTO.CodBarra&lt;&gt;""),IF(ORÇAMENTO.Fonte="",ORÇAMENTO.CodBarra,CONCATENATE(ORÇAMENTO.Fonte," ",ORÇAMENTO.CodBarra)))</f>
        <v>SINAPI 89624</v>
      </c>
      <c r="AF211" s="12" t="str">
        <f ca="1">IF(ISERROR(INDIRECT(ORÇAMENTO.BancoRef)),"(abra o arquivo 'Referência "&amp;Excel_BuiltIn_Database&amp;".xlsm)",IF(OR($C211&lt;&gt;"S",ORÇAMENTO.CodBarra=""),"(Sem Código)",IF(ISERROR(MATCH($AE211,INDIRECT(ORÇAMENTO.BancoRef),0)),"(Código não identificado nas referências)",MATCH($AE211,INDIRECT(ORÇAMENTO.BancoRef),0))))</f>
        <v>(abra o arquivo 'Referência 12-2024.xlsm)</v>
      </c>
      <c r="AG211" s="429">
        <f ca="1">ROUND(IF(DESONERACAO="sim",REFERENCIA.Desonerado,REFERENCIA.NaoDesonerado),2)</f>
        <v>0</v>
      </c>
      <c r="AH211" s="430">
        <f t="shared" ca="1" si="64"/>
        <v>0.31190000000000001</v>
      </c>
      <c r="AJ211" s="432">
        <v>23</v>
      </c>
      <c r="AL211" s="440"/>
      <c r="AM211" s="337">
        <f t="shared" ca="1" si="0"/>
        <v>0</v>
      </c>
      <c r="AN211" s="471">
        <f t="shared" ca="1" si="65"/>
        <v>0</v>
      </c>
    </row>
    <row r="212" spans="1:40" ht="38.25" x14ac:dyDescent="0.2">
      <c r="A212" t="str">
        <f t="shared" si="50"/>
        <v>S</v>
      </c>
      <c r="B212">
        <f t="shared" ca="1" si="51"/>
        <v>3</v>
      </c>
      <c r="C212" t="str">
        <f t="shared" ca="1" si="52"/>
        <v>S</v>
      </c>
      <c r="D212">
        <f t="shared" ca="1" si="53"/>
        <v>0</v>
      </c>
      <c r="E212">
        <f ca="1">IF($C212=1,OFFSET(E212,-1,0)+MAX(1,COUNTIF(QCI!$A$13:$A$24,OFFSET(ORÇAMENTO!E212,-1,0))),OFFSET(E212,-1,0))</f>
        <v>1</v>
      </c>
      <c r="F212">
        <f t="shared" ca="1" si="54"/>
        <v>11</v>
      </c>
      <c r="G212">
        <f t="shared" ca="1" si="55"/>
        <v>2</v>
      </c>
      <c r="H212">
        <f t="shared" ca="1" si="56"/>
        <v>0</v>
      </c>
      <c r="I212">
        <f t="shared" ca="1" si="57"/>
        <v>0</v>
      </c>
      <c r="J212">
        <f t="shared" ca="1" si="58"/>
        <v>0</v>
      </c>
      <c r="K212">
        <f ca="1">IF(OR($C212="S",$C212=0),0,MATCH(OFFSET($D212,0,$C212)+IF($C212&lt;&gt;1,1,COUNTIF(QCI!$A$13:$A$24,ORÇAMENTO!E212)),OFFSET($D212,1,$C212,ROW($C$405)-ROW($C212)),0))</f>
        <v>0</v>
      </c>
      <c r="L212" s="115" t="str">
        <f t="shared" ca="1" si="59"/>
        <v/>
      </c>
      <c r="M212" s="116" t="s">
        <v>706</v>
      </c>
      <c r="N212" s="117" t="str">
        <f t="shared" ca="1" si="60"/>
        <v>Serviço</v>
      </c>
      <c r="O212" s="118" t="str">
        <f t="shared" ca="1" si="61"/>
        <v>-</v>
      </c>
      <c r="P212" s="119" t="s">
        <v>751</v>
      </c>
      <c r="Q212" s="120" t="s">
        <v>1116</v>
      </c>
      <c r="R212" s="121" t="s">
        <v>1492</v>
      </c>
      <c r="S212" s="122" t="s">
        <v>639</v>
      </c>
      <c r="T212" s="123">
        <f ca="1">OFFSET(CÁLCULO!H$15,ROW($T212)-ROW(T$15),0)</f>
        <v>4</v>
      </c>
      <c r="U212" s="124"/>
      <c r="V212" s="125" t="s">
        <v>663</v>
      </c>
      <c r="W212" s="123">
        <f ca="1">IF($C212="S",ROUND(IF(TIPOORCAMENTO="Proposto",ORÇAMENTO.CustoUnitario*(1+$AH212),ORÇAMENTO.PrecoUnitarioLicitado),15-13*$AF$10),0)</f>
        <v>0</v>
      </c>
      <c r="X212" s="126" cm="1">
        <f t="array" aca="1" ref="X212" ca="1">IF($C212="S",IF(OR(Import.TipoArredondamento&lt;&gt;"TransfereGOV",ACOMPANHAMENTO="BM"),VTOTAL1,SUM(OFFSET(CÁLCULO!$AA$15,ROW($X212)-ROW($X$15),1):OFFSET(CÁLCULO!$AL$15,ROW($X212)-ROW($X$15),-1))),IF($C212=0,0,ROUND(SomaAgrup,15-13*$AF$11)))</f>
        <v>0</v>
      </c>
      <c r="Y212" s="127" t="s">
        <v>752</v>
      </c>
      <c r="Z212" t="str">
        <f t="shared" ca="1" si="62"/>
        <v/>
      </c>
      <c r="AA212" s="128">
        <f ca="1">IF($C212="S",IF($Z212="CP",$X212,IF($Z212="RA",(($X212)*QCI!$AA$3),0)),SomaAgrup)</f>
        <v>0</v>
      </c>
      <c r="AB212" s="129">
        <f t="shared" ca="1" si="63"/>
        <v>0</v>
      </c>
      <c r="AC212" s="567" t="str">
        <f ca="1">IF($N212=""," ",
IF(AND($C212&lt;&gt;"S",OR($R212="",$R212="(digite a descrição aqui)")),"DESCRIÇÃO",
IF(AND($C212="S",OR($Q212&lt;&gt;0,$T212&gt;0,$U212&gt;0),$P212=0),"FONTE",
IF(AND($C212="S",$P212&lt;&gt;0,OR($T212&gt;0,$U212&gt;0),$Q212=0),"CÓDIGO",
IF(AND($C212="S",$P212&lt;&gt;0,$Q212&lt;&gt;0,$R212="(Código não identificado nas referências)"),"CÓDIGO N/ID",
IF(AND($C212="S",OR($R212="",$R212="(digite a descrição aqui)"),OR($Q212&lt;&gt;0,$T212&gt;0,$U212&gt;0)),"DESCRIÇÃO",
IF(AND($C212="S",$P212&lt;&gt;0,$Q212&lt;&gt;0,$S212=""),"UNIDADE",
IF(AND($C212="S",$P212&lt;&gt;0,$Q212&lt;&gt;0,$U212=0),"SEM CUSTO",
IF(AND(TIPOORCAMENTO="Licitado",$AL212=0,$AN212&gt;0),"SEM PREÇO",
IF(AND($C212="S",$P212&lt;&gt;0,$Q212&lt;&gt;0,$U212&gt;0,$V212=0),"BDI",
IF(OR(AND(TIPOORCAMENTO="Proposto",$AG212&lt;&gt;"",$AG212&gt;0,ORÇAMENTO.CustoUnitario&gt;$AG212),AND(TIPOORCAMENTO="LICITADO",ORÇAMENTO.PrecoUnitarioLicitado&gt;$AN212)),"ACIMA REF.",
IF(AND($C212="S",$P212&lt;&gt;0,$Q212&lt;&gt;0,$T212=0,$U212&gt;0),"QUANT.",
IF(AND(Import.TipoArredondamento="TransfereGOV",$L212="F",$C212="S",LEN($Q212)&gt;13),"Código &gt;13",
IF(AND(Import.TipoArredondamento="TransfereGOV",$L212="F",$C212&lt;&gt;"S",LEN($R212)&gt;100),"Descrição &gt;100",
IF(AND(Import.TipoArredondamento="TransfereGOV",$L212="F",$C212="S",LEN($R212)&gt;500),"Descrição &gt;500",
IF(AND(Import.TipoArredondamento="TransfereGOV",$L212="F",$C212="S",LEFT(TRIM(UPPER($P212)),6)&lt;&gt;"SINAPI",ISNA(VLOOKUP(TRIM(UPPER($S212)),ListaTgov.Unidades,1,FALSE))),"Unid. Não Disp",
" "))))))))))))))))</f>
        <v>SEM CUSTO</v>
      </c>
      <c r="AD212" t="str">
        <f ca="1">IF(C212&lt;=CRONO.NivelExibicao,MAX($AD$15:OFFSET(AD212,-1,0))+IF($C212&lt;&gt;1,1,MAX(1,COUNTIF(QCI!$A$13:$A$24,OFFSET($E212,-1,0)))),"")</f>
        <v/>
      </c>
      <c r="AE212" s="7" t="str">
        <f ca="1">IF(AND($C212="S",ORÇAMENTO.CodBarra&lt;&gt;""),IF(ORÇAMENTO.Fonte="",ORÇAMENTO.CodBarra,CONCATENATE(ORÇAMENTO.Fonte," ",ORÇAMENTO.CodBarra)))</f>
        <v>SINAPI 104006</v>
      </c>
      <c r="AF212" s="12" t="str">
        <f ca="1">IF(ISERROR(INDIRECT(ORÇAMENTO.BancoRef)),"(abra o arquivo 'Referência "&amp;Excel_BuiltIn_Database&amp;".xlsm)",IF(OR($C212&lt;&gt;"S",ORÇAMENTO.CodBarra=""),"(Sem Código)",IF(ISERROR(MATCH($AE212,INDIRECT(ORÇAMENTO.BancoRef),0)),"(Código não identificado nas referências)",MATCH($AE212,INDIRECT(ORÇAMENTO.BancoRef),0))))</f>
        <v>(abra o arquivo 'Referência 12-2024.xlsm)</v>
      </c>
      <c r="AG212" s="429">
        <f ca="1">ROUND(IF(DESONERACAO="sim",REFERENCIA.Desonerado,REFERENCIA.NaoDesonerado),2)</f>
        <v>0</v>
      </c>
      <c r="AH212" s="430">
        <f t="shared" ca="1" si="64"/>
        <v>0.31190000000000001</v>
      </c>
      <c r="AJ212" s="432">
        <v>4</v>
      </c>
      <c r="AL212" s="440"/>
      <c r="AM212" s="337">
        <f t="shared" ca="1" si="0"/>
        <v>0</v>
      </c>
      <c r="AN212" s="471">
        <f t="shared" ca="1" si="65"/>
        <v>0</v>
      </c>
    </row>
    <row r="213" spans="1:40" ht="25.5" x14ac:dyDescent="0.2">
      <c r="A213" t="str">
        <f t="shared" si="50"/>
        <v>S</v>
      </c>
      <c r="B213">
        <f t="shared" ca="1" si="51"/>
        <v>3</v>
      </c>
      <c r="C213" t="str">
        <f t="shared" ca="1" si="52"/>
        <v>S</v>
      </c>
      <c r="D213">
        <f t="shared" ca="1" si="53"/>
        <v>0</v>
      </c>
      <c r="E213">
        <f ca="1">IF($C213=1,OFFSET(E213,-1,0)+MAX(1,COUNTIF(QCI!$A$13:$A$24,OFFSET(ORÇAMENTO!E213,-1,0))),OFFSET(E213,-1,0))</f>
        <v>1</v>
      </c>
      <c r="F213">
        <f t="shared" ca="1" si="54"/>
        <v>11</v>
      </c>
      <c r="G213">
        <f t="shared" ca="1" si="55"/>
        <v>2</v>
      </c>
      <c r="H213">
        <f t="shared" ca="1" si="56"/>
        <v>0</v>
      </c>
      <c r="I213">
        <f t="shared" ca="1" si="57"/>
        <v>0</v>
      </c>
      <c r="J213">
        <f t="shared" ca="1" si="58"/>
        <v>0</v>
      </c>
      <c r="K213">
        <f ca="1">IF(OR($C213="S",$C213=0),0,MATCH(OFFSET($D213,0,$C213)+IF($C213&lt;&gt;1,1,COUNTIF(QCI!$A$13:$A$24,ORÇAMENTO!E213)),OFFSET($D213,1,$C213,ROW($C$405)-ROW($C213)),0))</f>
        <v>0</v>
      </c>
      <c r="L213" s="115" t="str">
        <f t="shared" ca="1" si="59"/>
        <v/>
      </c>
      <c r="M213" s="116" t="s">
        <v>706</v>
      </c>
      <c r="N213" s="117" t="str">
        <f t="shared" ca="1" si="60"/>
        <v>Serviço</v>
      </c>
      <c r="O213" s="118" t="str">
        <f t="shared" ca="1" si="61"/>
        <v>-</v>
      </c>
      <c r="P213" s="119" t="s">
        <v>751</v>
      </c>
      <c r="Q213" s="120" t="s">
        <v>1117</v>
      </c>
      <c r="R213" s="121" t="s">
        <v>1493</v>
      </c>
      <c r="S213" s="122" t="s">
        <v>639</v>
      </c>
      <c r="T213" s="123">
        <f ca="1">OFFSET(CÁLCULO!H$15,ROW($T213)-ROW(T$15),0)</f>
        <v>2</v>
      </c>
      <c r="U213" s="124"/>
      <c r="V213" s="125" t="s">
        <v>663</v>
      </c>
      <c r="W213" s="123">
        <f ca="1">IF($C213="S",ROUND(IF(TIPOORCAMENTO="Proposto",ORÇAMENTO.CustoUnitario*(1+$AH213),ORÇAMENTO.PrecoUnitarioLicitado),15-13*$AF$10),0)</f>
        <v>0</v>
      </c>
      <c r="X213" s="126" cm="1">
        <f t="array" aca="1" ref="X213" ca="1">IF($C213="S",IF(OR(Import.TipoArredondamento&lt;&gt;"TransfereGOV",ACOMPANHAMENTO="BM"),VTOTAL1,SUM(OFFSET(CÁLCULO!$AA$15,ROW($X213)-ROW($X$15),1):OFFSET(CÁLCULO!$AL$15,ROW($X213)-ROW($X$15),-1))),IF($C213=0,0,ROUND(SomaAgrup,15-13*$AF$11)))</f>
        <v>0</v>
      </c>
      <c r="Y213" s="127" t="s">
        <v>752</v>
      </c>
      <c r="Z213" t="str">
        <f t="shared" ca="1" si="62"/>
        <v/>
      </c>
      <c r="AA213" s="128">
        <f ca="1">IF($C213="S",IF($Z213="CP",$X213,IF($Z213="RA",(($X213)*QCI!$AA$3),0)),SomaAgrup)</f>
        <v>0</v>
      </c>
      <c r="AB213" s="129">
        <f t="shared" ca="1" si="63"/>
        <v>0</v>
      </c>
      <c r="AC213" s="567" t="str">
        <f ca="1">IF($N213=""," ",
IF(AND($C213&lt;&gt;"S",OR($R213="",$R213="(digite a descrição aqui)")),"DESCRIÇÃO",
IF(AND($C213="S",OR($Q213&lt;&gt;0,$T213&gt;0,$U213&gt;0),$P213=0),"FONTE",
IF(AND($C213="S",$P213&lt;&gt;0,OR($T213&gt;0,$U213&gt;0),$Q213=0),"CÓDIGO",
IF(AND($C213="S",$P213&lt;&gt;0,$Q213&lt;&gt;0,$R213="(Código não identificado nas referências)"),"CÓDIGO N/ID",
IF(AND($C213="S",OR($R213="",$R213="(digite a descrição aqui)"),OR($Q213&lt;&gt;0,$T213&gt;0,$U213&gt;0)),"DESCRIÇÃO",
IF(AND($C213="S",$P213&lt;&gt;0,$Q213&lt;&gt;0,$S213=""),"UNIDADE",
IF(AND($C213="S",$P213&lt;&gt;0,$Q213&lt;&gt;0,$U213=0),"SEM CUSTO",
IF(AND(TIPOORCAMENTO="Licitado",$AL213=0,$AN213&gt;0),"SEM PREÇO",
IF(AND($C213="S",$P213&lt;&gt;0,$Q213&lt;&gt;0,$U213&gt;0,$V213=0),"BDI",
IF(OR(AND(TIPOORCAMENTO="Proposto",$AG213&lt;&gt;"",$AG213&gt;0,ORÇAMENTO.CustoUnitario&gt;$AG213),AND(TIPOORCAMENTO="LICITADO",ORÇAMENTO.PrecoUnitarioLicitado&gt;$AN213)),"ACIMA REF.",
IF(AND($C213="S",$P213&lt;&gt;0,$Q213&lt;&gt;0,$T213=0,$U213&gt;0),"QUANT.",
IF(AND(Import.TipoArredondamento="TransfereGOV",$L213="F",$C213="S",LEN($Q213)&gt;13),"Código &gt;13",
IF(AND(Import.TipoArredondamento="TransfereGOV",$L213="F",$C213&lt;&gt;"S",LEN($R213)&gt;100),"Descrição &gt;100",
IF(AND(Import.TipoArredondamento="TransfereGOV",$L213="F",$C213="S",LEN($R213)&gt;500),"Descrição &gt;500",
IF(AND(Import.TipoArredondamento="TransfereGOV",$L213="F",$C213="S",LEFT(TRIM(UPPER($P213)),6)&lt;&gt;"SINAPI",ISNA(VLOOKUP(TRIM(UPPER($S213)),ListaTgov.Unidades,1,FALSE))),"Unid. Não Disp",
" "))))))))))))))))</f>
        <v>SEM CUSTO</v>
      </c>
      <c r="AD213" t="str">
        <f ca="1">IF(C213&lt;=CRONO.NivelExibicao,MAX($AD$15:OFFSET(AD213,-1,0))+IF($C213&lt;&gt;1,1,MAX(1,COUNTIF(QCI!$A$13:$A$24,OFFSET($E213,-1,0)))),"")</f>
        <v/>
      </c>
      <c r="AE213" s="7" t="str">
        <f ca="1">IF(AND($C213="S",ORÇAMENTO.CodBarra&lt;&gt;""),IF(ORÇAMENTO.Fonte="",ORÇAMENTO.CodBarra,CONCATENATE(ORÇAMENTO.Fonte," ",ORÇAMENTO.CodBarra)))</f>
        <v>SINAPI 89626</v>
      </c>
      <c r="AF213" s="12" t="str">
        <f ca="1">IF(ISERROR(INDIRECT(ORÇAMENTO.BancoRef)),"(abra o arquivo 'Referência "&amp;Excel_BuiltIn_Database&amp;".xlsm)",IF(OR($C213&lt;&gt;"S",ORÇAMENTO.CodBarra=""),"(Sem Código)",IF(ISERROR(MATCH($AE213,INDIRECT(ORÇAMENTO.BancoRef),0)),"(Código não identificado nas referências)",MATCH($AE213,INDIRECT(ORÇAMENTO.BancoRef),0))))</f>
        <v>(abra o arquivo 'Referência 12-2024.xlsm)</v>
      </c>
      <c r="AG213" s="429">
        <f ca="1">ROUND(IF(DESONERACAO="sim",REFERENCIA.Desonerado,REFERENCIA.NaoDesonerado),2)</f>
        <v>0</v>
      </c>
      <c r="AH213" s="430">
        <f t="shared" ca="1" si="64"/>
        <v>0.31190000000000001</v>
      </c>
      <c r="AJ213" s="432">
        <v>2</v>
      </c>
      <c r="AL213" s="440"/>
      <c r="AM213" s="337">
        <f t="shared" ca="1" si="0"/>
        <v>0</v>
      </c>
      <c r="AN213" s="471">
        <f t="shared" ca="1" si="65"/>
        <v>0</v>
      </c>
    </row>
    <row r="214" spans="1:40" ht="25.5" x14ac:dyDescent="0.2">
      <c r="A214" t="str">
        <f t="shared" si="50"/>
        <v>S</v>
      </c>
      <c r="B214">
        <f t="shared" ca="1" si="51"/>
        <v>3</v>
      </c>
      <c r="C214" t="str">
        <f t="shared" ca="1" si="52"/>
        <v>S</v>
      </c>
      <c r="D214">
        <f t="shared" ca="1" si="53"/>
        <v>0</v>
      </c>
      <c r="E214">
        <f ca="1">IF($C214=1,OFFSET(E214,-1,0)+MAX(1,COUNTIF(QCI!$A$13:$A$24,OFFSET(ORÇAMENTO!E214,-1,0))),OFFSET(E214,-1,0))</f>
        <v>1</v>
      </c>
      <c r="F214">
        <f t="shared" ca="1" si="54"/>
        <v>11</v>
      </c>
      <c r="G214">
        <f t="shared" ca="1" si="55"/>
        <v>2</v>
      </c>
      <c r="H214">
        <f t="shared" ca="1" si="56"/>
        <v>0</v>
      </c>
      <c r="I214">
        <f t="shared" ca="1" si="57"/>
        <v>0</v>
      </c>
      <c r="J214">
        <f t="shared" ca="1" si="58"/>
        <v>0</v>
      </c>
      <c r="K214">
        <f ca="1">IF(OR($C214="S",$C214=0),0,MATCH(OFFSET($D214,0,$C214)+IF($C214&lt;&gt;1,1,COUNTIF(QCI!$A$13:$A$24,ORÇAMENTO!E214)),OFFSET($D214,1,$C214,ROW($C$405)-ROW($C214)),0))</f>
        <v>0</v>
      </c>
      <c r="L214" s="115" t="str">
        <f t="shared" ca="1" si="59"/>
        <v/>
      </c>
      <c r="M214" s="116" t="s">
        <v>706</v>
      </c>
      <c r="N214" s="117" t="str">
        <f t="shared" ca="1" si="60"/>
        <v>Serviço</v>
      </c>
      <c r="O214" s="118" t="str">
        <f t="shared" ca="1" si="61"/>
        <v>-</v>
      </c>
      <c r="P214" s="119" t="s">
        <v>751</v>
      </c>
      <c r="Q214" s="120" t="s">
        <v>1118</v>
      </c>
      <c r="R214" s="121" t="s">
        <v>1494</v>
      </c>
      <c r="S214" s="122" t="s">
        <v>639</v>
      </c>
      <c r="T214" s="123">
        <f ca="1">OFFSET(CÁLCULO!H$15,ROW($T214)-ROW(T$15),0)</f>
        <v>1</v>
      </c>
      <c r="U214" s="124"/>
      <c r="V214" s="125" t="s">
        <v>663</v>
      </c>
      <c r="W214" s="123">
        <f ca="1">IF($C214="S",ROUND(IF(TIPOORCAMENTO="Proposto",ORÇAMENTO.CustoUnitario*(1+$AH214),ORÇAMENTO.PrecoUnitarioLicitado),15-13*$AF$10),0)</f>
        <v>0</v>
      </c>
      <c r="X214" s="126" cm="1">
        <f t="array" aca="1" ref="X214" ca="1">IF($C214="S",IF(OR(Import.TipoArredondamento&lt;&gt;"TransfereGOV",ACOMPANHAMENTO="BM"),VTOTAL1,SUM(OFFSET(CÁLCULO!$AA$15,ROW($X214)-ROW($X$15),1):OFFSET(CÁLCULO!$AL$15,ROW($X214)-ROW($X$15),-1))),IF($C214=0,0,ROUND(SomaAgrup,15-13*$AF$11)))</f>
        <v>0</v>
      </c>
      <c r="Y214" s="127" t="s">
        <v>752</v>
      </c>
      <c r="Z214" t="str">
        <f t="shared" ca="1" si="62"/>
        <v/>
      </c>
      <c r="AA214" s="128">
        <f ca="1">IF($C214="S",IF($Z214="CP",$X214,IF($Z214="RA",(($X214)*QCI!$AA$3),0)),SomaAgrup)</f>
        <v>0</v>
      </c>
      <c r="AB214" s="129">
        <f t="shared" ca="1" si="63"/>
        <v>0</v>
      </c>
      <c r="AC214" s="567" t="str">
        <f ca="1">IF($N214=""," ",
IF(AND($C214&lt;&gt;"S",OR($R214="",$R214="(digite a descrição aqui)")),"DESCRIÇÃO",
IF(AND($C214="S",OR($Q214&lt;&gt;0,$T214&gt;0,$U214&gt;0),$P214=0),"FONTE",
IF(AND($C214="S",$P214&lt;&gt;0,OR($T214&gt;0,$U214&gt;0),$Q214=0),"CÓDIGO",
IF(AND($C214="S",$P214&lt;&gt;0,$Q214&lt;&gt;0,$R214="(Código não identificado nas referências)"),"CÓDIGO N/ID",
IF(AND($C214="S",OR($R214="",$R214="(digite a descrição aqui)"),OR($Q214&lt;&gt;0,$T214&gt;0,$U214&gt;0)),"DESCRIÇÃO",
IF(AND($C214="S",$P214&lt;&gt;0,$Q214&lt;&gt;0,$S214=""),"UNIDADE",
IF(AND($C214="S",$P214&lt;&gt;0,$Q214&lt;&gt;0,$U214=0),"SEM CUSTO",
IF(AND(TIPOORCAMENTO="Licitado",$AL214=0,$AN214&gt;0),"SEM PREÇO",
IF(AND($C214="S",$P214&lt;&gt;0,$Q214&lt;&gt;0,$U214&gt;0,$V214=0),"BDI",
IF(OR(AND(TIPOORCAMENTO="Proposto",$AG214&lt;&gt;"",$AG214&gt;0,ORÇAMENTO.CustoUnitario&gt;$AG214),AND(TIPOORCAMENTO="LICITADO",ORÇAMENTO.PrecoUnitarioLicitado&gt;$AN214)),"ACIMA REF.",
IF(AND($C214="S",$P214&lt;&gt;0,$Q214&lt;&gt;0,$T214=0,$U214&gt;0),"QUANT.",
IF(AND(Import.TipoArredondamento="TransfereGOV",$L214="F",$C214="S",LEN($Q214)&gt;13),"Código &gt;13",
IF(AND(Import.TipoArredondamento="TransfereGOV",$L214="F",$C214&lt;&gt;"S",LEN($R214)&gt;100),"Descrição &gt;100",
IF(AND(Import.TipoArredondamento="TransfereGOV",$L214="F",$C214="S",LEN($R214)&gt;500),"Descrição &gt;500",
IF(AND(Import.TipoArredondamento="TransfereGOV",$L214="F",$C214="S",LEFT(TRIM(UPPER($P214)),6)&lt;&gt;"SINAPI",ISNA(VLOOKUP(TRIM(UPPER($S214)),ListaTgov.Unidades,1,FALSE))),"Unid. Não Disp",
" "))))))))))))))))</f>
        <v>SEM CUSTO</v>
      </c>
      <c r="AD214" t="str">
        <f ca="1">IF(C214&lt;=CRONO.NivelExibicao,MAX($AD$15:OFFSET(AD214,-1,0))+IF($C214&lt;&gt;1,1,MAX(1,COUNTIF(QCI!$A$13:$A$24,OFFSET($E214,-1,0)))),"")</f>
        <v/>
      </c>
      <c r="AE214" s="7" t="str">
        <f ca="1">IF(AND($C214="S",ORÇAMENTO.CodBarra&lt;&gt;""),IF(ORÇAMENTO.Fonte="",ORÇAMENTO.CodBarra,CONCATENATE(ORÇAMENTO.Fonte," ",ORÇAMENTO.CodBarra)))</f>
        <v>SINAPI 94795</v>
      </c>
      <c r="AF214" s="12" t="str">
        <f ca="1">IF(ISERROR(INDIRECT(ORÇAMENTO.BancoRef)),"(abra o arquivo 'Referência "&amp;Excel_BuiltIn_Database&amp;".xlsm)",IF(OR($C214&lt;&gt;"S",ORÇAMENTO.CodBarra=""),"(Sem Código)",IF(ISERROR(MATCH($AE214,INDIRECT(ORÇAMENTO.BancoRef),0)),"(Código não identificado nas referências)",MATCH($AE214,INDIRECT(ORÇAMENTO.BancoRef),0))))</f>
        <v>(abra o arquivo 'Referência 12-2024.xlsm)</v>
      </c>
      <c r="AG214" s="429">
        <f ca="1">ROUND(IF(DESONERACAO="sim",REFERENCIA.Desonerado,REFERENCIA.NaoDesonerado),2)</f>
        <v>0</v>
      </c>
      <c r="AH214" s="430">
        <f t="shared" ca="1" si="64"/>
        <v>0.31190000000000001</v>
      </c>
      <c r="AJ214" s="432">
        <v>1</v>
      </c>
      <c r="AL214" s="440"/>
      <c r="AM214" s="337">
        <f t="shared" ca="1" si="0"/>
        <v>0</v>
      </c>
      <c r="AN214" s="471">
        <f t="shared" ca="1" si="65"/>
        <v>0</v>
      </c>
    </row>
    <row r="215" spans="1:40" ht="38.25" x14ac:dyDescent="0.2">
      <c r="A215" t="str">
        <f t="shared" si="50"/>
        <v>S</v>
      </c>
      <c r="B215">
        <f t="shared" ca="1" si="51"/>
        <v>3</v>
      </c>
      <c r="C215" t="str">
        <f t="shared" ca="1" si="52"/>
        <v>S</v>
      </c>
      <c r="D215">
        <f t="shared" ca="1" si="53"/>
        <v>0</v>
      </c>
      <c r="E215">
        <f ca="1">IF($C215=1,OFFSET(E215,-1,0)+MAX(1,COUNTIF(QCI!$A$13:$A$24,OFFSET(ORÇAMENTO!E215,-1,0))),OFFSET(E215,-1,0))</f>
        <v>1</v>
      </c>
      <c r="F215">
        <f t="shared" ca="1" si="54"/>
        <v>11</v>
      </c>
      <c r="G215">
        <f t="shared" ca="1" si="55"/>
        <v>2</v>
      </c>
      <c r="H215">
        <f t="shared" ca="1" si="56"/>
        <v>0</v>
      </c>
      <c r="I215">
        <f t="shared" ca="1" si="57"/>
        <v>0</v>
      </c>
      <c r="J215">
        <f t="shared" ca="1" si="58"/>
        <v>0</v>
      </c>
      <c r="K215">
        <f ca="1">IF(OR($C215="S",$C215=0),0,MATCH(OFFSET($D215,0,$C215)+IF($C215&lt;&gt;1,1,COUNTIF(QCI!$A$13:$A$24,ORÇAMENTO!E215)),OFFSET($D215,1,$C215,ROW($C$405)-ROW($C215)),0))</f>
        <v>0</v>
      </c>
      <c r="L215" s="115" t="str">
        <f t="shared" ca="1" si="59"/>
        <v/>
      </c>
      <c r="M215" s="116" t="s">
        <v>706</v>
      </c>
      <c r="N215" s="117" t="str">
        <f t="shared" ca="1" si="60"/>
        <v>Serviço</v>
      </c>
      <c r="O215" s="118" t="str">
        <f t="shared" ca="1" si="61"/>
        <v>-</v>
      </c>
      <c r="P215" s="119" t="s">
        <v>751</v>
      </c>
      <c r="Q215" s="120" t="s">
        <v>1102</v>
      </c>
      <c r="R215" s="121" t="s">
        <v>1478</v>
      </c>
      <c r="S215" s="122" t="s">
        <v>639</v>
      </c>
      <c r="T215" s="123">
        <f ca="1">OFFSET(CÁLCULO!H$15,ROW($T215)-ROW(T$15),0)</f>
        <v>26</v>
      </c>
      <c r="U215" s="124"/>
      <c r="V215" s="125" t="s">
        <v>663</v>
      </c>
      <c r="W215" s="123">
        <f ca="1">IF($C215="S",ROUND(IF(TIPOORCAMENTO="Proposto",ORÇAMENTO.CustoUnitario*(1+$AH215),ORÇAMENTO.PrecoUnitarioLicitado),15-13*$AF$10),0)</f>
        <v>0</v>
      </c>
      <c r="X215" s="126" cm="1">
        <f t="array" aca="1" ref="X215" ca="1">IF($C215="S",IF(OR(Import.TipoArredondamento&lt;&gt;"TransfereGOV",ACOMPANHAMENTO="BM"),VTOTAL1,SUM(OFFSET(CÁLCULO!$AA$15,ROW($X215)-ROW($X$15),1):OFFSET(CÁLCULO!$AL$15,ROW($X215)-ROW($X$15),-1))),IF($C215=0,0,ROUND(SomaAgrup,15-13*$AF$11)))</f>
        <v>0</v>
      </c>
      <c r="Y215" s="127" t="s">
        <v>752</v>
      </c>
      <c r="Z215" t="str">
        <f t="shared" ca="1" si="62"/>
        <v/>
      </c>
      <c r="AA215" s="128">
        <f ca="1">IF($C215="S",IF($Z215="CP",$X215,IF($Z215="RA",(($X215)*QCI!$AA$3),0)),SomaAgrup)</f>
        <v>0</v>
      </c>
      <c r="AB215" s="129">
        <f t="shared" ca="1" si="63"/>
        <v>0</v>
      </c>
      <c r="AC215" s="567" t="str">
        <f ca="1">IF($N215=""," ",
IF(AND($C215&lt;&gt;"S",OR($R215="",$R215="(digite a descrição aqui)")),"DESCRIÇÃO",
IF(AND($C215="S",OR($Q215&lt;&gt;0,$T215&gt;0,$U215&gt;0),$P215=0),"FONTE",
IF(AND($C215="S",$P215&lt;&gt;0,OR($T215&gt;0,$U215&gt;0),$Q215=0),"CÓDIGO",
IF(AND($C215="S",$P215&lt;&gt;0,$Q215&lt;&gt;0,$R215="(Código não identificado nas referências)"),"CÓDIGO N/ID",
IF(AND($C215="S",OR($R215="",$R215="(digite a descrição aqui)"),OR($Q215&lt;&gt;0,$T215&gt;0,$U215&gt;0)),"DESCRIÇÃO",
IF(AND($C215="S",$P215&lt;&gt;0,$Q215&lt;&gt;0,$S215=""),"UNIDADE",
IF(AND($C215="S",$P215&lt;&gt;0,$Q215&lt;&gt;0,$U215=0),"SEM CUSTO",
IF(AND(TIPOORCAMENTO="Licitado",$AL215=0,$AN215&gt;0),"SEM PREÇO",
IF(AND($C215="S",$P215&lt;&gt;0,$Q215&lt;&gt;0,$U215&gt;0,$V215=0),"BDI",
IF(OR(AND(TIPOORCAMENTO="Proposto",$AG215&lt;&gt;"",$AG215&gt;0,ORÇAMENTO.CustoUnitario&gt;$AG215),AND(TIPOORCAMENTO="LICITADO",ORÇAMENTO.PrecoUnitarioLicitado&gt;$AN215)),"ACIMA REF.",
IF(AND($C215="S",$P215&lt;&gt;0,$Q215&lt;&gt;0,$T215=0,$U215&gt;0),"QUANT.",
IF(AND(Import.TipoArredondamento="TransfereGOV",$L215="F",$C215="S",LEN($Q215)&gt;13),"Código &gt;13",
IF(AND(Import.TipoArredondamento="TransfereGOV",$L215="F",$C215&lt;&gt;"S",LEN($R215)&gt;100),"Descrição &gt;100",
IF(AND(Import.TipoArredondamento="TransfereGOV",$L215="F",$C215="S",LEN($R215)&gt;500),"Descrição &gt;500",
IF(AND(Import.TipoArredondamento="TransfereGOV",$L215="F",$C215="S",LEFT(TRIM(UPPER($P215)),6)&lt;&gt;"SINAPI",ISNA(VLOOKUP(TRIM(UPPER($S215)),ListaTgov.Unidades,1,FALSE))),"Unid. Não Disp",
" "))))))))))))))))</f>
        <v>SEM CUSTO</v>
      </c>
      <c r="AD215" t="str">
        <f ca="1">IF(C215&lt;=CRONO.NivelExibicao,MAX($AD$15:OFFSET(AD215,-1,0))+IF($C215&lt;&gt;1,1,MAX(1,COUNTIF(QCI!$A$13:$A$24,OFFSET($E215,-1,0)))),"")</f>
        <v/>
      </c>
      <c r="AE215" s="7" t="str">
        <f ca="1">IF(AND($C215="S",ORÇAMENTO.CodBarra&lt;&gt;""),IF(ORÇAMENTO.Fonte="",ORÇAMENTO.CodBarra,CONCATENATE(ORÇAMENTO.Fonte," ",ORÇAMENTO.CodBarra)))</f>
        <v>SINAPI 89366</v>
      </c>
      <c r="AF215" s="12" t="str">
        <f ca="1">IF(ISERROR(INDIRECT(ORÇAMENTO.BancoRef)),"(abra o arquivo 'Referência "&amp;Excel_BuiltIn_Database&amp;".xlsm)",IF(OR($C215&lt;&gt;"S",ORÇAMENTO.CodBarra=""),"(Sem Código)",IF(ISERROR(MATCH($AE215,INDIRECT(ORÇAMENTO.BancoRef),0)),"(Código não identificado nas referências)",MATCH($AE215,INDIRECT(ORÇAMENTO.BancoRef),0))))</f>
        <v>(abra o arquivo 'Referência 12-2024.xlsm)</v>
      </c>
      <c r="AG215" s="429">
        <f ca="1">ROUND(IF(DESONERACAO="sim",REFERENCIA.Desonerado,REFERENCIA.NaoDesonerado),2)</f>
        <v>0</v>
      </c>
      <c r="AH215" s="430">
        <f t="shared" ca="1" si="64"/>
        <v>0.31190000000000001</v>
      </c>
      <c r="AJ215" s="432">
        <v>26</v>
      </c>
      <c r="AL215" s="440"/>
      <c r="AM215" s="337">
        <f t="shared" ca="1" si="0"/>
        <v>0</v>
      </c>
      <c r="AN215" s="471">
        <f t="shared" ca="1" si="65"/>
        <v>0</v>
      </c>
    </row>
    <row r="216" spans="1:40" ht="38.25" x14ac:dyDescent="0.2">
      <c r="A216" t="str">
        <f t="shared" si="50"/>
        <v>S</v>
      </c>
      <c r="B216">
        <f t="shared" ca="1" si="51"/>
        <v>3</v>
      </c>
      <c r="C216" t="str">
        <f t="shared" ca="1" si="52"/>
        <v>S</v>
      </c>
      <c r="D216">
        <f t="shared" ca="1" si="53"/>
        <v>0</v>
      </c>
      <c r="E216">
        <f ca="1">IF($C216=1,OFFSET(E216,-1,0)+MAX(1,COUNTIF(QCI!$A$13:$A$24,OFFSET(ORÇAMENTO!E216,-1,0))),OFFSET(E216,-1,0))</f>
        <v>1</v>
      </c>
      <c r="F216">
        <f t="shared" ca="1" si="54"/>
        <v>11</v>
      </c>
      <c r="G216">
        <f t="shared" ca="1" si="55"/>
        <v>2</v>
      </c>
      <c r="H216">
        <f t="shared" ca="1" si="56"/>
        <v>0</v>
      </c>
      <c r="I216">
        <f t="shared" ca="1" si="57"/>
        <v>0</v>
      </c>
      <c r="J216">
        <f t="shared" ca="1" si="58"/>
        <v>0</v>
      </c>
      <c r="K216">
        <f ca="1">IF(OR($C216="S",$C216=0),0,MATCH(OFFSET($D216,0,$C216)+IF($C216&lt;&gt;1,1,COUNTIF(QCI!$A$13:$A$24,ORÇAMENTO!E216)),OFFSET($D216,1,$C216,ROW($C$405)-ROW($C216)),0))</f>
        <v>0</v>
      </c>
      <c r="L216" s="115" t="str">
        <f t="shared" ca="1" si="59"/>
        <v/>
      </c>
      <c r="M216" s="116" t="s">
        <v>706</v>
      </c>
      <c r="N216" s="117" t="str">
        <f t="shared" ca="1" si="60"/>
        <v>Serviço</v>
      </c>
      <c r="O216" s="118" t="str">
        <f t="shared" ca="1" si="61"/>
        <v>-</v>
      </c>
      <c r="P216" s="119" t="s">
        <v>751</v>
      </c>
      <c r="Q216" s="120" t="s">
        <v>1119</v>
      </c>
      <c r="R216" s="121" t="s">
        <v>1495</v>
      </c>
      <c r="S216" s="122" t="s">
        <v>639</v>
      </c>
      <c r="T216" s="123">
        <f ca="1">OFFSET(CÁLCULO!H$15,ROW($T216)-ROW(T$15),0)</f>
        <v>1</v>
      </c>
      <c r="U216" s="124"/>
      <c r="V216" s="125" t="s">
        <v>663</v>
      </c>
      <c r="W216" s="123">
        <f ca="1">IF($C216="S",ROUND(IF(TIPOORCAMENTO="Proposto",ORÇAMENTO.CustoUnitario*(1+$AH216),ORÇAMENTO.PrecoUnitarioLicitado),15-13*$AF$10),0)</f>
        <v>0</v>
      </c>
      <c r="X216" s="126" cm="1">
        <f t="array" aca="1" ref="X216" ca="1">IF($C216="S",IF(OR(Import.TipoArredondamento&lt;&gt;"TransfereGOV",ACOMPANHAMENTO="BM"),VTOTAL1,SUM(OFFSET(CÁLCULO!$AA$15,ROW($X216)-ROW($X$15),1):OFFSET(CÁLCULO!$AL$15,ROW($X216)-ROW($X$15),-1))),IF($C216=0,0,ROUND(SomaAgrup,15-13*$AF$11)))</f>
        <v>0</v>
      </c>
      <c r="Y216" s="127" t="s">
        <v>752</v>
      </c>
      <c r="Z216" t="str">
        <f t="shared" ca="1" si="62"/>
        <v/>
      </c>
      <c r="AA216" s="128">
        <f ca="1">IF($C216="S",IF($Z216="CP",$X216,IF($Z216="RA",(($X216)*QCI!$AA$3),0)),SomaAgrup)</f>
        <v>0</v>
      </c>
      <c r="AB216" s="129">
        <f t="shared" ca="1" si="63"/>
        <v>0</v>
      </c>
      <c r="AC216" s="567" t="str">
        <f ca="1">IF($N216=""," ",
IF(AND($C216&lt;&gt;"S",OR($R216="",$R216="(digite a descrição aqui)")),"DESCRIÇÃO",
IF(AND($C216="S",OR($Q216&lt;&gt;0,$T216&gt;0,$U216&gt;0),$P216=0),"FONTE",
IF(AND($C216="S",$P216&lt;&gt;0,OR($T216&gt;0,$U216&gt;0),$Q216=0),"CÓDIGO",
IF(AND($C216="S",$P216&lt;&gt;0,$Q216&lt;&gt;0,$R216="(Código não identificado nas referências)"),"CÓDIGO N/ID",
IF(AND($C216="S",OR($R216="",$R216="(digite a descrição aqui)"),OR($Q216&lt;&gt;0,$T216&gt;0,$U216&gt;0)),"DESCRIÇÃO",
IF(AND($C216="S",$P216&lt;&gt;0,$Q216&lt;&gt;0,$S216=""),"UNIDADE",
IF(AND($C216="S",$P216&lt;&gt;0,$Q216&lt;&gt;0,$U216=0),"SEM CUSTO",
IF(AND(TIPOORCAMENTO="Licitado",$AL216=0,$AN216&gt;0),"SEM PREÇO",
IF(AND($C216="S",$P216&lt;&gt;0,$Q216&lt;&gt;0,$U216&gt;0,$V216=0),"BDI",
IF(OR(AND(TIPOORCAMENTO="Proposto",$AG216&lt;&gt;"",$AG216&gt;0,ORÇAMENTO.CustoUnitario&gt;$AG216),AND(TIPOORCAMENTO="LICITADO",ORÇAMENTO.PrecoUnitarioLicitado&gt;$AN216)),"ACIMA REF.",
IF(AND($C216="S",$P216&lt;&gt;0,$Q216&lt;&gt;0,$T216=0,$U216&gt;0),"QUANT.",
IF(AND(Import.TipoArredondamento="TransfereGOV",$L216="F",$C216="S",LEN($Q216)&gt;13),"Código &gt;13",
IF(AND(Import.TipoArredondamento="TransfereGOV",$L216="F",$C216&lt;&gt;"S",LEN($R216)&gt;100),"Descrição &gt;100",
IF(AND(Import.TipoArredondamento="TransfereGOV",$L216="F",$C216="S",LEN($R216)&gt;500),"Descrição &gt;500",
IF(AND(Import.TipoArredondamento="TransfereGOV",$L216="F",$C216="S",LEFT(TRIM(UPPER($P216)),6)&lt;&gt;"SINAPI",ISNA(VLOOKUP(TRIM(UPPER($S216)),ListaTgov.Unidades,1,FALSE))),"Unid. Não Disp",
" "))))))))))))))))</f>
        <v>SEM CUSTO</v>
      </c>
      <c r="AD216" t="str">
        <f ca="1">IF(C216&lt;=CRONO.NivelExibicao,MAX($AD$15:OFFSET(AD216,-1,0))+IF($C216&lt;&gt;1,1,MAX(1,COUNTIF(QCI!$A$13:$A$24,OFFSET($E216,-1,0)))),"")</f>
        <v/>
      </c>
      <c r="AE216" s="7" t="str">
        <f ca="1">IF(AND($C216="S",ORÇAMENTO.CodBarra&lt;&gt;""),IF(ORÇAMENTO.Fonte="",ORÇAMENTO.CodBarra,CONCATENATE(ORÇAMENTO.Fonte," ",ORÇAMENTO.CodBarra)))</f>
        <v>SINAPI 94703</v>
      </c>
      <c r="AF216" s="12" t="str">
        <f ca="1">IF(ISERROR(INDIRECT(ORÇAMENTO.BancoRef)),"(abra o arquivo 'Referência "&amp;Excel_BuiltIn_Database&amp;".xlsm)",IF(OR($C216&lt;&gt;"S",ORÇAMENTO.CodBarra=""),"(Sem Código)",IF(ISERROR(MATCH($AE216,INDIRECT(ORÇAMENTO.BancoRef),0)),"(Código não identificado nas referências)",MATCH($AE216,INDIRECT(ORÇAMENTO.BancoRef),0))))</f>
        <v>(abra o arquivo 'Referência 12-2024.xlsm)</v>
      </c>
      <c r="AG216" s="429">
        <f ca="1">ROUND(IF(DESONERACAO="sim",REFERENCIA.Desonerado,REFERENCIA.NaoDesonerado),2)</f>
        <v>0</v>
      </c>
      <c r="AH216" s="430">
        <f t="shared" ca="1" si="64"/>
        <v>0.31190000000000001</v>
      </c>
      <c r="AJ216" s="432">
        <v>1</v>
      </c>
      <c r="AL216" s="440"/>
      <c r="AM216" s="337">
        <f t="shared" ca="1" si="0"/>
        <v>0</v>
      </c>
      <c r="AN216" s="471">
        <f t="shared" ca="1" si="65"/>
        <v>0</v>
      </c>
    </row>
    <row r="217" spans="1:40" ht="25.5" x14ac:dyDescent="0.2">
      <c r="A217" t="str">
        <f t="shared" si="50"/>
        <v>S</v>
      </c>
      <c r="B217">
        <f t="shared" ca="1" si="51"/>
        <v>3</v>
      </c>
      <c r="C217" t="str">
        <f t="shared" ca="1" si="52"/>
        <v>S</v>
      </c>
      <c r="D217">
        <f t="shared" ca="1" si="53"/>
        <v>0</v>
      </c>
      <c r="E217">
        <f ca="1">IF($C217=1,OFFSET(E217,-1,0)+MAX(1,COUNTIF(QCI!$A$13:$A$24,OFFSET(ORÇAMENTO!E217,-1,0))),OFFSET(E217,-1,0))</f>
        <v>1</v>
      </c>
      <c r="F217">
        <f t="shared" ca="1" si="54"/>
        <v>11</v>
      </c>
      <c r="G217">
        <f t="shared" ca="1" si="55"/>
        <v>2</v>
      </c>
      <c r="H217">
        <f t="shared" ca="1" si="56"/>
        <v>0</v>
      </c>
      <c r="I217">
        <f t="shared" ca="1" si="57"/>
        <v>0</v>
      </c>
      <c r="J217">
        <f t="shared" ca="1" si="58"/>
        <v>0</v>
      </c>
      <c r="K217">
        <f ca="1">IF(OR($C217="S",$C217=0),0,MATCH(OFFSET($D217,0,$C217)+IF($C217&lt;&gt;1,1,COUNTIF(QCI!$A$13:$A$24,ORÇAMENTO!E217)),OFFSET($D217,1,$C217,ROW($C$405)-ROW($C217)),0))</f>
        <v>0</v>
      </c>
      <c r="L217" s="115" t="str">
        <f t="shared" ca="1" si="59"/>
        <v/>
      </c>
      <c r="M217" s="116" t="s">
        <v>706</v>
      </c>
      <c r="N217" s="117" t="str">
        <f t="shared" ca="1" si="60"/>
        <v>Serviço</v>
      </c>
      <c r="O217" s="118" t="str">
        <f t="shared" ca="1" si="61"/>
        <v>-</v>
      </c>
      <c r="P217" s="119" t="s">
        <v>1315</v>
      </c>
      <c r="Q217" s="120" t="s">
        <v>1120</v>
      </c>
      <c r="R217" s="121" t="s">
        <v>1496</v>
      </c>
      <c r="S217" s="122" t="s">
        <v>1644</v>
      </c>
      <c r="T217" s="123">
        <f ca="1">OFFSET(CÁLCULO!H$15,ROW($T217)-ROW(T$15),0)</f>
        <v>1</v>
      </c>
      <c r="U217" s="124"/>
      <c r="V217" s="125" t="s">
        <v>663</v>
      </c>
      <c r="W217" s="123">
        <f ca="1">IF($C217="S",ROUND(IF(TIPOORCAMENTO="Proposto",ORÇAMENTO.CustoUnitario*(1+$AH217),ORÇAMENTO.PrecoUnitarioLicitado),15-13*$AF$10),0)</f>
        <v>0</v>
      </c>
      <c r="X217" s="126" cm="1">
        <f t="array" aca="1" ref="X217" ca="1">IF($C217="S",IF(OR(Import.TipoArredondamento&lt;&gt;"TransfereGOV",ACOMPANHAMENTO="BM"),VTOTAL1,SUM(OFFSET(CÁLCULO!$AA$15,ROW($X217)-ROW($X$15),1):OFFSET(CÁLCULO!$AL$15,ROW($X217)-ROW($X$15),-1))),IF($C217=0,0,ROUND(SomaAgrup,15-13*$AF$11)))</f>
        <v>0</v>
      </c>
      <c r="Y217" s="127" t="s">
        <v>752</v>
      </c>
      <c r="Z217" t="str">
        <f t="shared" ca="1" si="62"/>
        <v/>
      </c>
      <c r="AA217" s="128">
        <f ca="1">IF($C217="S",IF($Z217="CP",$X217,IF($Z217="RA",(($X217)*QCI!$AA$3),0)),SomaAgrup)</f>
        <v>0</v>
      </c>
      <c r="AB217" s="129">
        <f t="shared" ca="1" si="63"/>
        <v>0</v>
      </c>
      <c r="AC217" s="567" t="str">
        <f ca="1">IF($N217=""," ",
IF(AND($C217&lt;&gt;"S",OR($R217="",$R217="(digite a descrição aqui)")),"DESCRIÇÃO",
IF(AND($C217="S",OR($Q217&lt;&gt;0,$T217&gt;0,$U217&gt;0),$P217=0),"FONTE",
IF(AND($C217="S",$P217&lt;&gt;0,OR($T217&gt;0,$U217&gt;0),$Q217=0),"CÓDIGO",
IF(AND($C217="S",$P217&lt;&gt;0,$Q217&lt;&gt;0,$R217="(Código não identificado nas referências)"),"CÓDIGO N/ID",
IF(AND($C217="S",OR($R217="",$R217="(digite a descrição aqui)"),OR($Q217&lt;&gt;0,$T217&gt;0,$U217&gt;0)),"DESCRIÇÃO",
IF(AND($C217="S",$P217&lt;&gt;0,$Q217&lt;&gt;0,$S217=""),"UNIDADE",
IF(AND($C217="S",$P217&lt;&gt;0,$Q217&lt;&gt;0,$U217=0),"SEM CUSTO",
IF(AND(TIPOORCAMENTO="Licitado",$AL217=0,$AN217&gt;0),"SEM PREÇO",
IF(AND($C217="S",$P217&lt;&gt;0,$Q217&lt;&gt;0,$U217&gt;0,$V217=0),"BDI",
IF(OR(AND(TIPOORCAMENTO="Proposto",$AG217&lt;&gt;"",$AG217&gt;0,ORÇAMENTO.CustoUnitario&gt;$AG217),AND(TIPOORCAMENTO="LICITADO",ORÇAMENTO.PrecoUnitarioLicitado&gt;$AN217)),"ACIMA REF.",
IF(AND($C217="S",$P217&lt;&gt;0,$Q217&lt;&gt;0,$T217=0,$U217&gt;0),"QUANT.",
IF(AND(Import.TipoArredondamento="TransfereGOV",$L217="F",$C217="S",LEN($Q217)&gt;13),"Código &gt;13",
IF(AND(Import.TipoArredondamento="TransfereGOV",$L217="F",$C217&lt;&gt;"S",LEN($R217)&gt;100),"Descrição &gt;100",
IF(AND(Import.TipoArredondamento="TransfereGOV",$L217="F",$C217="S",LEN($R217)&gt;500),"Descrição &gt;500",
IF(AND(Import.TipoArredondamento="TransfereGOV",$L217="F",$C217="S",LEFT(TRIM(UPPER($P217)),6)&lt;&gt;"SINAPI",ISNA(VLOOKUP(TRIM(UPPER($S217)),ListaTgov.Unidades,1,FALSE))),"Unid. Não Disp",
" "))))))))))))))))</f>
        <v>SEM CUSTO</v>
      </c>
      <c r="AD217" t="str">
        <f ca="1">IF(C217&lt;=CRONO.NivelExibicao,MAX($AD$15:OFFSET(AD217,-1,0))+IF($C217&lt;&gt;1,1,MAX(1,COUNTIF(QCI!$A$13:$A$24,OFFSET($E217,-1,0)))),"")</f>
        <v/>
      </c>
      <c r="AE217" s="7" t="str">
        <f ca="1">IF(AND($C217="S",ORÇAMENTO.CodBarra&lt;&gt;""),IF(ORÇAMENTO.Fonte="",ORÇAMENTO.CodBarra,CONCATENATE(ORÇAMENTO.Fonte," ",ORÇAMENTO.CodBarra)))</f>
        <v>SINAPI-I 43982</v>
      </c>
      <c r="AF217" s="12" t="str">
        <f ca="1">IF(ISERROR(INDIRECT(ORÇAMENTO.BancoRef)),"(abra o arquivo 'Referência "&amp;Excel_BuiltIn_Database&amp;".xlsm)",IF(OR($C217&lt;&gt;"S",ORÇAMENTO.CodBarra=""),"(Sem Código)",IF(ISERROR(MATCH($AE217,INDIRECT(ORÇAMENTO.BancoRef),0)),"(Código não identificado nas referências)",MATCH($AE217,INDIRECT(ORÇAMENTO.BancoRef),0))))</f>
        <v>(abra o arquivo 'Referência 12-2024.xlsm)</v>
      </c>
      <c r="AG217" s="429">
        <f ca="1">ROUND(IF(DESONERACAO="sim",REFERENCIA.Desonerado,REFERENCIA.NaoDesonerado),2)</f>
        <v>0</v>
      </c>
      <c r="AH217" s="430">
        <f t="shared" ca="1" si="64"/>
        <v>0.31190000000000001</v>
      </c>
      <c r="AJ217" s="432">
        <v>1</v>
      </c>
      <c r="AL217" s="440"/>
      <c r="AM217" s="337">
        <f t="shared" ca="1" si="0"/>
        <v>0</v>
      </c>
      <c r="AN217" s="471">
        <f t="shared" ca="1" si="65"/>
        <v>0</v>
      </c>
    </row>
    <row r="218" spans="1:40" x14ac:dyDescent="0.2">
      <c r="A218">
        <f t="shared" si="50"/>
        <v>2</v>
      </c>
      <c r="B218">
        <f t="shared" ca="1" si="51"/>
        <v>2</v>
      </c>
      <c r="C218">
        <f t="shared" ca="1" si="52"/>
        <v>2</v>
      </c>
      <c r="D218">
        <f t="shared" ca="1" si="53"/>
        <v>7</v>
      </c>
      <c r="E218">
        <f ca="1">IF($C218=1,OFFSET(E218,-1,0)+MAX(1,COUNTIF(QCI!$A$13:$A$24,OFFSET(ORÇAMENTO!E218,-1,0))),OFFSET(E218,-1,0))</f>
        <v>1</v>
      </c>
      <c r="F218">
        <f t="shared" ca="1" si="54"/>
        <v>12</v>
      </c>
      <c r="G218">
        <f t="shared" ca="1" si="55"/>
        <v>0</v>
      </c>
      <c r="H218">
        <f t="shared" ca="1" si="56"/>
        <v>0</v>
      </c>
      <c r="I218">
        <f t="shared" ca="1" si="57"/>
        <v>0</v>
      </c>
      <c r="J218">
        <f t="shared" ca="1" si="58"/>
        <v>187</v>
      </c>
      <c r="K218">
        <f ca="1">IF(OR($C218="S",$C218=0),0,MATCH(OFFSET($D218,0,$C218)+IF($C218&lt;&gt;1,1,COUNTIF(QCI!$A$13:$A$24,ORÇAMENTO!E218)),OFFSET($D218,1,$C218,ROW($C$405)-ROW($C218)),0))</f>
        <v>7</v>
      </c>
      <c r="L218" s="115" t="str">
        <f t="shared" ca="1" si="59"/>
        <v>F</v>
      </c>
      <c r="M218" s="116" t="s">
        <v>703</v>
      </c>
      <c r="N218" s="117" t="str">
        <f t="shared" ca="1" si="60"/>
        <v>Nível 2</v>
      </c>
      <c r="O218" s="118" t="str">
        <f t="shared" ca="1" si="61"/>
        <v>1.12.</v>
      </c>
      <c r="P218" s="119" t="s">
        <v>751</v>
      </c>
      <c r="Q218" s="120"/>
      <c r="R218" s="121" t="s">
        <v>1288</v>
      </c>
      <c r="S218" s="122" t="s">
        <v>689</v>
      </c>
      <c r="T218" s="123">
        <f ca="1">OFFSET(CÁLCULO!H$15,ROW($T218)-ROW(T$15),0)</f>
        <v>0</v>
      </c>
      <c r="U218" s="124"/>
      <c r="V218" s="125" t="s">
        <v>663</v>
      </c>
      <c r="W218" s="123">
        <f ca="1">IF($C218="S",ROUND(IF(TIPOORCAMENTO="Proposto",ORÇAMENTO.CustoUnitario*(1+$AH218),ORÇAMENTO.PrecoUnitarioLicitado),15-13*$AF$10),0)</f>
        <v>0</v>
      </c>
      <c r="X218" s="126" cm="1">
        <f t="array" aca="1" ref="X218" ca="1">IF($C218="S",IF(OR(Import.TipoArredondamento&lt;&gt;"TransfereGOV",ACOMPANHAMENTO="BM"),VTOTAL1,SUM(OFFSET(CÁLCULO!$AA$15,ROW($X218)-ROW($X$15),1):OFFSET(CÁLCULO!$AL$15,ROW($X218)-ROW($X$15),-1))),IF($C218=0,0,ROUND(SomaAgrup,15-13*$AF$11)))</f>
        <v>0</v>
      </c>
      <c r="Y218" s="127" t="s">
        <v>752</v>
      </c>
      <c r="Z218" t="str">
        <f t="shared" ca="1" si="62"/>
        <v/>
      </c>
      <c r="AA218" s="128">
        <f ca="1">IF($C218="S",IF($Z218="CP",$X218,IF($Z218="RA",(($X218)*QCI!$AA$3),0)),SomaAgrup)</f>
        <v>0</v>
      </c>
      <c r="AB218" s="129">
        <f t="shared" ca="1" si="63"/>
        <v>0</v>
      </c>
      <c r="AC218" s="567" t="str">
        <f ca="1">IF($N218=""," ",
IF(AND($C218&lt;&gt;"S",OR($R218="",$R218="(digite a descrição aqui)")),"DESCRIÇÃO",
IF(AND($C218="S",OR($Q218&lt;&gt;0,$T218&gt;0,$U218&gt;0),$P218=0),"FONTE",
IF(AND($C218="S",$P218&lt;&gt;0,OR($T218&gt;0,$U218&gt;0),$Q218=0),"CÓDIGO",
IF(AND($C218="S",$P218&lt;&gt;0,$Q218&lt;&gt;0,$R218="(Código não identificado nas referências)"),"CÓDIGO N/ID",
IF(AND($C218="S",OR($R218="",$R218="(digite a descrição aqui)"),OR($Q218&lt;&gt;0,$T218&gt;0,$U218&gt;0)),"DESCRIÇÃO",
IF(AND($C218="S",$P218&lt;&gt;0,$Q218&lt;&gt;0,$S218=""),"UNIDADE",
IF(AND($C218="S",$P218&lt;&gt;0,$Q218&lt;&gt;0,$U218=0),"SEM CUSTO",
IF(AND(TIPOORCAMENTO="Licitado",$AL218=0,$AN218&gt;0),"SEM PREÇO",
IF(AND($C218="S",$P218&lt;&gt;0,$Q218&lt;&gt;0,$U218&gt;0,$V218=0),"BDI",
IF(OR(AND(TIPOORCAMENTO="Proposto",$AG218&lt;&gt;"",$AG218&gt;0,ORÇAMENTO.CustoUnitario&gt;$AG218),AND(TIPOORCAMENTO="LICITADO",ORÇAMENTO.PrecoUnitarioLicitado&gt;$AN218)),"ACIMA REF.",
IF(AND($C218="S",$P218&lt;&gt;0,$Q218&lt;&gt;0,$T218=0,$U218&gt;0),"QUANT.",
IF(AND(Import.TipoArredondamento="TransfereGOV",$L218="F",$C218="S",LEN($Q218)&gt;13),"Código &gt;13",
IF(AND(Import.TipoArredondamento="TransfereGOV",$L218="F",$C218&lt;&gt;"S",LEN($R218)&gt;100),"Descrição &gt;100",
IF(AND(Import.TipoArredondamento="TransfereGOV",$L218="F",$C218="S",LEN($R218)&gt;500),"Descrição &gt;500",
IF(AND(Import.TipoArredondamento="TransfereGOV",$L218="F",$C218="S",LEFT(TRIM(UPPER($P218)),6)&lt;&gt;"SINAPI",ISNA(VLOOKUP(TRIM(UPPER($S218)),ListaTgov.Unidades,1,FALSE))),"Unid. Não Disp",
" "))))))))))))))))</f>
        <v xml:space="preserve"> </v>
      </c>
      <c r="AD218">
        <f ca="1">IF(C218&lt;=CRONO.NivelExibicao,MAX($AD$15:OFFSET(AD218,-1,0))+IF($C218&lt;&gt;1,1,MAX(1,COUNTIF(QCI!$A$13:$A$24,OFFSET($E218,-1,0)))),"")</f>
        <v>13</v>
      </c>
      <c r="AE218" s="7" t="b">
        <f ca="1">IF(AND($C218="S",ORÇAMENTO.CodBarra&lt;&gt;""),IF(ORÇAMENTO.Fonte="",ORÇAMENTO.CodBarra,CONCATENATE(ORÇAMENTO.Fonte," ",ORÇAMENTO.CodBarra)))</f>
        <v>0</v>
      </c>
      <c r="AF218" s="12" t="str">
        <f ca="1">IF(ISERROR(INDIRECT(ORÇAMENTO.BancoRef)),"(abra o arquivo 'Referência "&amp;Excel_BuiltIn_Database&amp;".xlsm)",IF(OR($C218&lt;&gt;"S",ORÇAMENTO.CodBarra=""),"(Sem Código)",IF(ISERROR(MATCH($AE218,INDIRECT(ORÇAMENTO.BancoRef),0)),"(Código não identificado nas referências)",MATCH($AE218,INDIRECT(ORÇAMENTO.BancoRef),0))))</f>
        <v>(abra o arquivo 'Referência 12-2024.xlsm)</v>
      </c>
      <c r="AG218" s="429">
        <f ca="1">ROUND(IF(DESONERACAO="sim",REFERENCIA.Desonerado,REFERENCIA.NaoDesonerado),2)</f>
        <v>0</v>
      </c>
      <c r="AH218" s="430">
        <f t="shared" ca="1" si="64"/>
        <v>0.31190000000000001</v>
      </c>
      <c r="AJ218" s="432"/>
      <c r="AL218" s="440"/>
      <c r="AM218" s="337">
        <f t="shared" ca="1" si="0"/>
        <v>0</v>
      </c>
      <c r="AN218" s="471">
        <f t="shared" ca="1" si="65"/>
        <v>0</v>
      </c>
    </row>
    <row r="219" spans="1:40" ht="25.5" x14ac:dyDescent="0.2">
      <c r="A219" t="str">
        <f t="shared" si="50"/>
        <v>S</v>
      </c>
      <c r="B219">
        <f t="shared" ca="1" si="51"/>
        <v>2</v>
      </c>
      <c r="C219" t="str">
        <f t="shared" ca="1" si="52"/>
        <v>S</v>
      </c>
      <c r="D219">
        <f t="shared" ca="1" si="53"/>
        <v>0</v>
      </c>
      <c r="E219">
        <f ca="1">IF($C219=1,OFFSET(E219,-1,0)+MAX(1,COUNTIF(QCI!$A$13:$A$24,OFFSET(ORÇAMENTO!E219,-1,0))),OFFSET(E219,-1,0))</f>
        <v>1</v>
      </c>
      <c r="F219">
        <f t="shared" ca="1" si="54"/>
        <v>12</v>
      </c>
      <c r="G219">
        <f t="shared" ca="1" si="55"/>
        <v>0</v>
      </c>
      <c r="H219">
        <f t="shared" ca="1" si="56"/>
        <v>0</v>
      </c>
      <c r="I219">
        <f t="shared" ca="1" si="57"/>
        <v>0</v>
      </c>
      <c r="J219">
        <f t="shared" ca="1" si="58"/>
        <v>0</v>
      </c>
      <c r="K219">
        <f ca="1">IF(OR($C219="S",$C219=0),0,MATCH(OFFSET($D219,0,$C219)+IF($C219&lt;&gt;1,1,COUNTIF(QCI!$A$13:$A$24,ORÇAMENTO!E219)),OFFSET($D219,1,$C219,ROW($C$405)-ROW($C219)),0))</f>
        <v>0</v>
      </c>
      <c r="L219" s="115" t="str">
        <f t="shared" ca="1" si="59"/>
        <v/>
      </c>
      <c r="M219" s="116" t="s">
        <v>706</v>
      </c>
      <c r="N219" s="117" t="str">
        <f t="shared" ca="1" si="60"/>
        <v>Serviço</v>
      </c>
      <c r="O219" s="118" t="str">
        <f t="shared" ca="1" si="61"/>
        <v>-</v>
      </c>
      <c r="P219" s="119" t="s">
        <v>1315</v>
      </c>
      <c r="Q219" s="120" t="s">
        <v>966</v>
      </c>
      <c r="R219" s="121" t="s">
        <v>1343</v>
      </c>
      <c r="S219" s="122" t="s">
        <v>1645</v>
      </c>
      <c r="T219" s="123">
        <f ca="1">OFFSET(CÁLCULO!H$15,ROW($T219)-ROW(T$15),0)</f>
        <v>318.08</v>
      </c>
      <c r="U219" s="124"/>
      <c r="V219" s="125" t="s">
        <v>663</v>
      </c>
      <c r="W219" s="123">
        <f ca="1">IF($C219="S",ROUND(IF(TIPOORCAMENTO="Proposto",ORÇAMENTO.CustoUnitario*(1+$AH219),ORÇAMENTO.PrecoUnitarioLicitado),15-13*$AF$10),0)</f>
        <v>0</v>
      </c>
      <c r="X219" s="126" cm="1">
        <f t="array" aca="1" ref="X219" ca="1">IF($C219="S",IF(OR(Import.TipoArredondamento&lt;&gt;"TransfereGOV",ACOMPANHAMENTO="BM"),VTOTAL1,SUM(OFFSET(CÁLCULO!$AA$15,ROW($X219)-ROW($X$15),1):OFFSET(CÁLCULO!$AL$15,ROW($X219)-ROW($X$15),-1))),IF($C219=0,0,ROUND(SomaAgrup,15-13*$AF$11)))</f>
        <v>0</v>
      </c>
      <c r="Y219" s="127" t="s">
        <v>752</v>
      </c>
      <c r="Z219" t="str">
        <f t="shared" ca="1" si="62"/>
        <v/>
      </c>
      <c r="AA219" s="128">
        <f ca="1">IF($C219="S",IF($Z219="CP",$X219,IF($Z219="RA",(($X219)*QCI!$AA$3),0)),SomaAgrup)</f>
        <v>0</v>
      </c>
      <c r="AB219" s="129">
        <f t="shared" ca="1" si="63"/>
        <v>0</v>
      </c>
      <c r="AC219" s="567" t="str">
        <f ca="1">IF($N219=""," ",
IF(AND($C219&lt;&gt;"S",OR($R219="",$R219="(digite a descrição aqui)")),"DESCRIÇÃO",
IF(AND($C219="S",OR($Q219&lt;&gt;0,$T219&gt;0,$U219&gt;0),$P219=0),"FONTE",
IF(AND($C219="S",$P219&lt;&gt;0,OR($T219&gt;0,$U219&gt;0),$Q219=0),"CÓDIGO",
IF(AND($C219="S",$P219&lt;&gt;0,$Q219&lt;&gt;0,$R219="(Código não identificado nas referências)"),"CÓDIGO N/ID",
IF(AND($C219="S",OR($R219="",$R219="(digite a descrição aqui)"),OR($Q219&lt;&gt;0,$T219&gt;0,$U219&gt;0)),"DESCRIÇÃO",
IF(AND($C219="S",$P219&lt;&gt;0,$Q219&lt;&gt;0,$S219=""),"UNIDADE",
IF(AND($C219="S",$P219&lt;&gt;0,$Q219&lt;&gt;0,$U219=0),"SEM CUSTO",
IF(AND(TIPOORCAMENTO="Licitado",$AL219=0,$AN219&gt;0),"SEM PREÇO",
IF(AND($C219="S",$P219&lt;&gt;0,$Q219&lt;&gt;0,$U219&gt;0,$V219=0),"BDI",
IF(OR(AND(TIPOORCAMENTO="Proposto",$AG219&lt;&gt;"",$AG219&gt;0,ORÇAMENTO.CustoUnitario&gt;$AG219),AND(TIPOORCAMENTO="LICITADO",ORÇAMENTO.PrecoUnitarioLicitado&gt;$AN219)),"ACIMA REF.",
IF(AND($C219="S",$P219&lt;&gt;0,$Q219&lt;&gt;0,$T219=0,$U219&gt;0),"QUANT.",
IF(AND(Import.TipoArredondamento="TransfereGOV",$L219="F",$C219="S",LEN($Q219)&gt;13),"Código &gt;13",
IF(AND(Import.TipoArredondamento="TransfereGOV",$L219="F",$C219&lt;&gt;"S",LEN($R219)&gt;100),"Descrição &gt;100",
IF(AND(Import.TipoArredondamento="TransfereGOV",$L219="F",$C219="S",LEN($R219)&gt;500),"Descrição &gt;500",
IF(AND(Import.TipoArredondamento="TransfereGOV",$L219="F",$C219="S",LEFT(TRIM(UPPER($P219)),6)&lt;&gt;"SINAPI",ISNA(VLOOKUP(TRIM(UPPER($S219)),ListaTgov.Unidades,1,FALSE))),"Unid. Não Disp",
" "))))))))))))))))</f>
        <v>SEM CUSTO</v>
      </c>
      <c r="AD219" t="str">
        <f ca="1">IF(C219&lt;=CRONO.NivelExibicao,MAX($AD$15:OFFSET(AD219,-1,0))+IF($C219&lt;&gt;1,1,MAX(1,COUNTIF(QCI!$A$13:$A$24,OFFSET($E219,-1,0)))),"")</f>
        <v/>
      </c>
      <c r="AE219" s="7" t="str">
        <f ca="1">IF(AND($C219="S",ORÇAMENTO.CodBarra&lt;&gt;""),IF(ORÇAMENTO.Fonte="",ORÇAMENTO.CodBarra,CONCATENATE(ORÇAMENTO.Fonte," ",ORÇAMENTO.CodBarra)))</f>
        <v>SINAPI-I 142</v>
      </c>
      <c r="AF219" s="12" t="str">
        <f ca="1">IF(ISERROR(INDIRECT(ORÇAMENTO.BancoRef)),"(abra o arquivo 'Referência "&amp;Excel_BuiltIn_Database&amp;".xlsm)",IF(OR($C219&lt;&gt;"S",ORÇAMENTO.CodBarra=""),"(Sem Código)",IF(ISERROR(MATCH($AE219,INDIRECT(ORÇAMENTO.BancoRef),0)),"(Código não identificado nas referências)",MATCH($AE219,INDIRECT(ORÇAMENTO.BancoRef),0))))</f>
        <v>(abra o arquivo 'Referência 12-2024.xlsm)</v>
      </c>
      <c r="AG219" s="429">
        <f ca="1">ROUND(IF(DESONERACAO="sim",REFERENCIA.Desonerado,REFERENCIA.NaoDesonerado),2)</f>
        <v>0</v>
      </c>
      <c r="AH219" s="430">
        <f t="shared" ca="1" si="64"/>
        <v>0.31190000000000001</v>
      </c>
      <c r="AJ219" s="432">
        <v>318.08</v>
      </c>
      <c r="AL219" s="440"/>
      <c r="AM219" s="337">
        <f t="shared" ca="1" si="0"/>
        <v>0</v>
      </c>
      <c r="AN219" s="471">
        <f t="shared" ca="1" si="65"/>
        <v>0</v>
      </c>
    </row>
    <row r="220" spans="1:40" ht="25.5" x14ac:dyDescent="0.2">
      <c r="A220" t="str">
        <f t="shared" si="50"/>
        <v>S</v>
      </c>
      <c r="B220">
        <f t="shared" ca="1" si="51"/>
        <v>2</v>
      </c>
      <c r="C220" t="str">
        <f t="shared" ca="1" si="52"/>
        <v>S</v>
      </c>
      <c r="D220">
        <f t="shared" ca="1" si="53"/>
        <v>0</v>
      </c>
      <c r="E220">
        <f ca="1">IF($C220=1,OFFSET(E220,-1,0)+MAX(1,COUNTIF(QCI!$A$13:$A$24,OFFSET(ORÇAMENTO!E220,-1,0))),OFFSET(E220,-1,0))</f>
        <v>1</v>
      </c>
      <c r="F220">
        <f t="shared" ca="1" si="54"/>
        <v>12</v>
      </c>
      <c r="G220">
        <f t="shared" ca="1" si="55"/>
        <v>0</v>
      </c>
      <c r="H220">
        <f t="shared" ca="1" si="56"/>
        <v>0</v>
      </c>
      <c r="I220">
        <f t="shared" ca="1" si="57"/>
        <v>0</v>
      </c>
      <c r="J220">
        <f t="shared" ca="1" si="58"/>
        <v>0</v>
      </c>
      <c r="K220">
        <f ca="1">IF(OR($C220="S",$C220=0),0,MATCH(OFFSET($D220,0,$C220)+IF($C220&lt;&gt;1,1,COUNTIF(QCI!$A$13:$A$24,ORÇAMENTO!E220)),OFFSET($D220,1,$C220,ROW($C$405)-ROW($C220)),0))</f>
        <v>0</v>
      </c>
      <c r="L220" s="115" t="str">
        <f t="shared" ca="1" si="59"/>
        <v/>
      </c>
      <c r="M220" s="116" t="s">
        <v>706</v>
      </c>
      <c r="N220" s="117" t="str">
        <f t="shared" ca="1" si="60"/>
        <v>Serviço</v>
      </c>
      <c r="O220" s="118" t="str">
        <f t="shared" ca="1" si="61"/>
        <v>-</v>
      </c>
      <c r="P220" s="119" t="s">
        <v>751</v>
      </c>
      <c r="Q220" s="120" t="s">
        <v>1121</v>
      </c>
      <c r="R220" s="121" t="s">
        <v>1497</v>
      </c>
      <c r="S220" s="122" t="s">
        <v>623</v>
      </c>
      <c r="T220" s="123">
        <f ca="1">OFFSET(CÁLCULO!H$15,ROW($T220)-ROW(T$15),0)</f>
        <v>493</v>
      </c>
      <c r="U220" s="124"/>
      <c r="V220" s="125" t="s">
        <v>663</v>
      </c>
      <c r="W220" s="123">
        <f ca="1">IF($C220="S",ROUND(IF(TIPOORCAMENTO="Proposto",ORÇAMENTO.CustoUnitario*(1+$AH220),ORÇAMENTO.PrecoUnitarioLicitado),15-13*$AF$10),0)</f>
        <v>0</v>
      </c>
      <c r="X220" s="126" cm="1">
        <f t="array" aca="1" ref="X220" ca="1">IF($C220="S",IF(OR(Import.TipoArredondamento&lt;&gt;"TransfereGOV",ACOMPANHAMENTO="BM"),VTOTAL1,SUM(OFFSET(CÁLCULO!$AA$15,ROW($X220)-ROW($X$15),1):OFFSET(CÁLCULO!$AL$15,ROW($X220)-ROW($X$15),-1))),IF($C220=0,0,ROUND(SomaAgrup,15-13*$AF$11)))</f>
        <v>0</v>
      </c>
      <c r="Y220" s="127" t="s">
        <v>752</v>
      </c>
      <c r="Z220" t="str">
        <f t="shared" ca="1" si="62"/>
        <v/>
      </c>
      <c r="AA220" s="128">
        <f ca="1">IF($C220="S",IF($Z220="CP",$X220,IF($Z220="RA",(($X220)*QCI!$AA$3),0)),SomaAgrup)</f>
        <v>0</v>
      </c>
      <c r="AB220" s="129">
        <f t="shared" ca="1" si="63"/>
        <v>0</v>
      </c>
      <c r="AC220" s="567" t="str">
        <f ca="1">IF($N220=""," ",
IF(AND($C220&lt;&gt;"S",OR($R220="",$R220="(digite a descrição aqui)")),"DESCRIÇÃO",
IF(AND($C220="S",OR($Q220&lt;&gt;0,$T220&gt;0,$U220&gt;0),$P220=0),"FONTE",
IF(AND($C220="S",$P220&lt;&gt;0,OR($T220&gt;0,$U220&gt;0),$Q220=0),"CÓDIGO",
IF(AND($C220="S",$P220&lt;&gt;0,$Q220&lt;&gt;0,$R220="(Código não identificado nas referências)"),"CÓDIGO N/ID",
IF(AND($C220="S",OR($R220="",$R220="(digite a descrição aqui)"),OR($Q220&lt;&gt;0,$T220&gt;0,$U220&gt;0)),"DESCRIÇÃO",
IF(AND($C220="S",$P220&lt;&gt;0,$Q220&lt;&gt;0,$S220=""),"UNIDADE",
IF(AND($C220="S",$P220&lt;&gt;0,$Q220&lt;&gt;0,$U220=0),"SEM CUSTO",
IF(AND(TIPOORCAMENTO="Licitado",$AL220=0,$AN220&gt;0),"SEM PREÇO",
IF(AND($C220="S",$P220&lt;&gt;0,$Q220&lt;&gt;0,$U220&gt;0,$V220=0),"BDI",
IF(OR(AND(TIPOORCAMENTO="Proposto",$AG220&lt;&gt;"",$AG220&gt;0,ORÇAMENTO.CustoUnitario&gt;$AG220),AND(TIPOORCAMENTO="LICITADO",ORÇAMENTO.PrecoUnitarioLicitado&gt;$AN220)),"ACIMA REF.",
IF(AND($C220="S",$P220&lt;&gt;0,$Q220&lt;&gt;0,$T220=0,$U220&gt;0),"QUANT.",
IF(AND(Import.TipoArredondamento="TransfereGOV",$L220="F",$C220="S",LEN($Q220)&gt;13),"Código &gt;13",
IF(AND(Import.TipoArredondamento="TransfereGOV",$L220="F",$C220&lt;&gt;"S",LEN($R220)&gt;100),"Descrição &gt;100",
IF(AND(Import.TipoArredondamento="TransfereGOV",$L220="F",$C220="S",LEN($R220)&gt;500),"Descrição &gt;500",
IF(AND(Import.TipoArredondamento="TransfereGOV",$L220="F",$C220="S",LEFT(TRIM(UPPER($P220)),6)&lt;&gt;"SINAPI",ISNA(VLOOKUP(TRIM(UPPER($S220)),ListaTgov.Unidades,1,FALSE))),"Unid. Não Disp",
" "))))))))))))))))</f>
        <v>SEM CUSTO</v>
      </c>
      <c r="AD220" t="str">
        <f ca="1">IF(C220&lt;=CRONO.NivelExibicao,MAX($AD$15:OFFSET(AD220,-1,0))+IF($C220&lt;&gt;1,1,MAX(1,COUNTIF(QCI!$A$13:$A$24,OFFSET($E220,-1,0)))),"")</f>
        <v/>
      </c>
      <c r="AE220" s="7" t="str">
        <f ca="1">IF(AND($C220="S",ORÇAMENTO.CodBarra&lt;&gt;""),IF(ORÇAMENTO.Fonte="",ORÇAMENTO.CodBarra,CONCATENATE(ORÇAMENTO.Fonte," ",ORÇAMENTO.CodBarra)))</f>
        <v>SINAPI 101727</v>
      </c>
      <c r="AF220" s="12" t="str">
        <f ca="1">IF(ISERROR(INDIRECT(ORÇAMENTO.BancoRef)),"(abra o arquivo 'Referência "&amp;Excel_BuiltIn_Database&amp;".xlsm)",IF(OR($C220&lt;&gt;"S",ORÇAMENTO.CodBarra=""),"(Sem Código)",IF(ISERROR(MATCH($AE220,INDIRECT(ORÇAMENTO.BancoRef),0)),"(Código não identificado nas referências)",MATCH($AE220,INDIRECT(ORÇAMENTO.BancoRef),0))))</f>
        <v>(abra o arquivo 'Referência 12-2024.xlsm)</v>
      </c>
      <c r="AG220" s="429">
        <f ca="1">ROUND(IF(DESONERACAO="sim",REFERENCIA.Desonerado,REFERENCIA.NaoDesonerado),2)</f>
        <v>0</v>
      </c>
      <c r="AH220" s="430">
        <f t="shared" ca="1" si="64"/>
        <v>0.31190000000000001</v>
      </c>
      <c r="AJ220" s="432">
        <v>493</v>
      </c>
      <c r="AL220" s="440"/>
      <c r="AM220" s="337">
        <f t="shared" ca="1" si="0"/>
        <v>0</v>
      </c>
      <c r="AN220" s="471">
        <f t="shared" ca="1" si="65"/>
        <v>0</v>
      </c>
    </row>
    <row r="221" spans="1:40" ht="38.25" x14ac:dyDescent="0.2">
      <c r="A221" t="str">
        <f t="shared" si="50"/>
        <v>S</v>
      </c>
      <c r="B221">
        <f t="shared" ca="1" si="51"/>
        <v>2</v>
      </c>
      <c r="C221" t="str">
        <f t="shared" ca="1" si="52"/>
        <v>S</v>
      </c>
      <c r="D221">
        <f t="shared" ca="1" si="53"/>
        <v>0</v>
      </c>
      <c r="E221">
        <f ca="1">IF($C221=1,OFFSET(E221,-1,0)+MAX(1,COUNTIF(QCI!$A$13:$A$24,OFFSET(ORÇAMENTO!E221,-1,0))),OFFSET(E221,-1,0))</f>
        <v>1</v>
      </c>
      <c r="F221">
        <f t="shared" ca="1" si="54"/>
        <v>12</v>
      </c>
      <c r="G221">
        <f t="shared" ca="1" si="55"/>
        <v>0</v>
      </c>
      <c r="H221">
        <f t="shared" ca="1" si="56"/>
        <v>0</v>
      </c>
      <c r="I221">
        <f t="shared" ca="1" si="57"/>
        <v>0</v>
      </c>
      <c r="J221">
        <f t="shared" ca="1" si="58"/>
        <v>0</v>
      </c>
      <c r="K221">
        <f ca="1">IF(OR($C221="S",$C221=0),0,MATCH(OFFSET($D221,0,$C221)+IF($C221&lt;&gt;1,1,COUNTIF(QCI!$A$13:$A$24,ORÇAMENTO!E221)),OFFSET($D221,1,$C221,ROW($C$405)-ROW($C221)),0))</f>
        <v>0</v>
      </c>
      <c r="L221" s="115" t="str">
        <f t="shared" ca="1" si="59"/>
        <v/>
      </c>
      <c r="M221" s="116" t="s">
        <v>706</v>
      </c>
      <c r="N221" s="117" t="str">
        <f t="shared" ca="1" si="60"/>
        <v>Serviço</v>
      </c>
      <c r="O221" s="118" t="str">
        <f t="shared" ca="1" si="61"/>
        <v>-</v>
      </c>
      <c r="P221" s="119" t="s">
        <v>751</v>
      </c>
      <c r="Q221" s="120" t="s">
        <v>1122</v>
      </c>
      <c r="R221" s="121" t="s">
        <v>1498</v>
      </c>
      <c r="S221" s="122" t="s">
        <v>623</v>
      </c>
      <c r="T221" s="123">
        <f ca="1">OFFSET(CÁLCULO!H$15,ROW($T221)-ROW(T$15),0)</f>
        <v>950.66</v>
      </c>
      <c r="U221" s="124"/>
      <c r="V221" s="125" t="s">
        <v>663</v>
      </c>
      <c r="W221" s="123">
        <f ca="1">IF($C221="S",ROUND(IF(TIPOORCAMENTO="Proposto",ORÇAMENTO.CustoUnitario*(1+$AH221),ORÇAMENTO.PrecoUnitarioLicitado),15-13*$AF$10),0)</f>
        <v>0</v>
      </c>
      <c r="X221" s="126" cm="1">
        <f t="array" aca="1" ref="X221" ca="1">IF($C221="S",IF(OR(Import.TipoArredondamento&lt;&gt;"TransfereGOV",ACOMPANHAMENTO="BM"),VTOTAL1,SUM(OFFSET(CÁLCULO!$AA$15,ROW($X221)-ROW($X$15),1):OFFSET(CÁLCULO!$AL$15,ROW($X221)-ROW($X$15),-1))),IF($C221=0,0,ROUND(SomaAgrup,15-13*$AF$11)))</f>
        <v>0</v>
      </c>
      <c r="Y221" s="127" t="s">
        <v>752</v>
      </c>
      <c r="Z221" t="str">
        <f t="shared" ca="1" si="62"/>
        <v/>
      </c>
      <c r="AA221" s="128">
        <f ca="1">IF($C221="S",IF($Z221="CP",$X221,IF($Z221="RA",(($X221)*QCI!$AA$3),0)),SomaAgrup)</f>
        <v>0</v>
      </c>
      <c r="AB221" s="129">
        <f t="shared" ca="1" si="63"/>
        <v>0</v>
      </c>
      <c r="AC221" s="567" t="str">
        <f ca="1">IF($N221=""," ",
IF(AND($C221&lt;&gt;"S",OR($R221="",$R221="(digite a descrição aqui)")),"DESCRIÇÃO",
IF(AND($C221="S",OR($Q221&lt;&gt;0,$T221&gt;0,$U221&gt;0),$P221=0),"FONTE",
IF(AND($C221="S",$P221&lt;&gt;0,OR($T221&gt;0,$U221&gt;0),$Q221=0),"CÓDIGO",
IF(AND($C221="S",$P221&lt;&gt;0,$Q221&lt;&gt;0,$R221="(Código não identificado nas referências)"),"CÓDIGO N/ID",
IF(AND($C221="S",OR($R221="",$R221="(digite a descrição aqui)"),OR($Q221&lt;&gt;0,$T221&gt;0,$U221&gt;0)),"DESCRIÇÃO",
IF(AND($C221="S",$P221&lt;&gt;0,$Q221&lt;&gt;0,$S221=""),"UNIDADE",
IF(AND($C221="S",$P221&lt;&gt;0,$Q221&lt;&gt;0,$U221=0),"SEM CUSTO",
IF(AND(TIPOORCAMENTO="Licitado",$AL221=0,$AN221&gt;0),"SEM PREÇO",
IF(AND($C221="S",$P221&lt;&gt;0,$Q221&lt;&gt;0,$U221&gt;0,$V221=0),"BDI",
IF(OR(AND(TIPOORCAMENTO="Proposto",$AG221&lt;&gt;"",$AG221&gt;0,ORÇAMENTO.CustoUnitario&gt;$AG221),AND(TIPOORCAMENTO="LICITADO",ORÇAMENTO.PrecoUnitarioLicitado&gt;$AN221)),"ACIMA REF.",
IF(AND($C221="S",$P221&lt;&gt;0,$Q221&lt;&gt;0,$T221=0,$U221&gt;0),"QUANT.",
IF(AND(Import.TipoArredondamento="TransfereGOV",$L221="F",$C221="S",LEN($Q221)&gt;13),"Código &gt;13",
IF(AND(Import.TipoArredondamento="TransfereGOV",$L221="F",$C221&lt;&gt;"S",LEN($R221)&gt;100),"Descrição &gt;100",
IF(AND(Import.TipoArredondamento="TransfereGOV",$L221="F",$C221="S",LEN($R221)&gt;500),"Descrição &gt;500",
IF(AND(Import.TipoArredondamento="TransfereGOV",$L221="F",$C221="S",LEFT(TRIM(UPPER($P221)),6)&lt;&gt;"SINAPI",ISNA(VLOOKUP(TRIM(UPPER($S221)),ListaTgov.Unidades,1,FALSE))),"Unid. Não Disp",
" "))))))))))))))))</f>
        <v>SEM CUSTO</v>
      </c>
      <c r="AD221" t="str">
        <f ca="1">IF(C221&lt;=CRONO.NivelExibicao,MAX($AD$15:OFFSET(AD221,-1,0))+IF($C221&lt;&gt;1,1,MAX(1,COUNTIF(QCI!$A$13:$A$24,OFFSET($E221,-1,0)))),"")</f>
        <v/>
      </c>
      <c r="AE221" s="7" t="str">
        <f ca="1">IF(AND($C221="S",ORÇAMENTO.CodBarra&lt;&gt;""),IF(ORÇAMENTO.Fonte="",ORÇAMENTO.CodBarra,CONCATENATE(ORÇAMENTO.Fonte," ",ORÇAMENTO.CodBarra)))</f>
        <v>SINAPI 87263</v>
      </c>
      <c r="AF221" s="12" t="str">
        <f ca="1">IF(ISERROR(INDIRECT(ORÇAMENTO.BancoRef)),"(abra o arquivo 'Referência "&amp;Excel_BuiltIn_Database&amp;".xlsm)",IF(OR($C221&lt;&gt;"S",ORÇAMENTO.CodBarra=""),"(Sem Código)",IF(ISERROR(MATCH($AE221,INDIRECT(ORÇAMENTO.BancoRef),0)),"(Código não identificado nas referências)",MATCH($AE221,INDIRECT(ORÇAMENTO.BancoRef),0))))</f>
        <v>(abra o arquivo 'Referência 12-2024.xlsm)</v>
      </c>
      <c r="AG221" s="429">
        <f ca="1">ROUND(IF(DESONERACAO="sim",REFERENCIA.Desonerado,REFERENCIA.NaoDesonerado),2)</f>
        <v>0</v>
      </c>
      <c r="AH221" s="430">
        <f t="shared" ca="1" si="64"/>
        <v>0.31190000000000001</v>
      </c>
      <c r="AJ221" s="432">
        <v>950.66</v>
      </c>
      <c r="AL221" s="440"/>
      <c r="AM221" s="337">
        <f t="shared" ca="1" si="0"/>
        <v>0</v>
      </c>
      <c r="AN221" s="471">
        <f t="shared" ca="1" si="65"/>
        <v>0</v>
      </c>
    </row>
    <row r="222" spans="1:40" ht="38.25" x14ac:dyDescent="0.2">
      <c r="A222" t="str">
        <f t="shared" si="50"/>
        <v>S</v>
      </c>
      <c r="B222">
        <f t="shared" ca="1" si="51"/>
        <v>2</v>
      </c>
      <c r="C222" t="str">
        <f t="shared" ca="1" si="52"/>
        <v>S</v>
      </c>
      <c r="D222">
        <f t="shared" ca="1" si="53"/>
        <v>0</v>
      </c>
      <c r="E222">
        <f ca="1">IF($C222=1,OFFSET(E222,-1,0)+MAX(1,COUNTIF(QCI!$A$13:$A$24,OFFSET(ORÇAMENTO!E222,-1,0))),OFFSET(E222,-1,0))</f>
        <v>1</v>
      </c>
      <c r="F222">
        <f t="shared" ca="1" si="54"/>
        <v>12</v>
      </c>
      <c r="G222">
        <f t="shared" ca="1" si="55"/>
        <v>0</v>
      </c>
      <c r="H222">
        <f t="shared" ca="1" si="56"/>
        <v>0</v>
      </c>
      <c r="I222">
        <f t="shared" ca="1" si="57"/>
        <v>0</v>
      </c>
      <c r="J222">
        <f t="shared" ca="1" si="58"/>
        <v>0</v>
      </c>
      <c r="K222">
        <f ca="1">IF(OR($C222="S",$C222=0),0,MATCH(OFFSET($D222,0,$C222)+IF($C222&lt;&gt;1,1,COUNTIF(QCI!$A$13:$A$24,ORÇAMENTO!E222)),OFFSET($D222,1,$C222,ROW($C$405)-ROW($C222)),0))</f>
        <v>0</v>
      </c>
      <c r="L222" s="115" t="str">
        <f t="shared" ca="1" si="59"/>
        <v/>
      </c>
      <c r="M222" s="116" t="s">
        <v>706</v>
      </c>
      <c r="N222" s="117" t="str">
        <f t="shared" ca="1" si="60"/>
        <v>Serviço</v>
      </c>
      <c r="O222" s="118" t="str">
        <f t="shared" ca="1" si="61"/>
        <v>-</v>
      </c>
      <c r="P222" s="119" t="s">
        <v>751</v>
      </c>
      <c r="Q222" s="120" t="s">
        <v>1123</v>
      </c>
      <c r="R222" s="121" t="s">
        <v>1499</v>
      </c>
      <c r="S222" s="122" t="s">
        <v>623</v>
      </c>
      <c r="T222" s="123">
        <f ca="1">OFFSET(CÁLCULO!H$15,ROW($T222)-ROW(T$15),0)</f>
        <v>52.26</v>
      </c>
      <c r="U222" s="124"/>
      <c r="V222" s="125" t="s">
        <v>663</v>
      </c>
      <c r="W222" s="123">
        <f ca="1">IF($C222="S",ROUND(IF(TIPOORCAMENTO="Proposto",ORÇAMENTO.CustoUnitario*(1+$AH222),ORÇAMENTO.PrecoUnitarioLicitado),15-13*$AF$10),0)</f>
        <v>0</v>
      </c>
      <c r="X222" s="126" cm="1">
        <f t="array" aca="1" ref="X222" ca="1">IF($C222="S",IF(OR(Import.TipoArredondamento&lt;&gt;"TransfereGOV",ACOMPANHAMENTO="BM"),VTOTAL1,SUM(OFFSET(CÁLCULO!$AA$15,ROW($X222)-ROW($X$15),1):OFFSET(CÁLCULO!$AL$15,ROW($X222)-ROW($X$15),-1))),IF($C222=0,0,ROUND(SomaAgrup,15-13*$AF$11)))</f>
        <v>0</v>
      </c>
      <c r="Y222" s="127" t="s">
        <v>752</v>
      </c>
      <c r="Z222" t="str">
        <f t="shared" ca="1" si="62"/>
        <v/>
      </c>
      <c r="AA222" s="128">
        <f ca="1">IF($C222="S",IF($Z222="CP",$X222,IF($Z222="RA",(($X222)*QCI!$AA$3),0)),SomaAgrup)</f>
        <v>0</v>
      </c>
      <c r="AB222" s="129">
        <f t="shared" ca="1" si="63"/>
        <v>0</v>
      </c>
      <c r="AC222" s="567" t="str">
        <f ca="1">IF($N222=""," ",
IF(AND($C222&lt;&gt;"S",OR($R222="",$R222="(digite a descrição aqui)")),"DESCRIÇÃO",
IF(AND($C222="S",OR($Q222&lt;&gt;0,$T222&gt;0,$U222&gt;0),$P222=0),"FONTE",
IF(AND($C222="S",$P222&lt;&gt;0,OR($T222&gt;0,$U222&gt;0),$Q222=0),"CÓDIGO",
IF(AND($C222="S",$P222&lt;&gt;0,$Q222&lt;&gt;0,$R222="(Código não identificado nas referências)"),"CÓDIGO N/ID",
IF(AND($C222="S",OR($R222="",$R222="(digite a descrição aqui)"),OR($Q222&lt;&gt;0,$T222&gt;0,$U222&gt;0)),"DESCRIÇÃO",
IF(AND($C222="S",$P222&lt;&gt;0,$Q222&lt;&gt;0,$S222=""),"UNIDADE",
IF(AND($C222="S",$P222&lt;&gt;0,$Q222&lt;&gt;0,$U222=0),"SEM CUSTO",
IF(AND(TIPOORCAMENTO="Licitado",$AL222=0,$AN222&gt;0),"SEM PREÇO",
IF(AND($C222="S",$P222&lt;&gt;0,$Q222&lt;&gt;0,$U222&gt;0,$V222=0),"BDI",
IF(OR(AND(TIPOORCAMENTO="Proposto",$AG222&lt;&gt;"",$AG222&gt;0,ORÇAMENTO.CustoUnitario&gt;$AG222),AND(TIPOORCAMENTO="LICITADO",ORÇAMENTO.PrecoUnitarioLicitado&gt;$AN222)),"ACIMA REF.",
IF(AND($C222="S",$P222&lt;&gt;0,$Q222&lt;&gt;0,$T222=0,$U222&gt;0),"QUANT.",
IF(AND(Import.TipoArredondamento="TransfereGOV",$L222="F",$C222="S",LEN($Q222)&gt;13),"Código &gt;13",
IF(AND(Import.TipoArredondamento="TransfereGOV",$L222="F",$C222&lt;&gt;"S",LEN($R222)&gt;100),"Descrição &gt;100",
IF(AND(Import.TipoArredondamento="TransfereGOV",$L222="F",$C222="S",LEN($R222)&gt;500),"Descrição &gt;500",
IF(AND(Import.TipoArredondamento="TransfereGOV",$L222="F",$C222="S",LEFT(TRIM(UPPER($P222)),6)&lt;&gt;"SINAPI",ISNA(VLOOKUP(TRIM(UPPER($S222)),ListaTgov.Unidades,1,FALSE))),"Unid. Não Disp",
" "))))))))))))))))</f>
        <v>SEM CUSTO</v>
      </c>
      <c r="AD222" t="str">
        <f ca="1">IF(C222&lt;=CRONO.NivelExibicao,MAX($AD$15:OFFSET(AD222,-1,0))+IF($C222&lt;&gt;1,1,MAX(1,COUNTIF(QCI!$A$13:$A$24,OFFSET($E222,-1,0)))),"")</f>
        <v/>
      </c>
      <c r="AE222" s="7" t="str">
        <f ca="1">IF(AND($C222="S",ORÇAMENTO.CodBarra&lt;&gt;""),IF(ORÇAMENTO.Fonte="",ORÇAMENTO.CodBarra,CONCATENATE(ORÇAMENTO.Fonte," ",ORÇAMENTO.CodBarra)))</f>
        <v>SINAPI 87262</v>
      </c>
      <c r="AF222" s="12" t="str">
        <f ca="1">IF(ISERROR(INDIRECT(ORÇAMENTO.BancoRef)),"(abra o arquivo 'Referência "&amp;Excel_BuiltIn_Database&amp;".xlsm)",IF(OR($C222&lt;&gt;"S",ORÇAMENTO.CodBarra=""),"(Sem Código)",IF(ISERROR(MATCH($AE222,INDIRECT(ORÇAMENTO.BancoRef),0)),"(Código não identificado nas referências)",MATCH($AE222,INDIRECT(ORÇAMENTO.BancoRef),0))))</f>
        <v>(abra o arquivo 'Referência 12-2024.xlsm)</v>
      </c>
      <c r="AG222" s="429">
        <f ca="1">ROUND(IF(DESONERACAO="sim",REFERENCIA.Desonerado,REFERENCIA.NaoDesonerado),2)</f>
        <v>0</v>
      </c>
      <c r="AH222" s="430">
        <f t="shared" ca="1" si="64"/>
        <v>0.31190000000000001</v>
      </c>
      <c r="AJ222" s="432">
        <v>52.26</v>
      </c>
      <c r="AL222" s="440"/>
      <c r="AM222" s="337">
        <f t="shared" ca="1" si="0"/>
        <v>0</v>
      </c>
      <c r="AN222" s="471">
        <f t="shared" ca="1" si="65"/>
        <v>0</v>
      </c>
    </row>
    <row r="223" spans="1:40" ht="38.25" x14ac:dyDescent="0.2">
      <c r="A223" t="str">
        <f t="shared" si="50"/>
        <v>S</v>
      </c>
      <c r="B223">
        <f t="shared" ca="1" si="51"/>
        <v>2</v>
      </c>
      <c r="C223" t="str">
        <f t="shared" ca="1" si="52"/>
        <v>S</v>
      </c>
      <c r="D223">
        <f t="shared" ca="1" si="53"/>
        <v>0</v>
      </c>
      <c r="E223">
        <f ca="1">IF($C223=1,OFFSET(E223,-1,0)+MAX(1,COUNTIF(QCI!$A$13:$A$24,OFFSET(ORÇAMENTO!E223,-1,0))),OFFSET(E223,-1,0))</f>
        <v>1</v>
      </c>
      <c r="F223">
        <f t="shared" ca="1" si="54"/>
        <v>12</v>
      </c>
      <c r="G223">
        <f t="shared" ca="1" si="55"/>
        <v>0</v>
      </c>
      <c r="H223">
        <f t="shared" ca="1" si="56"/>
        <v>0</v>
      </c>
      <c r="I223">
        <f t="shared" ca="1" si="57"/>
        <v>0</v>
      </c>
      <c r="J223">
        <f t="shared" ca="1" si="58"/>
        <v>0</v>
      </c>
      <c r="K223">
        <f ca="1">IF(OR($C223="S",$C223=0),0,MATCH(OFFSET($D223,0,$C223)+IF($C223&lt;&gt;1,1,COUNTIF(QCI!$A$13:$A$24,ORÇAMENTO!E223)),OFFSET($D223,1,$C223,ROW($C$405)-ROW($C223)),0))</f>
        <v>0</v>
      </c>
      <c r="L223" s="115" t="str">
        <f t="shared" ca="1" si="59"/>
        <v/>
      </c>
      <c r="M223" s="116" t="s">
        <v>706</v>
      </c>
      <c r="N223" s="117" t="str">
        <f t="shared" ca="1" si="60"/>
        <v>Serviço</v>
      </c>
      <c r="O223" s="118" t="str">
        <f t="shared" ca="1" si="61"/>
        <v>-</v>
      </c>
      <c r="P223" s="119" t="s">
        <v>751</v>
      </c>
      <c r="Q223" s="120" t="s">
        <v>1124</v>
      </c>
      <c r="R223" s="121" t="s">
        <v>1500</v>
      </c>
      <c r="S223" s="122" t="s">
        <v>623</v>
      </c>
      <c r="T223" s="123">
        <f ca="1">OFFSET(CÁLCULO!H$15,ROW($T223)-ROW(T$15),0)</f>
        <v>45.16</v>
      </c>
      <c r="U223" s="124"/>
      <c r="V223" s="125" t="s">
        <v>663</v>
      </c>
      <c r="W223" s="123">
        <f ca="1">IF($C223="S",ROUND(IF(TIPOORCAMENTO="Proposto",ORÇAMENTO.CustoUnitario*(1+$AH223),ORÇAMENTO.PrecoUnitarioLicitado),15-13*$AF$10),0)</f>
        <v>0</v>
      </c>
      <c r="X223" s="126" cm="1">
        <f t="array" aca="1" ref="X223" ca="1">IF($C223="S",IF(OR(Import.TipoArredondamento&lt;&gt;"TransfereGOV",ACOMPANHAMENTO="BM"),VTOTAL1,SUM(OFFSET(CÁLCULO!$AA$15,ROW($X223)-ROW($X$15),1):OFFSET(CÁLCULO!$AL$15,ROW($X223)-ROW($X$15),-1))),IF($C223=0,0,ROUND(SomaAgrup,15-13*$AF$11)))</f>
        <v>0</v>
      </c>
      <c r="Y223" s="127" t="s">
        <v>752</v>
      </c>
      <c r="Z223" t="str">
        <f t="shared" ca="1" si="62"/>
        <v/>
      </c>
      <c r="AA223" s="128">
        <f ca="1">IF($C223="S",IF($Z223="CP",$X223,IF($Z223="RA",(($X223)*QCI!$AA$3),0)),SomaAgrup)</f>
        <v>0</v>
      </c>
      <c r="AB223" s="129">
        <f t="shared" ca="1" si="63"/>
        <v>0</v>
      </c>
      <c r="AC223" s="567" t="str">
        <f ca="1">IF($N223=""," ",
IF(AND($C223&lt;&gt;"S",OR($R223="",$R223="(digite a descrição aqui)")),"DESCRIÇÃO",
IF(AND($C223="S",OR($Q223&lt;&gt;0,$T223&gt;0,$U223&gt;0),$P223=0),"FONTE",
IF(AND($C223="S",$P223&lt;&gt;0,OR($T223&gt;0,$U223&gt;0),$Q223=0),"CÓDIGO",
IF(AND($C223="S",$P223&lt;&gt;0,$Q223&lt;&gt;0,$R223="(Código não identificado nas referências)"),"CÓDIGO N/ID",
IF(AND($C223="S",OR($R223="",$R223="(digite a descrição aqui)"),OR($Q223&lt;&gt;0,$T223&gt;0,$U223&gt;0)),"DESCRIÇÃO",
IF(AND($C223="S",$P223&lt;&gt;0,$Q223&lt;&gt;0,$S223=""),"UNIDADE",
IF(AND($C223="S",$P223&lt;&gt;0,$Q223&lt;&gt;0,$U223=0),"SEM CUSTO",
IF(AND(TIPOORCAMENTO="Licitado",$AL223=0,$AN223&gt;0),"SEM PREÇO",
IF(AND($C223="S",$P223&lt;&gt;0,$Q223&lt;&gt;0,$U223&gt;0,$V223=0),"BDI",
IF(OR(AND(TIPOORCAMENTO="Proposto",$AG223&lt;&gt;"",$AG223&gt;0,ORÇAMENTO.CustoUnitario&gt;$AG223),AND(TIPOORCAMENTO="LICITADO",ORÇAMENTO.PrecoUnitarioLicitado&gt;$AN223)),"ACIMA REF.",
IF(AND($C223="S",$P223&lt;&gt;0,$Q223&lt;&gt;0,$T223=0,$U223&gt;0),"QUANT.",
IF(AND(Import.TipoArredondamento="TransfereGOV",$L223="F",$C223="S",LEN($Q223)&gt;13),"Código &gt;13",
IF(AND(Import.TipoArredondamento="TransfereGOV",$L223="F",$C223&lt;&gt;"S",LEN($R223)&gt;100),"Descrição &gt;100",
IF(AND(Import.TipoArredondamento="TransfereGOV",$L223="F",$C223="S",LEN($R223)&gt;500),"Descrição &gt;500",
IF(AND(Import.TipoArredondamento="TransfereGOV",$L223="F",$C223="S",LEFT(TRIM(UPPER($P223)),6)&lt;&gt;"SINAPI",ISNA(VLOOKUP(TRIM(UPPER($S223)),ListaTgov.Unidades,1,FALSE))),"Unid. Não Disp",
" "))))))))))))))))</f>
        <v>SEM CUSTO</v>
      </c>
      <c r="AD223" t="str">
        <f ca="1">IF(C223&lt;=CRONO.NivelExibicao,MAX($AD$15:OFFSET(AD223,-1,0))+IF($C223&lt;&gt;1,1,MAX(1,COUNTIF(QCI!$A$13:$A$24,OFFSET($E223,-1,0)))),"")</f>
        <v/>
      </c>
      <c r="AE223" s="7" t="str">
        <f ca="1">IF(AND($C223="S",ORÇAMENTO.CodBarra&lt;&gt;""),IF(ORÇAMENTO.Fonte="",ORÇAMENTO.CodBarra,CONCATENATE(ORÇAMENTO.Fonte," ",ORÇAMENTO.CodBarra)))</f>
        <v>SINAPI 87261</v>
      </c>
      <c r="AF223" s="12" t="str">
        <f ca="1">IF(ISERROR(INDIRECT(ORÇAMENTO.BancoRef)),"(abra o arquivo 'Referência "&amp;Excel_BuiltIn_Database&amp;".xlsm)",IF(OR($C223&lt;&gt;"S",ORÇAMENTO.CodBarra=""),"(Sem Código)",IF(ISERROR(MATCH($AE223,INDIRECT(ORÇAMENTO.BancoRef),0)),"(Código não identificado nas referências)",MATCH($AE223,INDIRECT(ORÇAMENTO.BancoRef),0))))</f>
        <v>(abra o arquivo 'Referência 12-2024.xlsm)</v>
      </c>
      <c r="AG223" s="429">
        <f ca="1">ROUND(IF(DESONERACAO="sim",REFERENCIA.Desonerado,REFERENCIA.NaoDesonerado),2)</f>
        <v>0</v>
      </c>
      <c r="AH223" s="430">
        <f t="shared" ca="1" si="64"/>
        <v>0.31190000000000001</v>
      </c>
      <c r="AJ223" s="432">
        <v>45.16</v>
      </c>
      <c r="AL223" s="440"/>
      <c r="AM223" s="337">
        <f t="shared" ca="1" si="0"/>
        <v>0</v>
      </c>
      <c r="AN223" s="471">
        <f t="shared" ca="1" si="65"/>
        <v>0</v>
      </c>
    </row>
    <row r="224" spans="1:40" ht="38.25" x14ac:dyDescent="0.2">
      <c r="A224" t="str">
        <f t="shared" si="50"/>
        <v>S</v>
      </c>
      <c r="B224">
        <f t="shared" ca="1" si="51"/>
        <v>2</v>
      </c>
      <c r="C224" t="str">
        <f t="shared" ca="1" si="52"/>
        <v>S</v>
      </c>
      <c r="D224">
        <f t="shared" ca="1" si="53"/>
        <v>0</v>
      </c>
      <c r="E224">
        <f ca="1">IF($C224=1,OFFSET(E224,-1,0)+MAX(1,COUNTIF(QCI!$A$13:$A$24,OFFSET(ORÇAMENTO!E224,-1,0))),OFFSET(E224,-1,0))</f>
        <v>1</v>
      </c>
      <c r="F224">
        <f t="shared" ca="1" si="54"/>
        <v>12</v>
      </c>
      <c r="G224">
        <f t="shared" ca="1" si="55"/>
        <v>0</v>
      </c>
      <c r="H224">
        <f t="shared" ca="1" si="56"/>
        <v>0</v>
      </c>
      <c r="I224">
        <f t="shared" ca="1" si="57"/>
        <v>0</v>
      </c>
      <c r="J224">
        <f t="shared" ca="1" si="58"/>
        <v>0</v>
      </c>
      <c r="K224">
        <f ca="1">IF(OR($C224="S",$C224=0),0,MATCH(OFFSET($D224,0,$C224)+IF($C224&lt;&gt;1,1,COUNTIF(QCI!$A$13:$A$24,ORÇAMENTO!E224)),OFFSET($D224,1,$C224,ROW($C$405)-ROW($C224)),0))</f>
        <v>0</v>
      </c>
      <c r="L224" s="115" t="str">
        <f t="shared" ca="1" si="59"/>
        <v/>
      </c>
      <c r="M224" s="116" t="s">
        <v>706</v>
      </c>
      <c r="N224" s="117" t="str">
        <f t="shared" ca="1" si="60"/>
        <v>Serviço</v>
      </c>
      <c r="O224" s="118" t="str">
        <f t="shared" ca="1" si="61"/>
        <v>-</v>
      </c>
      <c r="P224" s="119" t="s">
        <v>751</v>
      </c>
      <c r="Q224" s="120" t="s">
        <v>1125</v>
      </c>
      <c r="R224" s="121" t="s">
        <v>1501</v>
      </c>
      <c r="S224" s="122" t="s">
        <v>623</v>
      </c>
      <c r="T224" s="123">
        <f ca="1">OFFSET(CÁLCULO!H$15,ROW($T224)-ROW(T$15),0)</f>
        <v>550</v>
      </c>
      <c r="U224" s="124"/>
      <c r="V224" s="125" t="s">
        <v>663</v>
      </c>
      <c r="W224" s="123">
        <f ca="1">IF($C224="S",ROUND(IF(TIPOORCAMENTO="Proposto",ORÇAMENTO.CustoUnitario*(1+$AH224),ORÇAMENTO.PrecoUnitarioLicitado),15-13*$AF$10),0)</f>
        <v>0</v>
      </c>
      <c r="X224" s="126" cm="1">
        <f t="array" aca="1" ref="X224" ca="1">IF($C224="S",IF(OR(Import.TipoArredondamento&lt;&gt;"TransfereGOV",ACOMPANHAMENTO="BM"),VTOTAL1,SUM(OFFSET(CÁLCULO!$AA$15,ROW($X224)-ROW($X$15),1):OFFSET(CÁLCULO!$AL$15,ROW($X224)-ROW($X$15),-1))),IF($C224=0,0,ROUND(SomaAgrup,15-13*$AF$11)))</f>
        <v>0</v>
      </c>
      <c r="Y224" s="127" t="s">
        <v>752</v>
      </c>
      <c r="Z224" t="str">
        <f t="shared" ca="1" si="62"/>
        <v/>
      </c>
      <c r="AA224" s="128">
        <f ca="1">IF($C224="S",IF($Z224="CP",$X224,IF($Z224="RA",(($X224)*QCI!$AA$3),0)),SomaAgrup)</f>
        <v>0</v>
      </c>
      <c r="AB224" s="129">
        <f t="shared" ca="1" si="63"/>
        <v>0</v>
      </c>
      <c r="AC224" s="567" t="str">
        <f ca="1">IF($N224=""," ",
IF(AND($C224&lt;&gt;"S",OR($R224="",$R224="(digite a descrição aqui)")),"DESCRIÇÃO",
IF(AND($C224="S",OR($Q224&lt;&gt;0,$T224&gt;0,$U224&gt;0),$P224=0),"FONTE",
IF(AND($C224="S",$P224&lt;&gt;0,OR($T224&gt;0,$U224&gt;0),$Q224=0),"CÓDIGO",
IF(AND($C224="S",$P224&lt;&gt;0,$Q224&lt;&gt;0,$R224="(Código não identificado nas referências)"),"CÓDIGO N/ID",
IF(AND($C224="S",OR($R224="",$R224="(digite a descrição aqui)"),OR($Q224&lt;&gt;0,$T224&gt;0,$U224&gt;0)),"DESCRIÇÃO",
IF(AND($C224="S",$P224&lt;&gt;0,$Q224&lt;&gt;0,$S224=""),"UNIDADE",
IF(AND($C224="S",$P224&lt;&gt;0,$Q224&lt;&gt;0,$U224=0),"SEM CUSTO",
IF(AND(TIPOORCAMENTO="Licitado",$AL224=0,$AN224&gt;0),"SEM PREÇO",
IF(AND($C224="S",$P224&lt;&gt;0,$Q224&lt;&gt;0,$U224&gt;0,$V224=0),"BDI",
IF(OR(AND(TIPOORCAMENTO="Proposto",$AG224&lt;&gt;"",$AG224&gt;0,ORÇAMENTO.CustoUnitario&gt;$AG224),AND(TIPOORCAMENTO="LICITADO",ORÇAMENTO.PrecoUnitarioLicitado&gt;$AN224)),"ACIMA REF.",
IF(AND($C224="S",$P224&lt;&gt;0,$Q224&lt;&gt;0,$T224=0,$U224&gt;0),"QUANT.",
IF(AND(Import.TipoArredondamento="TransfereGOV",$L224="F",$C224="S",LEN($Q224)&gt;13),"Código &gt;13",
IF(AND(Import.TipoArredondamento="TransfereGOV",$L224="F",$C224&lt;&gt;"S",LEN($R224)&gt;100),"Descrição &gt;100",
IF(AND(Import.TipoArredondamento="TransfereGOV",$L224="F",$C224="S",LEN($R224)&gt;500),"Descrição &gt;500",
IF(AND(Import.TipoArredondamento="TransfereGOV",$L224="F",$C224="S",LEFT(TRIM(UPPER($P224)),6)&lt;&gt;"SINAPI",ISNA(VLOOKUP(TRIM(UPPER($S224)),ListaTgov.Unidades,1,FALSE))),"Unid. Não Disp",
" "))))))))))))))))</f>
        <v>SEM CUSTO</v>
      </c>
      <c r="AD224" t="str">
        <f ca="1">IF(C224&lt;=CRONO.NivelExibicao,MAX($AD$15:OFFSET(AD224,-1,0))+IF($C224&lt;&gt;1,1,MAX(1,COUNTIF(QCI!$A$13:$A$24,OFFSET($E224,-1,0)))),"")</f>
        <v/>
      </c>
      <c r="AE224" s="7" t="str">
        <f ca="1">IF(AND($C224="S",ORÇAMENTO.CodBarra&lt;&gt;""),IF(ORÇAMENTO.Fonte="",ORÇAMENTO.CodBarra,CONCATENATE(ORÇAMENTO.Fonte," ",ORÇAMENTO.CodBarra)))</f>
        <v>SINAPI 87739</v>
      </c>
      <c r="AF224" s="12" t="str">
        <f ca="1">IF(ISERROR(INDIRECT(ORÇAMENTO.BancoRef)),"(abra o arquivo 'Referência "&amp;Excel_BuiltIn_Database&amp;".xlsm)",IF(OR($C224&lt;&gt;"S",ORÇAMENTO.CodBarra=""),"(Sem Código)",IF(ISERROR(MATCH($AE224,INDIRECT(ORÇAMENTO.BancoRef),0)),"(Código não identificado nas referências)",MATCH($AE224,INDIRECT(ORÇAMENTO.BancoRef),0))))</f>
        <v>(abra o arquivo 'Referência 12-2024.xlsm)</v>
      </c>
      <c r="AG224" s="429">
        <f ca="1">ROUND(IF(DESONERACAO="sim",REFERENCIA.Desonerado,REFERENCIA.NaoDesonerado),2)</f>
        <v>0</v>
      </c>
      <c r="AH224" s="430">
        <f t="shared" ca="1" si="64"/>
        <v>0.31190000000000001</v>
      </c>
      <c r="AJ224" s="432">
        <v>550</v>
      </c>
      <c r="AL224" s="440"/>
      <c r="AM224" s="337">
        <f t="shared" ca="1" si="0"/>
        <v>0</v>
      </c>
      <c r="AN224" s="471">
        <f t="shared" ca="1" si="65"/>
        <v>0</v>
      </c>
    </row>
    <row r="225" spans="1:40" x14ac:dyDescent="0.2">
      <c r="A225">
        <f t="shared" si="50"/>
        <v>2</v>
      </c>
      <c r="B225">
        <f t="shared" ca="1" si="51"/>
        <v>2</v>
      </c>
      <c r="C225">
        <f t="shared" ca="1" si="52"/>
        <v>2</v>
      </c>
      <c r="D225">
        <f t="shared" ca="1" si="53"/>
        <v>22</v>
      </c>
      <c r="E225">
        <f ca="1">IF($C225=1,OFFSET(E225,-1,0)+MAX(1,COUNTIF(QCI!$A$13:$A$24,OFFSET(ORÇAMENTO!E225,-1,0))),OFFSET(E225,-1,0))</f>
        <v>1</v>
      </c>
      <c r="F225">
        <f t="shared" ca="1" si="54"/>
        <v>13</v>
      </c>
      <c r="G225">
        <f t="shared" ca="1" si="55"/>
        <v>0</v>
      </c>
      <c r="H225">
        <f t="shared" ca="1" si="56"/>
        <v>0</v>
      </c>
      <c r="I225">
        <f t="shared" ca="1" si="57"/>
        <v>0</v>
      </c>
      <c r="J225">
        <f t="shared" ca="1" si="58"/>
        <v>180</v>
      </c>
      <c r="K225">
        <f ca="1">IF(OR($C225="S",$C225=0),0,MATCH(OFFSET($D225,0,$C225)+IF($C225&lt;&gt;1,1,COUNTIF(QCI!$A$13:$A$24,ORÇAMENTO!E225)),OFFSET($D225,1,$C225,ROW($C$405)-ROW($C225)),0))</f>
        <v>22</v>
      </c>
      <c r="L225" s="115" t="str">
        <f t="shared" ca="1" si="59"/>
        <v>F</v>
      </c>
      <c r="M225" s="116" t="s">
        <v>703</v>
      </c>
      <c r="N225" s="117" t="str">
        <f t="shared" ca="1" si="60"/>
        <v>Nível 2</v>
      </c>
      <c r="O225" s="118" t="str">
        <f t="shared" ca="1" si="61"/>
        <v>1.13.</v>
      </c>
      <c r="P225" s="119" t="s">
        <v>751</v>
      </c>
      <c r="Q225" s="120"/>
      <c r="R225" s="121" t="s">
        <v>1289</v>
      </c>
      <c r="S225" s="122" t="s">
        <v>689</v>
      </c>
      <c r="T225" s="123">
        <f ca="1">OFFSET(CÁLCULO!H$15,ROW($T225)-ROW(T$15),0)</f>
        <v>0</v>
      </c>
      <c r="U225" s="124"/>
      <c r="V225" s="125" t="s">
        <v>663</v>
      </c>
      <c r="W225" s="123">
        <f ca="1">IF($C225="S",ROUND(IF(TIPOORCAMENTO="Proposto",ORÇAMENTO.CustoUnitario*(1+$AH225),ORÇAMENTO.PrecoUnitarioLicitado),15-13*$AF$10),0)</f>
        <v>0</v>
      </c>
      <c r="X225" s="126" cm="1">
        <f t="array" aca="1" ref="X225" ca="1">IF($C225="S",IF(OR(Import.TipoArredondamento&lt;&gt;"TransfereGOV",ACOMPANHAMENTO="BM"),VTOTAL1,SUM(OFFSET(CÁLCULO!$AA$15,ROW($X225)-ROW($X$15),1):OFFSET(CÁLCULO!$AL$15,ROW($X225)-ROW($X$15),-1))),IF($C225=0,0,ROUND(SomaAgrup,15-13*$AF$11)))</f>
        <v>0</v>
      </c>
      <c r="Y225" s="127" t="s">
        <v>752</v>
      </c>
      <c r="Z225" t="str">
        <f t="shared" ca="1" si="62"/>
        <v/>
      </c>
      <c r="AA225" s="128">
        <f ca="1">IF($C225="S",IF($Z225="CP",$X225,IF($Z225="RA",(($X225)*QCI!$AA$3),0)),SomaAgrup)</f>
        <v>0</v>
      </c>
      <c r="AB225" s="129">
        <f t="shared" ca="1" si="63"/>
        <v>0</v>
      </c>
      <c r="AC225" s="567" t="str">
        <f ca="1">IF($N225=""," ",
IF(AND($C225&lt;&gt;"S",OR($R225="",$R225="(digite a descrição aqui)")),"DESCRIÇÃO",
IF(AND($C225="S",OR($Q225&lt;&gt;0,$T225&gt;0,$U225&gt;0),$P225=0),"FONTE",
IF(AND($C225="S",$P225&lt;&gt;0,OR($T225&gt;0,$U225&gt;0),$Q225=0),"CÓDIGO",
IF(AND($C225="S",$P225&lt;&gt;0,$Q225&lt;&gt;0,$R225="(Código não identificado nas referências)"),"CÓDIGO N/ID",
IF(AND($C225="S",OR($R225="",$R225="(digite a descrição aqui)"),OR($Q225&lt;&gt;0,$T225&gt;0,$U225&gt;0)),"DESCRIÇÃO",
IF(AND($C225="S",$P225&lt;&gt;0,$Q225&lt;&gt;0,$S225=""),"UNIDADE",
IF(AND($C225="S",$P225&lt;&gt;0,$Q225&lt;&gt;0,$U225=0),"SEM CUSTO",
IF(AND(TIPOORCAMENTO="Licitado",$AL225=0,$AN225&gt;0),"SEM PREÇO",
IF(AND($C225="S",$P225&lt;&gt;0,$Q225&lt;&gt;0,$U225&gt;0,$V225=0),"BDI",
IF(OR(AND(TIPOORCAMENTO="Proposto",$AG225&lt;&gt;"",$AG225&gt;0,ORÇAMENTO.CustoUnitario&gt;$AG225),AND(TIPOORCAMENTO="LICITADO",ORÇAMENTO.PrecoUnitarioLicitado&gt;$AN225)),"ACIMA REF.",
IF(AND($C225="S",$P225&lt;&gt;0,$Q225&lt;&gt;0,$T225=0,$U225&gt;0),"QUANT.",
IF(AND(Import.TipoArredondamento="TransfereGOV",$L225="F",$C225="S",LEN($Q225)&gt;13),"Código &gt;13",
IF(AND(Import.TipoArredondamento="TransfereGOV",$L225="F",$C225&lt;&gt;"S",LEN($R225)&gt;100),"Descrição &gt;100",
IF(AND(Import.TipoArredondamento="TransfereGOV",$L225="F",$C225="S",LEN($R225)&gt;500),"Descrição &gt;500",
IF(AND(Import.TipoArredondamento="TransfereGOV",$L225="F",$C225="S",LEFT(TRIM(UPPER($P225)),6)&lt;&gt;"SINAPI",ISNA(VLOOKUP(TRIM(UPPER($S225)),ListaTgov.Unidades,1,FALSE))),"Unid. Não Disp",
" "))))))))))))))))</f>
        <v xml:space="preserve"> </v>
      </c>
      <c r="AD225">
        <f ca="1">IF(C225&lt;=CRONO.NivelExibicao,MAX($AD$15:OFFSET(AD225,-1,0))+IF($C225&lt;&gt;1,1,MAX(1,COUNTIF(QCI!$A$13:$A$24,OFFSET($E225,-1,0)))),"")</f>
        <v>14</v>
      </c>
      <c r="AE225" s="7" t="b">
        <f ca="1">IF(AND($C225="S",ORÇAMENTO.CodBarra&lt;&gt;""),IF(ORÇAMENTO.Fonte="",ORÇAMENTO.CodBarra,CONCATENATE(ORÇAMENTO.Fonte," ",ORÇAMENTO.CodBarra)))</f>
        <v>0</v>
      </c>
      <c r="AF225" s="12" t="str">
        <f ca="1">IF(ISERROR(INDIRECT(ORÇAMENTO.BancoRef)),"(abra o arquivo 'Referência "&amp;Excel_BuiltIn_Database&amp;".xlsm)",IF(OR($C225&lt;&gt;"S",ORÇAMENTO.CodBarra=""),"(Sem Código)",IF(ISERROR(MATCH($AE225,INDIRECT(ORÇAMENTO.BancoRef),0)),"(Código não identificado nas referências)",MATCH($AE225,INDIRECT(ORÇAMENTO.BancoRef),0))))</f>
        <v>(abra o arquivo 'Referência 12-2024.xlsm)</v>
      </c>
      <c r="AG225" s="429">
        <f ca="1">ROUND(IF(DESONERACAO="sim",REFERENCIA.Desonerado,REFERENCIA.NaoDesonerado),2)</f>
        <v>0</v>
      </c>
      <c r="AH225" s="430">
        <f t="shared" ca="1" si="64"/>
        <v>0.31190000000000001</v>
      </c>
      <c r="AJ225" s="432"/>
      <c r="AL225" s="440"/>
      <c r="AM225" s="337">
        <f t="shared" ca="1" si="0"/>
        <v>0</v>
      </c>
      <c r="AN225" s="471">
        <f t="shared" ca="1" si="65"/>
        <v>0</v>
      </c>
    </row>
    <row r="226" spans="1:40" ht="38.25" x14ac:dyDescent="0.2">
      <c r="A226" t="str">
        <f t="shared" si="50"/>
        <v>S</v>
      </c>
      <c r="B226">
        <f t="shared" ca="1" si="51"/>
        <v>2</v>
      </c>
      <c r="C226" t="str">
        <f t="shared" ca="1" si="52"/>
        <v>S</v>
      </c>
      <c r="D226">
        <f t="shared" ca="1" si="53"/>
        <v>0</v>
      </c>
      <c r="E226">
        <f ca="1">IF($C226=1,OFFSET(E226,-1,0)+MAX(1,COUNTIF(QCI!$A$13:$A$24,OFFSET(ORÇAMENTO!E226,-1,0))),OFFSET(E226,-1,0))</f>
        <v>1</v>
      </c>
      <c r="F226">
        <f t="shared" ca="1" si="54"/>
        <v>13</v>
      </c>
      <c r="G226">
        <f t="shared" ca="1" si="55"/>
        <v>0</v>
      </c>
      <c r="H226">
        <f t="shared" ca="1" si="56"/>
        <v>0</v>
      </c>
      <c r="I226">
        <f t="shared" ca="1" si="57"/>
        <v>0</v>
      </c>
      <c r="J226">
        <f t="shared" ca="1" si="58"/>
        <v>0</v>
      </c>
      <c r="K226">
        <f ca="1">IF(OR($C226="S",$C226=0),0,MATCH(OFFSET($D226,0,$C226)+IF($C226&lt;&gt;1,1,COUNTIF(QCI!$A$13:$A$24,ORÇAMENTO!E226)),OFFSET($D226,1,$C226,ROW($C$405)-ROW($C226)),0))</f>
        <v>0</v>
      </c>
      <c r="L226" s="115" t="str">
        <f t="shared" ca="1" si="59"/>
        <v/>
      </c>
      <c r="M226" s="116" t="s">
        <v>706</v>
      </c>
      <c r="N226" s="117" t="str">
        <f t="shared" ca="1" si="60"/>
        <v>Serviço</v>
      </c>
      <c r="O226" s="118" t="str">
        <f t="shared" ca="1" si="61"/>
        <v>-</v>
      </c>
      <c r="P226" s="119" t="s">
        <v>751</v>
      </c>
      <c r="Q226" s="120" t="s">
        <v>1126</v>
      </c>
      <c r="R226" s="121" t="s">
        <v>1502</v>
      </c>
      <c r="S226" s="122" t="s">
        <v>639</v>
      </c>
      <c r="T226" s="123">
        <f ca="1">OFFSET(CÁLCULO!H$15,ROW($T226)-ROW(T$15),0)</f>
        <v>5</v>
      </c>
      <c r="U226" s="124"/>
      <c r="V226" s="125" t="s">
        <v>663</v>
      </c>
      <c r="W226" s="123">
        <f ca="1">IF($C226="S",ROUND(IF(TIPOORCAMENTO="Proposto",ORÇAMENTO.CustoUnitario*(1+$AH226),ORÇAMENTO.PrecoUnitarioLicitado),15-13*$AF$10),0)</f>
        <v>0</v>
      </c>
      <c r="X226" s="126" cm="1">
        <f t="array" aca="1" ref="X226" ca="1">IF($C226="S",IF(OR(Import.TipoArredondamento&lt;&gt;"TransfereGOV",ACOMPANHAMENTO="BM"),VTOTAL1,SUM(OFFSET(CÁLCULO!$AA$15,ROW($X226)-ROW($X$15),1):OFFSET(CÁLCULO!$AL$15,ROW($X226)-ROW($X$15),-1))),IF($C226=0,0,ROUND(SomaAgrup,15-13*$AF$11)))</f>
        <v>0</v>
      </c>
      <c r="Y226" s="127" t="s">
        <v>752</v>
      </c>
      <c r="Z226" t="str">
        <f t="shared" ca="1" si="62"/>
        <v/>
      </c>
      <c r="AA226" s="128">
        <f ca="1">IF($C226="S",IF($Z226="CP",$X226,IF($Z226="RA",(($X226)*QCI!$AA$3),0)),SomaAgrup)</f>
        <v>0</v>
      </c>
      <c r="AB226" s="129">
        <f t="shared" ca="1" si="63"/>
        <v>0</v>
      </c>
      <c r="AC226" s="567" t="str">
        <f ca="1">IF($N226=""," ",
IF(AND($C226&lt;&gt;"S",OR($R226="",$R226="(digite a descrição aqui)")),"DESCRIÇÃO",
IF(AND($C226="S",OR($Q226&lt;&gt;0,$T226&gt;0,$U226&gt;0),$P226=0),"FONTE",
IF(AND($C226="S",$P226&lt;&gt;0,OR($T226&gt;0,$U226&gt;0),$Q226=0),"CÓDIGO",
IF(AND($C226="S",$P226&lt;&gt;0,$Q226&lt;&gt;0,$R226="(Código não identificado nas referências)"),"CÓDIGO N/ID",
IF(AND($C226="S",OR($R226="",$R226="(digite a descrição aqui)"),OR($Q226&lt;&gt;0,$T226&gt;0,$U226&gt;0)),"DESCRIÇÃO",
IF(AND($C226="S",$P226&lt;&gt;0,$Q226&lt;&gt;0,$S226=""),"UNIDADE",
IF(AND($C226="S",$P226&lt;&gt;0,$Q226&lt;&gt;0,$U226=0),"SEM CUSTO",
IF(AND(TIPOORCAMENTO="Licitado",$AL226=0,$AN226&gt;0),"SEM PREÇO",
IF(AND($C226="S",$P226&lt;&gt;0,$Q226&lt;&gt;0,$U226&gt;0,$V226=0),"BDI",
IF(OR(AND(TIPOORCAMENTO="Proposto",$AG226&lt;&gt;"",$AG226&gt;0,ORÇAMENTO.CustoUnitario&gt;$AG226),AND(TIPOORCAMENTO="LICITADO",ORÇAMENTO.PrecoUnitarioLicitado&gt;$AN226)),"ACIMA REF.",
IF(AND($C226="S",$P226&lt;&gt;0,$Q226&lt;&gt;0,$T226=0,$U226&gt;0),"QUANT.",
IF(AND(Import.TipoArredondamento="TransfereGOV",$L226="F",$C226="S",LEN($Q226)&gt;13),"Código &gt;13",
IF(AND(Import.TipoArredondamento="TransfereGOV",$L226="F",$C226&lt;&gt;"S",LEN($R226)&gt;100),"Descrição &gt;100",
IF(AND(Import.TipoArredondamento="TransfereGOV",$L226="F",$C226="S",LEN($R226)&gt;500),"Descrição &gt;500",
IF(AND(Import.TipoArredondamento="TransfereGOV",$L226="F",$C226="S",LEFT(TRIM(UPPER($P226)),6)&lt;&gt;"SINAPI",ISNA(VLOOKUP(TRIM(UPPER($S226)),ListaTgov.Unidades,1,FALSE))),"Unid. Não Disp",
" "))))))))))))))))</f>
        <v>SEM CUSTO</v>
      </c>
      <c r="AD226" t="str">
        <f ca="1">IF(C226&lt;=CRONO.NivelExibicao,MAX($AD$15:OFFSET(AD226,-1,0))+IF($C226&lt;&gt;1,1,MAX(1,COUNTIF(QCI!$A$13:$A$24,OFFSET($E226,-1,0)))),"")</f>
        <v/>
      </c>
      <c r="AE226" s="7" t="str">
        <f ca="1">IF(AND($C226="S",ORÇAMENTO.CodBarra&lt;&gt;""),IF(ORÇAMENTO.Fonte="",ORÇAMENTO.CodBarra,CONCATENATE(ORÇAMENTO.Fonte," ",ORÇAMENTO.CodBarra)))</f>
        <v>SINAPI 86932</v>
      </c>
      <c r="AF226" s="12" t="str">
        <f ca="1">IF(ISERROR(INDIRECT(ORÇAMENTO.BancoRef)),"(abra o arquivo 'Referência "&amp;Excel_BuiltIn_Database&amp;".xlsm)",IF(OR($C226&lt;&gt;"S",ORÇAMENTO.CodBarra=""),"(Sem Código)",IF(ISERROR(MATCH($AE226,INDIRECT(ORÇAMENTO.BancoRef),0)),"(Código não identificado nas referências)",MATCH($AE226,INDIRECT(ORÇAMENTO.BancoRef),0))))</f>
        <v>(abra o arquivo 'Referência 12-2024.xlsm)</v>
      </c>
      <c r="AG226" s="429">
        <f ca="1">ROUND(IF(DESONERACAO="sim",REFERENCIA.Desonerado,REFERENCIA.NaoDesonerado),2)</f>
        <v>0</v>
      </c>
      <c r="AH226" s="430">
        <f t="shared" ca="1" si="64"/>
        <v>0.31190000000000001</v>
      </c>
      <c r="AJ226" s="432">
        <v>5</v>
      </c>
      <c r="AL226" s="440"/>
      <c r="AM226" s="337">
        <f t="shared" ca="1" si="0"/>
        <v>0</v>
      </c>
      <c r="AN226" s="471">
        <f t="shared" ca="1" si="65"/>
        <v>0</v>
      </c>
    </row>
    <row r="227" spans="1:40" ht="25.5" x14ac:dyDescent="0.2">
      <c r="A227" t="str">
        <f t="shared" si="50"/>
        <v>S</v>
      </c>
      <c r="B227">
        <f t="shared" ca="1" si="51"/>
        <v>2</v>
      </c>
      <c r="C227" t="str">
        <f t="shared" ca="1" si="52"/>
        <v>S</v>
      </c>
      <c r="D227">
        <f t="shared" ca="1" si="53"/>
        <v>0</v>
      </c>
      <c r="E227">
        <f ca="1">IF($C227=1,OFFSET(E227,-1,0)+MAX(1,COUNTIF(QCI!$A$13:$A$24,OFFSET(ORÇAMENTO!E227,-1,0))),OFFSET(E227,-1,0))</f>
        <v>1</v>
      </c>
      <c r="F227">
        <f t="shared" ca="1" si="54"/>
        <v>13</v>
      </c>
      <c r="G227">
        <f t="shared" ca="1" si="55"/>
        <v>0</v>
      </c>
      <c r="H227">
        <f t="shared" ca="1" si="56"/>
        <v>0</v>
      </c>
      <c r="I227">
        <f t="shared" ca="1" si="57"/>
        <v>0</v>
      </c>
      <c r="J227">
        <f t="shared" ca="1" si="58"/>
        <v>0</v>
      </c>
      <c r="K227">
        <f ca="1">IF(OR($C227="S",$C227=0),0,MATCH(OFFSET($D227,0,$C227)+IF($C227&lt;&gt;1,1,COUNTIF(QCI!$A$13:$A$24,ORÇAMENTO!E227)),OFFSET($D227,1,$C227,ROW($C$405)-ROW($C227)),0))</f>
        <v>0</v>
      </c>
      <c r="L227" s="115" t="str">
        <f t="shared" ca="1" si="59"/>
        <v/>
      </c>
      <c r="M227" s="116" t="s">
        <v>706</v>
      </c>
      <c r="N227" s="117" t="str">
        <f t="shared" ca="1" si="60"/>
        <v>Serviço</v>
      </c>
      <c r="O227" s="118" t="str">
        <f t="shared" ca="1" si="61"/>
        <v>-</v>
      </c>
      <c r="P227" s="119" t="s">
        <v>751</v>
      </c>
      <c r="Q227" s="120" t="s">
        <v>1127</v>
      </c>
      <c r="R227" s="121" t="s">
        <v>1503</v>
      </c>
      <c r="S227" s="122" t="s">
        <v>639</v>
      </c>
      <c r="T227" s="123">
        <f ca="1">OFFSET(CÁLCULO!H$15,ROW($T227)-ROW(T$15),0)</f>
        <v>16</v>
      </c>
      <c r="U227" s="124"/>
      <c r="V227" s="125" t="s">
        <v>663</v>
      </c>
      <c r="W227" s="123">
        <f ca="1">IF($C227="S",ROUND(IF(TIPOORCAMENTO="Proposto",ORÇAMENTO.CustoUnitario*(1+$AH227),ORÇAMENTO.PrecoUnitarioLicitado),15-13*$AF$10),0)</f>
        <v>0</v>
      </c>
      <c r="X227" s="126" cm="1">
        <f t="array" aca="1" ref="X227" ca="1">IF($C227="S",IF(OR(Import.TipoArredondamento&lt;&gt;"TransfereGOV",ACOMPANHAMENTO="BM"),VTOTAL1,SUM(OFFSET(CÁLCULO!$AA$15,ROW($X227)-ROW($X$15),1):OFFSET(CÁLCULO!$AL$15,ROW($X227)-ROW($X$15),-1))),IF($C227=0,0,ROUND(SomaAgrup,15-13*$AF$11)))</f>
        <v>0</v>
      </c>
      <c r="Y227" s="127" t="s">
        <v>752</v>
      </c>
      <c r="Z227" t="str">
        <f t="shared" ca="1" si="62"/>
        <v/>
      </c>
      <c r="AA227" s="128">
        <f ca="1">IF($C227="S",IF($Z227="CP",$X227,IF($Z227="RA",(($X227)*QCI!$AA$3),0)),SomaAgrup)</f>
        <v>0</v>
      </c>
      <c r="AB227" s="129">
        <f t="shared" ca="1" si="63"/>
        <v>0</v>
      </c>
      <c r="AC227" s="567" t="str">
        <f ca="1">IF($N227=""," ",
IF(AND($C227&lt;&gt;"S",OR($R227="",$R227="(digite a descrição aqui)")),"DESCRIÇÃO",
IF(AND($C227="S",OR($Q227&lt;&gt;0,$T227&gt;0,$U227&gt;0),$P227=0),"FONTE",
IF(AND($C227="S",$P227&lt;&gt;0,OR($T227&gt;0,$U227&gt;0),$Q227=0),"CÓDIGO",
IF(AND($C227="S",$P227&lt;&gt;0,$Q227&lt;&gt;0,$R227="(Código não identificado nas referências)"),"CÓDIGO N/ID",
IF(AND($C227="S",OR($R227="",$R227="(digite a descrição aqui)"),OR($Q227&lt;&gt;0,$T227&gt;0,$U227&gt;0)),"DESCRIÇÃO",
IF(AND($C227="S",$P227&lt;&gt;0,$Q227&lt;&gt;0,$S227=""),"UNIDADE",
IF(AND($C227="S",$P227&lt;&gt;0,$Q227&lt;&gt;0,$U227=0),"SEM CUSTO",
IF(AND(TIPOORCAMENTO="Licitado",$AL227=0,$AN227&gt;0),"SEM PREÇO",
IF(AND($C227="S",$P227&lt;&gt;0,$Q227&lt;&gt;0,$U227&gt;0,$V227=0),"BDI",
IF(OR(AND(TIPOORCAMENTO="Proposto",$AG227&lt;&gt;"",$AG227&gt;0,ORÇAMENTO.CustoUnitario&gt;$AG227),AND(TIPOORCAMENTO="LICITADO",ORÇAMENTO.PrecoUnitarioLicitado&gt;$AN227)),"ACIMA REF.",
IF(AND($C227="S",$P227&lt;&gt;0,$Q227&lt;&gt;0,$T227=0,$U227&gt;0),"QUANT.",
IF(AND(Import.TipoArredondamento="TransfereGOV",$L227="F",$C227="S",LEN($Q227)&gt;13),"Código &gt;13",
IF(AND(Import.TipoArredondamento="TransfereGOV",$L227="F",$C227&lt;&gt;"S",LEN($R227)&gt;100),"Descrição &gt;100",
IF(AND(Import.TipoArredondamento="TransfereGOV",$L227="F",$C227="S",LEN($R227)&gt;500),"Descrição &gt;500",
IF(AND(Import.TipoArredondamento="TransfereGOV",$L227="F",$C227="S",LEFT(TRIM(UPPER($P227)),6)&lt;&gt;"SINAPI",ISNA(VLOOKUP(TRIM(UPPER($S227)),ListaTgov.Unidades,1,FALSE))),"Unid. Não Disp",
" "))))))))))))))))</f>
        <v>SEM CUSTO</v>
      </c>
      <c r="AD227" t="str">
        <f ca="1">IF(C227&lt;=CRONO.NivelExibicao,MAX($AD$15:OFFSET(AD227,-1,0))+IF($C227&lt;&gt;1,1,MAX(1,COUNTIF(QCI!$A$13:$A$24,OFFSET($E227,-1,0)))),"")</f>
        <v/>
      </c>
      <c r="AE227" s="7" t="str">
        <f ca="1">IF(AND($C227="S",ORÇAMENTO.CodBarra&lt;&gt;""),IF(ORÇAMENTO.Fonte="",ORÇAMENTO.CodBarra,CONCATENATE(ORÇAMENTO.Fonte," ",ORÇAMENTO.CodBarra)))</f>
        <v>SINAPI 100848</v>
      </c>
      <c r="AF227" s="12" t="str">
        <f ca="1">IF(ISERROR(INDIRECT(ORÇAMENTO.BancoRef)),"(abra o arquivo 'Referência "&amp;Excel_BuiltIn_Database&amp;".xlsm)",IF(OR($C227&lt;&gt;"S",ORÇAMENTO.CodBarra=""),"(Sem Código)",IF(ISERROR(MATCH($AE227,INDIRECT(ORÇAMENTO.BancoRef),0)),"(Código não identificado nas referências)",MATCH($AE227,INDIRECT(ORÇAMENTO.BancoRef),0))))</f>
        <v>(abra o arquivo 'Referência 12-2024.xlsm)</v>
      </c>
      <c r="AG227" s="429">
        <f ca="1">ROUND(IF(DESONERACAO="sim",REFERENCIA.Desonerado,REFERENCIA.NaoDesonerado),2)</f>
        <v>0</v>
      </c>
      <c r="AH227" s="430">
        <f t="shared" ca="1" si="64"/>
        <v>0.31190000000000001</v>
      </c>
      <c r="AJ227" s="432">
        <v>16</v>
      </c>
      <c r="AL227" s="440"/>
      <c r="AM227" s="337">
        <f t="shared" ca="1" si="0"/>
        <v>0</v>
      </c>
      <c r="AN227" s="471">
        <f t="shared" ca="1" si="65"/>
        <v>0</v>
      </c>
    </row>
    <row r="228" spans="1:40" ht="38.25" x14ac:dyDescent="0.2">
      <c r="A228" t="str">
        <f t="shared" si="50"/>
        <v>S</v>
      </c>
      <c r="B228">
        <f t="shared" ca="1" si="51"/>
        <v>2</v>
      </c>
      <c r="C228" t="str">
        <f t="shared" ca="1" si="52"/>
        <v>S</v>
      </c>
      <c r="D228">
        <f t="shared" ca="1" si="53"/>
        <v>0</v>
      </c>
      <c r="E228">
        <f ca="1">IF($C228=1,OFFSET(E228,-1,0)+MAX(1,COUNTIF(QCI!$A$13:$A$24,OFFSET(ORÇAMENTO!E228,-1,0))),OFFSET(E228,-1,0))</f>
        <v>1</v>
      </c>
      <c r="F228">
        <f t="shared" ca="1" si="54"/>
        <v>13</v>
      </c>
      <c r="G228">
        <f t="shared" ca="1" si="55"/>
        <v>0</v>
      </c>
      <c r="H228">
        <f t="shared" ca="1" si="56"/>
        <v>0</v>
      </c>
      <c r="I228">
        <f t="shared" ca="1" si="57"/>
        <v>0</v>
      </c>
      <c r="J228">
        <f t="shared" ca="1" si="58"/>
        <v>0</v>
      </c>
      <c r="K228">
        <f ca="1">IF(OR($C228="S",$C228=0),0,MATCH(OFFSET($D228,0,$C228)+IF($C228&lt;&gt;1,1,COUNTIF(QCI!$A$13:$A$24,ORÇAMENTO!E228)),OFFSET($D228,1,$C228,ROW($C$405)-ROW($C228)),0))</f>
        <v>0</v>
      </c>
      <c r="L228" s="115" t="str">
        <f t="shared" ca="1" si="59"/>
        <v/>
      </c>
      <c r="M228" s="116" t="s">
        <v>706</v>
      </c>
      <c r="N228" s="117" t="str">
        <f t="shared" ca="1" si="60"/>
        <v>Serviço</v>
      </c>
      <c r="O228" s="118" t="str">
        <f t="shared" ca="1" si="61"/>
        <v>-</v>
      </c>
      <c r="P228" s="119" t="s">
        <v>751</v>
      </c>
      <c r="Q228" s="120" t="s">
        <v>1128</v>
      </c>
      <c r="R228" s="121" t="s">
        <v>1504</v>
      </c>
      <c r="S228" s="122" t="s">
        <v>639</v>
      </c>
      <c r="T228" s="123">
        <f ca="1">OFFSET(CÁLCULO!H$15,ROW($T228)-ROW(T$15),0)</f>
        <v>6</v>
      </c>
      <c r="U228" s="124"/>
      <c r="V228" s="125" t="s">
        <v>663</v>
      </c>
      <c r="W228" s="123">
        <f ca="1">IF($C228="S",ROUND(IF(TIPOORCAMENTO="Proposto",ORÇAMENTO.CustoUnitario*(1+$AH228),ORÇAMENTO.PrecoUnitarioLicitado),15-13*$AF$10),0)</f>
        <v>0</v>
      </c>
      <c r="X228" s="126" cm="1">
        <f t="array" aca="1" ref="X228" ca="1">IF($C228="S",IF(OR(Import.TipoArredondamento&lt;&gt;"TransfereGOV",ACOMPANHAMENTO="BM"),VTOTAL1,SUM(OFFSET(CÁLCULO!$AA$15,ROW($X228)-ROW($X$15),1):OFFSET(CÁLCULO!$AL$15,ROW($X228)-ROW($X$15),-1))),IF($C228=0,0,ROUND(SomaAgrup,15-13*$AF$11)))</f>
        <v>0</v>
      </c>
      <c r="Y228" s="127" t="s">
        <v>752</v>
      </c>
      <c r="Z228" t="str">
        <f t="shared" ca="1" si="62"/>
        <v/>
      </c>
      <c r="AA228" s="128">
        <f ca="1">IF($C228="S",IF($Z228="CP",$X228,IF($Z228="RA",(($X228)*QCI!$AA$3),0)),SomaAgrup)</f>
        <v>0</v>
      </c>
      <c r="AB228" s="129">
        <f t="shared" ca="1" si="63"/>
        <v>0</v>
      </c>
      <c r="AC228" s="567" t="str">
        <f ca="1">IF($N228=""," ",
IF(AND($C228&lt;&gt;"S",OR($R228="",$R228="(digite a descrição aqui)")),"DESCRIÇÃO",
IF(AND($C228="S",OR($Q228&lt;&gt;0,$T228&gt;0,$U228&gt;0),$P228=0),"FONTE",
IF(AND($C228="S",$P228&lt;&gt;0,OR($T228&gt;0,$U228&gt;0),$Q228=0),"CÓDIGO",
IF(AND($C228="S",$P228&lt;&gt;0,$Q228&lt;&gt;0,$R228="(Código não identificado nas referências)"),"CÓDIGO N/ID",
IF(AND($C228="S",OR($R228="",$R228="(digite a descrição aqui)"),OR($Q228&lt;&gt;0,$T228&gt;0,$U228&gt;0)),"DESCRIÇÃO",
IF(AND($C228="S",$P228&lt;&gt;0,$Q228&lt;&gt;0,$S228=""),"UNIDADE",
IF(AND($C228="S",$P228&lt;&gt;0,$Q228&lt;&gt;0,$U228=0),"SEM CUSTO",
IF(AND(TIPOORCAMENTO="Licitado",$AL228=0,$AN228&gt;0),"SEM PREÇO",
IF(AND($C228="S",$P228&lt;&gt;0,$Q228&lt;&gt;0,$U228&gt;0,$V228=0),"BDI",
IF(OR(AND(TIPOORCAMENTO="Proposto",$AG228&lt;&gt;"",$AG228&gt;0,ORÇAMENTO.CustoUnitario&gt;$AG228),AND(TIPOORCAMENTO="LICITADO",ORÇAMENTO.PrecoUnitarioLicitado&gt;$AN228)),"ACIMA REF.",
IF(AND($C228="S",$P228&lt;&gt;0,$Q228&lt;&gt;0,$T228=0,$U228&gt;0),"QUANT.",
IF(AND(Import.TipoArredondamento="TransfereGOV",$L228="F",$C228="S",LEN($Q228)&gt;13),"Código &gt;13",
IF(AND(Import.TipoArredondamento="TransfereGOV",$L228="F",$C228&lt;&gt;"S",LEN($R228)&gt;100),"Descrição &gt;100",
IF(AND(Import.TipoArredondamento="TransfereGOV",$L228="F",$C228="S",LEN($R228)&gt;500),"Descrição &gt;500",
IF(AND(Import.TipoArredondamento="TransfereGOV",$L228="F",$C228="S",LEFT(TRIM(UPPER($P228)),6)&lt;&gt;"SINAPI",ISNA(VLOOKUP(TRIM(UPPER($S228)),ListaTgov.Unidades,1,FALSE))),"Unid. Não Disp",
" "))))))))))))))))</f>
        <v>SEM CUSTO</v>
      </c>
      <c r="AD228" t="str">
        <f ca="1">IF(C228&lt;=CRONO.NivelExibicao,MAX($AD$15:OFFSET(AD228,-1,0))+IF($C228&lt;&gt;1,1,MAX(1,COUNTIF(QCI!$A$13:$A$24,OFFSET($E228,-1,0)))),"")</f>
        <v/>
      </c>
      <c r="AE228" s="7" t="str">
        <f ca="1">IF(AND($C228="S",ORÇAMENTO.CodBarra&lt;&gt;""),IF(ORÇAMENTO.Fonte="",ORÇAMENTO.CodBarra,CONCATENATE(ORÇAMENTO.Fonte," ",ORÇAMENTO.CodBarra)))</f>
        <v>SINAPI 95471</v>
      </c>
      <c r="AF228" s="12" t="str">
        <f ca="1">IF(ISERROR(INDIRECT(ORÇAMENTO.BancoRef)),"(abra o arquivo 'Referência "&amp;Excel_BuiltIn_Database&amp;".xlsm)",IF(OR($C228&lt;&gt;"S",ORÇAMENTO.CodBarra=""),"(Sem Código)",IF(ISERROR(MATCH($AE228,INDIRECT(ORÇAMENTO.BancoRef),0)),"(Código não identificado nas referências)",MATCH($AE228,INDIRECT(ORÇAMENTO.BancoRef),0))))</f>
        <v>(abra o arquivo 'Referência 12-2024.xlsm)</v>
      </c>
      <c r="AG228" s="429">
        <f ca="1">ROUND(IF(DESONERACAO="sim",REFERENCIA.Desonerado,REFERENCIA.NaoDesonerado),2)</f>
        <v>0</v>
      </c>
      <c r="AH228" s="430">
        <f t="shared" ca="1" si="64"/>
        <v>0.31190000000000001</v>
      </c>
      <c r="AJ228" s="432">
        <v>6</v>
      </c>
      <c r="AL228" s="440"/>
      <c r="AM228" s="337">
        <f t="shared" ca="1" si="0"/>
        <v>0</v>
      </c>
      <c r="AN228" s="471">
        <f t="shared" ca="1" si="65"/>
        <v>0</v>
      </c>
    </row>
    <row r="229" spans="1:40" ht="25.5" x14ac:dyDescent="0.2">
      <c r="A229" t="str">
        <f t="shared" si="50"/>
        <v>S</v>
      </c>
      <c r="B229">
        <f t="shared" ca="1" si="51"/>
        <v>2</v>
      </c>
      <c r="C229" t="str">
        <f t="shared" ca="1" si="52"/>
        <v>S</v>
      </c>
      <c r="D229">
        <f t="shared" ca="1" si="53"/>
        <v>0</v>
      </c>
      <c r="E229">
        <f ca="1">IF($C229=1,OFFSET(E229,-1,0)+MAX(1,COUNTIF(QCI!$A$13:$A$24,OFFSET(ORÇAMENTO!E229,-1,0))),OFFSET(E229,-1,0))</f>
        <v>1</v>
      </c>
      <c r="F229">
        <f t="shared" ca="1" si="54"/>
        <v>13</v>
      </c>
      <c r="G229">
        <f t="shared" ca="1" si="55"/>
        <v>0</v>
      </c>
      <c r="H229">
        <f t="shared" ca="1" si="56"/>
        <v>0</v>
      </c>
      <c r="I229">
        <f t="shared" ca="1" si="57"/>
        <v>0</v>
      </c>
      <c r="J229">
        <f t="shared" ca="1" si="58"/>
        <v>0</v>
      </c>
      <c r="K229">
        <f ca="1">IF(OR($C229="S",$C229=0),0,MATCH(OFFSET($D229,0,$C229)+IF($C229&lt;&gt;1,1,COUNTIF(QCI!$A$13:$A$24,ORÇAMENTO!E229)),OFFSET($D229,1,$C229,ROW($C$405)-ROW($C229)),0))</f>
        <v>0</v>
      </c>
      <c r="L229" s="115" t="str">
        <f t="shared" ca="1" si="59"/>
        <v/>
      </c>
      <c r="M229" s="116" t="s">
        <v>706</v>
      </c>
      <c r="N229" s="117" t="str">
        <f t="shared" ca="1" si="60"/>
        <v>Serviço</v>
      </c>
      <c r="O229" s="118" t="str">
        <f t="shared" ca="1" si="61"/>
        <v>-</v>
      </c>
      <c r="P229" s="119" t="s">
        <v>751</v>
      </c>
      <c r="Q229" s="120" t="s">
        <v>1129</v>
      </c>
      <c r="R229" s="121" t="s">
        <v>1505</v>
      </c>
      <c r="S229" s="122" t="s">
        <v>639</v>
      </c>
      <c r="T229" s="123">
        <f ca="1">OFFSET(CÁLCULO!H$15,ROW($T229)-ROW(T$15),0)</f>
        <v>11</v>
      </c>
      <c r="U229" s="124"/>
      <c r="V229" s="125" t="s">
        <v>663</v>
      </c>
      <c r="W229" s="123">
        <f ca="1">IF($C229="S",ROUND(IF(TIPOORCAMENTO="Proposto",ORÇAMENTO.CustoUnitario*(1+$AH229),ORÇAMENTO.PrecoUnitarioLicitado),15-13*$AF$10),0)</f>
        <v>0</v>
      </c>
      <c r="X229" s="126" cm="1">
        <f t="array" aca="1" ref="X229" ca="1">IF($C229="S",IF(OR(Import.TipoArredondamento&lt;&gt;"TransfereGOV",ACOMPANHAMENTO="BM"),VTOTAL1,SUM(OFFSET(CÁLCULO!$AA$15,ROW($X229)-ROW($X$15),1):OFFSET(CÁLCULO!$AL$15,ROW($X229)-ROW($X$15),-1))),IF($C229=0,0,ROUND(SomaAgrup,15-13*$AF$11)))</f>
        <v>0</v>
      </c>
      <c r="Y229" s="127" t="s">
        <v>752</v>
      </c>
      <c r="Z229" t="str">
        <f t="shared" ca="1" si="62"/>
        <v/>
      </c>
      <c r="AA229" s="128">
        <f ca="1">IF($C229="S",IF($Z229="CP",$X229,IF($Z229="RA",(($X229)*QCI!$AA$3),0)),SomaAgrup)</f>
        <v>0</v>
      </c>
      <c r="AB229" s="129">
        <f t="shared" ca="1" si="63"/>
        <v>0</v>
      </c>
      <c r="AC229" s="567" t="str">
        <f ca="1">IF($N229=""," ",
IF(AND($C229&lt;&gt;"S",OR($R229="",$R229="(digite a descrição aqui)")),"DESCRIÇÃO",
IF(AND($C229="S",OR($Q229&lt;&gt;0,$T229&gt;0,$U229&gt;0),$P229=0),"FONTE",
IF(AND($C229="S",$P229&lt;&gt;0,OR($T229&gt;0,$U229&gt;0),$Q229=0),"CÓDIGO",
IF(AND($C229="S",$P229&lt;&gt;0,$Q229&lt;&gt;0,$R229="(Código não identificado nas referências)"),"CÓDIGO N/ID",
IF(AND($C229="S",OR($R229="",$R229="(digite a descrição aqui)"),OR($Q229&lt;&gt;0,$T229&gt;0,$U229&gt;0)),"DESCRIÇÃO",
IF(AND($C229="S",$P229&lt;&gt;0,$Q229&lt;&gt;0,$S229=""),"UNIDADE",
IF(AND($C229="S",$P229&lt;&gt;0,$Q229&lt;&gt;0,$U229=0),"SEM CUSTO",
IF(AND(TIPOORCAMENTO="Licitado",$AL229=0,$AN229&gt;0),"SEM PREÇO",
IF(AND($C229="S",$P229&lt;&gt;0,$Q229&lt;&gt;0,$U229&gt;0,$V229=0),"BDI",
IF(OR(AND(TIPOORCAMENTO="Proposto",$AG229&lt;&gt;"",$AG229&gt;0,ORÇAMENTO.CustoUnitario&gt;$AG229),AND(TIPOORCAMENTO="LICITADO",ORÇAMENTO.PrecoUnitarioLicitado&gt;$AN229)),"ACIMA REF.",
IF(AND($C229="S",$P229&lt;&gt;0,$Q229&lt;&gt;0,$T229=0,$U229&gt;0),"QUANT.",
IF(AND(Import.TipoArredondamento="TransfereGOV",$L229="F",$C229="S",LEN($Q229)&gt;13),"Código &gt;13",
IF(AND(Import.TipoArredondamento="TransfereGOV",$L229="F",$C229&lt;&gt;"S",LEN($R229)&gt;100),"Descrição &gt;100",
IF(AND(Import.TipoArredondamento="TransfereGOV",$L229="F",$C229="S",LEN($R229)&gt;500),"Descrição &gt;500",
IF(AND(Import.TipoArredondamento="TransfereGOV",$L229="F",$C229="S",LEFT(TRIM(UPPER($P229)),6)&lt;&gt;"SINAPI",ISNA(VLOOKUP(TRIM(UPPER($S229)),ListaTgov.Unidades,1,FALSE))),"Unid. Não Disp",
" "))))))))))))))))</f>
        <v>SEM CUSTO</v>
      </c>
      <c r="AD229" t="str">
        <f ca="1">IF(C229&lt;=CRONO.NivelExibicao,MAX($AD$15:OFFSET(AD229,-1,0))+IF($C229&lt;&gt;1,1,MAX(1,COUNTIF(QCI!$A$13:$A$24,OFFSET($E229,-1,0)))),"")</f>
        <v/>
      </c>
      <c r="AE229" s="7" t="str">
        <f ca="1">IF(AND($C229="S",ORÇAMENTO.CodBarra&lt;&gt;""),IF(ORÇAMENTO.Fonte="",ORÇAMENTO.CodBarra,CONCATENATE(ORÇAMENTO.Fonte," ",ORÇAMENTO.CodBarra)))</f>
        <v>SINAPI 100849</v>
      </c>
      <c r="AF229" s="12" t="str">
        <f ca="1">IF(ISERROR(INDIRECT(ORÇAMENTO.BancoRef)),"(abra o arquivo 'Referência "&amp;Excel_BuiltIn_Database&amp;".xlsm)",IF(OR($C229&lt;&gt;"S",ORÇAMENTO.CodBarra=""),"(Sem Código)",IF(ISERROR(MATCH($AE229,INDIRECT(ORÇAMENTO.BancoRef),0)),"(Código não identificado nas referências)",MATCH($AE229,INDIRECT(ORÇAMENTO.BancoRef),0))))</f>
        <v>(abra o arquivo 'Referência 12-2024.xlsm)</v>
      </c>
      <c r="AG229" s="429">
        <f ca="1">ROUND(IF(DESONERACAO="sim",REFERENCIA.Desonerado,REFERENCIA.NaoDesonerado),2)</f>
        <v>0</v>
      </c>
      <c r="AH229" s="430">
        <f t="shared" ca="1" si="64"/>
        <v>0.31190000000000001</v>
      </c>
      <c r="AJ229" s="432">
        <v>11</v>
      </c>
      <c r="AL229" s="440"/>
      <c r="AM229" s="337">
        <f t="shared" ca="1" si="0"/>
        <v>0</v>
      </c>
      <c r="AN229" s="471">
        <f t="shared" ca="1" si="65"/>
        <v>0</v>
      </c>
    </row>
    <row r="230" spans="1:40" ht="25.5" x14ac:dyDescent="0.2">
      <c r="A230" t="str">
        <f t="shared" si="50"/>
        <v>S</v>
      </c>
      <c r="B230">
        <f t="shared" ca="1" si="51"/>
        <v>2</v>
      </c>
      <c r="C230" t="str">
        <f t="shared" ca="1" si="52"/>
        <v>S</v>
      </c>
      <c r="D230">
        <f t="shared" ca="1" si="53"/>
        <v>0</v>
      </c>
      <c r="E230">
        <f ca="1">IF($C230=1,OFFSET(E230,-1,0)+MAX(1,COUNTIF(QCI!$A$13:$A$24,OFFSET(ORÇAMENTO!E230,-1,0))),OFFSET(E230,-1,0))</f>
        <v>1</v>
      </c>
      <c r="F230">
        <f t="shared" ca="1" si="54"/>
        <v>13</v>
      </c>
      <c r="G230">
        <f t="shared" ca="1" si="55"/>
        <v>0</v>
      </c>
      <c r="H230">
        <f t="shared" ca="1" si="56"/>
        <v>0</v>
      </c>
      <c r="I230">
        <f t="shared" ca="1" si="57"/>
        <v>0</v>
      </c>
      <c r="J230">
        <f t="shared" ca="1" si="58"/>
        <v>0</v>
      </c>
      <c r="K230">
        <f ca="1">IF(OR($C230="S",$C230=0),0,MATCH(OFFSET($D230,0,$C230)+IF($C230&lt;&gt;1,1,COUNTIF(QCI!$A$13:$A$24,ORÇAMENTO!E230)),OFFSET($D230,1,$C230,ROW($C$405)-ROW($C230)),0))</f>
        <v>0</v>
      </c>
      <c r="L230" s="115" t="str">
        <f t="shared" ca="1" si="59"/>
        <v/>
      </c>
      <c r="M230" s="116" t="s">
        <v>706</v>
      </c>
      <c r="N230" s="117" t="str">
        <f t="shared" ca="1" si="60"/>
        <v>Serviço</v>
      </c>
      <c r="O230" s="118" t="str">
        <f t="shared" ca="1" si="61"/>
        <v>-</v>
      </c>
      <c r="P230" s="119" t="s">
        <v>751</v>
      </c>
      <c r="Q230" s="120" t="s">
        <v>1130</v>
      </c>
      <c r="R230" s="121" t="s">
        <v>1506</v>
      </c>
      <c r="S230" s="122" t="s">
        <v>639</v>
      </c>
      <c r="T230" s="123">
        <f ca="1">OFFSET(CÁLCULO!H$15,ROW($T230)-ROW(T$15),0)</f>
        <v>16</v>
      </c>
      <c r="U230" s="124"/>
      <c r="V230" s="125" t="s">
        <v>663</v>
      </c>
      <c r="W230" s="123">
        <f ca="1">IF($C230="S",ROUND(IF(TIPOORCAMENTO="Proposto",ORÇAMENTO.CustoUnitario*(1+$AH230),ORÇAMENTO.PrecoUnitarioLicitado),15-13*$AF$10),0)</f>
        <v>0</v>
      </c>
      <c r="X230" s="126" cm="1">
        <f t="array" aca="1" ref="X230" ca="1">IF($C230="S",IF(OR(Import.TipoArredondamento&lt;&gt;"TransfereGOV",ACOMPANHAMENTO="BM"),VTOTAL1,SUM(OFFSET(CÁLCULO!$AA$15,ROW($X230)-ROW($X$15),1):OFFSET(CÁLCULO!$AL$15,ROW($X230)-ROW($X$15),-1))),IF($C230=0,0,ROUND(SomaAgrup,15-13*$AF$11)))</f>
        <v>0</v>
      </c>
      <c r="Y230" s="127" t="s">
        <v>752</v>
      </c>
      <c r="Z230" t="str">
        <f t="shared" ca="1" si="62"/>
        <v/>
      </c>
      <c r="AA230" s="128">
        <f ca="1">IF($C230="S",IF($Z230="CP",$X230,IF($Z230="RA",(($X230)*QCI!$AA$3),0)),SomaAgrup)</f>
        <v>0</v>
      </c>
      <c r="AB230" s="129">
        <f t="shared" ca="1" si="63"/>
        <v>0</v>
      </c>
      <c r="AC230" s="567" t="str">
        <f ca="1">IF($N230=""," ",
IF(AND($C230&lt;&gt;"S",OR($R230="",$R230="(digite a descrição aqui)")),"DESCRIÇÃO",
IF(AND($C230="S",OR($Q230&lt;&gt;0,$T230&gt;0,$U230&gt;0),$P230=0),"FONTE",
IF(AND($C230="S",$P230&lt;&gt;0,OR($T230&gt;0,$U230&gt;0),$Q230=0),"CÓDIGO",
IF(AND($C230="S",$P230&lt;&gt;0,$Q230&lt;&gt;0,$R230="(Código não identificado nas referências)"),"CÓDIGO N/ID",
IF(AND($C230="S",OR($R230="",$R230="(digite a descrição aqui)"),OR($Q230&lt;&gt;0,$T230&gt;0,$U230&gt;0)),"DESCRIÇÃO",
IF(AND($C230="S",$P230&lt;&gt;0,$Q230&lt;&gt;0,$S230=""),"UNIDADE",
IF(AND($C230="S",$P230&lt;&gt;0,$Q230&lt;&gt;0,$U230=0),"SEM CUSTO",
IF(AND(TIPOORCAMENTO="Licitado",$AL230=0,$AN230&gt;0),"SEM PREÇO",
IF(AND($C230="S",$P230&lt;&gt;0,$Q230&lt;&gt;0,$U230&gt;0,$V230=0),"BDI",
IF(OR(AND(TIPOORCAMENTO="Proposto",$AG230&lt;&gt;"",$AG230&gt;0,ORÇAMENTO.CustoUnitario&gt;$AG230),AND(TIPOORCAMENTO="LICITADO",ORÇAMENTO.PrecoUnitarioLicitado&gt;$AN230)),"ACIMA REF.",
IF(AND($C230="S",$P230&lt;&gt;0,$Q230&lt;&gt;0,$T230=0,$U230&gt;0),"QUANT.",
IF(AND(Import.TipoArredondamento="TransfereGOV",$L230="F",$C230="S",LEN($Q230)&gt;13),"Código &gt;13",
IF(AND(Import.TipoArredondamento="TransfereGOV",$L230="F",$C230&lt;&gt;"S",LEN($R230)&gt;100),"Descrição &gt;100",
IF(AND(Import.TipoArredondamento="TransfereGOV",$L230="F",$C230="S",LEN($R230)&gt;500),"Descrição &gt;500",
IF(AND(Import.TipoArredondamento="TransfereGOV",$L230="F",$C230="S",LEFT(TRIM(UPPER($P230)),6)&lt;&gt;"SINAPI",ISNA(VLOOKUP(TRIM(UPPER($S230)),ListaTgov.Unidades,1,FALSE))),"Unid. Não Disp",
" "))))))))))))))))</f>
        <v>SEM CUSTO</v>
      </c>
      <c r="AD230" t="str">
        <f ca="1">IF(C230&lt;=CRONO.NivelExibicao,MAX($AD$15:OFFSET(AD230,-1,0))+IF($C230&lt;&gt;1,1,MAX(1,COUNTIF(QCI!$A$13:$A$24,OFFSET($E230,-1,0)))),"")</f>
        <v/>
      </c>
      <c r="AE230" s="7" t="str">
        <f ca="1">IF(AND($C230="S",ORÇAMENTO.CodBarra&lt;&gt;""),IF(ORÇAMENTO.Fonte="",ORÇAMENTO.CodBarra,CONCATENATE(ORÇAMENTO.Fonte," ",ORÇAMENTO.CodBarra)))</f>
        <v>SINAPI 100851</v>
      </c>
      <c r="AF230" s="12" t="str">
        <f ca="1">IF(ISERROR(INDIRECT(ORÇAMENTO.BancoRef)),"(abra o arquivo 'Referência "&amp;Excel_BuiltIn_Database&amp;".xlsm)",IF(OR($C230&lt;&gt;"S",ORÇAMENTO.CodBarra=""),"(Sem Código)",IF(ISERROR(MATCH($AE230,INDIRECT(ORÇAMENTO.BancoRef),0)),"(Código não identificado nas referências)",MATCH($AE230,INDIRECT(ORÇAMENTO.BancoRef),0))))</f>
        <v>(abra o arquivo 'Referência 12-2024.xlsm)</v>
      </c>
      <c r="AG230" s="429">
        <f ca="1">ROUND(IF(DESONERACAO="sim",REFERENCIA.Desonerado,REFERENCIA.NaoDesonerado),2)</f>
        <v>0</v>
      </c>
      <c r="AH230" s="430">
        <f t="shared" ca="1" si="64"/>
        <v>0.31190000000000001</v>
      </c>
      <c r="AJ230" s="432">
        <v>16</v>
      </c>
      <c r="AL230" s="440"/>
      <c r="AM230" s="337">
        <f t="shared" ca="1" si="0"/>
        <v>0</v>
      </c>
      <c r="AN230" s="471">
        <f t="shared" ca="1" si="65"/>
        <v>0</v>
      </c>
    </row>
    <row r="231" spans="1:40" ht="38.25" x14ac:dyDescent="0.2">
      <c r="A231" t="str">
        <f t="shared" si="50"/>
        <v>S</v>
      </c>
      <c r="B231">
        <f t="shared" ca="1" si="51"/>
        <v>2</v>
      </c>
      <c r="C231" t="str">
        <f t="shared" ca="1" si="52"/>
        <v>S</v>
      </c>
      <c r="D231">
        <f t="shared" ca="1" si="53"/>
        <v>0</v>
      </c>
      <c r="E231">
        <f ca="1">IF($C231=1,OFFSET(E231,-1,0)+MAX(1,COUNTIF(QCI!$A$13:$A$24,OFFSET(ORÇAMENTO!E231,-1,0))),OFFSET(E231,-1,0))</f>
        <v>1</v>
      </c>
      <c r="F231">
        <f t="shared" ca="1" si="54"/>
        <v>13</v>
      </c>
      <c r="G231">
        <f t="shared" ca="1" si="55"/>
        <v>0</v>
      </c>
      <c r="H231">
        <f t="shared" ca="1" si="56"/>
        <v>0</v>
      </c>
      <c r="I231">
        <f t="shared" ca="1" si="57"/>
        <v>0</v>
      </c>
      <c r="J231">
        <f t="shared" ca="1" si="58"/>
        <v>0</v>
      </c>
      <c r="K231">
        <f ca="1">IF(OR($C231="S",$C231=0),0,MATCH(OFFSET($D231,0,$C231)+IF($C231&lt;&gt;1,1,COUNTIF(QCI!$A$13:$A$24,ORÇAMENTO!E231)),OFFSET($D231,1,$C231,ROW($C$405)-ROW($C231)),0))</f>
        <v>0</v>
      </c>
      <c r="L231" s="115" t="str">
        <f t="shared" ca="1" si="59"/>
        <v/>
      </c>
      <c r="M231" s="116" t="s">
        <v>706</v>
      </c>
      <c r="N231" s="117" t="str">
        <f t="shared" ca="1" si="60"/>
        <v>Serviço</v>
      </c>
      <c r="O231" s="118" t="str">
        <f t="shared" ca="1" si="61"/>
        <v>-</v>
      </c>
      <c r="P231" s="119" t="s">
        <v>1319</v>
      </c>
      <c r="Q231" s="120" t="s">
        <v>1131</v>
      </c>
      <c r="R231" s="121" t="s">
        <v>1507</v>
      </c>
      <c r="S231" s="122" t="s">
        <v>639</v>
      </c>
      <c r="T231" s="123">
        <f ca="1">OFFSET(CÁLCULO!H$15,ROW($T231)-ROW(T$15),0)</f>
        <v>27</v>
      </c>
      <c r="U231" s="124"/>
      <c r="V231" s="125" t="s">
        <v>663</v>
      </c>
      <c r="W231" s="123">
        <f ca="1">IF($C231="S",ROUND(IF(TIPOORCAMENTO="Proposto",ORÇAMENTO.CustoUnitario*(1+$AH231),ORÇAMENTO.PrecoUnitarioLicitado),15-13*$AF$10),0)</f>
        <v>0</v>
      </c>
      <c r="X231" s="126" cm="1">
        <f t="array" aca="1" ref="X231" ca="1">IF($C231="S",IF(OR(Import.TipoArredondamento&lt;&gt;"TransfereGOV",ACOMPANHAMENTO="BM"),VTOTAL1,SUM(OFFSET(CÁLCULO!$AA$15,ROW($X231)-ROW($X$15),1):OFFSET(CÁLCULO!$AL$15,ROW($X231)-ROW($X$15),-1))),IF($C231=0,0,ROUND(SomaAgrup,15-13*$AF$11)))</f>
        <v>0</v>
      </c>
      <c r="Y231" s="127" t="s">
        <v>752</v>
      </c>
      <c r="Z231" t="str">
        <f t="shared" ca="1" si="62"/>
        <v/>
      </c>
      <c r="AA231" s="128">
        <f ca="1">IF($C231="S",IF($Z231="CP",$X231,IF($Z231="RA",(($X231)*QCI!$AA$3),0)),SomaAgrup)</f>
        <v>0</v>
      </c>
      <c r="AB231" s="129">
        <f t="shared" ca="1" si="63"/>
        <v>0</v>
      </c>
      <c r="AC231" s="567" t="str">
        <f ca="1">IF($N231=""," ",
IF(AND($C231&lt;&gt;"S",OR($R231="",$R231="(digite a descrição aqui)")),"DESCRIÇÃO",
IF(AND($C231="S",OR($Q231&lt;&gt;0,$T231&gt;0,$U231&gt;0),$P231=0),"FONTE",
IF(AND($C231="S",$P231&lt;&gt;0,OR($T231&gt;0,$U231&gt;0),$Q231=0),"CÓDIGO",
IF(AND($C231="S",$P231&lt;&gt;0,$Q231&lt;&gt;0,$R231="(Código não identificado nas referências)"),"CÓDIGO N/ID",
IF(AND($C231="S",OR($R231="",$R231="(digite a descrição aqui)"),OR($Q231&lt;&gt;0,$T231&gt;0,$U231&gt;0)),"DESCRIÇÃO",
IF(AND($C231="S",$P231&lt;&gt;0,$Q231&lt;&gt;0,$S231=""),"UNIDADE",
IF(AND($C231="S",$P231&lt;&gt;0,$Q231&lt;&gt;0,$U231=0),"SEM CUSTO",
IF(AND(TIPOORCAMENTO="Licitado",$AL231=0,$AN231&gt;0),"SEM PREÇO",
IF(AND($C231="S",$P231&lt;&gt;0,$Q231&lt;&gt;0,$U231&gt;0,$V231=0),"BDI",
IF(OR(AND(TIPOORCAMENTO="Proposto",$AG231&lt;&gt;"",$AG231&gt;0,ORÇAMENTO.CustoUnitario&gt;$AG231),AND(TIPOORCAMENTO="LICITADO",ORÇAMENTO.PrecoUnitarioLicitado&gt;$AN231)),"ACIMA REF.",
IF(AND($C231="S",$P231&lt;&gt;0,$Q231&lt;&gt;0,$T231=0,$U231&gt;0),"QUANT.",
IF(AND(Import.TipoArredondamento="TransfereGOV",$L231="F",$C231="S",LEN($Q231)&gt;13),"Código &gt;13",
IF(AND(Import.TipoArredondamento="TransfereGOV",$L231="F",$C231&lt;&gt;"S",LEN($R231)&gt;100),"Descrição &gt;100",
IF(AND(Import.TipoArredondamento="TransfereGOV",$L231="F",$C231="S",LEN($R231)&gt;500),"Descrição &gt;500",
IF(AND(Import.TipoArredondamento="TransfereGOV",$L231="F",$C231="S",LEFT(TRIM(UPPER($P231)),6)&lt;&gt;"SINAPI",ISNA(VLOOKUP(TRIM(UPPER($S231)),ListaTgov.Unidades,1,FALSE))),"Unid. Não Disp",
" "))))))))))))))))</f>
        <v>SEM CUSTO</v>
      </c>
      <c r="AD231" t="str">
        <f ca="1">IF(C231&lt;=CRONO.NivelExibicao,MAX($AD$15:OFFSET(AD231,-1,0))+IF($C231&lt;&gt;1,1,MAX(1,COUNTIF(QCI!$A$13:$A$24,OFFSET($E231,-1,0)))),"")</f>
        <v/>
      </c>
      <c r="AE231" s="7" t="str">
        <f ca="1">IF(AND($C231="S",ORÇAMENTO.CodBarra&lt;&gt;""),IF(ORÇAMENTO.Fonte="",ORÇAMENTO.CodBarra,CONCATENATE(ORÇAMENTO.Fonte," ",ORÇAMENTO.CodBarra)))</f>
        <v>FNDE 215</v>
      </c>
      <c r="AF231" s="12" t="str">
        <f ca="1">IF(ISERROR(INDIRECT(ORÇAMENTO.BancoRef)),"(abra o arquivo 'Referência "&amp;Excel_BuiltIn_Database&amp;".xlsm)",IF(OR($C231&lt;&gt;"S",ORÇAMENTO.CodBarra=""),"(Sem Código)",IF(ISERROR(MATCH($AE231,INDIRECT(ORÇAMENTO.BancoRef),0)),"(Código não identificado nas referências)",MATCH($AE231,INDIRECT(ORÇAMENTO.BancoRef),0))))</f>
        <v>(abra o arquivo 'Referência 12-2024.xlsm)</v>
      </c>
      <c r="AG231" s="429">
        <f ca="1">ROUND(IF(DESONERACAO="sim",REFERENCIA.Desonerado,REFERENCIA.NaoDesonerado),2)</f>
        <v>0</v>
      </c>
      <c r="AH231" s="430">
        <f t="shared" ca="1" si="64"/>
        <v>0.31190000000000001</v>
      </c>
      <c r="AJ231" s="432">
        <v>27</v>
      </c>
      <c r="AL231" s="440"/>
      <c r="AM231" s="337">
        <f t="shared" ca="1" si="0"/>
        <v>0</v>
      </c>
      <c r="AN231" s="471">
        <f t="shared" ca="1" si="65"/>
        <v>0</v>
      </c>
    </row>
    <row r="232" spans="1:40" ht="38.25" x14ac:dyDescent="0.2">
      <c r="A232" t="str">
        <f t="shared" si="50"/>
        <v>S</v>
      </c>
      <c r="B232">
        <f t="shared" ca="1" si="51"/>
        <v>2</v>
      </c>
      <c r="C232" t="str">
        <f t="shared" ca="1" si="52"/>
        <v>S</v>
      </c>
      <c r="D232">
        <f t="shared" ca="1" si="53"/>
        <v>0</v>
      </c>
      <c r="E232">
        <f ca="1">IF($C232=1,OFFSET(E232,-1,0)+MAX(1,COUNTIF(QCI!$A$13:$A$24,OFFSET(ORÇAMENTO!E232,-1,0))),OFFSET(E232,-1,0))</f>
        <v>1</v>
      </c>
      <c r="F232">
        <f t="shared" ca="1" si="54"/>
        <v>13</v>
      </c>
      <c r="G232">
        <f t="shared" ca="1" si="55"/>
        <v>0</v>
      </c>
      <c r="H232">
        <f t="shared" ca="1" si="56"/>
        <v>0</v>
      </c>
      <c r="I232">
        <f t="shared" ca="1" si="57"/>
        <v>0</v>
      </c>
      <c r="J232">
        <f t="shared" ca="1" si="58"/>
        <v>0</v>
      </c>
      <c r="K232">
        <f ca="1">IF(OR($C232="S",$C232=0),0,MATCH(OFFSET($D232,0,$C232)+IF($C232&lt;&gt;1,1,COUNTIF(QCI!$A$13:$A$24,ORÇAMENTO!E232)),OFFSET($D232,1,$C232,ROW($C$405)-ROW($C232)),0))</f>
        <v>0</v>
      </c>
      <c r="L232" s="115" t="str">
        <f t="shared" ca="1" si="59"/>
        <v/>
      </c>
      <c r="M232" s="116" t="s">
        <v>706</v>
      </c>
      <c r="N232" s="117" t="str">
        <f t="shared" ca="1" si="60"/>
        <v>Serviço</v>
      </c>
      <c r="O232" s="118" t="str">
        <f t="shared" ca="1" si="61"/>
        <v>-</v>
      </c>
      <c r="P232" s="119" t="s">
        <v>1316</v>
      </c>
      <c r="Q232" s="120" t="s">
        <v>1132</v>
      </c>
      <c r="R232" s="121" t="s">
        <v>1508</v>
      </c>
      <c r="S232" s="122" t="s">
        <v>1644</v>
      </c>
      <c r="T232" s="123">
        <f ca="1">OFFSET(CÁLCULO!H$15,ROW($T232)-ROW(T$15),0)</f>
        <v>6</v>
      </c>
      <c r="U232" s="124"/>
      <c r="V232" s="125" t="s">
        <v>663</v>
      </c>
      <c r="W232" s="123">
        <f ca="1">IF($C232="S",ROUND(IF(TIPOORCAMENTO="Proposto",ORÇAMENTO.CustoUnitario*(1+$AH232),ORÇAMENTO.PrecoUnitarioLicitado),15-13*$AF$10),0)</f>
        <v>0</v>
      </c>
      <c r="X232" s="126" cm="1">
        <f t="array" aca="1" ref="X232" ca="1">IF($C232="S",IF(OR(Import.TipoArredondamento&lt;&gt;"TransfereGOV",ACOMPANHAMENTO="BM"),VTOTAL1,SUM(OFFSET(CÁLCULO!$AA$15,ROW($X232)-ROW($X$15),1):OFFSET(CÁLCULO!$AL$15,ROW($X232)-ROW($X$15),-1))),IF($C232=0,0,ROUND(SomaAgrup,15-13*$AF$11)))</f>
        <v>0</v>
      </c>
      <c r="Y232" s="127" t="s">
        <v>752</v>
      </c>
      <c r="Z232" t="str">
        <f t="shared" ca="1" si="62"/>
        <v/>
      </c>
      <c r="AA232" s="128">
        <f ca="1">IF($C232="S",IF($Z232="CP",$X232,IF($Z232="RA",(($X232)*QCI!$AA$3),0)),SomaAgrup)</f>
        <v>0</v>
      </c>
      <c r="AB232" s="129">
        <f t="shared" ca="1" si="63"/>
        <v>0</v>
      </c>
      <c r="AC232" s="567" t="str">
        <f ca="1">IF($N232=""," ",
IF(AND($C232&lt;&gt;"S",OR($R232="",$R232="(digite a descrição aqui)")),"DESCRIÇÃO",
IF(AND($C232="S",OR($Q232&lt;&gt;0,$T232&gt;0,$U232&gt;0),$P232=0),"FONTE",
IF(AND($C232="S",$P232&lt;&gt;0,OR($T232&gt;0,$U232&gt;0),$Q232=0),"CÓDIGO",
IF(AND($C232="S",$P232&lt;&gt;0,$Q232&lt;&gt;0,$R232="(Código não identificado nas referências)"),"CÓDIGO N/ID",
IF(AND($C232="S",OR($R232="",$R232="(digite a descrição aqui)"),OR($Q232&lt;&gt;0,$T232&gt;0,$U232&gt;0)),"DESCRIÇÃO",
IF(AND($C232="S",$P232&lt;&gt;0,$Q232&lt;&gt;0,$S232=""),"UNIDADE",
IF(AND($C232="S",$P232&lt;&gt;0,$Q232&lt;&gt;0,$U232=0),"SEM CUSTO",
IF(AND(TIPOORCAMENTO="Licitado",$AL232=0,$AN232&gt;0),"SEM PREÇO",
IF(AND($C232="S",$P232&lt;&gt;0,$Q232&lt;&gt;0,$U232&gt;0,$V232=0),"BDI",
IF(OR(AND(TIPOORCAMENTO="Proposto",$AG232&lt;&gt;"",$AG232&gt;0,ORÇAMENTO.CustoUnitario&gt;$AG232),AND(TIPOORCAMENTO="LICITADO",ORÇAMENTO.PrecoUnitarioLicitado&gt;$AN232)),"ACIMA REF.",
IF(AND($C232="S",$P232&lt;&gt;0,$Q232&lt;&gt;0,$T232=0,$U232&gt;0),"QUANT.",
IF(AND(Import.TipoArredondamento="TransfereGOV",$L232="F",$C232="S",LEN($Q232)&gt;13),"Código &gt;13",
IF(AND(Import.TipoArredondamento="TransfereGOV",$L232="F",$C232&lt;&gt;"S",LEN($R232)&gt;100),"Descrição &gt;100",
IF(AND(Import.TipoArredondamento="TransfereGOV",$L232="F",$C232="S",LEN($R232)&gt;500),"Descrição &gt;500",
IF(AND(Import.TipoArredondamento="TransfereGOV",$L232="F",$C232="S",LEFT(TRIM(UPPER($P232)),6)&lt;&gt;"SINAPI",ISNA(VLOOKUP(TRIM(UPPER($S232)),ListaTgov.Unidades,1,FALSE))),"Unid. Não Disp",
" "))))))))))))))))</f>
        <v>SEM CUSTO</v>
      </c>
      <c r="AD232" t="str">
        <f ca="1">IF(C232&lt;=CRONO.NivelExibicao,MAX($AD$15:OFFSET(AD232,-1,0))+IF($C232&lt;&gt;1,1,MAX(1,COUNTIF(QCI!$A$13:$A$24,OFFSET($E232,-1,0)))),"")</f>
        <v/>
      </c>
      <c r="AE232" s="7" t="str">
        <f ca="1">IF(AND($C232="S",ORÇAMENTO.CodBarra&lt;&gt;""),IF(ORÇAMENTO.Fonte="",ORÇAMENTO.CodBarra,CONCATENATE(ORÇAMENTO.Fonte," ",ORÇAMENTO.CodBarra)))</f>
        <v>Composiçao 240</v>
      </c>
      <c r="AF232" s="12" t="str">
        <f ca="1">IF(ISERROR(INDIRECT(ORÇAMENTO.BancoRef)),"(abra o arquivo 'Referência "&amp;Excel_BuiltIn_Database&amp;".xlsm)",IF(OR($C232&lt;&gt;"S",ORÇAMENTO.CodBarra=""),"(Sem Código)",IF(ISERROR(MATCH($AE232,INDIRECT(ORÇAMENTO.BancoRef),0)),"(Código não identificado nas referências)",MATCH($AE232,INDIRECT(ORÇAMENTO.BancoRef),0))))</f>
        <v>(abra o arquivo 'Referência 12-2024.xlsm)</v>
      </c>
      <c r="AG232" s="429">
        <f ca="1">ROUND(IF(DESONERACAO="sim",REFERENCIA.Desonerado,REFERENCIA.NaoDesonerado),2)</f>
        <v>0</v>
      </c>
      <c r="AH232" s="430">
        <f t="shared" ca="1" si="64"/>
        <v>0.31190000000000001</v>
      </c>
      <c r="AJ232" s="432">
        <v>6</v>
      </c>
      <c r="AL232" s="440"/>
      <c r="AM232" s="337">
        <f t="shared" ca="1" si="0"/>
        <v>0</v>
      </c>
      <c r="AN232" s="471">
        <f t="shared" ca="1" si="65"/>
        <v>0</v>
      </c>
    </row>
    <row r="233" spans="1:40" ht="38.25" x14ac:dyDescent="0.2">
      <c r="A233" t="str">
        <f t="shared" si="50"/>
        <v>S</v>
      </c>
      <c r="B233">
        <f t="shared" ca="1" si="51"/>
        <v>2</v>
      </c>
      <c r="C233" t="str">
        <f t="shared" ca="1" si="52"/>
        <v>S</v>
      </c>
      <c r="D233">
        <f t="shared" ca="1" si="53"/>
        <v>0</v>
      </c>
      <c r="E233">
        <f ca="1">IF($C233=1,OFFSET(E233,-1,0)+MAX(1,COUNTIF(QCI!$A$13:$A$24,OFFSET(ORÇAMENTO!E233,-1,0))),OFFSET(E233,-1,0))</f>
        <v>1</v>
      </c>
      <c r="F233">
        <f t="shared" ca="1" si="54"/>
        <v>13</v>
      </c>
      <c r="G233">
        <f t="shared" ca="1" si="55"/>
        <v>0</v>
      </c>
      <c r="H233">
        <f t="shared" ca="1" si="56"/>
        <v>0</v>
      </c>
      <c r="I233">
        <f t="shared" ca="1" si="57"/>
        <v>0</v>
      </c>
      <c r="J233">
        <f t="shared" ca="1" si="58"/>
        <v>0</v>
      </c>
      <c r="K233">
        <f ca="1">IF(OR($C233="S",$C233=0),0,MATCH(OFFSET($D233,0,$C233)+IF($C233&lt;&gt;1,1,COUNTIF(QCI!$A$13:$A$24,ORÇAMENTO!E233)),OFFSET($D233,1,$C233,ROW($C$405)-ROW($C233)),0))</f>
        <v>0</v>
      </c>
      <c r="L233" s="115" t="str">
        <f t="shared" ca="1" si="59"/>
        <v/>
      </c>
      <c r="M233" s="116" t="s">
        <v>706</v>
      </c>
      <c r="N233" s="117" t="str">
        <f t="shared" ca="1" si="60"/>
        <v>Serviço</v>
      </c>
      <c r="O233" s="118" t="str">
        <f t="shared" ca="1" si="61"/>
        <v>-</v>
      </c>
      <c r="P233" s="119" t="s">
        <v>1316</v>
      </c>
      <c r="Q233" s="120" t="s">
        <v>1133</v>
      </c>
      <c r="R233" s="121" t="s">
        <v>1509</v>
      </c>
      <c r="S233" s="122" t="s">
        <v>1644</v>
      </c>
      <c r="T233" s="123">
        <f ca="1">OFFSET(CÁLCULO!H$15,ROW($T233)-ROW(T$15),0)</f>
        <v>29</v>
      </c>
      <c r="U233" s="124"/>
      <c r="V233" s="125" t="s">
        <v>663</v>
      </c>
      <c r="W233" s="123">
        <f ca="1">IF($C233="S",ROUND(IF(TIPOORCAMENTO="Proposto",ORÇAMENTO.CustoUnitario*(1+$AH233),ORÇAMENTO.PrecoUnitarioLicitado),15-13*$AF$10),0)</f>
        <v>0</v>
      </c>
      <c r="X233" s="126" cm="1">
        <f t="array" aca="1" ref="X233" ca="1">IF($C233="S",IF(OR(Import.TipoArredondamento&lt;&gt;"TransfereGOV",ACOMPANHAMENTO="BM"),VTOTAL1,SUM(OFFSET(CÁLCULO!$AA$15,ROW($X233)-ROW($X$15),1):OFFSET(CÁLCULO!$AL$15,ROW($X233)-ROW($X$15),-1))),IF($C233=0,0,ROUND(SomaAgrup,15-13*$AF$11)))</f>
        <v>0</v>
      </c>
      <c r="Y233" s="127" t="s">
        <v>752</v>
      </c>
      <c r="Z233" t="str">
        <f t="shared" ca="1" si="62"/>
        <v/>
      </c>
      <c r="AA233" s="128">
        <f ca="1">IF($C233="S",IF($Z233="CP",$X233,IF($Z233="RA",(($X233)*QCI!$AA$3),0)),SomaAgrup)</f>
        <v>0</v>
      </c>
      <c r="AB233" s="129">
        <f t="shared" ca="1" si="63"/>
        <v>0</v>
      </c>
      <c r="AC233" s="567" t="str">
        <f ca="1">IF($N233=""," ",
IF(AND($C233&lt;&gt;"S",OR($R233="",$R233="(digite a descrição aqui)")),"DESCRIÇÃO",
IF(AND($C233="S",OR($Q233&lt;&gt;0,$T233&gt;0,$U233&gt;0),$P233=0),"FONTE",
IF(AND($C233="S",$P233&lt;&gt;0,OR($T233&gt;0,$U233&gt;0),$Q233=0),"CÓDIGO",
IF(AND($C233="S",$P233&lt;&gt;0,$Q233&lt;&gt;0,$R233="(Código não identificado nas referências)"),"CÓDIGO N/ID",
IF(AND($C233="S",OR($R233="",$R233="(digite a descrição aqui)"),OR($Q233&lt;&gt;0,$T233&gt;0,$U233&gt;0)),"DESCRIÇÃO",
IF(AND($C233="S",$P233&lt;&gt;0,$Q233&lt;&gt;0,$S233=""),"UNIDADE",
IF(AND($C233="S",$P233&lt;&gt;0,$Q233&lt;&gt;0,$U233=0),"SEM CUSTO",
IF(AND(TIPOORCAMENTO="Licitado",$AL233=0,$AN233&gt;0),"SEM PREÇO",
IF(AND($C233="S",$P233&lt;&gt;0,$Q233&lt;&gt;0,$U233&gt;0,$V233=0),"BDI",
IF(OR(AND(TIPOORCAMENTO="Proposto",$AG233&lt;&gt;"",$AG233&gt;0,ORÇAMENTO.CustoUnitario&gt;$AG233),AND(TIPOORCAMENTO="LICITADO",ORÇAMENTO.PrecoUnitarioLicitado&gt;$AN233)),"ACIMA REF.",
IF(AND($C233="S",$P233&lt;&gt;0,$Q233&lt;&gt;0,$T233=0,$U233&gt;0),"QUANT.",
IF(AND(Import.TipoArredondamento="TransfereGOV",$L233="F",$C233="S",LEN($Q233)&gt;13),"Código &gt;13",
IF(AND(Import.TipoArredondamento="TransfereGOV",$L233="F",$C233&lt;&gt;"S",LEN($R233)&gt;100),"Descrição &gt;100",
IF(AND(Import.TipoArredondamento="TransfereGOV",$L233="F",$C233="S",LEN($R233)&gt;500),"Descrição &gt;500",
IF(AND(Import.TipoArredondamento="TransfereGOV",$L233="F",$C233="S",LEFT(TRIM(UPPER($P233)),6)&lt;&gt;"SINAPI",ISNA(VLOOKUP(TRIM(UPPER($S233)),ListaTgov.Unidades,1,FALSE))),"Unid. Não Disp",
" "))))))))))))))))</f>
        <v>SEM CUSTO</v>
      </c>
      <c r="AD233" t="str">
        <f ca="1">IF(C233&lt;=CRONO.NivelExibicao,MAX($AD$15:OFFSET(AD233,-1,0))+IF($C233&lt;&gt;1,1,MAX(1,COUNTIF(QCI!$A$13:$A$24,OFFSET($E233,-1,0)))),"")</f>
        <v/>
      </c>
      <c r="AE233" s="7" t="str">
        <f ca="1">IF(AND($C233="S",ORÇAMENTO.CodBarra&lt;&gt;""),IF(ORÇAMENTO.Fonte="",ORÇAMENTO.CodBarra,CONCATENATE(ORÇAMENTO.Fonte," ",ORÇAMENTO.CodBarra)))</f>
        <v>Composiçao 239</v>
      </c>
      <c r="AF233" s="12" t="str">
        <f ca="1">IF(ISERROR(INDIRECT(ORÇAMENTO.BancoRef)),"(abra o arquivo 'Referência "&amp;Excel_BuiltIn_Database&amp;".xlsm)",IF(OR($C233&lt;&gt;"S",ORÇAMENTO.CodBarra=""),"(Sem Código)",IF(ISERROR(MATCH($AE233,INDIRECT(ORÇAMENTO.BancoRef),0)),"(Código não identificado nas referências)",MATCH($AE233,INDIRECT(ORÇAMENTO.BancoRef),0))))</f>
        <v>(abra o arquivo 'Referência 12-2024.xlsm)</v>
      </c>
      <c r="AG233" s="429">
        <f ca="1">ROUND(IF(DESONERACAO="sim",REFERENCIA.Desonerado,REFERENCIA.NaoDesonerado),2)</f>
        <v>0</v>
      </c>
      <c r="AH233" s="430">
        <f t="shared" ca="1" si="64"/>
        <v>0.31190000000000001</v>
      </c>
      <c r="AJ233" s="432">
        <v>29</v>
      </c>
      <c r="AL233" s="440"/>
      <c r="AM233" s="337">
        <f t="shared" ca="1" si="0"/>
        <v>0</v>
      </c>
      <c r="AN233" s="471">
        <f t="shared" ca="1" si="65"/>
        <v>0</v>
      </c>
    </row>
    <row r="234" spans="1:40" ht="25.5" x14ac:dyDescent="0.2">
      <c r="A234" t="str">
        <f t="shared" si="50"/>
        <v>S</v>
      </c>
      <c r="B234">
        <f t="shared" ca="1" si="51"/>
        <v>2</v>
      </c>
      <c r="C234" t="str">
        <f t="shared" ca="1" si="52"/>
        <v>S</v>
      </c>
      <c r="D234">
        <f t="shared" ca="1" si="53"/>
        <v>0</v>
      </c>
      <c r="E234">
        <f ca="1">IF($C234=1,OFFSET(E234,-1,0)+MAX(1,COUNTIF(QCI!$A$13:$A$24,OFFSET(ORÇAMENTO!E234,-1,0))),OFFSET(E234,-1,0))</f>
        <v>1</v>
      </c>
      <c r="F234">
        <f t="shared" ca="1" si="54"/>
        <v>13</v>
      </c>
      <c r="G234">
        <f t="shared" ca="1" si="55"/>
        <v>0</v>
      </c>
      <c r="H234">
        <f t="shared" ca="1" si="56"/>
        <v>0</v>
      </c>
      <c r="I234">
        <f t="shared" ca="1" si="57"/>
        <v>0</v>
      </c>
      <c r="J234">
        <f t="shared" ca="1" si="58"/>
        <v>0</v>
      </c>
      <c r="K234">
        <f ca="1">IF(OR($C234="S",$C234=0),0,MATCH(OFFSET($D234,0,$C234)+IF($C234&lt;&gt;1,1,COUNTIF(QCI!$A$13:$A$24,ORÇAMENTO!E234)),OFFSET($D234,1,$C234,ROW($C$405)-ROW($C234)),0))</f>
        <v>0</v>
      </c>
      <c r="L234" s="115" t="str">
        <f t="shared" ca="1" si="59"/>
        <v/>
      </c>
      <c r="M234" s="116" t="s">
        <v>706</v>
      </c>
      <c r="N234" s="117" t="str">
        <f t="shared" ca="1" si="60"/>
        <v>Serviço</v>
      </c>
      <c r="O234" s="118" t="str">
        <f t="shared" ca="1" si="61"/>
        <v>-</v>
      </c>
      <c r="P234" s="119" t="s">
        <v>751</v>
      </c>
      <c r="Q234" s="120" t="s">
        <v>1134</v>
      </c>
      <c r="R234" s="121" t="s">
        <v>1510</v>
      </c>
      <c r="S234" s="122" t="s">
        <v>639</v>
      </c>
      <c r="T234" s="123">
        <f ca="1">OFFSET(CÁLCULO!H$15,ROW($T234)-ROW(T$15),0)</f>
        <v>35</v>
      </c>
      <c r="U234" s="124"/>
      <c r="V234" s="125" t="s">
        <v>663</v>
      </c>
      <c r="W234" s="123">
        <f ca="1">IF($C234="S",ROUND(IF(TIPOORCAMENTO="Proposto",ORÇAMENTO.CustoUnitario*(1+$AH234),ORÇAMENTO.PrecoUnitarioLicitado),15-13*$AF$10),0)</f>
        <v>0</v>
      </c>
      <c r="X234" s="126" cm="1">
        <f t="array" aca="1" ref="X234" ca="1">IF($C234="S",IF(OR(Import.TipoArredondamento&lt;&gt;"TransfereGOV",ACOMPANHAMENTO="BM"),VTOTAL1,SUM(OFFSET(CÁLCULO!$AA$15,ROW($X234)-ROW($X$15),1):OFFSET(CÁLCULO!$AL$15,ROW($X234)-ROW($X$15),-1))),IF($C234=0,0,ROUND(SomaAgrup,15-13*$AF$11)))</f>
        <v>0</v>
      </c>
      <c r="Y234" s="127" t="s">
        <v>752</v>
      </c>
      <c r="Z234" t="str">
        <f t="shared" ca="1" si="62"/>
        <v/>
      </c>
      <c r="AA234" s="128">
        <f ca="1">IF($C234="S",IF($Z234="CP",$X234,IF($Z234="RA",(($X234)*QCI!$AA$3),0)),SomaAgrup)</f>
        <v>0</v>
      </c>
      <c r="AB234" s="129">
        <f t="shared" ca="1" si="63"/>
        <v>0</v>
      </c>
      <c r="AC234" s="567" t="str">
        <f ca="1">IF($N234=""," ",
IF(AND($C234&lt;&gt;"S",OR($R234="",$R234="(digite a descrição aqui)")),"DESCRIÇÃO",
IF(AND($C234="S",OR($Q234&lt;&gt;0,$T234&gt;0,$U234&gt;0),$P234=0),"FONTE",
IF(AND($C234="S",$P234&lt;&gt;0,OR($T234&gt;0,$U234&gt;0),$Q234=0),"CÓDIGO",
IF(AND($C234="S",$P234&lt;&gt;0,$Q234&lt;&gt;0,$R234="(Código não identificado nas referências)"),"CÓDIGO N/ID",
IF(AND($C234="S",OR($R234="",$R234="(digite a descrição aqui)"),OR($Q234&lt;&gt;0,$T234&gt;0,$U234&gt;0)),"DESCRIÇÃO",
IF(AND($C234="S",$P234&lt;&gt;0,$Q234&lt;&gt;0,$S234=""),"UNIDADE",
IF(AND($C234="S",$P234&lt;&gt;0,$Q234&lt;&gt;0,$U234=0),"SEM CUSTO",
IF(AND(TIPOORCAMENTO="Licitado",$AL234=0,$AN234&gt;0),"SEM PREÇO",
IF(AND($C234="S",$P234&lt;&gt;0,$Q234&lt;&gt;0,$U234&gt;0,$V234=0),"BDI",
IF(OR(AND(TIPOORCAMENTO="Proposto",$AG234&lt;&gt;"",$AG234&gt;0,ORÇAMENTO.CustoUnitario&gt;$AG234),AND(TIPOORCAMENTO="LICITADO",ORÇAMENTO.PrecoUnitarioLicitado&gt;$AN234)),"ACIMA REF.",
IF(AND($C234="S",$P234&lt;&gt;0,$Q234&lt;&gt;0,$T234=0,$U234&gt;0),"QUANT.",
IF(AND(Import.TipoArredondamento="TransfereGOV",$L234="F",$C234="S",LEN($Q234)&gt;13),"Código &gt;13",
IF(AND(Import.TipoArredondamento="TransfereGOV",$L234="F",$C234&lt;&gt;"S",LEN($R234)&gt;100),"Descrição &gt;100",
IF(AND(Import.TipoArredondamento="TransfereGOV",$L234="F",$C234="S",LEN($R234)&gt;500),"Descrição &gt;500",
IF(AND(Import.TipoArredondamento="TransfereGOV",$L234="F",$C234="S",LEFT(TRIM(UPPER($P234)),6)&lt;&gt;"SINAPI",ISNA(VLOOKUP(TRIM(UPPER($S234)),ListaTgov.Unidades,1,FALSE))),"Unid. Não Disp",
" "))))))))))))))))</f>
        <v>SEM CUSTO</v>
      </c>
      <c r="AD234" t="str">
        <f ca="1">IF(C234&lt;=CRONO.NivelExibicao,MAX($AD$15:OFFSET(AD234,-1,0))+IF($C234&lt;&gt;1,1,MAX(1,COUNTIF(QCI!$A$13:$A$24,OFFSET($E234,-1,0)))),"")</f>
        <v/>
      </c>
      <c r="AE234" s="7" t="str">
        <f ca="1">IF(AND($C234="S",ORÇAMENTO.CodBarra&lt;&gt;""),IF(ORÇAMENTO.Fonte="",ORÇAMENTO.CodBarra,CONCATENATE(ORÇAMENTO.Fonte," ",ORÇAMENTO.CodBarra)))</f>
        <v>SINAPI 86879</v>
      </c>
      <c r="AF234" s="12" t="str">
        <f ca="1">IF(ISERROR(INDIRECT(ORÇAMENTO.BancoRef)),"(abra o arquivo 'Referência "&amp;Excel_BuiltIn_Database&amp;".xlsm)",IF(OR($C234&lt;&gt;"S",ORÇAMENTO.CodBarra=""),"(Sem Código)",IF(ISERROR(MATCH($AE234,INDIRECT(ORÇAMENTO.BancoRef),0)),"(Código não identificado nas referências)",MATCH($AE234,INDIRECT(ORÇAMENTO.BancoRef),0))))</f>
        <v>(abra o arquivo 'Referência 12-2024.xlsm)</v>
      </c>
      <c r="AG234" s="429">
        <f ca="1">ROUND(IF(DESONERACAO="sim",REFERENCIA.Desonerado,REFERENCIA.NaoDesonerado),2)</f>
        <v>0</v>
      </c>
      <c r="AH234" s="430">
        <f t="shared" ca="1" si="64"/>
        <v>0.31190000000000001</v>
      </c>
      <c r="AJ234" s="432">
        <v>35</v>
      </c>
      <c r="AL234" s="440"/>
      <c r="AM234" s="337">
        <f t="shared" ca="1" si="0"/>
        <v>0</v>
      </c>
      <c r="AN234" s="471">
        <f t="shared" ca="1" si="65"/>
        <v>0</v>
      </c>
    </row>
    <row r="235" spans="1:40" ht="25.5" x14ac:dyDescent="0.2">
      <c r="A235" t="str">
        <f t="shared" si="50"/>
        <v>S</v>
      </c>
      <c r="B235">
        <f t="shared" ca="1" si="51"/>
        <v>2</v>
      </c>
      <c r="C235" t="str">
        <f t="shared" ca="1" si="52"/>
        <v>S</v>
      </c>
      <c r="D235">
        <f t="shared" ca="1" si="53"/>
        <v>0</v>
      </c>
      <c r="E235">
        <f ca="1">IF($C235=1,OFFSET(E235,-1,0)+MAX(1,COUNTIF(QCI!$A$13:$A$24,OFFSET(ORÇAMENTO!E235,-1,0))),OFFSET(E235,-1,0))</f>
        <v>1</v>
      </c>
      <c r="F235">
        <f t="shared" ca="1" si="54"/>
        <v>13</v>
      </c>
      <c r="G235">
        <f t="shared" ca="1" si="55"/>
        <v>0</v>
      </c>
      <c r="H235">
        <f t="shared" ca="1" si="56"/>
        <v>0</v>
      </c>
      <c r="I235">
        <f t="shared" ca="1" si="57"/>
        <v>0</v>
      </c>
      <c r="J235">
        <f t="shared" ca="1" si="58"/>
        <v>0</v>
      </c>
      <c r="K235">
        <f ca="1">IF(OR($C235="S",$C235=0),0,MATCH(OFFSET($D235,0,$C235)+IF($C235&lt;&gt;1,1,COUNTIF(QCI!$A$13:$A$24,ORÇAMENTO!E235)),OFFSET($D235,1,$C235,ROW($C$405)-ROW($C235)),0))</f>
        <v>0</v>
      </c>
      <c r="L235" s="115" t="str">
        <f t="shared" ca="1" si="59"/>
        <v/>
      </c>
      <c r="M235" s="116" t="s">
        <v>706</v>
      </c>
      <c r="N235" s="117" t="str">
        <f t="shared" ca="1" si="60"/>
        <v>Serviço</v>
      </c>
      <c r="O235" s="118" t="str">
        <f t="shared" ca="1" si="61"/>
        <v>-</v>
      </c>
      <c r="P235" s="119" t="s">
        <v>751</v>
      </c>
      <c r="Q235" s="120" t="s">
        <v>1135</v>
      </c>
      <c r="R235" s="121" t="s">
        <v>1511</v>
      </c>
      <c r="S235" s="122" t="s">
        <v>639</v>
      </c>
      <c r="T235" s="123">
        <f ca="1">OFFSET(CÁLCULO!H$15,ROW($T235)-ROW(T$15),0)</f>
        <v>35</v>
      </c>
      <c r="U235" s="124"/>
      <c r="V235" s="125" t="s">
        <v>663</v>
      </c>
      <c r="W235" s="123">
        <f ca="1">IF($C235="S",ROUND(IF(TIPOORCAMENTO="Proposto",ORÇAMENTO.CustoUnitario*(1+$AH235),ORÇAMENTO.PrecoUnitarioLicitado),15-13*$AF$10),0)</f>
        <v>0</v>
      </c>
      <c r="X235" s="126" cm="1">
        <f t="array" aca="1" ref="X235" ca="1">IF($C235="S",IF(OR(Import.TipoArredondamento&lt;&gt;"TransfereGOV",ACOMPANHAMENTO="BM"),VTOTAL1,SUM(OFFSET(CÁLCULO!$AA$15,ROW($X235)-ROW($X$15),1):OFFSET(CÁLCULO!$AL$15,ROW($X235)-ROW($X$15),-1))),IF($C235=0,0,ROUND(SomaAgrup,15-13*$AF$11)))</f>
        <v>0</v>
      </c>
      <c r="Y235" s="127" t="s">
        <v>752</v>
      </c>
      <c r="Z235" t="str">
        <f t="shared" ca="1" si="62"/>
        <v/>
      </c>
      <c r="AA235" s="128">
        <f ca="1">IF($C235="S",IF($Z235="CP",$X235,IF($Z235="RA",(($X235)*QCI!$AA$3),0)),SomaAgrup)</f>
        <v>0</v>
      </c>
      <c r="AB235" s="129">
        <f t="shared" ca="1" si="63"/>
        <v>0</v>
      </c>
      <c r="AC235" s="567" t="str">
        <f ca="1">IF($N235=""," ",
IF(AND($C235&lt;&gt;"S",OR($R235="",$R235="(digite a descrição aqui)")),"DESCRIÇÃO",
IF(AND($C235="S",OR($Q235&lt;&gt;0,$T235&gt;0,$U235&gt;0),$P235=0),"FONTE",
IF(AND($C235="S",$P235&lt;&gt;0,OR($T235&gt;0,$U235&gt;0),$Q235=0),"CÓDIGO",
IF(AND($C235="S",$P235&lt;&gt;0,$Q235&lt;&gt;0,$R235="(Código não identificado nas referências)"),"CÓDIGO N/ID",
IF(AND($C235="S",OR($R235="",$R235="(digite a descrição aqui)"),OR($Q235&lt;&gt;0,$T235&gt;0,$U235&gt;0)),"DESCRIÇÃO",
IF(AND($C235="S",$P235&lt;&gt;0,$Q235&lt;&gt;0,$S235=""),"UNIDADE",
IF(AND($C235="S",$P235&lt;&gt;0,$Q235&lt;&gt;0,$U235=0),"SEM CUSTO",
IF(AND(TIPOORCAMENTO="Licitado",$AL235=0,$AN235&gt;0),"SEM PREÇO",
IF(AND($C235="S",$P235&lt;&gt;0,$Q235&lt;&gt;0,$U235&gt;0,$V235=0),"BDI",
IF(OR(AND(TIPOORCAMENTO="Proposto",$AG235&lt;&gt;"",$AG235&gt;0,ORÇAMENTO.CustoUnitario&gt;$AG235),AND(TIPOORCAMENTO="LICITADO",ORÇAMENTO.PrecoUnitarioLicitado&gt;$AN235)),"ACIMA REF.",
IF(AND($C235="S",$P235&lt;&gt;0,$Q235&lt;&gt;0,$T235=0,$U235&gt;0),"QUANT.",
IF(AND(Import.TipoArredondamento="TransfereGOV",$L235="F",$C235="S",LEN($Q235)&gt;13),"Código &gt;13",
IF(AND(Import.TipoArredondamento="TransfereGOV",$L235="F",$C235&lt;&gt;"S",LEN($R235)&gt;100),"Descrição &gt;100",
IF(AND(Import.TipoArredondamento="TransfereGOV",$L235="F",$C235="S",LEN($R235)&gt;500),"Descrição &gt;500",
IF(AND(Import.TipoArredondamento="TransfereGOV",$L235="F",$C235="S",LEFT(TRIM(UPPER($P235)),6)&lt;&gt;"SINAPI",ISNA(VLOOKUP(TRIM(UPPER($S235)),ListaTgov.Unidades,1,FALSE))),"Unid. Não Disp",
" "))))))))))))))))</f>
        <v>SEM CUSTO</v>
      </c>
      <c r="AD235" t="str">
        <f ca="1">IF(C235&lt;=CRONO.NivelExibicao,MAX($AD$15:OFFSET(AD235,-1,0))+IF($C235&lt;&gt;1,1,MAX(1,COUNTIF(QCI!$A$13:$A$24,OFFSET($E235,-1,0)))),"")</f>
        <v/>
      </c>
      <c r="AE235" s="7" t="str">
        <f ca="1">IF(AND($C235="S",ORÇAMENTO.CodBarra&lt;&gt;""),IF(ORÇAMENTO.Fonte="",ORÇAMENTO.CodBarra,CONCATENATE(ORÇAMENTO.Fonte," ",ORÇAMENTO.CodBarra)))</f>
        <v>SINAPI 86883</v>
      </c>
      <c r="AF235" s="12" t="str">
        <f ca="1">IF(ISERROR(INDIRECT(ORÇAMENTO.BancoRef)),"(abra o arquivo 'Referência "&amp;Excel_BuiltIn_Database&amp;".xlsm)",IF(OR($C235&lt;&gt;"S",ORÇAMENTO.CodBarra=""),"(Sem Código)",IF(ISERROR(MATCH($AE235,INDIRECT(ORÇAMENTO.BancoRef),0)),"(Código não identificado nas referências)",MATCH($AE235,INDIRECT(ORÇAMENTO.BancoRef),0))))</f>
        <v>(abra o arquivo 'Referência 12-2024.xlsm)</v>
      </c>
      <c r="AG235" s="429">
        <f ca="1">ROUND(IF(DESONERACAO="sim",REFERENCIA.Desonerado,REFERENCIA.NaoDesonerado),2)</f>
        <v>0</v>
      </c>
      <c r="AH235" s="430">
        <f t="shared" ca="1" si="64"/>
        <v>0.31190000000000001</v>
      </c>
      <c r="AJ235" s="432">
        <v>35</v>
      </c>
      <c r="AL235" s="440"/>
      <c r="AM235" s="337">
        <f t="shared" ca="1" si="0"/>
        <v>0</v>
      </c>
      <c r="AN235" s="471">
        <f t="shared" ca="1" si="65"/>
        <v>0</v>
      </c>
    </row>
    <row r="236" spans="1:40" ht="25.5" x14ac:dyDescent="0.2">
      <c r="A236" t="str">
        <f t="shared" si="50"/>
        <v>S</v>
      </c>
      <c r="B236">
        <f t="shared" ca="1" si="51"/>
        <v>2</v>
      </c>
      <c r="C236" t="str">
        <f t="shared" ca="1" si="52"/>
        <v>S</v>
      </c>
      <c r="D236">
        <f t="shared" ca="1" si="53"/>
        <v>0</v>
      </c>
      <c r="E236">
        <f ca="1">IF($C236=1,OFFSET(E236,-1,0)+MAX(1,COUNTIF(QCI!$A$13:$A$24,OFFSET(ORÇAMENTO!E236,-1,0))),OFFSET(E236,-1,0))</f>
        <v>1</v>
      </c>
      <c r="F236">
        <f t="shared" ca="1" si="54"/>
        <v>13</v>
      </c>
      <c r="G236">
        <f t="shared" ca="1" si="55"/>
        <v>0</v>
      </c>
      <c r="H236">
        <f t="shared" ca="1" si="56"/>
        <v>0</v>
      </c>
      <c r="I236">
        <f t="shared" ca="1" si="57"/>
        <v>0</v>
      </c>
      <c r="J236">
        <f t="shared" ca="1" si="58"/>
        <v>0</v>
      </c>
      <c r="K236">
        <f ca="1">IF(OR($C236="S",$C236=0),0,MATCH(OFFSET($D236,0,$C236)+IF($C236&lt;&gt;1,1,COUNTIF(QCI!$A$13:$A$24,ORÇAMENTO!E236)),OFFSET($D236,1,$C236,ROW($C$405)-ROW($C236)),0))</f>
        <v>0</v>
      </c>
      <c r="L236" s="115" t="str">
        <f t="shared" ca="1" si="59"/>
        <v/>
      </c>
      <c r="M236" s="116" t="s">
        <v>706</v>
      </c>
      <c r="N236" s="117" t="str">
        <f t="shared" ca="1" si="60"/>
        <v>Serviço</v>
      </c>
      <c r="O236" s="118" t="str">
        <f t="shared" ca="1" si="61"/>
        <v>-</v>
      </c>
      <c r="P236" s="119" t="s">
        <v>751</v>
      </c>
      <c r="Q236" s="120" t="s">
        <v>1136</v>
      </c>
      <c r="R236" s="121" t="s">
        <v>1512</v>
      </c>
      <c r="S236" s="122" t="s">
        <v>639</v>
      </c>
      <c r="T236" s="123">
        <f ca="1">OFFSET(CÁLCULO!H$15,ROW($T236)-ROW(T$15),0)</f>
        <v>35</v>
      </c>
      <c r="U236" s="124"/>
      <c r="V236" s="125" t="s">
        <v>663</v>
      </c>
      <c r="W236" s="123">
        <f ca="1">IF($C236="S",ROUND(IF(TIPOORCAMENTO="Proposto",ORÇAMENTO.CustoUnitario*(1+$AH236),ORÇAMENTO.PrecoUnitarioLicitado),15-13*$AF$10),0)</f>
        <v>0</v>
      </c>
      <c r="X236" s="126" cm="1">
        <f t="array" aca="1" ref="X236" ca="1">IF($C236="S",IF(OR(Import.TipoArredondamento&lt;&gt;"TransfereGOV",ACOMPANHAMENTO="BM"),VTOTAL1,SUM(OFFSET(CÁLCULO!$AA$15,ROW($X236)-ROW($X$15),1):OFFSET(CÁLCULO!$AL$15,ROW($X236)-ROW($X$15),-1))),IF($C236=0,0,ROUND(SomaAgrup,15-13*$AF$11)))</f>
        <v>0</v>
      </c>
      <c r="Y236" s="127" t="s">
        <v>752</v>
      </c>
      <c r="Z236" t="str">
        <f t="shared" ca="1" si="62"/>
        <v/>
      </c>
      <c r="AA236" s="128">
        <f ca="1">IF($C236="S",IF($Z236="CP",$X236,IF($Z236="RA",(($X236)*QCI!$AA$3),0)),SomaAgrup)</f>
        <v>0</v>
      </c>
      <c r="AB236" s="129">
        <f t="shared" ca="1" si="63"/>
        <v>0</v>
      </c>
      <c r="AC236" s="567" t="str">
        <f ca="1">IF($N236=""," ",
IF(AND($C236&lt;&gt;"S",OR($R236="",$R236="(digite a descrição aqui)")),"DESCRIÇÃO",
IF(AND($C236="S",OR($Q236&lt;&gt;0,$T236&gt;0,$U236&gt;0),$P236=0),"FONTE",
IF(AND($C236="S",$P236&lt;&gt;0,OR($T236&gt;0,$U236&gt;0),$Q236=0),"CÓDIGO",
IF(AND($C236="S",$P236&lt;&gt;0,$Q236&lt;&gt;0,$R236="(Código não identificado nas referências)"),"CÓDIGO N/ID",
IF(AND($C236="S",OR($R236="",$R236="(digite a descrição aqui)"),OR($Q236&lt;&gt;0,$T236&gt;0,$U236&gt;0)),"DESCRIÇÃO",
IF(AND($C236="S",$P236&lt;&gt;0,$Q236&lt;&gt;0,$S236=""),"UNIDADE",
IF(AND($C236="S",$P236&lt;&gt;0,$Q236&lt;&gt;0,$U236=0),"SEM CUSTO",
IF(AND(TIPOORCAMENTO="Licitado",$AL236=0,$AN236&gt;0),"SEM PREÇO",
IF(AND($C236="S",$P236&lt;&gt;0,$Q236&lt;&gt;0,$U236&gt;0,$V236=0),"BDI",
IF(OR(AND(TIPOORCAMENTO="Proposto",$AG236&lt;&gt;"",$AG236&gt;0,ORÇAMENTO.CustoUnitario&gt;$AG236),AND(TIPOORCAMENTO="LICITADO",ORÇAMENTO.PrecoUnitarioLicitado&gt;$AN236)),"ACIMA REF.",
IF(AND($C236="S",$P236&lt;&gt;0,$Q236&lt;&gt;0,$T236=0,$U236&gt;0),"QUANT.",
IF(AND(Import.TipoArredondamento="TransfereGOV",$L236="F",$C236="S",LEN($Q236)&gt;13),"Código &gt;13",
IF(AND(Import.TipoArredondamento="TransfereGOV",$L236="F",$C236&lt;&gt;"S",LEN($R236)&gt;100),"Descrição &gt;100",
IF(AND(Import.TipoArredondamento="TransfereGOV",$L236="F",$C236="S",LEN($R236)&gt;500),"Descrição &gt;500",
IF(AND(Import.TipoArredondamento="TransfereGOV",$L236="F",$C236="S",LEFT(TRIM(UPPER($P236)),6)&lt;&gt;"SINAPI",ISNA(VLOOKUP(TRIM(UPPER($S236)),ListaTgov.Unidades,1,FALSE))),"Unid. Não Disp",
" "))))))))))))))))</f>
        <v>SEM CUSTO</v>
      </c>
      <c r="AD236" t="str">
        <f ca="1">IF(C236&lt;=CRONO.NivelExibicao,MAX($AD$15:OFFSET(AD236,-1,0))+IF($C236&lt;&gt;1,1,MAX(1,COUNTIF(QCI!$A$13:$A$24,OFFSET($E236,-1,0)))),"")</f>
        <v/>
      </c>
      <c r="AE236" s="7" t="str">
        <f ca="1">IF(AND($C236="S",ORÇAMENTO.CodBarra&lt;&gt;""),IF(ORÇAMENTO.Fonte="",ORÇAMENTO.CodBarra,CONCATENATE(ORÇAMENTO.Fonte," ",ORÇAMENTO.CodBarra)))</f>
        <v>SINAPI 86884</v>
      </c>
      <c r="AF236" s="12" t="str">
        <f ca="1">IF(ISERROR(INDIRECT(ORÇAMENTO.BancoRef)),"(abra o arquivo 'Referência "&amp;Excel_BuiltIn_Database&amp;".xlsm)",IF(OR($C236&lt;&gt;"S",ORÇAMENTO.CodBarra=""),"(Sem Código)",IF(ISERROR(MATCH($AE236,INDIRECT(ORÇAMENTO.BancoRef),0)),"(Código não identificado nas referências)",MATCH($AE236,INDIRECT(ORÇAMENTO.BancoRef),0))))</f>
        <v>(abra o arquivo 'Referência 12-2024.xlsm)</v>
      </c>
      <c r="AG236" s="429">
        <f ca="1">ROUND(IF(DESONERACAO="sim",REFERENCIA.Desonerado,REFERENCIA.NaoDesonerado),2)</f>
        <v>0</v>
      </c>
      <c r="AH236" s="430">
        <f t="shared" ca="1" si="64"/>
        <v>0.31190000000000001</v>
      </c>
      <c r="AJ236" s="432">
        <v>35</v>
      </c>
      <c r="AL236" s="440"/>
      <c r="AM236" s="337">
        <f t="shared" ca="1" si="0"/>
        <v>0</v>
      </c>
      <c r="AN236" s="471">
        <f t="shared" ca="1" si="65"/>
        <v>0</v>
      </c>
    </row>
    <row r="237" spans="1:40" ht="38.25" x14ac:dyDescent="0.2">
      <c r="A237" t="str">
        <f t="shared" si="50"/>
        <v>S</v>
      </c>
      <c r="B237">
        <f t="shared" ca="1" si="51"/>
        <v>2</v>
      </c>
      <c r="C237" t="str">
        <f t="shared" ca="1" si="52"/>
        <v>S</v>
      </c>
      <c r="D237">
        <f t="shared" ca="1" si="53"/>
        <v>0</v>
      </c>
      <c r="E237">
        <f ca="1">IF($C237=1,OFFSET(E237,-1,0)+MAX(1,COUNTIF(QCI!$A$13:$A$24,OFFSET(ORÇAMENTO!E237,-1,0))),OFFSET(E237,-1,0))</f>
        <v>1</v>
      </c>
      <c r="F237">
        <f t="shared" ca="1" si="54"/>
        <v>13</v>
      </c>
      <c r="G237">
        <f t="shared" ca="1" si="55"/>
        <v>0</v>
      </c>
      <c r="H237">
        <f t="shared" ca="1" si="56"/>
        <v>0</v>
      </c>
      <c r="I237">
        <f t="shared" ca="1" si="57"/>
        <v>0</v>
      </c>
      <c r="J237">
        <f t="shared" ca="1" si="58"/>
        <v>0</v>
      </c>
      <c r="K237">
        <f ca="1">IF(OR($C237="S",$C237=0),0,MATCH(OFFSET($D237,0,$C237)+IF($C237&lt;&gt;1,1,COUNTIF(QCI!$A$13:$A$24,ORÇAMENTO!E237)),OFFSET($D237,1,$C237,ROW($C$405)-ROW($C237)),0))</f>
        <v>0</v>
      </c>
      <c r="L237" s="115" t="str">
        <f t="shared" ca="1" si="59"/>
        <v/>
      </c>
      <c r="M237" s="116" t="s">
        <v>706</v>
      </c>
      <c r="N237" s="117" t="str">
        <f t="shared" ca="1" si="60"/>
        <v>Serviço</v>
      </c>
      <c r="O237" s="118" t="str">
        <f t="shared" ca="1" si="61"/>
        <v>-</v>
      </c>
      <c r="P237" s="119" t="s">
        <v>751</v>
      </c>
      <c r="Q237" s="120" t="s">
        <v>1137</v>
      </c>
      <c r="R237" s="121" t="s">
        <v>1513</v>
      </c>
      <c r="S237" s="122" t="s">
        <v>639</v>
      </c>
      <c r="T237" s="123">
        <f ca="1">OFFSET(CÁLCULO!H$15,ROW($T237)-ROW(T$15),0)</f>
        <v>35</v>
      </c>
      <c r="U237" s="124"/>
      <c r="V237" s="125" t="s">
        <v>663</v>
      </c>
      <c r="W237" s="123">
        <f ca="1">IF($C237="S",ROUND(IF(TIPOORCAMENTO="Proposto",ORÇAMENTO.CustoUnitario*(1+$AH237),ORÇAMENTO.PrecoUnitarioLicitado),15-13*$AF$10),0)</f>
        <v>0</v>
      </c>
      <c r="X237" s="126" cm="1">
        <f t="array" aca="1" ref="X237" ca="1">IF($C237="S",IF(OR(Import.TipoArredondamento&lt;&gt;"TransfereGOV",ACOMPANHAMENTO="BM"),VTOTAL1,SUM(OFFSET(CÁLCULO!$AA$15,ROW($X237)-ROW($X$15),1):OFFSET(CÁLCULO!$AL$15,ROW($X237)-ROW($X$15),-1))),IF($C237=0,0,ROUND(SomaAgrup,15-13*$AF$11)))</f>
        <v>0</v>
      </c>
      <c r="Y237" s="127" t="s">
        <v>752</v>
      </c>
      <c r="Z237" t="str">
        <f t="shared" ca="1" si="62"/>
        <v/>
      </c>
      <c r="AA237" s="128">
        <f ca="1">IF($C237="S",IF($Z237="CP",$X237,IF($Z237="RA",(($X237)*QCI!$AA$3),0)),SomaAgrup)</f>
        <v>0</v>
      </c>
      <c r="AB237" s="129">
        <f t="shared" ca="1" si="63"/>
        <v>0</v>
      </c>
      <c r="AC237" s="567" t="str">
        <f ca="1">IF($N237=""," ",
IF(AND($C237&lt;&gt;"S",OR($R237="",$R237="(digite a descrição aqui)")),"DESCRIÇÃO",
IF(AND($C237="S",OR($Q237&lt;&gt;0,$T237&gt;0,$U237&gt;0),$P237=0),"FONTE",
IF(AND($C237="S",$P237&lt;&gt;0,OR($T237&gt;0,$U237&gt;0),$Q237=0),"CÓDIGO",
IF(AND($C237="S",$P237&lt;&gt;0,$Q237&lt;&gt;0,$R237="(Código não identificado nas referências)"),"CÓDIGO N/ID",
IF(AND($C237="S",OR($R237="",$R237="(digite a descrição aqui)"),OR($Q237&lt;&gt;0,$T237&gt;0,$U237&gt;0)),"DESCRIÇÃO",
IF(AND($C237="S",$P237&lt;&gt;0,$Q237&lt;&gt;0,$S237=""),"UNIDADE",
IF(AND($C237="S",$P237&lt;&gt;0,$Q237&lt;&gt;0,$U237=0),"SEM CUSTO",
IF(AND(TIPOORCAMENTO="Licitado",$AL237=0,$AN237&gt;0),"SEM PREÇO",
IF(AND($C237="S",$P237&lt;&gt;0,$Q237&lt;&gt;0,$U237&gt;0,$V237=0),"BDI",
IF(OR(AND(TIPOORCAMENTO="Proposto",$AG237&lt;&gt;"",$AG237&gt;0,ORÇAMENTO.CustoUnitario&gt;$AG237),AND(TIPOORCAMENTO="LICITADO",ORÇAMENTO.PrecoUnitarioLicitado&gt;$AN237)),"ACIMA REF.",
IF(AND($C237="S",$P237&lt;&gt;0,$Q237&lt;&gt;0,$T237=0,$U237&gt;0),"QUANT.",
IF(AND(Import.TipoArredondamento="TransfereGOV",$L237="F",$C237="S",LEN($Q237)&gt;13),"Código &gt;13",
IF(AND(Import.TipoArredondamento="TransfereGOV",$L237="F",$C237&lt;&gt;"S",LEN($R237)&gt;100),"Descrição &gt;100",
IF(AND(Import.TipoArredondamento="TransfereGOV",$L237="F",$C237="S",LEN($R237)&gt;500),"Descrição &gt;500",
IF(AND(Import.TipoArredondamento="TransfereGOV",$L237="F",$C237="S",LEFT(TRIM(UPPER($P237)),6)&lt;&gt;"SINAPI",ISNA(VLOOKUP(TRIM(UPPER($S237)),ListaTgov.Unidades,1,FALSE))),"Unid. Não Disp",
" "))))))))))))))))</f>
        <v>SEM CUSTO</v>
      </c>
      <c r="AD237" t="str">
        <f ca="1">IF(C237&lt;=CRONO.NivelExibicao,MAX($AD$15:OFFSET(AD237,-1,0))+IF($C237&lt;&gt;1,1,MAX(1,COUNTIF(QCI!$A$13:$A$24,OFFSET($E237,-1,0)))),"")</f>
        <v/>
      </c>
      <c r="AE237" s="7" t="str">
        <f ca="1">IF(AND($C237="S",ORÇAMENTO.CodBarra&lt;&gt;""),IF(ORÇAMENTO.Fonte="",ORÇAMENTO.CodBarra,CONCATENATE(ORÇAMENTO.Fonte," ",ORÇAMENTO.CodBarra)))</f>
        <v>SINAPI 86904</v>
      </c>
      <c r="AF237" s="12" t="str">
        <f ca="1">IF(ISERROR(INDIRECT(ORÇAMENTO.BancoRef)),"(abra o arquivo 'Referência "&amp;Excel_BuiltIn_Database&amp;".xlsm)",IF(OR($C237&lt;&gt;"S",ORÇAMENTO.CodBarra=""),"(Sem Código)",IF(ISERROR(MATCH($AE237,INDIRECT(ORÇAMENTO.BancoRef),0)),"(Código não identificado nas referências)",MATCH($AE237,INDIRECT(ORÇAMENTO.BancoRef),0))))</f>
        <v>(abra o arquivo 'Referência 12-2024.xlsm)</v>
      </c>
      <c r="AG237" s="429">
        <f ca="1">ROUND(IF(DESONERACAO="sim",REFERENCIA.Desonerado,REFERENCIA.NaoDesonerado),2)</f>
        <v>0</v>
      </c>
      <c r="AH237" s="430">
        <f t="shared" ca="1" si="64"/>
        <v>0.31190000000000001</v>
      </c>
      <c r="AJ237" s="432">
        <v>35</v>
      </c>
      <c r="AL237" s="440"/>
      <c r="AM237" s="337">
        <f t="shared" ca="1" si="0"/>
        <v>0</v>
      </c>
      <c r="AN237" s="471">
        <f t="shared" ca="1" si="65"/>
        <v>0</v>
      </c>
    </row>
    <row r="238" spans="1:40" ht="25.5" x14ac:dyDescent="0.2">
      <c r="A238" t="str">
        <f t="shared" si="50"/>
        <v>S</v>
      </c>
      <c r="B238">
        <f t="shared" ca="1" si="51"/>
        <v>2</v>
      </c>
      <c r="C238" t="str">
        <f t="shared" ca="1" si="52"/>
        <v>S</v>
      </c>
      <c r="D238">
        <f t="shared" ca="1" si="53"/>
        <v>0</v>
      </c>
      <c r="E238">
        <f ca="1">IF($C238=1,OFFSET(E238,-1,0)+MAX(1,COUNTIF(QCI!$A$13:$A$24,OFFSET(ORÇAMENTO!E238,-1,0))),OFFSET(E238,-1,0))</f>
        <v>1</v>
      </c>
      <c r="F238">
        <f t="shared" ca="1" si="54"/>
        <v>13</v>
      </c>
      <c r="G238">
        <f t="shared" ca="1" si="55"/>
        <v>0</v>
      </c>
      <c r="H238">
        <f t="shared" ca="1" si="56"/>
        <v>0</v>
      </c>
      <c r="I238">
        <f t="shared" ca="1" si="57"/>
        <v>0</v>
      </c>
      <c r="J238">
        <f t="shared" ca="1" si="58"/>
        <v>0</v>
      </c>
      <c r="K238">
        <f ca="1">IF(OR($C238="S",$C238=0),0,MATCH(OFFSET($D238,0,$C238)+IF($C238&lt;&gt;1,1,COUNTIF(QCI!$A$13:$A$24,ORÇAMENTO!E238)),OFFSET($D238,1,$C238,ROW($C$405)-ROW($C238)),0))</f>
        <v>0</v>
      </c>
      <c r="L238" s="115" t="str">
        <f t="shared" ca="1" si="59"/>
        <v/>
      </c>
      <c r="M238" s="116" t="s">
        <v>706</v>
      </c>
      <c r="N238" s="117" t="str">
        <f t="shared" ca="1" si="60"/>
        <v>Serviço</v>
      </c>
      <c r="O238" s="118" t="str">
        <f t="shared" ca="1" si="61"/>
        <v>-</v>
      </c>
      <c r="P238" s="119" t="s">
        <v>1316</v>
      </c>
      <c r="Q238" s="120" t="s">
        <v>1138</v>
      </c>
      <c r="R238" s="121" t="s">
        <v>1514</v>
      </c>
      <c r="S238" s="122" t="s">
        <v>1644</v>
      </c>
      <c r="T238" s="123">
        <f ca="1">OFFSET(CÁLCULO!H$15,ROW($T238)-ROW(T$15),0)</f>
        <v>27</v>
      </c>
      <c r="U238" s="124"/>
      <c r="V238" s="125" t="s">
        <v>663</v>
      </c>
      <c r="W238" s="123">
        <f ca="1">IF($C238="S",ROUND(IF(TIPOORCAMENTO="Proposto",ORÇAMENTO.CustoUnitario*(1+$AH238),ORÇAMENTO.PrecoUnitarioLicitado),15-13*$AF$10),0)</f>
        <v>0</v>
      </c>
      <c r="X238" s="126" cm="1">
        <f t="array" aca="1" ref="X238" ca="1">IF($C238="S",IF(OR(Import.TipoArredondamento&lt;&gt;"TransfereGOV",ACOMPANHAMENTO="BM"),VTOTAL1,SUM(OFFSET(CÁLCULO!$AA$15,ROW($X238)-ROW($X$15),1):OFFSET(CÁLCULO!$AL$15,ROW($X238)-ROW($X$15),-1))),IF($C238=0,0,ROUND(SomaAgrup,15-13*$AF$11)))</f>
        <v>0</v>
      </c>
      <c r="Y238" s="127" t="s">
        <v>752</v>
      </c>
      <c r="Z238" t="str">
        <f t="shared" ca="1" si="62"/>
        <v/>
      </c>
      <c r="AA238" s="128">
        <f ca="1">IF($C238="S",IF($Z238="CP",$X238,IF($Z238="RA",(($X238)*QCI!$AA$3),0)),SomaAgrup)</f>
        <v>0</v>
      </c>
      <c r="AB238" s="129">
        <f t="shared" ca="1" si="63"/>
        <v>0</v>
      </c>
      <c r="AC238" s="567" t="str">
        <f ca="1">IF($N238=""," ",
IF(AND($C238&lt;&gt;"S",OR($R238="",$R238="(digite a descrição aqui)")),"DESCRIÇÃO",
IF(AND($C238="S",OR($Q238&lt;&gt;0,$T238&gt;0,$U238&gt;0),$P238=0),"FONTE",
IF(AND($C238="S",$P238&lt;&gt;0,OR($T238&gt;0,$U238&gt;0),$Q238=0),"CÓDIGO",
IF(AND($C238="S",$P238&lt;&gt;0,$Q238&lt;&gt;0,$R238="(Código não identificado nas referências)"),"CÓDIGO N/ID",
IF(AND($C238="S",OR($R238="",$R238="(digite a descrição aqui)"),OR($Q238&lt;&gt;0,$T238&gt;0,$U238&gt;0)),"DESCRIÇÃO",
IF(AND($C238="S",$P238&lt;&gt;0,$Q238&lt;&gt;0,$S238=""),"UNIDADE",
IF(AND($C238="S",$P238&lt;&gt;0,$Q238&lt;&gt;0,$U238=0),"SEM CUSTO",
IF(AND(TIPOORCAMENTO="Licitado",$AL238=0,$AN238&gt;0),"SEM PREÇO",
IF(AND($C238="S",$P238&lt;&gt;0,$Q238&lt;&gt;0,$U238&gt;0,$V238=0),"BDI",
IF(OR(AND(TIPOORCAMENTO="Proposto",$AG238&lt;&gt;"",$AG238&gt;0,ORÇAMENTO.CustoUnitario&gt;$AG238),AND(TIPOORCAMENTO="LICITADO",ORÇAMENTO.PrecoUnitarioLicitado&gt;$AN238)),"ACIMA REF.",
IF(AND($C238="S",$P238&lt;&gt;0,$Q238&lt;&gt;0,$T238=0,$U238&gt;0),"QUANT.",
IF(AND(Import.TipoArredondamento="TransfereGOV",$L238="F",$C238="S",LEN($Q238)&gt;13),"Código &gt;13",
IF(AND(Import.TipoArredondamento="TransfereGOV",$L238="F",$C238&lt;&gt;"S",LEN($R238)&gt;100),"Descrição &gt;100",
IF(AND(Import.TipoArredondamento="TransfereGOV",$L238="F",$C238="S",LEN($R238)&gt;500),"Descrição &gt;500",
IF(AND(Import.TipoArredondamento="TransfereGOV",$L238="F",$C238="S",LEFT(TRIM(UPPER($P238)),6)&lt;&gt;"SINAPI",ISNA(VLOOKUP(TRIM(UPPER($S238)),ListaTgov.Unidades,1,FALSE))),"Unid. Não Disp",
" "))))))))))))))))</f>
        <v>SEM CUSTO</v>
      </c>
      <c r="AD238" t="str">
        <f ca="1">IF(C238&lt;=CRONO.NivelExibicao,MAX($AD$15:OFFSET(AD238,-1,0))+IF($C238&lt;&gt;1,1,MAX(1,COUNTIF(QCI!$A$13:$A$24,OFFSET($E238,-1,0)))),"")</f>
        <v/>
      </c>
      <c r="AE238" s="7" t="str">
        <f ca="1">IF(AND($C238="S",ORÇAMENTO.CodBarra&lt;&gt;""),IF(ORÇAMENTO.Fonte="",ORÇAMENTO.CodBarra,CONCATENATE(ORÇAMENTO.Fonte," ",ORÇAMENTO.CodBarra)))</f>
        <v>Composiçao 245</v>
      </c>
      <c r="AF238" s="12" t="str">
        <f ca="1">IF(ISERROR(INDIRECT(ORÇAMENTO.BancoRef)),"(abra o arquivo 'Referência "&amp;Excel_BuiltIn_Database&amp;".xlsm)",IF(OR($C238&lt;&gt;"S",ORÇAMENTO.CodBarra=""),"(Sem Código)",IF(ISERROR(MATCH($AE238,INDIRECT(ORÇAMENTO.BancoRef),0)),"(Código não identificado nas referências)",MATCH($AE238,INDIRECT(ORÇAMENTO.BancoRef),0))))</f>
        <v>(abra o arquivo 'Referência 12-2024.xlsm)</v>
      </c>
      <c r="AG238" s="429">
        <f ca="1">ROUND(IF(DESONERACAO="sim",REFERENCIA.Desonerado,REFERENCIA.NaoDesonerado),2)</f>
        <v>0</v>
      </c>
      <c r="AH238" s="430">
        <f t="shared" ca="1" si="64"/>
        <v>0.31190000000000001</v>
      </c>
      <c r="AJ238" s="432">
        <v>27</v>
      </c>
      <c r="AL238" s="440"/>
      <c r="AM238" s="337">
        <f t="shared" ca="1" si="0"/>
        <v>0</v>
      </c>
      <c r="AN238" s="471">
        <f t="shared" ca="1" si="65"/>
        <v>0</v>
      </c>
    </row>
    <row r="239" spans="1:40" ht="25.5" x14ac:dyDescent="0.2">
      <c r="A239" t="str">
        <f t="shared" si="50"/>
        <v>S</v>
      </c>
      <c r="B239">
        <f t="shared" ca="1" si="51"/>
        <v>2</v>
      </c>
      <c r="C239" t="str">
        <f t="shared" ca="1" si="52"/>
        <v>S</v>
      </c>
      <c r="D239">
        <f t="shared" ca="1" si="53"/>
        <v>0</v>
      </c>
      <c r="E239">
        <f ca="1">IF($C239=1,OFFSET(E239,-1,0)+MAX(1,COUNTIF(QCI!$A$13:$A$24,OFFSET(ORÇAMENTO!E239,-1,0))),OFFSET(E239,-1,0))</f>
        <v>1</v>
      </c>
      <c r="F239">
        <f t="shared" ca="1" si="54"/>
        <v>13</v>
      </c>
      <c r="G239">
        <f t="shared" ca="1" si="55"/>
        <v>0</v>
      </c>
      <c r="H239">
        <f t="shared" ca="1" si="56"/>
        <v>0</v>
      </c>
      <c r="I239">
        <f t="shared" ca="1" si="57"/>
        <v>0</v>
      </c>
      <c r="J239">
        <f t="shared" ca="1" si="58"/>
        <v>0</v>
      </c>
      <c r="K239">
        <f ca="1">IF(OR($C239="S",$C239=0),0,MATCH(OFFSET($D239,0,$C239)+IF($C239&lt;&gt;1,1,COUNTIF(QCI!$A$13:$A$24,ORÇAMENTO!E239)),OFFSET($D239,1,$C239,ROW($C$405)-ROW($C239)),0))</f>
        <v>0</v>
      </c>
      <c r="L239" s="115" t="str">
        <f t="shared" ca="1" si="59"/>
        <v/>
      </c>
      <c r="M239" s="116" t="s">
        <v>706</v>
      </c>
      <c r="N239" s="117" t="str">
        <f t="shared" ca="1" si="60"/>
        <v>Serviço</v>
      </c>
      <c r="O239" s="118" t="str">
        <f t="shared" ca="1" si="61"/>
        <v>-</v>
      </c>
      <c r="P239" s="119" t="s">
        <v>1316</v>
      </c>
      <c r="Q239" s="120" t="s">
        <v>1139</v>
      </c>
      <c r="R239" s="121" t="s">
        <v>1515</v>
      </c>
      <c r="S239" s="122" t="s">
        <v>1644</v>
      </c>
      <c r="T239" s="123">
        <f ca="1">OFFSET(CÁLCULO!H$15,ROW($T239)-ROW(T$15),0)</f>
        <v>35</v>
      </c>
      <c r="U239" s="124"/>
      <c r="V239" s="125" t="s">
        <v>663</v>
      </c>
      <c r="W239" s="123">
        <f ca="1">IF($C239="S",ROUND(IF(TIPOORCAMENTO="Proposto",ORÇAMENTO.CustoUnitario*(1+$AH239),ORÇAMENTO.PrecoUnitarioLicitado),15-13*$AF$10),0)</f>
        <v>0</v>
      </c>
      <c r="X239" s="126" cm="1">
        <f t="array" aca="1" ref="X239" ca="1">IF($C239="S",IF(OR(Import.TipoArredondamento&lt;&gt;"TransfereGOV",ACOMPANHAMENTO="BM"),VTOTAL1,SUM(OFFSET(CÁLCULO!$AA$15,ROW($X239)-ROW($X$15),1):OFFSET(CÁLCULO!$AL$15,ROW($X239)-ROW($X$15),-1))),IF($C239=0,0,ROUND(SomaAgrup,15-13*$AF$11)))</f>
        <v>0</v>
      </c>
      <c r="Y239" s="127" t="s">
        <v>752</v>
      </c>
      <c r="Z239" t="str">
        <f t="shared" ca="1" si="62"/>
        <v/>
      </c>
      <c r="AA239" s="128">
        <f ca="1">IF($C239="S",IF($Z239="CP",$X239,IF($Z239="RA",(($X239)*QCI!$AA$3),0)),SomaAgrup)</f>
        <v>0</v>
      </c>
      <c r="AB239" s="129">
        <f t="shared" ca="1" si="63"/>
        <v>0</v>
      </c>
      <c r="AC239" s="567" t="str">
        <f ca="1">IF($N239=""," ",
IF(AND($C239&lt;&gt;"S",OR($R239="",$R239="(digite a descrição aqui)")),"DESCRIÇÃO",
IF(AND($C239="S",OR($Q239&lt;&gt;0,$T239&gt;0,$U239&gt;0),$P239=0),"FONTE",
IF(AND($C239="S",$P239&lt;&gt;0,OR($T239&gt;0,$U239&gt;0),$Q239=0),"CÓDIGO",
IF(AND($C239="S",$P239&lt;&gt;0,$Q239&lt;&gt;0,$R239="(Código não identificado nas referências)"),"CÓDIGO N/ID",
IF(AND($C239="S",OR($R239="",$R239="(digite a descrição aqui)"),OR($Q239&lt;&gt;0,$T239&gt;0,$U239&gt;0)),"DESCRIÇÃO",
IF(AND($C239="S",$P239&lt;&gt;0,$Q239&lt;&gt;0,$S239=""),"UNIDADE",
IF(AND($C239="S",$P239&lt;&gt;0,$Q239&lt;&gt;0,$U239=0),"SEM CUSTO",
IF(AND(TIPOORCAMENTO="Licitado",$AL239=0,$AN239&gt;0),"SEM PREÇO",
IF(AND($C239="S",$P239&lt;&gt;0,$Q239&lt;&gt;0,$U239&gt;0,$V239=0),"BDI",
IF(OR(AND(TIPOORCAMENTO="Proposto",$AG239&lt;&gt;"",$AG239&gt;0,ORÇAMENTO.CustoUnitario&gt;$AG239),AND(TIPOORCAMENTO="LICITADO",ORÇAMENTO.PrecoUnitarioLicitado&gt;$AN239)),"ACIMA REF.",
IF(AND($C239="S",$P239&lt;&gt;0,$Q239&lt;&gt;0,$T239=0,$U239&gt;0),"QUANT.",
IF(AND(Import.TipoArredondamento="TransfereGOV",$L239="F",$C239="S",LEN($Q239)&gt;13),"Código &gt;13",
IF(AND(Import.TipoArredondamento="TransfereGOV",$L239="F",$C239&lt;&gt;"S",LEN($R239)&gt;100),"Descrição &gt;100",
IF(AND(Import.TipoArredondamento="TransfereGOV",$L239="F",$C239="S",LEN($R239)&gt;500),"Descrição &gt;500",
IF(AND(Import.TipoArredondamento="TransfereGOV",$L239="F",$C239="S",LEFT(TRIM(UPPER($P239)),6)&lt;&gt;"SINAPI",ISNA(VLOOKUP(TRIM(UPPER($S239)),ListaTgov.Unidades,1,FALSE))),"Unid. Não Disp",
" "))))))))))))))))</f>
        <v>SEM CUSTO</v>
      </c>
      <c r="AD239" t="str">
        <f ca="1">IF(C239&lt;=CRONO.NivelExibicao,MAX($AD$15:OFFSET(AD239,-1,0))+IF($C239&lt;&gt;1,1,MAX(1,COUNTIF(QCI!$A$13:$A$24,OFFSET($E239,-1,0)))),"")</f>
        <v/>
      </c>
      <c r="AE239" s="7" t="str">
        <f ca="1">IF(AND($C239="S",ORÇAMENTO.CodBarra&lt;&gt;""),IF(ORÇAMENTO.Fonte="",ORÇAMENTO.CodBarra,CONCATENATE(ORÇAMENTO.Fonte," ",ORÇAMENTO.CodBarra)))</f>
        <v>Composiçao 246</v>
      </c>
      <c r="AF239" s="12" t="str">
        <f ca="1">IF(ISERROR(INDIRECT(ORÇAMENTO.BancoRef)),"(abra o arquivo 'Referência "&amp;Excel_BuiltIn_Database&amp;".xlsm)",IF(OR($C239&lt;&gt;"S",ORÇAMENTO.CodBarra=""),"(Sem Código)",IF(ISERROR(MATCH($AE239,INDIRECT(ORÇAMENTO.BancoRef),0)),"(Código não identificado nas referências)",MATCH($AE239,INDIRECT(ORÇAMENTO.BancoRef),0))))</f>
        <v>(abra o arquivo 'Referência 12-2024.xlsm)</v>
      </c>
      <c r="AG239" s="429">
        <f ca="1">ROUND(IF(DESONERACAO="sim",REFERENCIA.Desonerado,REFERENCIA.NaoDesonerado),2)</f>
        <v>0</v>
      </c>
      <c r="AH239" s="430">
        <f t="shared" ca="1" si="64"/>
        <v>0.31190000000000001</v>
      </c>
      <c r="AJ239" s="432">
        <v>35</v>
      </c>
      <c r="AL239" s="440"/>
      <c r="AM239" s="337">
        <f t="shared" ca="1" si="0"/>
        <v>0</v>
      </c>
      <c r="AN239" s="471">
        <f t="shared" ca="1" si="65"/>
        <v>0</v>
      </c>
    </row>
    <row r="240" spans="1:40" ht="38.25" x14ac:dyDescent="0.2">
      <c r="A240" t="str">
        <f t="shared" si="50"/>
        <v>S</v>
      </c>
      <c r="B240">
        <f t="shared" ca="1" si="51"/>
        <v>2</v>
      </c>
      <c r="C240" t="str">
        <f t="shared" ca="1" si="52"/>
        <v>S</v>
      </c>
      <c r="D240">
        <f t="shared" ca="1" si="53"/>
        <v>0</v>
      </c>
      <c r="E240">
        <f ca="1">IF($C240=1,OFFSET(E240,-1,0)+MAX(1,COUNTIF(QCI!$A$13:$A$24,OFFSET(ORÇAMENTO!E240,-1,0))),OFFSET(E240,-1,0))</f>
        <v>1</v>
      </c>
      <c r="F240">
        <f t="shared" ca="1" si="54"/>
        <v>13</v>
      </c>
      <c r="G240">
        <f t="shared" ca="1" si="55"/>
        <v>0</v>
      </c>
      <c r="H240">
        <f t="shared" ca="1" si="56"/>
        <v>0</v>
      </c>
      <c r="I240">
        <f t="shared" ca="1" si="57"/>
        <v>0</v>
      </c>
      <c r="J240">
        <f t="shared" ca="1" si="58"/>
        <v>0</v>
      </c>
      <c r="K240">
        <f ca="1">IF(OR($C240="S",$C240=0),0,MATCH(OFFSET($D240,0,$C240)+IF($C240&lt;&gt;1,1,COUNTIF(QCI!$A$13:$A$24,ORÇAMENTO!E240)),OFFSET($D240,1,$C240,ROW($C$405)-ROW($C240)),0))</f>
        <v>0</v>
      </c>
      <c r="L240" s="115" t="str">
        <f t="shared" ca="1" si="59"/>
        <v/>
      </c>
      <c r="M240" s="116" t="s">
        <v>706</v>
      </c>
      <c r="N240" s="117" t="str">
        <f t="shared" ca="1" si="60"/>
        <v>Serviço</v>
      </c>
      <c r="O240" s="118" t="str">
        <f t="shared" ca="1" si="61"/>
        <v>-</v>
      </c>
      <c r="P240" s="119" t="s">
        <v>751</v>
      </c>
      <c r="Q240" s="120" t="s">
        <v>1140</v>
      </c>
      <c r="R240" s="121" t="s">
        <v>1516</v>
      </c>
      <c r="S240" s="122" t="s">
        <v>639</v>
      </c>
      <c r="T240" s="123">
        <f ca="1">OFFSET(CÁLCULO!H$15,ROW($T240)-ROW(T$15),0)</f>
        <v>34</v>
      </c>
      <c r="U240" s="124"/>
      <c r="V240" s="125" t="s">
        <v>663</v>
      </c>
      <c r="W240" s="123">
        <f ca="1">IF($C240="S",ROUND(IF(TIPOORCAMENTO="Proposto",ORÇAMENTO.CustoUnitario*(1+$AH240),ORÇAMENTO.PrecoUnitarioLicitado),15-13*$AF$10),0)</f>
        <v>0</v>
      </c>
      <c r="X240" s="126" cm="1">
        <f t="array" aca="1" ref="X240" ca="1">IF($C240="S",IF(OR(Import.TipoArredondamento&lt;&gt;"TransfereGOV",ACOMPANHAMENTO="BM"),VTOTAL1,SUM(OFFSET(CÁLCULO!$AA$15,ROW($X240)-ROW($X$15),1):OFFSET(CÁLCULO!$AL$15,ROW($X240)-ROW($X$15),-1))),IF($C240=0,0,ROUND(SomaAgrup,15-13*$AF$11)))</f>
        <v>0</v>
      </c>
      <c r="Y240" s="127" t="s">
        <v>752</v>
      </c>
      <c r="Z240" t="str">
        <f t="shared" ca="1" si="62"/>
        <v/>
      </c>
      <c r="AA240" s="128">
        <f ca="1">IF($C240="S",IF($Z240="CP",$X240,IF($Z240="RA",(($X240)*QCI!$AA$3),0)),SomaAgrup)</f>
        <v>0</v>
      </c>
      <c r="AB240" s="129">
        <f t="shared" ca="1" si="63"/>
        <v>0</v>
      </c>
      <c r="AC240" s="567" t="str">
        <f ca="1">IF($N240=""," ",
IF(AND($C240&lt;&gt;"S",OR($R240="",$R240="(digite a descrição aqui)")),"DESCRIÇÃO",
IF(AND($C240="S",OR($Q240&lt;&gt;0,$T240&gt;0,$U240&gt;0),$P240=0),"FONTE",
IF(AND($C240="S",$P240&lt;&gt;0,OR($T240&gt;0,$U240&gt;0),$Q240=0),"CÓDIGO",
IF(AND($C240="S",$P240&lt;&gt;0,$Q240&lt;&gt;0,$R240="(Código não identificado nas referências)"),"CÓDIGO N/ID",
IF(AND($C240="S",OR($R240="",$R240="(digite a descrição aqui)"),OR($Q240&lt;&gt;0,$T240&gt;0,$U240&gt;0)),"DESCRIÇÃO",
IF(AND($C240="S",$P240&lt;&gt;0,$Q240&lt;&gt;0,$S240=""),"UNIDADE",
IF(AND($C240="S",$P240&lt;&gt;0,$Q240&lt;&gt;0,$U240=0),"SEM CUSTO",
IF(AND(TIPOORCAMENTO="Licitado",$AL240=0,$AN240&gt;0),"SEM PREÇO",
IF(AND($C240="S",$P240&lt;&gt;0,$Q240&lt;&gt;0,$U240&gt;0,$V240=0),"BDI",
IF(OR(AND(TIPOORCAMENTO="Proposto",$AG240&lt;&gt;"",$AG240&gt;0,ORÇAMENTO.CustoUnitario&gt;$AG240),AND(TIPOORCAMENTO="LICITADO",ORÇAMENTO.PrecoUnitarioLicitado&gt;$AN240)),"ACIMA REF.",
IF(AND($C240="S",$P240&lt;&gt;0,$Q240&lt;&gt;0,$T240=0,$U240&gt;0),"QUANT.",
IF(AND(Import.TipoArredondamento="TransfereGOV",$L240="F",$C240="S",LEN($Q240)&gt;13),"Código &gt;13",
IF(AND(Import.TipoArredondamento="TransfereGOV",$L240="F",$C240&lt;&gt;"S",LEN($R240)&gt;100),"Descrição &gt;100",
IF(AND(Import.TipoArredondamento="TransfereGOV",$L240="F",$C240="S",LEN($R240)&gt;500),"Descrição &gt;500",
IF(AND(Import.TipoArredondamento="TransfereGOV",$L240="F",$C240="S",LEFT(TRIM(UPPER($P240)),6)&lt;&gt;"SINAPI",ISNA(VLOOKUP(TRIM(UPPER($S240)),ListaTgov.Unidades,1,FALSE))),"Unid. Não Disp",
" "))))))))))))))))</f>
        <v>SEM CUSTO</v>
      </c>
      <c r="AD240" t="str">
        <f ca="1">IF(C240&lt;=CRONO.NivelExibicao,MAX($AD$15:OFFSET(AD240,-1,0))+IF($C240&lt;&gt;1,1,MAX(1,COUNTIF(QCI!$A$13:$A$24,OFFSET($E240,-1,0)))),"")</f>
        <v/>
      </c>
      <c r="AE240" s="7" t="str">
        <f ca="1">IF(AND($C240="S",ORÇAMENTO.CodBarra&lt;&gt;""),IF(ORÇAMENTO.Fonte="",ORÇAMENTO.CodBarra,CONCATENATE(ORÇAMENTO.Fonte," ",ORÇAMENTO.CodBarra)))</f>
        <v>SINAPI 95547</v>
      </c>
      <c r="AF240" s="12" t="str">
        <f ca="1">IF(ISERROR(INDIRECT(ORÇAMENTO.BancoRef)),"(abra o arquivo 'Referência "&amp;Excel_BuiltIn_Database&amp;".xlsm)",IF(OR($C240&lt;&gt;"S",ORÇAMENTO.CodBarra=""),"(Sem Código)",IF(ISERROR(MATCH($AE240,INDIRECT(ORÇAMENTO.BancoRef),0)),"(Código não identificado nas referências)",MATCH($AE240,INDIRECT(ORÇAMENTO.BancoRef),0))))</f>
        <v>(abra o arquivo 'Referência 12-2024.xlsm)</v>
      </c>
      <c r="AG240" s="429">
        <f ca="1">ROUND(IF(DESONERACAO="sim",REFERENCIA.Desonerado,REFERENCIA.NaoDesonerado),2)</f>
        <v>0</v>
      </c>
      <c r="AH240" s="430">
        <f t="shared" ca="1" si="64"/>
        <v>0.31190000000000001</v>
      </c>
      <c r="AJ240" s="432">
        <v>34</v>
      </c>
      <c r="AL240" s="440"/>
      <c r="AM240" s="337">
        <f t="shared" ca="1" si="0"/>
        <v>0</v>
      </c>
      <c r="AN240" s="471">
        <f t="shared" ca="1" si="65"/>
        <v>0</v>
      </c>
    </row>
    <row r="241" spans="1:40" ht="25.5" x14ac:dyDescent="0.2">
      <c r="A241" t="str">
        <f t="shared" si="50"/>
        <v>S</v>
      </c>
      <c r="B241">
        <f t="shared" ca="1" si="51"/>
        <v>2</v>
      </c>
      <c r="C241" t="str">
        <f t="shared" ca="1" si="52"/>
        <v>S</v>
      </c>
      <c r="D241">
        <f t="shared" ca="1" si="53"/>
        <v>0</v>
      </c>
      <c r="E241">
        <f ca="1">IF($C241=1,OFFSET(E241,-1,0)+MAX(1,COUNTIF(QCI!$A$13:$A$24,OFFSET(ORÇAMENTO!E241,-1,0))),OFFSET(E241,-1,0))</f>
        <v>1</v>
      </c>
      <c r="F241">
        <f t="shared" ca="1" si="54"/>
        <v>13</v>
      </c>
      <c r="G241">
        <f t="shared" ca="1" si="55"/>
        <v>0</v>
      </c>
      <c r="H241">
        <f t="shared" ca="1" si="56"/>
        <v>0</v>
      </c>
      <c r="I241">
        <f t="shared" ca="1" si="57"/>
        <v>0</v>
      </c>
      <c r="J241">
        <f t="shared" ca="1" si="58"/>
        <v>0</v>
      </c>
      <c r="K241">
        <f ca="1">IF(OR($C241="S",$C241=0),0,MATCH(OFFSET($D241,0,$C241)+IF($C241&lt;&gt;1,1,COUNTIF(QCI!$A$13:$A$24,ORÇAMENTO!E241)),OFFSET($D241,1,$C241,ROW($C$405)-ROW($C241)),0))</f>
        <v>0</v>
      </c>
      <c r="L241" s="115" t="str">
        <f t="shared" ca="1" si="59"/>
        <v/>
      </c>
      <c r="M241" s="116" t="s">
        <v>706</v>
      </c>
      <c r="N241" s="117" t="str">
        <f t="shared" ca="1" si="60"/>
        <v>Serviço</v>
      </c>
      <c r="O241" s="118" t="str">
        <f t="shared" ca="1" si="61"/>
        <v>-</v>
      </c>
      <c r="P241" s="119" t="s">
        <v>751</v>
      </c>
      <c r="Q241" s="120" t="s">
        <v>1141</v>
      </c>
      <c r="R241" s="121" t="s">
        <v>1517</v>
      </c>
      <c r="S241" s="122" t="s">
        <v>639</v>
      </c>
      <c r="T241" s="123">
        <f ca="1">OFFSET(CÁLCULO!H$15,ROW($T241)-ROW(T$15),0)</f>
        <v>12</v>
      </c>
      <c r="U241" s="124"/>
      <c r="V241" s="125" t="s">
        <v>663</v>
      </c>
      <c r="W241" s="123">
        <f ca="1">IF($C241="S",ROUND(IF(TIPOORCAMENTO="Proposto",ORÇAMENTO.CustoUnitario*(1+$AH241),ORÇAMENTO.PrecoUnitarioLicitado),15-13*$AF$10),0)</f>
        <v>0</v>
      </c>
      <c r="X241" s="126" cm="1">
        <f t="array" aca="1" ref="X241" ca="1">IF($C241="S",IF(OR(Import.TipoArredondamento&lt;&gt;"TransfereGOV",ACOMPANHAMENTO="BM"),VTOTAL1,SUM(OFFSET(CÁLCULO!$AA$15,ROW($X241)-ROW($X$15),1):OFFSET(CÁLCULO!$AL$15,ROW($X241)-ROW($X$15),-1))),IF($C241=0,0,ROUND(SomaAgrup,15-13*$AF$11)))</f>
        <v>0</v>
      </c>
      <c r="Y241" s="127" t="s">
        <v>752</v>
      </c>
      <c r="Z241" t="str">
        <f t="shared" ca="1" si="62"/>
        <v/>
      </c>
      <c r="AA241" s="128">
        <f ca="1">IF($C241="S",IF($Z241="CP",$X241,IF($Z241="RA",(($X241)*QCI!$AA$3),0)),SomaAgrup)</f>
        <v>0</v>
      </c>
      <c r="AB241" s="129">
        <f t="shared" ca="1" si="63"/>
        <v>0</v>
      </c>
      <c r="AC241" s="567" t="str">
        <f ca="1">IF($N241=""," ",
IF(AND($C241&lt;&gt;"S",OR($R241="",$R241="(digite a descrição aqui)")),"DESCRIÇÃO",
IF(AND($C241="S",OR($Q241&lt;&gt;0,$T241&gt;0,$U241&gt;0),$P241=0),"FONTE",
IF(AND($C241="S",$P241&lt;&gt;0,OR($T241&gt;0,$U241&gt;0),$Q241=0),"CÓDIGO",
IF(AND($C241="S",$P241&lt;&gt;0,$Q241&lt;&gt;0,$R241="(Código não identificado nas referências)"),"CÓDIGO N/ID",
IF(AND($C241="S",OR($R241="",$R241="(digite a descrição aqui)"),OR($Q241&lt;&gt;0,$T241&gt;0,$U241&gt;0)),"DESCRIÇÃO",
IF(AND($C241="S",$P241&lt;&gt;0,$Q241&lt;&gt;0,$S241=""),"UNIDADE",
IF(AND($C241="S",$P241&lt;&gt;0,$Q241&lt;&gt;0,$U241=0),"SEM CUSTO",
IF(AND(TIPOORCAMENTO="Licitado",$AL241=0,$AN241&gt;0),"SEM PREÇO",
IF(AND($C241="S",$P241&lt;&gt;0,$Q241&lt;&gt;0,$U241&gt;0,$V241=0),"BDI",
IF(OR(AND(TIPOORCAMENTO="Proposto",$AG241&lt;&gt;"",$AG241&gt;0,ORÇAMENTO.CustoUnitario&gt;$AG241),AND(TIPOORCAMENTO="LICITADO",ORÇAMENTO.PrecoUnitarioLicitado&gt;$AN241)),"ACIMA REF.",
IF(AND($C241="S",$P241&lt;&gt;0,$Q241&lt;&gt;0,$T241=0,$U241&gt;0),"QUANT.",
IF(AND(Import.TipoArredondamento="TransfereGOV",$L241="F",$C241="S",LEN($Q241)&gt;13),"Código &gt;13",
IF(AND(Import.TipoArredondamento="TransfereGOV",$L241="F",$C241&lt;&gt;"S",LEN($R241)&gt;100),"Descrição &gt;100",
IF(AND(Import.TipoArredondamento="TransfereGOV",$L241="F",$C241="S",LEN($R241)&gt;500),"Descrição &gt;500",
IF(AND(Import.TipoArredondamento="TransfereGOV",$L241="F",$C241="S",LEFT(TRIM(UPPER($P241)),6)&lt;&gt;"SINAPI",ISNA(VLOOKUP(TRIM(UPPER($S241)),ListaTgov.Unidades,1,FALSE))),"Unid. Não Disp",
" "))))))))))))))))</f>
        <v>SEM CUSTO</v>
      </c>
      <c r="AD241" t="str">
        <f ca="1">IF(C241&lt;=CRONO.NivelExibicao,MAX($AD$15:OFFSET(AD241,-1,0))+IF($C241&lt;&gt;1,1,MAX(1,COUNTIF(QCI!$A$13:$A$24,OFFSET($E241,-1,0)))),"")</f>
        <v/>
      </c>
      <c r="AE241" s="7" t="str">
        <f ca="1">IF(AND($C241="S",ORÇAMENTO.CodBarra&lt;&gt;""),IF(ORÇAMENTO.Fonte="",ORÇAMENTO.CodBarra,CONCATENATE(ORÇAMENTO.Fonte," ",ORÇAMENTO.CodBarra)))</f>
        <v>SINAPI 100872</v>
      </c>
      <c r="AF241" s="12" t="str">
        <f ca="1">IF(ISERROR(INDIRECT(ORÇAMENTO.BancoRef)),"(abra o arquivo 'Referência "&amp;Excel_BuiltIn_Database&amp;".xlsm)",IF(OR($C241&lt;&gt;"S",ORÇAMENTO.CodBarra=""),"(Sem Código)",IF(ISERROR(MATCH($AE241,INDIRECT(ORÇAMENTO.BancoRef),0)),"(Código não identificado nas referências)",MATCH($AE241,INDIRECT(ORÇAMENTO.BancoRef),0))))</f>
        <v>(abra o arquivo 'Referência 12-2024.xlsm)</v>
      </c>
      <c r="AG241" s="429">
        <f ca="1">ROUND(IF(DESONERACAO="sim",REFERENCIA.Desonerado,REFERENCIA.NaoDesonerado),2)</f>
        <v>0</v>
      </c>
      <c r="AH241" s="430">
        <f t="shared" ca="1" si="64"/>
        <v>0.31190000000000001</v>
      </c>
      <c r="AJ241" s="432">
        <v>12</v>
      </c>
      <c r="AL241" s="440"/>
      <c r="AM241" s="337">
        <f t="shared" ca="1" si="0"/>
        <v>0</v>
      </c>
      <c r="AN241" s="471">
        <f t="shared" ca="1" si="65"/>
        <v>0</v>
      </c>
    </row>
    <row r="242" spans="1:40" ht="25.5" x14ac:dyDescent="0.2">
      <c r="A242" t="str">
        <f t="shared" si="50"/>
        <v>S</v>
      </c>
      <c r="B242">
        <f t="shared" ca="1" si="51"/>
        <v>2</v>
      </c>
      <c r="C242" t="str">
        <f t="shared" ca="1" si="52"/>
        <v>S</v>
      </c>
      <c r="D242">
        <f t="shared" ca="1" si="53"/>
        <v>0</v>
      </c>
      <c r="E242">
        <f ca="1">IF($C242=1,OFFSET(E242,-1,0)+MAX(1,COUNTIF(QCI!$A$13:$A$24,OFFSET(ORÇAMENTO!E242,-1,0))),OFFSET(E242,-1,0))</f>
        <v>1</v>
      </c>
      <c r="F242">
        <f t="shared" ca="1" si="54"/>
        <v>13</v>
      </c>
      <c r="G242">
        <f t="shared" ca="1" si="55"/>
        <v>0</v>
      </c>
      <c r="H242">
        <f t="shared" ca="1" si="56"/>
        <v>0</v>
      </c>
      <c r="I242">
        <f t="shared" ca="1" si="57"/>
        <v>0</v>
      </c>
      <c r="J242">
        <f t="shared" ca="1" si="58"/>
        <v>0</v>
      </c>
      <c r="K242">
        <f ca="1">IF(OR($C242="S",$C242=0),0,MATCH(OFFSET($D242,0,$C242)+IF($C242&lt;&gt;1,1,COUNTIF(QCI!$A$13:$A$24,ORÇAMENTO!E242)),OFFSET($D242,1,$C242,ROW($C$405)-ROW($C242)),0))</f>
        <v>0</v>
      </c>
      <c r="L242" s="115" t="str">
        <f t="shared" ca="1" si="59"/>
        <v/>
      </c>
      <c r="M242" s="116" t="s">
        <v>706</v>
      </c>
      <c r="N242" s="117" t="str">
        <f t="shared" ca="1" si="60"/>
        <v>Serviço</v>
      </c>
      <c r="O242" s="118" t="str">
        <f t="shared" ca="1" si="61"/>
        <v>-</v>
      </c>
      <c r="P242" s="119" t="s">
        <v>751</v>
      </c>
      <c r="Q242" s="120" t="s">
        <v>1142</v>
      </c>
      <c r="R242" s="121" t="s">
        <v>1518</v>
      </c>
      <c r="S242" s="122" t="s">
        <v>639</v>
      </c>
      <c r="T242" s="123">
        <f ca="1">OFFSET(CÁLCULO!H$15,ROW($T242)-ROW(T$15),0)</f>
        <v>6</v>
      </c>
      <c r="U242" s="124"/>
      <c r="V242" s="125" t="s">
        <v>663</v>
      </c>
      <c r="W242" s="123">
        <f ca="1">IF($C242="S",ROUND(IF(TIPOORCAMENTO="Proposto",ORÇAMENTO.CustoUnitario*(1+$AH242),ORÇAMENTO.PrecoUnitarioLicitado),15-13*$AF$10),0)</f>
        <v>0</v>
      </c>
      <c r="X242" s="126" cm="1">
        <f t="array" aca="1" ref="X242" ca="1">IF($C242="S",IF(OR(Import.TipoArredondamento&lt;&gt;"TransfereGOV",ACOMPANHAMENTO="BM"),VTOTAL1,SUM(OFFSET(CÁLCULO!$AA$15,ROW($X242)-ROW($X$15),1):OFFSET(CÁLCULO!$AL$15,ROW($X242)-ROW($X$15),-1))),IF($C242=0,0,ROUND(SomaAgrup,15-13*$AF$11)))</f>
        <v>0</v>
      </c>
      <c r="Y242" s="127" t="s">
        <v>752</v>
      </c>
      <c r="Z242" t="str">
        <f t="shared" ca="1" si="62"/>
        <v/>
      </c>
      <c r="AA242" s="128">
        <f ca="1">IF($C242="S",IF($Z242="CP",$X242,IF($Z242="RA",(($X242)*QCI!$AA$3),0)),SomaAgrup)</f>
        <v>0</v>
      </c>
      <c r="AB242" s="129">
        <f t="shared" ca="1" si="63"/>
        <v>0</v>
      </c>
      <c r="AC242" s="567" t="str">
        <f ca="1">IF($N242=""," ",
IF(AND($C242&lt;&gt;"S",OR($R242="",$R242="(digite a descrição aqui)")),"DESCRIÇÃO",
IF(AND($C242="S",OR($Q242&lt;&gt;0,$T242&gt;0,$U242&gt;0),$P242=0),"FONTE",
IF(AND($C242="S",$P242&lt;&gt;0,OR($T242&gt;0,$U242&gt;0),$Q242=0),"CÓDIGO",
IF(AND($C242="S",$P242&lt;&gt;0,$Q242&lt;&gt;0,$R242="(Código não identificado nas referências)"),"CÓDIGO N/ID",
IF(AND($C242="S",OR($R242="",$R242="(digite a descrição aqui)"),OR($Q242&lt;&gt;0,$T242&gt;0,$U242&gt;0)),"DESCRIÇÃO",
IF(AND($C242="S",$P242&lt;&gt;0,$Q242&lt;&gt;0,$S242=""),"UNIDADE",
IF(AND($C242="S",$P242&lt;&gt;0,$Q242&lt;&gt;0,$U242=0),"SEM CUSTO",
IF(AND(TIPOORCAMENTO="Licitado",$AL242=0,$AN242&gt;0),"SEM PREÇO",
IF(AND($C242="S",$P242&lt;&gt;0,$Q242&lt;&gt;0,$U242&gt;0,$V242=0),"BDI",
IF(OR(AND(TIPOORCAMENTO="Proposto",$AG242&lt;&gt;"",$AG242&gt;0,ORÇAMENTO.CustoUnitario&gt;$AG242),AND(TIPOORCAMENTO="LICITADO",ORÇAMENTO.PrecoUnitarioLicitado&gt;$AN242)),"ACIMA REF.",
IF(AND($C242="S",$P242&lt;&gt;0,$Q242&lt;&gt;0,$T242=0,$U242&gt;0),"QUANT.",
IF(AND(Import.TipoArredondamento="TransfereGOV",$L242="F",$C242="S",LEN($Q242)&gt;13),"Código &gt;13",
IF(AND(Import.TipoArredondamento="TransfereGOV",$L242="F",$C242&lt;&gt;"S",LEN($R242)&gt;100),"Descrição &gt;100",
IF(AND(Import.TipoArredondamento="TransfereGOV",$L242="F",$C242="S",LEN($R242)&gt;500),"Descrição &gt;500",
IF(AND(Import.TipoArredondamento="TransfereGOV",$L242="F",$C242="S",LEFT(TRIM(UPPER($P242)),6)&lt;&gt;"SINAPI",ISNA(VLOOKUP(TRIM(UPPER($S242)),ListaTgov.Unidades,1,FALSE))),"Unid. Não Disp",
" "))))))))))))))))</f>
        <v>SEM CUSTO</v>
      </c>
      <c r="AD242" t="str">
        <f ca="1">IF(C242&lt;=CRONO.NivelExibicao,MAX($AD$15:OFFSET(AD242,-1,0))+IF($C242&lt;&gt;1,1,MAX(1,COUNTIF(QCI!$A$13:$A$24,OFFSET($E242,-1,0)))),"")</f>
        <v/>
      </c>
      <c r="AE242" s="7" t="str">
        <f ca="1">IF(AND($C242="S",ORÇAMENTO.CodBarra&lt;&gt;""),IF(ORÇAMENTO.Fonte="",ORÇAMENTO.CodBarra,CONCATENATE(ORÇAMENTO.Fonte," ",ORÇAMENTO.CodBarra)))</f>
        <v>SINAPI 100871</v>
      </c>
      <c r="AF242" s="12" t="str">
        <f ca="1">IF(ISERROR(INDIRECT(ORÇAMENTO.BancoRef)),"(abra o arquivo 'Referência "&amp;Excel_BuiltIn_Database&amp;".xlsm)",IF(OR($C242&lt;&gt;"S",ORÇAMENTO.CodBarra=""),"(Sem Código)",IF(ISERROR(MATCH($AE242,INDIRECT(ORÇAMENTO.BancoRef),0)),"(Código não identificado nas referências)",MATCH($AE242,INDIRECT(ORÇAMENTO.BancoRef),0))))</f>
        <v>(abra o arquivo 'Referência 12-2024.xlsm)</v>
      </c>
      <c r="AG242" s="429">
        <f ca="1">ROUND(IF(DESONERACAO="sim",REFERENCIA.Desonerado,REFERENCIA.NaoDesonerado),2)</f>
        <v>0</v>
      </c>
      <c r="AH242" s="430">
        <f t="shared" ca="1" si="64"/>
        <v>0.31190000000000001</v>
      </c>
      <c r="AJ242" s="432">
        <v>6</v>
      </c>
      <c r="AL242" s="440"/>
      <c r="AM242" s="337">
        <f t="shared" ca="1" si="0"/>
        <v>0</v>
      </c>
      <c r="AN242" s="471">
        <f t="shared" ca="1" si="65"/>
        <v>0</v>
      </c>
    </row>
    <row r="243" spans="1:40" ht="25.5" x14ac:dyDescent="0.2">
      <c r="A243" t="str">
        <f t="shared" si="50"/>
        <v>S</v>
      </c>
      <c r="B243">
        <f t="shared" ca="1" si="51"/>
        <v>2</v>
      </c>
      <c r="C243" t="str">
        <f t="shared" ca="1" si="52"/>
        <v>S</v>
      </c>
      <c r="D243">
        <f t="shared" ca="1" si="53"/>
        <v>0</v>
      </c>
      <c r="E243">
        <f ca="1">IF($C243=1,OFFSET(E243,-1,0)+MAX(1,COUNTIF(QCI!$A$13:$A$24,OFFSET(ORÇAMENTO!E243,-1,0))),OFFSET(E243,-1,0))</f>
        <v>1</v>
      </c>
      <c r="F243">
        <f t="shared" ca="1" si="54"/>
        <v>13</v>
      </c>
      <c r="G243">
        <f t="shared" ca="1" si="55"/>
        <v>0</v>
      </c>
      <c r="H243">
        <f t="shared" ca="1" si="56"/>
        <v>0</v>
      </c>
      <c r="I243">
        <f t="shared" ca="1" si="57"/>
        <v>0</v>
      </c>
      <c r="J243">
        <f t="shared" ca="1" si="58"/>
        <v>0</v>
      </c>
      <c r="K243">
        <f ca="1">IF(OR($C243="S",$C243=0),0,MATCH(OFFSET($D243,0,$C243)+IF($C243&lt;&gt;1,1,COUNTIF(QCI!$A$13:$A$24,ORÇAMENTO!E243)),OFFSET($D243,1,$C243,ROW($C$405)-ROW($C243)),0))</f>
        <v>0</v>
      </c>
      <c r="L243" s="115" t="str">
        <f t="shared" ca="1" si="59"/>
        <v/>
      </c>
      <c r="M243" s="116" t="s">
        <v>706</v>
      </c>
      <c r="N243" s="117" t="str">
        <f t="shared" ca="1" si="60"/>
        <v>Serviço</v>
      </c>
      <c r="O243" s="118" t="str">
        <f t="shared" ca="1" si="61"/>
        <v>-</v>
      </c>
      <c r="P243" s="119" t="s">
        <v>1316</v>
      </c>
      <c r="Q243" s="120" t="s">
        <v>1143</v>
      </c>
      <c r="R243" s="121" t="s">
        <v>1519</v>
      </c>
      <c r="S243" s="122" t="s">
        <v>1644</v>
      </c>
      <c r="T243" s="123">
        <f ca="1">OFFSET(CÁLCULO!H$15,ROW($T243)-ROW(T$15),0)</f>
        <v>12</v>
      </c>
      <c r="U243" s="124"/>
      <c r="V243" s="125" t="s">
        <v>663</v>
      </c>
      <c r="W243" s="123">
        <f ca="1">IF($C243="S",ROUND(IF(TIPOORCAMENTO="Proposto",ORÇAMENTO.CustoUnitario*(1+$AH243),ORÇAMENTO.PrecoUnitarioLicitado),15-13*$AF$10),0)</f>
        <v>0</v>
      </c>
      <c r="X243" s="126" cm="1">
        <f t="array" aca="1" ref="X243" ca="1">IF($C243="S",IF(OR(Import.TipoArredondamento&lt;&gt;"TransfereGOV",ACOMPANHAMENTO="BM"),VTOTAL1,SUM(OFFSET(CÁLCULO!$AA$15,ROW($X243)-ROW($X$15),1):OFFSET(CÁLCULO!$AL$15,ROW($X243)-ROW($X$15),-1))),IF($C243=0,0,ROUND(SomaAgrup,15-13*$AF$11)))</f>
        <v>0</v>
      </c>
      <c r="Y243" s="127" t="s">
        <v>752</v>
      </c>
      <c r="Z243" t="str">
        <f t="shared" ca="1" si="62"/>
        <v/>
      </c>
      <c r="AA243" s="128">
        <f ca="1">IF($C243="S",IF($Z243="CP",$X243,IF($Z243="RA",(($X243)*QCI!$AA$3),0)),SomaAgrup)</f>
        <v>0</v>
      </c>
      <c r="AB243" s="129">
        <f t="shared" ca="1" si="63"/>
        <v>0</v>
      </c>
      <c r="AC243" s="567" t="str">
        <f ca="1">IF($N243=""," ",
IF(AND($C243&lt;&gt;"S",OR($R243="",$R243="(digite a descrição aqui)")),"DESCRIÇÃO",
IF(AND($C243="S",OR($Q243&lt;&gt;0,$T243&gt;0,$U243&gt;0),$P243=0),"FONTE",
IF(AND($C243="S",$P243&lt;&gt;0,OR($T243&gt;0,$U243&gt;0),$Q243=0),"CÓDIGO",
IF(AND($C243="S",$P243&lt;&gt;0,$Q243&lt;&gt;0,$R243="(Código não identificado nas referências)"),"CÓDIGO N/ID",
IF(AND($C243="S",OR($R243="",$R243="(digite a descrição aqui)"),OR($Q243&lt;&gt;0,$T243&gt;0,$U243&gt;0)),"DESCRIÇÃO",
IF(AND($C243="S",$P243&lt;&gt;0,$Q243&lt;&gt;0,$S243=""),"UNIDADE",
IF(AND($C243="S",$P243&lt;&gt;0,$Q243&lt;&gt;0,$U243=0),"SEM CUSTO",
IF(AND(TIPOORCAMENTO="Licitado",$AL243=0,$AN243&gt;0),"SEM PREÇO",
IF(AND($C243="S",$P243&lt;&gt;0,$Q243&lt;&gt;0,$U243&gt;0,$V243=0),"BDI",
IF(OR(AND(TIPOORCAMENTO="Proposto",$AG243&lt;&gt;"",$AG243&gt;0,ORÇAMENTO.CustoUnitario&gt;$AG243),AND(TIPOORCAMENTO="LICITADO",ORÇAMENTO.PrecoUnitarioLicitado&gt;$AN243)),"ACIMA REF.",
IF(AND($C243="S",$P243&lt;&gt;0,$Q243&lt;&gt;0,$T243=0,$U243&gt;0),"QUANT.",
IF(AND(Import.TipoArredondamento="TransfereGOV",$L243="F",$C243="S",LEN($Q243)&gt;13),"Código &gt;13",
IF(AND(Import.TipoArredondamento="TransfereGOV",$L243="F",$C243&lt;&gt;"S",LEN($R243)&gt;100),"Descrição &gt;100",
IF(AND(Import.TipoArredondamento="TransfereGOV",$L243="F",$C243="S",LEN($R243)&gt;500),"Descrição &gt;500",
IF(AND(Import.TipoArredondamento="TransfereGOV",$L243="F",$C243="S",LEFT(TRIM(UPPER($P243)),6)&lt;&gt;"SINAPI",ISNA(VLOOKUP(TRIM(UPPER($S243)),ListaTgov.Unidades,1,FALSE))),"Unid. Não Disp",
" "))))))))))))))))</f>
        <v>SEM CUSTO</v>
      </c>
      <c r="AD243" t="str">
        <f ca="1">IF(C243&lt;=CRONO.NivelExibicao,MAX($AD$15:OFFSET(AD243,-1,0))+IF($C243&lt;&gt;1,1,MAX(1,COUNTIF(QCI!$A$13:$A$24,OFFSET($E243,-1,0)))),"")</f>
        <v/>
      </c>
      <c r="AE243" s="7" t="str">
        <f ca="1">IF(AND($C243="S",ORÇAMENTO.CodBarra&lt;&gt;""),IF(ORÇAMENTO.Fonte="",ORÇAMENTO.CodBarra,CONCATENATE(ORÇAMENTO.Fonte," ",ORÇAMENTO.CodBarra)))</f>
        <v>Composiçao 217</v>
      </c>
      <c r="AF243" s="12" t="str">
        <f ca="1">IF(ISERROR(INDIRECT(ORÇAMENTO.BancoRef)),"(abra o arquivo 'Referência "&amp;Excel_BuiltIn_Database&amp;".xlsm)",IF(OR($C243&lt;&gt;"S",ORÇAMENTO.CodBarra=""),"(Sem Código)",IF(ISERROR(MATCH($AE243,INDIRECT(ORÇAMENTO.BancoRef),0)),"(Código não identificado nas referências)",MATCH($AE243,INDIRECT(ORÇAMENTO.BancoRef),0))))</f>
        <v>(abra o arquivo 'Referência 12-2024.xlsm)</v>
      </c>
      <c r="AG243" s="429">
        <f ca="1">ROUND(IF(DESONERACAO="sim",REFERENCIA.Desonerado,REFERENCIA.NaoDesonerado),2)</f>
        <v>0</v>
      </c>
      <c r="AH243" s="430">
        <f t="shared" ca="1" si="64"/>
        <v>0.31190000000000001</v>
      </c>
      <c r="AJ243" s="432">
        <v>12</v>
      </c>
      <c r="AL243" s="440"/>
      <c r="AM243" s="337">
        <f t="shared" ca="1" si="0"/>
        <v>0</v>
      </c>
      <c r="AN243" s="471">
        <f t="shared" ca="1" si="65"/>
        <v>0</v>
      </c>
    </row>
    <row r="244" spans="1:40" ht="25.5" x14ac:dyDescent="0.2">
      <c r="A244" t="str">
        <f t="shared" si="50"/>
        <v>S</v>
      </c>
      <c r="B244">
        <f t="shared" ca="1" si="51"/>
        <v>2</v>
      </c>
      <c r="C244" t="str">
        <f t="shared" ca="1" si="52"/>
        <v>S</v>
      </c>
      <c r="D244">
        <f t="shared" ca="1" si="53"/>
        <v>0</v>
      </c>
      <c r="E244">
        <f ca="1">IF($C244=1,OFFSET(E244,-1,0)+MAX(1,COUNTIF(QCI!$A$13:$A$24,OFFSET(ORÇAMENTO!E244,-1,0))),OFFSET(E244,-1,0))</f>
        <v>1</v>
      </c>
      <c r="F244">
        <f t="shared" ca="1" si="54"/>
        <v>13</v>
      </c>
      <c r="G244">
        <f t="shared" ca="1" si="55"/>
        <v>0</v>
      </c>
      <c r="H244">
        <f t="shared" ca="1" si="56"/>
        <v>0</v>
      </c>
      <c r="I244">
        <f t="shared" ca="1" si="57"/>
        <v>0</v>
      </c>
      <c r="J244">
        <f t="shared" ca="1" si="58"/>
        <v>0</v>
      </c>
      <c r="K244">
        <f ca="1">IF(OR($C244="S",$C244=0),0,MATCH(OFFSET($D244,0,$C244)+IF($C244&lt;&gt;1,1,COUNTIF(QCI!$A$13:$A$24,ORÇAMENTO!E244)),OFFSET($D244,1,$C244,ROW($C$405)-ROW($C244)),0))</f>
        <v>0</v>
      </c>
      <c r="L244" s="115" t="str">
        <f t="shared" ca="1" si="59"/>
        <v/>
      </c>
      <c r="M244" s="116" t="s">
        <v>706</v>
      </c>
      <c r="N244" s="117" t="str">
        <f t="shared" ca="1" si="60"/>
        <v>Serviço</v>
      </c>
      <c r="O244" s="118" t="str">
        <f t="shared" ca="1" si="61"/>
        <v>-</v>
      </c>
      <c r="P244" s="119" t="s">
        <v>1316</v>
      </c>
      <c r="Q244" s="120" t="s">
        <v>1144</v>
      </c>
      <c r="R244" s="121" t="s">
        <v>1520</v>
      </c>
      <c r="S244" s="122" t="s">
        <v>1644</v>
      </c>
      <c r="T244" s="123">
        <f ca="1">OFFSET(CÁLCULO!H$15,ROW($T244)-ROW(T$15),0)</f>
        <v>2</v>
      </c>
      <c r="U244" s="124"/>
      <c r="V244" s="125" t="s">
        <v>663</v>
      </c>
      <c r="W244" s="123">
        <f ca="1">IF($C244="S",ROUND(IF(TIPOORCAMENTO="Proposto",ORÇAMENTO.CustoUnitario*(1+$AH244),ORÇAMENTO.PrecoUnitarioLicitado),15-13*$AF$10),0)</f>
        <v>0</v>
      </c>
      <c r="X244" s="126" cm="1">
        <f t="array" aca="1" ref="X244" ca="1">IF($C244="S",IF(OR(Import.TipoArredondamento&lt;&gt;"TransfereGOV",ACOMPANHAMENTO="BM"),VTOTAL1,SUM(OFFSET(CÁLCULO!$AA$15,ROW($X244)-ROW($X$15),1):OFFSET(CÁLCULO!$AL$15,ROW($X244)-ROW($X$15),-1))),IF($C244=0,0,ROUND(SomaAgrup,15-13*$AF$11)))</f>
        <v>0</v>
      </c>
      <c r="Y244" s="127" t="s">
        <v>752</v>
      </c>
      <c r="Z244" t="str">
        <f t="shared" ca="1" si="62"/>
        <v/>
      </c>
      <c r="AA244" s="128">
        <f ca="1">IF($C244="S",IF($Z244="CP",$X244,IF($Z244="RA",(($X244)*QCI!$AA$3),0)),SomaAgrup)</f>
        <v>0</v>
      </c>
      <c r="AB244" s="129">
        <f t="shared" ca="1" si="63"/>
        <v>0</v>
      </c>
      <c r="AC244" s="567" t="str">
        <f ca="1">IF($N244=""," ",
IF(AND($C244&lt;&gt;"S",OR($R244="",$R244="(digite a descrição aqui)")),"DESCRIÇÃO",
IF(AND($C244="S",OR($Q244&lt;&gt;0,$T244&gt;0,$U244&gt;0),$P244=0),"FONTE",
IF(AND($C244="S",$P244&lt;&gt;0,OR($T244&gt;0,$U244&gt;0),$Q244=0),"CÓDIGO",
IF(AND($C244="S",$P244&lt;&gt;0,$Q244&lt;&gt;0,$R244="(Código não identificado nas referências)"),"CÓDIGO N/ID",
IF(AND($C244="S",OR($R244="",$R244="(digite a descrição aqui)"),OR($Q244&lt;&gt;0,$T244&gt;0,$U244&gt;0)),"DESCRIÇÃO",
IF(AND($C244="S",$P244&lt;&gt;0,$Q244&lt;&gt;0,$S244=""),"UNIDADE",
IF(AND($C244="S",$P244&lt;&gt;0,$Q244&lt;&gt;0,$U244=0),"SEM CUSTO",
IF(AND(TIPOORCAMENTO="Licitado",$AL244=0,$AN244&gt;0),"SEM PREÇO",
IF(AND($C244="S",$P244&lt;&gt;0,$Q244&lt;&gt;0,$U244&gt;0,$V244=0),"BDI",
IF(OR(AND(TIPOORCAMENTO="Proposto",$AG244&lt;&gt;"",$AG244&gt;0,ORÇAMENTO.CustoUnitario&gt;$AG244),AND(TIPOORCAMENTO="LICITADO",ORÇAMENTO.PrecoUnitarioLicitado&gt;$AN244)),"ACIMA REF.",
IF(AND($C244="S",$P244&lt;&gt;0,$Q244&lt;&gt;0,$T244=0,$U244&gt;0),"QUANT.",
IF(AND(Import.TipoArredondamento="TransfereGOV",$L244="F",$C244="S",LEN($Q244)&gt;13),"Código &gt;13",
IF(AND(Import.TipoArredondamento="TransfereGOV",$L244="F",$C244&lt;&gt;"S",LEN($R244)&gt;100),"Descrição &gt;100",
IF(AND(Import.TipoArredondamento="TransfereGOV",$L244="F",$C244="S",LEN($R244)&gt;500),"Descrição &gt;500",
IF(AND(Import.TipoArredondamento="TransfereGOV",$L244="F",$C244="S",LEFT(TRIM(UPPER($P244)),6)&lt;&gt;"SINAPI",ISNA(VLOOKUP(TRIM(UPPER($S244)),ListaTgov.Unidades,1,FALSE))),"Unid. Não Disp",
" "))))))))))))))))</f>
        <v>SEM CUSTO</v>
      </c>
      <c r="AD244" t="str">
        <f ca="1">IF(C244&lt;=CRONO.NivelExibicao,MAX($AD$15:OFFSET(AD244,-1,0))+IF($C244&lt;&gt;1,1,MAX(1,COUNTIF(QCI!$A$13:$A$24,OFFSET($E244,-1,0)))),"")</f>
        <v/>
      </c>
      <c r="AE244" s="7" t="str">
        <f ca="1">IF(AND($C244="S",ORÇAMENTO.CodBarra&lt;&gt;""),IF(ORÇAMENTO.Fonte="",ORÇAMENTO.CodBarra,CONCATENATE(ORÇAMENTO.Fonte," ",ORÇAMENTO.CodBarra)))</f>
        <v>Composiçao 216</v>
      </c>
      <c r="AF244" s="12" t="str">
        <f ca="1">IF(ISERROR(INDIRECT(ORÇAMENTO.BancoRef)),"(abra o arquivo 'Referência "&amp;Excel_BuiltIn_Database&amp;".xlsm)",IF(OR($C244&lt;&gt;"S",ORÇAMENTO.CodBarra=""),"(Sem Código)",IF(ISERROR(MATCH($AE244,INDIRECT(ORÇAMENTO.BancoRef),0)),"(Código não identificado nas referências)",MATCH($AE244,INDIRECT(ORÇAMENTO.BancoRef),0))))</f>
        <v>(abra o arquivo 'Referência 12-2024.xlsm)</v>
      </c>
      <c r="AG244" s="429">
        <f ca="1">ROUND(IF(DESONERACAO="sim",REFERENCIA.Desonerado,REFERENCIA.NaoDesonerado),2)</f>
        <v>0</v>
      </c>
      <c r="AH244" s="430">
        <f t="shared" ca="1" si="64"/>
        <v>0.31190000000000001</v>
      </c>
      <c r="AJ244" s="432">
        <v>2</v>
      </c>
      <c r="AL244" s="440"/>
      <c r="AM244" s="337">
        <f t="shared" ca="1" si="0"/>
        <v>0</v>
      </c>
      <c r="AN244" s="471">
        <f t="shared" ca="1" si="65"/>
        <v>0</v>
      </c>
    </row>
    <row r="245" spans="1:40" ht="25.5" x14ac:dyDescent="0.2">
      <c r="A245" t="str">
        <f t="shared" si="50"/>
        <v>S</v>
      </c>
      <c r="B245">
        <f t="shared" ca="1" si="51"/>
        <v>2</v>
      </c>
      <c r="C245" t="str">
        <f t="shared" ca="1" si="52"/>
        <v>S</v>
      </c>
      <c r="D245">
        <f t="shared" ca="1" si="53"/>
        <v>0</v>
      </c>
      <c r="E245">
        <f ca="1">IF($C245=1,OFFSET(E245,-1,0)+MAX(1,COUNTIF(QCI!$A$13:$A$24,OFFSET(ORÇAMENTO!E245,-1,0))),OFFSET(E245,-1,0))</f>
        <v>1</v>
      </c>
      <c r="F245">
        <f t="shared" ca="1" si="54"/>
        <v>13</v>
      </c>
      <c r="G245">
        <f t="shared" ca="1" si="55"/>
        <v>0</v>
      </c>
      <c r="H245">
        <f t="shared" ca="1" si="56"/>
        <v>0</v>
      </c>
      <c r="I245">
        <f t="shared" ca="1" si="57"/>
        <v>0</v>
      </c>
      <c r="J245">
        <f t="shared" ca="1" si="58"/>
        <v>0</v>
      </c>
      <c r="K245">
        <f ca="1">IF(OR($C245="S",$C245=0),0,MATCH(OFFSET($D245,0,$C245)+IF($C245&lt;&gt;1,1,COUNTIF(QCI!$A$13:$A$24,ORÇAMENTO!E245)),OFFSET($D245,1,$C245,ROW($C$405)-ROW($C245)),0))</f>
        <v>0</v>
      </c>
      <c r="L245" s="115" t="str">
        <f t="shared" ca="1" si="59"/>
        <v/>
      </c>
      <c r="M245" s="116" t="s">
        <v>706</v>
      </c>
      <c r="N245" s="117" t="str">
        <f t="shared" ca="1" si="60"/>
        <v>Serviço</v>
      </c>
      <c r="O245" s="118" t="str">
        <f t="shared" ca="1" si="61"/>
        <v>-</v>
      </c>
      <c r="P245" s="119" t="s">
        <v>751</v>
      </c>
      <c r="Q245" s="120" t="s">
        <v>1145</v>
      </c>
      <c r="R245" s="121" t="s">
        <v>1521</v>
      </c>
      <c r="S245" s="122" t="s">
        <v>639</v>
      </c>
      <c r="T245" s="123">
        <f ca="1">OFFSET(CÁLCULO!H$15,ROW($T245)-ROW(T$15),0)</f>
        <v>6</v>
      </c>
      <c r="U245" s="124"/>
      <c r="V245" s="125" t="s">
        <v>663</v>
      </c>
      <c r="W245" s="123">
        <f ca="1">IF($C245="S",ROUND(IF(TIPOORCAMENTO="Proposto",ORÇAMENTO.CustoUnitario*(1+$AH245),ORÇAMENTO.PrecoUnitarioLicitado),15-13*$AF$10),0)</f>
        <v>0</v>
      </c>
      <c r="X245" s="126" cm="1">
        <f t="array" aca="1" ref="X245" ca="1">IF($C245="S",IF(OR(Import.TipoArredondamento&lt;&gt;"TransfereGOV",ACOMPANHAMENTO="BM"),VTOTAL1,SUM(OFFSET(CÁLCULO!$AA$15,ROW($X245)-ROW($X$15),1):OFFSET(CÁLCULO!$AL$15,ROW($X245)-ROW($X$15),-1))),IF($C245=0,0,ROUND(SomaAgrup,15-13*$AF$11)))</f>
        <v>0</v>
      </c>
      <c r="Y245" s="127" t="s">
        <v>752</v>
      </c>
      <c r="Z245" t="str">
        <f t="shared" ca="1" si="62"/>
        <v/>
      </c>
      <c r="AA245" s="128">
        <f ca="1">IF($C245="S",IF($Z245="CP",$X245,IF($Z245="RA",(($X245)*QCI!$AA$3),0)),SomaAgrup)</f>
        <v>0</v>
      </c>
      <c r="AB245" s="129">
        <f t="shared" ca="1" si="63"/>
        <v>0</v>
      </c>
      <c r="AC245" s="567" t="str">
        <f ca="1">IF($N245=""," ",
IF(AND($C245&lt;&gt;"S",OR($R245="",$R245="(digite a descrição aqui)")),"DESCRIÇÃO",
IF(AND($C245="S",OR($Q245&lt;&gt;0,$T245&gt;0,$U245&gt;0),$P245=0),"FONTE",
IF(AND($C245="S",$P245&lt;&gt;0,OR($T245&gt;0,$U245&gt;0),$Q245=0),"CÓDIGO",
IF(AND($C245="S",$P245&lt;&gt;0,$Q245&lt;&gt;0,$R245="(Código não identificado nas referências)"),"CÓDIGO N/ID",
IF(AND($C245="S",OR($R245="",$R245="(digite a descrição aqui)"),OR($Q245&lt;&gt;0,$T245&gt;0,$U245&gt;0)),"DESCRIÇÃO",
IF(AND($C245="S",$P245&lt;&gt;0,$Q245&lt;&gt;0,$S245=""),"UNIDADE",
IF(AND($C245="S",$P245&lt;&gt;0,$Q245&lt;&gt;0,$U245=0),"SEM CUSTO",
IF(AND(TIPOORCAMENTO="Licitado",$AL245=0,$AN245&gt;0),"SEM PREÇO",
IF(AND($C245="S",$P245&lt;&gt;0,$Q245&lt;&gt;0,$U245&gt;0,$V245=0),"BDI",
IF(OR(AND(TIPOORCAMENTO="Proposto",$AG245&lt;&gt;"",$AG245&gt;0,ORÇAMENTO.CustoUnitario&gt;$AG245),AND(TIPOORCAMENTO="LICITADO",ORÇAMENTO.PrecoUnitarioLicitado&gt;$AN245)),"ACIMA REF.",
IF(AND($C245="S",$P245&lt;&gt;0,$Q245&lt;&gt;0,$T245=0,$U245&gt;0),"QUANT.",
IF(AND(Import.TipoArredondamento="TransfereGOV",$L245="F",$C245="S",LEN($Q245)&gt;13),"Código &gt;13",
IF(AND(Import.TipoArredondamento="TransfereGOV",$L245="F",$C245&lt;&gt;"S",LEN($R245)&gt;100),"Descrição &gt;100",
IF(AND(Import.TipoArredondamento="TransfereGOV",$L245="F",$C245="S",LEN($R245)&gt;500),"Descrição &gt;500",
IF(AND(Import.TipoArredondamento="TransfereGOV",$L245="F",$C245="S",LEFT(TRIM(UPPER($P245)),6)&lt;&gt;"SINAPI",ISNA(VLOOKUP(TRIM(UPPER($S245)),ListaTgov.Unidades,1,FALSE))),"Unid. Não Disp",
" "))))))))))))))))</f>
        <v>SEM CUSTO</v>
      </c>
      <c r="AD245" t="str">
        <f ca="1">IF(C245&lt;=CRONO.NivelExibicao,MAX($AD$15:OFFSET(AD245,-1,0))+IF($C245&lt;&gt;1,1,MAX(1,COUNTIF(QCI!$A$13:$A$24,OFFSET($E245,-1,0)))),"")</f>
        <v/>
      </c>
      <c r="AE245" s="7" t="str">
        <f ca="1">IF(AND($C245="S",ORÇAMENTO.CodBarra&lt;&gt;""),IF(ORÇAMENTO.Fonte="",ORÇAMENTO.CodBarra,CONCATENATE(ORÇAMENTO.Fonte," ",ORÇAMENTO.CodBarra)))</f>
        <v>SINAPI 100874</v>
      </c>
      <c r="AF245" s="12" t="str">
        <f ca="1">IF(ISERROR(INDIRECT(ORÇAMENTO.BancoRef)),"(abra o arquivo 'Referência "&amp;Excel_BuiltIn_Database&amp;".xlsm)",IF(OR($C245&lt;&gt;"S",ORÇAMENTO.CodBarra=""),"(Sem Código)",IF(ISERROR(MATCH($AE245,INDIRECT(ORÇAMENTO.BancoRef),0)),"(Código não identificado nas referências)",MATCH($AE245,INDIRECT(ORÇAMENTO.BancoRef),0))))</f>
        <v>(abra o arquivo 'Referência 12-2024.xlsm)</v>
      </c>
      <c r="AG245" s="429">
        <f ca="1">ROUND(IF(DESONERACAO="sim",REFERENCIA.Desonerado,REFERENCIA.NaoDesonerado),2)</f>
        <v>0</v>
      </c>
      <c r="AH245" s="430">
        <f t="shared" ca="1" si="64"/>
        <v>0.31190000000000001</v>
      </c>
      <c r="AJ245" s="432">
        <v>6</v>
      </c>
      <c r="AL245" s="440"/>
      <c r="AM245" s="337">
        <f t="shared" ca="1" si="0"/>
        <v>0</v>
      </c>
      <c r="AN245" s="471">
        <f t="shared" ca="1" si="65"/>
        <v>0</v>
      </c>
    </row>
    <row r="246" spans="1:40" ht="25.5" x14ac:dyDescent="0.2">
      <c r="A246" t="str">
        <f t="shared" si="50"/>
        <v>S</v>
      </c>
      <c r="B246">
        <f t="shared" ca="1" si="51"/>
        <v>2</v>
      </c>
      <c r="C246" t="str">
        <f t="shared" ca="1" si="52"/>
        <v>S</v>
      </c>
      <c r="D246">
        <f t="shared" ca="1" si="53"/>
        <v>0</v>
      </c>
      <c r="E246">
        <f ca="1">IF($C246=1,OFFSET(E246,-1,0)+MAX(1,COUNTIF(QCI!$A$13:$A$24,OFFSET(ORÇAMENTO!E246,-1,0))),OFFSET(E246,-1,0))</f>
        <v>1</v>
      </c>
      <c r="F246">
        <f t="shared" ca="1" si="54"/>
        <v>13</v>
      </c>
      <c r="G246">
        <f t="shared" ca="1" si="55"/>
        <v>0</v>
      </c>
      <c r="H246">
        <f t="shared" ca="1" si="56"/>
        <v>0</v>
      </c>
      <c r="I246">
        <f t="shared" ca="1" si="57"/>
        <v>0</v>
      </c>
      <c r="J246">
        <f t="shared" ca="1" si="58"/>
        <v>0</v>
      </c>
      <c r="K246">
        <f ca="1">IF(OR($C246="S",$C246=0),0,MATCH(OFFSET($D246,0,$C246)+IF($C246&lt;&gt;1,1,COUNTIF(QCI!$A$13:$A$24,ORÇAMENTO!E246)),OFFSET($D246,1,$C246,ROW($C$405)-ROW($C246)),0))</f>
        <v>0</v>
      </c>
      <c r="L246" s="115" t="str">
        <f t="shared" ca="1" si="59"/>
        <v/>
      </c>
      <c r="M246" s="116" t="s">
        <v>706</v>
      </c>
      <c r="N246" s="117" t="str">
        <f t="shared" ca="1" si="60"/>
        <v>Serviço</v>
      </c>
      <c r="O246" s="118" t="str">
        <f t="shared" ca="1" si="61"/>
        <v>-</v>
      </c>
      <c r="P246" s="119" t="s">
        <v>751</v>
      </c>
      <c r="Q246" s="120" t="s">
        <v>1146</v>
      </c>
      <c r="R246" s="121" t="s">
        <v>1522</v>
      </c>
      <c r="S246" s="122" t="s">
        <v>639</v>
      </c>
      <c r="T246" s="123">
        <f ca="1">OFFSET(CÁLCULO!H$15,ROW($T246)-ROW(T$15),0)</f>
        <v>2</v>
      </c>
      <c r="U246" s="124"/>
      <c r="V246" s="125" t="s">
        <v>663</v>
      </c>
      <c r="W246" s="123">
        <f ca="1">IF($C246="S",ROUND(IF(TIPOORCAMENTO="Proposto",ORÇAMENTO.CustoUnitario*(1+$AH246),ORÇAMENTO.PrecoUnitarioLicitado),15-13*$AF$10),0)</f>
        <v>0</v>
      </c>
      <c r="X246" s="126" cm="1">
        <f t="array" aca="1" ref="X246" ca="1">IF($C246="S",IF(OR(Import.TipoArredondamento&lt;&gt;"TransfereGOV",ACOMPANHAMENTO="BM"),VTOTAL1,SUM(OFFSET(CÁLCULO!$AA$15,ROW($X246)-ROW($X$15),1):OFFSET(CÁLCULO!$AL$15,ROW($X246)-ROW($X$15),-1))),IF($C246=0,0,ROUND(SomaAgrup,15-13*$AF$11)))</f>
        <v>0</v>
      </c>
      <c r="Y246" s="127" t="s">
        <v>752</v>
      </c>
      <c r="Z246" t="str">
        <f t="shared" ca="1" si="62"/>
        <v/>
      </c>
      <c r="AA246" s="128">
        <f ca="1">IF($C246="S",IF($Z246="CP",$X246,IF($Z246="RA",(($X246)*QCI!$AA$3),0)),SomaAgrup)</f>
        <v>0</v>
      </c>
      <c r="AB246" s="129">
        <f t="shared" ca="1" si="63"/>
        <v>0</v>
      </c>
      <c r="AC246" s="567" t="str">
        <f ca="1">IF($N246=""," ",
IF(AND($C246&lt;&gt;"S",OR($R246="",$R246="(digite a descrição aqui)")),"DESCRIÇÃO",
IF(AND($C246="S",OR($Q246&lt;&gt;0,$T246&gt;0,$U246&gt;0),$P246=0),"FONTE",
IF(AND($C246="S",$P246&lt;&gt;0,OR($T246&gt;0,$U246&gt;0),$Q246=0),"CÓDIGO",
IF(AND($C246="S",$P246&lt;&gt;0,$Q246&lt;&gt;0,$R246="(Código não identificado nas referências)"),"CÓDIGO N/ID",
IF(AND($C246="S",OR($R246="",$R246="(digite a descrição aqui)"),OR($Q246&lt;&gt;0,$T246&gt;0,$U246&gt;0)),"DESCRIÇÃO",
IF(AND($C246="S",$P246&lt;&gt;0,$Q246&lt;&gt;0,$S246=""),"UNIDADE",
IF(AND($C246="S",$P246&lt;&gt;0,$Q246&lt;&gt;0,$U246=0),"SEM CUSTO",
IF(AND(TIPOORCAMENTO="Licitado",$AL246=0,$AN246&gt;0),"SEM PREÇO",
IF(AND($C246="S",$P246&lt;&gt;0,$Q246&lt;&gt;0,$U246&gt;0,$V246=0),"BDI",
IF(OR(AND(TIPOORCAMENTO="Proposto",$AG246&lt;&gt;"",$AG246&gt;0,ORÇAMENTO.CustoUnitario&gt;$AG246),AND(TIPOORCAMENTO="LICITADO",ORÇAMENTO.PrecoUnitarioLicitado&gt;$AN246)),"ACIMA REF.",
IF(AND($C246="S",$P246&lt;&gt;0,$Q246&lt;&gt;0,$T246=0,$U246&gt;0),"QUANT.",
IF(AND(Import.TipoArredondamento="TransfereGOV",$L246="F",$C246="S",LEN($Q246)&gt;13),"Código &gt;13",
IF(AND(Import.TipoArredondamento="TransfereGOV",$L246="F",$C246&lt;&gt;"S",LEN($R246)&gt;100),"Descrição &gt;100",
IF(AND(Import.TipoArredondamento="TransfereGOV",$L246="F",$C246="S",LEN($R246)&gt;500),"Descrição &gt;500",
IF(AND(Import.TipoArredondamento="TransfereGOV",$L246="F",$C246="S",LEFT(TRIM(UPPER($P246)),6)&lt;&gt;"SINAPI",ISNA(VLOOKUP(TRIM(UPPER($S246)),ListaTgov.Unidades,1,FALSE))),"Unid. Não Disp",
" "))))))))))))))))</f>
        <v>SEM CUSTO</v>
      </c>
      <c r="AD246" t="str">
        <f ca="1">IF(C246&lt;=CRONO.NivelExibicao,MAX($AD$15:OFFSET(AD246,-1,0))+IF($C246&lt;&gt;1,1,MAX(1,COUNTIF(QCI!$A$13:$A$24,OFFSET($E246,-1,0)))),"")</f>
        <v/>
      </c>
      <c r="AE246" s="7" t="str">
        <f ca="1">IF(AND($C246="S",ORÇAMENTO.CodBarra&lt;&gt;""),IF(ORÇAMENTO.Fonte="",ORÇAMENTO.CodBarra,CONCATENATE(ORÇAMENTO.Fonte," ",ORÇAMENTO.CodBarra)))</f>
        <v>SINAPI 100875</v>
      </c>
      <c r="AF246" s="12" t="str">
        <f ca="1">IF(ISERROR(INDIRECT(ORÇAMENTO.BancoRef)),"(abra o arquivo 'Referência "&amp;Excel_BuiltIn_Database&amp;".xlsm)",IF(OR($C246&lt;&gt;"S",ORÇAMENTO.CodBarra=""),"(Sem Código)",IF(ISERROR(MATCH($AE246,INDIRECT(ORÇAMENTO.BancoRef),0)),"(Código não identificado nas referências)",MATCH($AE246,INDIRECT(ORÇAMENTO.BancoRef),0))))</f>
        <v>(abra o arquivo 'Referência 12-2024.xlsm)</v>
      </c>
      <c r="AG246" s="429">
        <f ca="1">ROUND(IF(DESONERACAO="sim",REFERENCIA.Desonerado,REFERENCIA.NaoDesonerado),2)</f>
        <v>0</v>
      </c>
      <c r="AH246" s="430">
        <f t="shared" ca="1" si="64"/>
        <v>0.31190000000000001</v>
      </c>
      <c r="AJ246" s="432">
        <v>2</v>
      </c>
      <c r="AL246" s="440"/>
      <c r="AM246" s="337">
        <f t="shared" ca="1" si="0"/>
        <v>0</v>
      </c>
      <c r="AN246" s="471">
        <f t="shared" ca="1" si="65"/>
        <v>0</v>
      </c>
    </row>
    <row r="247" spans="1:40" x14ac:dyDescent="0.2">
      <c r="A247">
        <f t="shared" si="50"/>
        <v>2</v>
      </c>
      <c r="B247">
        <f t="shared" ca="1" si="51"/>
        <v>2</v>
      </c>
      <c r="C247">
        <f t="shared" ca="1" si="52"/>
        <v>2</v>
      </c>
      <c r="D247">
        <f t="shared" ca="1" si="53"/>
        <v>7</v>
      </c>
      <c r="E247">
        <f ca="1">IF($C247=1,OFFSET(E247,-1,0)+MAX(1,COUNTIF(QCI!$A$13:$A$24,OFFSET(ORÇAMENTO!E247,-1,0))),OFFSET(E247,-1,0))</f>
        <v>1</v>
      </c>
      <c r="F247">
        <f t="shared" ca="1" si="54"/>
        <v>14</v>
      </c>
      <c r="G247">
        <f t="shared" ca="1" si="55"/>
        <v>0</v>
      </c>
      <c r="H247">
        <f t="shared" ca="1" si="56"/>
        <v>0</v>
      </c>
      <c r="I247">
        <f t="shared" ca="1" si="57"/>
        <v>0</v>
      </c>
      <c r="J247">
        <f t="shared" ca="1" si="58"/>
        <v>158</v>
      </c>
      <c r="K247">
        <f ca="1">IF(OR($C247="S",$C247=0),0,MATCH(OFFSET($D247,0,$C247)+IF($C247&lt;&gt;1,1,COUNTIF(QCI!$A$13:$A$24,ORÇAMENTO!E247)),OFFSET($D247,1,$C247,ROW($C$405)-ROW($C247)),0))</f>
        <v>7</v>
      </c>
      <c r="L247" s="115" t="str">
        <f t="shared" ca="1" si="59"/>
        <v>F</v>
      </c>
      <c r="M247" s="116" t="s">
        <v>703</v>
      </c>
      <c r="N247" s="117" t="str">
        <f t="shared" ca="1" si="60"/>
        <v>Nível 2</v>
      </c>
      <c r="O247" s="118" t="str">
        <f t="shared" ca="1" si="61"/>
        <v>1.14.</v>
      </c>
      <c r="P247" s="119" t="s">
        <v>751</v>
      </c>
      <c r="Q247" s="120"/>
      <c r="R247" s="121" t="s">
        <v>1290</v>
      </c>
      <c r="S247" s="122" t="s">
        <v>689</v>
      </c>
      <c r="T247" s="123">
        <f ca="1">OFFSET(CÁLCULO!H$15,ROW($T247)-ROW(T$15),0)</f>
        <v>0</v>
      </c>
      <c r="U247" s="124"/>
      <c r="V247" s="125" t="s">
        <v>663</v>
      </c>
      <c r="W247" s="123">
        <f ca="1">IF($C247="S",ROUND(IF(TIPOORCAMENTO="Proposto",ORÇAMENTO.CustoUnitario*(1+$AH247),ORÇAMENTO.PrecoUnitarioLicitado),15-13*$AF$10),0)</f>
        <v>0</v>
      </c>
      <c r="X247" s="126" cm="1">
        <f t="array" aca="1" ref="X247" ca="1">IF($C247="S",IF(OR(Import.TipoArredondamento&lt;&gt;"TransfereGOV",ACOMPANHAMENTO="BM"),VTOTAL1,SUM(OFFSET(CÁLCULO!$AA$15,ROW($X247)-ROW($X$15),1):OFFSET(CÁLCULO!$AL$15,ROW($X247)-ROW($X$15),-1))),IF($C247=0,0,ROUND(SomaAgrup,15-13*$AF$11)))</f>
        <v>0</v>
      </c>
      <c r="Y247" s="127" t="s">
        <v>752</v>
      </c>
      <c r="Z247" t="str">
        <f t="shared" ca="1" si="62"/>
        <v/>
      </c>
      <c r="AA247" s="128">
        <f ca="1">IF($C247="S",IF($Z247="CP",$X247,IF($Z247="RA",(($X247)*QCI!$AA$3),0)),SomaAgrup)</f>
        <v>0</v>
      </c>
      <c r="AB247" s="129">
        <f t="shared" ca="1" si="63"/>
        <v>0</v>
      </c>
      <c r="AC247" s="567" t="str">
        <f ca="1">IF($N247=""," ",
IF(AND($C247&lt;&gt;"S",OR($R247="",$R247="(digite a descrição aqui)")),"DESCRIÇÃO",
IF(AND($C247="S",OR($Q247&lt;&gt;0,$T247&gt;0,$U247&gt;0),$P247=0),"FONTE",
IF(AND($C247="S",$P247&lt;&gt;0,OR($T247&gt;0,$U247&gt;0),$Q247=0),"CÓDIGO",
IF(AND($C247="S",$P247&lt;&gt;0,$Q247&lt;&gt;0,$R247="(Código não identificado nas referências)"),"CÓDIGO N/ID",
IF(AND($C247="S",OR($R247="",$R247="(digite a descrição aqui)"),OR($Q247&lt;&gt;0,$T247&gt;0,$U247&gt;0)),"DESCRIÇÃO",
IF(AND($C247="S",$P247&lt;&gt;0,$Q247&lt;&gt;0,$S247=""),"UNIDADE",
IF(AND($C247="S",$P247&lt;&gt;0,$Q247&lt;&gt;0,$U247=0),"SEM CUSTO",
IF(AND(TIPOORCAMENTO="Licitado",$AL247=0,$AN247&gt;0),"SEM PREÇO",
IF(AND($C247="S",$P247&lt;&gt;0,$Q247&lt;&gt;0,$U247&gt;0,$V247=0),"BDI",
IF(OR(AND(TIPOORCAMENTO="Proposto",$AG247&lt;&gt;"",$AG247&gt;0,ORÇAMENTO.CustoUnitario&gt;$AG247),AND(TIPOORCAMENTO="LICITADO",ORÇAMENTO.PrecoUnitarioLicitado&gt;$AN247)),"ACIMA REF.",
IF(AND($C247="S",$P247&lt;&gt;0,$Q247&lt;&gt;0,$T247=0,$U247&gt;0),"QUANT.",
IF(AND(Import.TipoArredondamento="TransfereGOV",$L247="F",$C247="S",LEN($Q247)&gt;13),"Código &gt;13",
IF(AND(Import.TipoArredondamento="TransfereGOV",$L247="F",$C247&lt;&gt;"S",LEN($R247)&gt;100),"Descrição &gt;100",
IF(AND(Import.TipoArredondamento="TransfereGOV",$L247="F",$C247="S",LEN($R247)&gt;500),"Descrição &gt;500",
IF(AND(Import.TipoArredondamento="TransfereGOV",$L247="F",$C247="S",LEFT(TRIM(UPPER($P247)),6)&lt;&gt;"SINAPI",ISNA(VLOOKUP(TRIM(UPPER($S247)),ListaTgov.Unidades,1,FALSE))),"Unid. Não Disp",
" "))))))))))))))))</f>
        <v xml:space="preserve"> </v>
      </c>
      <c r="AD247">
        <f ca="1">IF(C247&lt;=CRONO.NivelExibicao,MAX($AD$15:OFFSET(AD247,-1,0))+IF($C247&lt;&gt;1,1,MAX(1,COUNTIF(QCI!$A$13:$A$24,OFFSET($E247,-1,0)))),"")</f>
        <v>15</v>
      </c>
      <c r="AE247" s="7" t="b">
        <f ca="1">IF(AND($C247="S",ORÇAMENTO.CodBarra&lt;&gt;""),IF(ORÇAMENTO.Fonte="",ORÇAMENTO.CodBarra,CONCATENATE(ORÇAMENTO.Fonte," ",ORÇAMENTO.CodBarra)))</f>
        <v>0</v>
      </c>
      <c r="AF247" s="12" t="str">
        <f ca="1">IF(ISERROR(INDIRECT(ORÇAMENTO.BancoRef)),"(abra o arquivo 'Referência "&amp;Excel_BuiltIn_Database&amp;".xlsm)",IF(OR($C247&lt;&gt;"S",ORÇAMENTO.CodBarra=""),"(Sem Código)",IF(ISERROR(MATCH($AE247,INDIRECT(ORÇAMENTO.BancoRef),0)),"(Código não identificado nas referências)",MATCH($AE247,INDIRECT(ORÇAMENTO.BancoRef),0))))</f>
        <v>(abra o arquivo 'Referência 12-2024.xlsm)</v>
      </c>
      <c r="AG247" s="429">
        <f ca="1">ROUND(IF(DESONERACAO="sim",REFERENCIA.Desonerado,REFERENCIA.NaoDesonerado),2)</f>
        <v>0</v>
      </c>
      <c r="AH247" s="430">
        <f t="shared" ca="1" si="64"/>
        <v>0.31190000000000001</v>
      </c>
      <c r="AJ247" s="432"/>
      <c r="AL247" s="440"/>
      <c r="AM247" s="337">
        <f t="shared" ca="1" si="0"/>
        <v>0</v>
      </c>
      <c r="AN247" s="471">
        <f t="shared" ca="1" si="65"/>
        <v>0</v>
      </c>
    </row>
    <row r="248" spans="1:40" ht="38.25" x14ac:dyDescent="0.2">
      <c r="A248" t="str">
        <f t="shared" si="50"/>
        <v>S</v>
      </c>
      <c r="B248">
        <f t="shared" ca="1" si="51"/>
        <v>2</v>
      </c>
      <c r="C248" t="str">
        <f t="shared" ca="1" si="52"/>
        <v>S</v>
      </c>
      <c r="D248">
        <f t="shared" ca="1" si="53"/>
        <v>0</v>
      </c>
      <c r="E248">
        <f ca="1">IF($C248=1,OFFSET(E248,-1,0)+MAX(1,COUNTIF(QCI!$A$13:$A$24,OFFSET(ORÇAMENTO!E248,-1,0))),OFFSET(E248,-1,0))</f>
        <v>1</v>
      </c>
      <c r="F248">
        <f t="shared" ca="1" si="54"/>
        <v>14</v>
      </c>
      <c r="G248">
        <f t="shared" ca="1" si="55"/>
        <v>0</v>
      </c>
      <c r="H248">
        <f t="shared" ca="1" si="56"/>
        <v>0</v>
      </c>
      <c r="I248">
        <f t="shared" ca="1" si="57"/>
        <v>0</v>
      </c>
      <c r="J248">
        <f t="shared" ca="1" si="58"/>
        <v>0</v>
      </c>
      <c r="K248">
        <f ca="1">IF(OR($C248="S",$C248=0),0,MATCH(OFFSET($D248,0,$C248)+IF($C248&lt;&gt;1,1,COUNTIF(QCI!$A$13:$A$24,ORÇAMENTO!E248)),OFFSET($D248,1,$C248,ROW($C$405)-ROW($C248)),0))</f>
        <v>0</v>
      </c>
      <c r="L248" s="115" t="str">
        <f t="shared" ca="1" si="59"/>
        <v/>
      </c>
      <c r="M248" s="116" t="s">
        <v>706</v>
      </c>
      <c r="N248" s="117" t="str">
        <f t="shared" ca="1" si="60"/>
        <v>Serviço</v>
      </c>
      <c r="O248" s="118" t="str">
        <f t="shared" ca="1" si="61"/>
        <v>-</v>
      </c>
      <c r="P248" s="119" t="s">
        <v>751</v>
      </c>
      <c r="Q248" s="120" t="s">
        <v>1147</v>
      </c>
      <c r="R248" s="121" t="s">
        <v>1291</v>
      </c>
      <c r="S248" s="122" t="s">
        <v>623</v>
      </c>
      <c r="T248" s="123">
        <f ca="1">OFFSET(CÁLCULO!H$15,ROW($T248)-ROW(T$15),0)</f>
        <v>113.98</v>
      </c>
      <c r="U248" s="124"/>
      <c r="V248" s="125" t="s">
        <v>663</v>
      </c>
      <c r="W248" s="123">
        <f ca="1">IF($C248="S",ROUND(IF(TIPOORCAMENTO="Proposto",ORÇAMENTO.CustoUnitario*(1+$AH248),ORÇAMENTO.PrecoUnitarioLicitado),15-13*$AF$10),0)</f>
        <v>0</v>
      </c>
      <c r="X248" s="126" cm="1">
        <f t="array" aca="1" ref="X248" ca="1">IF($C248="S",IF(OR(Import.TipoArredondamento&lt;&gt;"TransfereGOV",ACOMPANHAMENTO="BM"),VTOTAL1,SUM(OFFSET(CÁLCULO!$AA$15,ROW($X248)-ROW($X$15),1):OFFSET(CÁLCULO!$AL$15,ROW($X248)-ROW($X$15),-1))),IF($C248=0,0,ROUND(SomaAgrup,15-13*$AF$11)))</f>
        <v>0</v>
      </c>
      <c r="Y248" s="127" t="s">
        <v>752</v>
      </c>
      <c r="Z248" t="str">
        <f t="shared" ca="1" si="62"/>
        <v/>
      </c>
      <c r="AA248" s="128">
        <f ca="1">IF($C248="S",IF($Z248="CP",$X248,IF($Z248="RA",(($X248)*QCI!$AA$3),0)),SomaAgrup)</f>
        <v>0</v>
      </c>
      <c r="AB248" s="129">
        <f t="shared" ca="1" si="63"/>
        <v>0</v>
      </c>
      <c r="AC248" s="567" t="str">
        <f ca="1">IF($N248=""," ",
IF(AND($C248&lt;&gt;"S",OR($R248="",$R248="(digite a descrição aqui)")),"DESCRIÇÃO",
IF(AND($C248="S",OR($Q248&lt;&gt;0,$T248&gt;0,$U248&gt;0),$P248=0),"FONTE",
IF(AND($C248="S",$P248&lt;&gt;0,OR($T248&gt;0,$U248&gt;0),$Q248=0),"CÓDIGO",
IF(AND($C248="S",$P248&lt;&gt;0,$Q248&lt;&gt;0,$R248="(Código não identificado nas referências)"),"CÓDIGO N/ID",
IF(AND($C248="S",OR($R248="",$R248="(digite a descrição aqui)"),OR($Q248&lt;&gt;0,$T248&gt;0,$U248&gt;0)),"DESCRIÇÃO",
IF(AND($C248="S",$P248&lt;&gt;0,$Q248&lt;&gt;0,$S248=""),"UNIDADE",
IF(AND($C248="S",$P248&lt;&gt;0,$Q248&lt;&gt;0,$U248=0),"SEM CUSTO",
IF(AND(TIPOORCAMENTO="Licitado",$AL248=0,$AN248&gt;0),"SEM PREÇO",
IF(AND($C248="S",$P248&lt;&gt;0,$Q248&lt;&gt;0,$U248&gt;0,$V248=0),"BDI",
IF(OR(AND(TIPOORCAMENTO="Proposto",$AG248&lt;&gt;"",$AG248&gt;0,ORÇAMENTO.CustoUnitario&gt;$AG248),AND(TIPOORCAMENTO="LICITADO",ORÇAMENTO.PrecoUnitarioLicitado&gt;$AN248)),"ACIMA REF.",
IF(AND($C248="S",$P248&lt;&gt;0,$Q248&lt;&gt;0,$T248=0,$U248&gt;0),"QUANT.",
IF(AND(Import.TipoArredondamento="TransfereGOV",$L248="F",$C248="S",LEN($Q248)&gt;13),"Código &gt;13",
IF(AND(Import.TipoArredondamento="TransfereGOV",$L248="F",$C248&lt;&gt;"S",LEN($R248)&gt;100),"Descrição &gt;100",
IF(AND(Import.TipoArredondamento="TransfereGOV",$L248="F",$C248="S",LEN($R248)&gt;500),"Descrição &gt;500",
IF(AND(Import.TipoArredondamento="TransfereGOV",$L248="F",$C248="S",LEFT(TRIM(UPPER($P248)),6)&lt;&gt;"SINAPI",ISNA(VLOOKUP(TRIM(UPPER($S248)),ListaTgov.Unidades,1,FALSE))),"Unid. Não Disp",
" "))))))))))))))))</f>
        <v>SEM CUSTO</v>
      </c>
      <c r="AD248" t="str">
        <f ca="1">IF(C248&lt;=CRONO.NivelExibicao,MAX($AD$15:OFFSET(AD248,-1,0))+IF($C248&lt;&gt;1,1,MAX(1,COUNTIF(QCI!$A$13:$A$24,OFFSET($E248,-1,0)))),"")</f>
        <v/>
      </c>
      <c r="AE248" s="7" t="str">
        <f ca="1">IF(AND($C248="S",ORÇAMENTO.CodBarra&lt;&gt;""),IF(ORÇAMENTO.Fonte="",ORÇAMENTO.CodBarra,CONCATENATE(ORÇAMENTO.Fonte," ",ORÇAMENTO.CodBarra)))</f>
        <v>SINAPI 91338</v>
      </c>
      <c r="AF248" s="12" t="str">
        <f ca="1">IF(ISERROR(INDIRECT(ORÇAMENTO.BancoRef)),"(abra o arquivo 'Referência "&amp;Excel_BuiltIn_Database&amp;".xlsm)",IF(OR($C248&lt;&gt;"S",ORÇAMENTO.CodBarra=""),"(Sem Código)",IF(ISERROR(MATCH($AE248,INDIRECT(ORÇAMENTO.BancoRef),0)),"(Código não identificado nas referências)",MATCH($AE248,INDIRECT(ORÇAMENTO.BancoRef),0))))</f>
        <v>(abra o arquivo 'Referência 12-2024.xlsm)</v>
      </c>
      <c r="AG248" s="429">
        <f ca="1">ROUND(IF(DESONERACAO="sim",REFERENCIA.Desonerado,REFERENCIA.NaoDesonerado),2)</f>
        <v>0</v>
      </c>
      <c r="AH248" s="430">
        <f t="shared" ca="1" si="64"/>
        <v>0.31190000000000001</v>
      </c>
      <c r="AJ248" s="432">
        <v>113.98</v>
      </c>
      <c r="AL248" s="440"/>
      <c r="AM248" s="337">
        <f t="shared" ca="1" si="0"/>
        <v>0</v>
      </c>
      <c r="AN248" s="471">
        <f t="shared" ca="1" si="65"/>
        <v>0</v>
      </c>
    </row>
    <row r="249" spans="1:40" ht="51" x14ac:dyDescent="0.2">
      <c r="A249" t="str">
        <f t="shared" si="50"/>
        <v>S</v>
      </c>
      <c r="B249">
        <f t="shared" ca="1" si="51"/>
        <v>2</v>
      </c>
      <c r="C249" t="str">
        <f t="shared" ca="1" si="52"/>
        <v>S</v>
      </c>
      <c r="D249">
        <f t="shared" ca="1" si="53"/>
        <v>0</v>
      </c>
      <c r="E249">
        <f ca="1">IF($C249=1,OFFSET(E249,-1,0)+MAX(1,COUNTIF(QCI!$A$13:$A$24,OFFSET(ORÇAMENTO!E249,-1,0))),OFFSET(E249,-1,0))</f>
        <v>1</v>
      </c>
      <c r="F249">
        <f t="shared" ca="1" si="54"/>
        <v>14</v>
      </c>
      <c r="G249">
        <f t="shared" ca="1" si="55"/>
        <v>0</v>
      </c>
      <c r="H249">
        <f t="shared" ca="1" si="56"/>
        <v>0</v>
      </c>
      <c r="I249">
        <f t="shared" ca="1" si="57"/>
        <v>0</v>
      </c>
      <c r="J249">
        <f t="shared" ca="1" si="58"/>
        <v>0</v>
      </c>
      <c r="K249">
        <f ca="1">IF(OR($C249="S",$C249=0),0,MATCH(OFFSET($D249,0,$C249)+IF($C249&lt;&gt;1,1,COUNTIF(QCI!$A$13:$A$24,ORÇAMENTO!E249)),OFFSET($D249,1,$C249,ROW($C$405)-ROW($C249)),0))</f>
        <v>0</v>
      </c>
      <c r="L249" s="115" t="str">
        <f t="shared" ca="1" si="59"/>
        <v/>
      </c>
      <c r="M249" s="116" t="s">
        <v>706</v>
      </c>
      <c r="N249" s="117" t="str">
        <f t="shared" ca="1" si="60"/>
        <v>Serviço</v>
      </c>
      <c r="O249" s="118" t="str">
        <f t="shared" ca="1" si="61"/>
        <v>-</v>
      </c>
      <c r="P249" s="119" t="s">
        <v>751</v>
      </c>
      <c r="Q249" s="120" t="s">
        <v>1148</v>
      </c>
      <c r="R249" s="121" t="s">
        <v>1292</v>
      </c>
      <c r="S249" s="122" t="s">
        <v>623</v>
      </c>
      <c r="T249" s="123">
        <f ca="1">OFFSET(CÁLCULO!H$15,ROW($T249)-ROW(T$15),0)</f>
        <v>129.38</v>
      </c>
      <c r="U249" s="124"/>
      <c r="V249" s="125" t="s">
        <v>663</v>
      </c>
      <c r="W249" s="123">
        <f ca="1">IF($C249="S",ROUND(IF(TIPOORCAMENTO="Proposto",ORÇAMENTO.CustoUnitario*(1+$AH249),ORÇAMENTO.PrecoUnitarioLicitado),15-13*$AF$10),0)</f>
        <v>0</v>
      </c>
      <c r="X249" s="126" cm="1">
        <f t="array" aca="1" ref="X249" ca="1">IF($C249="S",IF(OR(Import.TipoArredondamento&lt;&gt;"TransfereGOV",ACOMPANHAMENTO="BM"),VTOTAL1,SUM(OFFSET(CÁLCULO!$AA$15,ROW($X249)-ROW($X$15),1):OFFSET(CÁLCULO!$AL$15,ROW($X249)-ROW($X$15),-1))),IF($C249=0,0,ROUND(SomaAgrup,15-13*$AF$11)))</f>
        <v>0</v>
      </c>
      <c r="Y249" s="127" t="s">
        <v>752</v>
      </c>
      <c r="Z249" t="str">
        <f t="shared" ca="1" si="62"/>
        <v/>
      </c>
      <c r="AA249" s="128">
        <f ca="1">IF($C249="S",IF($Z249="CP",$X249,IF($Z249="RA",(($X249)*QCI!$AA$3),0)),SomaAgrup)</f>
        <v>0</v>
      </c>
      <c r="AB249" s="129">
        <f t="shared" ca="1" si="63"/>
        <v>0</v>
      </c>
      <c r="AC249" s="567" t="str">
        <f ca="1">IF($N249=""," ",
IF(AND($C249&lt;&gt;"S",OR($R249="",$R249="(digite a descrição aqui)")),"DESCRIÇÃO",
IF(AND($C249="S",OR($Q249&lt;&gt;0,$T249&gt;0,$U249&gt;0),$P249=0),"FONTE",
IF(AND($C249="S",$P249&lt;&gt;0,OR($T249&gt;0,$U249&gt;0),$Q249=0),"CÓDIGO",
IF(AND($C249="S",$P249&lt;&gt;0,$Q249&lt;&gt;0,$R249="(Código não identificado nas referências)"),"CÓDIGO N/ID",
IF(AND($C249="S",OR($R249="",$R249="(digite a descrição aqui)"),OR($Q249&lt;&gt;0,$T249&gt;0,$U249&gt;0)),"DESCRIÇÃO",
IF(AND($C249="S",$P249&lt;&gt;0,$Q249&lt;&gt;0,$S249=""),"UNIDADE",
IF(AND($C249="S",$P249&lt;&gt;0,$Q249&lt;&gt;0,$U249=0),"SEM CUSTO",
IF(AND(TIPOORCAMENTO="Licitado",$AL249=0,$AN249&gt;0),"SEM PREÇO",
IF(AND($C249="S",$P249&lt;&gt;0,$Q249&lt;&gt;0,$U249&gt;0,$V249=0),"BDI",
IF(OR(AND(TIPOORCAMENTO="Proposto",$AG249&lt;&gt;"",$AG249&gt;0,ORÇAMENTO.CustoUnitario&gt;$AG249),AND(TIPOORCAMENTO="LICITADO",ORÇAMENTO.PrecoUnitarioLicitado&gt;$AN249)),"ACIMA REF.",
IF(AND($C249="S",$P249&lt;&gt;0,$Q249&lt;&gt;0,$T249=0,$U249&gt;0),"QUANT.",
IF(AND(Import.TipoArredondamento="TransfereGOV",$L249="F",$C249="S",LEN($Q249)&gt;13),"Código &gt;13",
IF(AND(Import.TipoArredondamento="TransfereGOV",$L249="F",$C249&lt;&gt;"S",LEN($R249)&gt;100),"Descrição &gt;100",
IF(AND(Import.TipoArredondamento="TransfereGOV",$L249="F",$C249="S",LEN($R249)&gt;500),"Descrição &gt;500",
IF(AND(Import.TipoArredondamento="TransfereGOV",$L249="F",$C249="S",LEFT(TRIM(UPPER($P249)),6)&lt;&gt;"SINAPI",ISNA(VLOOKUP(TRIM(UPPER($S249)),ListaTgov.Unidades,1,FALSE))),"Unid. Não Disp",
" "))))))))))))))))</f>
        <v>SEM CUSTO</v>
      </c>
      <c r="AD249" t="str">
        <f ca="1">IF(C249&lt;=CRONO.NivelExibicao,MAX($AD$15:OFFSET(AD249,-1,0))+IF($C249&lt;&gt;1,1,MAX(1,COUNTIF(QCI!$A$13:$A$24,OFFSET($E249,-1,0)))),"")</f>
        <v/>
      </c>
      <c r="AE249" s="7" t="str">
        <f ca="1">IF(AND($C249="S",ORÇAMENTO.CodBarra&lt;&gt;""),IF(ORÇAMENTO.Fonte="",ORÇAMENTO.CodBarra,CONCATENATE(ORÇAMENTO.Fonte," ",ORÇAMENTO.CodBarra)))</f>
        <v>SINAPI 94573</v>
      </c>
      <c r="AF249" s="12" t="str">
        <f ca="1">IF(ISERROR(INDIRECT(ORÇAMENTO.BancoRef)),"(abra o arquivo 'Referência "&amp;Excel_BuiltIn_Database&amp;".xlsm)",IF(OR($C249&lt;&gt;"S",ORÇAMENTO.CodBarra=""),"(Sem Código)",IF(ISERROR(MATCH($AE249,INDIRECT(ORÇAMENTO.BancoRef),0)),"(Código não identificado nas referências)",MATCH($AE249,INDIRECT(ORÇAMENTO.BancoRef),0))))</f>
        <v>(abra o arquivo 'Referência 12-2024.xlsm)</v>
      </c>
      <c r="AG249" s="429">
        <f ca="1">ROUND(IF(DESONERACAO="sim",REFERENCIA.Desonerado,REFERENCIA.NaoDesonerado),2)</f>
        <v>0</v>
      </c>
      <c r="AH249" s="430">
        <f t="shared" ca="1" si="64"/>
        <v>0.31190000000000001</v>
      </c>
      <c r="AJ249" s="432">
        <v>129.38</v>
      </c>
      <c r="AL249" s="440"/>
      <c r="AM249" s="337">
        <f t="shared" ca="1" si="0"/>
        <v>0</v>
      </c>
      <c r="AN249" s="471">
        <f t="shared" ca="1" si="65"/>
        <v>0</v>
      </c>
    </row>
    <row r="250" spans="1:40" ht="51" x14ac:dyDescent="0.2">
      <c r="A250" t="str">
        <f t="shared" si="50"/>
        <v>S</v>
      </c>
      <c r="B250">
        <f t="shared" ca="1" si="51"/>
        <v>2</v>
      </c>
      <c r="C250" t="str">
        <f t="shared" ca="1" si="52"/>
        <v>S</v>
      </c>
      <c r="D250">
        <f t="shared" ca="1" si="53"/>
        <v>0</v>
      </c>
      <c r="E250">
        <f ca="1">IF($C250=1,OFFSET(E250,-1,0)+MAX(1,COUNTIF(QCI!$A$13:$A$24,OFFSET(ORÇAMENTO!E250,-1,0))),OFFSET(E250,-1,0))</f>
        <v>1</v>
      </c>
      <c r="F250">
        <f t="shared" ca="1" si="54"/>
        <v>14</v>
      </c>
      <c r="G250">
        <f t="shared" ca="1" si="55"/>
        <v>0</v>
      </c>
      <c r="H250">
        <f t="shared" ca="1" si="56"/>
        <v>0</v>
      </c>
      <c r="I250">
        <f t="shared" ca="1" si="57"/>
        <v>0</v>
      </c>
      <c r="J250">
        <f t="shared" ca="1" si="58"/>
        <v>0</v>
      </c>
      <c r="K250">
        <f ca="1">IF(OR($C250="S",$C250=0),0,MATCH(OFFSET($D250,0,$C250)+IF($C250&lt;&gt;1,1,COUNTIF(QCI!$A$13:$A$24,ORÇAMENTO!E250)),OFFSET($D250,1,$C250,ROW($C$405)-ROW($C250)),0))</f>
        <v>0</v>
      </c>
      <c r="L250" s="115" t="str">
        <f t="shared" ca="1" si="59"/>
        <v/>
      </c>
      <c r="M250" s="116" t="s">
        <v>706</v>
      </c>
      <c r="N250" s="117" t="str">
        <f t="shared" ca="1" si="60"/>
        <v>Serviço</v>
      </c>
      <c r="O250" s="118" t="str">
        <f t="shared" ca="1" si="61"/>
        <v>-</v>
      </c>
      <c r="P250" s="119" t="s">
        <v>751</v>
      </c>
      <c r="Q250" s="120" t="s">
        <v>1149</v>
      </c>
      <c r="R250" s="121" t="s">
        <v>1293</v>
      </c>
      <c r="S250" s="122" t="s">
        <v>623</v>
      </c>
      <c r="T250" s="123">
        <f ca="1">OFFSET(CÁLCULO!H$15,ROW($T250)-ROW(T$15),0)</f>
        <v>28.09</v>
      </c>
      <c r="U250" s="124"/>
      <c r="V250" s="125" t="s">
        <v>663</v>
      </c>
      <c r="W250" s="123">
        <f ca="1">IF($C250="S",ROUND(IF(TIPOORCAMENTO="Proposto",ORÇAMENTO.CustoUnitario*(1+$AH250),ORÇAMENTO.PrecoUnitarioLicitado),15-13*$AF$10),0)</f>
        <v>0</v>
      </c>
      <c r="X250" s="126" cm="1">
        <f t="array" aca="1" ref="X250" ca="1">IF($C250="S",IF(OR(Import.TipoArredondamento&lt;&gt;"TransfereGOV",ACOMPANHAMENTO="BM"),VTOTAL1,SUM(OFFSET(CÁLCULO!$AA$15,ROW($X250)-ROW($X$15),1):OFFSET(CÁLCULO!$AL$15,ROW($X250)-ROW($X$15),-1))),IF($C250=0,0,ROUND(SomaAgrup,15-13*$AF$11)))</f>
        <v>0</v>
      </c>
      <c r="Y250" s="127" t="s">
        <v>752</v>
      </c>
      <c r="Z250" t="str">
        <f t="shared" ca="1" si="62"/>
        <v/>
      </c>
      <c r="AA250" s="128">
        <f ca="1">IF($C250="S",IF($Z250="CP",$X250,IF($Z250="RA",(($X250)*QCI!$AA$3),0)),SomaAgrup)</f>
        <v>0</v>
      </c>
      <c r="AB250" s="129">
        <f t="shared" ca="1" si="63"/>
        <v>0</v>
      </c>
      <c r="AC250" s="567" t="str">
        <f ca="1">IF($N250=""," ",
IF(AND($C250&lt;&gt;"S",OR($R250="",$R250="(digite a descrição aqui)")),"DESCRIÇÃO",
IF(AND($C250="S",OR($Q250&lt;&gt;0,$T250&gt;0,$U250&gt;0),$P250=0),"FONTE",
IF(AND($C250="S",$P250&lt;&gt;0,OR($T250&gt;0,$U250&gt;0),$Q250=0),"CÓDIGO",
IF(AND($C250="S",$P250&lt;&gt;0,$Q250&lt;&gt;0,$R250="(Código não identificado nas referências)"),"CÓDIGO N/ID",
IF(AND($C250="S",OR($R250="",$R250="(digite a descrição aqui)"),OR($Q250&lt;&gt;0,$T250&gt;0,$U250&gt;0)),"DESCRIÇÃO",
IF(AND($C250="S",$P250&lt;&gt;0,$Q250&lt;&gt;0,$S250=""),"UNIDADE",
IF(AND($C250="S",$P250&lt;&gt;0,$Q250&lt;&gt;0,$U250=0),"SEM CUSTO",
IF(AND(TIPOORCAMENTO="Licitado",$AL250=0,$AN250&gt;0),"SEM PREÇO",
IF(AND($C250="S",$P250&lt;&gt;0,$Q250&lt;&gt;0,$U250&gt;0,$V250=0),"BDI",
IF(OR(AND(TIPOORCAMENTO="Proposto",$AG250&lt;&gt;"",$AG250&gt;0,ORÇAMENTO.CustoUnitario&gt;$AG250),AND(TIPOORCAMENTO="LICITADO",ORÇAMENTO.PrecoUnitarioLicitado&gt;$AN250)),"ACIMA REF.",
IF(AND($C250="S",$P250&lt;&gt;0,$Q250&lt;&gt;0,$T250=0,$U250&gt;0),"QUANT.",
IF(AND(Import.TipoArredondamento="TransfereGOV",$L250="F",$C250="S",LEN($Q250)&gt;13),"Código &gt;13",
IF(AND(Import.TipoArredondamento="TransfereGOV",$L250="F",$C250&lt;&gt;"S",LEN($R250)&gt;100),"Descrição &gt;100",
IF(AND(Import.TipoArredondamento="TransfereGOV",$L250="F",$C250="S",LEN($R250)&gt;500),"Descrição &gt;500",
IF(AND(Import.TipoArredondamento="TransfereGOV",$L250="F",$C250="S",LEFT(TRIM(UPPER($P250)),6)&lt;&gt;"SINAPI",ISNA(VLOOKUP(TRIM(UPPER($S250)),ListaTgov.Unidades,1,FALSE))),"Unid. Não Disp",
" "))))))))))))))))</f>
        <v>SEM CUSTO</v>
      </c>
      <c r="AD250" t="str">
        <f ca="1">IF(C250&lt;=CRONO.NivelExibicao,MAX($AD$15:OFFSET(AD250,-1,0))+IF($C250&lt;&gt;1,1,MAX(1,COUNTIF(QCI!$A$13:$A$24,OFFSET($E250,-1,0)))),"")</f>
        <v/>
      </c>
      <c r="AE250" s="7" t="str">
        <f ca="1">IF(AND($C250="S",ORÇAMENTO.CodBarra&lt;&gt;""),IF(ORÇAMENTO.Fonte="",ORÇAMENTO.CodBarra,CONCATENATE(ORÇAMENTO.Fonte," ",ORÇAMENTO.CodBarra)))</f>
        <v>SINAPI 94569</v>
      </c>
      <c r="AF250" s="12" t="str">
        <f ca="1">IF(ISERROR(INDIRECT(ORÇAMENTO.BancoRef)),"(abra o arquivo 'Referência "&amp;Excel_BuiltIn_Database&amp;".xlsm)",IF(OR($C250&lt;&gt;"S",ORÇAMENTO.CodBarra=""),"(Sem Código)",IF(ISERROR(MATCH($AE250,INDIRECT(ORÇAMENTO.BancoRef),0)),"(Código não identificado nas referências)",MATCH($AE250,INDIRECT(ORÇAMENTO.BancoRef),0))))</f>
        <v>(abra o arquivo 'Referência 12-2024.xlsm)</v>
      </c>
      <c r="AG250" s="429">
        <f ca="1">ROUND(IF(DESONERACAO="sim",REFERENCIA.Desonerado,REFERENCIA.NaoDesonerado),2)</f>
        <v>0</v>
      </c>
      <c r="AH250" s="430">
        <f t="shared" ca="1" si="64"/>
        <v>0.31190000000000001</v>
      </c>
      <c r="AJ250" s="432">
        <v>28.09</v>
      </c>
      <c r="AL250" s="440"/>
      <c r="AM250" s="337">
        <f t="shared" ca="1" si="0"/>
        <v>0</v>
      </c>
      <c r="AN250" s="471">
        <f t="shared" ca="1" si="65"/>
        <v>0</v>
      </c>
    </row>
    <row r="251" spans="1:40" ht="38.25" x14ac:dyDescent="0.2">
      <c r="A251" t="str">
        <f t="shared" si="50"/>
        <v>S</v>
      </c>
      <c r="B251">
        <f t="shared" ca="1" si="51"/>
        <v>2</v>
      </c>
      <c r="C251" t="str">
        <f t="shared" ca="1" si="52"/>
        <v>S</v>
      </c>
      <c r="D251">
        <f t="shared" ca="1" si="53"/>
        <v>0</v>
      </c>
      <c r="E251">
        <f ca="1">IF($C251=1,OFFSET(E251,-1,0)+MAX(1,COUNTIF(QCI!$A$13:$A$24,OFFSET(ORÇAMENTO!E251,-1,0))),OFFSET(E251,-1,0))</f>
        <v>1</v>
      </c>
      <c r="F251">
        <f t="shared" ca="1" si="54"/>
        <v>14</v>
      </c>
      <c r="G251">
        <f t="shared" ca="1" si="55"/>
        <v>0</v>
      </c>
      <c r="H251">
        <f t="shared" ca="1" si="56"/>
        <v>0</v>
      </c>
      <c r="I251">
        <f t="shared" ca="1" si="57"/>
        <v>0</v>
      </c>
      <c r="J251">
        <f t="shared" ca="1" si="58"/>
        <v>0</v>
      </c>
      <c r="K251">
        <f ca="1">IF(OR($C251="S",$C251=0),0,MATCH(OFFSET($D251,0,$C251)+IF($C251&lt;&gt;1,1,COUNTIF(QCI!$A$13:$A$24,ORÇAMENTO!E251)),OFFSET($D251,1,$C251,ROW($C$405)-ROW($C251)),0))</f>
        <v>0</v>
      </c>
      <c r="L251" s="115" t="str">
        <f t="shared" ca="1" si="59"/>
        <v/>
      </c>
      <c r="M251" s="116" t="s">
        <v>706</v>
      </c>
      <c r="N251" s="117" t="str">
        <f t="shared" ca="1" si="60"/>
        <v>Serviço</v>
      </c>
      <c r="O251" s="118" t="str">
        <f t="shared" ca="1" si="61"/>
        <v>-</v>
      </c>
      <c r="P251" s="119" t="s">
        <v>751</v>
      </c>
      <c r="Q251" s="120" t="s">
        <v>1150</v>
      </c>
      <c r="R251" s="121" t="s">
        <v>1294</v>
      </c>
      <c r="S251" s="122" t="s">
        <v>623</v>
      </c>
      <c r="T251" s="123">
        <f ca="1">OFFSET(CÁLCULO!H$15,ROW($T251)-ROW(T$15),0)</f>
        <v>17.75</v>
      </c>
      <c r="U251" s="124"/>
      <c r="V251" s="125" t="s">
        <v>663</v>
      </c>
      <c r="W251" s="123">
        <f ca="1">IF($C251="S",ROUND(IF(TIPOORCAMENTO="Proposto",ORÇAMENTO.CustoUnitario*(1+$AH251),ORÇAMENTO.PrecoUnitarioLicitado),15-13*$AF$10),0)</f>
        <v>0</v>
      </c>
      <c r="X251" s="126" cm="1">
        <f t="array" aca="1" ref="X251" ca="1">IF($C251="S",IF(OR(Import.TipoArredondamento&lt;&gt;"TransfereGOV",ACOMPANHAMENTO="BM"),VTOTAL1,SUM(OFFSET(CÁLCULO!$AA$15,ROW($X251)-ROW($X$15),1):OFFSET(CÁLCULO!$AL$15,ROW($X251)-ROW($X$15),-1))),IF($C251=0,0,ROUND(SomaAgrup,15-13*$AF$11)))</f>
        <v>0</v>
      </c>
      <c r="Y251" s="127" t="s">
        <v>752</v>
      </c>
      <c r="Z251" t="str">
        <f t="shared" ca="1" si="62"/>
        <v/>
      </c>
      <c r="AA251" s="128">
        <f ca="1">IF($C251="S",IF($Z251="CP",$X251,IF($Z251="RA",(($X251)*QCI!$AA$3),0)),SomaAgrup)</f>
        <v>0</v>
      </c>
      <c r="AB251" s="129">
        <f t="shared" ca="1" si="63"/>
        <v>0</v>
      </c>
      <c r="AC251" s="567" t="str">
        <f ca="1">IF($N251=""," ",
IF(AND($C251&lt;&gt;"S",OR($R251="",$R251="(digite a descrição aqui)")),"DESCRIÇÃO",
IF(AND($C251="S",OR($Q251&lt;&gt;0,$T251&gt;0,$U251&gt;0),$P251=0),"FONTE",
IF(AND($C251="S",$P251&lt;&gt;0,OR($T251&gt;0,$U251&gt;0),$Q251=0),"CÓDIGO",
IF(AND($C251="S",$P251&lt;&gt;0,$Q251&lt;&gt;0,$R251="(Código não identificado nas referências)"),"CÓDIGO N/ID",
IF(AND($C251="S",OR($R251="",$R251="(digite a descrição aqui)"),OR($Q251&lt;&gt;0,$T251&gt;0,$U251&gt;0)),"DESCRIÇÃO",
IF(AND($C251="S",$P251&lt;&gt;0,$Q251&lt;&gt;0,$S251=""),"UNIDADE",
IF(AND($C251="S",$P251&lt;&gt;0,$Q251&lt;&gt;0,$U251=0),"SEM CUSTO",
IF(AND(TIPOORCAMENTO="Licitado",$AL251=0,$AN251&gt;0),"SEM PREÇO",
IF(AND($C251="S",$P251&lt;&gt;0,$Q251&lt;&gt;0,$U251&gt;0,$V251=0),"BDI",
IF(OR(AND(TIPOORCAMENTO="Proposto",$AG251&lt;&gt;"",$AG251&gt;0,ORÇAMENTO.CustoUnitario&gt;$AG251),AND(TIPOORCAMENTO="LICITADO",ORÇAMENTO.PrecoUnitarioLicitado&gt;$AN251)),"ACIMA REF.",
IF(AND($C251="S",$P251&lt;&gt;0,$Q251&lt;&gt;0,$T251=0,$U251&gt;0),"QUANT.",
IF(AND(Import.TipoArredondamento="TransfereGOV",$L251="F",$C251="S",LEN($Q251)&gt;13),"Código &gt;13",
IF(AND(Import.TipoArredondamento="TransfereGOV",$L251="F",$C251&lt;&gt;"S",LEN($R251)&gt;100),"Descrição &gt;100",
IF(AND(Import.TipoArredondamento="TransfereGOV",$L251="F",$C251="S",LEN($R251)&gt;500),"Descrição &gt;500",
IF(AND(Import.TipoArredondamento="TransfereGOV",$L251="F",$C251="S",LEFT(TRIM(UPPER($P251)),6)&lt;&gt;"SINAPI",ISNA(VLOOKUP(TRIM(UPPER($S251)),ListaTgov.Unidades,1,FALSE))),"Unid. Não Disp",
" "))))))))))))))))</f>
        <v>SEM CUSTO</v>
      </c>
      <c r="AD251" t="str">
        <f ca="1">IF(C251&lt;=CRONO.NivelExibicao,MAX($AD$15:OFFSET(AD251,-1,0))+IF($C251&lt;&gt;1,1,MAX(1,COUNTIF(QCI!$A$13:$A$24,OFFSET($E251,-1,0)))),"")</f>
        <v/>
      </c>
      <c r="AE251" s="7" t="str">
        <f ca="1">IF(AND($C251="S",ORÇAMENTO.CodBarra&lt;&gt;""),IF(ORÇAMENTO.Fonte="",ORÇAMENTO.CodBarra,CONCATENATE(ORÇAMENTO.Fonte," ",ORÇAMENTO.CodBarra)))</f>
        <v>SINAPI 100702</v>
      </c>
      <c r="AF251" s="12" t="str">
        <f ca="1">IF(ISERROR(INDIRECT(ORÇAMENTO.BancoRef)),"(abra o arquivo 'Referência "&amp;Excel_BuiltIn_Database&amp;".xlsm)",IF(OR($C251&lt;&gt;"S",ORÇAMENTO.CodBarra=""),"(Sem Código)",IF(ISERROR(MATCH($AE251,INDIRECT(ORÇAMENTO.BancoRef),0)),"(Código não identificado nas referências)",MATCH($AE251,INDIRECT(ORÇAMENTO.BancoRef),0))))</f>
        <v>(abra o arquivo 'Referência 12-2024.xlsm)</v>
      </c>
      <c r="AG251" s="429">
        <f ca="1">ROUND(IF(DESONERACAO="sim",REFERENCIA.Desonerado,REFERENCIA.NaoDesonerado),2)</f>
        <v>0</v>
      </c>
      <c r="AH251" s="430">
        <f t="shared" ca="1" si="64"/>
        <v>0.31190000000000001</v>
      </c>
      <c r="AJ251" s="432">
        <v>17.75</v>
      </c>
      <c r="AL251" s="440"/>
      <c r="AM251" s="337">
        <f t="shared" ca="1" si="0"/>
        <v>0</v>
      </c>
      <c r="AN251" s="471">
        <f t="shared" ca="1" si="65"/>
        <v>0</v>
      </c>
    </row>
    <row r="252" spans="1:40" x14ac:dyDescent="0.2">
      <c r="A252" t="str">
        <f t="shared" si="50"/>
        <v>S</v>
      </c>
      <c r="B252">
        <f t="shared" ca="1" si="51"/>
        <v>2</v>
      </c>
      <c r="C252" t="str">
        <f t="shared" ca="1" si="52"/>
        <v>S</v>
      </c>
      <c r="D252">
        <f t="shared" ca="1" si="53"/>
        <v>0</v>
      </c>
      <c r="E252">
        <f ca="1">IF($C252=1,OFFSET(E252,-1,0)+MAX(1,COUNTIF(QCI!$A$13:$A$24,OFFSET(ORÇAMENTO!E252,-1,0))),OFFSET(E252,-1,0))</f>
        <v>1</v>
      </c>
      <c r="F252">
        <f t="shared" ca="1" si="54"/>
        <v>14</v>
      </c>
      <c r="G252">
        <f t="shared" ca="1" si="55"/>
        <v>0</v>
      </c>
      <c r="H252">
        <f t="shared" ca="1" si="56"/>
        <v>0</v>
      </c>
      <c r="I252">
        <f t="shared" ca="1" si="57"/>
        <v>0</v>
      </c>
      <c r="J252">
        <f t="shared" ca="1" si="58"/>
        <v>0</v>
      </c>
      <c r="K252">
        <f ca="1">IF(OR($C252="S",$C252=0),0,MATCH(OFFSET($D252,0,$C252)+IF($C252&lt;&gt;1,1,COUNTIF(QCI!$A$13:$A$24,ORÇAMENTO!E252)),OFFSET($D252,1,$C252,ROW($C$405)-ROW($C252)),0))</f>
        <v>0</v>
      </c>
      <c r="L252" s="115" t="str">
        <f t="shared" ca="1" si="59"/>
        <v/>
      </c>
      <c r="M252" s="116" t="s">
        <v>706</v>
      </c>
      <c r="N252" s="117" t="str">
        <f t="shared" ca="1" si="60"/>
        <v>Serviço</v>
      </c>
      <c r="O252" s="118" t="str">
        <f t="shared" ca="1" si="61"/>
        <v>-</v>
      </c>
      <c r="P252" s="119" t="s">
        <v>1313</v>
      </c>
      <c r="Q252" s="120" t="s">
        <v>1151</v>
      </c>
      <c r="R252" s="121" t="s">
        <v>1523</v>
      </c>
      <c r="S252" s="122" t="s">
        <v>623</v>
      </c>
      <c r="T252" s="123">
        <f ca="1">OFFSET(CÁLCULO!H$15,ROW($T252)-ROW(T$15),0)</f>
        <v>157.47</v>
      </c>
      <c r="U252" s="124"/>
      <c r="V252" s="125" t="s">
        <v>663</v>
      </c>
      <c r="W252" s="123">
        <f ca="1">IF($C252="S",ROUND(IF(TIPOORCAMENTO="Proposto",ORÇAMENTO.CustoUnitario*(1+$AH252),ORÇAMENTO.PrecoUnitarioLicitado),15-13*$AF$10),0)</f>
        <v>0</v>
      </c>
      <c r="X252" s="126" cm="1">
        <f t="array" aca="1" ref="X252" ca="1">IF($C252="S",IF(OR(Import.TipoArredondamento&lt;&gt;"TransfereGOV",ACOMPANHAMENTO="BM"),VTOTAL1,SUM(OFFSET(CÁLCULO!$AA$15,ROW($X252)-ROW($X$15),1):OFFSET(CÁLCULO!$AL$15,ROW($X252)-ROW($X$15),-1))),IF($C252=0,0,ROUND(SomaAgrup,15-13*$AF$11)))</f>
        <v>0</v>
      </c>
      <c r="Y252" s="127" t="s">
        <v>752</v>
      </c>
      <c r="Z252" t="str">
        <f t="shared" ca="1" si="62"/>
        <v/>
      </c>
      <c r="AA252" s="128">
        <f ca="1">IF($C252="S",IF($Z252="CP",$X252,IF($Z252="RA",(($X252)*QCI!$AA$3),0)),SomaAgrup)</f>
        <v>0</v>
      </c>
      <c r="AB252" s="129">
        <f t="shared" ca="1" si="63"/>
        <v>0</v>
      </c>
      <c r="AC252" s="567" t="str">
        <f ca="1">IF($N252=""," ",
IF(AND($C252&lt;&gt;"S",OR($R252="",$R252="(digite a descrição aqui)")),"DESCRIÇÃO",
IF(AND($C252="S",OR($Q252&lt;&gt;0,$T252&gt;0,$U252&gt;0),$P252=0),"FONTE",
IF(AND($C252="S",$P252&lt;&gt;0,OR($T252&gt;0,$U252&gt;0),$Q252=0),"CÓDIGO",
IF(AND($C252="S",$P252&lt;&gt;0,$Q252&lt;&gt;0,$R252="(Código não identificado nas referências)"),"CÓDIGO N/ID",
IF(AND($C252="S",OR($R252="",$R252="(digite a descrição aqui)"),OR($Q252&lt;&gt;0,$T252&gt;0,$U252&gt;0)),"DESCRIÇÃO",
IF(AND($C252="S",$P252&lt;&gt;0,$Q252&lt;&gt;0,$S252=""),"UNIDADE",
IF(AND($C252="S",$P252&lt;&gt;0,$Q252&lt;&gt;0,$U252=0),"SEM CUSTO",
IF(AND(TIPOORCAMENTO="Licitado",$AL252=0,$AN252&gt;0),"SEM PREÇO",
IF(AND($C252="S",$P252&lt;&gt;0,$Q252&lt;&gt;0,$U252&gt;0,$V252=0),"BDI",
IF(OR(AND(TIPOORCAMENTO="Proposto",$AG252&lt;&gt;"",$AG252&gt;0,ORÇAMENTO.CustoUnitario&gt;$AG252),AND(TIPOORCAMENTO="LICITADO",ORÇAMENTO.PrecoUnitarioLicitado&gt;$AN252)),"ACIMA REF.",
IF(AND($C252="S",$P252&lt;&gt;0,$Q252&lt;&gt;0,$T252=0,$U252&gt;0),"QUANT.",
IF(AND(Import.TipoArredondamento="TransfereGOV",$L252="F",$C252="S",LEN($Q252)&gt;13),"Código &gt;13",
IF(AND(Import.TipoArredondamento="TransfereGOV",$L252="F",$C252&lt;&gt;"S",LEN($R252)&gt;100),"Descrição &gt;100",
IF(AND(Import.TipoArredondamento="TransfereGOV",$L252="F",$C252="S",LEN($R252)&gt;500),"Descrição &gt;500",
IF(AND(Import.TipoArredondamento="TransfereGOV",$L252="F",$C252="S",LEFT(TRIM(UPPER($P252)),6)&lt;&gt;"SINAPI",ISNA(VLOOKUP(TRIM(UPPER($S252)),ListaTgov.Unidades,1,FALSE))),"Unid. Não Disp",
" "))))))))))))))))</f>
        <v>SEM CUSTO</v>
      </c>
      <c r="AD252" t="str">
        <f ca="1">IF(C252&lt;=CRONO.NivelExibicao,MAX($AD$15:OFFSET(AD252,-1,0))+IF($C252&lt;&gt;1,1,MAX(1,COUNTIF(QCI!$A$13:$A$24,OFFSET($E252,-1,0)))),"")</f>
        <v/>
      </c>
      <c r="AE252" s="7" t="str">
        <f ca="1">IF(AND($C252="S",ORÇAMENTO.CodBarra&lt;&gt;""),IF(ORÇAMENTO.Fonte="",ORÇAMENTO.CodBarra,CONCATENATE(ORÇAMENTO.Fonte," ",ORÇAMENTO.CodBarra)))</f>
        <v>Cotação 112</v>
      </c>
      <c r="AF252" s="12" t="str">
        <f ca="1">IF(ISERROR(INDIRECT(ORÇAMENTO.BancoRef)),"(abra o arquivo 'Referência "&amp;Excel_BuiltIn_Database&amp;".xlsm)",IF(OR($C252&lt;&gt;"S",ORÇAMENTO.CodBarra=""),"(Sem Código)",IF(ISERROR(MATCH($AE252,INDIRECT(ORÇAMENTO.BancoRef),0)),"(Código não identificado nas referências)",MATCH($AE252,INDIRECT(ORÇAMENTO.BancoRef),0))))</f>
        <v>(abra o arquivo 'Referência 12-2024.xlsm)</v>
      </c>
      <c r="AG252" s="429">
        <f ca="1">ROUND(IF(DESONERACAO="sim",REFERENCIA.Desonerado,REFERENCIA.NaoDesonerado),2)</f>
        <v>0</v>
      </c>
      <c r="AH252" s="430">
        <f t="shared" ca="1" si="64"/>
        <v>0.31190000000000001</v>
      </c>
      <c r="AJ252" s="432">
        <v>157.47</v>
      </c>
      <c r="AL252" s="440"/>
      <c r="AM252" s="337">
        <f t="shared" ca="1" si="0"/>
        <v>0</v>
      </c>
      <c r="AN252" s="471">
        <f t="shared" ca="1" si="65"/>
        <v>0</v>
      </c>
    </row>
    <row r="253" spans="1:40" x14ac:dyDescent="0.2">
      <c r="A253" t="str">
        <f>CHOOSE(1+LOG(1+2*(ORÇAMENTO.Nivel="Meta")+4*(ORÇAMENTO.Nivel="Nível 2")+8*(ORÇAMENTO.Nivel="Nível 3")+16*(ORÇAMENTO.Nivel="Nível 4")+32*(ORÇAMENTO.Nivel="Serviço"),2),0,1,2,3,4,"S")</f>
        <v>S</v>
      </c>
      <c r="B253">
        <f ca="1">IF(OR(C253="s",C253=0),OFFSET(B253,-1,0),C253)</f>
        <v>2</v>
      </c>
      <c r="C253" t="str">
        <f ca="1">IF(OFFSET(C253,-1,0)="L",1,IF(OFFSET(C253,-1,0)=1,2,IF(OR(A253="s",A253=0),"S",IF(AND(OFFSET(C253,-1,0)=2,A253=4),3,IF(AND(OR(OFFSET(C253,-1,0)="s",OFFSET(C253,-1,0)=0),A253&lt;&gt;"s",A253&gt;OFFSET(B253,-1,0)),OFFSET(B253,-1,0),A253)))))</f>
        <v>S</v>
      </c>
      <c r="D253">
        <f ca="1">IF(OR(C253="S",C253=0),0,IF(ISERROR(K253),J253,SMALL(J253:K253,1)))</f>
        <v>0</v>
      </c>
      <c r="E253">
        <f ca="1">IF($C253=1,OFFSET(E253,-1,0)+MAX(1,COUNTIF(QCI!$A$13:$A$24,OFFSET(ORÇAMENTO!E253,-1,0))),OFFSET(E253,-1,0))</f>
        <v>1</v>
      </c>
      <c r="F253">
        <f ca="1">IF($C253=1,0,IF($C253=2,OFFSET(F253,-1,0)+1,OFFSET(F253,-1,0)))</f>
        <v>14</v>
      </c>
      <c r="G253">
        <f ca="1">IF(AND($C253&lt;=2,$C253&lt;&gt;0),0,IF($C253=3,OFFSET(G253,-1,0)+1,OFFSET(G253,-1,0)))</f>
        <v>0</v>
      </c>
      <c r="H253">
        <f ca="1">IF(AND($C253&lt;=3,$C253&lt;&gt;0),0,IF($C253=4,OFFSET(H253,-1,0)+1,OFFSET(H253,-1,0)))</f>
        <v>0</v>
      </c>
      <c r="I253">
        <f ca="1">IF(AND($C253&lt;=4,$C253&lt;&gt;0),0,IF(AND($C253="S",$X253&gt;0),OFFSET(I253,-1,0)+1,OFFSET(I253,-1,0)))</f>
        <v>0</v>
      </c>
      <c r="J253">
        <f ca="1">IF(OR($C253="S",$C253=0),0,MATCH(0,OFFSET($D253,1,$C253,ROW($C$405)-ROW($C253)),0))</f>
        <v>0</v>
      </c>
      <c r="K253">
        <f ca="1">IF(OR($C253="S",$C253=0),0,MATCH(OFFSET($D253,0,$C253)+IF($C253&lt;&gt;1,1,COUNTIF(QCI!$A$13:$A$24,ORÇAMENTO!E253)),OFFSET($D253,1,$C253,ROW($C$405)-ROW($C253)),0))</f>
        <v>0</v>
      </c>
      <c r="L253" s="115" t="str">
        <f ca="1">IF(OR($X253&gt;0,$C253=1,$C253=2,$C253=3,$C253=4),"F","")</f>
        <v/>
      </c>
      <c r="M253" s="116" t="s">
        <v>706</v>
      </c>
      <c r="N253" s="117" t="str">
        <f ca="1">CHOOSE(1+LOG(1+2*(C253=1)+4*(C253=2)+8*(C253=3)+16*(C253=4)+32*(C253="S"),2),"","Meta","Nível 2","Nível 3","Nível 4","Serviço")</f>
        <v>Serviço</v>
      </c>
      <c r="O253" s="118" t="str">
        <f ca="1">IF(OR($C253=0,$L253=""),"-",CONCATENATE(E253&amp;".",IF(AND($A$5&gt;=2,$C253&gt;=2),F253&amp;".",""),IF(AND($A$5&gt;=3,$C253&gt;=3),G253&amp;".",""),IF(AND($A$5&gt;=4,$C253&gt;=4),H253&amp;".",""),IF($C253="S",I253&amp;".","")))</f>
        <v>-</v>
      </c>
      <c r="P253" s="119" t="s">
        <v>751</v>
      </c>
      <c r="Q253" s="120" t="s">
        <v>971</v>
      </c>
      <c r="R253" s="121" t="str">
        <f ca="1">IF($C253="S",REFERENCIA.Descricao,"(digite a descrição aqui)")</f>
        <v>(abra o arquivo 'Referência 12-2024.xlsm)</v>
      </c>
      <c r="S253" s="122" t="str">
        <f ca="1">REFERENCIA.Unidade</f>
        <v>-</v>
      </c>
      <c r="T253" s="123">
        <f ca="1">OFFSET(CÁLCULO!H$15,ROW($T253)-ROW(T$15),0)</f>
        <v>468.4</v>
      </c>
      <c r="U253" s="124"/>
      <c r="V253" s="125" t="s">
        <v>663</v>
      </c>
      <c r="W253" s="123">
        <f ca="1">IF($C253="S",ROUND(IF(TIPOORCAMENTO="Proposto",ORÇAMENTO.CustoUnitario*(1+$AH253),ORÇAMENTO.PrecoUnitarioLicitado),15-13*$AF$10),0)</f>
        <v>0</v>
      </c>
      <c r="X253" s="126" cm="1">
        <f t="array" aca="1" ref="X253" ca="1">IF($C253="S",IF(OR(Import.TipoArredondamento&lt;&gt;"TransfereGOV",ACOMPANHAMENTO="BM"),VTOTAL1,SUM(OFFSET(CÁLCULO!$AA$15,ROW($X253)-ROW($X$15),1):OFFSET(CÁLCULO!$AL$15,ROW($X253)-ROW($X$15),-1))),IF($C253=0,0,ROUND(SomaAgrup,15-13*$AF$11)))</f>
        <v>0</v>
      </c>
      <c r="Y253" s="127" t="s">
        <v>752</v>
      </c>
      <c r="Z253" t="str">
        <f ca="1">IF(AND($C253="S",$X253&gt;0),IF(ISBLANK($Y253),"RA",LEFT($Y253,2)),"")</f>
        <v/>
      </c>
      <c r="AA253" s="128">
        <f ca="1">IF($C253="S",IF($Z253="CP",$X253,IF($Z253="RA",(($X253)*QCI!$AA$3),0)),SomaAgrup)</f>
        <v>0</v>
      </c>
      <c r="AB253" s="129">
        <f ca="1">IF($C253="S",IF($Z253="OU",ROUND($X253,2),0),SomaAgrup)</f>
        <v>0</v>
      </c>
      <c r="AC253" s="567" t="str">
        <f ca="1">IF($N253=""," ",
IF(AND($C253&lt;&gt;"S",OR($R253="",$R253="(digite a descrição aqui)")),"DESCRIÇÃO",
IF(AND($C253="S",OR($Q253&lt;&gt;0,$T253&gt;0,$U253&gt;0),$P253=0),"FONTE",
IF(AND($C253="S",$P253&lt;&gt;0,OR($T253&gt;0,$U253&gt;0),$Q253=0),"CÓDIGO",
IF(AND($C253="S",$P253&lt;&gt;0,$Q253&lt;&gt;0,$R253="(Código não identificado nas referências)"),"CÓDIGO N/ID",
IF(AND($C253="S",OR($R253="",$R253="(digite a descrição aqui)"),OR($Q253&lt;&gt;0,$T253&gt;0,$U253&gt;0)),"DESCRIÇÃO",
IF(AND($C253="S",$P253&lt;&gt;0,$Q253&lt;&gt;0,$S253=""),"UNIDADE",
IF(AND($C253="S",$P253&lt;&gt;0,$Q253&lt;&gt;0,$U253=0),"SEM CUSTO",
IF(AND(TIPOORCAMENTO="Licitado",$AL253=0,$AN253&gt;0),"SEM PREÇO",
IF(AND($C253="S",$P253&lt;&gt;0,$Q253&lt;&gt;0,$U253&gt;0,$V253=0),"BDI",
IF(OR(AND(TIPOORCAMENTO="Proposto",$AG253&lt;&gt;"",$AG253&gt;0,ORÇAMENTO.CustoUnitario&gt;$AG253),AND(TIPOORCAMENTO="LICITADO",ORÇAMENTO.PrecoUnitarioLicitado&gt;$AN253)),"ACIMA REF.",
IF(AND($C253="S",$P253&lt;&gt;0,$Q253&lt;&gt;0,$T253=0,$U253&gt;0),"QUANT.",
IF(AND(Import.TipoArredondamento="TransfereGOV",$L253="F",$C253="S",LEN($Q253)&gt;13),"Código &gt;13",
IF(AND(Import.TipoArredondamento="TransfereGOV",$L253="F",$C253&lt;&gt;"S",LEN($R253)&gt;100),"Descrição &gt;100",
IF(AND(Import.TipoArredondamento="TransfereGOV",$L253="F",$C253="S",LEN($R253)&gt;500),"Descrição &gt;500",
IF(AND(Import.TipoArredondamento="TransfereGOV",$L253="F",$C253="S",LEFT(TRIM(UPPER($P253)),6)&lt;&gt;"SINAPI",ISNA(VLOOKUP(TRIM(UPPER($S253)),ListaTgov.Unidades,1,FALSE))),"Unid. Não Disp",
" "))))))))))))))))</f>
        <v>SEM CUSTO</v>
      </c>
      <c r="AD253" t="str">
        <f ca="1">IF(C253&lt;=CRONO.NivelExibicao,MAX($AD$15:OFFSET(AD253,-1,0))+IF($C253&lt;&gt;1,1,MAX(1,COUNTIF(QCI!$A$13:$A$24,OFFSET($E253,-1,0)))),"")</f>
        <v/>
      </c>
      <c r="AE253" s="7" t="str">
        <f ca="1">IF(AND($C253="S",ORÇAMENTO.CodBarra&lt;&gt;""),IF(ORÇAMENTO.Fonte="",ORÇAMENTO.CodBarra,CONCATENATE(ORÇAMENTO.Fonte," ",ORÇAMENTO.CodBarra)))</f>
        <v>SINAPI 94590</v>
      </c>
      <c r="AF253" s="12" t="str">
        <f ca="1">IF(ISERROR(INDIRECT(ORÇAMENTO.BancoRef)),"(abra o arquivo 'Referência "&amp;Excel_BuiltIn_Database&amp;".xlsm)",IF(OR($C253&lt;&gt;"S",ORÇAMENTO.CodBarra=""),"(Sem Código)",IF(ISERROR(MATCH($AE253,INDIRECT(ORÇAMENTO.BancoRef),0)),"(Código não identificado nas referências)",MATCH($AE253,INDIRECT(ORÇAMENTO.BancoRef),0))))</f>
        <v>(abra o arquivo 'Referência 12-2024.xlsm)</v>
      </c>
      <c r="AG253" s="429">
        <f ca="1">ROUND(IF(DESONERACAO="sim",REFERENCIA.Desonerado,REFERENCIA.NaoDesonerado),2)</f>
        <v>0</v>
      </c>
      <c r="AH253" s="430">
        <f ca="1">ROUND(IF(ISNUMBER(ORÇAMENTO.OpcaoBDI),ORÇAMENTO.OpcaoBDI,IF(LEFT(ORÇAMENTO.OpcaoBDI,3)="BDI",HLOOKUP(ORÇAMENTO.OpcaoBDI,$F$4:$H$5,2,FALSE),0)),15-11*$AF$9)</f>
        <v>0.31190000000000001</v>
      </c>
      <c r="AJ253" s="432">
        <v>468.4</v>
      </c>
      <c r="AL253" s="440"/>
      <c r="AM253" s="337">
        <f t="shared" ca="1" si="0"/>
        <v>0</v>
      </c>
      <c r="AN253" s="471">
        <f ca="1">ROUND(ORÇAMENTO.CustoUnitario*(1+$AH253),2)</f>
        <v>0</v>
      </c>
    </row>
    <row r="254" spans="1:40" x14ac:dyDescent="0.2">
      <c r="A254">
        <f t="shared" si="50"/>
        <v>2</v>
      </c>
      <c r="B254">
        <f t="shared" ca="1" si="51"/>
        <v>2</v>
      </c>
      <c r="C254">
        <f t="shared" ca="1" si="52"/>
        <v>2</v>
      </c>
      <c r="D254">
        <f t="shared" ca="1" si="53"/>
        <v>14</v>
      </c>
      <c r="E254">
        <f ca="1">IF($C254=1,OFFSET(E254,-1,0)+MAX(1,COUNTIF(QCI!$A$13:$A$24,OFFSET(ORÇAMENTO!E254,-1,0))),OFFSET(E254,-1,0))</f>
        <v>1</v>
      </c>
      <c r="F254">
        <f t="shared" ca="1" si="54"/>
        <v>15</v>
      </c>
      <c r="G254">
        <f t="shared" ca="1" si="55"/>
        <v>0</v>
      </c>
      <c r="H254">
        <f t="shared" ca="1" si="56"/>
        <v>0</v>
      </c>
      <c r="I254">
        <f t="shared" ca="1" si="57"/>
        <v>0</v>
      </c>
      <c r="J254">
        <f t="shared" ca="1" si="58"/>
        <v>151</v>
      </c>
      <c r="K254">
        <f ca="1">IF(OR($C254="S",$C254=0),0,MATCH(OFFSET($D254,0,$C254)+IF($C254&lt;&gt;1,1,COUNTIF(QCI!$A$13:$A$24,ORÇAMENTO!E254)),OFFSET($D254,1,$C254,ROW($C$405)-ROW($C254)),0))</f>
        <v>14</v>
      </c>
      <c r="L254" s="115" t="str">
        <f t="shared" ca="1" si="59"/>
        <v>F</v>
      </c>
      <c r="M254" s="116" t="s">
        <v>703</v>
      </c>
      <c r="N254" s="117" t="str">
        <f t="shared" ca="1" si="60"/>
        <v>Nível 2</v>
      </c>
      <c r="O254" s="118" t="str">
        <f t="shared" ca="1" si="61"/>
        <v>1.15.</v>
      </c>
      <c r="P254" s="119" t="s">
        <v>751</v>
      </c>
      <c r="Q254" s="120"/>
      <c r="R254" s="121" t="s">
        <v>1295</v>
      </c>
      <c r="S254" s="122" t="s">
        <v>689</v>
      </c>
      <c r="T254" s="123">
        <f ca="1">OFFSET(CÁLCULO!H$15,ROW($T254)-ROW(T$15),0)</f>
        <v>0</v>
      </c>
      <c r="U254" s="124"/>
      <c r="V254" s="125" t="s">
        <v>663</v>
      </c>
      <c r="W254" s="123">
        <f ca="1">IF($C254="S",ROUND(IF(TIPOORCAMENTO="Proposto",ORÇAMENTO.CustoUnitario*(1+$AH254),ORÇAMENTO.PrecoUnitarioLicitado),15-13*$AF$10),0)</f>
        <v>0</v>
      </c>
      <c r="X254" s="126" cm="1">
        <f t="array" aca="1" ref="X254" ca="1">IF($C254="S",IF(OR(Import.TipoArredondamento&lt;&gt;"TransfereGOV",ACOMPANHAMENTO="BM"),VTOTAL1,SUM(OFFSET(CÁLCULO!$AA$15,ROW($X254)-ROW($X$15),1):OFFSET(CÁLCULO!$AL$15,ROW($X254)-ROW($X$15),-1))),IF($C254=0,0,ROUND(SomaAgrup,15-13*$AF$11)))</f>
        <v>0</v>
      </c>
      <c r="Y254" s="127" t="s">
        <v>752</v>
      </c>
      <c r="Z254" t="str">
        <f t="shared" ca="1" si="62"/>
        <v/>
      </c>
      <c r="AA254" s="128">
        <f ca="1">IF($C254="S",IF($Z254="CP",$X254,IF($Z254="RA",(($X254)*QCI!$AA$3),0)),SomaAgrup)</f>
        <v>0</v>
      </c>
      <c r="AB254" s="129">
        <f t="shared" ca="1" si="63"/>
        <v>0</v>
      </c>
      <c r="AC254" s="567" t="str">
        <f ca="1">IF($N254=""," ",
IF(AND($C254&lt;&gt;"S",OR($R254="",$R254="(digite a descrição aqui)")),"DESCRIÇÃO",
IF(AND($C254="S",OR($Q254&lt;&gt;0,$T254&gt;0,$U254&gt;0),$P254=0),"FONTE",
IF(AND($C254="S",$P254&lt;&gt;0,OR($T254&gt;0,$U254&gt;0),$Q254=0),"CÓDIGO",
IF(AND($C254="S",$P254&lt;&gt;0,$Q254&lt;&gt;0,$R254="(Código não identificado nas referências)"),"CÓDIGO N/ID",
IF(AND($C254="S",OR($R254="",$R254="(digite a descrição aqui)"),OR($Q254&lt;&gt;0,$T254&gt;0,$U254&gt;0)),"DESCRIÇÃO",
IF(AND($C254="S",$P254&lt;&gt;0,$Q254&lt;&gt;0,$S254=""),"UNIDADE",
IF(AND($C254="S",$P254&lt;&gt;0,$Q254&lt;&gt;0,$U254=0),"SEM CUSTO",
IF(AND(TIPOORCAMENTO="Licitado",$AL254=0,$AN254&gt;0),"SEM PREÇO",
IF(AND($C254="S",$P254&lt;&gt;0,$Q254&lt;&gt;0,$U254&gt;0,$V254=0),"BDI",
IF(OR(AND(TIPOORCAMENTO="Proposto",$AG254&lt;&gt;"",$AG254&gt;0,ORÇAMENTO.CustoUnitario&gt;$AG254),AND(TIPOORCAMENTO="LICITADO",ORÇAMENTO.PrecoUnitarioLicitado&gt;$AN254)),"ACIMA REF.",
IF(AND($C254="S",$P254&lt;&gt;0,$Q254&lt;&gt;0,$T254=0,$U254&gt;0),"QUANT.",
IF(AND(Import.TipoArredondamento="TransfereGOV",$L254="F",$C254="S",LEN($Q254)&gt;13),"Código &gt;13",
IF(AND(Import.TipoArredondamento="TransfereGOV",$L254="F",$C254&lt;&gt;"S",LEN($R254)&gt;100),"Descrição &gt;100",
IF(AND(Import.TipoArredondamento="TransfereGOV",$L254="F",$C254="S",LEN($R254)&gt;500),"Descrição &gt;500",
IF(AND(Import.TipoArredondamento="TransfereGOV",$L254="F",$C254="S",LEFT(TRIM(UPPER($P254)),6)&lt;&gt;"SINAPI",ISNA(VLOOKUP(TRIM(UPPER($S254)),ListaTgov.Unidades,1,FALSE))),"Unid. Não Disp",
" "))))))))))))))))</f>
        <v xml:space="preserve"> </v>
      </c>
      <c r="AD254">
        <f ca="1">IF(C254&lt;=CRONO.NivelExibicao,MAX($AD$15:OFFSET(AD254,-1,0))+IF($C254&lt;&gt;1,1,MAX(1,COUNTIF(QCI!$A$13:$A$24,OFFSET($E254,-1,0)))),"")</f>
        <v>16</v>
      </c>
      <c r="AE254" s="7" t="b">
        <f ca="1">IF(AND($C254="S",ORÇAMENTO.CodBarra&lt;&gt;""),IF(ORÇAMENTO.Fonte="",ORÇAMENTO.CodBarra,CONCATENATE(ORÇAMENTO.Fonte," ",ORÇAMENTO.CodBarra)))</f>
        <v>0</v>
      </c>
      <c r="AF254" s="12" t="str">
        <f ca="1">IF(ISERROR(INDIRECT(ORÇAMENTO.BancoRef)),"(abra o arquivo 'Referência "&amp;Excel_BuiltIn_Database&amp;".xlsm)",IF(OR($C254&lt;&gt;"S",ORÇAMENTO.CodBarra=""),"(Sem Código)",IF(ISERROR(MATCH($AE254,INDIRECT(ORÇAMENTO.BancoRef),0)),"(Código não identificado nas referências)",MATCH($AE254,INDIRECT(ORÇAMENTO.BancoRef),0))))</f>
        <v>(abra o arquivo 'Referência 12-2024.xlsm)</v>
      </c>
      <c r="AG254" s="429">
        <f ca="1">ROUND(IF(DESONERACAO="sim",REFERENCIA.Desonerado,REFERENCIA.NaoDesonerado),2)</f>
        <v>0</v>
      </c>
      <c r="AH254" s="430">
        <f t="shared" ca="1" si="64"/>
        <v>0.31190000000000001</v>
      </c>
      <c r="AJ254" s="432"/>
      <c r="AL254" s="440"/>
      <c r="AM254" s="337">
        <f t="shared" ca="1" si="0"/>
        <v>0</v>
      </c>
      <c r="AN254" s="471">
        <f t="shared" ca="1" si="65"/>
        <v>0</v>
      </c>
    </row>
    <row r="255" spans="1:40" ht="25.5" x14ac:dyDescent="0.2">
      <c r="A255" t="str">
        <f t="shared" si="50"/>
        <v>S</v>
      </c>
      <c r="B255">
        <f t="shared" ca="1" si="51"/>
        <v>2</v>
      </c>
      <c r="C255" t="str">
        <f t="shared" ca="1" si="52"/>
        <v>S</v>
      </c>
      <c r="D255">
        <f t="shared" ca="1" si="53"/>
        <v>0</v>
      </c>
      <c r="E255">
        <f ca="1">IF($C255=1,OFFSET(E255,-1,0)+MAX(1,COUNTIF(QCI!$A$13:$A$24,OFFSET(ORÇAMENTO!E255,-1,0))),OFFSET(E255,-1,0))</f>
        <v>1</v>
      </c>
      <c r="F255">
        <f t="shared" ca="1" si="54"/>
        <v>15</v>
      </c>
      <c r="G255">
        <f t="shared" ca="1" si="55"/>
        <v>0</v>
      </c>
      <c r="H255">
        <f t="shared" ca="1" si="56"/>
        <v>0</v>
      </c>
      <c r="I255">
        <f t="shared" ca="1" si="57"/>
        <v>0</v>
      </c>
      <c r="J255">
        <f t="shared" ca="1" si="58"/>
        <v>0</v>
      </c>
      <c r="K255">
        <f ca="1">IF(OR($C255="S",$C255=0),0,MATCH(OFFSET($D255,0,$C255)+IF($C255&lt;&gt;1,1,COUNTIF(QCI!$A$13:$A$24,ORÇAMENTO!E255)),OFFSET($D255,1,$C255,ROW($C$405)-ROW($C255)),0))</f>
        <v>0</v>
      </c>
      <c r="L255" s="115" t="str">
        <f t="shared" ca="1" si="59"/>
        <v/>
      </c>
      <c r="M255" s="116" t="s">
        <v>706</v>
      </c>
      <c r="N255" s="117" t="str">
        <f t="shared" ca="1" si="60"/>
        <v>Serviço</v>
      </c>
      <c r="O255" s="118" t="str">
        <f t="shared" ca="1" si="61"/>
        <v>-</v>
      </c>
      <c r="P255" s="119" t="s">
        <v>1318</v>
      </c>
      <c r="Q255" s="120" t="s">
        <v>1152</v>
      </c>
      <c r="R255" s="121" t="s">
        <v>1524</v>
      </c>
      <c r="S255" s="122" t="s">
        <v>639</v>
      </c>
      <c r="T255" s="123">
        <f ca="1">OFFSET(CÁLCULO!H$15,ROW($T255)-ROW(T$15),0)</f>
        <v>19</v>
      </c>
      <c r="U255" s="124"/>
      <c r="V255" s="125" t="s">
        <v>663</v>
      </c>
      <c r="W255" s="123">
        <f ca="1">IF($C255="S",ROUND(IF(TIPOORCAMENTO="Proposto",ORÇAMENTO.CustoUnitario*(1+$AH255),ORÇAMENTO.PrecoUnitarioLicitado),15-13*$AF$10),0)</f>
        <v>0</v>
      </c>
      <c r="X255" s="126" cm="1">
        <f t="array" aca="1" ref="X255" ca="1">IF($C255="S",IF(OR(Import.TipoArredondamento&lt;&gt;"TransfereGOV",ACOMPANHAMENTO="BM"),VTOTAL1,SUM(OFFSET(CÁLCULO!$AA$15,ROW($X255)-ROW($X$15),1):OFFSET(CÁLCULO!$AL$15,ROW($X255)-ROW($X$15),-1))),IF($C255=0,0,ROUND(SomaAgrup,15-13*$AF$11)))</f>
        <v>0</v>
      </c>
      <c r="Y255" s="127" t="s">
        <v>752</v>
      </c>
      <c r="Z255" t="str">
        <f t="shared" ca="1" si="62"/>
        <v/>
      </c>
      <c r="AA255" s="128">
        <f ca="1">IF($C255="S",IF($Z255="CP",$X255,IF($Z255="RA",(($X255)*QCI!$AA$3),0)),SomaAgrup)</f>
        <v>0</v>
      </c>
      <c r="AB255" s="129">
        <f t="shared" ca="1" si="63"/>
        <v>0</v>
      </c>
      <c r="AC255" s="567" t="str">
        <f ca="1">IF($N255=""," ",
IF(AND($C255&lt;&gt;"S",OR($R255="",$R255="(digite a descrição aqui)")),"DESCRIÇÃO",
IF(AND($C255="S",OR($Q255&lt;&gt;0,$T255&gt;0,$U255&gt;0),$P255=0),"FONTE",
IF(AND($C255="S",$P255&lt;&gt;0,OR($T255&gt;0,$U255&gt;0),$Q255=0),"CÓDIGO",
IF(AND($C255="S",$P255&lt;&gt;0,$Q255&lt;&gt;0,$R255="(Código não identificado nas referências)"),"CÓDIGO N/ID",
IF(AND($C255="S",OR($R255="",$R255="(digite a descrição aqui)"),OR($Q255&lt;&gt;0,$T255&gt;0,$U255&gt;0)),"DESCRIÇÃO",
IF(AND($C255="S",$P255&lt;&gt;0,$Q255&lt;&gt;0,$S255=""),"UNIDADE",
IF(AND($C255="S",$P255&lt;&gt;0,$Q255&lt;&gt;0,$U255=0),"SEM CUSTO",
IF(AND(TIPOORCAMENTO="Licitado",$AL255=0,$AN255&gt;0),"SEM PREÇO",
IF(AND($C255="S",$P255&lt;&gt;0,$Q255&lt;&gt;0,$U255&gt;0,$V255=0),"BDI",
IF(OR(AND(TIPOORCAMENTO="Proposto",$AG255&lt;&gt;"",$AG255&gt;0,ORÇAMENTO.CustoUnitario&gt;$AG255),AND(TIPOORCAMENTO="LICITADO",ORÇAMENTO.PrecoUnitarioLicitado&gt;$AN255)),"ACIMA REF.",
IF(AND($C255="S",$P255&lt;&gt;0,$Q255&lt;&gt;0,$T255=0,$U255&gt;0),"QUANT.",
IF(AND(Import.TipoArredondamento="TransfereGOV",$L255="F",$C255="S",LEN($Q255)&gt;13),"Código &gt;13",
IF(AND(Import.TipoArredondamento="TransfereGOV",$L255="F",$C255&lt;&gt;"S",LEN($R255)&gt;100),"Descrição &gt;100",
IF(AND(Import.TipoArredondamento="TransfereGOV",$L255="F",$C255="S",LEN($R255)&gt;500),"Descrição &gt;500",
IF(AND(Import.TipoArredondamento="TransfereGOV",$L255="F",$C255="S",LEFT(TRIM(UPPER($P255)),6)&lt;&gt;"SINAPI",ISNA(VLOOKUP(TRIM(UPPER($S255)),ListaTgov.Unidades,1,FALSE))),"Unid. Não Disp",
" "))))))))))))))))</f>
        <v>SEM CUSTO</v>
      </c>
      <c r="AD255" t="str">
        <f ca="1">IF(C255&lt;=CRONO.NivelExibicao,MAX($AD$15:OFFSET(AD255,-1,0))+IF($C255&lt;&gt;1,1,MAX(1,COUNTIF(QCI!$A$13:$A$24,OFFSET($E255,-1,0)))),"")</f>
        <v/>
      </c>
      <c r="AE255" s="7" t="str">
        <f ca="1">IF(AND($C255="S",ORÇAMENTO.CodBarra&lt;&gt;""),IF(ORÇAMENTO.Fonte="",ORÇAMENTO.CodBarra,CONCATENATE(ORÇAMENTO.Fonte," ",ORÇAMENTO.CodBarra)))</f>
        <v>Composição  034</v>
      </c>
      <c r="AF255" s="12" t="str">
        <f ca="1">IF(ISERROR(INDIRECT(ORÇAMENTO.BancoRef)),"(abra o arquivo 'Referência "&amp;Excel_BuiltIn_Database&amp;".xlsm)",IF(OR($C255&lt;&gt;"S",ORÇAMENTO.CodBarra=""),"(Sem Código)",IF(ISERROR(MATCH($AE255,INDIRECT(ORÇAMENTO.BancoRef),0)),"(Código não identificado nas referências)",MATCH($AE255,INDIRECT(ORÇAMENTO.BancoRef),0))))</f>
        <v>(abra o arquivo 'Referência 12-2024.xlsm)</v>
      </c>
      <c r="AG255" s="429">
        <f ca="1">ROUND(IF(DESONERACAO="sim",REFERENCIA.Desonerado,REFERENCIA.NaoDesonerado),2)</f>
        <v>0</v>
      </c>
      <c r="AH255" s="430">
        <f t="shared" ca="1" si="64"/>
        <v>0.31190000000000001</v>
      </c>
      <c r="AJ255" s="432">
        <v>19</v>
      </c>
      <c r="AL255" s="440"/>
      <c r="AM255" s="337">
        <f t="shared" ca="1" si="0"/>
        <v>0</v>
      </c>
      <c r="AN255" s="471">
        <f t="shared" ca="1" si="65"/>
        <v>0</v>
      </c>
    </row>
    <row r="256" spans="1:40" ht="38.25" x14ac:dyDescent="0.2">
      <c r="A256" t="str">
        <f t="shared" si="50"/>
        <v>S</v>
      </c>
      <c r="B256">
        <f t="shared" ca="1" si="51"/>
        <v>2</v>
      </c>
      <c r="C256" t="str">
        <f t="shared" ca="1" si="52"/>
        <v>S</v>
      </c>
      <c r="D256">
        <f t="shared" ca="1" si="53"/>
        <v>0</v>
      </c>
      <c r="E256">
        <f ca="1">IF($C256=1,OFFSET(E256,-1,0)+MAX(1,COUNTIF(QCI!$A$13:$A$24,OFFSET(ORÇAMENTO!E256,-1,0))),OFFSET(E256,-1,0))</f>
        <v>1</v>
      </c>
      <c r="F256">
        <f t="shared" ca="1" si="54"/>
        <v>15</v>
      </c>
      <c r="G256">
        <f t="shared" ca="1" si="55"/>
        <v>0</v>
      </c>
      <c r="H256">
        <f t="shared" ca="1" si="56"/>
        <v>0</v>
      </c>
      <c r="I256">
        <f t="shared" ca="1" si="57"/>
        <v>0</v>
      </c>
      <c r="J256">
        <f t="shared" ca="1" si="58"/>
        <v>0</v>
      </c>
      <c r="K256">
        <f ca="1">IF(OR($C256="S",$C256=0),0,MATCH(OFFSET($D256,0,$C256)+IF($C256&lt;&gt;1,1,COUNTIF(QCI!$A$13:$A$24,ORÇAMENTO!E256)),OFFSET($D256,1,$C256,ROW($C$405)-ROW($C256)),0))</f>
        <v>0</v>
      </c>
      <c r="L256" s="115" t="str">
        <f t="shared" ca="1" si="59"/>
        <v/>
      </c>
      <c r="M256" s="116" t="s">
        <v>706</v>
      </c>
      <c r="N256" s="117" t="str">
        <f t="shared" ca="1" si="60"/>
        <v>Serviço</v>
      </c>
      <c r="O256" s="118" t="str">
        <f t="shared" ca="1" si="61"/>
        <v>-</v>
      </c>
      <c r="P256" s="119" t="s">
        <v>751</v>
      </c>
      <c r="Q256" s="120" t="s">
        <v>1153</v>
      </c>
      <c r="R256" s="121" t="s">
        <v>1525</v>
      </c>
      <c r="S256" s="122" t="s">
        <v>639</v>
      </c>
      <c r="T256" s="123">
        <f ca="1">OFFSET(CÁLCULO!H$15,ROW($T256)-ROW(T$15),0)</f>
        <v>2</v>
      </c>
      <c r="U256" s="124"/>
      <c r="V256" s="125" t="s">
        <v>663</v>
      </c>
      <c r="W256" s="123">
        <f ca="1">IF($C256="S",ROUND(IF(TIPOORCAMENTO="Proposto",ORÇAMENTO.CustoUnitario*(1+$AH256),ORÇAMENTO.PrecoUnitarioLicitado),15-13*$AF$10),0)</f>
        <v>0</v>
      </c>
      <c r="X256" s="126" cm="1">
        <f t="array" aca="1" ref="X256" ca="1">IF($C256="S",IF(OR(Import.TipoArredondamento&lt;&gt;"TransfereGOV",ACOMPANHAMENTO="BM"),VTOTAL1,SUM(OFFSET(CÁLCULO!$AA$15,ROW($X256)-ROW($X$15),1):OFFSET(CÁLCULO!$AL$15,ROW($X256)-ROW($X$15),-1))),IF($C256=0,0,ROUND(SomaAgrup,15-13*$AF$11)))</f>
        <v>0</v>
      </c>
      <c r="Y256" s="127" t="s">
        <v>752</v>
      </c>
      <c r="Z256" t="str">
        <f t="shared" ca="1" si="62"/>
        <v/>
      </c>
      <c r="AA256" s="128">
        <f ca="1">IF($C256="S",IF($Z256="CP",$X256,IF($Z256="RA",(($X256)*QCI!$AA$3),0)),SomaAgrup)</f>
        <v>0</v>
      </c>
      <c r="AB256" s="129">
        <f t="shared" ca="1" si="63"/>
        <v>0</v>
      </c>
      <c r="AC256" s="567" t="str">
        <f ca="1">IF($N256=""," ",
IF(AND($C256&lt;&gt;"S",OR($R256="",$R256="(digite a descrição aqui)")),"DESCRIÇÃO",
IF(AND($C256="S",OR($Q256&lt;&gt;0,$T256&gt;0,$U256&gt;0),$P256=0),"FONTE",
IF(AND($C256="S",$P256&lt;&gt;0,OR($T256&gt;0,$U256&gt;0),$Q256=0),"CÓDIGO",
IF(AND($C256="S",$P256&lt;&gt;0,$Q256&lt;&gt;0,$R256="(Código não identificado nas referências)"),"CÓDIGO N/ID",
IF(AND($C256="S",OR($R256="",$R256="(digite a descrição aqui)"),OR($Q256&lt;&gt;0,$T256&gt;0,$U256&gt;0)),"DESCRIÇÃO",
IF(AND($C256="S",$P256&lt;&gt;0,$Q256&lt;&gt;0,$S256=""),"UNIDADE",
IF(AND($C256="S",$P256&lt;&gt;0,$Q256&lt;&gt;0,$U256=0),"SEM CUSTO",
IF(AND(TIPOORCAMENTO="Licitado",$AL256=0,$AN256&gt;0),"SEM PREÇO",
IF(AND($C256="S",$P256&lt;&gt;0,$Q256&lt;&gt;0,$U256&gt;0,$V256=0),"BDI",
IF(OR(AND(TIPOORCAMENTO="Proposto",$AG256&lt;&gt;"",$AG256&gt;0,ORÇAMENTO.CustoUnitario&gt;$AG256),AND(TIPOORCAMENTO="LICITADO",ORÇAMENTO.PrecoUnitarioLicitado&gt;$AN256)),"ACIMA REF.",
IF(AND($C256="S",$P256&lt;&gt;0,$Q256&lt;&gt;0,$T256=0,$U256&gt;0),"QUANT.",
IF(AND(Import.TipoArredondamento="TransfereGOV",$L256="F",$C256="S",LEN($Q256)&gt;13),"Código &gt;13",
IF(AND(Import.TipoArredondamento="TransfereGOV",$L256="F",$C256&lt;&gt;"S",LEN($R256)&gt;100),"Descrição &gt;100",
IF(AND(Import.TipoArredondamento="TransfereGOV",$L256="F",$C256="S",LEN($R256)&gt;500),"Descrição &gt;500",
IF(AND(Import.TipoArredondamento="TransfereGOV",$L256="F",$C256="S",LEFT(TRIM(UPPER($P256)),6)&lt;&gt;"SINAPI",ISNA(VLOOKUP(TRIM(UPPER($S256)),ListaTgov.Unidades,1,FALSE))),"Unid. Não Disp",
" "))))))))))))))))</f>
        <v>SEM CUSTO</v>
      </c>
      <c r="AD256" t="str">
        <f ca="1">IF(C256&lt;=CRONO.NivelExibicao,MAX($AD$15:OFFSET(AD256,-1,0))+IF($C256&lt;&gt;1,1,MAX(1,COUNTIF(QCI!$A$13:$A$24,OFFSET($E256,-1,0)))),"")</f>
        <v/>
      </c>
      <c r="AE256" s="7" t="str">
        <f ca="1">IF(AND($C256="S",ORÇAMENTO.CodBarra&lt;&gt;""),IF(ORÇAMENTO.Fonte="",ORÇAMENTO.CodBarra,CONCATENATE(ORÇAMENTO.Fonte," ",ORÇAMENTO.CodBarra)))</f>
        <v>SINAPI 104178</v>
      </c>
      <c r="AF256" s="12" t="str">
        <f ca="1">IF(ISERROR(INDIRECT(ORÇAMENTO.BancoRef)),"(abra o arquivo 'Referência "&amp;Excel_BuiltIn_Database&amp;".xlsm)",IF(OR($C256&lt;&gt;"S",ORÇAMENTO.CodBarra=""),"(Sem Código)",IF(ISERROR(MATCH($AE256,INDIRECT(ORÇAMENTO.BancoRef),0)),"(Código não identificado nas referências)",MATCH($AE256,INDIRECT(ORÇAMENTO.BancoRef),0))))</f>
        <v>(abra o arquivo 'Referência 12-2024.xlsm)</v>
      </c>
      <c r="AG256" s="429">
        <f ca="1">ROUND(IF(DESONERACAO="sim",REFERENCIA.Desonerado,REFERENCIA.NaoDesonerado),2)</f>
        <v>0</v>
      </c>
      <c r="AH256" s="430">
        <f t="shared" ca="1" si="64"/>
        <v>0.31190000000000001</v>
      </c>
      <c r="AJ256" s="432">
        <v>2</v>
      </c>
      <c r="AL256" s="440"/>
      <c r="AM256" s="337">
        <f t="shared" ca="1" si="0"/>
        <v>0</v>
      </c>
      <c r="AN256" s="471">
        <f t="shared" ca="1" si="65"/>
        <v>0</v>
      </c>
    </row>
    <row r="257" spans="1:40" ht="38.25" x14ac:dyDescent="0.2">
      <c r="A257" t="str">
        <f t="shared" si="50"/>
        <v>S</v>
      </c>
      <c r="B257">
        <f t="shared" ca="1" si="51"/>
        <v>2</v>
      </c>
      <c r="C257" t="str">
        <f t="shared" ca="1" si="52"/>
        <v>S</v>
      </c>
      <c r="D257">
        <f t="shared" ca="1" si="53"/>
        <v>0</v>
      </c>
      <c r="E257">
        <f ca="1">IF($C257=1,OFFSET(E257,-1,0)+MAX(1,COUNTIF(QCI!$A$13:$A$24,OFFSET(ORÇAMENTO!E257,-1,0))),OFFSET(E257,-1,0))</f>
        <v>1</v>
      </c>
      <c r="F257">
        <f t="shared" ca="1" si="54"/>
        <v>15</v>
      </c>
      <c r="G257">
        <f t="shared" ca="1" si="55"/>
        <v>0</v>
      </c>
      <c r="H257">
        <f t="shared" ca="1" si="56"/>
        <v>0</v>
      </c>
      <c r="I257">
        <f t="shared" ca="1" si="57"/>
        <v>0</v>
      </c>
      <c r="J257">
        <f t="shared" ca="1" si="58"/>
        <v>0</v>
      </c>
      <c r="K257">
        <f ca="1">IF(OR($C257="S",$C257=0),0,MATCH(OFFSET($D257,0,$C257)+IF($C257&lt;&gt;1,1,COUNTIF(QCI!$A$13:$A$24,ORÇAMENTO!E257)),OFFSET($D257,1,$C257,ROW($C$405)-ROW($C257)),0))</f>
        <v>0</v>
      </c>
      <c r="L257" s="115" t="str">
        <f t="shared" ca="1" si="59"/>
        <v/>
      </c>
      <c r="M257" s="116" t="s">
        <v>706</v>
      </c>
      <c r="N257" s="117" t="str">
        <f t="shared" ca="1" si="60"/>
        <v>Serviço</v>
      </c>
      <c r="O257" s="118" t="str">
        <f t="shared" ca="1" si="61"/>
        <v>-</v>
      </c>
      <c r="P257" s="119" t="s">
        <v>751</v>
      </c>
      <c r="Q257" s="120" t="s">
        <v>1154</v>
      </c>
      <c r="R257" s="121" t="s">
        <v>1526</v>
      </c>
      <c r="S257" s="122" t="s">
        <v>639</v>
      </c>
      <c r="T257" s="123">
        <f ca="1">OFFSET(CÁLCULO!H$15,ROW($T257)-ROW(T$15),0)</f>
        <v>3</v>
      </c>
      <c r="U257" s="124"/>
      <c r="V257" s="125" t="s">
        <v>663</v>
      </c>
      <c r="W257" s="123">
        <f ca="1">IF($C257="S",ROUND(IF(TIPOORCAMENTO="Proposto",ORÇAMENTO.CustoUnitario*(1+$AH257),ORÇAMENTO.PrecoUnitarioLicitado),15-13*$AF$10),0)</f>
        <v>0</v>
      </c>
      <c r="X257" s="126" cm="1">
        <f t="array" aca="1" ref="X257" ca="1">IF($C257="S",IF(OR(Import.TipoArredondamento&lt;&gt;"TransfereGOV",ACOMPANHAMENTO="BM"),VTOTAL1,SUM(OFFSET(CÁLCULO!$AA$15,ROW($X257)-ROW($X$15),1):OFFSET(CÁLCULO!$AL$15,ROW($X257)-ROW($X$15),-1))),IF($C257=0,0,ROUND(SomaAgrup,15-13*$AF$11)))</f>
        <v>0</v>
      </c>
      <c r="Y257" s="127" t="s">
        <v>752</v>
      </c>
      <c r="Z257" t="str">
        <f t="shared" ca="1" si="62"/>
        <v/>
      </c>
      <c r="AA257" s="128">
        <f ca="1">IF($C257="S",IF($Z257="CP",$X257,IF($Z257="RA",(($X257)*QCI!$AA$3),0)),SomaAgrup)</f>
        <v>0</v>
      </c>
      <c r="AB257" s="129">
        <f t="shared" ca="1" si="63"/>
        <v>0</v>
      </c>
      <c r="AC257" s="567" t="str">
        <f ca="1">IF($N257=""," ",
IF(AND($C257&lt;&gt;"S",OR($R257="",$R257="(digite a descrição aqui)")),"DESCRIÇÃO",
IF(AND($C257="S",OR($Q257&lt;&gt;0,$T257&gt;0,$U257&gt;0),$P257=0),"FONTE",
IF(AND($C257="S",$P257&lt;&gt;0,OR($T257&gt;0,$U257&gt;0),$Q257=0),"CÓDIGO",
IF(AND($C257="S",$P257&lt;&gt;0,$Q257&lt;&gt;0,$R257="(Código não identificado nas referências)"),"CÓDIGO N/ID",
IF(AND($C257="S",OR($R257="",$R257="(digite a descrição aqui)"),OR($Q257&lt;&gt;0,$T257&gt;0,$U257&gt;0)),"DESCRIÇÃO",
IF(AND($C257="S",$P257&lt;&gt;0,$Q257&lt;&gt;0,$S257=""),"UNIDADE",
IF(AND($C257="S",$P257&lt;&gt;0,$Q257&lt;&gt;0,$U257=0),"SEM CUSTO",
IF(AND(TIPOORCAMENTO="Licitado",$AL257=0,$AN257&gt;0),"SEM PREÇO",
IF(AND($C257="S",$P257&lt;&gt;0,$Q257&lt;&gt;0,$U257&gt;0,$V257=0),"BDI",
IF(OR(AND(TIPOORCAMENTO="Proposto",$AG257&lt;&gt;"",$AG257&gt;0,ORÇAMENTO.CustoUnitario&gt;$AG257),AND(TIPOORCAMENTO="LICITADO",ORÇAMENTO.PrecoUnitarioLicitado&gt;$AN257)),"ACIMA REF.",
IF(AND($C257="S",$P257&lt;&gt;0,$Q257&lt;&gt;0,$T257=0,$U257&gt;0),"QUANT.",
IF(AND(Import.TipoArredondamento="TransfereGOV",$L257="F",$C257="S",LEN($Q257)&gt;13),"Código &gt;13",
IF(AND(Import.TipoArredondamento="TransfereGOV",$L257="F",$C257&lt;&gt;"S",LEN($R257)&gt;100),"Descrição &gt;100",
IF(AND(Import.TipoArredondamento="TransfereGOV",$L257="F",$C257="S",LEN($R257)&gt;500),"Descrição &gt;500",
IF(AND(Import.TipoArredondamento="TransfereGOV",$L257="F",$C257="S",LEFT(TRIM(UPPER($P257)),6)&lt;&gt;"SINAPI",ISNA(VLOOKUP(TRIM(UPPER($S257)),ListaTgov.Unidades,1,FALSE))),"Unid. Não Disp",
" "))))))))))))))))</f>
        <v>SEM CUSTO</v>
      </c>
      <c r="AD257" t="str">
        <f ca="1">IF(C257&lt;=CRONO.NivelExibicao,MAX($AD$15:OFFSET(AD257,-1,0))+IF($C257&lt;&gt;1,1,MAX(1,COUNTIF(QCI!$A$13:$A$24,OFFSET($E257,-1,0)))),"")</f>
        <v/>
      </c>
      <c r="AE257" s="7" t="str">
        <f ca="1">IF(AND($C257="S",ORÇAMENTO.CodBarra&lt;&gt;""),IF(ORÇAMENTO.Fonte="",ORÇAMENTO.CodBarra,CONCATENATE(ORÇAMENTO.Fonte," ",ORÇAMENTO.CodBarra)))</f>
        <v>SINAPI 89531</v>
      </c>
      <c r="AF257" s="12" t="str">
        <f ca="1">IF(ISERROR(INDIRECT(ORÇAMENTO.BancoRef)),"(abra o arquivo 'Referência "&amp;Excel_BuiltIn_Database&amp;".xlsm)",IF(OR($C257&lt;&gt;"S",ORÇAMENTO.CodBarra=""),"(Sem Código)",IF(ISERROR(MATCH($AE257,INDIRECT(ORÇAMENTO.BancoRef),0)),"(Código não identificado nas referências)",MATCH($AE257,INDIRECT(ORÇAMENTO.BancoRef),0))))</f>
        <v>(abra o arquivo 'Referência 12-2024.xlsm)</v>
      </c>
      <c r="AG257" s="429">
        <f ca="1">ROUND(IF(DESONERACAO="sim",REFERENCIA.Desonerado,REFERENCIA.NaoDesonerado),2)</f>
        <v>0</v>
      </c>
      <c r="AH257" s="430">
        <f t="shared" ca="1" si="64"/>
        <v>0.31190000000000001</v>
      </c>
      <c r="AJ257" s="432">
        <v>3</v>
      </c>
      <c r="AL257" s="440"/>
      <c r="AM257" s="337">
        <f t="shared" ca="1" si="0"/>
        <v>0</v>
      </c>
      <c r="AN257" s="471">
        <f t="shared" ca="1" si="65"/>
        <v>0</v>
      </c>
    </row>
    <row r="258" spans="1:40" ht="38.25" x14ac:dyDescent="0.2">
      <c r="A258" t="str">
        <f t="shared" si="50"/>
        <v>S</v>
      </c>
      <c r="B258">
        <f t="shared" ca="1" si="51"/>
        <v>2</v>
      </c>
      <c r="C258" t="str">
        <f t="shared" ca="1" si="52"/>
        <v>S</v>
      </c>
      <c r="D258">
        <f t="shared" ca="1" si="53"/>
        <v>0</v>
      </c>
      <c r="E258">
        <f ca="1">IF($C258=1,OFFSET(E258,-1,0)+MAX(1,COUNTIF(QCI!$A$13:$A$24,OFFSET(ORÇAMENTO!E258,-1,0))),OFFSET(E258,-1,0))</f>
        <v>1</v>
      </c>
      <c r="F258">
        <f t="shared" ca="1" si="54"/>
        <v>15</v>
      </c>
      <c r="G258">
        <f t="shared" ca="1" si="55"/>
        <v>0</v>
      </c>
      <c r="H258">
        <f t="shared" ca="1" si="56"/>
        <v>0</v>
      </c>
      <c r="I258">
        <f t="shared" ca="1" si="57"/>
        <v>0</v>
      </c>
      <c r="J258">
        <f t="shared" ca="1" si="58"/>
        <v>0</v>
      </c>
      <c r="K258">
        <f ca="1">IF(OR($C258="S",$C258=0),0,MATCH(OFFSET($D258,0,$C258)+IF($C258&lt;&gt;1,1,COUNTIF(QCI!$A$13:$A$24,ORÇAMENTO!E258)),OFFSET($D258,1,$C258,ROW($C$405)-ROW($C258)),0))</f>
        <v>0</v>
      </c>
      <c r="L258" s="115" t="str">
        <f t="shared" ca="1" si="59"/>
        <v/>
      </c>
      <c r="M258" s="116" t="s">
        <v>706</v>
      </c>
      <c r="N258" s="117" t="str">
        <f t="shared" ca="1" si="60"/>
        <v>Serviço</v>
      </c>
      <c r="O258" s="118" t="str">
        <f t="shared" ca="1" si="61"/>
        <v>-</v>
      </c>
      <c r="P258" s="119" t="s">
        <v>751</v>
      </c>
      <c r="Q258" s="120" t="s">
        <v>1155</v>
      </c>
      <c r="R258" s="121" t="s">
        <v>1527</v>
      </c>
      <c r="S258" s="122" t="s">
        <v>639</v>
      </c>
      <c r="T258" s="123">
        <f ca="1">OFFSET(CÁLCULO!H$15,ROW($T258)-ROW(T$15),0)</f>
        <v>54</v>
      </c>
      <c r="U258" s="124"/>
      <c r="V258" s="125" t="s">
        <v>663</v>
      </c>
      <c r="W258" s="123">
        <f ca="1">IF($C258="S",ROUND(IF(TIPOORCAMENTO="Proposto",ORÇAMENTO.CustoUnitario*(1+$AH258),ORÇAMENTO.PrecoUnitarioLicitado),15-13*$AF$10),0)</f>
        <v>0</v>
      </c>
      <c r="X258" s="126" cm="1">
        <f t="array" aca="1" ref="X258" ca="1">IF($C258="S",IF(OR(Import.TipoArredondamento&lt;&gt;"TransfereGOV",ACOMPANHAMENTO="BM"),VTOTAL1,SUM(OFFSET(CÁLCULO!$AA$15,ROW($X258)-ROW($X$15),1):OFFSET(CÁLCULO!$AL$15,ROW($X258)-ROW($X$15),-1))),IF($C258=0,0,ROUND(SomaAgrup,15-13*$AF$11)))</f>
        <v>0</v>
      </c>
      <c r="Y258" s="127" t="s">
        <v>752</v>
      </c>
      <c r="Z258" t="str">
        <f t="shared" ca="1" si="62"/>
        <v/>
      </c>
      <c r="AA258" s="128">
        <f ca="1">IF($C258="S",IF($Z258="CP",$X258,IF($Z258="RA",(($X258)*QCI!$AA$3),0)),SomaAgrup)</f>
        <v>0</v>
      </c>
      <c r="AB258" s="129">
        <f t="shared" ca="1" si="63"/>
        <v>0</v>
      </c>
      <c r="AC258" s="567" t="str">
        <f ca="1">IF($N258=""," ",
IF(AND($C258&lt;&gt;"S",OR($R258="",$R258="(digite a descrição aqui)")),"DESCRIÇÃO",
IF(AND($C258="S",OR($Q258&lt;&gt;0,$T258&gt;0,$U258&gt;0),$P258=0),"FONTE",
IF(AND($C258="S",$P258&lt;&gt;0,OR($T258&gt;0,$U258&gt;0),$Q258=0),"CÓDIGO",
IF(AND($C258="S",$P258&lt;&gt;0,$Q258&lt;&gt;0,$R258="(Código não identificado nas referências)"),"CÓDIGO N/ID",
IF(AND($C258="S",OR($R258="",$R258="(digite a descrição aqui)"),OR($Q258&lt;&gt;0,$T258&gt;0,$U258&gt;0)),"DESCRIÇÃO",
IF(AND($C258="S",$P258&lt;&gt;0,$Q258&lt;&gt;0,$S258=""),"UNIDADE",
IF(AND($C258="S",$P258&lt;&gt;0,$Q258&lt;&gt;0,$U258=0),"SEM CUSTO",
IF(AND(TIPOORCAMENTO="Licitado",$AL258=0,$AN258&gt;0),"SEM PREÇO",
IF(AND($C258="S",$P258&lt;&gt;0,$Q258&lt;&gt;0,$U258&gt;0,$V258=0),"BDI",
IF(OR(AND(TIPOORCAMENTO="Proposto",$AG258&lt;&gt;"",$AG258&gt;0,ORÇAMENTO.CustoUnitario&gt;$AG258),AND(TIPOORCAMENTO="LICITADO",ORÇAMENTO.PrecoUnitarioLicitado&gt;$AN258)),"ACIMA REF.",
IF(AND($C258="S",$P258&lt;&gt;0,$Q258&lt;&gt;0,$T258=0,$U258&gt;0),"QUANT.",
IF(AND(Import.TipoArredondamento="TransfereGOV",$L258="F",$C258="S",LEN($Q258)&gt;13),"Código &gt;13",
IF(AND(Import.TipoArredondamento="TransfereGOV",$L258="F",$C258&lt;&gt;"S",LEN($R258)&gt;100),"Descrição &gt;100",
IF(AND(Import.TipoArredondamento="TransfereGOV",$L258="F",$C258="S",LEN($R258)&gt;500),"Descrição &gt;500",
IF(AND(Import.TipoArredondamento="TransfereGOV",$L258="F",$C258="S",LEFT(TRIM(UPPER($P258)),6)&lt;&gt;"SINAPI",ISNA(VLOOKUP(TRIM(UPPER($S258)),ListaTgov.Unidades,1,FALSE))),"Unid. Não Disp",
" "))))))))))))))))</f>
        <v>SEM CUSTO</v>
      </c>
      <c r="AD258" t="str">
        <f ca="1">IF(C258&lt;=CRONO.NivelExibicao,MAX($AD$15:OFFSET(AD258,-1,0))+IF($C258&lt;&gt;1,1,MAX(1,COUNTIF(QCI!$A$13:$A$24,OFFSET($E258,-1,0)))),"")</f>
        <v/>
      </c>
      <c r="AE258" s="7" t="str">
        <f ca="1">IF(AND($C258="S",ORÇAMENTO.CodBarra&lt;&gt;""),IF(ORÇAMENTO.Fonte="",ORÇAMENTO.CodBarra,CONCATENATE(ORÇAMENTO.Fonte," ",ORÇAMENTO.CodBarra)))</f>
        <v>SINAPI 89524</v>
      </c>
      <c r="AF258" s="12" t="str">
        <f ca="1">IF(ISERROR(INDIRECT(ORÇAMENTO.BancoRef)),"(abra o arquivo 'Referência "&amp;Excel_BuiltIn_Database&amp;".xlsm)",IF(OR($C258&lt;&gt;"S",ORÇAMENTO.CodBarra=""),"(Sem Código)",IF(ISERROR(MATCH($AE258,INDIRECT(ORÇAMENTO.BancoRef),0)),"(Código não identificado nas referências)",MATCH($AE258,INDIRECT(ORÇAMENTO.BancoRef),0))))</f>
        <v>(abra o arquivo 'Referência 12-2024.xlsm)</v>
      </c>
      <c r="AG258" s="429">
        <f ca="1">ROUND(IF(DESONERACAO="sim",REFERENCIA.Desonerado,REFERENCIA.NaoDesonerado),2)</f>
        <v>0</v>
      </c>
      <c r="AH258" s="430">
        <f t="shared" ca="1" si="64"/>
        <v>0.31190000000000001</v>
      </c>
      <c r="AJ258" s="432">
        <v>54</v>
      </c>
      <c r="AL258" s="440"/>
      <c r="AM258" s="337">
        <f t="shared" ca="1" si="0"/>
        <v>0</v>
      </c>
      <c r="AN258" s="471">
        <f t="shared" ca="1" si="65"/>
        <v>0</v>
      </c>
    </row>
    <row r="259" spans="1:40" ht="38.25" x14ac:dyDescent="0.2">
      <c r="A259" t="str">
        <f t="shared" si="50"/>
        <v>S</v>
      </c>
      <c r="B259">
        <f t="shared" ca="1" si="51"/>
        <v>2</v>
      </c>
      <c r="C259" t="str">
        <f t="shared" ca="1" si="52"/>
        <v>S</v>
      </c>
      <c r="D259">
        <f t="shared" ca="1" si="53"/>
        <v>0</v>
      </c>
      <c r="E259">
        <f ca="1">IF($C259=1,OFFSET(E259,-1,0)+MAX(1,COUNTIF(QCI!$A$13:$A$24,OFFSET(ORÇAMENTO!E259,-1,0))),OFFSET(E259,-1,0))</f>
        <v>1</v>
      </c>
      <c r="F259">
        <f t="shared" ca="1" si="54"/>
        <v>15</v>
      </c>
      <c r="G259">
        <f t="shared" ca="1" si="55"/>
        <v>0</v>
      </c>
      <c r="H259">
        <f t="shared" ca="1" si="56"/>
        <v>0</v>
      </c>
      <c r="I259">
        <f t="shared" ca="1" si="57"/>
        <v>0</v>
      </c>
      <c r="J259">
        <f t="shared" ca="1" si="58"/>
        <v>0</v>
      </c>
      <c r="K259">
        <f ca="1">IF(OR($C259="S",$C259=0),0,MATCH(OFFSET($D259,0,$C259)+IF($C259&lt;&gt;1,1,COUNTIF(QCI!$A$13:$A$24,ORÇAMENTO!E259)),OFFSET($D259,1,$C259,ROW($C$405)-ROW($C259)),0))</f>
        <v>0</v>
      </c>
      <c r="L259" s="115" t="str">
        <f t="shared" ca="1" si="59"/>
        <v/>
      </c>
      <c r="M259" s="116" t="s">
        <v>706</v>
      </c>
      <c r="N259" s="117" t="str">
        <f t="shared" ca="1" si="60"/>
        <v>Serviço</v>
      </c>
      <c r="O259" s="118" t="str">
        <f t="shared" ca="1" si="61"/>
        <v>-</v>
      </c>
      <c r="P259" s="119" t="s">
        <v>751</v>
      </c>
      <c r="Q259" s="120" t="s">
        <v>1156</v>
      </c>
      <c r="R259" s="121" t="s">
        <v>1528</v>
      </c>
      <c r="S259" s="122" t="s">
        <v>639</v>
      </c>
      <c r="T259" s="123">
        <f ca="1">OFFSET(CÁLCULO!H$15,ROW($T259)-ROW(T$15),0)</f>
        <v>5</v>
      </c>
      <c r="U259" s="124"/>
      <c r="V259" s="125" t="s">
        <v>663</v>
      </c>
      <c r="W259" s="123">
        <f ca="1">IF($C259="S",ROUND(IF(TIPOORCAMENTO="Proposto",ORÇAMENTO.CustoUnitario*(1+$AH259),ORÇAMENTO.PrecoUnitarioLicitado),15-13*$AF$10),0)</f>
        <v>0</v>
      </c>
      <c r="X259" s="126" cm="1">
        <f t="array" aca="1" ref="X259" ca="1">IF($C259="S",IF(OR(Import.TipoArredondamento&lt;&gt;"TransfereGOV",ACOMPANHAMENTO="BM"),VTOTAL1,SUM(OFFSET(CÁLCULO!$AA$15,ROW($X259)-ROW($X$15),1):OFFSET(CÁLCULO!$AL$15,ROW($X259)-ROW($X$15),-1))),IF($C259=0,0,ROUND(SomaAgrup,15-13*$AF$11)))</f>
        <v>0</v>
      </c>
      <c r="Y259" s="127" t="s">
        <v>752</v>
      </c>
      <c r="Z259" t="str">
        <f t="shared" ca="1" si="62"/>
        <v/>
      </c>
      <c r="AA259" s="128">
        <f ca="1">IF($C259="S",IF($Z259="CP",$X259,IF($Z259="RA",(($X259)*QCI!$AA$3),0)),SomaAgrup)</f>
        <v>0</v>
      </c>
      <c r="AB259" s="129">
        <f t="shared" ca="1" si="63"/>
        <v>0</v>
      </c>
      <c r="AC259" s="567" t="str">
        <f ca="1">IF($N259=""," ",
IF(AND($C259&lt;&gt;"S",OR($R259="",$R259="(digite a descrição aqui)")),"DESCRIÇÃO",
IF(AND($C259="S",OR($Q259&lt;&gt;0,$T259&gt;0,$U259&gt;0),$P259=0),"FONTE",
IF(AND($C259="S",$P259&lt;&gt;0,OR($T259&gt;0,$U259&gt;0),$Q259=0),"CÓDIGO",
IF(AND($C259="S",$P259&lt;&gt;0,$Q259&lt;&gt;0,$R259="(Código não identificado nas referências)"),"CÓDIGO N/ID",
IF(AND($C259="S",OR($R259="",$R259="(digite a descrição aqui)"),OR($Q259&lt;&gt;0,$T259&gt;0,$U259&gt;0)),"DESCRIÇÃO",
IF(AND($C259="S",$P259&lt;&gt;0,$Q259&lt;&gt;0,$S259=""),"UNIDADE",
IF(AND($C259="S",$P259&lt;&gt;0,$Q259&lt;&gt;0,$U259=0),"SEM CUSTO",
IF(AND(TIPOORCAMENTO="Licitado",$AL259=0,$AN259&gt;0),"SEM PREÇO",
IF(AND($C259="S",$P259&lt;&gt;0,$Q259&lt;&gt;0,$U259&gt;0,$V259=0),"BDI",
IF(OR(AND(TIPOORCAMENTO="Proposto",$AG259&lt;&gt;"",$AG259&gt;0,ORÇAMENTO.CustoUnitario&gt;$AG259),AND(TIPOORCAMENTO="LICITADO",ORÇAMENTO.PrecoUnitarioLicitado&gt;$AN259)),"ACIMA REF.",
IF(AND($C259="S",$P259&lt;&gt;0,$Q259&lt;&gt;0,$T259=0,$U259&gt;0),"QUANT.",
IF(AND(Import.TipoArredondamento="TransfereGOV",$L259="F",$C259="S",LEN($Q259)&gt;13),"Código &gt;13",
IF(AND(Import.TipoArredondamento="TransfereGOV",$L259="F",$C259&lt;&gt;"S",LEN($R259)&gt;100),"Descrição &gt;100",
IF(AND(Import.TipoArredondamento="TransfereGOV",$L259="F",$C259="S",LEN($R259)&gt;500),"Descrição &gt;500",
IF(AND(Import.TipoArredondamento="TransfereGOV",$L259="F",$C259="S",LEFT(TRIM(UPPER($P259)),6)&lt;&gt;"SINAPI",ISNA(VLOOKUP(TRIM(UPPER($S259)),ListaTgov.Unidades,1,FALSE))),"Unid. Não Disp",
" "))))))))))))))))</f>
        <v>SEM CUSTO</v>
      </c>
      <c r="AD259" t="str">
        <f ca="1">IF(C259&lt;=CRONO.NivelExibicao,MAX($AD$15:OFFSET(AD259,-1,0))+IF($C259&lt;&gt;1,1,MAX(1,COUNTIF(QCI!$A$13:$A$24,OFFSET($E259,-1,0)))),"")</f>
        <v/>
      </c>
      <c r="AE259" s="7" t="str">
        <f ca="1">IF(AND($C259="S",ORÇAMENTO.CodBarra&lt;&gt;""),IF(ORÇAMENTO.Fonte="",ORÇAMENTO.CodBarra,CONCATENATE(ORÇAMENTO.Fonte," ",ORÇAMENTO.CodBarra)))</f>
        <v>SINAPI 89529</v>
      </c>
      <c r="AF259" s="12" t="str">
        <f ca="1">IF(ISERROR(INDIRECT(ORÇAMENTO.BancoRef)),"(abra o arquivo 'Referência "&amp;Excel_BuiltIn_Database&amp;".xlsm)",IF(OR($C259&lt;&gt;"S",ORÇAMENTO.CodBarra=""),"(Sem Código)",IF(ISERROR(MATCH($AE259,INDIRECT(ORÇAMENTO.BancoRef),0)),"(Código não identificado nas referências)",MATCH($AE259,INDIRECT(ORÇAMENTO.BancoRef),0))))</f>
        <v>(abra o arquivo 'Referência 12-2024.xlsm)</v>
      </c>
      <c r="AG259" s="429">
        <f ca="1">ROUND(IF(DESONERACAO="sim",REFERENCIA.Desonerado,REFERENCIA.NaoDesonerado),2)</f>
        <v>0</v>
      </c>
      <c r="AH259" s="430">
        <f t="shared" ca="1" si="64"/>
        <v>0.31190000000000001</v>
      </c>
      <c r="AJ259" s="432">
        <v>5</v>
      </c>
      <c r="AL259" s="440"/>
      <c r="AM259" s="337">
        <f t="shared" ca="1" si="0"/>
        <v>0</v>
      </c>
      <c r="AN259" s="471">
        <f t="shared" ca="1" si="65"/>
        <v>0</v>
      </c>
    </row>
    <row r="260" spans="1:40" ht="38.25" x14ac:dyDescent="0.2">
      <c r="A260" t="str">
        <f t="shared" si="50"/>
        <v>S</v>
      </c>
      <c r="B260">
        <f t="shared" ca="1" si="51"/>
        <v>2</v>
      </c>
      <c r="C260" t="str">
        <f t="shared" ca="1" si="52"/>
        <v>S</v>
      </c>
      <c r="D260">
        <f t="shared" ca="1" si="53"/>
        <v>0</v>
      </c>
      <c r="E260">
        <f ca="1">IF($C260=1,OFFSET(E260,-1,0)+MAX(1,COUNTIF(QCI!$A$13:$A$24,OFFSET(ORÇAMENTO!E260,-1,0))),OFFSET(E260,-1,0))</f>
        <v>1</v>
      </c>
      <c r="F260">
        <f t="shared" ca="1" si="54"/>
        <v>15</v>
      </c>
      <c r="G260">
        <f t="shared" ca="1" si="55"/>
        <v>0</v>
      </c>
      <c r="H260">
        <f t="shared" ca="1" si="56"/>
        <v>0</v>
      </c>
      <c r="I260">
        <f t="shared" ca="1" si="57"/>
        <v>0</v>
      </c>
      <c r="J260">
        <f t="shared" ca="1" si="58"/>
        <v>0</v>
      </c>
      <c r="K260">
        <f ca="1">IF(OR($C260="S",$C260=0),0,MATCH(OFFSET($D260,0,$C260)+IF($C260&lt;&gt;1,1,COUNTIF(QCI!$A$13:$A$24,ORÇAMENTO!E260)),OFFSET($D260,1,$C260,ROW($C$405)-ROW($C260)),0))</f>
        <v>0</v>
      </c>
      <c r="L260" s="115" t="str">
        <f t="shared" ca="1" si="59"/>
        <v/>
      </c>
      <c r="M260" s="116" t="s">
        <v>706</v>
      </c>
      <c r="N260" s="117" t="str">
        <f t="shared" ca="1" si="60"/>
        <v>Serviço</v>
      </c>
      <c r="O260" s="118" t="str">
        <f t="shared" ca="1" si="61"/>
        <v>-</v>
      </c>
      <c r="P260" s="119" t="s">
        <v>751</v>
      </c>
      <c r="Q260" s="120" t="s">
        <v>1157</v>
      </c>
      <c r="R260" s="121" t="s">
        <v>1529</v>
      </c>
      <c r="S260" s="122" t="s">
        <v>639</v>
      </c>
      <c r="T260" s="123">
        <f ca="1">OFFSET(CÁLCULO!H$15,ROW($T260)-ROW(T$15),0)</f>
        <v>75</v>
      </c>
      <c r="U260" s="124"/>
      <c r="V260" s="125" t="s">
        <v>663</v>
      </c>
      <c r="W260" s="123">
        <f ca="1">IF($C260="S",ROUND(IF(TIPOORCAMENTO="Proposto",ORÇAMENTO.CustoUnitario*(1+$AH260),ORÇAMENTO.PrecoUnitarioLicitado),15-13*$AF$10),0)</f>
        <v>0</v>
      </c>
      <c r="X260" s="126" cm="1">
        <f t="array" aca="1" ref="X260" ca="1">IF($C260="S",IF(OR(Import.TipoArredondamento&lt;&gt;"TransfereGOV",ACOMPANHAMENTO="BM"),VTOTAL1,SUM(OFFSET(CÁLCULO!$AA$15,ROW($X260)-ROW($X$15),1):OFFSET(CÁLCULO!$AL$15,ROW($X260)-ROW($X$15),-1))),IF($C260=0,0,ROUND(SomaAgrup,15-13*$AF$11)))</f>
        <v>0</v>
      </c>
      <c r="Y260" s="127" t="s">
        <v>752</v>
      </c>
      <c r="Z260" t="str">
        <f t="shared" ca="1" si="62"/>
        <v/>
      </c>
      <c r="AA260" s="128">
        <f ca="1">IF($C260="S",IF($Z260="CP",$X260,IF($Z260="RA",(($X260)*QCI!$AA$3),0)),SomaAgrup)</f>
        <v>0</v>
      </c>
      <c r="AB260" s="129">
        <f t="shared" ca="1" si="63"/>
        <v>0</v>
      </c>
      <c r="AC260" s="567" t="str">
        <f ca="1">IF($N260=""," ",
IF(AND($C260&lt;&gt;"S",OR($R260="",$R260="(digite a descrição aqui)")),"DESCRIÇÃO",
IF(AND($C260="S",OR($Q260&lt;&gt;0,$T260&gt;0,$U260&gt;0),$P260=0),"FONTE",
IF(AND($C260="S",$P260&lt;&gt;0,OR($T260&gt;0,$U260&gt;0),$Q260=0),"CÓDIGO",
IF(AND($C260="S",$P260&lt;&gt;0,$Q260&lt;&gt;0,$R260="(Código não identificado nas referências)"),"CÓDIGO N/ID",
IF(AND($C260="S",OR($R260="",$R260="(digite a descrição aqui)"),OR($Q260&lt;&gt;0,$T260&gt;0,$U260&gt;0)),"DESCRIÇÃO",
IF(AND($C260="S",$P260&lt;&gt;0,$Q260&lt;&gt;0,$S260=""),"UNIDADE",
IF(AND($C260="S",$P260&lt;&gt;0,$Q260&lt;&gt;0,$U260=0),"SEM CUSTO",
IF(AND(TIPOORCAMENTO="Licitado",$AL260=0,$AN260&gt;0),"SEM PREÇO",
IF(AND($C260="S",$P260&lt;&gt;0,$Q260&lt;&gt;0,$U260&gt;0,$V260=0),"BDI",
IF(OR(AND(TIPOORCAMENTO="Proposto",$AG260&lt;&gt;"",$AG260&gt;0,ORÇAMENTO.CustoUnitario&gt;$AG260),AND(TIPOORCAMENTO="LICITADO",ORÇAMENTO.PrecoUnitarioLicitado&gt;$AN260)),"ACIMA REF.",
IF(AND($C260="S",$P260&lt;&gt;0,$Q260&lt;&gt;0,$T260=0,$U260&gt;0),"QUANT.",
IF(AND(Import.TipoArredondamento="TransfereGOV",$L260="F",$C260="S",LEN($Q260)&gt;13),"Código &gt;13",
IF(AND(Import.TipoArredondamento="TransfereGOV",$L260="F",$C260&lt;&gt;"S",LEN($R260)&gt;100),"Descrição &gt;100",
IF(AND(Import.TipoArredondamento="TransfereGOV",$L260="F",$C260="S",LEN($R260)&gt;500),"Descrição &gt;500",
IF(AND(Import.TipoArredondamento="TransfereGOV",$L260="F",$C260="S",LEFT(TRIM(UPPER($P260)),6)&lt;&gt;"SINAPI",ISNA(VLOOKUP(TRIM(UPPER($S260)),ListaTgov.Unidades,1,FALSE))),"Unid. Não Disp",
" "))))))))))))))))</f>
        <v>SEM CUSTO</v>
      </c>
      <c r="AD260" t="str">
        <f ca="1">IF(C260&lt;=CRONO.NivelExibicao,MAX($AD$15:OFFSET(AD260,-1,0))+IF($C260&lt;&gt;1,1,MAX(1,COUNTIF(QCI!$A$13:$A$24,OFFSET($E260,-1,0)))),"")</f>
        <v/>
      </c>
      <c r="AE260" s="7" t="str">
        <f ca="1">IF(AND($C260="S",ORÇAMENTO.CodBarra&lt;&gt;""),IF(ORÇAMENTO.Fonte="",ORÇAMENTO.CodBarra,CONCATENATE(ORÇAMENTO.Fonte," ",ORÇAMENTO.CodBarra)))</f>
        <v>SINAPI 89522</v>
      </c>
      <c r="AF260" s="12" t="str">
        <f ca="1">IF(ISERROR(INDIRECT(ORÇAMENTO.BancoRef)),"(abra o arquivo 'Referência "&amp;Excel_BuiltIn_Database&amp;".xlsm)",IF(OR($C260&lt;&gt;"S",ORÇAMENTO.CodBarra=""),"(Sem Código)",IF(ISERROR(MATCH($AE260,INDIRECT(ORÇAMENTO.BancoRef),0)),"(Código não identificado nas referências)",MATCH($AE260,INDIRECT(ORÇAMENTO.BancoRef),0))))</f>
        <v>(abra o arquivo 'Referência 12-2024.xlsm)</v>
      </c>
      <c r="AG260" s="429">
        <f ca="1">ROUND(IF(DESONERACAO="sim",REFERENCIA.Desonerado,REFERENCIA.NaoDesonerado),2)</f>
        <v>0</v>
      </c>
      <c r="AH260" s="430">
        <f t="shared" ca="1" si="64"/>
        <v>0.31190000000000001</v>
      </c>
      <c r="AJ260" s="432">
        <v>75</v>
      </c>
      <c r="AL260" s="440"/>
      <c r="AM260" s="337">
        <f t="shared" ca="1" si="0"/>
        <v>0</v>
      </c>
      <c r="AN260" s="471">
        <f t="shared" ca="1" si="65"/>
        <v>0</v>
      </c>
    </row>
    <row r="261" spans="1:40" ht="38.25" x14ac:dyDescent="0.2">
      <c r="A261" t="str">
        <f t="shared" si="50"/>
        <v>S</v>
      </c>
      <c r="B261">
        <f t="shared" ca="1" si="51"/>
        <v>2</v>
      </c>
      <c r="C261" t="str">
        <f t="shared" ca="1" si="52"/>
        <v>S</v>
      </c>
      <c r="D261">
        <f t="shared" ca="1" si="53"/>
        <v>0</v>
      </c>
      <c r="E261">
        <f ca="1">IF($C261=1,OFFSET(E261,-1,0)+MAX(1,COUNTIF(QCI!$A$13:$A$24,OFFSET(ORÇAMENTO!E261,-1,0))),OFFSET(E261,-1,0))</f>
        <v>1</v>
      </c>
      <c r="F261">
        <f t="shared" ca="1" si="54"/>
        <v>15</v>
      </c>
      <c r="G261">
        <f t="shared" ca="1" si="55"/>
        <v>0</v>
      </c>
      <c r="H261">
        <f t="shared" ca="1" si="56"/>
        <v>0</v>
      </c>
      <c r="I261">
        <f t="shared" ca="1" si="57"/>
        <v>0</v>
      </c>
      <c r="J261">
        <f t="shared" ca="1" si="58"/>
        <v>0</v>
      </c>
      <c r="K261">
        <f ca="1">IF(OR($C261="S",$C261=0),0,MATCH(OFFSET($D261,0,$C261)+IF($C261&lt;&gt;1,1,COUNTIF(QCI!$A$13:$A$24,ORÇAMENTO!E261)),OFFSET($D261,1,$C261,ROW($C$405)-ROW($C261)),0))</f>
        <v>0</v>
      </c>
      <c r="L261" s="115" t="str">
        <f t="shared" ca="1" si="59"/>
        <v/>
      </c>
      <c r="M261" s="116" t="s">
        <v>706</v>
      </c>
      <c r="N261" s="117" t="str">
        <f t="shared" ca="1" si="60"/>
        <v>Serviço</v>
      </c>
      <c r="O261" s="118" t="str">
        <f t="shared" ca="1" si="61"/>
        <v>-</v>
      </c>
      <c r="P261" s="119" t="s">
        <v>751</v>
      </c>
      <c r="Q261" s="120" t="s">
        <v>1062</v>
      </c>
      <c r="R261" s="121" t="s">
        <v>1438</v>
      </c>
      <c r="S261" s="122" t="s">
        <v>639</v>
      </c>
      <c r="T261" s="123">
        <f ca="1">OFFSET(CÁLCULO!H$15,ROW($T261)-ROW(T$15),0)</f>
        <v>8</v>
      </c>
      <c r="U261" s="124"/>
      <c r="V261" s="125" t="s">
        <v>663</v>
      </c>
      <c r="W261" s="123">
        <f ca="1">IF($C261="S",ROUND(IF(TIPOORCAMENTO="Proposto",ORÇAMENTO.CustoUnitario*(1+$AH261),ORÇAMENTO.PrecoUnitarioLicitado),15-13*$AF$10),0)</f>
        <v>0</v>
      </c>
      <c r="X261" s="126" cm="1">
        <f t="array" aca="1" ref="X261" ca="1">IF($C261="S",IF(OR(Import.TipoArredondamento&lt;&gt;"TransfereGOV",ACOMPANHAMENTO="BM"),VTOTAL1,SUM(OFFSET(CÁLCULO!$AA$15,ROW($X261)-ROW($X$15),1):OFFSET(CÁLCULO!$AL$15,ROW($X261)-ROW($X$15),-1))),IF($C261=0,0,ROUND(SomaAgrup,15-13*$AF$11)))</f>
        <v>0</v>
      </c>
      <c r="Y261" s="127" t="s">
        <v>752</v>
      </c>
      <c r="Z261" t="str">
        <f t="shared" ca="1" si="62"/>
        <v/>
      </c>
      <c r="AA261" s="128">
        <f ca="1">IF($C261="S",IF($Z261="CP",$X261,IF($Z261="RA",(($X261)*QCI!$AA$3),0)),SomaAgrup)</f>
        <v>0</v>
      </c>
      <c r="AB261" s="129">
        <f t="shared" ca="1" si="63"/>
        <v>0</v>
      </c>
      <c r="AC261" s="567" t="str">
        <f ca="1">IF($N261=""," ",
IF(AND($C261&lt;&gt;"S",OR($R261="",$R261="(digite a descrição aqui)")),"DESCRIÇÃO",
IF(AND($C261="S",OR($Q261&lt;&gt;0,$T261&gt;0,$U261&gt;0),$P261=0),"FONTE",
IF(AND($C261="S",$P261&lt;&gt;0,OR($T261&gt;0,$U261&gt;0),$Q261=0),"CÓDIGO",
IF(AND($C261="S",$P261&lt;&gt;0,$Q261&lt;&gt;0,$R261="(Código não identificado nas referências)"),"CÓDIGO N/ID",
IF(AND($C261="S",OR($R261="",$R261="(digite a descrição aqui)"),OR($Q261&lt;&gt;0,$T261&gt;0,$U261&gt;0)),"DESCRIÇÃO",
IF(AND($C261="S",$P261&lt;&gt;0,$Q261&lt;&gt;0,$S261=""),"UNIDADE",
IF(AND($C261="S",$P261&lt;&gt;0,$Q261&lt;&gt;0,$U261=0),"SEM CUSTO",
IF(AND(TIPOORCAMENTO="Licitado",$AL261=0,$AN261&gt;0),"SEM PREÇO",
IF(AND($C261="S",$P261&lt;&gt;0,$Q261&lt;&gt;0,$U261&gt;0,$V261=0),"BDI",
IF(OR(AND(TIPOORCAMENTO="Proposto",$AG261&lt;&gt;"",$AG261&gt;0,ORÇAMENTO.CustoUnitario&gt;$AG261),AND(TIPOORCAMENTO="LICITADO",ORÇAMENTO.PrecoUnitarioLicitado&gt;$AN261)),"ACIMA REF.",
IF(AND($C261="S",$P261&lt;&gt;0,$Q261&lt;&gt;0,$T261=0,$U261&gt;0),"QUANT.",
IF(AND(Import.TipoArredondamento="TransfereGOV",$L261="F",$C261="S",LEN($Q261)&gt;13),"Código &gt;13",
IF(AND(Import.TipoArredondamento="TransfereGOV",$L261="F",$C261&lt;&gt;"S",LEN($R261)&gt;100),"Descrição &gt;100",
IF(AND(Import.TipoArredondamento="TransfereGOV",$L261="F",$C261="S",LEN($R261)&gt;500),"Descrição &gt;500",
IF(AND(Import.TipoArredondamento="TransfereGOV",$L261="F",$C261="S",LEFT(TRIM(UPPER($P261)),6)&lt;&gt;"SINAPI",ISNA(VLOOKUP(TRIM(UPPER($S261)),ListaTgov.Unidades,1,FALSE))),"Unid. Não Disp",
" "))))))))))))))))</f>
        <v>SEM CUSTO</v>
      </c>
      <c r="AD261" t="str">
        <f ca="1">IF(C261&lt;=CRONO.NivelExibicao,MAX($AD$15:OFFSET(AD261,-1,0))+IF($C261&lt;&gt;1,1,MAX(1,COUNTIF(QCI!$A$13:$A$24,OFFSET($E261,-1,0)))),"")</f>
        <v/>
      </c>
      <c r="AE261" s="7" t="str">
        <f ca="1">IF(AND($C261="S",ORÇAMENTO.CodBarra&lt;&gt;""),IF(ORÇAMENTO.Fonte="",ORÇAMENTO.CodBarra,CONCATENATE(ORÇAMENTO.Fonte," ",ORÇAMENTO.CodBarra)))</f>
        <v>SINAPI 89569</v>
      </c>
      <c r="AF261" s="12" t="str">
        <f ca="1">IF(ISERROR(INDIRECT(ORÇAMENTO.BancoRef)),"(abra o arquivo 'Referência "&amp;Excel_BuiltIn_Database&amp;".xlsm)",IF(OR($C261&lt;&gt;"S",ORÇAMENTO.CodBarra=""),"(Sem Código)",IF(ISERROR(MATCH($AE261,INDIRECT(ORÇAMENTO.BancoRef),0)),"(Código não identificado nas referências)",MATCH($AE261,INDIRECT(ORÇAMENTO.BancoRef),0))))</f>
        <v>(abra o arquivo 'Referência 12-2024.xlsm)</v>
      </c>
      <c r="AG261" s="429">
        <f ca="1">ROUND(IF(DESONERACAO="sim",REFERENCIA.Desonerado,REFERENCIA.NaoDesonerado),2)</f>
        <v>0</v>
      </c>
      <c r="AH261" s="430">
        <f t="shared" ca="1" si="64"/>
        <v>0.31190000000000001</v>
      </c>
      <c r="AJ261" s="432">
        <v>8</v>
      </c>
      <c r="AL261" s="440"/>
      <c r="AM261" s="337">
        <f t="shared" ca="1" si="0"/>
        <v>0</v>
      </c>
      <c r="AN261" s="471">
        <f t="shared" ca="1" si="65"/>
        <v>0</v>
      </c>
    </row>
    <row r="262" spans="1:40" ht="38.25" x14ac:dyDescent="0.2">
      <c r="A262" t="str">
        <f t="shared" si="50"/>
        <v>S</v>
      </c>
      <c r="B262">
        <f t="shared" ca="1" si="51"/>
        <v>2</v>
      </c>
      <c r="C262" t="str">
        <f t="shared" ca="1" si="52"/>
        <v>S</v>
      </c>
      <c r="D262">
        <f t="shared" ca="1" si="53"/>
        <v>0</v>
      </c>
      <c r="E262">
        <f ca="1">IF($C262=1,OFFSET(E262,-1,0)+MAX(1,COUNTIF(QCI!$A$13:$A$24,OFFSET(ORÇAMENTO!E262,-1,0))),OFFSET(E262,-1,0))</f>
        <v>1</v>
      </c>
      <c r="F262">
        <f t="shared" ca="1" si="54"/>
        <v>15</v>
      </c>
      <c r="G262">
        <f t="shared" ca="1" si="55"/>
        <v>0</v>
      </c>
      <c r="H262">
        <f t="shared" ca="1" si="56"/>
        <v>0</v>
      </c>
      <c r="I262">
        <f t="shared" ca="1" si="57"/>
        <v>0</v>
      </c>
      <c r="J262">
        <f t="shared" ca="1" si="58"/>
        <v>0</v>
      </c>
      <c r="K262">
        <f ca="1">IF(OR($C262="S",$C262=0),0,MATCH(OFFSET($D262,0,$C262)+IF($C262&lt;&gt;1,1,COUNTIF(QCI!$A$13:$A$24,ORÇAMENTO!E262)),OFFSET($D262,1,$C262,ROW($C$405)-ROW($C262)),0))</f>
        <v>0</v>
      </c>
      <c r="L262" s="115" t="str">
        <f t="shared" ca="1" si="59"/>
        <v/>
      </c>
      <c r="M262" s="116" t="s">
        <v>706</v>
      </c>
      <c r="N262" s="117" t="str">
        <f t="shared" ca="1" si="60"/>
        <v>Serviço</v>
      </c>
      <c r="O262" s="118" t="str">
        <f t="shared" ca="1" si="61"/>
        <v>-</v>
      </c>
      <c r="P262" s="119" t="s">
        <v>751</v>
      </c>
      <c r="Q262" s="120" t="s">
        <v>1158</v>
      </c>
      <c r="R262" s="121" t="s">
        <v>1530</v>
      </c>
      <c r="S262" s="122" t="s">
        <v>639</v>
      </c>
      <c r="T262" s="123">
        <f ca="1">OFFSET(CÁLCULO!H$15,ROW($T262)-ROW(T$15),0)</f>
        <v>18</v>
      </c>
      <c r="U262" s="124"/>
      <c r="V262" s="125" t="s">
        <v>663</v>
      </c>
      <c r="W262" s="123">
        <f ca="1">IF($C262="S",ROUND(IF(TIPOORCAMENTO="Proposto",ORÇAMENTO.CustoUnitario*(1+$AH262),ORÇAMENTO.PrecoUnitarioLicitado),15-13*$AF$10),0)</f>
        <v>0</v>
      </c>
      <c r="X262" s="126" cm="1">
        <f t="array" aca="1" ref="X262" ca="1">IF($C262="S",IF(OR(Import.TipoArredondamento&lt;&gt;"TransfereGOV",ACOMPANHAMENTO="BM"),VTOTAL1,SUM(OFFSET(CÁLCULO!$AA$15,ROW($X262)-ROW($X$15),1):OFFSET(CÁLCULO!$AL$15,ROW($X262)-ROW($X$15),-1))),IF($C262=0,0,ROUND(SomaAgrup,15-13*$AF$11)))</f>
        <v>0</v>
      </c>
      <c r="Y262" s="127" t="s">
        <v>752</v>
      </c>
      <c r="Z262" t="str">
        <f t="shared" ca="1" si="62"/>
        <v/>
      </c>
      <c r="AA262" s="128">
        <f ca="1">IF($C262="S",IF($Z262="CP",$X262,IF($Z262="RA",(($X262)*QCI!$AA$3),0)),SomaAgrup)</f>
        <v>0</v>
      </c>
      <c r="AB262" s="129">
        <f t="shared" ca="1" si="63"/>
        <v>0</v>
      </c>
      <c r="AC262" s="567" t="str">
        <f ca="1">IF($N262=""," ",
IF(AND($C262&lt;&gt;"S",OR($R262="",$R262="(digite a descrição aqui)")),"DESCRIÇÃO",
IF(AND($C262="S",OR($Q262&lt;&gt;0,$T262&gt;0,$U262&gt;0),$P262=0),"FONTE",
IF(AND($C262="S",$P262&lt;&gt;0,OR($T262&gt;0,$U262&gt;0),$Q262=0),"CÓDIGO",
IF(AND($C262="S",$P262&lt;&gt;0,$Q262&lt;&gt;0,$R262="(Código não identificado nas referências)"),"CÓDIGO N/ID",
IF(AND($C262="S",OR($R262="",$R262="(digite a descrição aqui)"),OR($Q262&lt;&gt;0,$T262&gt;0,$U262&gt;0)),"DESCRIÇÃO",
IF(AND($C262="S",$P262&lt;&gt;0,$Q262&lt;&gt;0,$S262=""),"UNIDADE",
IF(AND($C262="S",$P262&lt;&gt;0,$Q262&lt;&gt;0,$U262=0),"SEM CUSTO",
IF(AND(TIPOORCAMENTO="Licitado",$AL262=0,$AN262&gt;0),"SEM PREÇO",
IF(AND($C262="S",$P262&lt;&gt;0,$Q262&lt;&gt;0,$U262&gt;0,$V262=0),"BDI",
IF(OR(AND(TIPOORCAMENTO="Proposto",$AG262&lt;&gt;"",$AG262&gt;0,ORÇAMENTO.CustoUnitario&gt;$AG262),AND(TIPOORCAMENTO="LICITADO",ORÇAMENTO.PrecoUnitarioLicitado&gt;$AN262)),"ACIMA REF.",
IF(AND($C262="S",$P262&lt;&gt;0,$Q262&lt;&gt;0,$T262=0,$U262&gt;0),"QUANT.",
IF(AND(Import.TipoArredondamento="TransfereGOV",$L262="F",$C262="S",LEN($Q262)&gt;13),"Código &gt;13",
IF(AND(Import.TipoArredondamento="TransfereGOV",$L262="F",$C262&lt;&gt;"S",LEN($R262)&gt;100),"Descrição &gt;100",
IF(AND(Import.TipoArredondamento="TransfereGOV",$L262="F",$C262="S",LEN($R262)&gt;500),"Descrição &gt;500",
IF(AND(Import.TipoArredondamento="TransfereGOV",$L262="F",$C262="S",LEFT(TRIM(UPPER($P262)),6)&lt;&gt;"SINAPI",ISNA(VLOOKUP(TRIM(UPPER($S262)),ListaTgov.Unidades,1,FALSE))),"Unid. Não Disp",
" "))))))))))))))))</f>
        <v>SEM CUSTO</v>
      </c>
      <c r="AD262" t="str">
        <f ca="1">IF(C262&lt;=CRONO.NivelExibicao,MAX($AD$15:OFFSET(AD262,-1,0))+IF($C262&lt;&gt;1,1,MAX(1,COUNTIF(QCI!$A$13:$A$24,OFFSET($E262,-1,0)))),"")</f>
        <v/>
      </c>
      <c r="AE262" s="7" t="str">
        <f ca="1">IF(AND($C262="S",ORÇAMENTO.CodBarra&lt;&gt;""),IF(ORÇAMENTO.Fonte="",ORÇAMENTO.CodBarra,CONCATENATE(ORÇAMENTO.Fonte," ",ORÇAMENTO.CodBarra)))</f>
        <v>SINAPI 89699</v>
      </c>
      <c r="AF262" s="12" t="str">
        <f ca="1">IF(ISERROR(INDIRECT(ORÇAMENTO.BancoRef)),"(abra o arquivo 'Referência "&amp;Excel_BuiltIn_Database&amp;".xlsm)",IF(OR($C262&lt;&gt;"S",ORÇAMENTO.CodBarra=""),"(Sem Código)",IF(ISERROR(MATCH($AE262,INDIRECT(ORÇAMENTO.BancoRef),0)),"(Código não identificado nas referências)",MATCH($AE262,INDIRECT(ORÇAMENTO.BancoRef),0))))</f>
        <v>(abra o arquivo 'Referência 12-2024.xlsm)</v>
      </c>
      <c r="AG262" s="429">
        <f ca="1">ROUND(IF(DESONERACAO="sim",REFERENCIA.Desonerado,REFERENCIA.NaoDesonerado),2)</f>
        <v>0</v>
      </c>
      <c r="AH262" s="430">
        <f t="shared" ca="1" si="64"/>
        <v>0.31190000000000001</v>
      </c>
      <c r="AJ262" s="432">
        <v>18</v>
      </c>
      <c r="AL262" s="440"/>
      <c r="AM262" s="337">
        <f t="shared" ca="1" si="0"/>
        <v>0</v>
      </c>
      <c r="AN262" s="471">
        <f t="shared" ca="1" si="65"/>
        <v>0</v>
      </c>
    </row>
    <row r="263" spans="1:40" ht="38.25" x14ac:dyDescent="0.2">
      <c r="A263" t="str">
        <f t="shared" si="50"/>
        <v>S</v>
      </c>
      <c r="B263">
        <f t="shared" ca="1" si="51"/>
        <v>2</v>
      </c>
      <c r="C263" t="str">
        <f t="shared" ca="1" si="52"/>
        <v>S</v>
      </c>
      <c r="D263">
        <f t="shared" ca="1" si="53"/>
        <v>0</v>
      </c>
      <c r="E263">
        <f ca="1">IF($C263=1,OFFSET(E263,-1,0)+MAX(1,COUNTIF(QCI!$A$13:$A$24,OFFSET(ORÇAMENTO!E263,-1,0))),OFFSET(E263,-1,0))</f>
        <v>1</v>
      </c>
      <c r="F263">
        <f t="shared" ca="1" si="54"/>
        <v>15</v>
      </c>
      <c r="G263">
        <f t="shared" ca="1" si="55"/>
        <v>0</v>
      </c>
      <c r="H263">
        <f t="shared" ca="1" si="56"/>
        <v>0</v>
      </c>
      <c r="I263">
        <f t="shared" ca="1" si="57"/>
        <v>0</v>
      </c>
      <c r="J263">
        <f t="shared" ca="1" si="58"/>
        <v>0</v>
      </c>
      <c r="K263">
        <f ca="1">IF(OR($C263="S",$C263=0),0,MATCH(OFFSET($D263,0,$C263)+IF($C263&lt;&gt;1,1,COUNTIF(QCI!$A$13:$A$24,ORÇAMENTO!E263)),OFFSET($D263,1,$C263,ROW($C$405)-ROW($C263)),0))</f>
        <v>0</v>
      </c>
      <c r="L263" s="115" t="str">
        <f t="shared" ca="1" si="59"/>
        <v/>
      </c>
      <c r="M263" s="116" t="s">
        <v>706</v>
      </c>
      <c r="N263" s="117" t="str">
        <f t="shared" ca="1" si="60"/>
        <v>Serviço</v>
      </c>
      <c r="O263" s="118" t="str">
        <f t="shared" ca="1" si="61"/>
        <v>-</v>
      </c>
      <c r="P263" s="119" t="s">
        <v>751</v>
      </c>
      <c r="Q263" s="120" t="s">
        <v>1159</v>
      </c>
      <c r="R263" s="121" t="s">
        <v>1531</v>
      </c>
      <c r="S263" s="122" t="s">
        <v>639</v>
      </c>
      <c r="T263" s="123">
        <f ca="1">OFFSET(CÁLCULO!H$15,ROW($T263)-ROW(T$15),0)</f>
        <v>9</v>
      </c>
      <c r="U263" s="124"/>
      <c r="V263" s="125" t="s">
        <v>663</v>
      </c>
      <c r="W263" s="123">
        <f ca="1">IF($C263="S",ROUND(IF(TIPOORCAMENTO="Proposto",ORÇAMENTO.CustoUnitario*(1+$AH263),ORÇAMENTO.PrecoUnitarioLicitado),15-13*$AF$10),0)</f>
        <v>0</v>
      </c>
      <c r="X263" s="126" cm="1">
        <f t="array" aca="1" ref="X263" ca="1">IF($C263="S",IF(OR(Import.TipoArredondamento&lt;&gt;"TransfereGOV",ACOMPANHAMENTO="BM"),VTOTAL1,SUM(OFFSET(CÁLCULO!$AA$15,ROW($X263)-ROW($X$15),1):OFFSET(CÁLCULO!$AL$15,ROW($X263)-ROW($X$15),-1))),IF($C263=0,0,ROUND(SomaAgrup,15-13*$AF$11)))</f>
        <v>0</v>
      </c>
      <c r="Y263" s="127" t="s">
        <v>752</v>
      </c>
      <c r="Z263" t="str">
        <f t="shared" ca="1" si="62"/>
        <v/>
      </c>
      <c r="AA263" s="128">
        <f ca="1">IF($C263="S",IF($Z263="CP",$X263,IF($Z263="RA",(($X263)*QCI!$AA$3),0)),SomaAgrup)</f>
        <v>0</v>
      </c>
      <c r="AB263" s="129">
        <f t="shared" ca="1" si="63"/>
        <v>0</v>
      </c>
      <c r="AC263" s="567" t="str">
        <f ca="1">IF($N263=""," ",
IF(AND($C263&lt;&gt;"S",OR($R263="",$R263="(digite a descrição aqui)")),"DESCRIÇÃO",
IF(AND($C263="S",OR($Q263&lt;&gt;0,$T263&gt;0,$U263&gt;0),$P263=0),"FONTE",
IF(AND($C263="S",$P263&lt;&gt;0,OR($T263&gt;0,$U263&gt;0),$Q263=0),"CÓDIGO",
IF(AND($C263="S",$P263&lt;&gt;0,$Q263&lt;&gt;0,$R263="(Código não identificado nas referências)"),"CÓDIGO N/ID",
IF(AND($C263="S",OR($R263="",$R263="(digite a descrição aqui)"),OR($Q263&lt;&gt;0,$T263&gt;0,$U263&gt;0)),"DESCRIÇÃO",
IF(AND($C263="S",$P263&lt;&gt;0,$Q263&lt;&gt;0,$S263=""),"UNIDADE",
IF(AND($C263="S",$P263&lt;&gt;0,$Q263&lt;&gt;0,$U263=0),"SEM CUSTO",
IF(AND(TIPOORCAMENTO="Licitado",$AL263=0,$AN263&gt;0),"SEM PREÇO",
IF(AND($C263="S",$P263&lt;&gt;0,$Q263&lt;&gt;0,$U263&gt;0,$V263=0),"BDI",
IF(OR(AND(TIPOORCAMENTO="Proposto",$AG263&lt;&gt;"",$AG263&gt;0,ORÇAMENTO.CustoUnitario&gt;$AG263),AND(TIPOORCAMENTO="LICITADO",ORÇAMENTO.PrecoUnitarioLicitado&gt;$AN263)),"ACIMA REF.",
IF(AND($C263="S",$P263&lt;&gt;0,$Q263&lt;&gt;0,$T263=0,$U263&gt;0),"QUANT.",
IF(AND(Import.TipoArredondamento="TransfereGOV",$L263="F",$C263="S",LEN($Q263)&gt;13),"Código &gt;13",
IF(AND(Import.TipoArredondamento="TransfereGOV",$L263="F",$C263&lt;&gt;"S",LEN($R263)&gt;100),"Descrição &gt;100",
IF(AND(Import.TipoArredondamento="TransfereGOV",$L263="F",$C263="S",LEN($R263)&gt;500),"Descrição &gt;500",
IF(AND(Import.TipoArredondamento="TransfereGOV",$L263="F",$C263="S",LEFT(TRIM(UPPER($P263)),6)&lt;&gt;"SINAPI",ISNA(VLOOKUP(TRIM(UPPER($S263)),ListaTgov.Unidades,1,FALSE))),"Unid. Não Disp",
" "))))))))))))))))</f>
        <v>SEM CUSTO</v>
      </c>
      <c r="AD263" t="str">
        <f ca="1">IF(C263&lt;=CRONO.NivelExibicao,MAX($AD$15:OFFSET(AD263,-1,0))+IF($C263&lt;&gt;1,1,MAX(1,COUNTIF(QCI!$A$13:$A$24,OFFSET($E263,-1,0)))),"")</f>
        <v/>
      </c>
      <c r="AE263" s="7" t="str">
        <f ca="1">IF(AND($C263="S",ORÇAMENTO.CodBarra&lt;&gt;""),IF(ORÇAMENTO.Fonte="",ORÇAMENTO.CodBarra,CONCATENATE(ORÇAMENTO.Fonte," ",ORÇAMENTO.CodBarra)))</f>
        <v>SINAPI 89565</v>
      </c>
      <c r="AF263" s="12" t="str">
        <f ca="1">IF(ISERROR(INDIRECT(ORÇAMENTO.BancoRef)),"(abra o arquivo 'Referência "&amp;Excel_BuiltIn_Database&amp;".xlsm)",IF(OR($C263&lt;&gt;"S",ORÇAMENTO.CodBarra=""),"(Sem Código)",IF(ISERROR(MATCH($AE263,INDIRECT(ORÇAMENTO.BancoRef),0)),"(Código não identificado nas referências)",MATCH($AE263,INDIRECT(ORÇAMENTO.BancoRef),0))))</f>
        <v>(abra o arquivo 'Referência 12-2024.xlsm)</v>
      </c>
      <c r="AG263" s="429">
        <f ca="1">ROUND(IF(DESONERACAO="sim",REFERENCIA.Desonerado,REFERENCIA.NaoDesonerado),2)</f>
        <v>0</v>
      </c>
      <c r="AH263" s="430">
        <f t="shared" ca="1" si="64"/>
        <v>0.31190000000000001</v>
      </c>
      <c r="AJ263" s="432">
        <v>9</v>
      </c>
      <c r="AL263" s="440"/>
      <c r="AM263" s="337">
        <f t="shared" ca="1" si="0"/>
        <v>0</v>
      </c>
      <c r="AN263" s="471">
        <f t="shared" ca="1" si="65"/>
        <v>0</v>
      </c>
    </row>
    <row r="264" spans="1:40" ht="38.25" x14ac:dyDescent="0.2">
      <c r="A264" t="str">
        <f t="shared" si="50"/>
        <v>S</v>
      </c>
      <c r="B264">
        <f t="shared" ca="1" si="51"/>
        <v>2</v>
      </c>
      <c r="C264" t="str">
        <f t="shared" ca="1" si="52"/>
        <v>S</v>
      </c>
      <c r="D264">
        <f t="shared" ca="1" si="53"/>
        <v>0</v>
      </c>
      <c r="E264">
        <f ca="1">IF($C264=1,OFFSET(E264,-1,0)+MAX(1,COUNTIF(QCI!$A$13:$A$24,OFFSET(ORÇAMENTO!E264,-1,0))),OFFSET(E264,-1,0))</f>
        <v>1</v>
      </c>
      <c r="F264">
        <f t="shared" ca="1" si="54"/>
        <v>15</v>
      </c>
      <c r="G264">
        <f t="shared" ca="1" si="55"/>
        <v>0</v>
      </c>
      <c r="H264">
        <f t="shared" ca="1" si="56"/>
        <v>0</v>
      </c>
      <c r="I264">
        <f t="shared" ca="1" si="57"/>
        <v>0</v>
      </c>
      <c r="J264">
        <f t="shared" ca="1" si="58"/>
        <v>0</v>
      </c>
      <c r="K264">
        <f ca="1">IF(OR($C264="S",$C264=0),0,MATCH(OFFSET($D264,0,$C264)+IF($C264&lt;&gt;1,1,COUNTIF(QCI!$A$13:$A$24,ORÇAMENTO!E264)),OFFSET($D264,1,$C264,ROW($C$405)-ROW($C264)),0))</f>
        <v>0</v>
      </c>
      <c r="L264" s="115" t="str">
        <f t="shared" ca="1" si="59"/>
        <v/>
      </c>
      <c r="M264" s="116" t="s">
        <v>706</v>
      </c>
      <c r="N264" s="117" t="str">
        <f t="shared" ca="1" si="60"/>
        <v>Serviço</v>
      </c>
      <c r="O264" s="118" t="str">
        <f t="shared" ca="1" si="61"/>
        <v>-</v>
      </c>
      <c r="P264" s="119" t="s">
        <v>751</v>
      </c>
      <c r="Q264" s="120" t="s">
        <v>1160</v>
      </c>
      <c r="R264" s="121" t="s">
        <v>1532</v>
      </c>
      <c r="S264" s="122" t="s">
        <v>639</v>
      </c>
      <c r="T264" s="123">
        <f ca="1">OFFSET(CÁLCULO!H$15,ROW($T264)-ROW(T$15),0)</f>
        <v>59</v>
      </c>
      <c r="U264" s="124"/>
      <c r="V264" s="125" t="s">
        <v>663</v>
      </c>
      <c r="W264" s="123">
        <f ca="1">IF($C264="S",ROUND(IF(TIPOORCAMENTO="Proposto",ORÇAMENTO.CustoUnitario*(1+$AH264),ORÇAMENTO.PrecoUnitarioLicitado),15-13*$AF$10),0)</f>
        <v>0</v>
      </c>
      <c r="X264" s="126" cm="1">
        <f t="array" aca="1" ref="X264" ca="1">IF($C264="S",IF(OR(Import.TipoArredondamento&lt;&gt;"TransfereGOV",ACOMPANHAMENTO="BM"),VTOTAL1,SUM(OFFSET(CÁLCULO!$AA$15,ROW($X264)-ROW($X$15),1):OFFSET(CÁLCULO!$AL$15,ROW($X264)-ROW($X$15),-1))),IF($C264=0,0,ROUND(SomaAgrup,15-13*$AF$11)))</f>
        <v>0</v>
      </c>
      <c r="Y264" s="127" t="s">
        <v>752</v>
      </c>
      <c r="Z264" t="str">
        <f t="shared" ca="1" si="62"/>
        <v/>
      </c>
      <c r="AA264" s="128">
        <f ca="1">IF($C264="S",IF($Z264="CP",$X264,IF($Z264="RA",(($X264)*QCI!$AA$3),0)),SomaAgrup)</f>
        <v>0</v>
      </c>
      <c r="AB264" s="129">
        <f t="shared" ca="1" si="63"/>
        <v>0</v>
      </c>
      <c r="AC264" s="567" t="str">
        <f ca="1">IF($N264=""," ",
IF(AND($C264&lt;&gt;"S",OR($R264="",$R264="(digite a descrição aqui)")),"DESCRIÇÃO",
IF(AND($C264="S",OR($Q264&lt;&gt;0,$T264&gt;0,$U264&gt;0),$P264=0),"FONTE",
IF(AND($C264="S",$P264&lt;&gt;0,OR($T264&gt;0,$U264&gt;0),$Q264=0),"CÓDIGO",
IF(AND($C264="S",$P264&lt;&gt;0,$Q264&lt;&gt;0,$R264="(Código não identificado nas referências)"),"CÓDIGO N/ID",
IF(AND($C264="S",OR($R264="",$R264="(digite a descrição aqui)"),OR($Q264&lt;&gt;0,$T264&gt;0,$U264&gt;0)),"DESCRIÇÃO",
IF(AND($C264="S",$P264&lt;&gt;0,$Q264&lt;&gt;0,$S264=""),"UNIDADE",
IF(AND($C264="S",$P264&lt;&gt;0,$Q264&lt;&gt;0,$U264=0),"SEM CUSTO",
IF(AND(TIPOORCAMENTO="Licitado",$AL264=0,$AN264&gt;0),"SEM PREÇO",
IF(AND($C264="S",$P264&lt;&gt;0,$Q264&lt;&gt;0,$U264&gt;0,$V264=0),"BDI",
IF(OR(AND(TIPOORCAMENTO="Proposto",$AG264&lt;&gt;"",$AG264&gt;0,ORÇAMENTO.CustoUnitario&gt;$AG264),AND(TIPOORCAMENTO="LICITADO",ORÇAMENTO.PrecoUnitarioLicitado&gt;$AN264)),"ACIMA REF.",
IF(AND($C264="S",$P264&lt;&gt;0,$Q264&lt;&gt;0,$T264=0,$U264&gt;0),"QUANT.",
IF(AND(Import.TipoArredondamento="TransfereGOV",$L264="F",$C264="S",LEN($Q264)&gt;13),"Código &gt;13",
IF(AND(Import.TipoArredondamento="TransfereGOV",$L264="F",$C264&lt;&gt;"S",LEN($R264)&gt;100),"Descrição &gt;100",
IF(AND(Import.TipoArredondamento="TransfereGOV",$L264="F",$C264="S",LEN($R264)&gt;500),"Descrição &gt;500",
IF(AND(Import.TipoArredondamento="TransfereGOV",$L264="F",$C264="S",LEFT(TRIM(UPPER($P264)),6)&lt;&gt;"SINAPI",ISNA(VLOOKUP(TRIM(UPPER($S264)),ListaTgov.Unidades,1,FALSE))),"Unid. Não Disp",
" "))))))))))))))))</f>
        <v>SEM CUSTO</v>
      </c>
      <c r="AD264" t="str">
        <f ca="1">IF(C264&lt;=CRONO.NivelExibicao,MAX($AD$15:OFFSET(AD264,-1,0))+IF($C264&lt;&gt;1,1,MAX(1,COUNTIF(QCI!$A$13:$A$24,OFFSET($E264,-1,0)))),"")</f>
        <v/>
      </c>
      <c r="AE264" s="7" t="str">
        <f ca="1">IF(AND($C264="S",ORÇAMENTO.CodBarra&lt;&gt;""),IF(ORÇAMENTO.Fonte="",ORÇAMENTO.CodBarra,CONCATENATE(ORÇAMENTO.Fonte," ",ORÇAMENTO.CodBarra)))</f>
        <v>SINAPI 89557</v>
      </c>
      <c r="AF264" s="12" t="str">
        <f ca="1">IF(ISERROR(INDIRECT(ORÇAMENTO.BancoRef)),"(abra o arquivo 'Referência "&amp;Excel_BuiltIn_Database&amp;".xlsm)",IF(OR($C264&lt;&gt;"S",ORÇAMENTO.CodBarra=""),"(Sem Código)",IF(ISERROR(MATCH($AE264,INDIRECT(ORÇAMENTO.BancoRef),0)),"(Código não identificado nas referências)",MATCH($AE264,INDIRECT(ORÇAMENTO.BancoRef),0))))</f>
        <v>(abra o arquivo 'Referência 12-2024.xlsm)</v>
      </c>
      <c r="AG264" s="429">
        <f ca="1">ROUND(IF(DESONERACAO="sim",REFERENCIA.Desonerado,REFERENCIA.NaoDesonerado),2)</f>
        <v>0</v>
      </c>
      <c r="AH264" s="430">
        <f t="shared" ca="1" si="64"/>
        <v>0.31190000000000001</v>
      </c>
      <c r="AJ264" s="432">
        <v>59</v>
      </c>
      <c r="AL264" s="440"/>
      <c r="AM264" s="337">
        <f t="shared" ca="1" si="0"/>
        <v>0</v>
      </c>
      <c r="AN264" s="471">
        <f t="shared" ca="1" si="65"/>
        <v>0</v>
      </c>
    </row>
    <row r="265" spans="1:40" ht="38.25" x14ac:dyDescent="0.2">
      <c r="A265" t="str">
        <f t="shared" si="50"/>
        <v>S</v>
      </c>
      <c r="B265">
        <f t="shared" ca="1" si="51"/>
        <v>2</v>
      </c>
      <c r="C265" t="str">
        <f t="shared" ca="1" si="52"/>
        <v>S</v>
      </c>
      <c r="D265">
        <f t="shared" ca="1" si="53"/>
        <v>0</v>
      </c>
      <c r="E265">
        <f ca="1">IF($C265=1,OFFSET(E265,-1,0)+MAX(1,COUNTIF(QCI!$A$13:$A$24,OFFSET(ORÇAMENTO!E265,-1,0))),OFFSET(E265,-1,0))</f>
        <v>1</v>
      </c>
      <c r="F265">
        <f t="shared" ca="1" si="54"/>
        <v>15</v>
      </c>
      <c r="G265">
        <f t="shared" ca="1" si="55"/>
        <v>0</v>
      </c>
      <c r="H265">
        <f t="shared" ca="1" si="56"/>
        <v>0</v>
      </c>
      <c r="I265">
        <f t="shared" ca="1" si="57"/>
        <v>0</v>
      </c>
      <c r="J265">
        <f t="shared" ca="1" si="58"/>
        <v>0</v>
      </c>
      <c r="K265">
        <f ca="1">IF(OR($C265="S",$C265=0),0,MATCH(OFFSET($D265,0,$C265)+IF($C265&lt;&gt;1,1,COUNTIF(QCI!$A$13:$A$24,ORÇAMENTO!E265)),OFFSET($D265,1,$C265,ROW($C$405)-ROW($C265)),0))</f>
        <v>0</v>
      </c>
      <c r="L265" s="115" t="str">
        <f t="shared" ca="1" si="59"/>
        <v/>
      </c>
      <c r="M265" s="116" t="s">
        <v>706</v>
      </c>
      <c r="N265" s="117" t="str">
        <f t="shared" ca="1" si="60"/>
        <v>Serviço</v>
      </c>
      <c r="O265" s="118" t="str">
        <f t="shared" ca="1" si="61"/>
        <v>-</v>
      </c>
      <c r="P265" s="119" t="s">
        <v>751</v>
      </c>
      <c r="Q265" s="120" t="s">
        <v>1161</v>
      </c>
      <c r="R265" s="121" t="s">
        <v>1533</v>
      </c>
      <c r="S265" s="122" t="s">
        <v>621</v>
      </c>
      <c r="T265" s="123">
        <f ca="1">OFFSET(CÁLCULO!H$15,ROW($T265)-ROW(T$15),0)</f>
        <v>185.9</v>
      </c>
      <c r="U265" s="124"/>
      <c r="V265" s="125" t="s">
        <v>663</v>
      </c>
      <c r="W265" s="123">
        <f ca="1">IF($C265="S",ROUND(IF(TIPOORCAMENTO="Proposto",ORÇAMENTO.CustoUnitario*(1+$AH265),ORÇAMENTO.PrecoUnitarioLicitado),15-13*$AF$10),0)</f>
        <v>0</v>
      </c>
      <c r="X265" s="126" cm="1">
        <f t="array" aca="1" ref="X265" ca="1">IF($C265="S",IF(OR(Import.TipoArredondamento&lt;&gt;"TransfereGOV",ACOMPANHAMENTO="BM"),VTOTAL1,SUM(OFFSET(CÁLCULO!$AA$15,ROW($X265)-ROW($X$15),1):OFFSET(CÁLCULO!$AL$15,ROW($X265)-ROW($X$15),-1))),IF($C265=0,0,ROUND(SomaAgrup,15-13*$AF$11)))</f>
        <v>0</v>
      </c>
      <c r="Y265" s="127" t="s">
        <v>752</v>
      </c>
      <c r="Z265" t="str">
        <f t="shared" ca="1" si="62"/>
        <v/>
      </c>
      <c r="AA265" s="128">
        <f ca="1">IF($C265="S",IF($Z265="CP",$X265,IF($Z265="RA",(($X265)*QCI!$AA$3),0)),SomaAgrup)</f>
        <v>0</v>
      </c>
      <c r="AB265" s="129">
        <f t="shared" ca="1" si="63"/>
        <v>0</v>
      </c>
      <c r="AC265" s="567" t="str">
        <f ca="1">IF($N265=""," ",
IF(AND($C265&lt;&gt;"S",OR($R265="",$R265="(digite a descrição aqui)")),"DESCRIÇÃO",
IF(AND($C265="S",OR($Q265&lt;&gt;0,$T265&gt;0,$U265&gt;0),$P265=0),"FONTE",
IF(AND($C265="S",$P265&lt;&gt;0,OR($T265&gt;0,$U265&gt;0),$Q265=0),"CÓDIGO",
IF(AND($C265="S",$P265&lt;&gt;0,$Q265&lt;&gt;0,$R265="(Código não identificado nas referências)"),"CÓDIGO N/ID",
IF(AND($C265="S",OR($R265="",$R265="(digite a descrição aqui)"),OR($Q265&lt;&gt;0,$T265&gt;0,$U265&gt;0)),"DESCRIÇÃO",
IF(AND($C265="S",$P265&lt;&gt;0,$Q265&lt;&gt;0,$S265=""),"UNIDADE",
IF(AND($C265="S",$P265&lt;&gt;0,$Q265&lt;&gt;0,$U265=0),"SEM CUSTO",
IF(AND(TIPOORCAMENTO="Licitado",$AL265=0,$AN265&gt;0),"SEM PREÇO",
IF(AND($C265="S",$P265&lt;&gt;0,$Q265&lt;&gt;0,$U265&gt;0,$V265=0),"BDI",
IF(OR(AND(TIPOORCAMENTO="Proposto",$AG265&lt;&gt;"",$AG265&gt;0,ORÇAMENTO.CustoUnitario&gt;$AG265),AND(TIPOORCAMENTO="LICITADO",ORÇAMENTO.PrecoUnitarioLicitado&gt;$AN265)),"ACIMA REF.",
IF(AND($C265="S",$P265&lt;&gt;0,$Q265&lt;&gt;0,$T265=0,$U265&gt;0),"QUANT.",
IF(AND(Import.TipoArredondamento="TransfereGOV",$L265="F",$C265="S",LEN($Q265)&gt;13),"Código &gt;13",
IF(AND(Import.TipoArredondamento="TransfereGOV",$L265="F",$C265&lt;&gt;"S",LEN($R265)&gt;100),"Descrição &gt;100",
IF(AND(Import.TipoArredondamento="TransfereGOV",$L265="F",$C265="S",LEN($R265)&gt;500),"Descrição &gt;500",
IF(AND(Import.TipoArredondamento="TransfereGOV",$L265="F",$C265="S",LEFT(TRIM(UPPER($P265)),6)&lt;&gt;"SINAPI",ISNA(VLOOKUP(TRIM(UPPER($S265)),ListaTgov.Unidades,1,FALSE))),"Unid. Não Disp",
" "))))))))))))))))</f>
        <v>SEM CUSTO</v>
      </c>
      <c r="AD265" t="str">
        <f ca="1">IF(C265&lt;=CRONO.NivelExibicao,MAX($AD$15:OFFSET(AD265,-1,0))+IF($C265&lt;&gt;1,1,MAX(1,COUNTIF(QCI!$A$13:$A$24,OFFSET($E265,-1,0)))),"")</f>
        <v/>
      </c>
      <c r="AE265" s="7" t="str">
        <f ca="1">IF(AND($C265="S",ORÇAMENTO.CodBarra&lt;&gt;""),IF(ORÇAMENTO.Fonte="",ORÇAMENTO.CodBarra,CONCATENATE(ORÇAMENTO.Fonte," ",ORÇAMENTO.CodBarra)))</f>
        <v>SINAPI 89578</v>
      </c>
      <c r="AF265" s="12" t="str">
        <f ca="1">IF(ISERROR(INDIRECT(ORÇAMENTO.BancoRef)),"(abra o arquivo 'Referência "&amp;Excel_BuiltIn_Database&amp;".xlsm)",IF(OR($C265&lt;&gt;"S",ORÇAMENTO.CodBarra=""),"(Sem Código)",IF(ISERROR(MATCH($AE265,INDIRECT(ORÇAMENTO.BancoRef),0)),"(Código não identificado nas referências)",MATCH($AE265,INDIRECT(ORÇAMENTO.BancoRef),0))))</f>
        <v>(abra o arquivo 'Referência 12-2024.xlsm)</v>
      </c>
      <c r="AG265" s="429">
        <f ca="1">ROUND(IF(DESONERACAO="sim",REFERENCIA.Desonerado,REFERENCIA.NaoDesonerado),2)</f>
        <v>0</v>
      </c>
      <c r="AH265" s="430">
        <f t="shared" ca="1" si="64"/>
        <v>0.31190000000000001</v>
      </c>
      <c r="AJ265" s="432">
        <v>185.9</v>
      </c>
      <c r="AL265" s="440"/>
      <c r="AM265" s="337">
        <f t="shared" ca="1" si="0"/>
        <v>0</v>
      </c>
      <c r="AN265" s="471">
        <f t="shared" ca="1" si="65"/>
        <v>0</v>
      </c>
    </row>
    <row r="266" spans="1:40" ht="38.25" x14ac:dyDescent="0.2">
      <c r="A266" t="str">
        <f t="shared" si="50"/>
        <v>S</v>
      </c>
      <c r="B266">
        <f t="shared" ca="1" si="51"/>
        <v>2</v>
      </c>
      <c r="C266" t="str">
        <f t="shared" ca="1" si="52"/>
        <v>S</v>
      </c>
      <c r="D266">
        <f t="shared" ca="1" si="53"/>
        <v>0</v>
      </c>
      <c r="E266">
        <f ca="1">IF($C266=1,OFFSET(E266,-1,0)+MAX(1,COUNTIF(QCI!$A$13:$A$24,OFFSET(ORÇAMENTO!E266,-1,0))),OFFSET(E266,-1,0))</f>
        <v>1</v>
      </c>
      <c r="F266">
        <f t="shared" ca="1" si="54"/>
        <v>15</v>
      </c>
      <c r="G266">
        <f t="shared" ca="1" si="55"/>
        <v>0</v>
      </c>
      <c r="H266">
        <f t="shared" ca="1" si="56"/>
        <v>0</v>
      </c>
      <c r="I266">
        <f t="shared" ca="1" si="57"/>
        <v>0</v>
      </c>
      <c r="J266">
        <f t="shared" ca="1" si="58"/>
        <v>0</v>
      </c>
      <c r="K266">
        <f ca="1">IF(OR($C266="S",$C266=0),0,MATCH(OFFSET($D266,0,$C266)+IF($C266&lt;&gt;1,1,COUNTIF(QCI!$A$13:$A$24,ORÇAMENTO!E266)),OFFSET($D266,1,$C266,ROW($C$405)-ROW($C266)),0))</f>
        <v>0</v>
      </c>
      <c r="L266" s="115" t="str">
        <f t="shared" ca="1" si="59"/>
        <v/>
      </c>
      <c r="M266" s="116" t="s">
        <v>706</v>
      </c>
      <c r="N266" s="117" t="str">
        <f t="shared" ca="1" si="60"/>
        <v>Serviço</v>
      </c>
      <c r="O266" s="118" t="str">
        <f t="shared" ca="1" si="61"/>
        <v>-</v>
      </c>
      <c r="P266" s="119" t="s">
        <v>751</v>
      </c>
      <c r="Q266" s="120" t="s">
        <v>1162</v>
      </c>
      <c r="R266" s="121" t="s">
        <v>1534</v>
      </c>
      <c r="S266" s="122" t="s">
        <v>621</v>
      </c>
      <c r="T266" s="123">
        <f ca="1">OFFSET(CÁLCULO!H$15,ROW($T266)-ROW(T$15),0)</f>
        <v>175.9</v>
      </c>
      <c r="U266" s="124"/>
      <c r="V266" s="125" t="s">
        <v>663</v>
      </c>
      <c r="W266" s="123">
        <f ca="1">IF($C266="S",ROUND(IF(TIPOORCAMENTO="Proposto",ORÇAMENTO.CustoUnitario*(1+$AH266),ORÇAMENTO.PrecoUnitarioLicitado),15-13*$AF$10),0)</f>
        <v>0</v>
      </c>
      <c r="X266" s="126" cm="1">
        <f t="array" aca="1" ref="X266" ca="1">IF($C266="S",IF(OR(Import.TipoArredondamento&lt;&gt;"TransfereGOV",ACOMPANHAMENTO="BM"),VTOTAL1,SUM(OFFSET(CÁLCULO!$AA$15,ROW($X266)-ROW($X$15),1):OFFSET(CÁLCULO!$AL$15,ROW($X266)-ROW($X$15),-1))),IF($C266=0,0,ROUND(SomaAgrup,15-13*$AF$11)))</f>
        <v>0</v>
      </c>
      <c r="Y266" s="127" t="s">
        <v>752</v>
      </c>
      <c r="Z266" t="str">
        <f t="shared" ca="1" si="62"/>
        <v/>
      </c>
      <c r="AA266" s="128">
        <f ca="1">IF($C266="S",IF($Z266="CP",$X266,IF($Z266="RA",(($X266)*QCI!$AA$3),0)),SomaAgrup)</f>
        <v>0</v>
      </c>
      <c r="AB266" s="129">
        <f t="shared" ca="1" si="63"/>
        <v>0</v>
      </c>
      <c r="AC266" s="567" t="str">
        <f ca="1">IF($N266=""," ",
IF(AND($C266&lt;&gt;"S",OR($R266="",$R266="(digite a descrição aqui)")),"DESCRIÇÃO",
IF(AND($C266="S",OR($Q266&lt;&gt;0,$T266&gt;0,$U266&gt;0),$P266=0),"FONTE",
IF(AND($C266="S",$P266&lt;&gt;0,OR($T266&gt;0,$U266&gt;0),$Q266=0),"CÓDIGO",
IF(AND($C266="S",$P266&lt;&gt;0,$Q266&lt;&gt;0,$R266="(Código não identificado nas referências)"),"CÓDIGO N/ID",
IF(AND($C266="S",OR($R266="",$R266="(digite a descrição aqui)"),OR($Q266&lt;&gt;0,$T266&gt;0,$U266&gt;0)),"DESCRIÇÃO",
IF(AND($C266="S",$P266&lt;&gt;0,$Q266&lt;&gt;0,$S266=""),"UNIDADE",
IF(AND($C266="S",$P266&lt;&gt;0,$Q266&lt;&gt;0,$U266=0),"SEM CUSTO",
IF(AND(TIPOORCAMENTO="Licitado",$AL266=0,$AN266&gt;0),"SEM PREÇO",
IF(AND($C266="S",$P266&lt;&gt;0,$Q266&lt;&gt;0,$U266&gt;0,$V266=0),"BDI",
IF(OR(AND(TIPOORCAMENTO="Proposto",$AG266&lt;&gt;"",$AG266&gt;0,ORÇAMENTO.CustoUnitario&gt;$AG266),AND(TIPOORCAMENTO="LICITADO",ORÇAMENTO.PrecoUnitarioLicitado&gt;$AN266)),"ACIMA REF.",
IF(AND($C266="S",$P266&lt;&gt;0,$Q266&lt;&gt;0,$T266=0,$U266&gt;0),"QUANT.",
IF(AND(Import.TipoArredondamento="TransfereGOV",$L266="F",$C266="S",LEN($Q266)&gt;13),"Código &gt;13",
IF(AND(Import.TipoArredondamento="TransfereGOV",$L266="F",$C266&lt;&gt;"S",LEN($R266)&gt;100),"Descrição &gt;100",
IF(AND(Import.TipoArredondamento="TransfereGOV",$L266="F",$C266="S",LEN($R266)&gt;500),"Descrição &gt;500",
IF(AND(Import.TipoArredondamento="TransfereGOV",$L266="F",$C266="S",LEFT(TRIM(UPPER($P266)),6)&lt;&gt;"SINAPI",ISNA(VLOOKUP(TRIM(UPPER($S266)),ListaTgov.Unidades,1,FALSE))),"Unid. Não Disp",
" "))))))))))))))))</f>
        <v>SEM CUSTO</v>
      </c>
      <c r="AD266" t="str">
        <f ca="1">IF(C266&lt;=CRONO.NivelExibicao,MAX($AD$15:OFFSET(AD266,-1,0))+IF($C266&lt;&gt;1,1,MAX(1,COUNTIF(QCI!$A$13:$A$24,OFFSET($E266,-1,0)))),"")</f>
        <v/>
      </c>
      <c r="AE266" s="7" t="str">
        <f ca="1">IF(AND($C266="S",ORÇAMENTO.CodBarra&lt;&gt;""),IF(ORÇAMENTO.Fonte="",ORÇAMENTO.CodBarra,CONCATENATE(ORÇAMENTO.Fonte," ",ORÇAMENTO.CodBarra)))</f>
        <v>SINAPI 89580</v>
      </c>
      <c r="AF266" s="12" t="str">
        <f ca="1">IF(ISERROR(INDIRECT(ORÇAMENTO.BancoRef)),"(abra o arquivo 'Referência "&amp;Excel_BuiltIn_Database&amp;".xlsm)",IF(OR($C266&lt;&gt;"S",ORÇAMENTO.CodBarra=""),"(Sem Código)",IF(ISERROR(MATCH($AE266,INDIRECT(ORÇAMENTO.BancoRef),0)),"(Código não identificado nas referências)",MATCH($AE266,INDIRECT(ORÇAMENTO.BancoRef),0))))</f>
        <v>(abra o arquivo 'Referência 12-2024.xlsm)</v>
      </c>
      <c r="AG266" s="429">
        <f ca="1">ROUND(IF(DESONERACAO="sim",REFERENCIA.Desonerado,REFERENCIA.NaoDesonerado),2)</f>
        <v>0</v>
      </c>
      <c r="AH266" s="430">
        <f t="shared" ca="1" si="64"/>
        <v>0.31190000000000001</v>
      </c>
      <c r="AJ266" s="432">
        <v>175.9</v>
      </c>
      <c r="AL266" s="440"/>
      <c r="AM266" s="337">
        <f t="shared" ca="1" si="0"/>
        <v>0</v>
      </c>
      <c r="AN266" s="471">
        <f t="shared" ca="1" si="65"/>
        <v>0</v>
      </c>
    </row>
    <row r="267" spans="1:40" ht="38.25" x14ac:dyDescent="0.2">
      <c r="A267" t="str">
        <f t="shared" si="50"/>
        <v>S</v>
      </c>
      <c r="B267">
        <f t="shared" ca="1" si="51"/>
        <v>2</v>
      </c>
      <c r="C267" t="str">
        <f t="shared" ca="1" si="52"/>
        <v>S</v>
      </c>
      <c r="D267">
        <f t="shared" ca="1" si="53"/>
        <v>0</v>
      </c>
      <c r="E267">
        <f ca="1">IF($C267=1,OFFSET(E267,-1,0)+MAX(1,COUNTIF(QCI!$A$13:$A$24,OFFSET(ORÇAMENTO!E267,-1,0))),OFFSET(E267,-1,0))</f>
        <v>1</v>
      </c>
      <c r="F267">
        <f t="shared" ca="1" si="54"/>
        <v>15</v>
      </c>
      <c r="G267">
        <f t="shared" ca="1" si="55"/>
        <v>0</v>
      </c>
      <c r="H267">
        <f t="shared" ca="1" si="56"/>
        <v>0</v>
      </c>
      <c r="I267">
        <f t="shared" ca="1" si="57"/>
        <v>0</v>
      </c>
      <c r="J267">
        <f t="shared" ca="1" si="58"/>
        <v>0</v>
      </c>
      <c r="K267">
        <f ca="1">IF(OR($C267="S",$C267=0),0,MATCH(OFFSET($D267,0,$C267)+IF($C267&lt;&gt;1,1,COUNTIF(QCI!$A$13:$A$24,ORÇAMENTO!E267)),OFFSET($D267,1,$C267,ROW($C$405)-ROW($C267)),0))</f>
        <v>0</v>
      </c>
      <c r="L267" s="115" t="str">
        <f t="shared" ca="1" si="59"/>
        <v/>
      </c>
      <c r="M267" s="116" t="s">
        <v>706</v>
      </c>
      <c r="N267" s="117" t="str">
        <f t="shared" ca="1" si="60"/>
        <v>Serviço</v>
      </c>
      <c r="O267" s="118" t="str">
        <f t="shared" ca="1" si="61"/>
        <v>-</v>
      </c>
      <c r="P267" s="119" t="s">
        <v>751</v>
      </c>
      <c r="Q267" s="120" t="s">
        <v>1163</v>
      </c>
      <c r="R267" s="121" t="s">
        <v>1535</v>
      </c>
      <c r="S267" s="122" t="s">
        <v>621</v>
      </c>
      <c r="T267" s="123">
        <f ca="1">OFFSET(CÁLCULO!H$15,ROW($T267)-ROW(T$15),0)</f>
        <v>427.4</v>
      </c>
      <c r="U267" s="124"/>
      <c r="V267" s="125" t="s">
        <v>663</v>
      </c>
      <c r="W267" s="123">
        <f ca="1">IF($C267="S",ROUND(IF(TIPOORCAMENTO="Proposto",ORÇAMENTO.CustoUnitario*(1+$AH267),ORÇAMENTO.PrecoUnitarioLicitado),15-13*$AF$10),0)</f>
        <v>0</v>
      </c>
      <c r="X267" s="126" cm="1">
        <f t="array" aca="1" ref="X267" ca="1">IF($C267="S",IF(OR(Import.TipoArredondamento&lt;&gt;"TransfereGOV",ACOMPANHAMENTO="BM"),VTOTAL1,SUM(OFFSET(CÁLCULO!$AA$15,ROW($X267)-ROW($X$15),1):OFFSET(CÁLCULO!$AL$15,ROW($X267)-ROW($X$15),-1))),IF($C267=0,0,ROUND(SomaAgrup,15-13*$AF$11)))</f>
        <v>0</v>
      </c>
      <c r="Y267" s="127" t="s">
        <v>752</v>
      </c>
      <c r="Z267" t="str">
        <f t="shared" ca="1" si="62"/>
        <v/>
      </c>
      <c r="AA267" s="128">
        <f ca="1">IF($C267="S",IF($Z267="CP",$X267,IF($Z267="RA",(($X267)*QCI!$AA$3),0)),SomaAgrup)</f>
        <v>0</v>
      </c>
      <c r="AB267" s="129">
        <f t="shared" ca="1" si="63"/>
        <v>0</v>
      </c>
      <c r="AC267" s="567" t="str">
        <f ca="1">IF($N267=""," ",
IF(AND($C267&lt;&gt;"S",OR($R267="",$R267="(digite a descrição aqui)")),"DESCRIÇÃO",
IF(AND($C267="S",OR($Q267&lt;&gt;0,$T267&gt;0,$U267&gt;0),$P267=0),"FONTE",
IF(AND($C267="S",$P267&lt;&gt;0,OR($T267&gt;0,$U267&gt;0),$Q267=0),"CÓDIGO",
IF(AND($C267="S",$P267&lt;&gt;0,$Q267&lt;&gt;0,$R267="(Código não identificado nas referências)"),"CÓDIGO N/ID",
IF(AND($C267="S",OR($R267="",$R267="(digite a descrição aqui)"),OR($Q267&lt;&gt;0,$T267&gt;0,$U267&gt;0)),"DESCRIÇÃO",
IF(AND($C267="S",$P267&lt;&gt;0,$Q267&lt;&gt;0,$S267=""),"UNIDADE",
IF(AND($C267="S",$P267&lt;&gt;0,$Q267&lt;&gt;0,$U267=0),"SEM CUSTO",
IF(AND(TIPOORCAMENTO="Licitado",$AL267=0,$AN267&gt;0),"SEM PREÇO",
IF(AND($C267="S",$P267&lt;&gt;0,$Q267&lt;&gt;0,$U267&gt;0,$V267=0),"BDI",
IF(OR(AND(TIPOORCAMENTO="Proposto",$AG267&lt;&gt;"",$AG267&gt;0,ORÇAMENTO.CustoUnitario&gt;$AG267),AND(TIPOORCAMENTO="LICITADO",ORÇAMENTO.PrecoUnitarioLicitado&gt;$AN267)),"ACIMA REF.",
IF(AND($C267="S",$P267&lt;&gt;0,$Q267&lt;&gt;0,$T267=0,$U267&gt;0),"QUANT.",
IF(AND(Import.TipoArredondamento="TransfereGOV",$L267="F",$C267="S",LEN($Q267)&gt;13),"Código &gt;13",
IF(AND(Import.TipoArredondamento="TransfereGOV",$L267="F",$C267&lt;&gt;"S",LEN($R267)&gt;100),"Descrição &gt;100",
IF(AND(Import.TipoArredondamento="TransfereGOV",$L267="F",$C267="S",LEN($R267)&gt;500),"Descrição &gt;500",
IF(AND(Import.TipoArredondamento="TransfereGOV",$L267="F",$C267="S",LEFT(TRIM(UPPER($P267)),6)&lt;&gt;"SINAPI",ISNA(VLOOKUP(TRIM(UPPER($S267)),ListaTgov.Unidades,1,FALSE))),"Unid. Não Disp",
" "))))))))))))))))</f>
        <v>SEM CUSTO</v>
      </c>
      <c r="AD267" t="str">
        <f ca="1">IF(C267&lt;=CRONO.NivelExibicao,MAX($AD$15:OFFSET(AD267,-1,0))+IF($C267&lt;&gt;1,1,MAX(1,COUNTIF(QCI!$A$13:$A$24,OFFSET($E267,-1,0)))),"")</f>
        <v/>
      </c>
      <c r="AE267" s="7" t="str">
        <f ca="1">IF(AND($C267="S",ORÇAMENTO.CodBarra&lt;&gt;""),IF(ORÇAMENTO.Fonte="",ORÇAMENTO.CodBarra,CONCATENATE(ORÇAMENTO.Fonte," ",ORÇAMENTO.CodBarra)))</f>
        <v>SINAPI 89576</v>
      </c>
      <c r="AF267" s="12" t="str">
        <f ca="1">IF(ISERROR(INDIRECT(ORÇAMENTO.BancoRef)),"(abra o arquivo 'Referência "&amp;Excel_BuiltIn_Database&amp;".xlsm)",IF(OR($C267&lt;&gt;"S",ORÇAMENTO.CodBarra=""),"(Sem Código)",IF(ISERROR(MATCH($AE267,INDIRECT(ORÇAMENTO.BancoRef),0)),"(Código não identificado nas referências)",MATCH($AE267,INDIRECT(ORÇAMENTO.BancoRef),0))))</f>
        <v>(abra o arquivo 'Referência 12-2024.xlsm)</v>
      </c>
      <c r="AG267" s="429">
        <f ca="1">ROUND(IF(DESONERACAO="sim",REFERENCIA.Desonerado,REFERENCIA.NaoDesonerado),2)</f>
        <v>0</v>
      </c>
      <c r="AH267" s="430">
        <f t="shared" ca="1" si="64"/>
        <v>0.31190000000000001</v>
      </c>
      <c r="AJ267" s="432">
        <v>427.4</v>
      </c>
      <c r="AL267" s="440"/>
      <c r="AM267" s="337">
        <f t="shared" ca="1" si="0"/>
        <v>0</v>
      </c>
      <c r="AN267" s="471">
        <f t="shared" ca="1" si="65"/>
        <v>0</v>
      </c>
    </row>
    <row r="268" spans="1:40" x14ac:dyDescent="0.2">
      <c r="A268">
        <f t="shared" si="50"/>
        <v>2</v>
      </c>
      <c r="B268">
        <f t="shared" ca="1" si="51"/>
        <v>2</v>
      </c>
      <c r="C268">
        <f t="shared" ca="1" si="52"/>
        <v>2</v>
      </c>
      <c r="D268">
        <f t="shared" ca="1" si="53"/>
        <v>57</v>
      </c>
      <c r="E268">
        <f ca="1">IF($C268=1,OFFSET(E268,-1,0)+MAX(1,COUNTIF(QCI!$A$13:$A$24,OFFSET(ORÇAMENTO!E268,-1,0))),OFFSET(E268,-1,0))</f>
        <v>1</v>
      </c>
      <c r="F268">
        <f t="shared" ca="1" si="54"/>
        <v>16</v>
      </c>
      <c r="G268">
        <f t="shared" ca="1" si="55"/>
        <v>0</v>
      </c>
      <c r="H268">
        <f t="shared" ca="1" si="56"/>
        <v>0</v>
      </c>
      <c r="I268">
        <f t="shared" ca="1" si="57"/>
        <v>0</v>
      </c>
      <c r="J268">
        <f t="shared" ca="1" si="58"/>
        <v>137</v>
      </c>
      <c r="K268">
        <f ca="1">IF(OR($C268="S",$C268=0),0,MATCH(OFFSET($D268,0,$C268)+IF($C268&lt;&gt;1,1,COUNTIF(QCI!$A$13:$A$24,ORÇAMENTO!E268)),OFFSET($D268,1,$C268,ROW($C$405)-ROW($C268)),0))</f>
        <v>57</v>
      </c>
      <c r="L268" s="115" t="str">
        <f t="shared" ca="1" si="59"/>
        <v>F</v>
      </c>
      <c r="M268" s="116" t="s">
        <v>703</v>
      </c>
      <c r="N268" s="117" t="str">
        <f t="shared" ca="1" si="60"/>
        <v>Nível 2</v>
      </c>
      <c r="O268" s="118" t="str">
        <f t="shared" ca="1" si="61"/>
        <v>1.16.</v>
      </c>
      <c r="P268" s="119" t="s">
        <v>751</v>
      </c>
      <c r="Q268" s="120"/>
      <c r="R268" s="121" t="s">
        <v>1296</v>
      </c>
      <c r="S268" s="122" t="s">
        <v>689</v>
      </c>
      <c r="T268" s="123">
        <f ca="1">OFFSET(CÁLCULO!H$15,ROW($T268)-ROW(T$15),0)</f>
        <v>0</v>
      </c>
      <c r="U268" s="124"/>
      <c r="V268" s="125" t="s">
        <v>663</v>
      </c>
      <c r="W268" s="123">
        <f ca="1">IF($C268="S",ROUND(IF(TIPOORCAMENTO="Proposto",ORÇAMENTO.CustoUnitario*(1+$AH268),ORÇAMENTO.PrecoUnitarioLicitado),15-13*$AF$10),0)</f>
        <v>0</v>
      </c>
      <c r="X268" s="126" cm="1">
        <f t="array" aca="1" ref="X268" ca="1">IF($C268="S",IF(OR(Import.TipoArredondamento&lt;&gt;"TransfereGOV",ACOMPANHAMENTO="BM"),VTOTAL1,SUM(OFFSET(CÁLCULO!$AA$15,ROW($X268)-ROW($X$15),1):OFFSET(CÁLCULO!$AL$15,ROW($X268)-ROW($X$15),-1))),IF($C268=0,0,ROUND(SomaAgrup,15-13*$AF$11)))</f>
        <v>0</v>
      </c>
      <c r="Y268" s="127" t="s">
        <v>752</v>
      </c>
      <c r="Z268" t="str">
        <f t="shared" ca="1" si="62"/>
        <v/>
      </c>
      <c r="AA268" s="128">
        <f ca="1">IF($C268="S",IF($Z268="CP",$X268,IF($Z268="RA",(($X268)*QCI!$AA$3),0)),SomaAgrup)</f>
        <v>0</v>
      </c>
      <c r="AB268" s="129">
        <f t="shared" ca="1" si="63"/>
        <v>0</v>
      </c>
      <c r="AC268" s="567" t="str">
        <f ca="1">IF($N268=""," ",
IF(AND($C268&lt;&gt;"S",OR($R268="",$R268="(digite a descrição aqui)")),"DESCRIÇÃO",
IF(AND($C268="S",OR($Q268&lt;&gt;0,$T268&gt;0,$U268&gt;0),$P268=0),"FONTE",
IF(AND($C268="S",$P268&lt;&gt;0,OR($T268&gt;0,$U268&gt;0),$Q268=0),"CÓDIGO",
IF(AND($C268="S",$P268&lt;&gt;0,$Q268&lt;&gt;0,$R268="(Código não identificado nas referências)"),"CÓDIGO N/ID",
IF(AND($C268="S",OR($R268="",$R268="(digite a descrição aqui)"),OR($Q268&lt;&gt;0,$T268&gt;0,$U268&gt;0)),"DESCRIÇÃO",
IF(AND($C268="S",$P268&lt;&gt;0,$Q268&lt;&gt;0,$S268=""),"UNIDADE",
IF(AND($C268="S",$P268&lt;&gt;0,$Q268&lt;&gt;0,$U268=0),"SEM CUSTO",
IF(AND(TIPOORCAMENTO="Licitado",$AL268=0,$AN268&gt;0),"SEM PREÇO",
IF(AND($C268="S",$P268&lt;&gt;0,$Q268&lt;&gt;0,$U268&gt;0,$V268=0),"BDI",
IF(OR(AND(TIPOORCAMENTO="Proposto",$AG268&lt;&gt;"",$AG268&gt;0,ORÇAMENTO.CustoUnitario&gt;$AG268),AND(TIPOORCAMENTO="LICITADO",ORÇAMENTO.PrecoUnitarioLicitado&gt;$AN268)),"ACIMA REF.",
IF(AND($C268="S",$P268&lt;&gt;0,$Q268&lt;&gt;0,$T268=0,$U268&gt;0),"QUANT.",
IF(AND(Import.TipoArredondamento="TransfereGOV",$L268="F",$C268="S",LEN($Q268)&gt;13),"Código &gt;13",
IF(AND(Import.TipoArredondamento="TransfereGOV",$L268="F",$C268&lt;&gt;"S",LEN($R268)&gt;100),"Descrição &gt;100",
IF(AND(Import.TipoArredondamento="TransfereGOV",$L268="F",$C268="S",LEN($R268)&gt;500),"Descrição &gt;500",
IF(AND(Import.TipoArredondamento="TransfereGOV",$L268="F",$C268="S",LEFT(TRIM(UPPER($P268)),6)&lt;&gt;"SINAPI",ISNA(VLOOKUP(TRIM(UPPER($S268)),ListaTgov.Unidades,1,FALSE))),"Unid. Não Disp",
" "))))))))))))))))</f>
        <v xml:space="preserve"> </v>
      </c>
      <c r="AD268">
        <f ca="1">IF(C268&lt;=CRONO.NivelExibicao,MAX($AD$15:OFFSET(AD268,-1,0))+IF($C268&lt;&gt;1,1,MAX(1,COUNTIF(QCI!$A$13:$A$24,OFFSET($E268,-1,0)))),"")</f>
        <v>17</v>
      </c>
      <c r="AE268" s="7" t="b">
        <f ca="1">IF(AND($C268="S",ORÇAMENTO.CodBarra&lt;&gt;""),IF(ORÇAMENTO.Fonte="",ORÇAMENTO.CodBarra,CONCATENATE(ORÇAMENTO.Fonte," ",ORÇAMENTO.CodBarra)))</f>
        <v>0</v>
      </c>
      <c r="AF268" s="12" t="str">
        <f ca="1">IF(ISERROR(INDIRECT(ORÇAMENTO.BancoRef)),"(abra o arquivo 'Referência "&amp;Excel_BuiltIn_Database&amp;".xlsm)",IF(OR($C268&lt;&gt;"S",ORÇAMENTO.CodBarra=""),"(Sem Código)",IF(ISERROR(MATCH($AE268,INDIRECT(ORÇAMENTO.BancoRef),0)),"(Código não identificado nas referências)",MATCH($AE268,INDIRECT(ORÇAMENTO.BancoRef),0))))</f>
        <v>(abra o arquivo 'Referência 12-2024.xlsm)</v>
      </c>
      <c r="AG268" s="429">
        <f ca="1">ROUND(IF(DESONERACAO="sim",REFERENCIA.Desonerado,REFERENCIA.NaoDesonerado),2)</f>
        <v>0</v>
      </c>
      <c r="AH268" s="430">
        <f t="shared" ca="1" si="64"/>
        <v>0.31190000000000001</v>
      </c>
      <c r="AJ268" s="432"/>
      <c r="AL268" s="440"/>
      <c r="AM268" s="337">
        <f t="shared" ca="1" si="0"/>
        <v>0</v>
      </c>
      <c r="AN268" s="471">
        <f t="shared" ca="1" si="65"/>
        <v>0</v>
      </c>
    </row>
    <row r="269" spans="1:40" x14ac:dyDescent="0.2">
      <c r="A269">
        <f t="shared" si="50"/>
        <v>3</v>
      </c>
      <c r="B269">
        <f t="shared" ca="1" si="51"/>
        <v>3</v>
      </c>
      <c r="C269">
        <f t="shared" ca="1" si="52"/>
        <v>3</v>
      </c>
      <c r="D269">
        <f t="shared" ca="1" si="53"/>
        <v>3</v>
      </c>
      <c r="E269">
        <f ca="1">IF($C269=1,OFFSET(E269,-1,0)+MAX(1,COUNTIF(QCI!$A$13:$A$24,OFFSET(ORÇAMENTO!E269,-1,0))),OFFSET(E269,-1,0))</f>
        <v>1</v>
      </c>
      <c r="F269">
        <f t="shared" ca="1" si="54"/>
        <v>16</v>
      </c>
      <c r="G269">
        <f t="shared" ca="1" si="55"/>
        <v>1</v>
      </c>
      <c r="H269">
        <f t="shared" ca="1" si="56"/>
        <v>0</v>
      </c>
      <c r="I269">
        <f t="shared" ca="1" si="57"/>
        <v>0</v>
      </c>
      <c r="J269">
        <f t="shared" ca="1" si="58"/>
        <v>56</v>
      </c>
      <c r="K269">
        <f ca="1">IF(OR($C269="S",$C269=0),0,MATCH(OFFSET($D269,0,$C269)+IF($C269&lt;&gt;1,1,COUNTIF(QCI!$A$13:$A$24,ORÇAMENTO!E269)),OFFSET($D269,1,$C269,ROW($C$405)-ROW($C269)),0))</f>
        <v>3</v>
      </c>
      <c r="L269" s="115" t="str">
        <f t="shared" ca="1" si="59"/>
        <v>F</v>
      </c>
      <c r="M269" s="116" t="s">
        <v>704</v>
      </c>
      <c r="N269" s="117" t="str">
        <f t="shared" ca="1" si="60"/>
        <v>Nível 3</v>
      </c>
      <c r="O269" s="118" t="str">
        <f t="shared" ca="1" si="61"/>
        <v>1.16.1.</v>
      </c>
      <c r="P269" s="119" t="s">
        <v>751</v>
      </c>
      <c r="Q269" s="120"/>
      <c r="R269" s="121" t="s">
        <v>1297</v>
      </c>
      <c r="S269" s="122" t="s">
        <v>689</v>
      </c>
      <c r="T269" s="123">
        <f ca="1">OFFSET(CÁLCULO!H$15,ROW($T269)-ROW(T$15),0)</f>
        <v>0</v>
      </c>
      <c r="U269" s="124"/>
      <c r="V269" s="125" t="s">
        <v>663</v>
      </c>
      <c r="W269" s="123">
        <f ca="1">IF($C269="S",ROUND(IF(TIPOORCAMENTO="Proposto",ORÇAMENTO.CustoUnitario*(1+$AH269),ORÇAMENTO.PrecoUnitarioLicitado),15-13*$AF$10),0)</f>
        <v>0</v>
      </c>
      <c r="X269" s="126" cm="1">
        <f t="array" aca="1" ref="X269" ca="1">IF($C269="S",IF(OR(Import.TipoArredondamento&lt;&gt;"TransfereGOV",ACOMPANHAMENTO="BM"),VTOTAL1,SUM(OFFSET(CÁLCULO!$AA$15,ROW($X269)-ROW($X$15),1):OFFSET(CÁLCULO!$AL$15,ROW($X269)-ROW($X$15),-1))),IF($C269=0,0,ROUND(SomaAgrup,15-13*$AF$11)))</f>
        <v>0</v>
      </c>
      <c r="Y269" s="127" t="s">
        <v>752</v>
      </c>
      <c r="Z269" t="str">
        <f t="shared" ca="1" si="62"/>
        <v/>
      </c>
      <c r="AA269" s="128">
        <f ca="1">IF($C269="S",IF($Z269="CP",$X269,IF($Z269="RA",(($X269)*QCI!$AA$3),0)),SomaAgrup)</f>
        <v>0</v>
      </c>
      <c r="AB269" s="129">
        <f t="shared" ca="1" si="63"/>
        <v>0</v>
      </c>
      <c r="AC269" s="567" t="str">
        <f ca="1">IF($N269=""," ",
IF(AND($C269&lt;&gt;"S",OR($R269="",$R269="(digite a descrição aqui)")),"DESCRIÇÃO",
IF(AND($C269="S",OR($Q269&lt;&gt;0,$T269&gt;0,$U269&gt;0),$P269=0),"FONTE",
IF(AND($C269="S",$P269&lt;&gt;0,OR($T269&gt;0,$U269&gt;0),$Q269=0),"CÓDIGO",
IF(AND($C269="S",$P269&lt;&gt;0,$Q269&lt;&gt;0,$R269="(Código não identificado nas referências)"),"CÓDIGO N/ID",
IF(AND($C269="S",OR($R269="",$R269="(digite a descrição aqui)"),OR($Q269&lt;&gt;0,$T269&gt;0,$U269&gt;0)),"DESCRIÇÃO",
IF(AND($C269="S",$P269&lt;&gt;0,$Q269&lt;&gt;0,$S269=""),"UNIDADE",
IF(AND($C269="S",$P269&lt;&gt;0,$Q269&lt;&gt;0,$U269=0),"SEM CUSTO",
IF(AND(TIPOORCAMENTO="Licitado",$AL269=0,$AN269&gt;0),"SEM PREÇO",
IF(AND($C269="S",$P269&lt;&gt;0,$Q269&lt;&gt;0,$U269&gt;0,$V269=0),"BDI",
IF(OR(AND(TIPOORCAMENTO="Proposto",$AG269&lt;&gt;"",$AG269&gt;0,ORÇAMENTO.CustoUnitario&gt;$AG269),AND(TIPOORCAMENTO="LICITADO",ORÇAMENTO.PrecoUnitarioLicitado&gt;$AN269)),"ACIMA REF.",
IF(AND($C269="S",$P269&lt;&gt;0,$Q269&lt;&gt;0,$T269=0,$U269&gt;0),"QUANT.",
IF(AND(Import.TipoArredondamento="TransfereGOV",$L269="F",$C269="S",LEN($Q269)&gt;13),"Código &gt;13",
IF(AND(Import.TipoArredondamento="TransfereGOV",$L269="F",$C269&lt;&gt;"S",LEN($R269)&gt;100),"Descrição &gt;100",
IF(AND(Import.TipoArredondamento="TransfereGOV",$L269="F",$C269="S",LEN($R269)&gt;500),"Descrição &gt;500",
IF(AND(Import.TipoArredondamento="TransfereGOV",$L269="F",$C269="S",LEFT(TRIM(UPPER($P269)),6)&lt;&gt;"SINAPI",ISNA(VLOOKUP(TRIM(UPPER($S269)),ListaTgov.Unidades,1,FALSE))),"Unid. Não Disp",
" "))))))))))))))))</f>
        <v xml:space="preserve"> </v>
      </c>
      <c r="AD269" t="str">
        <f ca="1">IF(C269&lt;=CRONO.NivelExibicao,MAX($AD$15:OFFSET(AD269,-1,0))+IF($C269&lt;&gt;1,1,MAX(1,COUNTIF(QCI!$A$13:$A$24,OFFSET($E269,-1,0)))),"")</f>
        <v/>
      </c>
      <c r="AE269" s="7" t="b">
        <f ca="1">IF(AND($C269="S",ORÇAMENTO.CodBarra&lt;&gt;""),IF(ORÇAMENTO.Fonte="",ORÇAMENTO.CodBarra,CONCATENATE(ORÇAMENTO.Fonte," ",ORÇAMENTO.CodBarra)))</f>
        <v>0</v>
      </c>
      <c r="AF269" s="12" t="str">
        <f ca="1">IF(ISERROR(INDIRECT(ORÇAMENTO.BancoRef)),"(abra o arquivo 'Referência "&amp;Excel_BuiltIn_Database&amp;".xlsm)",IF(OR($C269&lt;&gt;"S",ORÇAMENTO.CodBarra=""),"(Sem Código)",IF(ISERROR(MATCH($AE269,INDIRECT(ORÇAMENTO.BancoRef),0)),"(Código não identificado nas referências)",MATCH($AE269,INDIRECT(ORÇAMENTO.BancoRef),0))))</f>
        <v>(abra o arquivo 'Referência 12-2024.xlsm)</v>
      </c>
      <c r="AG269" s="429">
        <f ca="1">ROUND(IF(DESONERACAO="sim",REFERENCIA.Desonerado,REFERENCIA.NaoDesonerado),2)</f>
        <v>0</v>
      </c>
      <c r="AH269" s="430">
        <f t="shared" ca="1" si="64"/>
        <v>0.31190000000000001</v>
      </c>
      <c r="AJ269" s="432"/>
      <c r="AL269" s="440"/>
      <c r="AM269" s="337">
        <f t="shared" ref="AM269:AM332" ca="1" si="66">$X269</f>
        <v>0</v>
      </c>
      <c r="AN269" s="471">
        <f t="shared" ca="1" si="65"/>
        <v>0</v>
      </c>
    </row>
    <row r="270" spans="1:40" ht="25.5" x14ac:dyDescent="0.2">
      <c r="A270" t="str">
        <f t="shared" si="50"/>
        <v>S</v>
      </c>
      <c r="B270">
        <f t="shared" ca="1" si="51"/>
        <v>3</v>
      </c>
      <c r="C270" t="str">
        <f t="shared" ca="1" si="52"/>
        <v>S</v>
      </c>
      <c r="D270">
        <f t="shared" ca="1" si="53"/>
        <v>0</v>
      </c>
      <c r="E270">
        <f ca="1">IF($C270=1,OFFSET(E270,-1,0)+MAX(1,COUNTIF(QCI!$A$13:$A$24,OFFSET(ORÇAMENTO!E270,-1,0))),OFFSET(E270,-1,0))</f>
        <v>1</v>
      </c>
      <c r="F270">
        <f t="shared" ca="1" si="54"/>
        <v>16</v>
      </c>
      <c r="G270">
        <f t="shared" ca="1" si="55"/>
        <v>1</v>
      </c>
      <c r="H270">
        <f t="shared" ca="1" si="56"/>
        <v>0</v>
      </c>
      <c r="I270">
        <f t="shared" ca="1" si="57"/>
        <v>0</v>
      </c>
      <c r="J270">
        <f t="shared" ca="1" si="58"/>
        <v>0</v>
      </c>
      <c r="K270">
        <f ca="1">IF(OR($C270="S",$C270=0),0,MATCH(OFFSET($D270,0,$C270)+IF($C270&lt;&gt;1,1,COUNTIF(QCI!$A$13:$A$24,ORÇAMENTO!E270)),OFFSET($D270,1,$C270,ROW($C$405)-ROW($C270)),0))</f>
        <v>0</v>
      </c>
      <c r="L270" s="115" t="str">
        <f t="shared" ca="1" si="59"/>
        <v/>
      </c>
      <c r="M270" s="116" t="s">
        <v>706</v>
      </c>
      <c r="N270" s="117" t="str">
        <f t="shared" ca="1" si="60"/>
        <v>Serviço</v>
      </c>
      <c r="O270" s="118" t="str">
        <f t="shared" ca="1" si="61"/>
        <v>-</v>
      </c>
      <c r="P270" s="119" t="s">
        <v>751</v>
      </c>
      <c r="Q270" s="120" t="s">
        <v>1164</v>
      </c>
      <c r="R270" s="121" t="s">
        <v>1536</v>
      </c>
      <c r="S270" s="122" t="s">
        <v>639</v>
      </c>
      <c r="T270" s="123">
        <f ca="1">OFFSET(CÁLCULO!H$15,ROW($T270)-ROW(T$15),0)</f>
        <v>22</v>
      </c>
      <c r="U270" s="124"/>
      <c r="V270" s="125" t="s">
        <v>663</v>
      </c>
      <c r="W270" s="123">
        <f ca="1">IF($C270="S",ROUND(IF(TIPOORCAMENTO="Proposto",ORÇAMENTO.CustoUnitario*(1+$AH270),ORÇAMENTO.PrecoUnitarioLicitado),15-13*$AF$10),0)</f>
        <v>0</v>
      </c>
      <c r="X270" s="126" cm="1">
        <f t="array" aca="1" ref="X270" ca="1">IF($C270="S",IF(OR(Import.TipoArredondamento&lt;&gt;"TransfereGOV",ACOMPANHAMENTO="BM"),VTOTAL1,SUM(OFFSET(CÁLCULO!$AA$15,ROW($X270)-ROW($X$15),1):OFFSET(CÁLCULO!$AL$15,ROW($X270)-ROW($X$15),-1))),IF($C270=0,0,ROUND(SomaAgrup,15-13*$AF$11)))</f>
        <v>0</v>
      </c>
      <c r="Y270" s="127" t="s">
        <v>752</v>
      </c>
      <c r="Z270" t="str">
        <f t="shared" ca="1" si="62"/>
        <v/>
      </c>
      <c r="AA270" s="128">
        <f ca="1">IF($C270="S",IF($Z270="CP",$X270,IF($Z270="RA",(($X270)*QCI!$AA$3),0)),SomaAgrup)</f>
        <v>0</v>
      </c>
      <c r="AB270" s="129">
        <f t="shared" ca="1" si="63"/>
        <v>0</v>
      </c>
      <c r="AC270" s="567" t="str">
        <f ca="1">IF($N270=""," ",
IF(AND($C270&lt;&gt;"S",OR($R270="",$R270="(digite a descrição aqui)")),"DESCRIÇÃO",
IF(AND($C270="S",OR($Q270&lt;&gt;0,$T270&gt;0,$U270&gt;0),$P270=0),"FONTE",
IF(AND($C270="S",$P270&lt;&gt;0,OR($T270&gt;0,$U270&gt;0),$Q270=0),"CÓDIGO",
IF(AND($C270="S",$P270&lt;&gt;0,$Q270&lt;&gt;0,$R270="(Código não identificado nas referências)"),"CÓDIGO N/ID",
IF(AND($C270="S",OR($R270="",$R270="(digite a descrição aqui)"),OR($Q270&lt;&gt;0,$T270&gt;0,$U270&gt;0)),"DESCRIÇÃO",
IF(AND($C270="S",$P270&lt;&gt;0,$Q270&lt;&gt;0,$S270=""),"UNIDADE",
IF(AND($C270="S",$P270&lt;&gt;0,$Q270&lt;&gt;0,$U270=0),"SEM CUSTO",
IF(AND(TIPOORCAMENTO="Licitado",$AL270=0,$AN270&gt;0),"SEM PREÇO",
IF(AND($C270="S",$P270&lt;&gt;0,$Q270&lt;&gt;0,$U270&gt;0,$V270=0),"BDI",
IF(OR(AND(TIPOORCAMENTO="Proposto",$AG270&lt;&gt;"",$AG270&gt;0,ORÇAMENTO.CustoUnitario&gt;$AG270),AND(TIPOORCAMENTO="LICITADO",ORÇAMENTO.PrecoUnitarioLicitado&gt;$AN270)),"ACIMA REF.",
IF(AND($C270="S",$P270&lt;&gt;0,$Q270&lt;&gt;0,$T270=0,$U270&gt;0),"QUANT.",
IF(AND(Import.TipoArredondamento="TransfereGOV",$L270="F",$C270="S",LEN($Q270)&gt;13),"Código &gt;13",
IF(AND(Import.TipoArredondamento="TransfereGOV",$L270="F",$C270&lt;&gt;"S",LEN($R270)&gt;100),"Descrição &gt;100",
IF(AND(Import.TipoArredondamento="TransfereGOV",$L270="F",$C270="S",LEN($R270)&gt;500),"Descrição &gt;500",
IF(AND(Import.TipoArredondamento="TransfereGOV",$L270="F",$C270="S",LEFT(TRIM(UPPER($P270)),6)&lt;&gt;"SINAPI",ISNA(VLOOKUP(TRIM(UPPER($S270)),ListaTgov.Unidades,1,FALSE))),"Unid. Não Disp",
" "))))))))))))))))</f>
        <v>SEM CUSTO</v>
      </c>
      <c r="AD270" t="str">
        <f ca="1">IF(C270&lt;=CRONO.NivelExibicao,MAX($AD$15:OFFSET(AD270,-1,0))+IF($C270&lt;&gt;1,1,MAX(1,COUNTIF(QCI!$A$13:$A$24,OFFSET($E270,-1,0)))),"")</f>
        <v/>
      </c>
      <c r="AE270" s="7" t="str">
        <f ca="1">IF(AND($C270="S",ORÇAMENTO.CodBarra&lt;&gt;""),IF(ORÇAMENTO.Fonte="",ORÇAMENTO.CodBarra,CONCATENATE(ORÇAMENTO.Fonte," ",ORÇAMENTO.CodBarra)))</f>
        <v>SINAPI 97599</v>
      </c>
      <c r="AF270" s="12" t="str">
        <f ca="1">IF(ISERROR(INDIRECT(ORÇAMENTO.BancoRef)),"(abra o arquivo 'Referência "&amp;Excel_BuiltIn_Database&amp;".xlsm)",IF(OR($C270&lt;&gt;"S",ORÇAMENTO.CodBarra=""),"(Sem Código)",IF(ISERROR(MATCH($AE270,INDIRECT(ORÇAMENTO.BancoRef),0)),"(Código não identificado nas referências)",MATCH($AE270,INDIRECT(ORÇAMENTO.BancoRef),0))))</f>
        <v>(abra o arquivo 'Referência 12-2024.xlsm)</v>
      </c>
      <c r="AG270" s="429">
        <f ca="1">ROUND(IF(DESONERACAO="sim",REFERENCIA.Desonerado,REFERENCIA.NaoDesonerado),2)</f>
        <v>0</v>
      </c>
      <c r="AH270" s="430">
        <f t="shared" ca="1" si="64"/>
        <v>0.31190000000000001</v>
      </c>
      <c r="AJ270" s="432">
        <v>22</v>
      </c>
      <c r="AL270" s="440"/>
      <c r="AM270" s="337">
        <f t="shared" ca="1" si="66"/>
        <v>0</v>
      </c>
      <c r="AN270" s="471">
        <f t="shared" ca="1" si="65"/>
        <v>0</v>
      </c>
    </row>
    <row r="271" spans="1:40" ht="38.25" x14ac:dyDescent="0.2">
      <c r="A271" t="str">
        <f t="shared" si="50"/>
        <v>S</v>
      </c>
      <c r="B271">
        <f t="shared" ca="1" si="51"/>
        <v>3</v>
      </c>
      <c r="C271" t="str">
        <f t="shared" ca="1" si="52"/>
        <v>S</v>
      </c>
      <c r="D271">
        <f t="shared" ca="1" si="53"/>
        <v>0</v>
      </c>
      <c r="E271">
        <f ca="1">IF($C271=1,OFFSET(E271,-1,0)+MAX(1,COUNTIF(QCI!$A$13:$A$24,OFFSET(ORÇAMENTO!E271,-1,0))),OFFSET(E271,-1,0))</f>
        <v>1</v>
      </c>
      <c r="F271">
        <f t="shared" ca="1" si="54"/>
        <v>16</v>
      </c>
      <c r="G271">
        <f t="shared" ca="1" si="55"/>
        <v>1</v>
      </c>
      <c r="H271">
        <f t="shared" ca="1" si="56"/>
        <v>0</v>
      </c>
      <c r="I271">
        <f t="shared" ca="1" si="57"/>
        <v>0</v>
      </c>
      <c r="J271">
        <f t="shared" ca="1" si="58"/>
        <v>0</v>
      </c>
      <c r="K271">
        <f ca="1">IF(OR($C271="S",$C271=0),0,MATCH(OFFSET($D271,0,$C271)+IF($C271&lt;&gt;1,1,COUNTIF(QCI!$A$13:$A$24,ORÇAMENTO!E271)),OFFSET($D271,1,$C271,ROW($C$405)-ROW($C271)),0))</f>
        <v>0</v>
      </c>
      <c r="L271" s="115" t="str">
        <f t="shared" ca="1" si="59"/>
        <v/>
      </c>
      <c r="M271" s="116" t="s">
        <v>706</v>
      </c>
      <c r="N271" s="117" t="str">
        <f t="shared" ca="1" si="60"/>
        <v>Serviço</v>
      </c>
      <c r="O271" s="118" t="str">
        <f t="shared" ca="1" si="61"/>
        <v>-</v>
      </c>
      <c r="P271" s="119" t="s">
        <v>1316</v>
      </c>
      <c r="Q271" s="120" t="s">
        <v>1165</v>
      </c>
      <c r="R271" s="121" t="s">
        <v>1537</v>
      </c>
      <c r="S271" s="122" t="s">
        <v>1644</v>
      </c>
      <c r="T271" s="123">
        <f ca="1">OFFSET(CÁLCULO!H$15,ROW($T271)-ROW(T$15),0)</f>
        <v>4</v>
      </c>
      <c r="U271" s="124"/>
      <c r="V271" s="125" t="s">
        <v>663</v>
      </c>
      <c r="W271" s="123">
        <f ca="1">IF($C271="S",ROUND(IF(TIPOORCAMENTO="Proposto",ORÇAMENTO.CustoUnitario*(1+$AH271),ORÇAMENTO.PrecoUnitarioLicitado),15-13*$AF$10),0)</f>
        <v>0</v>
      </c>
      <c r="X271" s="126" cm="1">
        <f t="array" aca="1" ref="X271" ca="1">IF($C271="S",IF(OR(Import.TipoArredondamento&lt;&gt;"TransfereGOV",ACOMPANHAMENTO="BM"),VTOTAL1,SUM(OFFSET(CÁLCULO!$AA$15,ROW($X271)-ROW($X$15),1):OFFSET(CÁLCULO!$AL$15,ROW($X271)-ROW($X$15),-1))),IF($C271=0,0,ROUND(SomaAgrup,15-13*$AF$11)))</f>
        <v>0</v>
      </c>
      <c r="Y271" s="127" t="s">
        <v>752</v>
      </c>
      <c r="Z271" t="str">
        <f t="shared" ca="1" si="62"/>
        <v/>
      </c>
      <c r="AA271" s="128">
        <f ca="1">IF($C271="S",IF($Z271="CP",$X271,IF($Z271="RA",(($X271)*QCI!$AA$3),0)),SomaAgrup)</f>
        <v>0</v>
      </c>
      <c r="AB271" s="129">
        <f t="shared" ca="1" si="63"/>
        <v>0</v>
      </c>
      <c r="AC271" s="567" t="str">
        <f ca="1">IF($N271=""," ",
IF(AND($C271&lt;&gt;"S",OR($R271="",$R271="(digite a descrição aqui)")),"DESCRIÇÃO",
IF(AND($C271="S",OR($Q271&lt;&gt;0,$T271&gt;0,$U271&gt;0),$P271=0),"FONTE",
IF(AND($C271="S",$P271&lt;&gt;0,OR($T271&gt;0,$U271&gt;0),$Q271=0),"CÓDIGO",
IF(AND($C271="S",$P271&lt;&gt;0,$Q271&lt;&gt;0,$R271="(Código não identificado nas referências)"),"CÓDIGO N/ID",
IF(AND($C271="S",OR($R271="",$R271="(digite a descrição aqui)"),OR($Q271&lt;&gt;0,$T271&gt;0,$U271&gt;0)),"DESCRIÇÃO",
IF(AND($C271="S",$P271&lt;&gt;0,$Q271&lt;&gt;0,$S271=""),"UNIDADE",
IF(AND($C271="S",$P271&lt;&gt;0,$Q271&lt;&gt;0,$U271=0),"SEM CUSTO",
IF(AND(TIPOORCAMENTO="Licitado",$AL271=0,$AN271&gt;0),"SEM PREÇO",
IF(AND($C271="S",$P271&lt;&gt;0,$Q271&lt;&gt;0,$U271&gt;0,$V271=0),"BDI",
IF(OR(AND(TIPOORCAMENTO="Proposto",$AG271&lt;&gt;"",$AG271&gt;0,ORÇAMENTO.CustoUnitario&gt;$AG271),AND(TIPOORCAMENTO="LICITADO",ORÇAMENTO.PrecoUnitarioLicitado&gt;$AN271)),"ACIMA REF.",
IF(AND($C271="S",$P271&lt;&gt;0,$Q271&lt;&gt;0,$T271=0,$U271&gt;0),"QUANT.",
IF(AND(Import.TipoArredondamento="TransfereGOV",$L271="F",$C271="S",LEN($Q271)&gt;13),"Código &gt;13",
IF(AND(Import.TipoArredondamento="TransfereGOV",$L271="F",$C271&lt;&gt;"S",LEN($R271)&gt;100),"Descrição &gt;100",
IF(AND(Import.TipoArredondamento="TransfereGOV",$L271="F",$C271="S",LEN($R271)&gt;500),"Descrição &gt;500",
IF(AND(Import.TipoArredondamento="TransfereGOV",$L271="F",$C271="S",LEFT(TRIM(UPPER($P271)),6)&lt;&gt;"SINAPI",ISNA(VLOOKUP(TRIM(UPPER($S271)),ListaTgov.Unidades,1,FALSE))),"Unid. Não Disp",
" "))))))))))))))))</f>
        <v>SEM CUSTO</v>
      </c>
      <c r="AD271" t="str">
        <f ca="1">IF(C271&lt;=CRONO.NivelExibicao,MAX($AD$15:OFFSET(AD271,-1,0))+IF($C271&lt;&gt;1,1,MAX(1,COUNTIF(QCI!$A$13:$A$24,OFFSET($E271,-1,0)))),"")</f>
        <v/>
      </c>
      <c r="AE271" s="7" t="str">
        <f ca="1">IF(AND($C271="S",ORÇAMENTO.CodBarra&lt;&gt;""),IF(ORÇAMENTO.Fonte="",ORÇAMENTO.CodBarra,CONCATENATE(ORÇAMENTO.Fonte," ",ORÇAMENTO.CodBarra)))</f>
        <v>Composiçao 222</v>
      </c>
      <c r="AF271" s="12" t="str">
        <f ca="1">IF(ISERROR(INDIRECT(ORÇAMENTO.BancoRef)),"(abra o arquivo 'Referência "&amp;Excel_BuiltIn_Database&amp;".xlsm)",IF(OR($C271&lt;&gt;"S",ORÇAMENTO.CodBarra=""),"(Sem Código)",IF(ISERROR(MATCH($AE271,INDIRECT(ORÇAMENTO.BancoRef),0)),"(Código não identificado nas referências)",MATCH($AE271,INDIRECT(ORÇAMENTO.BancoRef),0))))</f>
        <v>(abra o arquivo 'Referência 12-2024.xlsm)</v>
      </c>
      <c r="AG271" s="429">
        <f ca="1">ROUND(IF(DESONERACAO="sim",REFERENCIA.Desonerado,REFERENCIA.NaoDesonerado),2)</f>
        <v>0</v>
      </c>
      <c r="AH271" s="430">
        <f t="shared" ca="1" si="64"/>
        <v>0.31190000000000001</v>
      </c>
      <c r="AJ271" s="432">
        <v>4</v>
      </c>
      <c r="AL271" s="440"/>
      <c r="AM271" s="337">
        <f t="shared" ca="1" si="66"/>
        <v>0</v>
      </c>
      <c r="AN271" s="471">
        <f t="shared" ca="1" si="65"/>
        <v>0</v>
      </c>
    </row>
    <row r="272" spans="1:40" x14ac:dyDescent="0.2">
      <c r="A272">
        <f t="shared" ref="A272:A335" si="67">CHOOSE(1+LOG(1+2*(ORÇAMENTO.Nivel="Meta")+4*(ORÇAMENTO.Nivel="Nível 2")+8*(ORÇAMENTO.Nivel="Nível 3")+16*(ORÇAMENTO.Nivel="Nível 4")+32*(ORÇAMENTO.Nivel="Serviço"),2),0,1,2,3,4,"S")</f>
        <v>3</v>
      </c>
      <c r="B272">
        <f t="shared" ref="B272:B335" ca="1" si="68">IF(OR(C272="s",C272=0),OFFSET(B272,-1,0),C272)</f>
        <v>3</v>
      </c>
      <c r="C272">
        <f t="shared" ref="C272:C335" ca="1" si="69">IF(OFFSET(C272,-1,0)="L",1,IF(OFFSET(C272,-1,0)=1,2,IF(OR(A272="s",A272=0),"S",IF(AND(OFFSET(C272,-1,0)=2,A272=4),3,IF(AND(OR(OFFSET(C272,-1,0)="s",OFFSET(C272,-1,0)=0),A272&lt;&gt;"s",A272&gt;OFFSET(B272,-1,0)),OFFSET(B272,-1,0),A272)))))</f>
        <v>3</v>
      </c>
      <c r="D272">
        <f t="shared" ref="D272:D335" ca="1" si="70">IF(OR(C272="S",C272=0),0,IF(ISERROR(K272),J272,SMALL(J272:K272,1)))</f>
        <v>3</v>
      </c>
      <c r="E272">
        <f ca="1">IF($C272=1,OFFSET(E272,-1,0)+MAX(1,COUNTIF(QCI!$A$13:$A$24,OFFSET(ORÇAMENTO!E272,-1,0))),OFFSET(E272,-1,0))</f>
        <v>1</v>
      </c>
      <c r="F272">
        <f t="shared" ref="F272:F335" ca="1" si="71">IF($C272=1,0,IF($C272=2,OFFSET(F272,-1,0)+1,OFFSET(F272,-1,0)))</f>
        <v>16</v>
      </c>
      <c r="G272">
        <f t="shared" ref="G272:G335" ca="1" si="72">IF(AND($C272&lt;=2,$C272&lt;&gt;0),0,IF($C272=3,OFFSET(G272,-1,0)+1,OFFSET(G272,-1,0)))</f>
        <v>2</v>
      </c>
      <c r="H272">
        <f t="shared" ref="H272:H335" ca="1" si="73">IF(AND($C272&lt;=3,$C272&lt;&gt;0),0,IF($C272=4,OFFSET(H272,-1,0)+1,OFFSET(H272,-1,0)))</f>
        <v>0</v>
      </c>
      <c r="I272">
        <f t="shared" ref="I272:I335" ca="1" si="74">IF(AND($C272&lt;=4,$C272&lt;&gt;0),0,IF(AND($C272="S",$X272&gt;0),OFFSET(I272,-1,0)+1,OFFSET(I272,-1,0)))</f>
        <v>0</v>
      </c>
      <c r="J272">
        <f t="shared" ref="J272:J335" ca="1" si="75">IF(OR($C272="S",$C272=0),0,MATCH(0,OFFSET($D272,1,$C272,ROW($C$405)-ROW($C272)),0))</f>
        <v>53</v>
      </c>
      <c r="K272">
        <f ca="1">IF(OR($C272="S",$C272=0),0,MATCH(OFFSET($D272,0,$C272)+IF($C272&lt;&gt;1,1,COUNTIF(QCI!$A$13:$A$24,ORÇAMENTO!E272)),OFFSET($D272,1,$C272,ROW($C$405)-ROW($C272)),0))</f>
        <v>3</v>
      </c>
      <c r="L272" s="115" t="str">
        <f t="shared" ref="L272:L335" ca="1" si="76">IF(OR($X272&gt;0,$C272=1,$C272=2,$C272=3,$C272=4),"F","")</f>
        <v>F</v>
      </c>
      <c r="M272" s="116" t="s">
        <v>704</v>
      </c>
      <c r="N272" s="117" t="str">
        <f t="shared" ref="N272:N335" ca="1" si="77">CHOOSE(1+LOG(1+2*(C272=1)+4*(C272=2)+8*(C272=3)+16*(C272=4)+32*(C272="S"),2),"","Meta","Nível 2","Nível 3","Nível 4","Serviço")</f>
        <v>Nível 3</v>
      </c>
      <c r="O272" s="118" t="str">
        <f t="shared" ref="O272:O335" ca="1" si="78">IF(OR($C272=0,$L272=""),"-",CONCATENATE(E272&amp;".",IF(AND($A$5&gt;=2,$C272&gt;=2),F272&amp;".",""),IF(AND($A$5&gt;=3,$C272&gt;=3),G272&amp;".",""),IF(AND($A$5&gt;=4,$C272&gt;=4),H272&amp;".",""),IF($C272="S",I272&amp;".","")))</f>
        <v>1.16.2.</v>
      </c>
      <c r="P272" s="119" t="s">
        <v>751</v>
      </c>
      <c r="Q272" s="120"/>
      <c r="R272" s="121" t="s">
        <v>1298</v>
      </c>
      <c r="S272" s="122" t="s">
        <v>689</v>
      </c>
      <c r="T272" s="123">
        <f ca="1">OFFSET(CÁLCULO!H$15,ROW($T272)-ROW(T$15),0)</f>
        <v>0</v>
      </c>
      <c r="U272" s="124"/>
      <c r="V272" s="125" t="s">
        <v>663</v>
      </c>
      <c r="W272" s="123">
        <f ca="1">IF($C272="S",ROUND(IF(TIPOORCAMENTO="Proposto",ORÇAMENTO.CustoUnitario*(1+$AH272),ORÇAMENTO.PrecoUnitarioLicitado),15-13*$AF$10),0)</f>
        <v>0</v>
      </c>
      <c r="X272" s="126" cm="1">
        <f t="array" aca="1" ref="X272" ca="1">IF($C272="S",IF(OR(Import.TipoArredondamento&lt;&gt;"TransfereGOV",ACOMPANHAMENTO="BM"),VTOTAL1,SUM(OFFSET(CÁLCULO!$AA$15,ROW($X272)-ROW($X$15),1):OFFSET(CÁLCULO!$AL$15,ROW($X272)-ROW($X$15),-1))),IF($C272=0,0,ROUND(SomaAgrup,15-13*$AF$11)))</f>
        <v>0</v>
      </c>
      <c r="Y272" s="127" t="s">
        <v>752</v>
      </c>
      <c r="Z272" t="str">
        <f t="shared" ref="Z272:Z335" ca="1" si="79">IF(AND($C272="S",$X272&gt;0),IF(ISBLANK($Y272),"RA",LEFT($Y272,2)),"")</f>
        <v/>
      </c>
      <c r="AA272" s="128">
        <f ca="1">IF($C272="S",IF($Z272="CP",$X272,IF($Z272="RA",(($X272)*QCI!$AA$3),0)),SomaAgrup)</f>
        <v>0</v>
      </c>
      <c r="AB272" s="129">
        <f t="shared" ref="AB272:AB335" ca="1" si="80">IF($C272="S",IF($Z272="OU",ROUND($X272,2),0),SomaAgrup)</f>
        <v>0</v>
      </c>
      <c r="AC272" s="567" t="str">
        <f ca="1">IF($N272=""," ",
IF(AND($C272&lt;&gt;"S",OR($R272="",$R272="(digite a descrição aqui)")),"DESCRIÇÃO",
IF(AND($C272="S",OR($Q272&lt;&gt;0,$T272&gt;0,$U272&gt;0),$P272=0),"FONTE",
IF(AND($C272="S",$P272&lt;&gt;0,OR($T272&gt;0,$U272&gt;0),$Q272=0),"CÓDIGO",
IF(AND($C272="S",$P272&lt;&gt;0,$Q272&lt;&gt;0,$R272="(Código não identificado nas referências)"),"CÓDIGO N/ID",
IF(AND($C272="S",OR($R272="",$R272="(digite a descrição aqui)"),OR($Q272&lt;&gt;0,$T272&gt;0,$U272&gt;0)),"DESCRIÇÃO",
IF(AND($C272="S",$P272&lt;&gt;0,$Q272&lt;&gt;0,$S272=""),"UNIDADE",
IF(AND($C272="S",$P272&lt;&gt;0,$Q272&lt;&gt;0,$U272=0),"SEM CUSTO",
IF(AND(TIPOORCAMENTO="Licitado",$AL272=0,$AN272&gt;0),"SEM PREÇO",
IF(AND($C272="S",$P272&lt;&gt;0,$Q272&lt;&gt;0,$U272&gt;0,$V272=0),"BDI",
IF(OR(AND(TIPOORCAMENTO="Proposto",$AG272&lt;&gt;"",$AG272&gt;0,ORÇAMENTO.CustoUnitario&gt;$AG272),AND(TIPOORCAMENTO="LICITADO",ORÇAMENTO.PrecoUnitarioLicitado&gt;$AN272)),"ACIMA REF.",
IF(AND($C272="S",$P272&lt;&gt;0,$Q272&lt;&gt;0,$T272=0,$U272&gt;0),"QUANT.",
IF(AND(Import.TipoArredondamento="TransfereGOV",$L272="F",$C272="S",LEN($Q272)&gt;13),"Código &gt;13",
IF(AND(Import.TipoArredondamento="TransfereGOV",$L272="F",$C272&lt;&gt;"S",LEN($R272)&gt;100),"Descrição &gt;100",
IF(AND(Import.TipoArredondamento="TransfereGOV",$L272="F",$C272="S",LEN($R272)&gt;500),"Descrição &gt;500",
IF(AND(Import.TipoArredondamento="TransfereGOV",$L272="F",$C272="S",LEFT(TRIM(UPPER($P272)),6)&lt;&gt;"SINAPI",ISNA(VLOOKUP(TRIM(UPPER($S272)),ListaTgov.Unidades,1,FALSE))),"Unid. Não Disp",
" "))))))))))))))))</f>
        <v xml:space="preserve"> </v>
      </c>
      <c r="AD272" t="str">
        <f ca="1">IF(C272&lt;=CRONO.NivelExibicao,MAX($AD$15:OFFSET(AD272,-1,0))+IF($C272&lt;&gt;1,1,MAX(1,COUNTIF(QCI!$A$13:$A$24,OFFSET($E272,-1,0)))),"")</f>
        <v/>
      </c>
      <c r="AE272" s="7" t="b">
        <f ca="1">IF(AND($C272="S",ORÇAMENTO.CodBarra&lt;&gt;""),IF(ORÇAMENTO.Fonte="",ORÇAMENTO.CodBarra,CONCATENATE(ORÇAMENTO.Fonte," ",ORÇAMENTO.CodBarra)))</f>
        <v>0</v>
      </c>
      <c r="AF272" s="12" t="str">
        <f ca="1">IF(ISERROR(INDIRECT(ORÇAMENTO.BancoRef)),"(abra o arquivo 'Referência "&amp;Excel_BuiltIn_Database&amp;".xlsm)",IF(OR($C272&lt;&gt;"S",ORÇAMENTO.CodBarra=""),"(Sem Código)",IF(ISERROR(MATCH($AE272,INDIRECT(ORÇAMENTO.BancoRef),0)),"(Código não identificado nas referências)",MATCH($AE272,INDIRECT(ORÇAMENTO.BancoRef),0))))</f>
        <v>(abra o arquivo 'Referência 12-2024.xlsm)</v>
      </c>
      <c r="AG272" s="429">
        <f ca="1">ROUND(IF(DESONERACAO="sim",REFERENCIA.Desonerado,REFERENCIA.NaoDesonerado),2)</f>
        <v>0</v>
      </c>
      <c r="AH272" s="430">
        <f t="shared" ref="AH272:AH335" ca="1" si="81">ROUND(IF(ISNUMBER(ORÇAMENTO.OpcaoBDI),ORÇAMENTO.OpcaoBDI,IF(LEFT(ORÇAMENTO.OpcaoBDI,3)="BDI",HLOOKUP(ORÇAMENTO.OpcaoBDI,$F$4:$H$5,2,FALSE),0)),15-11*$AF$9)</f>
        <v>0.31190000000000001</v>
      </c>
      <c r="AJ272" s="432"/>
      <c r="AL272" s="440"/>
      <c r="AM272" s="337">
        <f t="shared" ca="1" si="66"/>
        <v>0</v>
      </c>
      <c r="AN272" s="471">
        <f t="shared" ref="AN272:AN335" ca="1" si="82">ROUND(ORÇAMENTO.CustoUnitario*(1+$AH272),2)</f>
        <v>0</v>
      </c>
    </row>
    <row r="273" spans="1:40" ht="51" x14ac:dyDescent="0.2">
      <c r="A273" t="str">
        <f t="shared" si="67"/>
        <v>S</v>
      </c>
      <c r="B273">
        <f t="shared" ca="1" si="68"/>
        <v>3</v>
      </c>
      <c r="C273" t="str">
        <f t="shared" ca="1" si="69"/>
        <v>S</v>
      </c>
      <c r="D273">
        <f t="shared" ca="1" si="70"/>
        <v>0</v>
      </c>
      <c r="E273">
        <f ca="1">IF($C273=1,OFFSET(E273,-1,0)+MAX(1,COUNTIF(QCI!$A$13:$A$24,OFFSET(ORÇAMENTO!E273,-1,0))),OFFSET(E273,-1,0))</f>
        <v>1</v>
      </c>
      <c r="F273">
        <f t="shared" ca="1" si="71"/>
        <v>16</v>
      </c>
      <c r="G273">
        <f t="shared" ca="1" si="72"/>
        <v>2</v>
      </c>
      <c r="H273">
        <f t="shared" ca="1" si="73"/>
        <v>0</v>
      </c>
      <c r="I273">
        <f t="shared" ca="1" si="74"/>
        <v>0</v>
      </c>
      <c r="J273">
        <f t="shared" ca="1" si="75"/>
        <v>0</v>
      </c>
      <c r="K273">
        <f ca="1">IF(OR($C273="S",$C273=0),0,MATCH(OFFSET($D273,0,$C273)+IF($C273&lt;&gt;1,1,COUNTIF(QCI!$A$13:$A$24,ORÇAMENTO!E273)),OFFSET($D273,1,$C273,ROW($C$405)-ROW($C273)),0))</f>
        <v>0</v>
      </c>
      <c r="L273" s="115" t="str">
        <f t="shared" ca="1" si="76"/>
        <v/>
      </c>
      <c r="M273" s="116" t="s">
        <v>706</v>
      </c>
      <c r="N273" s="117" t="str">
        <f t="shared" ca="1" si="77"/>
        <v>Serviço</v>
      </c>
      <c r="O273" s="118" t="str">
        <f t="shared" ca="1" si="78"/>
        <v>-</v>
      </c>
      <c r="P273" s="119" t="s">
        <v>1315</v>
      </c>
      <c r="Q273" s="120" t="s">
        <v>1166</v>
      </c>
      <c r="R273" s="121" t="s">
        <v>1538</v>
      </c>
      <c r="S273" s="122" t="s">
        <v>1644</v>
      </c>
      <c r="T273" s="123">
        <f ca="1">OFFSET(CÁLCULO!H$15,ROW($T273)-ROW(T$15),0)</f>
        <v>29</v>
      </c>
      <c r="U273" s="124"/>
      <c r="V273" s="125" t="s">
        <v>663</v>
      </c>
      <c r="W273" s="123">
        <f ca="1">IF($C273="S",ROUND(IF(TIPOORCAMENTO="Proposto",ORÇAMENTO.CustoUnitario*(1+$AH273),ORÇAMENTO.PrecoUnitarioLicitado),15-13*$AF$10),0)</f>
        <v>0</v>
      </c>
      <c r="X273" s="126" cm="1">
        <f t="array" aca="1" ref="X273" ca="1">IF($C273="S",IF(OR(Import.TipoArredondamento&lt;&gt;"TransfereGOV",ACOMPANHAMENTO="BM"),VTOTAL1,SUM(OFFSET(CÁLCULO!$AA$15,ROW($X273)-ROW($X$15),1):OFFSET(CÁLCULO!$AL$15,ROW($X273)-ROW($X$15),-1))),IF($C273=0,0,ROUND(SomaAgrup,15-13*$AF$11)))</f>
        <v>0</v>
      </c>
      <c r="Y273" s="127" t="s">
        <v>752</v>
      </c>
      <c r="Z273" t="str">
        <f t="shared" ca="1" si="79"/>
        <v/>
      </c>
      <c r="AA273" s="128">
        <f ca="1">IF($C273="S",IF($Z273="CP",$X273,IF($Z273="RA",(($X273)*QCI!$AA$3),0)),SomaAgrup)</f>
        <v>0</v>
      </c>
      <c r="AB273" s="129">
        <f t="shared" ca="1" si="80"/>
        <v>0</v>
      </c>
      <c r="AC273" s="567" t="str">
        <f ca="1">IF($N273=""," ",
IF(AND($C273&lt;&gt;"S",OR($R273="",$R273="(digite a descrição aqui)")),"DESCRIÇÃO",
IF(AND($C273="S",OR($Q273&lt;&gt;0,$T273&gt;0,$U273&gt;0),$P273=0),"FONTE",
IF(AND($C273="S",$P273&lt;&gt;0,OR($T273&gt;0,$U273&gt;0),$Q273=0),"CÓDIGO",
IF(AND($C273="S",$P273&lt;&gt;0,$Q273&lt;&gt;0,$R273="(Código não identificado nas referências)"),"CÓDIGO N/ID",
IF(AND($C273="S",OR($R273="",$R273="(digite a descrição aqui)"),OR($Q273&lt;&gt;0,$T273&gt;0,$U273&gt;0)),"DESCRIÇÃO",
IF(AND($C273="S",$P273&lt;&gt;0,$Q273&lt;&gt;0,$S273=""),"UNIDADE",
IF(AND($C273="S",$P273&lt;&gt;0,$Q273&lt;&gt;0,$U273=0),"SEM CUSTO",
IF(AND(TIPOORCAMENTO="Licitado",$AL273=0,$AN273&gt;0),"SEM PREÇO",
IF(AND($C273="S",$P273&lt;&gt;0,$Q273&lt;&gt;0,$U273&gt;0,$V273=0),"BDI",
IF(OR(AND(TIPOORCAMENTO="Proposto",$AG273&lt;&gt;"",$AG273&gt;0,ORÇAMENTO.CustoUnitario&gt;$AG273),AND(TIPOORCAMENTO="LICITADO",ORÇAMENTO.PrecoUnitarioLicitado&gt;$AN273)),"ACIMA REF.",
IF(AND($C273="S",$P273&lt;&gt;0,$Q273&lt;&gt;0,$T273=0,$U273&gt;0),"QUANT.",
IF(AND(Import.TipoArredondamento="TransfereGOV",$L273="F",$C273="S",LEN($Q273)&gt;13),"Código &gt;13",
IF(AND(Import.TipoArredondamento="TransfereGOV",$L273="F",$C273&lt;&gt;"S",LEN($R273)&gt;100),"Descrição &gt;100",
IF(AND(Import.TipoArredondamento="TransfereGOV",$L273="F",$C273="S",LEN($R273)&gt;500),"Descrição &gt;500",
IF(AND(Import.TipoArredondamento="TransfereGOV",$L273="F",$C273="S",LEFT(TRIM(UPPER($P273)),6)&lt;&gt;"SINAPI",ISNA(VLOOKUP(TRIM(UPPER($S273)),ListaTgov.Unidades,1,FALSE))),"Unid. Não Disp",
" "))))))))))))))))</f>
        <v>SEM CUSTO</v>
      </c>
      <c r="AD273" t="str">
        <f ca="1">IF(C273&lt;=CRONO.NivelExibicao,MAX($AD$15:OFFSET(AD273,-1,0))+IF($C273&lt;&gt;1,1,MAX(1,COUNTIF(QCI!$A$13:$A$24,OFFSET($E273,-1,0)))),"")</f>
        <v/>
      </c>
      <c r="AE273" s="7" t="str">
        <f ca="1">IF(AND($C273="S",ORÇAMENTO.CodBarra&lt;&gt;""),IF(ORÇAMENTO.Fonte="",ORÇAMENTO.CodBarra,CONCATENATE(ORÇAMENTO.Fonte," ",ORÇAMENTO.CodBarra)))</f>
        <v>SINAPI-I 37558</v>
      </c>
      <c r="AF273" s="12" t="str">
        <f ca="1">IF(ISERROR(INDIRECT(ORÇAMENTO.BancoRef)),"(abra o arquivo 'Referência "&amp;Excel_BuiltIn_Database&amp;".xlsm)",IF(OR($C273&lt;&gt;"S",ORÇAMENTO.CodBarra=""),"(Sem Código)",IF(ISERROR(MATCH($AE273,INDIRECT(ORÇAMENTO.BancoRef),0)),"(Código não identificado nas referências)",MATCH($AE273,INDIRECT(ORÇAMENTO.BancoRef),0))))</f>
        <v>(abra o arquivo 'Referência 12-2024.xlsm)</v>
      </c>
      <c r="AG273" s="429">
        <f ca="1">ROUND(IF(DESONERACAO="sim",REFERENCIA.Desonerado,REFERENCIA.NaoDesonerado),2)</f>
        <v>0</v>
      </c>
      <c r="AH273" s="430">
        <f t="shared" ca="1" si="81"/>
        <v>0.31190000000000001</v>
      </c>
      <c r="AJ273" s="432">
        <v>29</v>
      </c>
      <c r="AL273" s="440"/>
      <c r="AM273" s="337">
        <f t="shared" ca="1" si="66"/>
        <v>0</v>
      </c>
      <c r="AN273" s="471">
        <f t="shared" ca="1" si="82"/>
        <v>0</v>
      </c>
    </row>
    <row r="274" spans="1:40" x14ac:dyDescent="0.2">
      <c r="A274" t="str">
        <f t="shared" si="67"/>
        <v>S</v>
      </c>
      <c r="B274">
        <f t="shared" ca="1" si="68"/>
        <v>3</v>
      </c>
      <c r="C274" t="str">
        <f t="shared" ca="1" si="69"/>
        <v>S</v>
      </c>
      <c r="D274">
        <f t="shared" ca="1" si="70"/>
        <v>0</v>
      </c>
      <c r="E274">
        <f ca="1">IF($C274=1,OFFSET(E274,-1,0)+MAX(1,COUNTIF(QCI!$A$13:$A$24,OFFSET(ORÇAMENTO!E274,-1,0))),OFFSET(E274,-1,0))</f>
        <v>1</v>
      </c>
      <c r="F274">
        <f t="shared" ca="1" si="71"/>
        <v>16</v>
      </c>
      <c r="G274">
        <f t="shared" ca="1" si="72"/>
        <v>2</v>
      </c>
      <c r="H274">
        <f t="shared" ca="1" si="73"/>
        <v>0</v>
      </c>
      <c r="I274">
        <f t="shared" ca="1" si="74"/>
        <v>0</v>
      </c>
      <c r="J274">
        <f t="shared" ca="1" si="75"/>
        <v>0</v>
      </c>
      <c r="K274">
        <f ca="1">IF(OR($C274="S",$C274=0),0,MATCH(OFFSET($D274,0,$C274)+IF($C274&lt;&gt;1,1,COUNTIF(QCI!$A$13:$A$24,ORÇAMENTO!E274)),OFFSET($D274,1,$C274,ROW($C$405)-ROW($C274)),0))</f>
        <v>0</v>
      </c>
      <c r="L274" s="115" t="str">
        <f t="shared" ca="1" si="76"/>
        <v/>
      </c>
      <c r="M274" s="116" t="s">
        <v>706</v>
      </c>
      <c r="N274" s="117" t="str">
        <f t="shared" ca="1" si="77"/>
        <v>Serviço</v>
      </c>
      <c r="O274" s="118" t="str">
        <f t="shared" ca="1" si="78"/>
        <v>-</v>
      </c>
      <c r="P274" s="119" t="s">
        <v>751</v>
      </c>
      <c r="Q274" s="120" t="s">
        <v>1167</v>
      </c>
      <c r="R274" s="121" t="s">
        <v>1539</v>
      </c>
      <c r="S274" s="122" t="s">
        <v>615</v>
      </c>
      <c r="T274" s="123">
        <f ca="1">OFFSET(CÁLCULO!H$15,ROW($T274)-ROW(T$15),0)</f>
        <v>16</v>
      </c>
      <c r="U274" s="124"/>
      <c r="V274" s="125" t="s">
        <v>663</v>
      </c>
      <c r="W274" s="123">
        <f ca="1">IF($C274="S",ROUND(IF(TIPOORCAMENTO="Proposto",ORÇAMENTO.CustoUnitario*(1+$AH274),ORÇAMENTO.PrecoUnitarioLicitado),15-13*$AF$10),0)</f>
        <v>0</v>
      </c>
      <c r="X274" s="126" cm="1">
        <f t="array" aca="1" ref="X274" ca="1">IF($C274="S",IF(OR(Import.TipoArredondamento&lt;&gt;"TransfereGOV",ACOMPANHAMENTO="BM"),VTOTAL1,SUM(OFFSET(CÁLCULO!$AA$15,ROW($X274)-ROW($X$15),1):OFFSET(CÁLCULO!$AL$15,ROW($X274)-ROW($X$15),-1))),IF($C274=0,0,ROUND(SomaAgrup,15-13*$AF$11)))</f>
        <v>0</v>
      </c>
      <c r="Y274" s="127" t="s">
        <v>752</v>
      </c>
      <c r="Z274" t="str">
        <f t="shared" ca="1" si="79"/>
        <v/>
      </c>
      <c r="AA274" s="128">
        <f ca="1">IF($C274="S",IF($Z274="CP",$X274,IF($Z274="RA",(($X274)*QCI!$AA$3),0)),SomaAgrup)</f>
        <v>0</v>
      </c>
      <c r="AB274" s="129">
        <f t="shared" ca="1" si="80"/>
        <v>0</v>
      </c>
      <c r="AC274" s="567" t="str">
        <f ca="1">IF($N274=""," ",
IF(AND($C274&lt;&gt;"S",OR($R274="",$R274="(digite a descrição aqui)")),"DESCRIÇÃO",
IF(AND($C274="S",OR($Q274&lt;&gt;0,$T274&gt;0,$U274&gt;0),$P274=0),"FONTE",
IF(AND($C274="S",$P274&lt;&gt;0,OR($T274&gt;0,$U274&gt;0),$Q274=0),"CÓDIGO",
IF(AND($C274="S",$P274&lt;&gt;0,$Q274&lt;&gt;0,$R274="(Código não identificado nas referências)"),"CÓDIGO N/ID",
IF(AND($C274="S",OR($R274="",$R274="(digite a descrição aqui)"),OR($Q274&lt;&gt;0,$T274&gt;0,$U274&gt;0)),"DESCRIÇÃO",
IF(AND($C274="S",$P274&lt;&gt;0,$Q274&lt;&gt;0,$S274=""),"UNIDADE",
IF(AND($C274="S",$P274&lt;&gt;0,$Q274&lt;&gt;0,$U274=0),"SEM CUSTO",
IF(AND(TIPOORCAMENTO="Licitado",$AL274=0,$AN274&gt;0),"SEM PREÇO",
IF(AND($C274="S",$P274&lt;&gt;0,$Q274&lt;&gt;0,$U274&gt;0,$V274=0),"BDI",
IF(OR(AND(TIPOORCAMENTO="Proposto",$AG274&lt;&gt;"",$AG274&gt;0,ORÇAMENTO.CustoUnitario&gt;$AG274),AND(TIPOORCAMENTO="LICITADO",ORÇAMENTO.PrecoUnitarioLicitado&gt;$AN274)),"ACIMA REF.",
IF(AND($C274="S",$P274&lt;&gt;0,$Q274&lt;&gt;0,$T274=0,$U274&gt;0),"QUANT.",
IF(AND(Import.TipoArredondamento="TransfereGOV",$L274="F",$C274="S",LEN($Q274)&gt;13),"Código &gt;13",
IF(AND(Import.TipoArredondamento="TransfereGOV",$L274="F",$C274&lt;&gt;"S",LEN($R274)&gt;100),"Descrição &gt;100",
IF(AND(Import.TipoArredondamento="TransfereGOV",$L274="F",$C274="S",LEN($R274)&gt;500),"Descrição &gt;500",
IF(AND(Import.TipoArredondamento="TransfereGOV",$L274="F",$C274="S",LEFT(TRIM(UPPER($P274)),6)&lt;&gt;"SINAPI",ISNA(VLOOKUP(TRIM(UPPER($S274)),ListaTgov.Unidades,1,FALSE))),"Unid. Não Disp",
" "))))))))))))))))</f>
        <v>SEM CUSTO</v>
      </c>
      <c r="AD274" t="str">
        <f ca="1">IF(C274&lt;=CRONO.NivelExibicao,MAX($AD$15:OFFSET(AD274,-1,0))+IF($C274&lt;&gt;1,1,MAX(1,COUNTIF(QCI!$A$13:$A$24,OFFSET($E274,-1,0)))),"")</f>
        <v/>
      </c>
      <c r="AE274" s="7" t="str">
        <f ca="1">IF(AND($C274="S",ORÇAMENTO.CodBarra&lt;&gt;""),IF(ORÇAMENTO.Fonte="",ORÇAMENTO.CodBarra,CONCATENATE(ORÇAMENTO.Fonte," ",ORÇAMENTO.CodBarra)))</f>
        <v>SINAPI 88316</v>
      </c>
      <c r="AF274" s="12" t="str">
        <f ca="1">IF(ISERROR(INDIRECT(ORÇAMENTO.BancoRef)),"(abra o arquivo 'Referência "&amp;Excel_BuiltIn_Database&amp;".xlsm)",IF(OR($C274&lt;&gt;"S",ORÇAMENTO.CodBarra=""),"(Sem Código)",IF(ISERROR(MATCH($AE274,INDIRECT(ORÇAMENTO.BancoRef),0)),"(Código não identificado nas referências)",MATCH($AE274,INDIRECT(ORÇAMENTO.BancoRef),0))))</f>
        <v>(abra o arquivo 'Referência 12-2024.xlsm)</v>
      </c>
      <c r="AG274" s="429">
        <f ca="1">ROUND(IF(DESONERACAO="sim",REFERENCIA.Desonerado,REFERENCIA.NaoDesonerado),2)</f>
        <v>0</v>
      </c>
      <c r="AH274" s="430">
        <f t="shared" ca="1" si="81"/>
        <v>0.31190000000000001</v>
      </c>
      <c r="AJ274" s="432">
        <v>16</v>
      </c>
      <c r="AL274" s="440"/>
      <c r="AM274" s="337">
        <f t="shared" ca="1" si="66"/>
        <v>0</v>
      </c>
      <c r="AN274" s="471">
        <f t="shared" ca="1" si="82"/>
        <v>0</v>
      </c>
    </row>
    <row r="275" spans="1:40" x14ac:dyDescent="0.2">
      <c r="A275">
        <f t="shared" si="67"/>
        <v>3</v>
      </c>
      <c r="B275">
        <f t="shared" ca="1" si="68"/>
        <v>3</v>
      </c>
      <c r="C275">
        <f t="shared" ca="1" si="69"/>
        <v>3</v>
      </c>
      <c r="D275">
        <f t="shared" ca="1" si="70"/>
        <v>11</v>
      </c>
      <c r="E275">
        <f ca="1">IF($C275=1,OFFSET(E275,-1,0)+MAX(1,COUNTIF(QCI!$A$13:$A$24,OFFSET(ORÇAMENTO!E275,-1,0))),OFFSET(E275,-1,0))</f>
        <v>1</v>
      </c>
      <c r="F275">
        <f t="shared" ca="1" si="71"/>
        <v>16</v>
      </c>
      <c r="G275">
        <f t="shared" ca="1" si="72"/>
        <v>3</v>
      </c>
      <c r="H275">
        <f t="shared" ca="1" si="73"/>
        <v>0</v>
      </c>
      <c r="I275">
        <f t="shared" ca="1" si="74"/>
        <v>0</v>
      </c>
      <c r="J275">
        <f t="shared" ca="1" si="75"/>
        <v>50</v>
      </c>
      <c r="K275">
        <f ca="1">IF(OR($C275="S",$C275=0),0,MATCH(OFFSET($D275,0,$C275)+IF($C275&lt;&gt;1,1,COUNTIF(QCI!$A$13:$A$24,ORÇAMENTO!E275)),OFFSET($D275,1,$C275,ROW($C$405)-ROW($C275)),0))</f>
        <v>11</v>
      </c>
      <c r="L275" s="115" t="str">
        <f t="shared" ca="1" si="76"/>
        <v>F</v>
      </c>
      <c r="M275" s="116" t="s">
        <v>704</v>
      </c>
      <c r="N275" s="117" t="str">
        <f t="shared" ca="1" si="77"/>
        <v>Nível 3</v>
      </c>
      <c r="O275" s="118" t="str">
        <f t="shared" ca="1" si="78"/>
        <v>1.16.3.</v>
      </c>
      <c r="P275" s="119" t="s">
        <v>751</v>
      </c>
      <c r="Q275" s="120"/>
      <c r="R275" s="121" t="s">
        <v>1299</v>
      </c>
      <c r="S275" s="122" t="s">
        <v>689</v>
      </c>
      <c r="T275" s="123">
        <f ca="1">OFFSET(CÁLCULO!H$15,ROW($T275)-ROW(T$15),0)</f>
        <v>0</v>
      </c>
      <c r="U275" s="124"/>
      <c r="V275" s="125" t="s">
        <v>663</v>
      </c>
      <c r="W275" s="123">
        <f ca="1">IF($C275="S",ROUND(IF(TIPOORCAMENTO="Proposto",ORÇAMENTO.CustoUnitario*(1+$AH275),ORÇAMENTO.PrecoUnitarioLicitado),15-13*$AF$10),0)</f>
        <v>0</v>
      </c>
      <c r="X275" s="126" cm="1">
        <f t="array" aca="1" ref="X275" ca="1">IF($C275="S",IF(OR(Import.TipoArredondamento&lt;&gt;"TransfereGOV",ACOMPANHAMENTO="BM"),VTOTAL1,SUM(OFFSET(CÁLCULO!$AA$15,ROW($X275)-ROW($X$15),1):OFFSET(CÁLCULO!$AL$15,ROW($X275)-ROW($X$15),-1))),IF($C275=0,0,ROUND(SomaAgrup,15-13*$AF$11)))</f>
        <v>0</v>
      </c>
      <c r="Y275" s="127" t="s">
        <v>752</v>
      </c>
      <c r="Z275" t="str">
        <f t="shared" ca="1" si="79"/>
        <v/>
      </c>
      <c r="AA275" s="128">
        <f ca="1">IF($C275="S",IF($Z275="CP",$X275,IF($Z275="RA",(($X275)*QCI!$AA$3),0)),SomaAgrup)</f>
        <v>0</v>
      </c>
      <c r="AB275" s="129">
        <f t="shared" ca="1" si="80"/>
        <v>0</v>
      </c>
      <c r="AC275" s="567" t="str">
        <f ca="1">IF($N275=""," ",
IF(AND($C275&lt;&gt;"S",OR($R275="",$R275="(digite a descrição aqui)")),"DESCRIÇÃO",
IF(AND($C275="S",OR($Q275&lt;&gt;0,$T275&gt;0,$U275&gt;0),$P275=0),"FONTE",
IF(AND($C275="S",$P275&lt;&gt;0,OR($T275&gt;0,$U275&gt;0),$Q275=0),"CÓDIGO",
IF(AND($C275="S",$P275&lt;&gt;0,$Q275&lt;&gt;0,$R275="(Código não identificado nas referências)"),"CÓDIGO N/ID",
IF(AND($C275="S",OR($R275="",$R275="(digite a descrição aqui)"),OR($Q275&lt;&gt;0,$T275&gt;0,$U275&gt;0)),"DESCRIÇÃO",
IF(AND($C275="S",$P275&lt;&gt;0,$Q275&lt;&gt;0,$S275=""),"UNIDADE",
IF(AND($C275="S",$P275&lt;&gt;0,$Q275&lt;&gt;0,$U275=0),"SEM CUSTO",
IF(AND(TIPOORCAMENTO="Licitado",$AL275=0,$AN275&gt;0),"SEM PREÇO",
IF(AND($C275="S",$P275&lt;&gt;0,$Q275&lt;&gt;0,$U275&gt;0,$V275=0),"BDI",
IF(OR(AND(TIPOORCAMENTO="Proposto",$AG275&lt;&gt;"",$AG275&gt;0,ORÇAMENTO.CustoUnitario&gt;$AG275),AND(TIPOORCAMENTO="LICITADO",ORÇAMENTO.PrecoUnitarioLicitado&gt;$AN275)),"ACIMA REF.",
IF(AND($C275="S",$P275&lt;&gt;0,$Q275&lt;&gt;0,$T275=0,$U275&gt;0),"QUANT.",
IF(AND(Import.TipoArredondamento="TransfereGOV",$L275="F",$C275="S",LEN($Q275)&gt;13),"Código &gt;13",
IF(AND(Import.TipoArredondamento="TransfereGOV",$L275="F",$C275&lt;&gt;"S",LEN($R275)&gt;100),"Descrição &gt;100",
IF(AND(Import.TipoArredondamento="TransfereGOV",$L275="F",$C275="S",LEN($R275)&gt;500),"Descrição &gt;500",
IF(AND(Import.TipoArredondamento="TransfereGOV",$L275="F",$C275="S",LEFT(TRIM(UPPER($P275)),6)&lt;&gt;"SINAPI",ISNA(VLOOKUP(TRIM(UPPER($S275)),ListaTgov.Unidades,1,FALSE))),"Unid. Não Disp",
" "))))))))))))))))</f>
        <v xml:space="preserve"> </v>
      </c>
      <c r="AD275" t="str">
        <f ca="1">IF(C275&lt;=CRONO.NivelExibicao,MAX($AD$15:OFFSET(AD275,-1,0))+IF($C275&lt;&gt;1,1,MAX(1,COUNTIF(QCI!$A$13:$A$24,OFFSET($E275,-1,0)))),"")</f>
        <v/>
      </c>
      <c r="AE275" s="7" t="b">
        <f ca="1">IF(AND($C275="S",ORÇAMENTO.CodBarra&lt;&gt;""),IF(ORÇAMENTO.Fonte="",ORÇAMENTO.CodBarra,CONCATENATE(ORÇAMENTO.Fonte," ",ORÇAMENTO.CodBarra)))</f>
        <v>0</v>
      </c>
      <c r="AF275" s="12" t="str">
        <f ca="1">IF(ISERROR(INDIRECT(ORÇAMENTO.BancoRef)),"(abra o arquivo 'Referência "&amp;Excel_BuiltIn_Database&amp;".xlsm)",IF(OR($C275&lt;&gt;"S",ORÇAMENTO.CodBarra=""),"(Sem Código)",IF(ISERROR(MATCH($AE275,INDIRECT(ORÇAMENTO.BancoRef),0)),"(Código não identificado nas referências)",MATCH($AE275,INDIRECT(ORÇAMENTO.BancoRef),0))))</f>
        <v>(abra o arquivo 'Referência 12-2024.xlsm)</v>
      </c>
      <c r="AG275" s="429">
        <f ca="1">ROUND(IF(DESONERACAO="sim",REFERENCIA.Desonerado,REFERENCIA.NaoDesonerado),2)</f>
        <v>0</v>
      </c>
      <c r="AH275" s="430">
        <f t="shared" ca="1" si="81"/>
        <v>0.31190000000000001</v>
      </c>
      <c r="AJ275" s="432"/>
      <c r="AL275" s="440"/>
      <c r="AM275" s="337">
        <f t="shared" ca="1" si="66"/>
        <v>0</v>
      </c>
      <c r="AN275" s="471">
        <f t="shared" ca="1" si="82"/>
        <v>0</v>
      </c>
    </row>
    <row r="276" spans="1:40" x14ac:dyDescent="0.2">
      <c r="A276" t="str">
        <f t="shared" si="67"/>
        <v>S</v>
      </c>
      <c r="B276">
        <f t="shared" ca="1" si="68"/>
        <v>3</v>
      </c>
      <c r="C276" t="str">
        <f t="shared" ca="1" si="69"/>
        <v>S</v>
      </c>
      <c r="D276">
        <f t="shared" ca="1" si="70"/>
        <v>0</v>
      </c>
      <c r="E276">
        <f ca="1">IF($C276=1,OFFSET(E276,-1,0)+MAX(1,COUNTIF(QCI!$A$13:$A$24,OFFSET(ORÇAMENTO!E276,-1,0))),OFFSET(E276,-1,0))</f>
        <v>1</v>
      </c>
      <c r="F276">
        <f t="shared" ca="1" si="71"/>
        <v>16</v>
      </c>
      <c r="G276">
        <f t="shared" ca="1" si="72"/>
        <v>3</v>
      </c>
      <c r="H276">
        <f t="shared" ca="1" si="73"/>
        <v>0</v>
      </c>
      <c r="I276">
        <f t="shared" ca="1" si="74"/>
        <v>0</v>
      </c>
      <c r="J276">
        <f t="shared" ca="1" si="75"/>
        <v>0</v>
      </c>
      <c r="K276">
        <f ca="1">IF(OR($C276="S",$C276=0),0,MATCH(OFFSET($D276,0,$C276)+IF($C276&lt;&gt;1,1,COUNTIF(QCI!$A$13:$A$24,ORÇAMENTO!E276)),OFFSET($D276,1,$C276,ROW($C$405)-ROW($C276)),0))</f>
        <v>0</v>
      </c>
      <c r="L276" s="115" t="str">
        <f t="shared" ca="1" si="76"/>
        <v/>
      </c>
      <c r="M276" s="116" t="s">
        <v>706</v>
      </c>
      <c r="N276" s="117" t="str">
        <f t="shared" ca="1" si="77"/>
        <v>Serviço</v>
      </c>
      <c r="O276" s="118" t="str">
        <f t="shared" ca="1" si="78"/>
        <v>-</v>
      </c>
      <c r="P276" s="119" t="s">
        <v>1313</v>
      </c>
      <c r="Q276" s="120" t="s">
        <v>1168</v>
      </c>
      <c r="R276" s="121" t="s">
        <v>1540</v>
      </c>
      <c r="S276" s="122" t="s">
        <v>639</v>
      </c>
      <c r="T276" s="123">
        <f ca="1">OFFSET(CÁLCULO!H$15,ROW($T276)-ROW(T$15),0)</f>
        <v>4</v>
      </c>
      <c r="U276" s="124"/>
      <c r="V276" s="125" t="s">
        <v>663</v>
      </c>
      <c r="W276" s="123">
        <f ca="1">IF($C276="S",ROUND(IF(TIPOORCAMENTO="Proposto",ORÇAMENTO.CustoUnitario*(1+$AH276),ORÇAMENTO.PrecoUnitarioLicitado),15-13*$AF$10),0)</f>
        <v>0</v>
      </c>
      <c r="X276" s="126" cm="1">
        <f t="array" aca="1" ref="X276" ca="1">IF($C276="S",IF(OR(Import.TipoArredondamento&lt;&gt;"TransfereGOV",ACOMPANHAMENTO="BM"),VTOTAL1,SUM(OFFSET(CÁLCULO!$AA$15,ROW($X276)-ROW($X$15),1):OFFSET(CÁLCULO!$AL$15,ROW($X276)-ROW($X$15),-1))),IF($C276=0,0,ROUND(SomaAgrup,15-13*$AF$11)))</f>
        <v>0</v>
      </c>
      <c r="Y276" s="127" t="s">
        <v>752</v>
      </c>
      <c r="Z276" t="str">
        <f t="shared" ca="1" si="79"/>
        <v/>
      </c>
      <c r="AA276" s="128">
        <f ca="1">IF($C276="S",IF($Z276="CP",$X276,IF($Z276="RA",(($X276)*QCI!$AA$3),0)),SomaAgrup)</f>
        <v>0</v>
      </c>
      <c r="AB276" s="129">
        <f t="shared" ca="1" si="80"/>
        <v>0</v>
      </c>
      <c r="AC276" s="567" t="str">
        <f ca="1">IF($N276=""," ",
IF(AND($C276&lt;&gt;"S",OR($R276="",$R276="(digite a descrição aqui)")),"DESCRIÇÃO",
IF(AND($C276="S",OR($Q276&lt;&gt;0,$T276&gt;0,$U276&gt;0),$P276=0),"FONTE",
IF(AND($C276="S",$P276&lt;&gt;0,OR($T276&gt;0,$U276&gt;0),$Q276=0),"CÓDIGO",
IF(AND($C276="S",$P276&lt;&gt;0,$Q276&lt;&gt;0,$R276="(Código não identificado nas referências)"),"CÓDIGO N/ID",
IF(AND($C276="S",OR($R276="",$R276="(digite a descrição aqui)"),OR($Q276&lt;&gt;0,$T276&gt;0,$U276&gt;0)),"DESCRIÇÃO",
IF(AND($C276="S",$P276&lt;&gt;0,$Q276&lt;&gt;0,$S276=""),"UNIDADE",
IF(AND($C276="S",$P276&lt;&gt;0,$Q276&lt;&gt;0,$U276=0),"SEM CUSTO",
IF(AND(TIPOORCAMENTO="Licitado",$AL276=0,$AN276&gt;0),"SEM PREÇO",
IF(AND($C276="S",$P276&lt;&gt;0,$Q276&lt;&gt;0,$U276&gt;0,$V276=0),"BDI",
IF(OR(AND(TIPOORCAMENTO="Proposto",$AG276&lt;&gt;"",$AG276&gt;0,ORÇAMENTO.CustoUnitario&gt;$AG276),AND(TIPOORCAMENTO="LICITADO",ORÇAMENTO.PrecoUnitarioLicitado&gt;$AN276)),"ACIMA REF.",
IF(AND($C276="S",$P276&lt;&gt;0,$Q276&lt;&gt;0,$T276=0,$U276&gt;0),"QUANT.",
IF(AND(Import.TipoArredondamento="TransfereGOV",$L276="F",$C276="S",LEN($Q276)&gt;13),"Código &gt;13",
IF(AND(Import.TipoArredondamento="TransfereGOV",$L276="F",$C276&lt;&gt;"S",LEN($R276)&gt;100),"Descrição &gt;100",
IF(AND(Import.TipoArredondamento="TransfereGOV",$L276="F",$C276="S",LEN($R276)&gt;500),"Descrição &gt;500",
IF(AND(Import.TipoArredondamento="TransfereGOV",$L276="F",$C276="S",LEFT(TRIM(UPPER($P276)),6)&lt;&gt;"SINAPI",ISNA(VLOOKUP(TRIM(UPPER($S276)),ListaTgov.Unidades,1,FALSE))),"Unid. Não Disp",
" "))))))))))))))))</f>
        <v>SEM CUSTO</v>
      </c>
      <c r="AD276" t="str">
        <f ca="1">IF(C276&lt;=CRONO.NivelExibicao,MAX($AD$15:OFFSET(AD276,-1,0))+IF($C276&lt;&gt;1,1,MAX(1,COUNTIF(QCI!$A$13:$A$24,OFFSET($E276,-1,0)))),"")</f>
        <v/>
      </c>
      <c r="AE276" s="7" t="str">
        <f ca="1">IF(AND($C276="S",ORÇAMENTO.CodBarra&lt;&gt;""),IF(ORÇAMENTO.Fonte="",ORÇAMENTO.CodBarra,CONCATENATE(ORÇAMENTO.Fonte," ",ORÇAMENTO.CodBarra)))</f>
        <v>Cotação 158</v>
      </c>
      <c r="AF276" s="12" t="str">
        <f ca="1">IF(ISERROR(INDIRECT(ORÇAMENTO.BancoRef)),"(abra o arquivo 'Referência "&amp;Excel_BuiltIn_Database&amp;".xlsm)",IF(OR($C276&lt;&gt;"S",ORÇAMENTO.CodBarra=""),"(Sem Código)",IF(ISERROR(MATCH($AE276,INDIRECT(ORÇAMENTO.BancoRef),0)),"(Código não identificado nas referências)",MATCH($AE276,INDIRECT(ORÇAMENTO.BancoRef),0))))</f>
        <v>(abra o arquivo 'Referência 12-2024.xlsm)</v>
      </c>
      <c r="AG276" s="429">
        <f ca="1">ROUND(IF(DESONERACAO="sim",REFERENCIA.Desonerado,REFERENCIA.NaoDesonerado),2)</f>
        <v>0</v>
      </c>
      <c r="AH276" s="430">
        <f t="shared" ca="1" si="81"/>
        <v>0.31190000000000001</v>
      </c>
      <c r="AJ276" s="432">
        <v>4</v>
      </c>
      <c r="AL276" s="440"/>
      <c r="AM276" s="337">
        <f t="shared" ca="1" si="66"/>
        <v>0</v>
      </c>
      <c r="AN276" s="471">
        <f t="shared" ca="1" si="82"/>
        <v>0</v>
      </c>
    </row>
    <row r="277" spans="1:40" x14ac:dyDescent="0.2">
      <c r="A277" t="str">
        <f t="shared" si="67"/>
        <v>S</v>
      </c>
      <c r="B277">
        <f t="shared" ca="1" si="68"/>
        <v>3</v>
      </c>
      <c r="C277" t="str">
        <f t="shared" ca="1" si="69"/>
        <v>S</v>
      </c>
      <c r="D277">
        <f t="shared" ca="1" si="70"/>
        <v>0</v>
      </c>
      <c r="E277">
        <f ca="1">IF($C277=1,OFFSET(E277,-1,0)+MAX(1,COUNTIF(QCI!$A$13:$A$24,OFFSET(ORÇAMENTO!E277,-1,0))),OFFSET(E277,-1,0))</f>
        <v>1</v>
      </c>
      <c r="F277">
        <f t="shared" ca="1" si="71"/>
        <v>16</v>
      </c>
      <c r="G277">
        <f t="shared" ca="1" si="72"/>
        <v>3</v>
      </c>
      <c r="H277">
        <f t="shared" ca="1" si="73"/>
        <v>0</v>
      </c>
      <c r="I277">
        <f t="shared" ca="1" si="74"/>
        <v>0</v>
      </c>
      <c r="J277">
        <f t="shared" ca="1" si="75"/>
        <v>0</v>
      </c>
      <c r="K277">
        <f ca="1">IF(OR($C277="S",$C277=0),0,MATCH(OFFSET($D277,0,$C277)+IF($C277&lt;&gt;1,1,COUNTIF(QCI!$A$13:$A$24,ORÇAMENTO!E277)),OFFSET($D277,1,$C277,ROW($C$405)-ROW($C277)),0))</f>
        <v>0</v>
      </c>
      <c r="L277" s="115" t="str">
        <f t="shared" ca="1" si="76"/>
        <v/>
      </c>
      <c r="M277" s="116" t="s">
        <v>706</v>
      </c>
      <c r="N277" s="117" t="str">
        <f t="shared" ca="1" si="77"/>
        <v>Serviço</v>
      </c>
      <c r="O277" s="118" t="str">
        <f t="shared" ca="1" si="78"/>
        <v>-</v>
      </c>
      <c r="P277" s="119" t="s">
        <v>1313</v>
      </c>
      <c r="Q277" s="120" t="s">
        <v>1169</v>
      </c>
      <c r="R277" s="121" t="s">
        <v>1541</v>
      </c>
      <c r="S277" s="122" t="s">
        <v>639</v>
      </c>
      <c r="T277" s="123">
        <f ca="1">OFFSET(CÁLCULO!H$15,ROW($T277)-ROW(T$15),0)</f>
        <v>1</v>
      </c>
      <c r="U277" s="124"/>
      <c r="V277" s="125" t="s">
        <v>663</v>
      </c>
      <c r="W277" s="123">
        <f ca="1">IF($C277="S",ROUND(IF(TIPOORCAMENTO="Proposto",ORÇAMENTO.CustoUnitario*(1+$AH277),ORÇAMENTO.PrecoUnitarioLicitado),15-13*$AF$10),0)</f>
        <v>0</v>
      </c>
      <c r="X277" s="126" cm="1">
        <f t="array" aca="1" ref="X277" ca="1">IF($C277="S",IF(OR(Import.TipoArredondamento&lt;&gt;"TransfereGOV",ACOMPANHAMENTO="BM"),VTOTAL1,SUM(OFFSET(CÁLCULO!$AA$15,ROW($X277)-ROW($X$15),1):OFFSET(CÁLCULO!$AL$15,ROW($X277)-ROW($X$15),-1))),IF($C277=0,0,ROUND(SomaAgrup,15-13*$AF$11)))</f>
        <v>0</v>
      </c>
      <c r="Y277" s="127" t="s">
        <v>752</v>
      </c>
      <c r="Z277" t="str">
        <f t="shared" ca="1" si="79"/>
        <v/>
      </c>
      <c r="AA277" s="128">
        <f ca="1">IF($C277="S",IF($Z277="CP",$X277,IF($Z277="RA",(($X277)*QCI!$AA$3),0)),SomaAgrup)</f>
        <v>0</v>
      </c>
      <c r="AB277" s="129">
        <f t="shared" ca="1" si="80"/>
        <v>0</v>
      </c>
      <c r="AC277" s="567" t="str">
        <f ca="1">IF($N277=""," ",
IF(AND($C277&lt;&gt;"S",OR($R277="",$R277="(digite a descrição aqui)")),"DESCRIÇÃO",
IF(AND($C277="S",OR($Q277&lt;&gt;0,$T277&gt;0,$U277&gt;0),$P277=0),"FONTE",
IF(AND($C277="S",$P277&lt;&gt;0,OR($T277&gt;0,$U277&gt;0),$Q277=0),"CÓDIGO",
IF(AND($C277="S",$P277&lt;&gt;0,$Q277&lt;&gt;0,$R277="(Código não identificado nas referências)"),"CÓDIGO N/ID",
IF(AND($C277="S",OR($R277="",$R277="(digite a descrição aqui)"),OR($Q277&lt;&gt;0,$T277&gt;0,$U277&gt;0)),"DESCRIÇÃO",
IF(AND($C277="S",$P277&lt;&gt;0,$Q277&lt;&gt;0,$S277=""),"UNIDADE",
IF(AND($C277="S",$P277&lt;&gt;0,$Q277&lt;&gt;0,$U277=0),"SEM CUSTO",
IF(AND(TIPOORCAMENTO="Licitado",$AL277=0,$AN277&gt;0),"SEM PREÇO",
IF(AND($C277="S",$P277&lt;&gt;0,$Q277&lt;&gt;0,$U277&gt;0,$V277=0),"BDI",
IF(OR(AND(TIPOORCAMENTO="Proposto",$AG277&lt;&gt;"",$AG277&gt;0,ORÇAMENTO.CustoUnitario&gt;$AG277),AND(TIPOORCAMENTO="LICITADO",ORÇAMENTO.PrecoUnitarioLicitado&gt;$AN277)),"ACIMA REF.",
IF(AND($C277="S",$P277&lt;&gt;0,$Q277&lt;&gt;0,$T277=0,$U277&gt;0),"QUANT.",
IF(AND(Import.TipoArredondamento="TransfereGOV",$L277="F",$C277="S",LEN($Q277)&gt;13),"Código &gt;13",
IF(AND(Import.TipoArredondamento="TransfereGOV",$L277="F",$C277&lt;&gt;"S",LEN($R277)&gt;100),"Descrição &gt;100",
IF(AND(Import.TipoArredondamento="TransfereGOV",$L277="F",$C277="S",LEN($R277)&gt;500),"Descrição &gt;500",
IF(AND(Import.TipoArredondamento="TransfereGOV",$L277="F",$C277="S",LEFT(TRIM(UPPER($P277)),6)&lt;&gt;"SINAPI",ISNA(VLOOKUP(TRIM(UPPER($S277)),ListaTgov.Unidades,1,FALSE))),"Unid. Não Disp",
" "))))))))))))))))</f>
        <v>SEM CUSTO</v>
      </c>
      <c r="AD277" t="str">
        <f ca="1">IF(C277&lt;=CRONO.NivelExibicao,MAX($AD$15:OFFSET(AD277,-1,0))+IF($C277&lt;&gt;1,1,MAX(1,COUNTIF(QCI!$A$13:$A$24,OFFSET($E277,-1,0)))),"")</f>
        <v/>
      </c>
      <c r="AE277" s="7" t="str">
        <f ca="1">IF(AND($C277="S",ORÇAMENTO.CodBarra&lt;&gt;""),IF(ORÇAMENTO.Fonte="",ORÇAMENTO.CodBarra,CONCATENATE(ORÇAMENTO.Fonte," ",ORÇAMENTO.CodBarra)))</f>
        <v>Cotação 159</v>
      </c>
      <c r="AF277" s="12" t="str">
        <f ca="1">IF(ISERROR(INDIRECT(ORÇAMENTO.BancoRef)),"(abra o arquivo 'Referência "&amp;Excel_BuiltIn_Database&amp;".xlsm)",IF(OR($C277&lt;&gt;"S",ORÇAMENTO.CodBarra=""),"(Sem Código)",IF(ISERROR(MATCH($AE277,INDIRECT(ORÇAMENTO.BancoRef),0)),"(Código não identificado nas referências)",MATCH($AE277,INDIRECT(ORÇAMENTO.BancoRef),0))))</f>
        <v>(abra o arquivo 'Referência 12-2024.xlsm)</v>
      </c>
      <c r="AG277" s="429">
        <f ca="1">ROUND(IF(DESONERACAO="sim",REFERENCIA.Desonerado,REFERENCIA.NaoDesonerado),2)</f>
        <v>0</v>
      </c>
      <c r="AH277" s="430">
        <f t="shared" ca="1" si="81"/>
        <v>0.31190000000000001</v>
      </c>
      <c r="AJ277" s="432">
        <v>1</v>
      </c>
      <c r="AL277" s="440"/>
      <c r="AM277" s="337">
        <f t="shared" ca="1" si="66"/>
        <v>0</v>
      </c>
      <c r="AN277" s="471">
        <f t="shared" ca="1" si="82"/>
        <v>0</v>
      </c>
    </row>
    <row r="278" spans="1:40" x14ac:dyDescent="0.2">
      <c r="A278" t="str">
        <f t="shared" si="67"/>
        <v>S</v>
      </c>
      <c r="B278">
        <f t="shared" ca="1" si="68"/>
        <v>3</v>
      </c>
      <c r="C278" t="str">
        <f t="shared" ca="1" si="69"/>
        <v>S</v>
      </c>
      <c r="D278">
        <f t="shared" ca="1" si="70"/>
        <v>0</v>
      </c>
      <c r="E278">
        <f ca="1">IF($C278=1,OFFSET(E278,-1,0)+MAX(1,COUNTIF(QCI!$A$13:$A$24,OFFSET(ORÇAMENTO!E278,-1,0))),OFFSET(E278,-1,0))</f>
        <v>1</v>
      </c>
      <c r="F278">
        <f t="shared" ca="1" si="71"/>
        <v>16</v>
      </c>
      <c r="G278">
        <f t="shared" ca="1" si="72"/>
        <v>3</v>
      </c>
      <c r="H278">
        <f t="shared" ca="1" si="73"/>
        <v>0</v>
      </c>
      <c r="I278">
        <f t="shared" ca="1" si="74"/>
        <v>0</v>
      </c>
      <c r="J278">
        <f t="shared" ca="1" si="75"/>
        <v>0</v>
      </c>
      <c r="K278">
        <f ca="1">IF(OR($C278="S",$C278=0),0,MATCH(OFFSET($D278,0,$C278)+IF($C278&lt;&gt;1,1,COUNTIF(QCI!$A$13:$A$24,ORÇAMENTO!E278)),OFFSET($D278,1,$C278,ROW($C$405)-ROW($C278)),0))</f>
        <v>0</v>
      </c>
      <c r="L278" s="115" t="str">
        <f t="shared" ca="1" si="76"/>
        <v/>
      </c>
      <c r="M278" s="116" t="s">
        <v>706</v>
      </c>
      <c r="N278" s="117" t="str">
        <f t="shared" ca="1" si="77"/>
        <v>Serviço</v>
      </c>
      <c r="O278" s="118" t="str">
        <f t="shared" ca="1" si="78"/>
        <v>-</v>
      </c>
      <c r="P278" s="119" t="s">
        <v>1313</v>
      </c>
      <c r="Q278" s="120" t="s">
        <v>1170</v>
      </c>
      <c r="R278" s="121" t="s">
        <v>1542</v>
      </c>
      <c r="S278" s="122" t="s">
        <v>639</v>
      </c>
      <c r="T278" s="123">
        <f ca="1">OFFSET(CÁLCULO!H$15,ROW($T278)-ROW(T$15),0)</f>
        <v>2</v>
      </c>
      <c r="U278" s="124"/>
      <c r="V278" s="125" t="s">
        <v>663</v>
      </c>
      <c r="W278" s="123">
        <f ca="1">IF($C278="S",ROUND(IF(TIPOORCAMENTO="Proposto",ORÇAMENTO.CustoUnitario*(1+$AH278),ORÇAMENTO.PrecoUnitarioLicitado),15-13*$AF$10),0)</f>
        <v>0</v>
      </c>
      <c r="X278" s="126" cm="1">
        <f t="array" aca="1" ref="X278" ca="1">IF($C278="S",IF(OR(Import.TipoArredondamento&lt;&gt;"TransfereGOV",ACOMPANHAMENTO="BM"),VTOTAL1,SUM(OFFSET(CÁLCULO!$AA$15,ROW($X278)-ROW($X$15),1):OFFSET(CÁLCULO!$AL$15,ROW($X278)-ROW($X$15),-1))),IF($C278=0,0,ROUND(SomaAgrup,15-13*$AF$11)))</f>
        <v>0</v>
      </c>
      <c r="Y278" s="127" t="s">
        <v>752</v>
      </c>
      <c r="Z278" t="str">
        <f t="shared" ca="1" si="79"/>
        <v/>
      </c>
      <c r="AA278" s="128">
        <f ca="1">IF($C278="S",IF($Z278="CP",$X278,IF($Z278="RA",(($X278)*QCI!$AA$3),0)),SomaAgrup)</f>
        <v>0</v>
      </c>
      <c r="AB278" s="129">
        <f t="shared" ca="1" si="80"/>
        <v>0</v>
      </c>
      <c r="AC278" s="567" t="str">
        <f ca="1">IF($N278=""," ",
IF(AND($C278&lt;&gt;"S",OR($R278="",$R278="(digite a descrição aqui)")),"DESCRIÇÃO",
IF(AND($C278="S",OR($Q278&lt;&gt;0,$T278&gt;0,$U278&gt;0),$P278=0),"FONTE",
IF(AND($C278="S",$P278&lt;&gt;0,OR($T278&gt;0,$U278&gt;0),$Q278=0),"CÓDIGO",
IF(AND($C278="S",$P278&lt;&gt;0,$Q278&lt;&gt;0,$R278="(Código não identificado nas referências)"),"CÓDIGO N/ID",
IF(AND($C278="S",OR($R278="",$R278="(digite a descrição aqui)"),OR($Q278&lt;&gt;0,$T278&gt;0,$U278&gt;0)),"DESCRIÇÃO",
IF(AND($C278="S",$P278&lt;&gt;0,$Q278&lt;&gt;0,$S278=""),"UNIDADE",
IF(AND($C278="S",$P278&lt;&gt;0,$Q278&lt;&gt;0,$U278=0),"SEM CUSTO",
IF(AND(TIPOORCAMENTO="Licitado",$AL278=0,$AN278&gt;0),"SEM PREÇO",
IF(AND($C278="S",$P278&lt;&gt;0,$Q278&lt;&gt;0,$U278&gt;0,$V278=0),"BDI",
IF(OR(AND(TIPOORCAMENTO="Proposto",$AG278&lt;&gt;"",$AG278&gt;0,ORÇAMENTO.CustoUnitario&gt;$AG278),AND(TIPOORCAMENTO="LICITADO",ORÇAMENTO.PrecoUnitarioLicitado&gt;$AN278)),"ACIMA REF.",
IF(AND($C278="S",$P278&lt;&gt;0,$Q278&lt;&gt;0,$T278=0,$U278&gt;0),"QUANT.",
IF(AND(Import.TipoArredondamento="TransfereGOV",$L278="F",$C278="S",LEN($Q278)&gt;13),"Código &gt;13",
IF(AND(Import.TipoArredondamento="TransfereGOV",$L278="F",$C278&lt;&gt;"S",LEN($R278)&gt;100),"Descrição &gt;100",
IF(AND(Import.TipoArredondamento="TransfereGOV",$L278="F",$C278="S",LEN($R278)&gt;500),"Descrição &gt;500",
IF(AND(Import.TipoArredondamento="TransfereGOV",$L278="F",$C278="S",LEFT(TRIM(UPPER($P278)),6)&lt;&gt;"SINAPI",ISNA(VLOOKUP(TRIM(UPPER($S278)),ListaTgov.Unidades,1,FALSE))),"Unid. Não Disp",
" "))))))))))))))))</f>
        <v>SEM CUSTO</v>
      </c>
      <c r="AD278" t="str">
        <f ca="1">IF(C278&lt;=CRONO.NivelExibicao,MAX($AD$15:OFFSET(AD278,-1,0))+IF($C278&lt;&gt;1,1,MAX(1,COUNTIF(QCI!$A$13:$A$24,OFFSET($E278,-1,0)))),"")</f>
        <v/>
      </c>
      <c r="AE278" s="7" t="str">
        <f ca="1">IF(AND($C278="S",ORÇAMENTO.CodBarra&lt;&gt;""),IF(ORÇAMENTO.Fonte="",ORÇAMENTO.CodBarra,CONCATENATE(ORÇAMENTO.Fonte," ",ORÇAMENTO.CodBarra)))</f>
        <v>Cotação 160</v>
      </c>
      <c r="AF278" s="12" t="str">
        <f ca="1">IF(ISERROR(INDIRECT(ORÇAMENTO.BancoRef)),"(abra o arquivo 'Referência "&amp;Excel_BuiltIn_Database&amp;".xlsm)",IF(OR($C278&lt;&gt;"S",ORÇAMENTO.CodBarra=""),"(Sem Código)",IF(ISERROR(MATCH($AE278,INDIRECT(ORÇAMENTO.BancoRef),0)),"(Código não identificado nas referências)",MATCH($AE278,INDIRECT(ORÇAMENTO.BancoRef),0))))</f>
        <v>(abra o arquivo 'Referência 12-2024.xlsm)</v>
      </c>
      <c r="AG278" s="429">
        <f ca="1">ROUND(IF(DESONERACAO="sim",REFERENCIA.Desonerado,REFERENCIA.NaoDesonerado),2)</f>
        <v>0</v>
      </c>
      <c r="AH278" s="430">
        <f t="shared" ca="1" si="81"/>
        <v>0.31190000000000001</v>
      </c>
      <c r="AJ278" s="432">
        <v>2</v>
      </c>
      <c r="AL278" s="440"/>
      <c r="AM278" s="337">
        <f t="shared" ca="1" si="66"/>
        <v>0</v>
      </c>
      <c r="AN278" s="471">
        <f t="shared" ca="1" si="82"/>
        <v>0</v>
      </c>
    </row>
    <row r="279" spans="1:40" x14ac:dyDescent="0.2">
      <c r="A279" t="str">
        <f t="shared" si="67"/>
        <v>S</v>
      </c>
      <c r="B279">
        <f t="shared" ca="1" si="68"/>
        <v>3</v>
      </c>
      <c r="C279" t="str">
        <f t="shared" ca="1" si="69"/>
        <v>S</v>
      </c>
      <c r="D279">
        <f t="shared" ca="1" si="70"/>
        <v>0</v>
      </c>
      <c r="E279">
        <f ca="1">IF($C279=1,OFFSET(E279,-1,0)+MAX(1,COUNTIF(QCI!$A$13:$A$24,OFFSET(ORÇAMENTO!E279,-1,0))),OFFSET(E279,-1,0))</f>
        <v>1</v>
      </c>
      <c r="F279">
        <f t="shared" ca="1" si="71"/>
        <v>16</v>
      </c>
      <c r="G279">
        <f t="shared" ca="1" si="72"/>
        <v>3</v>
      </c>
      <c r="H279">
        <f t="shared" ca="1" si="73"/>
        <v>0</v>
      </c>
      <c r="I279">
        <f t="shared" ca="1" si="74"/>
        <v>0</v>
      </c>
      <c r="J279">
        <f t="shared" ca="1" si="75"/>
        <v>0</v>
      </c>
      <c r="K279">
        <f ca="1">IF(OR($C279="S",$C279=0),0,MATCH(OFFSET($D279,0,$C279)+IF($C279&lt;&gt;1,1,COUNTIF(QCI!$A$13:$A$24,ORÇAMENTO!E279)),OFFSET($D279,1,$C279,ROW($C$405)-ROW($C279)),0))</f>
        <v>0</v>
      </c>
      <c r="L279" s="115" t="str">
        <f t="shared" ca="1" si="76"/>
        <v/>
      </c>
      <c r="M279" s="116" t="s">
        <v>706</v>
      </c>
      <c r="N279" s="117" t="str">
        <f t="shared" ca="1" si="77"/>
        <v>Serviço</v>
      </c>
      <c r="O279" s="118" t="str">
        <f t="shared" ca="1" si="78"/>
        <v>-</v>
      </c>
      <c r="P279" s="119" t="s">
        <v>1313</v>
      </c>
      <c r="Q279" s="120" t="s">
        <v>1171</v>
      </c>
      <c r="R279" s="121" t="s">
        <v>1543</v>
      </c>
      <c r="S279" s="122" t="s">
        <v>639</v>
      </c>
      <c r="T279" s="123">
        <f ca="1">OFFSET(CÁLCULO!H$15,ROW($T279)-ROW(T$15),0)</f>
        <v>1</v>
      </c>
      <c r="U279" s="124"/>
      <c r="V279" s="125" t="s">
        <v>663</v>
      </c>
      <c r="W279" s="123">
        <f ca="1">IF($C279="S",ROUND(IF(TIPOORCAMENTO="Proposto",ORÇAMENTO.CustoUnitario*(1+$AH279),ORÇAMENTO.PrecoUnitarioLicitado),15-13*$AF$10),0)</f>
        <v>0</v>
      </c>
      <c r="X279" s="126" cm="1">
        <f t="array" aca="1" ref="X279" ca="1">IF($C279="S",IF(OR(Import.TipoArredondamento&lt;&gt;"TransfereGOV",ACOMPANHAMENTO="BM"),VTOTAL1,SUM(OFFSET(CÁLCULO!$AA$15,ROW($X279)-ROW($X$15),1):OFFSET(CÁLCULO!$AL$15,ROW($X279)-ROW($X$15),-1))),IF($C279=0,0,ROUND(SomaAgrup,15-13*$AF$11)))</f>
        <v>0</v>
      </c>
      <c r="Y279" s="127" t="s">
        <v>752</v>
      </c>
      <c r="Z279" t="str">
        <f t="shared" ca="1" si="79"/>
        <v/>
      </c>
      <c r="AA279" s="128">
        <f ca="1">IF($C279="S",IF($Z279="CP",$X279,IF($Z279="RA",(($X279)*QCI!$AA$3),0)),SomaAgrup)</f>
        <v>0</v>
      </c>
      <c r="AB279" s="129">
        <f t="shared" ca="1" si="80"/>
        <v>0</v>
      </c>
      <c r="AC279" s="567" t="str">
        <f ca="1">IF($N279=""," ",
IF(AND($C279&lt;&gt;"S",OR($R279="",$R279="(digite a descrição aqui)")),"DESCRIÇÃO",
IF(AND($C279="S",OR($Q279&lt;&gt;0,$T279&gt;0,$U279&gt;0),$P279=0),"FONTE",
IF(AND($C279="S",$P279&lt;&gt;0,OR($T279&gt;0,$U279&gt;0),$Q279=0),"CÓDIGO",
IF(AND($C279="S",$P279&lt;&gt;0,$Q279&lt;&gt;0,$R279="(Código não identificado nas referências)"),"CÓDIGO N/ID",
IF(AND($C279="S",OR($R279="",$R279="(digite a descrição aqui)"),OR($Q279&lt;&gt;0,$T279&gt;0,$U279&gt;0)),"DESCRIÇÃO",
IF(AND($C279="S",$P279&lt;&gt;0,$Q279&lt;&gt;0,$S279=""),"UNIDADE",
IF(AND($C279="S",$P279&lt;&gt;0,$Q279&lt;&gt;0,$U279=0),"SEM CUSTO",
IF(AND(TIPOORCAMENTO="Licitado",$AL279=0,$AN279&gt;0),"SEM PREÇO",
IF(AND($C279="S",$P279&lt;&gt;0,$Q279&lt;&gt;0,$U279&gt;0,$V279=0),"BDI",
IF(OR(AND(TIPOORCAMENTO="Proposto",$AG279&lt;&gt;"",$AG279&gt;0,ORÇAMENTO.CustoUnitario&gt;$AG279),AND(TIPOORCAMENTO="LICITADO",ORÇAMENTO.PrecoUnitarioLicitado&gt;$AN279)),"ACIMA REF.",
IF(AND($C279="S",$P279&lt;&gt;0,$Q279&lt;&gt;0,$T279=0,$U279&gt;0),"QUANT.",
IF(AND(Import.TipoArredondamento="TransfereGOV",$L279="F",$C279="S",LEN($Q279)&gt;13),"Código &gt;13",
IF(AND(Import.TipoArredondamento="TransfereGOV",$L279="F",$C279&lt;&gt;"S",LEN($R279)&gt;100),"Descrição &gt;100",
IF(AND(Import.TipoArredondamento="TransfereGOV",$L279="F",$C279="S",LEN($R279)&gt;500),"Descrição &gt;500",
IF(AND(Import.TipoArredondamento="TransfereGOV",$L279="F",$C279="S",LEFT(TRIM(UPPER($P279)),6)&lt;&gt;"SINAPI",ISNA(VLOOKUP(TRIM(UPPER($S279)),ListaTgov.Unidades,1,FALSE))),"Unid. Não Disp",
" "))))))))))))))))</f>
        <v>SEM CUSTO</v>
      </c>
      <c r="AD279" t="str">
        <f ca="1">IF(C279&lt;=CRONO.NivelExibicao,MAX($AD$15:OFFSET(AD279,-1,0))+IF($C279&lt;&gt;1,1,MAX(1,COUNTIF(QCI!$A$13:$A$24,OFFSET($E279,-1,0)))),"")</f>
        <v/>
      </c>
      <c r="AE279" s="7" t="str">
        <f ca="1">IF(AND($C279="S",ORÇAMENTO.CodBarra&lt;&gt;""),IF(ORÇAMENTO.Fonte="",ORÇAMENTO.CodBarra,CONCATENATE(ORÇAMENTO.Fonte," ",ORÇAMENTO.CodBarra)))</f>
        <v>Cotação 161</v>
      </c>
      <c r="AF279" s="12" t="str">
        <f ca="1">IF(ISERROR(INDIRECT(ORÇAMENTO.BancoRef)),"(abra o arquivo 'Referência "&amp;Excel_BuiltIn_Database&amp;".xlsm)",IF(OR($C279&lt;&gt;"S",ORÇAMENTO.CodBarra=""),"(Sem Código)",IF(ISERROR(MATCH($AE279,INDIRECT(ORÇAMENTO.BancoRef),0)),"(Código não identificado nas referências)",MATCH($AE279,INDIRECT(ORÇAMENTO.BancoRef),0))))</f>
        <v>(abra o arquivo 'Referência 12-2024.xlsm)</v>
      </c>
      <c r="AG279" s="429">
        <f ca="1">ROUND(IF(DESONERACAO="sim",REFERENCIA.Desonerado,REFERENCIA.NaoDesonerado),2)</f>
        <v>0</v>
      </c>
      <c r="AH279" s="430">
        <f t="shared" ca="1" si="81"/>
        <v>0.31190000000000001</v>
      </c>
      <c r="AJ279" s="432">
        <v>1</v>
      </c>
      <c r="AL279" s="440"/>
      <c r="AM279" s="337">
        <f t="shared" ca="1" si="66"/>
        <v>0</v>
      </c>
      <c r="AN279" s="471">
        <f t="shared" ca="1" si="82"/>
        <v>0</v>
      </c>
    </row>
    <row r="280" spans="1:40" x14ac:dyDescent="0.2">
      <c r="A280" t="str">
        <f t="shared" si="67"/>
        <v>S</v>
      </c>
      <c r="B280">
        <f t="shared" ca="1" si="68"/>
        <v>3</v>
      </c>
      <c r="C280" t="str">
        <f t="shared" ca="1" si="69"/>
        <v>S</v>
      </c>
      <c r="D280">
        <f t="shared" ca="1" si="70"/>
        <v>0</v>
      </c>
      <c r="E280">
        <f ca="1">IF($C280=1,OFFSET(E280,-1,0)+MAX(1,COUNTIF(QCI!$A$13:$A$24,OFFSET(ORÇAMENTO!E280,-1,0))),OFFSET(E280,-1,0))</f>
        <v>1</v>
      </c>
      <c r="F280">
        <f t="shared" ca="1" si="71"/>
        <v>16</v>
      </c>
      <c r="G280">
        <f t="shared" ca="1" si="72"/>
        <v>3</v>
      </c>
      <c r="H280">
        <f t="shared" ca="1" si="73"/>
        <v>0</v>
      </c>
      <c r="I280">
        <f t="shared" ca="1" si="74"/>
        <v>0</v>
      </c>
      <c r="J280">
        <f t="shared" ca="1" si="75"/>
        <v>0</v>
      </c>
      <c r="K280">
        <f ca="1">IF(OR($C280="S",$C280=0),0,MATCH(OFFSET($D280,0,$C280)+IF($C280&lt;&gt;1,1,COUNTIF(QCI!$A$13:$A$24,ORÇAMENTO!E280)),OFFSET($D280,1,$C280,ROW($C$405)-ROW($C280)),0))</f>
        <v>0</v>
      </c>
      <c r="L280" s="115" t="str">
        <f t="shared" ca="1" si="76"/>
        <v/>
      </c>
      <c r="M280" s="116" t="s">
        <v>706</v>
      </c>
      <c r="N280" s="117" t="str">
        <f t="shared" ca="1" si="77"/>
        <v>Serviço</v>
      </c>
      <c r="O280" s="118" t="str">
        <f t="shared" ca="1" si="78"/>
        <v>-</v>
      </c>
      <c r="P280" s="119" t="s">
        <v>1313</v>
      </c>
      <c r="Q280" s="120" t="s">
        <v>1172</v>
      </c>
      <c r="R280" s="121" t="s">
        <v>1544</v>
      </c>
      <c r="S280" s="122" t="s">
        <v>621</v>
      </c>
      <c r="T280" s="123">
        <f ca="1">OFFSET(CÁLCULO!H$15,ROW($T280)-ROW(T$15),0)</f>
        <v>205</v>
      </c>
      <c r="U280" s="124"/>
      <c r="V280" s="125" t="s">
        <v>663</v>
      </c>
      <c r="W280" s="123">
        <f ca="1">IF($C280="S",ROUND(IF(TIPOORCAMENTO="Proposto",ORÇAMENTO.CustoUnitario*(1+$AH280),ORÇAMENTO.PrecoUnitarioLicitado),15-13*$AF$10),0)</f>
        <v>0</v>
      </c>
      <c r="X280" s="126" cm="1">
        <f t="array" aca="1" ref="X280" ca="1">IF($C280="S",IF(OR(Import.TipoArredondamento&lt;&gt;"TransfereGOV",ACOMPANHAMENTO="BM"),VTOTAL1,SUM(OFFSET(CÁLCULO!$AA$15,ROW($X280)-ROW($X$15),1):OFFSET(CÁLCULO!$AL$15,ROW($X280)-ROW($X$15),-1))),IF($C280=0,0,ROUND(SomaAgrup,15-13*$AF$11)))</f>
        <v>0</v>
      </c>
      <c r="Y280" s="127" t="s">
        <v>752</v>
      </c>
      <c r="Z280" t="str">
        <f t="shared" ca="1" si="79"/>
        <v/>
      </c>
      <c r="AA280" s="128">
        <f ca="1">IF($C280="S",IF($Z280="CP",$X280,IF($Z280="RA",(($X280)*QCI!$AA$3),0)),SomaAgrup)</f>
        <v>0</v>
      </c>
      <c r="AB280" s="129">
        <f t="shared" ca="1" si="80"/>
        <v>0</v>
      </c>
      <c r="AC280" s="567" t="str">
        <f ca="1">IF($N280=""," ",
IF(AND($C280&lt;&gt;"S",OR($R280="",$R280="(digite a descrição aqui)")),"DESCRIÇÃO",
IF(AND($C280="S",OR($Q280&lt;&gt;0,$T280&gt;0,$U280&gt;0),$P280=0),"FONTE",
IF(AND($C280="S",$P280&lt;&gt;0,OR($T280&gt;0,$U280&gt;0),$Q280=0),"CÓDIGO",
IF(AND($C280="S",$P280&lt;&gt;0,$Q280&lt;&gt;0,$R280="(Código não identificado nas referências)"),"CÓDIGO N/ID",
IF(AND($C280="S",OR($R280="",$R280="(digite a descrição aqui)"),OR($Q280&lt;&gt;0,$T280&gt;0,$U280&gt;0)),"DESCRIÇÃO",
IF(AND($C280="S",$P280&lt;&gt;0,$Q280&lt;&gt;0,$S280=""),"UNIDADE",
IF(AND($C280="S",$P280&lt;&gt;0,$Q280&lt;&gt;0,$U280=0),"SEM CUSTO",
IF(AND(TIPOORCAMENTO="Licitado",$AL280=0,$AN280&gt;0),"SEM PREÇO",
IF(AND($C280="S",$P280&lt;&gt;0,$Q280&lt;&gt;0,$U280&gt;0,$V280=0),"BDI",
IF(OR(AND(TIPOORCAMENTO="Proposto",$AG280&lt;&gt;"",$AG280&gt;0,ORÇAMENTO.CustoUnitario&gt;$AG280),AND(TIPOORCAMENTO="LICITADO",ORÇAMENTO.PrecoUnitarioLicitado&gt;$AN280)),"ACIMA REF.",
IF(AND($C280="S",$P280&lt;&gt;0,$Q280&lt;&gt;0,$T280=0,$U280&gt;0),"QUANT.",
IF(AND(Import.TipoArredondamento="TransfereGOV",$L280="F",$C280="S",LEN($Q280)&gt;13),"Código &gt;13",
IF(AND(Import.TipoArredondamento="TransfereGOV",$L280="F",$C280&lt;&gt;"S",LEN($R280)&gt;100),"Descrição &gt;100",
IF(AND(Import.TipoArredondamento="TransfereGOV",$L280="F",$C280="S",LEN($R280)&gt;500),"Descrição &gt;500",
IF(AND(Import.TipoArredondamento="TransfereGOV",$L280="F",$C280="S",LEFT(TRIM(UPPER($P280)),6)&lt;&gt;"SINAPI",ISNA(VLOOKUP(TRIM(UPPER($S280)),ListaTgov.Unidades,1,FALSE))),"Unid. Não Disp",
" "))))))))))))))))</f>
        <v>SEM CUSTO</v>
      </c>
      <c r="AD280" t="str">
        <f ca="1">IF(C280&lt;=CRONO.NivelExibicao,MAX($AD$15:OFFSET(AD280,-1,0))+IF($C280&lt;&gt;1,1,MAX(1,COUNTIF(QCI!$A$13:$A$24,OFFSET($E280,-1,0)))),"")</f>
        <v/>
      </c>
      <c r="AE280" s="7" t="str">
        <f ca="1">IF(AND($C280="S",ORÇAMENTO.CodBarra&lt;&gt;""),IF(ORÇAMENTO.Fonte="",ORÇAMENTO.CodBarra,CONCATENATE(ORÇAMENTO.Fonte," ",ORÇAMENTO.CodBarra)))</f>
        <v>Cotação 162</v>
      </c>
      <c r="AF280" s="12" t="str">
        <f ca="1">IF(ISERROR(INDIRECT(ORÇAMENTO.BancoRef)),"(abra o arquivo 'Referência "&amp;Excel_BuiltIn_Database&amp;".xlsm)",IF(OR($C280&lt;&gt;"S",ORÇAMENTO.CodBarra=""),"(Sem Código)",IF(ISERROR(MATCH($AE280,INDIRECT(ORÇAMENTO.BancoRef),0)),"(Código não identificado nas referências)",MATCH($AE280,INDIRECT(ORÇAMENTO.BancoRef),0))))</f>
        <v>(abra o arquivo 'Referência 12-2024.xlsm)</v>
      </c>
      <c r="AG280" s="429">
        <f ca="1">ROUND(IF(DESONERACAO="sim",REFERENCIA.Desonerado,REFERENCIA.NaoDesonerado),2)</f>
        <v>0</v>
      </c>
      <c r="AH280" s="430">
        <f t="shared" ca="1" si="81"/>
        <v>0.31190000000000001</v>
      </c>
      <c r="AJ280" s="432">
        <v>205</v>
      </c>
      <c r="AL280" s="440"/>
      <c r="AM280" s="337">
        <f t="shared" ca="1" si="66"/>
        <v>0</v>
      </c>
      <c r="AN280" s="471">
        <f t="shared" ca="1" si="82"/>
        <v>0</v>
      </c>
    </row>
    <row r="281" spans="1:40" x14ac:dyDescent="0.2">
      <c r="A281" t="str">
        <f t="shared" si="67"/>
        <v>S</v>
      </c>
      <c r="B281">
        <f t="shared" ca="1" si="68"/>
        <v>3</v>
      </c>
      <c r="C281" t="str">
        <f t="shared" ca="1" si="69"/>
        <v>S</v>
      </c>
      <c r="D281">
        <f t="shared" ca="1" si="70"/>
        <v>0</v>
      </c>
      <c r="E281">
        <f ca="1">IF($C281=1,OFFSET(E281,-1,0)+MAX(1,COUNTIF(QCI!$A$13:$A$24,OFFSET(ORÇAMENTO!E281,-1,0))),OFFSET(E281,-1,0))</f>
        <v>1</v>
      </c>
      <c r="F281">
        <f t="shared" ca="1" si="71"/>
        <v>16</v>
      </c>
      <c r="G281">
        <f t="shared" ca="1" si="72"/>
        <v>3</v>
      </c>
      <c r="H281">
        <f t="shared" ca="1" si="73"/>
        <v>0</v>
      </c>
      <c r="I281">
        <f t="shared" ca="1" si="74"/>
        <v>0</v>
      </c>
      <c r="J281">
        <f t="shared" ca="1" si="75"/>
        <v>0</v>
      </c>
      <c r="K281">
        <f ca="1">IF(OR($C281="S",$C281=0),0,MATCH(OFFSET($D281,0,$C281)+IF($C281&lt;&gt;1,1,COUNTIF(QCI!$A$13:$A$24,ORÇAMENTO!E281)),OFFSET($D281,1,$C281,ROW($C$405)-ROW($C281)),0))</f>
        <v>0</v>
      </c>
      <c r="L281" s="115" t="str">
        <f t="shared" ca="1" si="76"/>
        <v/>
      </c>
      <c r="M281" s="116" t="s">
        <v>706</v>
      </c>
      <c r="N281" s="117" t="str">
        <f t="shared" ca="1" si="77"/>
        <v>Serviço</v>
      </c>
      <c r="O281" s="118" t="str">
        <f t="shared" ca="1" si="78"/>
        <v>-</v>
      </c>
      <c r="P281" s="119" t="s">
        <v>1313</v>
      </c>
      <c r="Q281" s="120" t="s">
        <v>1173</v>
      </c>
      <c r="R281" s="121" t="s">
        <v>1545</v>
      </c>
      <c r="S281" s="122" t="s">
        <v>639</v>
      </c>
      <c r="T281" s="123">
        <f ca="1">OFFSET(CÁLCULO!H$15,ROW($T281)-ROW(T$15),0)</f>
        <v>90</v>
      </c>
      <c r="U281" s="124"/>
      <c r="V281" s="125" t="s">
        <v>663</v>
      </c>
      <c r="W281" s="123">
        <f ca="1">IF($C281="S",ROUND(IF(TIPOORCAMENTO="Proposto",ORÇAMENTO.CustoUnitario*(1+$AH281),ORÇAMENTO.PrecoUnitarioLicitado),15-13*$AF$10),0)</f>
        <v>0</v>
      </c>
      <c r="X281" s="126" cm="1">
        <f t="array" aca="1" ref="X281" ca="1">IF($C281="S",IF(OR(Import.TipoArredondamento&lt;&gt;"TransfereGOV",ACOMPANHAMENTO="BM"),VTOTAL1,SUM(OFFSET(CÁLCULO!$AA$15,ROW($X281)-ROW($X$15),1):OFFSET(CÁLCULO!$AL$15,ROW($X281)-ROW($X$15),-1))),IF($C281=0,0,ROUND(SomaAgrup,15-13*$AF$11)))</f>
        <v>0</v>
      </c>
      <c r="Y281" s="127" t="s">
        <v>752</v>
      </c>
      <c r="Z281" t="str">
        <f t="shared" ca="1" si="79"/>
        <v/>
      </c>
      <c r="AA281" s="128">
        <f ca="1">IF($C281="S",IF($Z281="CP",$X281,IF($Z281="RA",(($X281)*QCI!$AA$3),0)),SomaAgrup)</f>
        <v>0</v>
      </c>
      <c r="AB281" s="129">
        <f t="shared" ca="1" si="80"/>
        <v>0</v>
      </c>
      <c r="AC281" s="567" t="str">
        <f ca="1">IF($N281=""," ",
IF(AND($C281&lt;&gt;"S",OR($R281="",$R281="(digite a descrição aqui)")),"DESCRIÇÃO",
IF(AND($C281="S",OR($Q281&lt;&gt;0,$T281&gt;0,$U281&gt;0),$P281=0),"FONTE",
IF(AND($C281="S",$P281&lt;&gt;0,OR($T281&gt;0,$U281&gt;0),$Q281=0),"CÓDIGO",
IF(AND($C281="S",$P281&lt;&gt;0,$Q281&lt;&gt;0,$R281="(Código não identificado nas referências)"),"CÓDIGO N/ID",
IF(AND($C281="S",OR($R281="",$R281="(digite a descrição aqui)"),OR($Q281&lt;&gt;0,$T281&gt;0,$U281&gt;0)),"DESCRIÇÃO",
IF(AND($C281="S",$P281&lt;&gt;0,$Q281&lt;&gt;0,$S281=""),"UNIDADE",
IF(AND($C281="S",$P281&lt;&gt;0,$Q281&lt;&gt;0,$U281=0),"SEM CUSTO",
IF(AND(TIPOORCAMENTO="Licitado",$AL281=0,$AN281&gt;0),"SEM PREÇO",
IF(AND($C281="S",$P281&lt;&gt;0,$Q281&lt;&gt;0,$U281&gt;0,$V281=0),"BDI",
IF(OR(AND(TIPOORCAMENTO="Proposto",$AG281&lt;&gt;"",$AG281&gt;0,ORÇAMENTO.CustoUnitario&gt;$AG281),AND(TIPOORCAMENTO="LICITADO",ORÇAMENTO.PrecoUnitarioLicitado&gt;$AN281)),"ACIMA REF.",
IF(AND($C281="S",$P281&lt;&gt;0,$Q281&lt;&gt;0,$T281=0,$U281&gt;0),"QUANT.",
IF(AND(Import.TipoArredondamento="TransfereGOV",$L281="F",$C281="S",LEN($Q281)&gt;13),"Código &gt;13",
IF(AND(Import.TipoArredondamento="TransfereGOV",$L281="F",$C281&lt;&gt;"S",LEN($R281)&gt;100),"Descrição &gt;100",
IF(AND(Import.TipoArredondamento="TransfereGOV",$L281="F",$C281="S",LEN($R281)&gt;500),"Descrição &gt;500",
IF(AND(Import.TipoArredondamento="TransfereGOV",$L281="F",$C281="S",LEFT(TRIM(UPPER($P281)),6)&lt;&gt;"SINAPI",ISNA(VLOOKUP(TRIM(UPPER($S281)),ListaTgov.Unidades,1,FALSE))),"Unid. Não Disp",
" "))))))))))))))))</f>
        <v>SEM CUSTO</v>
      </c>
      <c r="AD281" t="str">
        <f ca="1">IF(C281&lt;=CRONO.NivelExibicao,MAX($AD$15:OFFSET(AD281,-1,0))+IF($C281&lt;&gt;1,1,MAX(1,COUNTIF(QCI!$A$13:$A$24,OFFSET($E281,-1,0)))),"")</f>
        <v/>
      </c>
      <c r="AE281" s="7" t="str">
        <f ca="1">IF(AND($C281="S",ORÇAMENTO.CodBarra&lt;&gt;""),IF(ORÇAMENTO.Fonte="",ORÇAMENTO.CodBarra,CONCATENATE(ORÇAMENTO.Fonte," ",ORÇAMENTO.CodBarra)))</f>
        <v>Cotação 163</v>
      </c>
      <c r="AF281" s="12" t="str">
        <f ca="1">IF(ISERROR(INDIRECT(ORÇAMENTO.BancoRef)),"(abra o arquivo 'Referência "&amp;Excel_BuiltIn_Database&amp;".xlsm)",IF(OR($C281&lt;&gt;"S",ORÇAMENTO.CodBarra=""),"(Sem Código)",IF(ISERROR(MATCH($AE281,INDIRECT(ORÇAMENTO.BancoRef),0)),"(Código não identificado nas referências)",MATCH($AE281,INDIRECT(ORÇAMENTO.BancoRef),0))))</f>
        <v>(abra o arquivo 'Referência 12-2024.xlsm)</v>
      </c>
      <c r="AG281" s="429">
        <f ca="1">ROUND(IF(DESONERACAO="sim",REFERENCIA.Desonerado,REFERENCIA.NaoDesonerado),2)</f>
        <v>0</v>
      </c>
      <c r="AH281" s="430">
        <f t="shared" ca="1" si="81"/>
        <v>0.31190000000000001</v>
      </c>
      <c r="AJ281" s="432">
        <v>90</v>
      </c>
      <c r="AL281" s="440"/>
      <c r="AM281" s="337">
        <f t="shared" ca="1" si="66"/>
        <v>0</v>
      </c>
      <c r="AN281" s="471">
        <f t="shared" ca="1" si="82"/>
        <v>0</v>
      </c>
    </row>
    <row r="282" spans="1:40" ht="25.5" x14ac:dyDescent="0.2">
      <c r="A282" t="str">
        <f t="shared" si="67"/>
        <v>S</v>
      </c>
      <c r="B282">
        <f t="shared" ca="1" si="68"/>
        <v>3</v>
      </c>
      <c r="C282" t="str">
        <f t="shared" ca="1" si="69"/>
        <v>S</v>
      </c>
      <c r="D282">
        <f t="shared" ca="1" si="70"/>
        <v>0</v>
      </c>
      <c r="E282">
        <f ca="1">IF($C282=1,OFFSET(E282,-1,0)+MAX(1,COUNTIF(QCI!$A$13:$A$24,OFFSET(ORÇAMENTO!E282,-1,0))),OFFSET(E282,-1,0))</f>
        <v>1</v>
      </c>
      <c r="F282">
        <f t="shared" ca="1" si="71"/>
        <v>16</v>
      </c>
      <c r="G282">
        <f t="shared" ca="1" si="72"/>
        <v>3</v>
      </c>
      <c r="H282">
        <f t="shared" ca="1" si="73"/>
        <v>0</v>
      </c>
      <c r="I282">
        <f t="shared" ca="1" si="74"/>
        <v>0</v>
      </c>
      <c r="J282">
        <f t="shared" ca="1" si="75"/>
        <v>0</v>
      </c>
      <c r="K282">
        <f ca="1">IF(OR($C282="S",$C282=0),0,MATCH(OFFSET($D282,0,$C282)+IF($C282&lt;&gt;1,1,COUNTIF(QCI!$A$13:$A$24,ORÇAMENTO!E282)),OFFSET($D282,1,$C282,ROW($C$405)-ROW($C282)),0))</f>
        <v>0</v>
      </c>
      <c r="L282" s="115" t="str">
        <f t="shared" ca="1" si="76"/>
        <v/>
      </c>
      <c r="M282" s="116" t="s">
        <v>706</v>
      </c>
      <c r="N282" s="117" t="str">
        <f t="shared" ca="1" si="77"/>
        <v>Serviço</v>
      </c>
      <c r="O282" s="118" t="str">
        <f t="shared" ca="1" si="78"/>
        <v>-</v>
      </c>
      <c r="P282" s="119" t="s">
        <v>1313</v>
      </c>
      <c r="Q282" s="120" t="s">
        <v>1174</v>
      </c>
      <c r="R282" s="121" t="s">
        <v>1546</v>
      </c>
      <c r="S282" s="122" t="s">
        <v>639</v>
      </c>
      <c r="T282" s="123">
        <f ca="1">OFFSET(CÁLCULO!H$15,ROW($T282)-ROW(T$15),0)</f>
        <v>10</v>
      </c>
      <c r="U282" s="124"/>
      <c r="V282" s="125" t="s">
        <v>663</v>
      </c>
      <c r="W282" s="123">
        <f ca="1">IF($C282="S",ROUND(IF(TIPOORCAMENTO="Proposto",ORÇAMENTO.CustoUnitario*(1+$AH282),ORÇAMENTO.PrecoUnitarioLicitado),15-13*$AF$10),0)</f>
        <v>0</v>
      </c>
      <c r="X282" s="126" cm="1">
        <f t="array" aca="1" ref="X282" ca="1">IF($C282="S",IF(OR(Import.TipoArredondamento&lt;&gt;"TransfereGOV",ACOMPANHAMENTO="BM"),VTOTAL1,SUM(OFFSET(CÁLCULO!$AA$15,ROW($X282)-ROW($X$15),1):OFFSET(CÁLCULO!$AL$15,ROW($X282)-ROW($X$15),-1))),IF($C282=0,0,ROUND(SomaAgrup,15-13*$AF$11)))</f>
        <v>0</v>
      </c>
      <c r="Y282" s="127" t="s">
        <v>752</v>
      </c>
      <c r="Z282" t="str">
        <f t="shared" ca="1" si="79"/>
        <v/>
      </c>
      <c r="AA282" s="128">
        <f ca="1">IF($C282="S",IF($Z282="CP",$X282,IF($Z282="RA",(($X282)*QCI!$AA$3),0)),SomaAgrup)</f>
        <v>0</v>
      </c>
      <c r="AB282" s="129">
        <f t="shared" ca="1" si="80"/>
        <v>0</v>
      </c>
      <c r="AC282" s="567" t="str">
        <f ca="1">IF($N282=""," ",
IF(AND($C282&lt;&gt;"S",OR($R282="",$R282="(digite a descrição aqui)")),"DESCRIÇÃO",
IF(AND($C282="S",OR($Q282&lt;&gt;0,$T282&gt;0,$U282&gt;0),$P282=0),"FONTE",
IF(AND($C282="S",$P282&lt;&gt;0,OR($T282&gt;0,$U282&gt;0),$Q282=0),"CÓDIGO",
IF(AND($C282="S",$P282&lt;&gt;0,$Q282&lt;&gt;0,$R282="(Código não identificado nas referências)"),"CÓDIGO N/ID",
IF(AND($C282="S",OR($R282="",$R282="(digite a descrição aqui)"),OR($Q282&lt;&gt;0,$T282&gt;0,$U282&gt;0)),"DESCRIÇÃO",
IF(AND($C282="S",$P282&lt;&gt;0,$Q282&lt;&gt;0,$S282=""),"UNIDADE",
IF(AND($C282="S",$P282&lt;&gt;0,$Q282&lt;&gt;0,$U282=0),"SEM CUSTO",
IF(AND(TIPOORCAMENTO="Licitado",$AL282=0,$AN282&gt;0),"SEM PREÇO",
IF(AND($C282="S",$P282&lt;&gt;0,$Q282&lt;&gt;0,$U282&gt;0,$V282=0),"BDI",
IF(OR(AND(TIPOORCAMENTO="Proposto",$AG282&lt;&gt;"",$AG282&gt;0,ORÇAMENTO.CustoUnitario&gt;$AG282),AND(TIPOORCAMENTO="LICITADO",ORÇAMENTO.PrecoUnitarioLicitado&gt;$AN282)),"ACIMA REF.",
IF(AND($C282="S",$P282&lt;&gt;0,$Q282&lt;&gt;0,$T282=0,$U282&gt;0),"QUANT.",
IF(AND(Import.TipoArredondamento="TransfereGOV",$L282="F",$C282="S",LEN($Q282)&gt;13),"Código &gt;13",
IF(AND(Import.TipoArredondamento="TransfereGOV",$L282="F",$C282&lt;&gt;"S",LEN($R282)&gt;100),"Descrição &gt;100",
IF(AND(Import.TipoArredondamento="TransfereGOV",$L282="F",$C282="S",LEN($R282)&gt;500),"Descrição &gt;500",
IF(AND(Import.TipoArredondamento="TransfereGOV",$L282="F",$C282="S",LEFT(TRIM(UPPER($P282)),6)&lt;&gt;"SINAPI",ISNA(VLOOKUP(TRIM(UPPER($S282)),ListaTgov.Unidades,1,FALSE))),"Unid. Não Disp",
" "))))))))))))))))</f>
        <v>SEM CUSTO</v>
      </c>
      <c r="AD282" t="str">
        <f ca="1">IF(C282&lt;=CRONO.NivelExibicao,MAX($AD$15:OFFSET(AD282,-1,0))+IF($C282&lt;&gt;1,1,MAX(1,COUNTIF(QCI!$A$13:$A$24,OFFSET($E282,-1,0)))),"")</f>
        <v/>
      </c>
      <c r="AE282" s="7" t="str">
        <f ca="1">IF(AND($C282="S",ORÇAMENTO.CodBarra&lt;&gt;""),IF(ORÇAMENTO.Fonte="",ORÇAMENTO.CodBarra,CONCATENATE(ORÇAMENTO.Fonte," ",ORÇAMENTO.CodBarra)))</f>
        <v>Cotação 164</v>
      </c>
      <c r="AF282" s="12" t="str">
        <f ca="1">IF(ISERROR(INDIRECT(ORÇAMENTO.BancoRef)),"(abra o arquivo 'Referência "&amp;Excel_BuiltIn_Database&amp;".xlsm)",IF(OR($C282&lt;&gt;"S",ORÇAMENTO.CodBarra=""),"(Sem Código)",IF(ISERROR(MATCH($AE282,INDIRECT(ORÇAMENTO.BancoRef),0)),"(Código não identificado nas referências)",MATCH($AE282,INDIRECT(ORÇAMENTO.BancoRef),0))))</f>
        <v>(abra o arquivo 'Referência 12-2024.xlsm)</v>
      </c>
      <c r="AG282" s="429">
        <f ca="1">ROUND(IF(DESONERACAO="sim",REFERENCIA.Desonerado,REFERENCIA.NaoDesonerado),2)</f>
        <v>0</v>
      </c>
      <c r="AH282" s="430">
        <f t="shared" ca="1" si="81"/>
        <v>0.31190000000000001</v>
      </c>
      <c r="AJ282" s="432">
        <v>10</v>
      </c>
      <c r="AL282" s="440"/>
      <c r="AM282" s="337">
        <f t="shared" ca="1" si="66"/>
        <v>0</v>
      </c>
      <c r="AN282" s="471">
        <f t="shared" ca="1" si="82"/>
        <v>0</v>
      </c>
    </row>
    <row r="283" spans="1:40" x14ac:dyDescent="0.2">
      <c r="A283" t="str">
        <f t="shared" si="67"/>
        <v>S</v>
      </c>
      <c r="B283">
        <f t="shared" ca="1" si="68"/>
        <v>3</v>
      </c>
      <c r="C283" t="str">
        <f t="shared" ca="1" si="69"/>
        <v>S</v>
      </c>
      <c r="D283">
        <f t="shared" ca="1" si="70"/>
        <v>0</v>
      </c>
      <c r="E283">
        <f ca="1">IF($C283=1,OFFSET(E283,-1,0)+MAX(1,COUNTIF(QCI!$A$13:$A$24,OFFSET(ORÇAMENTO!E283,-1,0))),OFFSET(E283,-1,0))</f>
        <v>1</v>
      </c>
      <c r="F283">
        <f t="shared" ca="1" si="71"/>
        <v>16</v>
      </c>
      <c r="G283">
        <f t="shared" ca="1" si="72"/>
        <v>3</v>
      </c>
      <c r="H283">
        <f t="shared" ca="1" si="73"/>
        <v>0</v>
      </c>
      <c r="I283">
        <f t="shared" ca="1" si="74"/>
        <v>0</v>
      </c>
      <c r="J283">
        <f t="shared" ca="1" si="75"/>
        <v>0</v>
      </c>
      <c r="K283">
        <f ca="1">IF(OR($C283="S",$C283=0),0,MATCH(OFFSET($D283,0,$C283)+IF($C283&lt;&gt;1,1,COUNTIF(QCI!$A$13:$A$24,ORÇAMENTO!E283)),OFFSET($D283,1,$C283,ROW($C$405)-ROW($C283)),0))</f>
        <v>0</v>
      </c>
      <c r="L283" s="115" t="str">
        <f t="shared" ca="1" si="76"/>
        <v/>
      </c>
      <c r="M283" s="116" t="s">
        <v>706</v>
      </c>
      <c r="N283" s="117" t="str">
        <f t="shared" ca="1" si="77"/>
        <v>Serviço</v>
      </c>
      <c r="O283" s="118" t="str">
        <f t="shared" ca="1" si="78"/>
        <v>-</v>
      </c>
      <c r="P283" s="119" t="s">
        <v>751</v>
      </c>
      <c r="Q283" s="120" t="s">
        <v>1032</v>
      </c>
      <c r="R283" s="121" t="s">
        <v>1408</v>
      </c>
      <c r="S283" s="122" t="s">
        <v>615</v>
      </c>
      <c r="T283" s="123">
        <f ca="1">OFFSET(CÁLCULO!H$15,ROW($T283)-ROW(T$15),0)</f>
        <v>24</v>
      </c>
      <c r="U283" s="124"/>
      <c r="V283" s="125" t="s">
        <v>663</v>
      </c>
      <c r="W283" s="123">
        <f ca="1">IF($C283="S",ROUND(IF(TIPOORCAMENTO="Proposto",ORÇAMENTO.CustoUnitario*(1+$AH283),ORÇAMENTO.PrecoUnitarioLicitado),15-13*$AF$10),0)</f>
        <v>0</v>
      </c>
      <c r="X283" s="126" cm="1">
        <f t="array" aca="1" ref="X283" ca="1">IF($C283="S",IF(OR(Import.TipoArredondamento&lt;&gt;"TransfereGOV",ACOMPANHAMENTO="BM"),VTOTAL1,SUM(OFFSET(CÁLCULO!$AA$15,ROW($X283)-ROW($X$15),1):OFFSET(CÁLCULO!$AL$15,ROW($X283)-ROW($X$15),-1))),IF($C283=0,0,ROUND(SomaAgrup,15-13*$AF$11)))</f>
        <v>0</v>
      </c>
      <c r="Y283" s="127" t="s">
        <v>752</v>
      </c>
      <c r="Z283" t="str">
        <f t="shared" ca="1" si="79"/>
        <v/>
      </c>
      <c r="AA283" s="128">
        <f ca="1">IF($C283="S",IF($Z283="CP",$X283,IF($Z283="RA",(($X283)*QCI!$AA$3),0)),SomaAgrup)</f>
        <v>0</v>
      </c>
      <c r="AB283" s="129">
        <f t="shared" ca="1" si="80"/>
        <v>0</v>
      </c>
      <c r="AC283" s="567" t="str">
        <f ca="1">IF($N283=""," ",
IF(AND($C283&lt;&gt;"S",OR($R283="",$R283="(digite a descrição aqui)")),"DESCRIÇÃO",
IF(AND($C283="S",OR($Q283&lt;&gt;0,$T283&gt;0,$U283&gt;0),$P283=0),"FONTE",
IF(AND($C283="S",$P283&lt;&gt;0,OR($T283&gt;0,$U283&gt;0),$Q283=0),"CÓDIGO",
IF(AND($C283="S",$P283&lt;&gt;0,$Q283&lt;&gt;0,$R283="(Código não identificado nas referências)"),"CÓDIGO N/ID",
IF(AND($C283="S",OR($R283="",$R283="(digite a descrição aqui)"),OR($Q283&lt;&gt;0,$T283&gt;0,$U283&gt;0)),"DESCRIÇÃO",
IF(AND($C283="S",$P283&lt;&gt;0,$Q283&lt;&gt;0,$S283=""),"UNIDADE",
IF(AND($C283="S",$P283&lt;&gt;0,$Q283&lt;&gt;0,$U283=0),"SEM CUSTO",
IF(AND(TIPOORCAMENTO="Licitado",$AL283=0,$AN283&gt;0),"SEM PREÇO",
IF(AND($C283="S",$P283&lt;&gt;0,$Q283&lt;&gt;0,$U283&gt;0,$V283=0),"BDI",
IF(OR(AND(TIPOORCAMENTO="Proposto",$AG283&lt;&gt;"",$AG283&gt;0,ORÇAMENTO.CustoUnitario&gt;$AG283),AND(TIPOORCAMENTO="LICITADO",ORÇAMENTO.PrecoUnitarioLicitado&gt;$AN283)),"ACIMA REF.",
IF(AND($C283="S",$P283&lt;&gt;0,$Q283&lt;&gt;0,$T283=0,$U283&gt;0),"QUANT.",
IF(AND(Import.TipoArredondamento="TransfereGOV",$L283="F",$C283="S",LEN($Q283)&gt;13),"Código &gt;13",
IF(AND(Import.TipoArredondamento="TransfereGOV",$L283="F",$C283&lt;&gt;"S",LEN($R283)&gt;100),"Descrição &gt;100",
IF(AND(Import.TipoArredondamento="TransfereGOV",$L283="F",$C283="S",LEN($R283)&gt;500),"Descrição &gt;500",
IF(AND(Import.TipoArredondamento="TransfereGOV",$L283="F",$C283="S",LEFT(TRIM(UPPER($P283)),6)&lt;&gt;"SINAPI",ISNA(VLOOKUP(TRIM(UPPER($S283)),ListaTgov.Unidades,1,FALSE))),"Unid. Não Disp",
" "))))))))))))))))</f>
        <v>SEM CUSTO</v>
      </c>
      <c r="AD283" t="str">
        <f ca="1">IF(C283&lt;=CRONO.NivelExibicao,MAX($AD$15:OFFSET(AD283,-1,0))+IF($C283&lt;&gt;1,1,MAX(1,COUNTIF(QCI!$A$13:$A$24,OFFSET($E283,-1,0)))),"")</f>
        <v/>
      </c>
      <c r="AE283" s="7" t="str">
        <f ca="1">IF(AND($C283="S",ORÇAMENTO.CodBarra&lt;&gt;""),IF(ORÇAMENTO.Fonte="",ORÇAMENTO.CodBarra,CONCATENATE(ORÇAMENTO.Fonte," ",ORÇAMENTO.CodBarra)))</f>
        <v>SINAPI 88264</v>
      </c>
      <c r="AF283" s="12" t="str">
        <f ca="1">IF(ISERROR(INDIRECT(ORÇAMENTO.BancoRef)),"(abra o arquivo 'Referência "&amp;Excel_BuiltIn_Database&amp;".xlsm)",IF(OR($C283&lt;&gt;"S",ORÇAMENTO.CodBarra=""),"(Sem Código)",IF(ISERROR(MATCH($AE283,INDIRECT(ORÇAMENTO.BancoRef),0)),"(Código não identificado nas referências)",MATCH($AE283,INDIRECT(ORÇAMENTO.BancoRef),0))))</f>
        <v>(abra o arquivo 'Referência 12-2024.xlsm)</v>
      </c>
      <c r="AG283" s="429">
        <f ca="1">ROUND(IF(DESONERACAO="sim",REFERENCIA.Desonerado,REFERENCIA.NaoDesonerado),2)</f>
        <v>0</v>
      </c>
      <c r="AH283" s="430">
        <f t="shared" ca="1" si="81"/>
        <v>0.31190000000000001</v>
      </c>
      <c r="AJ283" s="432">
        <v>24</v>
      </c>
      <c r="AL283" s="440"/>
      <c r="AM283" s="337">
        <f t="shared" ca="1" si="66"/>
        <v>0</v>
      </c>
      <c r="AN283" s="471">
        <f t="shared" ca="1" si="82"/>
        <v>0</v>
      </c>
    </row>
    <row r="284" spans="1:40" x14ac:dyDescent="0.2">
      <c r="A284" t="str">
        <f t="shared" si="67"/>
        <v>S</v>
      </c>
      <c r="B284">
        <f t="shared" ca="1" si="68"/>
        <v>3</v>
      </c>
      <c r="C284" t="str">
        <f t="shared" ca="1" si="69"/>
        <v>S</v>
      </c>
      <c r="D284">
        <f t="shared" ca="1" si="70"/>
        <v>0</v>
      </c>
      <c r="E284">
        <f ca="1">IF($C284=1,OFFSET(E284,-1,0)+MAX(1,COUNTIF(QCI!$A$13:$A$24,OFFSET(ORÇAMENTO!E284,-1,0))),OFFSET(E284,-1,0))</f>
        <v>1</v>
      </c>
      <c r="F284">
        <f t="shared" ca="1" si="71"/>
        <v>16</v>
      </c>
      <c r="G284">
        <f t="shared" ca="1" si="72"/>
        <v>3</v>
      </c>
      <c r="H284">
        <f t="shared" ca="1" si="73"/>
        <v>0</v>
      </c>
      <c r="I284">
        <f t="shared" ca="1" si="74"/>
        <v>0</v>
      </c>
      <c r="J284">
        <f t="shared" ca="1" si="75"/>
        <v>0</v>
      </c>
      <c r="K284">
        <f ca="1">IF(OR($C284="S",$C284=0),0,MATCH(OFFSET($D284,0,$C284)+IF($C284&lt;&gt;1,1,COUNTIF(QCI!$A$13:$A$24,ORÇAMENTO!E284)),OFFSET($D284,1,$C284,ROW($C$405)-ROW($C284)),0))</f>
        <v>0</v>
      </c>
      <c r="L284" s="115" t="str">
        <f t="shared" ca="1" si="76"/>
        <v/>
      </c>
      <c r="M284" s="116" t="s">
        <v>706</v>
      </c>
      <c r="N284" s="117" t="str">
        <f t="shared" ca="1" si="77"/>
        <v>Serviço</v>
      </c>
      <c r="O284" s="118" t="str">
        <f t="shared" ca="1" si="78"/>
        <v>-</v>
      </c>
      <c r="P284" s="119" t="s">
        <v>751</v>
      </c>
      <c r="Q284" s="120" t="s">
        <v>1167</v>
      </c>
      <c r="R284" s="121" t="s">
        <v>1539</v>
      </c>
      <c r="S284" s="122" t="s">
        <v>615</v>
      </c>
      <c r="T284" s="123">
        <f ca="1">OFFSET(CÁLCULO!H$15,ROW($T284)-ROW(T$15),0)</f>
        <v>24</v>
      </c>
      <c r="U284" s="124"/>
      <c r="V284" s="125" t="s">
        <v>663</v>
      </c>
      <c r="W284" s="123">
        <f ca="1">IF($C284="S",ROUND(IF(TIPOORCAMENTO="Proposto",ORÇAMENTO.CustoUnitario*(1+$AH284),ORÇAMENTO.PrecoUnitarioLicitado),15-13*$AF$10),0)</f>
        <v>0</v>
      </c>
      <c r="X284" s="126" cm="1">
        <f t="array" aca="1" ref="X284" ca="1">IF($C284="S",IF(OR(Import.TipoArredondamento&lt;&gt;"TransfereGOV",ACOMPANHAMENTO="BM"),VTOTAL1,SUM(OFFSET(CÁLCULO!$AA$15,ROW($X284)-ROW($X$15),1):OFFSET(CÁLCULO!$AL$15,ROW($X284)-ROW($X$15),-1))),IF($C284=0,0,ROUND(SomaAgrup,15-13*$AF$11)))</f>
        <v>0</v>
      </c>
      <c r="Y284" s="127" t="s">
        <v>752</v>
      </c>
      <c r="Z284" t="str">
        <f t="shared" ca="1" si="79"/>
        <v/>
      </c>
      <c r="AA284" s="128">
        <f ca="1">IF($C284="S",IF($Z284="CP",$X284,IF($Z284="RA",(($X284)*QCI!$AA$3),0)),SomaAgrup)</f>
        <v>0</v>
      </c>
      <c r="AB284" s="129">
        <f t="shared" ca="1" si="80"/>
        <v>0</v>
      </c>
      <c r="AC284" s="567" t="str">
        <f ca="1">IF($N284=""," ",
IF(AND($C284&lt;&gt;"S",OR($R284="",$R284="(digite a descrição aqui)")),"DESCRIÇÃO",
IF(AND($C284="S",OR($Q284&lt;&gt;0,$T284&gt;0,$U284&gt;0),$P284=0),"FONTE",
IF(AND($C284="S",$P284&lt;&gt;0,OR($T284&gt;0,$U284&gt;0),$Q284=0),"CÓDIGO",
IF(AND($C284="S",$P284&lt;&gt;0,$Q284&lt;&gt;0,$R284="(Código não identificado nas referências)"),"CÓDIGO N/ID",
IF(AND($C284="S",OR($R284="",$R284="(digite a descrição aqui)"),OR($Q284&lt;&gt;0,$T284&gt;0,$U284&gt;0)),"DESCRIÇÃO",
IF(AND($C284="S",$P284&lt;&gt;0,$Q284&lt;&gt;0,$S284=""),"UNIDADE",
IF(AND($C284="S",$P284&lt;&gt;0,$Q284&lt;&gt;0,$U284=0),"SEM CUSTO",
IF(AND(TIPOORCAMENTO="Licitado",$AL284=0,$AN284&gt;0),"SEM PREÇO",
IF(AND($C284="S",$P284&lt;&gt;0,$Q284&lt;&gt;0,$U284&gt;0,$V284=0),"BDI",
IF(OR(AND(TIPOORCAMENTO="Proposto",$AG284&lt;&gt;"",$AG284&gt;0,ORÇAMENTO.CustoUnitario&gt;$AG284),AND(TIPOORCAMENTO="LICITADO",ORÇAMENTO.PrecoUnitarioLicitado&gt;$AN284)),"ACIMA REF.",
IF(AND($C284="S",$P284&lt;&gt;0,$Q284&lt;&gt;0,$T284=0,$U284&gt;0),"QUANT.",
IF(AND(Import.TipoArredondamento="TransfereGOV",$L284="F",$C284="S",LEN($Q284)&gt;13),"Código &gt;13",
IF(AND(Import.TipoArredondamento="TransfereGOV",$L284="F",$C284&lt;&gt;"S",LEN($R284)&gt;100),"Descrição &gt;100",
IF(AND(Import.TipoArredondamento="TransfereGOV",$L284="F",$C284="S",LEN($R284)&gt;500),"Descrição &gt;500",
IF(AND(Import.TipoArredondamento="TransfereGOV",$L284="F",$C284="S",LEFT(TRIM(UPPER($P284)),6)&lt;&gt;"SINAPI",ISNA(VLOOKUP(TRIM(UPPER($S284)),ListaTgov.Unidades,1,FALSE))),"Unid. Não Disp",
" "))))))))))))))))</f>
        <v>SEM CUSTO</v>
      </c>
      <c r="AD284" t="str">
        <f ca="1">IF(C284&lt;=CRONO.NivelExibicao,MAX($AD$15:OFFSET(AD284,-1,0))+IF($C284&lt;&gt;1,1,MAX(1,COUNTIF(QCI!$A$13:$A$24,OFFSET($E284,-1,0)))),"")</f>
        <v/>
      </c>
      <c r="AE284" s="7" t="str">
        <f ca="1">IF(AND($C284="S",ORÇAMENTO.CodBarra&lt;&gt;""),IF(ORÇAMENTO.Fonte="",ORÇAMENTO.CodBarra,CONCATENATE(ORÇAMENTO.Fonte," ",ORÇAMENTO.CodBarra)))</f>
        <v>SINAPI 88316</v>
      </c>
      <c r="AF284" s="12" t="str">
        <f ca="1">IF(ISERROR(INDIRECT(ORÇAMENTO.BancoRef)),"(abra o arquivo 'Referência "&amp;Excel_BuiltIn_Database&amp;".xlsm)",IF(OR($C284&lt;&gt;"S",ORÇAMENTO.CodBarra=""),"(Sem Código)",IF(ISERROR(MATCH($AE284,INDIRECT(ORÇAMENTO.BancoRef),0)),"(Código não identificado nas referências)",MATCH($AE284,INDIRECT(ORÇAMENTO.BancoRef),0))))</f>
        <v>(abra o arquivo 'Referência 12-2024.xlsm)</v>
      </c>
      <c r="AG284" s="429">
        <f ca="1">ROUND(IF(DESONERACAO="sim",REFERENCIA.Desonerado,REFERENCIA.NaoDesonerado),2)</f>
        <v>0</v>
      </c>
      <c r="AH284" s="430">
        <f t="shared" ca="1" si="81"/>
        <v>0.31190000000000001</v>
      </c>
      <c r="AJ284" s="432">
        <v>24</v>
      </c>
      <c r="AL284" s="440"/>
      <c r="AM284" s="337">
        <f t="shared" ca="1" si="66"/>
        <v>0</v>
      </c>
      <c r="AN284" s="471">
        <f t="shared" ca="1" si="82"/>
        <v>0</v>
      </c>
    </row>
    <row r="285" spans="1:40" x14ac:dyDescent="0.2">
      <c r="A285" t="str">
        <f t="shared" si="67"/>
        <v>S</v>
      </c>
      <c r="B285">
        <f t="shared" ca="1" si="68"/>
        <v>3</v>
      </c>
      <c r="C285" t="str">
        <f t="shared" ca="1" si="69"/>
        <v>S</v>
      </c>
      <c r="D285">
        <f t="shared" ca="1" si="70"/>
        <v>0</v>
      </c>
      <c r="E285">
        <f ca="1">IF($C285=1,OFFSET(E285,-1,0)+MAX(1,COUNTIF(QCI!$A$13:$A$24,OFFSET(ORÇAMENTO!E285,-1,0))),OFFSET(E285,-1,0))</f>
        <v>1</v>
      </c>
      <c r="F285">
        <f t="shared" ca="1" si="71"/>
        <v>16</v>
      </c>
      <c r="G285">
        <f t="shared" ca="1" si="72"/>
        <v>3</v>
      </c>
      <c r="H285">
        <f t="shared" ca="1" si="73"/>
        <v>0</v>
      </c>
      <c r="I285">
        <f t="shared" ca="1" si="74"/>
        <v>0</v>
      </c>
      <c r="J285">
        <f t="shared" ca="1" si="75"/>
        <v>0</v>
      </c>
      <c r="K285">
        <f ca="1">IF(OR($C285="S",$C285=0),0,MATCH(OFFSET($D285,0,$C285)+IF($C285&lt;&gt;1,1,COUNTIF(QCI!$A$13:$A$24,ORÇAMENTO!E285)),OFFSET($D285,1,$C285,ROW($C$405)-ROW($C285)),0))</f>
        <v>0</v>
      </c>
      <c r="L285" s="115" t="str">
        <f t="shared" ca="1" si="76"/>
        <v/>
      </c>
      <c r="M285" s="116" t="s">
        <v>706</v>
      </c>
      <c r="N285" s="117" t="str">
        <f t="shared" ca="1" si="77"/>
        <v>Serviço</v>
      </c>
      <c r="O285" s="118" t="str">
        <f t="shared" ca="1" si="78"/>
        <v>-</v>
      </c>
      <c r="P285" s="119" t="s">
        <v>751</v>
      </c>
      <c r="Q285" s="120" t="s">
        <v>1031</v>
      </c>
      <c r="R285" s="121" t="s">
        <v>1407</v>
      </c>
      <c r="S285" s="122" t="s">
        <v>615</v>
      </c>
      <c r="T285" s="123">
        <f ca="1">OFFSET(CÁLCULO!H$15,ROW($T285)-ROW(T$15),0)</f>
        <v>8</v>
      </c>
      <c r="U285" s="124"/>
      <c r="V285" s="125" t="s">
        <v>663</v>
      </c>
      <c r="W285" s="123">
        <f ca="1">IF($C285="S",ROUND(IF(TIPOORCAMENTO="Proposto",ORÇAMENTO.CustoUnitario*(1+$AH285),ORÇAMENTO.PrecoUnitarioLicitado),15-13*$AF$10),0)</f>
        <v>0</v>
      </c>
      <c r="X285" s="126" cm="1">
        <f t="array" aca="1" ref="X285" ca="1">IF($C285="S",IF(OR(Import.TipoArredondamento&lt;&gt;"TransfereGOV",ACOMPANHAMENTO="BM"),VTOTAL1,SUM(OFFSET(CÁLCULO!$AA$15,ROW($X285)-ROW($X$15),1):OFFSET(CÁLCULO!$AL$15,ROW($X285)-ROW($X$15),-1))),IF($C285=0,0,ROUND(SomaAgrup,15-13*$AF$11)))</f>
        <v>0</v>
      </c>
      <c r="Y285" s="127" t="s">
        <v>752</v>
      </c>
      <c r="Z285" t="str">
        <f t="shared" ca="1" si="79"/>
        <v/>
      </c>
      <c r="AA285" s="128">
        <f ca="1">IF($C285="S",IF($Z285="CP",$X285,IF($Z285="RA",(($X285)*QCI!$AA$3),0)),SomaAgrup)</f>
        <v>0</v>
      </c>
      <c r="AB285" s="129">
        <f t="shared" ca="1" si="80"/>
        <v>0</v>
      </c>
      <c r="AC285" s="567" t="str">
        <f ca="1">IF($N285=""," ",
IF(AND($C285&lt;&gt;"S",OR($R285="",$R285="(digite a descrição aqui)")),"DESCRIÇÃO",
IF(AND($C285="S",OR($Q285&lt;&gt;0,$T285&gt;0,$U285&gt;0),$P285=0),"FONTE",
IF(AND($C285="S",$P285&lt;&gt;0,OR($T285&gt;0,$U285&gt;0),$Q285=0),"CÓDIGO",
IF(AND($C285="S",$P285&lt;&gt;0,$Q285&lt;&gt;0,$R285="(Código não identificado nas referências)"),"CÓDIGO N/ID",
IF(AND($C285="S",OR($R285="",$R285="(digite a descrição aqui)"),OR($Q285&lt;&gt;0,$T285&gt;0,$U285&gt;0)),"DESCRIÇÃO",
IF(AND($C285="S",$P285&lt;&gt;0,$Q285&lt;&gt;0,$S285=""),"UNIDADE",
IF(AND($C285="S",$P285&lt;&gt;0,$Q285&lt;&gt;0,$U285=0),"SEM CUSTO",
IF(AND(TIPOORCAMENTO="Licitado",$AL285=0,$AN285&gt;0),"SEM PREÇO",
IF(AND($C285="S",$P285&lt;&gt;0,$Q285&lt;&gt;0,$U285&gt;0,$V285=0),"BDI",
IF(OR(AND(TIPOORCAMENTO="Proposto",$AG285&lt;&gt;"",$AG285&gt;0,ORÇAMENTO.CustoUnitario&gt;$AG285),AND(TIPOORCAMENTO="LICITADO",ORÇAMENTO.PrecoUnitarioLicitado&gt;$AN285)),"ACIMA REF.",
IF(AND($C285="S",$P285&lt;&gt;0,$Q285&lt;&gt;0,$T285=0,$U285&gt;0),"QUANT.",
IF(AND(Import.TipoArredondamento="TransfereGOV",$L285="F",$C285="S",LEN($Q285)&gt;13),"Código &gt;13",
IF(AND(Import.TipoArredondamento="TransfereGOV",$L285="F",$C285&lt;&gt;"S",LEN($R285)&gt;100),"Descrição &gt;100",
IF(AND(Import.TipoArredondamento="TransfereGOV",$L285="F",$C285="S",LEN($R285)&gt;500),"Descrição &gt;500",
IF(AND(Import.TipoArredondamento="TransfereGOV",$L285="F",$C285="S",LEFT(TRIM(UPPER($P285)),6)&lt;&gt;"SINAPI",ISNA(VLOOKUP(TRIM(UPPER($S285)),ListaTgov.Unidades,1,FALSE))),"Unid. Não Disp",
" "))))))))))))))))</f>
        <v>SEM CUSTO</v>
      </c>
      <c r="AD285" t="str">
        <f ca="1">IF(C285&lt;=CRONO.NivelExibicao,MAX($AD$15:OFFSET(AD285,-1,0))+IF($C285&lt;&gt;1,1,MAX(1,COUNTIF(QCI!$A$13:$A$24,OFFSET($E285,-1,0)))),"")</f>
        <v/>
      </c>
      <c r="AE285" s="7" t="str">
        <f ca="1">IF(AND($C285="S",ORÇAMENTO.CodBarra&lt;&gt;""),IF(ORÇAMENTO.Fonte="",ORÇAMENTO.CodBarra,CONCATENATE(ORÇAMENTO.Fonte," ",ORÇAMENTO.CodBarra)))</f>
        <v>SINAPI 88247</v>
      </c>
      <c r="AF285" s="12" t="str">
        <f ca="1">IF(ISERROR(INDIRECT(ORÇAMENTO.BancoRef)),"(abra o arquivo 'Referência "&amp;Excel_BuiltIn_Database&amp;".xlsm)",IF(OR($C285&lt;&gt;"S",ORÇAMENTO.CodBarra=""),"(Sem Código)",IF(ISERROR(MATCH($AE285,INDIRECT(ORÇAMENTO.BancoRef),0)),"(Código não identificado nas referências)",MATCH($AE285,INDIRECT(ORÇAMENTO.BancoRef),0))))</f>
        <v>(abra o arquivo 'Referência 12-2024.xlsm)</v>
      </c>
      <c r="AG285" s="429">
        <f ca="1">ROUND(IF(DESONERACAO="sim",REFERENCIA.Desonerado,REFERENCIA.NaoDesonerado),2)</f>
        <v>0</v>
      </c>
      <c r="AH285" s="430">
        <f t="shared" ca="1" si="81"/>
        <v>0.31190000000000001</v>
      </c>
      <c r="AJ285" s="432">
        <v>8</v>
      </c>
      <c r="AL285" s="440"/>
      <c r="AM285" s="337">
        <f t="shared" ca="1" si="66"/>
        <v>0</v>
      </c>
      <c r="AN285" s="471">
        <f t="shared" ca="1" si="82"/>
        <v>0</v>
      </c>
    </row>
    <row r="286" spans="1:40" x14ac:dyDescent="0.2">
      <c r="A286">
        <f t="shared" si="67"/>
        <v>3</v>
      </c>
      <c r="B286">
        <f t="shared" ca="1" si="68"/>
        <v>3</v>
      </c>
      <c r="C286">
        <f t="shared" ca="1" si="69"/>
        <v>3</v>
      </c>
      <c r="D286">
        <f t="shared" ca="1" si="70"/>
        <v>3</v>
      </c>
      <c r="E286">
        <f ca="1">IF($C286=1,OFFSET(E286,-1,0)+MAX(1,COUNTIF(QCI!$A$13:$A$24,OFFSET(ORÇAMENTO!E286,-1,0))),OFFSET(E286,-1,0))</f>
        <v>1</v>
      </c>
      <c r="F286">
        <f t="shared" ca="1" si="71"/>
        <v>16</v>
      </c>
      <c r="G286">
        <f t="shared" ca="1" si="72"/>
        <v>4</v>
      </c>
      <c r="H286">
        <f t="shared" ca="1" si="73"/>
        <v>0</v>
      </c>
      <c r="I286">
        <f t="shared" ca="1" si="74"/>
        <v>0</v>
      </c>
      <c r="J286">
        <f t="shared" ca="1" si="75"/>
        <v>39</v>
      </c>
      <c r="K286">
        <f ca="1">IF(OR($C286="S",$C286=0),0,MATCH(OFFSET($D286,0,$C286)+IF($C286&lt;&gt;1,1,COUNTIF(QCI!$A$13:$A$24,ORÇAMENTO!E286)),OFFSET($D286,1,$C286,ROW($C$405)-ROW($C286)),0))</f>
        <v>3</v>
      </c>
      <c r="L286" s="115" t="str">
        <f t="shared" ca="1" si="76"/>
        <v>F</v>
      </c>
      <c r="M286" s="116" t="s">
        <v>704</v>
      </c>
      <c r="N286" s="117" t="str">
        <f t="shared" ca="1" si="77"/>
        <v>Nível 3</v>
      </c>
      <c r="O286" s="118" t="str">
        <f t="shared" ca="1" si="78"/>
        <v>1.16.4.</v>
      </c>
      <c r="P286" s="119" t="s">
        <v>751</v>
      </c>
      <c r="Q286" s="120"/>
      <c r="R286" s="121" t="s">
        <v>1300</v>
      </c>
      <c r="S286" s="122" t="s">
        <v>689</v>
      </c>
      <c r="T286" s="123">
        <f ca="1">OFFSET(CÁLCULO!H$15,ROW($T286)-ROW(T$15),0)</f>
        <v>0</v>
      </c>
      <c r="U286" s="124"/>
      <c r="V286" s="125" t="s">
        <v>663</v>
      </c>
      <c r="W286" s="123">
        <f ca="1">IF($C286="S",ROUND(IF(TIPOORCAMENTO="Proposto",ORÇAMENTO.CustoUnitario*(1+$AH286),ORÇAMENTO.PrecoUnitarioLicitado),15-13*$AF$10),0)</f>
        <v>0</v>
      </c>
      <c r="X286" s="126" cm="1">
        <f t="array" aca="1" ref="X286" ca="1">IF($C286="S",IF(OR(Import.TipoArredondamento&lt;&gt;"TransfereGOV",ACOMPANHAMENTO="BM"),VTOTAL1,SUM(OFFSET(CÁLCULO!$AA$15,ROW($X286)-ROW($X$15),1):OFFSET(CÁLCULO!$AL$15,ROW($X286)-ROW($X$15),-1))),IF($C286=0,0,ROUND(SomaAgrup,15-13*$AF$11)))</f>
        <v>0</v>
      </c>
      <c r="Y286" s="127" t="s">
        <v>752</v>
      </c>
      <c r="Z286" t="str">
        <f t="shared" ca="1" si="79"/>
        <v/>
      </c>
      <c r="AA286" s="128">
        <f ca="1">IF($C286="S",IF($Z286="CP",$X286,IF($Z286="RA",(($X286)*QCI!$AA$3),0)),SomaAgrup)</f>
        <v>0</v>
      </c>
      <c r="AB286" s="129">
        <f t="shared" ca="1" si="80"/>
        <v>0</v>
      </c>
      <c r="AC286" s="567" t="str">
        <f ca="1">IF($N286=""," ",
IF(AND($C286&lt;&gt;"S",OR($R286="",$R286="(digite a descrição aqui)")),"DESCRIÇÃO",
IF(AND($C286="S",OR($Q286&lt;&gt;0,$T286&gt;0,$U286&gt;0),$P286=0),"FONTE",
IF(AND($C286="S",$P286&lt;&gt;0,OR($T286&gt;0,$U286&gt;0),$Q286=0),"CÓDIGO",
IF(AND($C286="S",$P286&lt;&gt;0,$Q286&lt;&gt;0,$R286="(Código não identificado nas referências)"),"CÓDIGO N/ID",
IF(AND($C286="S",OR($R286="",$R286="(digite a descrição aqui)"),OR($Q286&lt;&gt;0,$T286&gt;0,$U286&gt;0)),"DESCRIÇÃO",
IF(AND($C286="S",$P286&lt;&gt;0,$Q286&lt;&gt;0,$S286=""),"UNIDADE",
IF(AND($C286="S",$P286&lt;&gt;0,$Q286&lt;&gt;0,$U286=0),"SEM CUSTO",
IF(AND(TIPOORCAMENTO="Licitado",$AL286=0,$AN286&gt;0),"SEM PREÇO",
IF(AND($C286="S",$P286&lt;&gt;0,$Q286&lt;&gt;0,$U286&gt;0,$V286=0),"BDI",
IF(OR(AND(TIPOORCAMENTO="Proposto",$AG286&lt;&gt;"",$AG286&gt;0,ORÇAMENTO.CustoUnitario&gt;$AG286),AND(TIPOORCAMENTO="LICITADO",ORÇAMENTO.PrecoUnitarioLicitado&gt;$AN286)),"ACIMA REF.",
IF(AND($C286="S",$P286&lt;&gt;0,$Q286&lt;&gt;0,$T286=0,$U286&gt;0),"QUANT.",
IF(AND(Import.TipoArredondamento="TransfereGOV",$L286="F",$C286="S",LEN($Q286)&gt;13),"Código &gt;13",
IF(AND(Import.TipoArredondamento="TransfereGOV",$L286="F",$C286&lt;&gt;"S",LEN($R286)&gt;100),"Descrição &gt;100",
IF(AND(Import.TipoArredondamento="TransfereGOV",$L286="F",$C286="S",LEN($R286)&gt;500),"Descrição &gt;500",
IF(AND(Import.TipoArredondamento="TransfereGOV",$L286="F",$C286="S",LEFT(TRIM(UPPER($P286)),6)&lt;&gt;"SINAPI",ISNA(VLOOKUP(TRIM(UPPER($S286)),ListaTgov.Unidades,1,FALSE))),"Unid. Não Disp",
" "))))))))))))))))</f>
        <v xml:space="preserve"> </v>
      </c>
      <c r="AD286" t="str">
        <f ca="1">IF(C286&lt;=CRONO.NivelExibicao,MAX($AD$15:OFFSET(AD286,-1,0))+IF($C286&lt;&gt;1,1,MAX(1,COUNTIF(QCI!$A$13:$A$24,OFFSET($E286,-1,0)))),"")</f>
        <v/>
      </c>
      <c r="AE286" s="7" t="b">
        <f ca="1">IF(AND($C286="S",ORÇAMENTO.CodBarra&lt;&gt;""),IF(ORÇAMENTO.Fonte="",ORÇAMENTO.CodBarra,CONCATENATE(ORÇAMENTO.Fonte," ",ORÇAMENTO.CodBarra)))</f>
        <v>0</v>
      </c>
      <c r="AF286" s="12" t="str">
        <f ca="1">IF(ISERROR(INDIRECT(ORÇAMENTO.BancoRef)),"(abra o arquivo 'Referência "&amp;Excel_BuiltIn_Database&amp;".xlsm)",IF(OR($C286&lt;&gt;"S",ORÇAMENTO.CodBarra=""),"(Sem Código)",IF(ISERROR(MATCH($AE286,INDIRECT(ORÇAMENTO.BancoRef),0)),"(Código não identificado nas referências)",MATCH($AE286,INDIRECT(ORÇAMENTO.BancoRef),0))))</f>
        <v>(abra o arquivo 'Referência 12-2024.xlsm)</v>
      </c>
      <c r="AG286" s="429">
        <f ca="1">ROUND(IF(DESONERACAO="sim",REFERENCIA.Desonerado,REFERENCIA.NaoDesonerado),2)</f>
        <v>0</v>
      </c>
      <c r="AH286" s="430">
        <f t="shared" ca="1" si="81"/>
        <v>0.31190000000000001</v>
      </c>
      <c r="AJ286" s="432"/>
      <c r="AL286" s="440"/>
      <c r="AM286" s="337">
        <f t="shared" ca="1" si="66"/>
        <v>0</v>
      </c>
      <c r="AN286" s="471">
        <f t="shared" ca="1" si="82"/>
        <v>0</v>
      </c>
    </row>
    <row r="287" spans="1:40" ht="25.5" x14ac:dyDescent="0.2">
      <c r="A287" t="str">
        <f t="shared" si="67"/>
        <v>S</v>
      </c>
      <c r="B287">
        <f t="shared" ca="1" si="68"/>
        <v>3</v>
      </c>
      <c r="C287" t="str">
        <f t="shared" ca="1" si="69"/>
        <v>S</v>
      </c>
      <c r="D287">
        <f t="shared" ca="1" si="70"/>
        <v>0</v>
      </c>
      <c r="E287">
        <f ca="1">IF($C287=1,OFFSET(E287,-1,0)+MAX(1,COUNTIF(QCI!$A$13:$A$24,OFFSET(ORÇAMENTO!E287,-1,0))),OFFSET(E287,-1,0))</f>
        <v>1</v>
      </c>
      <c r="F287">
        <f t="shared" ca="1" si="71"/>
        <v>16</v>
      </c>
      <c r="G287">
        <f t="shared" ca="1" si="72"/>
        <v>4</v>
      </c>
      <c r="H287">
        <f t="shared" ca="1" si="73"/>
        <v>0</v>
      </c>
      <c r="I287">
        <f t="shared" ca="1" si="74"/>
        <v>0</v>
      </c>
      <c r="J287">
        <f t="shared" ca="1" si="75"/>
        <v>0</v>
      </c>
      <c r="K287">
        <f ca="1">IF(OR($C287="S",$C287=0),0,MATCH(OFFSET($D287,0,$C287)+IF($C287&lt;&gt;1,1,COUNTIF(QCI!$A$13:$A$24,ORÇAMENTO!E287)),OFFSET($D287,1,$C287,ROW($C$405)-ROW($C287)),0))</f>
        <v>0</v>
      </c>
      <c r="L287" s="115" t="str">
        <f t="shared" ca="1" si="76"/>
        <v/>
      </c>
      <c r="M287" s="116" t="s">
        <v>706</v>
      </c>
      <c r="N287" s="117" t="str">
        <f t="shared" ca="1" si="77"/>
        <v>Serviço</v>
      </c>
      <c r="O287" s="118" t="str">
        <f t="shared" ca="1" si="78"/>
        <v>-</v>
      </c>
      <c r="P287" s="119" t="s">
        <v>1316</v>
      </c>
      <c r="Q287" s="120" t="s">
        <v>1175</v>
      </c>
      <c r="R287" s="121" t="s">
        <v>1547</v>
      </c>
      <c r="S287" s="122" t="s">
        <v>1644</v>
      </c>
      <c r="T287" s="123">
        <f ca="1">OFFSET(CÁLCULO!H$15,ROW($T287)-ROW(T$15),0)</f>
        <v>6</v>
      </c>
      <c r="U287" s="124"/>
      <c r="V287" s="125" t="s">
        <v>663</v>
      </c>
      <c r="W287" s="123">
        <f ca="1">IF($C287="S",ROUND(IF(TIPOORCAMENTO="Proposto",ORÇAMENTO.CustoUnitario*(1+$AH287),ORÇAMENTO.PrecoUnitarioLicitado),15-13*$AF$10),0)</f>
        <v>0</v>
      </c>
      <c r="X287" s="126" cm="1">
        <f t="array" aca="1" ref="X287" ca="1">IF($C287="S",IF(OR(Import.TipoArredondamento&lt;&gt;"TransfereGOV",ACOMPANHAMENTO="BM"),VTOTAL1,SUM(OFFSET(CÁLCULO!$AA$15,ROW($X287)-ROW($X$15),1):OFFSET(CÁLCULO!$AL$15,ROW($X287)-ROW($X$15),-1))),IF($C287=0,0,ROUND(SomaAgrup,15-13*$AF$11)))</f>
        <v>0</v>
      </c>
      <c r="Y287" s="127" t="s">
        <v>752</v>
      </c>
      <c r="Z287" t="str">
        <f t="shared" ca="1" si="79"/>
        <v/>
      </c>
      <c r="AA287" s="128">
        <f ca="1">IF($C287="S",IF($Z287="CP",$X287,IF($Z287="RA",(($X287)*QCI!$AA$3),0)),SomaAgrup)</f>
        <v>0</v>
      </c>
      <c r="AB287" s="129">
        <f t="shared" ca="1" si="80"/>
        <v>0</v>
      </c>
      <c r="AC287" s="567" t="str">
        <f ca="1">IF($N287=""," ",
IF(AND($C287&lt;&gt;"S",OR($R287="",$R287="(digite a descrição aqui)")),"DESCRIÇÃO",
IF(AND($C287="S",OR($Q287&lt;&gt;0,$T287&gt;0,$U287&gt;0),$P287=0),"FONTE",
IF(AND($C287="S",$P287&lt;&gt;0,OR($T287&gt;0,$U287&gt;0),$Q287=0),"CÓDIGO",
IF(AND($C287="S",$P287&lt;&gt;0,$Q287&lt;&gt;0,$R287="(Código não identificado nas referências)"),"CÓDIGO N/ID",
IF(AND($C287="S",OR($R287="",$R287="(digite a descrição aqui)"),OR($Q287&lt;&gt;0,$T287&gt;0,$U287&gt;0)),"DESCRIÇÃO",
IF(AND($C287="S",$P287&lt;&gt;0,$Q287&lt;&gt;0,$S287=""),"UNIDADE",
IF(AND($C287="S",$P287&lt;&gt;0,$Q287&lt;&gt;0,$U287=0),"SEM CUSTO",
IF(AND(TIPOORCAMENTO="Licitado",$AL287=0,$AN287&gt;0),"SEM PREÇO",
IF(AND($C287="S",$P287&lt;&gt;0,$Q287&lt;&gt;0,$U287&gt;0,$V287=0),"BDI",
IF(OR(AND(TIPOORCAMENTO="Proposto",$AG287&lt;&gt;"",$AG287&gt;0,ORÇAMENTO.CustoUnitario&gt;$AG287),AND(TIPOORCAMENTO="LICITADO",ORÇAMENTO.PrecoUnitarioLicitado&gt;$AN287)),"ACIMA REF.",
IF(AND($C287="S",$P287&lt;&gt;0,$Q287&lt;&gt;0,$T287=0,$U287&gt;0),"QUANT.",
IF(AND(Import.TipoArredondamento="TransfereGOV",$L287="F",$C287="S",LEN($Q287)&gt;13),"Código &gt;13",
IF(AND(Import.TipoArredondamento="TransfereGOV",$L287="F",$C287&lt;&gt;"S",LEN($R287)&gt;100),"Descrição &gt;100",
IF(AND(Import.TipoArredondamento="TransfereGOV",$L287="F",$C287="S",LEN($R287)&gt;500),"Descrição &gt;500",
IF(AND(Import.TipoArredondamento="TransfereGOV",$L287="F",$C287="S",LEFT(TRIM(UPPER($P287)),6)&lt;&gt;"SINAPI",ISNA(VLOOKUP(TRIM(UPPER($S287)),ListaTgov.Unidades,1,FALSE))),"Unid. Não Disp",
" "))))))))))))))))</f>
        <v>SEM CUSTO</v>
      </c>
      <c r="AD287" t="str">
        <f ca="1">IF(C287&lt;=CRONO.NivelExibicao,MAX($AD$15:OFFSET(AD287,-1,0))+IF($C287&lt;&gt;1,1,MAX(1,COUNTIF(QCI!$A$13:$A$24,OFFSET($E287,-1,0)))),"")</f>
        <v/>
      </c>
      <c r="AE287" s="7" t="str">
        <f ca="1">IF(AND($C287="S",ORÇAMENTO.CodBarra&lt;&gt;""),IF(ORÇAMENTO.Fonte="",ORÇAMENTO.CodBarra,CONCATENATE(ORÇAMENTO.Fonte," ",ORÇAMENTO.CodBarra)))</f>
        <v>Composiçao 247</v>
      </c>
      <c r="AF287" s="12" t="str">
        <f ca="1">IF(ISERROR(INDIRECT(ORÇAMENTO.BancoRef)),"(abra o arquivo 'Referência "&amp;Excel_BuiltIn_Database&amp;".xlsm)",IF(OR($C287&lt;&gt;"S",ORÇAMENTO.CodBarra=""),"(Sem Código)",IF(ISERROR(MATCH($AE287,INDIRECT(ORÇAMENTO.BancoRef),0)),"(Código não identificado nas referências)",MATCH($AE287,INDIRECT(ORÇAMENTO.BancoRef),0))))</f>
        <v>(abra o arquivo 'Referência 12-2024.xlsm)</v>
      </c>
      <c r="AG287" s="429">
        <f ca="1">ROUND(IF(DESONERACAO="sim",REFERENCIA.Desonerado,REFERENCIA.NaoDesonerado),2)</f>
        <v>0</v>
      </c>
      <c r="AH287" s="430">
        <f t="shared" ca="1" si="81"/>
        <v>0.31190000000000001</v>
      </c>
      <c r="AJ287" s="432">
        <v>6</v>
      </c>
      <c r="AL287" s="440"/>
      <c r="AM287" s="337">
        <f t="shared" ca="1" si="66"/>
        <v>0</v>
      </c>
      <c r="AN287" s="471">
        <f t="shared" ca="1" si="82"/>
        <v>0</v>
      </c>
    </row>
    <row r="288" spans="1:40" ht="25.5" x14ac:dyDescent="0.2">
      <c r="A288" t="str">
        <f t="shared" si="67"/>
        <v>S</v>
      </c>
      <c r="B288">
        <f t="shared" ca="1" si="68"/>
        <v>3</v>
      </c>
      <c r="C288" t="str">
        <f t="shared" ca="1" si="69"/>
        <v>S</v>
      </c>
      <c r="D288">
        <f t="shared" ca="1" si="70"/>
        <v>0</v>
      </c>
      <c r="E288">
        <f ca="1">IF($C288=1,OFFSET(E288,-1,0)+MAX(1,COUNTIF(QCI!$A$13:$A$24,OFFSET(ORÇAMENTO!E288,-1,0))),OFFSET(E288,-1,0))</f>
        <v>1</v>
      </c>
      <c r="F288">
        <f t="shared" ca="1" si="71"/>
        <v>16</v>
      </c>
      <c r="G288">
        <f t="shared" ca="1" si="72"/>
        <v>4</v>
      </c>
      <c r="H288">
        <f t="shared" ca="1" si="73"/>
        <v>0</v>
      </c>
      <c r="I288">
        <f t="shared" ca="1" si="74"/>
        <v>0</v>
      </c>
      <c r="J288">
        <f t="shared" ca="1" si="75"/>
        <v>0</v>
      </c>
      <c r="K288">
        <f ca="1">IF(OR($C288="S",$C288=0),0,MATCH(OFFSET($D288,0,$C288)+IF($C288&lt;&gt;1,1,COUNTIF(QCI!$A$13:$A$24,ORÇAMENTO!E288)),OFFSET($D288,1,$C288,ROW($C$405)-ROW($C288)),0))</f>
        <v>0</v>
      </c>
      <c r="L288" s="115" t="str">
        <f t="shared" ca="1" si="76"/>
        <v/>
      </c>
      <c r="M288" s="116" t="s">
        <v>706</v>
      </c>
      <c r="N288" s="117" t="str">
        <f t="shared" ca="1" si="77"/>
        <v>Serviço</v>
      </c>
      <c r="O288" s="118" t="str">
        <f t="shared" ca="1" si="78"/>
        <v>-</v>
      </c>
      <c r="P288" s="119" t="s">
        <v>751</v>
      </c>
      <c r="Q288" s="120" t="s">
        <v>1176</v>
      </c>
      <c r="R288" s="121" t="s">
        <v>1548</v>
      </c>
      <c r="S288" s="122" t="s">
        <v>639</v>
      </c>
      <c r="T288" s="123">
        <f ca="1">OFFSET(CÁLCULO!H$15,ROW($T288)-ROW(T$15),0)</f>
        <v>1</v>
      </c>
      <c r="U288" s="124"/>
      <c r="V288" s="125" t="s">
        <v>663</v>
      </c>
      <c r="W288" s="123">
        <f ca="1">IF($C288="S",ROUND(IF(TIPOORCAMENTO="Proposto",ORÇAMENTO.CustoUnitario*(1+$AH288),ORÇAMENTO.PrecoUnitarioLicitado),15-13*$AF$10),0)</f>
        <v>0</v>
      </c>
      <c r="X288" s="126" cm="1">
        <f t="array" aca="1" ref="X288" ca="1">IF($C288="S",IF(OR(Import.TipoArredondamento&lt;&gt;"TransfereGOV",ACOMPANHAMENTO="BM"),VTOTAL1,SUM(OFFSET(CÁLCULO!$AA$15,ROW($X288)-ROW($X$15),1):OFFSET(CÁLCULO!$AL$15,ROW($X288)-ROW($X$15),-1))),IF($C288=0,0,ROUND(SomaAgrup,15-13*$AF$11)))</f>
        <v>0</v>
      </c>
      <c r="Y288" s="127" t="s">
        <v>752</v>
      </c>
      <c r="Z288" t="str">
        <f t="shared" ca="1" si="79"/>
        <v/>
      </c>
      <c r="AA288" s="128">
        <f ca="1">IF($C288="S",IF($Z288="CP",$X288,IF($Z288="RA",(($X288)*QCI!$AA$3),0)),SomaAgrup)</f>
        <v>0</v>
      </c>
      <c r="AB288" s="129">
        <f t="shared" ca="1" si="80"/>
        <v>0</v>
      </c>
      <c r="AC288" s="567" t="str">
        <f ca="1">IF($N288=""," ",
IF(AND($C288&lt;&gt;"S",OR($R288="",$R288="(digite a descrição aqui)")),"DESCRIÇÃO",
IF(AND($C288="S",OR($Q288&lt;&gt;0,$T288&gt;0,$U288&gt;0),$P288=0),"FONTE",
IF(AND($C288="S",$P288&lt;&gt;0,OR($T288&gt;0,$U288&gt;0),$Q288=0),"CÓDIGO",
IF(AND($C288="S",$P288&lt;&gt;0,$Q288&lt;&gt;0,$R288="(Código não identificado nas referências)"),"CÓDIGO N/ID",
IF(AND($C288="S",OR($R288="",$R288="(digite a descrição aqui)"),OR($Q288&lt;&gt;0,$T288&gt;0,$U288&gt;0)),"DESCRIÇÃO",
IF(AND($C288="S",$P288&lt;&gt;0,$Q288&lt;&gt;0,$S288=""),"UNIDADE",
IF(AND($C288="S",$P288&lt;&gt;0,$Q288&lt;&gt;0,$U288=0),"SEM CUSTO",
IF(AND(TIPOORCAMENTO="Licitado",$AL288=0,$AN288&gt;0),"SEM PREÇO",
IF(AND($C288="S",$P288&lt;&gt;0,$Q288&lt;&gt;0,$U288&gt;0,$V288=0),"BDI",
IF(OR(AND(TIPOORCAMENTO="Proposto",$AG288&lt;&gt;"",$AG288&gt;0,ORÇAMENTO.CustoUnitario&gt;$AG288),AND(TIPOORCAMENTO="LICITADO",ORÇAMENTO.PrecoUnitarioLicitado&gt;$AN288)),"ACIMA REF.",
IF(AND($C288="S",$P288&lt;&gt;0,$Q288&lt;&gt;0,$T288=0,$U288&gt;0),"QUANT.",
IF(AND(Import.TipoArredondamento="TransfereGOV",$L288="F",$C288="S",LEN($Q288)&gt;13),"Código &gt;13",
IF(AND(Import.TipoArredondamento="TransfereGOV",$L288="F",$C288&lt;&gt;"S",LEN($R288)&gt;100),"Descrição &gt;100",
IF(AND(Import.TipoArredondamento="TransfereGOV",$L288="F",$C288="S",LEN($R288)&gt;500),"Descrição &gt;500",
IF(AND(Import.TipoArredondamento="TransfereGOV",$L288="F",$C288="S",LEFT(TRIM(UPPER($P288)),6)&lt;&gt;"SINAPI",ISNA(VLOOKUP(TRIM(UPPER($S288)),ListaTgov.Unidades,1,FALSE))),"Unid. Não Disp",
" "))))))))))))))))</f>
        <v>SEM CUSTO</v>
      </c>
      <c r="AD288" t="str">
        <f ca="1">IF(C288&lt;=CRONO.NivelExibicao,MAX($AD$15:OFFSET(AD288,-1,0))+IF($C288&lt;&gt;1,1,MAX(1,COUNTIF(QCI!$A$13:$A$24,OFFSET($E288,-1,0)))),"")</f>
        <v/>
      </c>
      <c r="AE288" s="7" t="str">
        <f ca="1">IF(AND($C288="S",ORÇAMENTO.CodBarra&lt;&gt;""),IF(ORÇAMENTO.Fonte="",ORÇAMENTO.CodBarra,CONCATENATE(ORÇAMENTO.Fonte," ",ORÇAMENTO.CodBarra)))</f>
        <v>SINAPI 101906</v>
      </c>
      <c r="AF288" s="12" t="str">
        <f ca="1">IF(ISERROR(INDIRECT(ORÇAMENTO.BancoRef)),"(abra o arquivo 'Referência "&amp;Excel_BuiltIn_Database&amp;".xlsm)",IF(OR($C288&lt;&gt;"S",ORÇAMENTO.CodBarra=""),"(Sem Código)",IF(ISERROR(MATCH($AE288,INDIRECT(ORÇAMENTO.BancoRef),0)),"(Código não identificado nas referências)",MATCH($AE288,INDIRECT(ORÇAMENTO.BancoRef),0))))</f>
        <v>(abra o arquivo 'Referência 12-2024.xlsm)</v>
      </c>
      <c r="AG288" s="429">
        <f ca="1">ROUND(IF(DESONERACAO="sim",REFERENCIA.Desonerado,REFERENCIA.NaoDesonerado),2)</f>
        <v>0</v>
      </c>
      <c r="AH288" s="430">
        <f t="shared" ca="1" si="81"/>
        <v>0.31190000000000001</v>
      </c>
      <c r="AJ288" s="432">
        <v>1</v>
      </c>
      <c r="AL288" s="440"/>
      <c r="AM288" s="337">
        <f t="shared" ca="1" si="66"/>
        <v>0</v>
      </c>
      <c r="AN288" s="471">
        <f t="shared" ca="1" si="82"/>
        <v>0</v>
      </c>
    </row>
    <row r="289" spans="1:40" x14ac:dyDescent="0.2">
      <c r="A289">
        <f t="shared" si="67"/>
        <v>3</v>
      </c>
      <c r="B289">
        <f t="shared" ca="1" si="68"/>
        <v>3</v>
      </c>
      <c r="C289">
        <f t="shared" ca="1" si="69"/>
        <v>3</v>
      </c>
      <c r="D289">
        <f t="shared" ca="1" si="70"/>
        <v>14</v>
      </c>
      <c r="E289">
        <f ca="1">IF($C289=1,OFFSET(E289,-1,0)+MAX(1,COUNTIF(QCI!$A$13:$A$24,OFFSET(ORÇAMENTO!E289,-1,0))),OFFSET(E289,-1,0))</f>
        <v>1</v>
      </c>
      <c r="F289">
        <f t="shared" ca="1" si="71"/>
        <v>16</v>
      </c>
      <c r="G289">
        <f t="shared" ca="1" si="72"/>
        <v>5</v>
      </c>
      <c r="H289">
        <f t="shared" ca="1" si="73"/>
        <v>0</v>
      </c>
      <c r="I289">
        <f t="shared" ca="1" si="74"/>
        <v>0</v>
      </c>
      <c r="J289">
        <f t="shared" ca="1" si="75"/>
        <v>36</v>
      </c>
      <c r="K289">
        <f ca="1">IF(OR($C289="S",$C289=0),0,MATCH(OFFSET($D289,0,$C289)+IF($C289&lt;&gt;1,1,COUNTIF(QCI!$A$13:$A$24,ORÇAMENTO!E289)),OFFSET($D289,1,$C289,ROW($C$405)-ROW($C289)),0))</f>
        <v>14</v>
      </c>
      <c r="L289" s="115" t="str">
        <f t="shared" ca="1" si="76"/>
        <v>F</v>
      </c>
      <c r="M289" s="116" t="s">
        <v>704</v>
      </c>
      <c r="N289" s="117" t="str">
        <f t="shared" ca="1" si="77"/>
        <v>Nível 3</v>
      </c>
      <c r="O289" s="118" t="str">
        <f t="shared" ca="1" si="78"/>
        <v>1.16.5.</v>
      </c>
      <c r="P289" s="119" t="s">
        <v>751</v>
      </c>
      <c r="Q289" s="120"/>
      <c r="R289" s="121" t="s">
        <v>1301</v>
      </c>
      <c r="S289" s="122" t="s">
        <v>689</v>
      </c>
      <c r="T289" s="123">
        <f ca="1">OFFSET(CÁLCULO!H$15,ROW($T289)-ROW(T$15),0)</f>
        <v>0</v>
      </c>
      <c r="U289" s="124"/>
      <c r="V289" s="125" t="s">
        <v>663</v>
      </c>
      <c r="W289" s="123">
        <f ca="1">IF($C289="S",ROUND(IF(TIPOORCAMENTO="Proposto",ORÇAMENTO.CustoUnitario*(1+$AH289),ORÇAMENTO.PrecoUnitarioLicitado),15-13*$AF$10),0)</f>
        <v>0</v>
      </c>
      <c r="X289" s="126" cm="1">
        <f t="array" aca="1" ref="X289" ca="1">IF($C289="S",IF(OR(Import.TipoArredondamento&lt;&gt;"TransfereGOV",ACOMPANHAMENTO="BM"),VTOTAL1,SUM(OFFSET(CÁLCULO!$AA$15,ROW($X289)-ROW($X$15),1):OFFSET(CÁLCULO!$AL$15,ROW($X289)-ROW($X$15),-1))),IF($C289=0,0,ROUND(SomaAgrup,15-13*$AF$11)))</f>
        <v>0</v>
      </c>
      <c r="Y289" s="127" t="s">
        <v>752</v>
      </c>
      <c r="Z289" t="str">
        <f t="shared" ca="1" si="79"/>
        <v/>
      </c>
      <c r="AA289" s="128">
        <f ca="1">IF($C289="S",IF($Z289="CP",$X289,IF($Z289="RA",(($X289)*QCI!$AA$3),0)),SomaAgrup)</f>
        <v>0</v>
      </c>
      <c r="AB289" s="129">
        <f t="shared" ca="1" si="80"/>
        <v>0</v>
      </c>
      <c r="AC289" s="567" t="str">
        <f ca="1">IF($N289=""," ",
IF(AND($C289&lt;&gt;"S",OR($R289="",$R289="(digite a descrição aqui)")),"DESCRIÇÃO",
IF(AND($C289="S",OR($Q289&lt;&gt;0,$T289&gt;0,$U289&gt;0),$P289=0),"FONTE",
IF(AND($C289="S",$P289&lt;&gt;0,OR($T289&gt;0,$U289&gt;0),$Q289=0),"CÓDIGO",
IF(AND($C289="S",$P289&lt;&gt;0,$Q289&lt;&gt;0,$R289="(Código não identificado nas referências)"),"CÓDIGO N/ID",
IF(AND($C289="S",OR($R289="",$R289="(digite a descrição aqui)"),OR($Q289&lt;&gt;0,$T289&gt;0,$U289&gt;0)),"DESCRIÇÃO",
IF(AND($C289="S",$P289&lt;&gt;0,$Q289&lt;&gt;0,$S289=""),"UNIDADE",
IF(AND($C289="S",$P289&lt;&gt;0,$Q289&lt;&gt;0,$U289=0),"SEM CUSTO",
IF(AND(TIPOORCAMENTO="Licitado",$AL289=0,$AN289&gt;0),"SEM PREÇO",
IF(AND($C289="S",$P289&lt;&gt;0,$Q289&lt;&gt;0,$U289&gt;0,$V289=0),"BDI",
IF(OR(AND(TIPOORCAMENTO="Proposto",$AG289&lt;&gt;"",$AG289&gt;0,ORÇAMENTO.CustoUnitario&gt;$AG289),AND(TIPOORCAMENTO="LICITADO",ORÇAMENTO.PrecoUnitarioLicitado&gt;$AN289)),"ACIMA REF.",
IF(AND($C289="S",$P289&lt;&gt;0,$Q289&lt;&gt;0,$T289=0,$U289&gt;0),"QUANT.",
IF(AND(Import.TipoArredondamento="TransfereGOV",$L289="F",$C289="S",LEN($Q289)&gt;13),"Código &gt;13",
IF(AND(Import.TipoArredondamento="TransfereGOV",$L289="F",$C289&lt;&gt;"S",LEN($R289)&gt;100),"Descrição &gt;100",
IF(AND(Import.TipoArredondamento="TransfereGOV",$L289="F",$C289="S",LEN($R289)&gt;500),"Descrição &gt;500",
IF(AND(Import.TipoArredondamento="TransfereGOV",$L289="F",$C289="S",LEFT(TRIM(UPPER($P289)),6)&lt;&gt;"SINAPI",ISNA(VLOOKUP(TRIM(UPPER($S289)),ListaTgov.Unidades,1,FALSE))),"Unid. Não Disp",
" "))))))))))))))))</f>
        <v xml:space="preserve"> </v>
      </c>
      <c r="AD289" t="str">
        <f ca="1">IF(C289&lt;=CRONO.NivelExibicao,MAX($AD$15:OFFSET(AD289,-1,0))+IF($C289&lt;&gt;1,1,MAX(1,COUNTIF(QCI!$A$13:$A$24,OFFSET($E289,-1,0)))),"")</f>
        <v/>
      </c>
      <c r="AE289" s="7" t="b">
        <f ca="1">IF(AND($C289="S",ORÇAMENTO.CodBarra&lt;&gt;""),IF(ORÇAMENTO.Fonte="",ORÇAMENTO.CodBarra,CONCATENATE(ORÇAMENTO.Fonte," ",ORÇAMENTO.CodBarra)))</f>
        <v>0</v>
      </c>
      <c r="AF289" s="12" t="str">
        <f ca="1">IF(ISERROR(INDIRECT(ORÇAMENTO.BancoRef)),"(abra o arquivo 'Referência "&amp;Excel_BuiltIn_Database&amp;".xlsm)",IF(OR($C289&lt;&gt;"S",ORÇAMENTO.CodBarra=""),"(Sem Código)",IF(ISERROR(MATCH($AE289,INDIRECT(ORÇAMENTO.BancoRef),0)),"(Código não identificado nas referências)",MATCH($AE289,INDIRECT(ORÇAMENTO.BancoRef),0))))</f>
        <v>(abra o arquivo 'Referência 12-2024.xlsm)</v>
      </c>
      <c r="AG289" s="429">
        <f ca="1">ROUND(IF(DESONERACAO="sim",REFERENCIA.Desonerado,REFERENCIA.NaoDesonerado),2)</f>
        <v>0</v>
      </c>
      <c r="AH289" s="430">
        <f t="shared" ca="1" si="81"/>
        <v>0.31190000000000001</v>
      </c>
      <c r="AJ289" s="432"/>
      <c r="AL289" s="440"/>
      <c r="AM289" s="337">
        <f t="shared" ca="1" si="66"/>
        <v>0</v>
      </c>
      <c r="AN289" s="471">
        <f t="shared" ca="1" si="82"/>
        <v>0</v>
      </c>
    </row>
    <row r="290" spans="1:40" ht="38.25" x14ac:dyDescent="0.2">
      <c r="A290" t="str">
        <f t="shared" si="67"/>
        <v>S</v>
      </c>
      <c r="B290">
        <f t="shared" ca="1" si="68"/>
        <v>3</v>
      </c>
      <c r="C290" t="str">
        <f t="shared" ca="1" si="69"/>
        <v>S</v>
      </c>
      <c r="D290">
        <f t="shared" ca="1" si="70"/>
        <v>0</v>
      </c>
      <c r="E290">
        <f ca="1">IF($C290=1,OFFSET(E290,-1,0)+MAX(1,COUNTIF(QCI!$A$13:$A$24,OFFSET(ORÇAMENTO!E290,-1,0))),OFFSET(E290,-1,0))</f>
        <v>1</v>
      </c>
      <c r="F290">
        <f t="shared" ca="1" si="71"/>
        <v>16</v>
      </c>
      <c r="G290">
        <f t="shared" ca="1" si="72"/>
        <v>5</v>
      </c>
      <c r="H290">
        <f t="shared" ca="1" si="73"/>
        <v>0</v>
      </c>
      <c r="I290">
        <f t="shared" ca="1" si="74"/>
        <v>0</v>
      </c>
      <c r="J290">
        <f t="shared" ca="1" si="75"/>
        <v>0</v>
      </c>
      <c r="K290">
        <f ca="1">IF(OR($C290="S",$C290=0),0,MATCH(OFFSET($D290,0,$C290)+IF($C290&lt;&gt;1,1,COUNTIF(QCI!$A$13:$A$24,ORÇAMENTO!E290)),OFFSET($D290,1,$C290,ROW($C$405)-ROW($C290)),0))</f>
        <v>0</v>
      </c>
      <c r="L290" s="115" t="str">
        <f t="shared" ca="1" si="76"/>
        <v/>
      </c>
      <c r="M290" s="116" t="s">
        <v>706</v>
      </c>
      <c r="N290" s="117" t="str">
        <f t="shared" ca="1" si="77"/>
        <v>Serviço</v>
      </c>
      <c r="O290" s="118" t="str">
        <f t="shared" ca="1" si="78"/>
        <v>-</v>
      </c>
      <c r="P290" s="119" t="s">
        <v>751</v>
      </c>
      <c r="Q290" s="120" t="s">
        <v>1177</v>
      </c>
      <c r="R290" s="121" t="s">
        <v>1549</v>
      </c>
      <c r="S290" s="122" t="s">
        <v>623</v>
      </c>
      <c r="T290" s="123">
        <f ca="1">OFFSET(CÁLCULO!H$15,ROW($T290)-ROW(T$15),0)</f>
        <v>1.53</v>
      </c>
      <c r="U290" s="124"/>
      <c r="V290" s="125" t="s">
        <v>663</v>
      </c>
      <c r="W290" s="123">
        <f ca="1">IF($C290="S",ROUND(IF(TIPOORCAMENTO="Proposto",ORÇAMENTO.CustoUnitario*(1+$AH290),ORÇAMENTO.PrecoUnitarioLicitado),15-13*$AF$10),0)</f>
        <v>0</v>
      </c>
      <c r="X290" s="126" cm="1">
        <f t="array" aca="1" ref="X290" ca="1">IF($C290="S",IF(OR(Import.TipoArredondamento&lt;&gt;"TransfereGOV",ACOMPANHAMENTO="BM"),VTOTAL1,SUM(OFFSET(CÁLCULO!$AA$15,ROW($X290)-ROW($X$15),1):OFFSET(CÁLCULO!$AL$15,ROW($X290)-ROW($X$15),-1))),IF($C290=0,0,ROUND(SomaAgrup,15-13*$AF$11)))</f>
        <v>0</v>
      </c>
      <c r="Y290" s="127" t="s">
        <v>752</v>
      </c>
      <c r="Z290" t="str">
        <f t="shared" ca="1" si="79"/>
        <v/>
      </c>
      <c r="AA290" s="128">
        <f ca="1">IF($C290="S",IF($Z290="CP",$X290,IF($Z290="RA",(($X290)*QCI!$AA$3),0)),SomaAgrup)</f>
        <v>0</v>
      </c>
      <c r="AB290" s="129">
        <f t="shared" ca="1" si="80"/>
        <v>0</v>
      </c>
      <c r="AC290" s="567" t="str">
        <f ca="1">IF($N290=""," ",
IF(AND($C290&lt;&gt;"S",OR($R290="",$R290="(digite a descrição aqui)")),"DESCRIÇÃO",
IF(AND($C290="S",OR($Q290&lt;&gt;0,$T290&gt;0,$U290&gt;0),$P290=0),"FONTE",
IF(AND($C290="S",$P290&lt;&gt;0,OR($T290&gt;0,$U290&gt;0),$Q290=0),"CÓDIGO",
IF(AND($C290="S",$P290&lt;&gt;0,$Q290&lt;&gt;0,$R290="(Código não identificado nas referências)"),"CÓDIGO N/ID",
IF(AND($C290="S",OR($R290="",$R290="(digite a descrição aqui)"),OR($Q290&lt;&gt;0,$T290&gt;0,$U290&gt;0)),"DESCRIÇÃO",
IF(AND($C290="S",$P290&lt;&gt;0,$Q290&lt;&gt;0,$S290=""),"UNIDADE",
IF(AND($C290="S",$P290&lt;&gt;0,$Q290&lt;&gt;0,$U290=0),"SEM CUSTO",
IF(AND(TIPOORCAMENTO="Licitado",$AL290=0,$AN290&gt;0),"SEM PREÇO",
IF(AND($C290="S",$P290&lt;&gt;0,$Q290&lt;&gt;0,$U290&gt;0,$V290=0),"BDI",
IF(OR(AND(TIPOORCAMENTO="Proposto",$AG290&lt;&gt;"",$AG290&gt;0,ORÇAMENTO.CustoUnitario&gt;$AG290),AND(TIPOORCAMENTO="LICITADO",ORÇAMENTO.PrecoUnitarioLicitado&gt;$AN290)),"ACIMA REF.",
IF(AND($C290="S",$P290&lt;&gt;0,$Q290&lt;&gt;0,$T290=0,$U290&gt;0),"QUANT.",
IF(AND(Import.TipoArredondamento="TransfereGOV",$L290="F",$C290="S",LEN($Q290)&gt;13),"Código &gt;13",
IF(AND(Import.TipoArredondamento="TransfereGOV",$L290="F",$C290&lt;&gt;"S",LEN($R290)&gt;100),"Descrição &gt;100",
IF(AND(Import.TipoArredondamento="TransfereGOV",$L290="F",$C290="S",LEN($R290)&gt;500),"Descrição &gt;500",
IF(AND(Import.TipoArredondamento="TransfereGOV",$L290="F",$C290="S",LEFT(TRIM(UPPER($P290)),6)&lt;&gt;"SINAPI",ISNA(VLOOKUP(TRIM(UPPER($S290)),ListaTgov.Unidades,1,FALSE))),"Unid. Não Disp",
" "))))))))))))))))</f>
        <v>SEM CUSTO</v>
      </c>
      <c r="AD290" t="str">
        <f ca="1">IF(C290&lt;=CRONO.NivelExibicao,MAX($AD$15:OFFSET(AD290,-1,0))+IF($C290&lt;&gt;1,1,MAX(1,COUNTIF(QCI!$A$13:$A$24,OFFSET($E290,-1,0)))),"")</f>
        <v/>
      </c>
      <c r="AE290" s="7" t="str">
        <f ca="1">IF(AND($C290="S",ORÇAMENTO.CodBarra&lt;&gt;""),IF(ORÇAMENTO.Fonte="",ORÇAMENTO.CodBarra,CONCATENATE(ORÇAMENTO.Fonte," ",ORÇAMENTO.CodBarra)))</f>
        <v>SINAPI 91341</v>
      </c>
      <c r="AF290" s="12" t="str">
        <f ca="1">IF(ISERROR(INDIRECT(ORÇAMENTO.BancoRef)),"(abra o arquivo 'Referência "&amp;Excel_BuiltIn_Database&amp;".xlsm)",IF(OR($C290&lt;&gt;"S",ORÇAMENTO.CodBarra=""),"(Sem Código)",IF(ISERROR(MATCH($AE290,INDIRECT(ORÇAMENTO.BancoRef),0)),"(Código não identificado nas referências)",MATCH($AE290,INDIRECT(ORÇAMENTO.BancoRef),0))))</f>
        <v>(abra o arquivo 'Referência 12-2024.xlsm)</v>
      </c>
      <c r="AG290" s="429">
        <f ca="1">ROUND(IF(DESONERACAO="sim",REFERENCIA.Desonerado,REFERENCIA.NaoDesonerado),2)</f>
        <v>0</v>
      </c>
      <c r="AH290" s="430">
        <f t="shared" ca="1" si="81"/>
        <v>0.31190000000000001</v>
      </c>
      <c r="AJ290" s="432">
        <v>1.53</v>
      </c>
      <c r="AL290" s="440"/>
      <c r="AM290" s="337">
        <f t="shared" ca="1" si="66"/>
        <v>0</v>
      </c>
      <c r="AN290" s="471">
        <f t="shared" ca="1" si="82"/>
        <v>0</v>
      </c>
    </row>
    <row r="291" spans="1:40" ht="38.25" x14ac:dyDescent="0.2">
      <c r="A291" t="str">
        <f t="shared" si="67"/>
        <v>S</v>
      </c>
      <c r="B291">
        <f t="shared" ca="1" si="68"/>
        <v>3</v>
      </c>
      <c r="C291" t="str">
        <f t="shared" ca="1" si="69"/>
        <v>S</v>
      </c>
      <c r="D291">
        <f t="shared" ca="1" si="70"/>
        <v>0</v>
      </c>
      <c r="E291">
        <f ca="1">IF($C291=1,OFFSET(E291,-1,0)+MAX(1,COUNTIF(QCI!$A$13:$A$24,OFFSET(ORÇAMENTO!E291,-1,0))),OFFSET(E291,-1,0))</f>
        <v>1</v>
      </c>
      <c r="F291">
        <f t="shared" ca="1" si="71"/>
        <v>16</v>
      </c>
      <c r="G291">
        <f t="shared" ca="1" si="72"/>
        <v>5</v>
      </c>
      <c r="H291">
        <f t="shared" ca="1" si="73"/>
        <v>0</v>
      </c>
      <c r="I291">
        <f t="shared" ca="1" si="74"/>
        <v>0</v>
      </c>
      <c r="J291">
        <f t="shared" ca="1" si="75"/>
        <v>0</v>
      </c>
      <c r="K291">
        <f ca="1">IF(OR($C291="S",$C291=0),0,MATCH(OFFSET($D291,0,$C291)+IF($C291&lt;&gt;1,1,COUNTIF(QCI!$A$13:$A$24,ORÇAMENTO!E291)),OFFSET($D291,1,$C291,ROW($C$405)-ROW($C291)),0))</f>
        <v>0</v>
      </c>
      <c r="L291" s="115" t="str">
        <f t="shared" ca="1" si="76"/>
        <v/>
      </c>
      <c r="M291" s="116" t="s">
        <v>706</v>
      </c>
      <c r="N291" s="117" t="str">
        <f t="shared" ca="1" si="77"/>
        <v>Serviço</v>
      </c>
      <c r="O291" s="118" t="str">
        <f t="shared" ca="1" si="78"/>
        <v>-</v>
      </c>
      <c r="P291" s="119" t="s">
        <v>751</v>
      </c>
      <c r="Q291" s="120" t="s">
        <v>1178</v>
      </c>
      <c r="R291" s="121" t="s">
        <v>1550</v>
      </c>
      <c r="S291" s="122" t="s">
        <v>639</v>
      </c>
      <c r="T291" s="123">
        <f ca="1">OFFSET(CÁLCULO!H$15,ROW($T291)-ROW(T$15),0)</f>
        <v>1</v>
      </c>
      <c r="U291" s="124"/>
      <c r="V291" s="125" t="s">
        <v>663</v>
      </c>
      <c r="W291" s="123">
        <f ca="1">IF($C291="S",ROUND(IF(TIPOORCAMENTO="Proposto",ORÇAMENTO.CustoUnitario*(1+$AH291),ORÇAMENTO.PrecoUnitarioLicitado),15-13*$AF$10),0)</f>
        <v>0</v>
      </c>
      <c r="X291" s="126" cm="1">
        <f t="array" aca="1" ref="X291" ca="1">IF($C291="S",IF(OR(Import.TipoArredondamento&lt;&gt;"TransfereGOV",ACOMPANHAMENTO="BM"),VTOTAL1,SUM(OFFSET(CÁLCULO!$AA$15,ROW($X291)-ROW($X$15),1):OFFSET(CÁLCULO!$AL$15,ROW($X291)-ROW($X$15),-1))),IF($C291=0,0,ROUND(SomaAgrup,15-13*$AF$11)))</f>
        <v>0</v>
      </c>
      <c r="Y291" s="127" t="s">
        <v>752</v>
      </c>
      <c r="Z291" t="str">
        <f t="shared" ca="1" si="79"/>
        <v/>
      </c>
      <c r="AA291" s="128">
        <f ca="1">IF($C291="S",IF($Z291="CP",$X291,IF($Z291="RA",(($X291)*QCI!$AA$3),0)),SomaAgrup)</f>
        <v>0</v>
      </c>
      <c r="AB291" s="129">
        <f t="shared" ca="1" si="80"/>
        <v>0</v>
      </c>
      <c r="AC291" s="567" t="str">
        <f ca="1">IF($N291=""," ",
IF(AND($C291&lt;&gt;"S",OR($R291="",$R291="(digite a descrição aqui)")),"DESCRIÇÃO",
IF(AND($C291="S",OR($Q291&lt;&gt;0,$T291&gt;0,$U291&gt;0),$P291=0),"FONTE",
IF(AND($C291="S",$P291&lt;&gt;0,OR($T291&gt;0,$U291&gt;0),$Q291=0),"CÓDIGO",
IF(AND($C291="S",$P291&lt;&gt;0,$Q291&lt;&gt;0,$R291="(Código não identificado nas referências)"),"CÓDIGO N/ID",
IF(AND($C291="S",OR($R291="",$R291="(digite a descrição aqui)"),OR($Q291&lt;&gt;0,$T291&gt;0,$U291&gt;0)),"DESCRIÇÃO",
IF(AND($C291="S",$P291&lt;&gt;0,$Q291&lt;&gt;0,$S291=""),"UNIDADE",
IF(AND($C291="S",$P291&lt;&gt;0,$Q291&lt;&gt;0,$U291=0),"SEM CUSTO",
IF(AND(TIPOORCAMENTO="Licitado",$AL291=0,$AN291&gt;0),"SEM PREÇO",
IF(AND($C291="S",$P291&lt;&gt;0,$Q291&lt;&gt;0,$U291&gt;0,$V291=0),"BDI",
IF(OR(AND(TIPOORCAMENTO="Proposto",$AG291&lt;&gt;"",$AG291&gt;0,ORÇAMENTO.CustoUnitario&gt;$AG291),AND(TIPOORCAMENTO="LICITADO",ORÇAMENTO.PrecoUnitarioLicitado&gt;$AN291)),"ACIMA REF.",
IF(AND($C291="S",$P291&lt;&gt;0,$Q291&lt;&gt;0,$T291=0,$U291&gt;0),"QUANT.",
IF(AND(Import.TipoArredondamento="TransfereGOV",$L291="F",$C291="S",LEN($Q291)&gt;13),"Código &gt;13",
IF(AND(Import.TipoArredondamento="TransfereGOV",$L291="F",$C291&lt;&gt;"S",LEN($R291)&gt;100),"Descrição &gt;100",
IF(AND(Import.TipoArredondamento="TransfereGOV",$L291="F",$C291="S",LEN($R291)&gt;500),"Descrição &gt;500",
IF(AND(Import.TipoArredondamento="TransfereGOV",$L291="F",$C291="S",LEFT(TRIM(UPPER($P291)),6)&lt;&gt;"SINAPI",ISNA(VLOOKUP(TRIM(UPPER($S291)),ListaTgov.Unidades,1,FALSE))),"Unid. Não Disp",
" "))))))))))))))))</f>
        <v>SEM CUSTO</v>
      </c>
      <c r="AD291" t="str">
        <f ca="1">IF(C291&lt;=CRONO.NivelExibicao,MAX($AD$15:OFFSET(AD291,-1,0))+IF($C291&lt;&gt;1,1,MAX(1,COUNTIF(QCI!$A$13:$A$24,OFFSET($E291,-1,0)))),"")</f>
        <v/>
      </c>
      <c r="AE291" s="7" t="str">
        <f ca="1">IF(AND($C291="S",ORÇAMENTO.CodBarra&lt;&gt;""),IF(ORÇAMENTO.Fonte="",ORÇAMENTO.CodBarra,CONCATENATE(ORÇAMENTO.Fonte," ",ORÇAMENTO.CodBarra)))</f>
        <v>SINAPI 103823</v>
      </c>
      <c r="AF291" s="12" t="str">
        <f ca="1">IF(ISERROR(INDIRECT(ORÇAMENTO.BancoRef)),"(abra o arquivo 'Referência "&amp;Excel_BuiltIn_Database&amp;".xlsm)",IF(OR($C291&lt;&gt;"S",ORÇAMENTO.CodBarra=""),"(Sem Código)",IF(ISERROR(MATCH($AE291,INDIRECT(ORÇAMENTO.BancoRef),0)),"(Código não identificado nas referências)",MATCH($AE291,INDIRECT(ORÇAMENTO.BancoRef),0))))</f>
        <v>(abra o arquivo 'Referência 12-2024.xlsm)</v>
      </c>
      <c r="AG291" s="429">
        <f ca="1">ROUND(IF(DESONERACAO="sim",REFERENCIA.Desonerado,REFERENCIA.NaoDesonerado),2)</f>
        <v>0</v>
      </c>
      <c r="AH291" s="430">
        <f t="shared" ca="1" si="81"/>
        <v>0.31190000000000001</v>
      </c>
      <c r="AJ291" s="432">
        <v>1</v>
      </c>
      <c r="AL291" s="440"/>
      <c r="AM291" s="337">
        <f t="shared" ca="1" si="66"/>
        <v>0</v>
      </c>
      <c r="AN291" s="471">
        <f t="shared" ca="1" si="82"/>
        <v>0</v>
      </c>
    </row>
    <row r="292" spans="1:40" ht="51" x14ac:dyDescent="0.2">
      <c r="A292" t="str">
        <f t="shared" si="67"/>
        <v>S</v>
      </c>
      <c r="B292">
        <f t="shared" ca="1" si="68"/>
        <v>3</v>
      </c>
      <c r="C292" t="str">
        <f t="shared" ca="1" si="69"/>
        <v>S</v>
      </c>
      <c r="D292">
        <f t="shared" ca="1" si="70"/>
        <v>0</v>
      </c>
      <c r="E292">
        <f ca="1">IF($C292=1,OFFSET(E292,-1,0)+MAX(1,COUNTIF(QCI!$A$13:$A$24,OFFSET(ORÇAMENTO!E292,-1,0))),OFFSET(E292,-1,0))</f>
        <v>1</v>
      </c>
      <c r="F292">
        <f t="shared" ca="1" si="71"/>
        <v>16</v>
      </c>
      <c r="G292">
        <f t="shared" ca="1" si="72"/>
        <v>5</v>
      </c>
      <c r="H292">
        <f t="shared" ca="1" si="73"/>
        <v>0</v>
      </c>
      <c r="I292">
        <f t="shared" ca="1" si="74"/>
        <v>0</v>
      </c>
      <c r="J292">
        <f t="shared" ca="1" si="75"/>
        <v>0</v>
      </c>
      <c r="K292">
        <f ca="1">IF(OR($C292="S",$C292=0),0,MATCH(OFFSET($D292,0,$C292)+IF($C292&lt;&gt;1,1,COUNTIF(QCI!$A$13:$A$24,ORÇAMENTO!E292)),OFFSET($D292,1,$C292,ROW($C$405)-ROW($C292)),0))</f>
        <v>0</v>
      </c>
      <c r="L292" s="115" t="str">
        <f t="shared" ca="1" si="76"/>
        <v/>
      </c>
      <c r="M292" s="116" t="s">
        <v>706</v>
      </c>
      <c r="N292" s="117" t="str">
        <f t="shared" ca="1" si="77"/>
        <v>Serviço</v>
      </c>
      <c r="O292" s="118" t="str">
        <f t="shared" ca="1" si="78"/>
        <v>-</v>
      </c>
      <c r="P292" s="119" t="s">
        <v>751</v>
      </c>
      <c r="Q292" s="120" t="s">
        <v>1179</v>
      </c>
      <c r="R292" s="121" t="s">
        <v>1551</v>
      </c>
      <c r="S292" s="122" t="s">
        <v>639</v>
      </c>
      <c r="T292" s="123">
        <f ca="1">OFFSET(CÁLCULO!H$15,ROW($T292)-ROW(T$15),0)</f>
        <v>2</v>
      </c>
      <c r="U292" s="124"/>
      <c r="V292" s="125" t="s">
        <v>663</v>
      </c>
      <c r="W292" s="123">
        <f ca="1">IF($C292="S",ROUND(IF(TIPOORCAMENTO="Proposto",ORÇAMENTO.CustoUnitario*(1+$AH292),ORÇAMENTO.PrecoUnitarioLicitado),15-13*$AF$10),0)</f>
        <v>0</v>
      </c>
      <c r="X292" s="126" cm="1">
        <f t="array" aca="1" ref="X292" ca="1">IF($C292="S",IF(OR(Import.TipoArredondamento&lt;&gt;"TransfereGOV",ACOMPANHAMENTO="BM"),VTOTAL1,SUM(OFFSET(CÁLCULO!$AA$15,ROW($X292)-ROW($X$15),1):OFFSET(CÁLCULO!$AL$15,ROW($X292)-ROW($X$15),-1))),IF($C292=0,0,ROUND(SomaAgrup,15-13*$AF$11)))</f>
        <v>0</v>
      </c>
      <c r="Y292" s="127" t="s">
        <v>752</v>
      </c>
      <c r="Z292" t="str">
        <f t="shared" ca="1" si="79"/>
        <v/>
      </c>
      <c r="AA292" s="128">
        <f ca="1">IF($C292="S",IF($Z292="CP",$X292,IF($Z292="RA",(($X292)*QCI!$AA$3),0)),SomaAgrup)</f>
        <v>0</v>
      </c>
      <c r="AB292" s="129">
        <f t="shared" ca="1" si="80"/>
        <v>0</v>
      </c>
      <c r="AC292" s="567" t="str">
        <f ca="1">IF($N292=""," ",
IF(AND($C292&lt;&gt;"S",OR($R292="",$R292="(digite a descrição aqui)")),"DESCRIÇÃO",
IF(AND($C292="S",OR($Q292&lt;&gt;0,$T292&gt;0,$U292&gt;0),$P292=0),"FONTE",
IF(AND($C292="S",$P292&lt;&gt;0,OR($T292&gt;0,$U292&gt;0),$Q292=0),"CÓDIGO",
IF(AND($C292="S",$P292&lt;&gt;0,$Q292&lt;&gt;0,$R292="(Código não identificado nas referências)"),"CÓDIGO N/ID",
IF(AND($C292="S",OR($R292="",$R292="(digite a descrição aqui)"),OR($Q292&lt;&gt;0,$T292&gt;0,$U292&gt;0)),"DESCRIÇÃO",
IF(AND($C292="S",$P292&lt;&gt;0,$Q292&lt;&gt;0,$S292=""),"UNIDADE",
IF(AND($C292="S",$P292&lt;&gt;0,$Q292&lt;&gt;0,$U292=0),"SEM CUSTO",
IF(AND(TIPOORCAMENTO="Licitado",$AL292=0,$AN292&gt;0),"SEM PREÇO",
IF(AND($C292="S",$P292&lt;&gt;0,$Q292&lt;&gt;0,$U292&gt;0,$V292=0),"BDI",
IF(OR(AND(TIPOORCAMENTO="Proposto",$AG292&lt;&gt;"",$AG292&gt;0,ORÇAMENTO.CustoUnitario&gt;$AG292),AND(TIPOORCAMENTO="LICITADO",ORÇAMENTO.PrecoUnitarioLicitado&gt;$AN292)),"ACIMA REF.",
IF(AND($C292="S",$P292&lt;&gt;0,$Q292&lt;&gt;0,$T292=0,$U292&gt;0),"QUANT.",
IF(AND(Import.TipoArredondamento="TransfereGOV",$L292="F",$C292="S",LEN($Q292)&gt;13),"Código &gt;13",
IF(AND(Import.TipoArredondamento="TransfereGOV",$L292="F",$C292&lt;&gt;"S",LEN($R292)&gt;100),"Descrição &gt;100",
IF(AND(Import.TipoArredondamento="TransfereGOV",$L292="F",$C292="S",LEN($R292)&gt;500),"Descrição &gt;500",
IF(AND(Import.TipoArredondamento="TransfereGOV",$L292="F",$C292="S",LEFT(TRIM(UPPER($P292)),6)&lt;&gt;"SINAPI",ISNA(VLOOKUP(TRIM(UPPER($S292)),ListaTgov.Unidades,1,FALSE))),"Unid. Não Disp",
" "))))))))))))))))</f>
        <v>SEM CUSTO</v>
      </c>
      <c r="AD292" t="str">
        <f ca="1">IF(C292&lt;=CRONO.NivelExibicao,MAX($AD$15:OFFSET(AD292,-1,0))+IF($C292&lt;&gt;1,1,MAX(1,COUNTIF(QCI!$A$13:$A$24,OFFSET($E292,-1,0)))),"")</f>
        <v/>
      </c>
      <c r="AE292" s="7" t="str">
        <f ca="1">IF(AND($C292="S",ORÇAMENTO.CodBarra&lt;&gt;""),IF(ORÇAMENTO.Fonte="",ORÇAMENTO.CodBarra,CONCATENATE(ORÇAMENTO.Fonte," ",ORÇAMENTO.CodBarra)))</f>
        <v>SINAPI 103807</v>
      </c>
      <c r="AF292" s="12" t="str">
        <f ca="1">IF(ISERROR(INDIRECT(ORÇAMENTO.BancoRef)),"(abra o arquivo 'Referência "&amp;Excel_BuiltIn_Database&amp;".xlsm)",IF(OR($C292&lt;&gt;"S",ORÇAMENTO.CodBarra=""),"(Sem Código)",IF(ISERROR(MATCH($AE292,INDIRECT(ORÇAMENTO.BancoRef),0)),"(Código não identificado nas referências)",MATCH($AE292,INDIRECT(ORÇAMENTO.BancoRef),0))))</f>
        <v>(abra o arquivo 'Referência 12-2024.xlsm)</v>
      </c>
      <c r="AG292" s="429">
        <f ca="1">ROUND(IF(DESONERACAO="sim",REFERENCIA.Desonerado,REFERENCIA.NaoDesonerado),2)</f>
        <v>0</v>
      </c>
      <c r="AH292" s="430">
        <f t="shared" ca="1" si="81"/>
        <v>0.31190000000000001</v>
      </c>
      <c r="AJ292" s="432">
        <v>2</v>
      </c>
      <c r="AL292" s="440"/>
      <c r="AM292" s="337">
        <f t="shared" ca="1" si="66"/>
        <v>0</v>
      </c>
      <c r="AN292" s="471">
        <f t="shared" ca="1" si="82"/>
        <v>0</v>
      </c>
    </row>
    <row r="293" spans="1:40" ht="51" x14ac:dyDescent="0.2">
      <c r="A293" t="str">
        <f t="shared" si="67"/>
        <v>S</v>
      </c>
      <c r="B293">
        <f t="shared" ca="1" si="68"/>
        <v>3</v>
      </c>
      <c r="C293" t="str">
        <f t="shared" ca="1" si="69"/>
        <v>S</v>
      </c>
      <c r="D293">
        <f t="shared" ca="1" si="70"/>
        <v>0</v>
      </c>
      <c r="E293">
        <f ca="1">IF($C293=1,OFFSET(E293,-1,0)+MAX(1,COUNTIF(QCI!$A$13:$A$24,OFFSET(ORÇAMENTO!E293,-1,0))),OFFSET(E293,-1,0))</f>
        <v>1</v>
      </c>
      <c r="F293">
        <f t="shared" ca="1" si="71"/>
        <v>16</v>
      </c>
      <c r="G293">
        <f t="shared" ca="1" si="72"/>
        <v>5</v>
      </c>
      <c r="H293">
        <f t="shared" ca="1" si="73"/>
        <v>0</v>
      </c>
      <c r="I293">
        <f t="shared" ca="1" si="74"/>
        <v>0</v>
      </c>
      <c r="J293">
        <f t="shared" ca="1" si="75"/>
        <v>0</v>
      </c>
      <c r="K293">
        <f ca="1">IF(OR($C293="S",$C293=0),0,MATCH(OFFSET($D293,0,$C293)+IF($C293&lt;&gt;1,1,COUNTIF(QCI!$A$13:$A$24,ORÇAMENTO!E293)),OFFSET($D293,1,$C293,ROW($C$405)-ROW($C293)),0))</f>
        <v>0</v>
      </c>
      <c r="L293" s="115" t="str">
        <f t="shared" ca="1" si="76"/>
        <v/>
      </c>
      <c r="M293" s="116" t="s">
        <v>706</v>
      </c>
      <c r="N293" s="117" t="str">
        <f t="shared" ca="1" si="77"/>
        <v>Serviço</v>
      </c>
      <c r="O293" s="118" t="str">
        <f t="shared" ca="1" si="78"/>
        <v>-</v>
      </c>
      <c r="P293" s="119" t="s">
        <v>751</v>
      </c>
      <c r="Q293" s="120" t="s">
        <v>1180</v>
      </c>
      <c r="R293" s="121" t="s">
        <v>1552</v>
      </c>
      <c r="S293" s="122" t="s">
        <v>639</v>
      </c>
      <c r="T293" s="123">
        <f ca="1">OFFSET(CÁLCULO!H$15,ROW($T293)-ROW(T$15),0)</f>
        <v>7</v>
      </c>
      <c r="U293" s="124"/>
      <c r="V293" s="125" t="s">
        <v>663</v>
      </c>
      <c r="W293" s="123">
        <f ca="1">IF($C293="S",ROUND(IF(TIPOORCAMENTO="Proposto",ORÇAMENTO.CustoUnitario*(1+$AH293),ORÇAMENTO.PrecoUnitarioLicitado),15-13*$AF$10),0)</f>
        <v>0</v>
      </c>
      <c r="X293" s="126" cm="1">
        <f t="array" aca="1" ref="X293" ca="1">IF($C293="S",IF(OR(Import.TipoArredondamento&lt;&gt;"TransfereGOV",ACOMPANHAMENTO="BM"),VTOTAL1,SUM(OFFSET(CÁLCULO!$AA$15,ROW($X293)-ROW($X$15),1):OFFSET(CÁLCULO!$AL$15,ROW($X293)-ROW($X$15),-1))),IF($C293=0,0,ROUND(SomaAgrup,15-13*$AF$11)))</f>
        <v>0</v>
      </c>
      <c r="Y293" s="127" t="s">
        <v>752</v>
      </c>
      <c r="Z293" t="str">
        <f t="shared" ca="1" si="79"/>
        <v/>
      </c>
      <c r="AA293" s="128">
        <f ca="1">IF($C293="S",IF($Z293="CP",$X293,IF($Z293="RA",(($X293)*QCI!$AA$3),0)),SomaAgrup)</f>
        <v>0</v>
      </c>
      <c r="AB293" s="129">
        <f t="shared" ca="1" si="80"/>
        <v>0</v>
      </c>
      <c r="AC293" s="567" t="str">
        <f ca="1">IF($N293=""," ",
IF(AND($C293&lt;&gt;"S",OR($R293="",$R293="(digite a descrição aqui)")),"DESCRIÇÃO",
IF(AND($C293="S",OR($Q293&lt;&gt;0,$T293&gt;0,$U293&gt;0),$P293=0),"FONTE",
IF(AND($C293="S",$P293&lt;&gt;0,OR($T293&gt;0,$U293&gt;0),$Q293=0),"CÓDIGO",
IF(AND($C293="S",$P293&lt;&gt;0,$Q293&lt;&gt;0,$R293="(Código não identificado nas referências)"),"CÓDIGO N/ID",
IF(AND($C293="S",OR($R293="",$R293="(digite a descrição aqui)"),OR($Q293&lt;&gt;0,$T293&gt;0,$U293&gt;0)),"DESCRIÇÃO",
IF(AND($C293="S",$P293&lt;&gt;0,$Q293&lt;&gt;0,$S293=""),"UNIDADE",
IF(AND($C293="S",$P293&lt;&gt;0,$Q293&lt;&gt;0,$U293=0),"SEM CUSTO",
IF(AND(TIPOORCAMENTO="Licitado",$AL293=0,$AN293&gt;0),"SEM PREÇO",
IF(AND($C293="S",$P293&lt;&gt;0,$Q293&lt;&gt;0,$U293&gt;0,$V293=0),"BDI",
IF(OR(AND(TIPOORCAMENTO="Proposto",$AG293&lt;&gt;"",$AG293&gt;0,ORÇAMENTO.CustoUnitario&gt;$AG293),AND(TIPOORCAMENTO="LICITADO",ORÇAMENTO.PrecoUnitarioLicitado&gt;$AN293)),"ACIMA REF.",
IF(AND($C293="S",$P293&lt;&gt;0,$Q293&lt;&gt;0,$T293=0,$U293&gt;0),"QUANT.",
IF(AND(Import.TipoArredondamento="TransfereGOV",$L293="F",$C293="S",LEN($Q293)&gt;13),"Código &gt;13",
IF(AND(Import.TipoArredondamento="TransfereGOV",$L293="F",$C293&lt;&gt;"S",LEN($R293)&gt;100),"Descrição &gt;100",
IF(AND(Import.TipoArredondamento="TransfereGOV",$L293="F",$C293="S",LEN($R293)&gt;500),"Descrição &gt;500",
IF(AND(Import.TipoArredondamento="TransfereGOV",$L293="F",$C293="S",LEFT(TRIM(UPPER($P293)),6)&lt;&gt;"SINAPI",ISNA(VLOOKUP(TRIM(UPPER($S293)),ListaTgov.Unidades,1,FALSE))),"Unid. Não Disp",
" "))))))))))))))))</f>
        <v>SEM CUSTO</v>
      </c>
      <c r="AD293" t="str">
        <f ca="1">IF(C293&lt;=CRONO.NivelExibicao,MAX($AD$15:OFFSET(AD293,-1,0))+IF($C293&lt;&gt;1,1,MAX(1,COUNTIF(QCI!$A$13:$A$24,OFFSET($E293,-1,0)))),"")</f>
        <v/>
      </c>
      <c r="AE293" s="7" t="str">
        <f ca="1">IF(AND($C293="S",ORÇAMENTO.CodBarra&lt;&gt;""),IF(ORÇAMENTO.Fonte="",ORÇAMENTO.CodBarra,CONCATENATE(ORÇAMENTO.Fonte," ",ORÇAMENTO.CodBarra)))</f>
        <v>SINAPI 103811</v>
      </c>
      <c r="AF293" s="12" t="str">
        <f ca="1">IF(ISERROR(INDIRECT(ORÇAMENTO.BancoRef)),"(abra o arquivo 'Referência "&amp;Excel_BuiltIn_Database&amp;".xlsm)",IF(OR($C293&lt;&gt;"S",ORÇAMENTO.CodBarra=""),"(Sem Código)",IF(ISERROR(MATCH($AE293,INDIRECT(ORÇAMENTO.BancoRef),0)),"(Código não identificado nas referências)",MATCH($AE293,INDIRECT(ORÇAMENTO.BancoRef),0))))</f>
        <v>(abra o arquivo 'Referência 12-2024.xlsm)</v>
      </c>
      <c r="AG293" s="429">
        <f ca="1">ROUND(IF(DESONERACAO="sim",REFERENCIA.Desonerado,REFERENCIA.NaoDesonerado),2)</f>
        <v>0</v>
      </c>
      <c r="AH293" s="430">
        <f t="shared" ca="1" si="81"/>
        <v>0.31190000000000001</v>
      </c>
      <c r="AJ293" s="432">
        <v>7</v>
      </c>
      <c r="AL293" s="440"/>
      <c r="AM293" s="337">
        <f t="shared" ca="1" si="66"/>
        <v>0</v>
      </c>
      <c r="AN293" s="471">
        <f t="shared" ca="1" si="82"/>
        <v>0</v>
      </c>
    </row>
    <row r="294" spans="1:40" ht="38.25" x14ac:dyDescent="0.2">
      <c r="A294" t="str">
        <f t="shared" si="67"/>
        <v>S</v>
      </c>
      <c r="B294">
        <f t="shared" ca="1" si="68"/>
        <v>3</v>
      </c>
      <c r="C294" t="str">
        <f t="shared" ca="1" si="69"/>
        <v>S</v>
      </c>
      <c r="D294">
        <f t="shared" ca="1" si="70"/>
        <v>0</v>
      </c>
      <c r="E294">
        <f ca="1">IF($C294=1,OFFSET(E294,-1,0)+MAX(1,COUNTIF(QCI!$A$13:$A$24,OFFSET(ORÇAMENTO!E294,-1,0))),OFFSET(E294,-1,0))</f>
        <v>1</v>
      </c>
      <c r="F294">
        <f t="shared" ca="1" si="71"/>
        <v>16</v>
      </c>
      <c r="G294">
        <f t="shared" ca="1" si="72"/>
        <v>5</v>
      </c>
      <c r="H294">
        <f t="shared" ca="1" si="73"/>
        <v>0</v>
      </c>
      <c r="I294">
        <f t="shared" ca="1" si="74"/>
        <v>0</v>
      </c>
      <c r="J294">
        <f t="shared" ca="1" si="75"/>
        <v>0</v>
      </c>
      <c r="K294">
        <f ca="1">IF(OR($C294="S",$C294=0),0,MATCH(OFFSET($D294,0,$C294)+IF($C294&lt;&gt;1,1,COUNTIF(QCI!$A$13:$A$24,ORÇAMENTO!E294)),OFFSET($D294,1,$C294,ROW($C$405)-ROW($C294)),0))</f>
        <v>0</v>
      </c>
      <c r="L294" s="115" t="str">
        <f t="shared" ca="1" si="76"/>
        <v/>
      </c>
      <c r="M294" s="116" t="s">
        <v>706</v>
      </c>
      <c r="N294" s="117" t="str">
        <f t="shared" ca="1" si="77"/>
        <v>Serviço</v>
      </c>
      <c r="O294" s="118" t="str">
        <f t="shared" ca="1" si="78"/>
        <v>-</v>
      </c>
      <c r="P294" s="119" t="s">
        <v>751</v>
      </c>
      <c r="Q294" s="120" t="s">
        <v>1181</v>
      </c>
      <c r="R294" s="121" t="s">
        <v>1553</v>
      </c>
      <c r="S294" s="122" t="s">
        <v>639</v>
      </c>
      <c r="T294" s="123">
        <f ca="1">OFFSET(CÁLCULO!H$15,ROW($T294)-ROW(T$15),0)</f>
        <v>1</v>
      </c>
      <c r="U294" s="124"/>
      <c r="V294" s="125" t="s">
        <v>663</v>
      </c>
      <c r="W294" s="123">
        <f ca="1">IF($C294="S",ROUND(IF(TIPOORCAMENTO="Proposto",ORÇAMENTO.CustoUnitario*(1+$AH294),ORÇAMENTO.PrecoUnitarioLicitado),15-13*$AF$10),0)</f>
        <v>0</v>
      </c>
      <c r="X294" s="126" cm="1">
        <f t="array" aca="1" ref="X294" ca="1">IF($C294="S",IF(OR(Import.TipoArredondamento&lt;&gt;"TransfereGOV",ACOMPANHAMENTO="BM"),VTOTAL1,SUM(OFFSET(CÁLCULO!$AA$15,ROW($X294)-ROW($X$15),1):OFFSET(CÁLCULO!$AL$15,ROW($X294)-ROW($X$15),-1))),IF($C294=0,0,ROUND(SomaAgrup,15-13*$AF$11)))</f>
        <v>0</v>
      </c>
      <c r="Y294" s="127" t="s">
        <v>752</v>
      </c>
      <c r="Z294" t="str">
        <f t="shared" ca="1" si="79"/>
        <v/>
      </c>
      <c r="AA294" s="128">
        <f ca="1">IF($C294="S",IF($Z294="CP",$X294,IF($Z294="RA",(($X294)*QCI!$AA$3),0)),SomaAgrup)</f>
        <v>0</v>
      </c>
      <c r="AB294" s="129">
        <f t="shared" ca="1" si="80"/>
        <v>0</v>
      </c>
      <c r="AC294" s="567" t="str">
        <f ca="1">IF($N294=""," ",
IF(AND($C294&lt;&gt;"S",OR($R294="",$R294="(digite a descrição aqui)")),"DESCRIÇÃO",
IF(AND($C294="S",OR($Q294&lt;&gt;0,$T294&gt;0,$U294&gt;0),$P294=0),"FONTE",
IF(AND($C294="S",$P294&lt;&gt;0,OR($T294&gt;0,$U294&gt;0),$Q294=0),"CÓDIGO",
IF(AND($C294="S",$P294&lt;&gt;0,$Q294&lt;&gt;0,$R294="(Código não identificado nas referências)"),"CÓDIGO N/ID",
IF(AND($C294="S",OR($R294="",$R294="(digite a descrição aqui)"),OR($Q294&lt;&gt;0,$T294&gt;0,$U294&gt;0)),"DESCRIÇÃO",
IF(AND($C294="S",$P294&lt;&gt;0,$Q294&lt;&gt;0,$S294=""),"UNIDADE",
IF(AND($C294="S",$P294&lt;&gt;0,$Q294&lt;&gt;0,$U294=0),"SEM CUSTO",
IF(AND(TIPOORCAMENTO="Licitado",$AL294=0,$AN294&gt;0),"SEM PREÇO",
IF(AND($C294="S",$P294&lt;&gt;0,$Q294&lt;&gt;0,$U294&gt;0,$V294=0),"BDI",
IF(OR(AND(TIPOORCAMENTO="Proposto",$AG294&lt;&gt;"",$AG294&gt;0,ORÇAMENTO.CustoUnitario&gt;$AG294),AND(TIPOORCAMENTO="LICITADO",ORÇAMENTO.PrecoUnitarioLicitado&gt;$AN294)),"ACIMA REF.",
IF(AND($C294="S",$P294&lt;&gt;0,$Q294&lt;&gt;0,$T294=0,$U294&gt;0),"QUANT.",
IF(AND(Import.TipoArredondamento="TransfereGOV",$L294="F",$C294="S",LEN($Q294)&gt;13),"Código &gt;13",
IF(AND(Import.TipoArredondamento="TransfereGOV",$L294="F",$C294&lt;&gt;"S",LEN($R294)&gt;100),"Descrição &gt;100",
IF(AND(Import.TipoArredondamento="TransfereGOV",$L294="F",$C294="S",LEN($R294)&gt;500),"Descrição &gt;500",
IF(AND(Import.TipoArredondamento="TransfereGOV",$L294="F",$C294="S",LEFT(TRIM(UPPER($P294)),6)&lt;&gt;"SINAPI",ISNA(VLOOKUP(TRIM(UPPER($S294)),ListaTgov.Unidades,1,FALSE))),"Unid. Não Disp",
" "))))))))))))))))</f>
        <v>SEM CUSTO</v>
      </c>
      <c r="AD294" t="str">
        <f ca="1">IF(C294&lt;=CRONO.NivelExibicao,MAX($AD$15:OFFSET(AD294,-1,0))+IF($C294&lt;&gt;1,1,MAX(1,COUNTIF(QCI!$A$13:$A$24,OFFSET($E294,-1,0)))),"")</f>
        <v/>
      </c>
      <c r="AE294" s="7" t="str">
        <f ca="1">IF(AND($C294="S",ORÇAMENTO.CodBarra&lt;&gt;""),IF(ORÇAMENTO.Fonte="",ORÇAMENTO.CodBarra,CONCATENATE(ORÇAMENTO.Fonte," ",ORÇAMENTO.CodBarra)))</f>
        <v>SINAPI 92953</v>
      </c>
      <c r="AF294" s="12" t="str">
        <f ca="1">IF(ISERROR(INDIRECT(ORÇAMENTO.BancoRef)),"(abra o arquivo 'Referência "&amp;Excel_BuiltIn_Database&amp;".xlsm)",IF(OR($C294&lt;&gt;"S",ORÇAMENTO.CodBarra=""),"(Sem Código)",IF(ISERROR(MATCH($AE294,INDIRECT(ORÇAMENTO.BancoRef),0)),"(Código não identificado nas referências)",MATCH($AE294,INDIRECT(ORÇAMENTO.BancoRef),0))))</f>
        <v>(abra o arquivo 'Referência 12-2024.xlsm)</v>
      </c>
      <c r="AG294" s="429">
        <f ca="1">ROUND(IF(DESONERACAO="sim",REFERENCIA.Desonerado,REFERENCIA.NaoDesonerado),2)</f>
        <v>0</v>
      </c>
      <c r="AH294" s="430">
        <f t="shared" ca="1" si="81"/>
        <v>0.31190000000000001</v>
      </c>
      <c r="AJ294" s="432">
        <v>1</v>
      </c>
      <c r="AL294" s="440"/>
      <c r="AM294" s="337">
        <f t="shared" ca="1" si="66"/>
        <v>0</v>
      </c>
      <c r="AN294" s="471">
        <f t="shared" ca="1" si="82"/>
        <v>0</v>
      </c>
    </row>
    <row r="295" spans="1:40" ht="38.25" x14ac:dyDescent="0.2">
      <c r="A295" t="str">
        <f t="shared" si="67"/>
        <v>S</v>
      </c>
      <c r="B295">
        <f t="shared" ca="1" si="68"/>
        <v>3</v>
      </c>
      <c r="C295" t="str">
        <f t="shared" ca="1" si="69"/>
        <v>S</v>
      </c>
      <c r="D295">
        <f t="shared" ca="1" si="70"/>
        <v>0</v>
      </c>
      <c r="E295">
        <f ca="1">IF($C295=1,OFFSET(E295,-1,0)+MAX(1,COUNTIF(QCI!$A$13:$A$24,OFFSET(ORÇAMENTO!E295,-1,0))),OFFSET(E295,-1,0))</f>
        <v>1</v>
      </c>
      <c r="F295">
        <f t="shared" ca="1" si="71"/>
        <v>16</v>
      </c>
      <c r="G295">
        <f t="shared" ca="1" si="72"/>
        <v>5</v>
      </c>
      <c r="H295">
        <f t="shared" ca="1" si="73"/>
        <v>0</v>
      </c>
      <c r="I295">
        <f t="shared" ca="1" si="74"/>
        <v>0</v>
      </c>
      <c r="J295">
        <f t="shared" ca="1" si="75"/>
        <v>0</v>
      </c>
      <c r="K295">
        <f ca="1">IF(OR($C295="S",$C295=0),0,MATCH(OFFSET($D295,0,$C295)+IF($C295&lt;&gt;1,1,COUNTIF(QCI!$A$13:$A$24,ORÇAMENTO!E295)),OFFSET($D295,1,$C295,ROW($C$405)-ROW($C295)),0))</f>
        <v>0</v>
      </c>
      <c r="L295" s="115" t="str">
        <f t="shared" ca="1" si="76"/>
        <v/>
      </c>
      <c r="M295" s="116" t="s">
        <v>706</v>
      </c>
      <c r="N295" s="117" t="str">
        <f t="shared" ca="1" si="77"/>
        <v>Serviço</v>
      </c>
      <c r="O295" s="118" t="str">
        <f t="shared" ca="1" si="78"/>
        <v>-</v>
      </c>
      <c r="P295" s="119" t="s">
        <v>751</v>
      </c>
      <c r="Q295" s="120" t="s">
        <v>1182</v>
      </c>
      <c r="R295" s="121" t="s">
        <v>1554</v>
      </c>
      <c r="S295" s="122" t="s">
        <v>639</v>
      </c>
      <c r="T295" s="123">
        <f ca="1">OFFSET(CÁLCULO!H$15,ROW($T295)-ROW(T$15),0)</f>
        <v>7</v>
      </c>
      <c r="U295" s="124"/>
      <c r="V295" s="125" t="s">
        <v>663</v>
      </c>
      <c r="W295" s="123">
        <f ca="1">IF($C295="S",ROUND(IF(TIPOORCAMENTO="Proposto",ORÇAMENTO.CustoUnitario*(1+$AH295),ORÇAMENTO.PrecoUnitarioLicitado),15-13*$AF$10),0)</f>
        <v>0</v>
      </c>
      <c r="X295" s="126" cm="1">
        <f t="array" aca="1" ref="X295" ca="1">IF($C295="S",IF(OR(Import.TipoArredondamento&lt;&gt;"TransfereGOV",ACOMPANHAMENTO="BM"),VTOTAL1,SUM(OFFSET(CÁLCULO!$AA$15,ROW($X295)-ROW($X$15),1):OFFSET(CÁLCULO!$AL$15,ROW($X295)-ROW($X$15),-1))),IF($C295=0,0,ROUND(SomaAgrup,15-13*$AF$11)))</f>
        <v>0</v>
      </c>
      <c r="Y295" s="127" t="s">
        <v>752</v>
      </c>
      <c r="Z295" t="str">
        <f t="shared" ca="1" si="79"/>
        <v/>
      </c>
      <c r="AA295" s="128">
        <f ca="1">IF($C295="S",IF($Z295="CP",$X295,IF($Z295="RA",(($X295)*QCI!$AA$3),0)),SomaAgrup)</f>
        <v>0</v>
      </c>
      <c r="AB295" s="129">
        <f t="shared" ca="1" si="80"/>
        <v>0</v>
      </c>
      <c r="AC295" s="567" t="str">
        <f ca="1">IF($N295=""," ",
IF(AND($C295&lt;&gt;"S",OR($R295="",$R295="(digite a descrição aqui)")),"DESCRIÇÃO",
IF(AND($C295="S",OR($Q295&lt;&gt;0,$T295&gt;0,$U295&gt;0),$P295=0),"FONTE",
IF(AND($C295="S",$P295&lt;&gt;0,OR($T295&gt;0,$U295&gt;0),$Q295=0),"CÓDIGO",
IF(AND($C295="S",$P295&lt;&gt;0,$Q295&lt;&gt;0,$R295="(Código não identificado nas referências)"),"CÓDIGO N/ID",
IF(AND($C295="S",OR($R295="",$R295="(digite a descrição aqui)"),OR($Q295&lt;&gt;0,$T295&gt;0,$U295&gt;0)),"DESCRIÇÃO",
IF(AND($C295="S",$P295&lt;&gt;0,$Q295&lt;&gt;0,$S295=""),"UNIDADE",
IF(AND($C295="S",$P295&lt;&gt;0,$Q295&lt;&gt;0,$U295=0),"SEM CUSTO",
IF(AND(TIPOORCAMENTO="Licitado",$AL295=0,$AN295&gt;0),"SEM PREÇO",
IF(AND($C295="S",$P295&lt;&gt;0,$Q295&lt;&gt;0,$U295&gt;0,$V295=0),"BDI",
IF(OR(AND(TIPOORCAMENTO="Proposto",$AG295&lt;&gt;"",$AG295&gt;0,ORÇAMENTO.CustoUnitario&gt;$AG295),AND(TIPOORCAMENTO="LICITADO",ORÇAMENTO.PrecoUnitarioLicitado&gt;$AN295)),"ACIMA REF.",
IF(AND($C295="S",$P295&lt;&gt;0,$Q295&lt;&gt;0,$T295=0,$U295&gt;0),"QUANT.",
IF(AND(Import.TipoArredondamento="TransfereGOV",$L295="F",$C295="S",LEN($Q295)&gt;13),"Código &gt;13",
IF(AND(Import.TipoArredondamento="TransfereGOV",$L295="F",$C295&lt;&gt;"S",LEN($R295)&gt;100),"Descrição &gt;100",
IF(AND(Import.TipoArredondamento="TransfereGOV",$L295="F",$C295="S",LEN($R295)&gt;500),"Descrição &gt;500",
IF(AND(Import.TipoArredondamento="TransfereGOV",$L295="F",$C295="S",LEFT(TRIM(UPPER($P295)),6)&lt;&gt;"SINAPI",ISNA(VLOOKUP(TRIM(UPPER($S295)),ListaTgov.Unidades,1,FALSE))),"Unid. Não Disp",
" "))))))))))))))))</f>
        <v>SEM CUSTO</v>
      </c>
      <c r="AD295" t="str">
        <f ca="1">IF(C295&lt;=CRONO.NivelExibicao,MAX($AD$15:OFFSET(AD295,-1,0))+IF($C295&lt;&gt;1,1,MAX(1,COUNTIF(QCI!$A$13:$A$24,OFFSET($E295,-1,0)))),"")</f>
        <v/>
      </c>
      <c r="AE295" s="7" t="str">
        <f ca="1">IF(AND($C295="S",ORÇAMENTO.CodBarra&lt;&gt;""),IF(ORÇAMENTO.Fonte="",ORÇAMENTO.CodBarra,CONCATENATE(ORÇAMENTO.Fonte," ",ORÇAMENTO.CodBarra)))</f>
        <v>SINAPI 92695</v>
      </c>
      <c r="AF295" s="12" t="str">
        <f ca="1">IF(ISERROR(INDIRECT(ORÇAMENTO.BancoRef)),"(abra o arquivo 'Referência "&amp;Excel_BuiltIn_Database&amp;".xlsm)",IF(OR($C295&lt;&gt;"S",ORÇAMENTO.CodBarra=""),"(Sem Código)",IF(ISERROR(MATCH($AE295,INDIRECT(ORÇAMENTO.BancoRef),0)),"(Código não identificado nas referências)",MATCH($AE295,INDIRECT(ORÇAMENTO.BancoRef),0))))</f>
        <v>(abra o arquivo 'Referência 12-2024.xlsm)</v>
      </c>
      <c r="AG295" s="429">
        <f ca="1">ROUND(IF(DESONERACAO="sim",REFERENCIA.Desonerado,REFERENCIA.NaoDesonerado),2)</f>
        <v>0</v>
      </c>
      <c r="AH295" s="430">
        <f t="shared" ca="1" si="81"/>
        <v>0.31190000000000001</v>
      </c>
      <c r="AJ295" s="432">
        <v>7</v>
      </c>
      <c r="AL295" s="440"/>
      <c r="AM295" s="337">
        <f t="shared" ca="1" si="66"/>
        <v>0</v>
      </c>
      <c r="AN295" s="471">
        <f t="shared" ca="1" si="82"/>
        <v>0</v>
      </c>
    </row>
    <row r="296" spans="1:40" ht="38.25" x14ac:dyDescent="0.2">
      <c r="A296" t="str">
        <f t="shared" si="67"/>
        <v>S</v>
      </c>
      <c r="B296">
        <f t="shared" ca="1" si="68"/>
        <v>3</v>
      </c>
      <c r="C296" t="str">
        <f t="shared" ca="1" si="69"/>
        <v>S</v>
      </c>
      <c r="D296">
        <f t="shared" ca="1" si="70"/>
        <v>0</v>
      </c>
      <c r="E296">
        <f ca="1">IF($C296=1,OFFSET(E296,-1,0)+MAX(1,COUNTIF(QCI!$A$13:$A$24,OFFSET(ORÇAMENTO!E296,-1,0))),OFFSET(E296,-1,0))</f>
        <v>1</v>
      </c>
      <c r="F296">
        <f t="shared" ca="1" si="71"/>
        <v>16</v>
      </c>
      <c r="G296">
        <f t="shared" ca="1" si="72"/>
        <v>5</v>
      </c>
      <c r="H296">
        <f t="shared" ca="1" si="73"/>
        <v>0</v>
      </c>
      <c r="I296">
        <f t="shared" ca="1" si="74"/>
        <v>0</v>
      </c>
      <c r="J296">
        <f t="shared" ca="1" si="75"/>
        <v>0</v>
      </c>
      <c r="K296">
        <f ca="1">IF(OR($C296="S",$C296=0),0,MATCH(OFFSET($D296,0,$C296)+IF($C296&lt;&gt;1,1,COUNTIF(QCI!$A$13:$A$24,ORÇAMENTO!E296)),OFFSET($D296,1,$C296,ROW($C$405)-ROW($C296)),0))</f>
        <v>0</v>
      </c>
      <c r="L296" s="115" t="str">
        <f t="shared" ca="1" si="76"/>
        <v/>
      </c>
      <c r="M296" s="116" t="s">
        <v>706</v>
      </c>
      <c r="N296" s="117" t="str">
        <f t="shared" ca="1" si="77"/>
        <v>Serviço</v>
      </c>
      <c r="O296" s="118" t="str">
        <f t="shared" ca="1" si="78"/>
        <v>-</v>
      </c>
      <c r="P296" s="119" t="s">
        <v>751</v>
      </c>
      <c r="Q296" s="120" t="s">
        <v>1183</v>
      </c>
      <c r="R296" s="121" t="s">
        <v>1555</v>
      </c>
      <c r="S296" s="122" t="s">
        <v>639</v>
      </c>
      <c r="T296" s="123">
        <f ca="1">OFFSET(CÁLCULO!H$15,ROW($T296)-ROW(T$15),0)</f>
        <v>2</v>
      </c>
      <c r="U296" s="124"/>
      <c r="V296" s="125" t="s">
        <v>663</v>
      </c>
      <c r="W296" s="123">
        <f ca="1">IF($C296="S",ROUND(IF(TIPOORCAMENTO="Proposto",ORÇAMENTO.CustoUnitario*(1+$AH296),ORÇAMENTO.PrecoUnitarioLicitado),15-13*$AF$10),0)</f>
        <v>0</v>
      </c>
      <c r="X296" s="126" cm="1">
        <f t="array" aca="1" ref="X296" ca="1">IF($C296="S",IF(OR(Import.TipoArredondamento&lt;&gt;"TransfereGOV",ACOMPANHAMENTO="BM"),VTOTAL1,SUM(OFFSET(CÁLCULO!$AA$15,ROW($X296)-ROW($X$15),1):OFFSET(CÁLCULO!$AL$15,ROW($X296)-ROW($X$15),-1))),IF($C296=0,0,ROUND(SomaAgrup,15-13*$AF$11)))</f>
        <v>0</v>
      </c>
      <c r="Y296" s="127" t="s">
        <v>752</v>
      </c>
      <c r="Z296" t="str">
        <f t="shared" ca="1" si="79"/>
        <v/>
      </c>
      <c r="AA296" s="128">
        <f ca="1">IF($C296="S",IF($Z296="CP",$X296,IF($Z296="RA",(($X296)*QCI!$AA$3),0)),SomaAgrup)</f>
        <v>0</v>
      </c>
      <c r="AB296" s="129">
        <f t="shared" ca="1" si="80"/>
        <v>0</v>
      </c>
      <c r="AC296" s="567" t="str">
        <f ca="1">IF($N296=""," ",
IF(AND($C296&lt;&gt;"S",OR($R296="",$R296="(digite a descrição aqui)")),"DESCRIÇÃO",
IF(AND($C296="S",OR($Q296&lt;&gt;0,$T296&gt;0,$U296&gt;0),$P296=0),"FONTE",
IF(AND($C296="S",$P296&lt;&gt;0,OR($T296&gt;0,$U296&gt;0),$Q296=0),"CÓDIGO",
IF(AND($C296="S",$P296&lt;&gt;0,$Q296&lt;&gt;0,$R296="(Código não identificado nas referências)"),"CÓDIGO N/ID",
IF(AND($C296="S",OR($R296="",$R296="(digite a descrição aqui)"),OR($Q296&lt;&gt;0,$T296&gt;0,$U296&gt;0)),"DESCRIÇÃO",
IF(AND($C296="S",$P296&lt;&gt;0,$Q296&lt;&gt;0,$S296=""),"UNIDADE",
IF(AND($C296="S",$P296&lt;&gt;0,$Q296&lt;&gt;0,$U296=0),"SEM CUSTO",
IF(AND(TIPOORCAMENTO="Licitado",$AL296=0,$AN296&gt;0),"SEM PREÇO",
IF(AND($C296="S",$P296&lt;&gt;0,$Q296&lt;&gt;0,$U296&gt;0,$V296=0),"BDI",
IF(OR(AND(TIPOORCAMENTO="Proposto",$AG296&lt;&gt;"",$AG296&gt;0,ORÇAMENTO.CustoUnitario&gt;$AG296),AND(TIPOORCAMENTO="LICITADO",ORÇAMENTO.PrecoUnitarioLicitado&gt;$AN296)),"ACIMA REF.",
IF(AND($C296="S",$P296&lt;&gt;0,$Q296&lt;&gt;0,$T296=0,$U296&gt;0),"QUANT.",
IF(AND(Import.TipoArredondamento="TransfereGOV",$L296="F",$C296="S",LEN($Q296)&gt;13),"Código &gt;13",
IF(AND(Import.TipoArredondamento="TransfereGOV",$L296="F",$C296&lt;&gt;"S",LEN($R296)&gt;100),"Descrição &gt;100",
IF(AND(Import.TipoArredondamento="TransfereGOV",$L296="F",$C296="S",LEN($R296)&gt;500),"Descrição &gt;500",
IF(AND(Import.TipoArredondamento="TransfereGOV",$L296="F",$C296="S",LEFT(TRIM(UPPER($P296)),6)&lt;&gt;"SINAPI",ISNA(VLOOKUP(TRIM(UPPER($S296)),ListaTgov.Unidades,1,FALSE))),"Unid. Não Disp",
" "))))))))))))))))</f>
        <v>SEM CUSTO</v>
      </c>
      <c r="AD296" t="str">
        <f ca="1">IF(C296&lt;=CRONO.NivelExibicao,MAX($AD$15:OFFSET(AD296,-1,0))+IF($C296&lt;&gt;1,1,MAX(1,COUNTIF(QCI!$A$13:$A$24,OFFSET($E296,-1,0)))),"")</f>
        <v/>
      </c>
      <c r="AE296" s="7" t="str">
        <f ca="1">IF(AND($C296="S",ORÇAMENTO.CodBarra&lt;&gt;""),IF(ORÇAMENTO.Fonte="",ORÇAMENTO.CodBarra,CONCATENATE(ORÇAMENTO.Fonte," ",ORÇAMENTO.CodBarra)))</f>
        <v>SINAPI 92694</v>
      </c>
      <c r="AF296" s="12" t="str">
        <f ca="1">IF(ISERROR(INDIRECT(ORÇAMENTO.BancoRef)),"(abra o arquivo 'Referência "&amp;Excel_BuiltIn_Database&amp;".xlsm)",IF(OR($C296&lt;&gt;"S",ORÇAMENTO.CodBarra=""),"(Sem Código)",IF(ISERROR(MATCH($AE296,INDIRECT(ORÇAMENTO.BancoRef),0)),"(Código não identificado nas referências)",MATCH($AE296,INDIRECT(ORÇAMENTO.BancoRef),0))))</f>
        <v>(abra o arquivo 'Referência 12-2024.xlsm)</v>
      </c>
      <c r="AG296" s="429">
        <f ca="1">ROUND(IF(DESONERACAO="sim",REFERENCIA.Desonerado,REFERENCIA.NaoDesonerado),2)</f>
        <v>0</v>
      </c>
      <c r="AH296" s="430">
        <f t="shared" ca="1" si="81"/>
        <v>0.31190000000000001</v>
      </c>
      <c r="AJ296" s="432">
        <v>2</v>
      </c>
      <c r="AL296" s="440"/>
      <c r="AM296" s="337">
        <f t="shared" ca="1" si="66"/>
        <v>0</v>
      </c>
      <c r="AN296" s="471">
        <f t="shared" ca="1" si="82"/>
        <v>0</v>
      </c>
    </row>
    <row r="297" spans="1:40" ht="38.25" x14ac:dyDescent="0.2">
      <c r="A297" t="str">
        <f t="shared" si="67"/>
        <v>S</v>
      </c>
      <c r="B297">
        <f t="shared" ca="1" si="68"/>
        <v>3</v>
      </c>
      <c r="C297" t="str">
        <f t="shared" ca="1" si="69"/>
        <v>S</v>
      </c>
      <c r="D297">
        <f t="shared" ca="1" si="70"/>
        <v>0</v>
      </c>
      <c r="E297">
        <f ca="1">IF($C297=1,OFFSET(E297,-1,0)+MAX(1,COUNTIF(QCI!$A$13:$A$24,OFFSET(ORÇAMENTO!E297,-1,0))),OFFSET(E297,-1,0))</f>
        <v>1</v>
      </c>
      <c r="F297">
        <f t="shared" ca="1" si="71"/>
        <v>16</v>
      </c>
      <c r="G297">
        <f t="shared" ca="1" si="72"/>
        <v>5</v>
      </c>
      <c r="H297">
        <f t="shared" ca="1" si="73"/>
        <v>0</v>
      </c>
      <c r="I297">
        <f t="shared" ca="1" si="74"/>
        <v>0</v>
      </c>
      <c r="J297">
        <f t="shared" ca="1" si="75"/>
        <v>0</v>
      </c>
      <c r="K297">
        <f ca="1">IF(OR($C297="S",$C297=0),0,MATCH(OFFSET($D297,0,$C297)+IF($C297&lt;&gt;1,1,COUNTIF(QCI!$A$13:$A$24,ORÇAMENTO!E297)),OFFSET($D297,1,$C297,ROW($C$405)-ROW($C297)),0))</f>
        <v>0</v>
      </c>
      <c r="L297" s="115" t="str">
        <f t="shared" ca="1" si="76"/>
        <v/>
      </c>
      <c r="M297" s="116" t="s">
        <v>706</v>
      </c>
      <c r="N297" s="117" t="str">
        <f t="shared" ca="1" si="77"/>
        <v>Serviço</v>
      </c>
      <c r="O297" s="118" t="str">
        <f t="shared" ca="1" si="78"/>
        <v>-</v>
      </c>
      <c r="P297" s="119" t="s">
        <v>751</v>
      </c>
      <c r="Q297" s="120" t="s">
        <v>1184</v>
      </c>
      <c r="R297" s="121" t="s">
        <v>1556</v>
      </c>
      <c r="S297" s="122" t="s">
        <v>639</v>
      </c>
      <c r="T297" s="123">
        <f ca="1">OFFSET(CÁLCULO!H$15,ROW($T297)-ROW(T$15),0)</f>
        <v>1</v>
      </c>
      <c r="U297" s="124"/>
      <c r="V297" s="125" t="s">
        <v>663</v>
      </c>
      <c r="W297" s="123">
        <f ca="1">IF($C297="S",ROUND(IF(TIPOORCAMENTO="Proposto",ORÇAMENTO.CustoUnitario*(1+$AH297),ORÇAMENTO.PrecoUnitarioLicitado),15-13*$AF$10),0)</f>
        <v>0</v>
      </c>
      <c r="X297" s="126" cm="1">
        <f t="array" aca="1" ref="X297" ca="1">IF($C297="S",IF(OR(Import.TipoArredondamento&lt;&gt;"TransfereGOV",ACOMPANHAMENTO="BM"),VTOTAL1,SUM(OFFSET(CÁLCULO!$AA$15,ROW($X297)-ROW($X$15),1):OFFSET(CÁLCULO!$AL$15,ROW($X297)-ROW($X$15),-1))),IF($C297=0,0,ROUND(SomaAgrup,15-13*$AF$11)))</f>
        <v>0</v>
      </c>
      <c r="Y297" s="127" t="s">
        <v>752</v>
      </c>
      <c r="Z297" t="str">
        <f t="shared" ca="1" si="79"/>
        <v/>
      </c>
      <c r="AA297" s="128">
        <f ca="1">IF($C297="S",IF($Z297="CP",$X297,IF($Z297="RA",(($X297)*QCI!$AA$3),0)),SomaAgrup)</f>
        <v>0</v>
      </c>
      <c r="AB297" s="129">
        <f t="shared" ca="1" si="80"/>
        <v>0</v>
      </c>
      <c r="AC297" s="567" t="str">
        <f ca="1">IF($N297=""," ",
IF(AND($C297&lt;&gt;"S",OR($R297="",$R297="(digite a descrição aqui)")),"DESCRIÇÃO",
IF(AND($C297="S",OR($Q297&lt;&gt;0,$T297&gt;0,$U297&gt;0),$P297=0),"FONTE",
IF(AND($C297="S",$P297&lt;&gt;0,OR($T297&gt;0,$U297&gt;0),$Q297=0),"CÓDIGO",
IF(AND($C297="S",$P297&lt;&gt;0,$Q297&lt;&gt;0,$R297="(Código não identificado nas referências)"),"CÓDIGO N/ID",
IF(AND($C297="S",OR($R297="",$R297="(digite a descrição aqui)"),OR($Q297&lt;&gt;0,$T297&gt;0,$U297&gt;0)),"DESCRIÇÃO",
IF(AND($C297="S",$P297&lt;&gt;0,$Q297&lt;&gt;0,$S297=""),"UNIDADE",
IF(AND($C297="S",$P297&lt;&gt;0,$Q297&lt;&gt;0,$U297=0),"SEM CUSTO",
IF(AND(TIPOORCAMENTO="Licitado",$AL297=0,$AN297&gt;0),"SEM PREÇO",
IF(AND($C297="S",$P297&lt;&gt;0,$Q297&lt;&gt;0,$U297&gt;0,$V297=0),"BDI",
IF(OR(AND(TIPOORCAMENTO="Proposto",$AG297&lt;&gt;"",$AG297&gt;0,ORÇAMENTO.CustoUnitario&gt;$AG297),AND(TIPOORCAMENTO="LICITADO",ORÇAMENTO.PrecoUnitarioLicitado&gt;$AN297)),"ACIMA REF.",
IF(AND($C297="S",$P297&lt;&gt;0,$Q297&lt;&gt;0,$T297=0,$U297&gt;0),"QUANT.",
IF(AND(Import.TipoArredondamento="TransfereGOV",$L297="F",$C297="S",LEN($Q297)&gt;13),"Código &gt;13",
IF(AND(Import.TipoArredondamento="TransfereGOV",$L297="F",$C297&lt;&gt;"S",LEN($R297)&gt;100),"Descrição &gt;100",
IF(AND(Import.TipoArredondamento="TransfereGOV",$L297="F",$C297="S",LEN($R297)&gt;500),"Descrição &gt;500",
IF(AND(Import.TipoArredondamento="TransfereGOV",$L297="F",$C297="S",LEFT(TRIM(UPPER($P297)),6)&lt;&gt;"SINAPI",ISNA(VLOOKUP(TRIM(UPPER($S297)),ListaTgov.Unidades,1,FALSE))),"Unid. Não Disp",
" "))))))))))))))))</f>
        <v>SEM CUSTO</v>
      </c>
      <c r="AD297" t="str">
        <f ca="1">IF(C297&lt;=CRONO.NivelExibicao,MAX($AD$15:OFFSET(AD297,-1,0))+IF($C297&lt;&gt;1,1,MAX(1,COUNTIF(QCI!$A$13:$A$24,OFFSET($E297,-1,0)))),"")</f>
        <v/>
      </c>
      <c r="AE297" s="7" t="str">
        <f ca="1">IF(AND($C297="S",ORÇAMENTO.CodBarra&lt;&gt;""),IF(ORÇAMENTO.Fonte="",ORÇAMENTO.CodBarra,CONCATENATE(ORÇAMENTO.Fonte," ",ORÇAMENTO.CodBarra)))</f>
        <v>SINAPI 92705</v>
      </c>
      <c r="AF297" s="12" t="str">
        <f ca="1">IF(ISERROR(INDIRECT(ORÇAMENTO.BancoRef)),"(abra o arquivo 'Referência "&amp;Excel_BuiltIn_Database&amp;".xlsm)",IF(OR($C297&lt;&gt;"S",ORÇAMENTO.CodBarra=""),"(Sem Código)",IF(ISERROR(MATCH($AE297,INDIRECT(ORÇAMENTO.BancoRef),0)),"(Código não identificado nas referências)",MATCH($AE297,INDIRECT(ORÇAMENTO.BancoRef),0))))</f>
        <v>(abra o arquivo 'Referência 12-2024.xlsm)</v>
      </c>
      <c r="AG297" s="429">
        <f ca="1">ROUND(IF(DESONERACAO="sim",REFERENCIA.Desonerado,REFERENCIA.NaoDesonerado),2)</f>
        <v>0</v>
      </c>
      <c r="AH297" s="430">
        <f t="shared" ca="1" si="81"/>
        <v>0.31190000000000001</v>
      </c>
      <c r="AJ297" s="432">
        <v>1</v>
      </c>
      <c r="AL297" s="440"/>
      <c r="AM297" s="337">
        <f t="shared" ca="1" si="66"/>
        <v>0</v>
      </c>
      <c r="AN297" s="471">
        <f t="shared" ca="1" si="82"/>
        <v>0</v>
      </c>
    </row>
    <row r="298" spans="1:40" ht="38.25" x14ac:dyDescent="0.2">
      <c r="A298" t="str">
        <f t="shared" si="67"/>
        <v>S</v>
      </c>
      <c r="B298">
        <f t="shared" ca="1" si="68"/>
        <v>3</v>
      </c>
      <c r="C298" t="str">
        <f t="shared" ca="1" si="69"/>
        <v>S</v>
      </c>
      <c r="D298">
        <f t="shared" ca="1" si="70"/>
        <v>0</v>
      </c>
      <c r="E298">
        <f ca="1">IF($C298=1,OFFSET(E298,-1,0)+MAX(1,COUNTIF(QCI!$A$13:$A$24,OFFSET(ORÇAMENTO!E298,-1,0))),OFFSET(E298,-1,0))</f>
        <v>1</v>
      </c>
      <c r="F298">
        <f t="shared" ca="1" si="71"/>
        <v>16</v>
      </c>
      <c r="G298">
        <f t="shared" ca="1" si="72"/>
        <v>5</v>
      </c>
      <c r="H298">
        <f t="shared" ca="1" si="73"/>
        <v>0</v>
      </c>
      <c r="I298">
        <f t="shared" ca="1" si="74"/>
        <v>0</v>
      </c>
      <c r="J298">
        <f t="shared" ca="1" si="75"/>
        <v>0</v>
      </c>
      <c r="K298">
        <f ca="1">IF(OR($C298="S",$C298=0),0,MATCH(OFFSET($D298,0,$C298)+IF($C298&lt;&gt;1,1,COUNTIF(QCI!$A$13:$A$24,ORÇAMENTO!E298)),OFFSET($D298,1,$C298,ROW($C$405)-ROW($C298)),0))</f>
        <v>0</v>
      </c>
      <c r="L298" s="115" t="str">
        <f t="shared" ca="1" si="76"/>
        <v/>
      </c>
      <c r="M298" s="116" t="s">
        <v>706</v>
      </c>
      <c r="N298" s="117" t="str">
        <f t="shared" ca="1" si="77"/>
        <v>Serviço</v>
      </c>
      <c r="O298" s="118" t="str">
        <f t="shared" ca="1" si="78"/>
        <v>-</v>
      </c>
      <c r="P298" s="119" t="s">
        <v>751</v>
      </c>
      <c r="Q298" s="120" t="s">
        <v>1185</v>
      </c>
      <c r="R298" s="121" t="s">
        <v>1557</v>
      </c>
      <c r="S298" s="122" t="s">
        <v>621</v>
      </c>
      <c r="T298" s="123">
        <f ca="1">OFFSET(CÁLCULO!H$15,ROW($T298)-ROW(T$15),0)</f>
        <v>1.5</v>
      </c>
      <c r="U298" s="124"/>
      <c r="V298" s="125" t="s">
        <v>663</v>
      </c>
      <c r="W298" s="123">
        <f ca="1">IF($C298="S",ROUND(IF(TIPOORCAMENTO="Proposto",ORÇAMENTO.CustoUnitario*(1+$AH298),ORÇAMENTO.PrecoUnitarioLicitado),15-13*$AF$10),0)</f>
        <v>0</v>
      </c>
      <c r="X298" s="126" cm="1">
        <f t="array" aca="1" ref="X298" ca="1">IF($C298="S",IF(OR(Import.TipoArredondamento&lt;&gt;"TransfereGOV",ACOMPANHAMENTO="BM"),VTOTAL1,SUM(OFFSET(CÁLCULO!$AA$15,ROW($X298)-ROW($X$15),1):OFFSET(CÁLCULO!$AL$15,ROW($X298)-ROW($X$15),-1))),IF($C298=0,0,ROUND(SomaAgrup,15-13*$AF$11)))</f>
        <v>0</v>
      </c>
      <c r="Y298" s="127" t="s">
        <v>752</v>
      </c>
      <c r="Z298" t="str">
        <f t="shared" ca="1" si="79"/>
        <v/>
      </c>
      <c r="AA298" s="128">
        <f ca="1">IF($C298="S",IF($Z298="CP",$X298,IF($Z298="RA",(($X298)*QCI!$AA$3),0)),SomaAgrup)</f>
        <v>0</v>
      </c>
      <c r="AB298" s="129">
        <f t="shared" ca="1" si="80"/>
        <v>0</v>
      </c>
      <c r="AC298" s="567" t="str">
        <f ca="1">IF($N298=""," ",
IF(AND($C298&lt;&gt;"S",OR($R298="",$R298="(digite a descrição aqui)")),"DESCRIÇÃO",
IF(AND($C298="S",OR($Q298&lt;&gt;0,$T298&gt;0,$U298&gt;0),$P298=0),"FONTE",
IF(AND($C298="S",$P298&lt;&gt;0,OR($T298&gt;0,$U298&gt;0),$Q298=0),"CÓDIGO",
IF(AND($C298="S",$P298&lt;&gt;0,$Q298&lt;&gt;0,$R298="(Código não identificado nas referências)"),"CÓDIGO N/ID",
IF(AND($C298="S",OR($R298="",$R298="(digite a descrição aqui)"),OR($Q298&lt;&gt;0,$T298&gt;0,$U298&gt;0)),"DESCRIÇÃO",
IF(AND($C298="S",$P298&lt;&gt;0,$Q298&lt;&gt;0,$S298=""),"UNIDADE",
IF(AND($C298="S",$P298&lt;&gt;0,$Q298&lt;&gt;0,$U298=0),"SEM CUSTO",
IF(AND(TIPOORCAMENTO="Licitado",$AL298=0,$AN298&gt;0),"SEM PREÇO",
IF(AND($C298="S",$P298&lt;&gt;0,$Q298&lt;&gt;0,$U298&gt;0,$V298=0),"BDI",
IF(OR(AND(TIPOORCAMENTO="Proposto",$AG298&lt;&gt;"",$AG298&gt;0,ORÇAMENTO.CustoUnitario&gt;$AG298),AND(TIPOORCAMENTO="LICITADO",ORÇAMENTO.PrecoUnitarioLicitado&gt;$AN298)),"ACIMA REF.",
IF(AND($C298="S",$P298&lt;&gt;0,$Q298&lt;&gt;0,$T298=0,$U298&gt;0),"QUANT.",
IF(AND(Import.TipoArredondamento="TransfereGOV",$L298="F",$C298="S",LEN($Q298)&gt;13),"Código &gt;13",
IF(AND(Import.TipoArredondamento="TransfereGOV",$L298="F",$C298&lt;&gt;"S",LEN($R298)&gt;100),"Descrição &gt;100",
IF(AND(Import.TipoArredondamento="TransfereGOV",$L298="F",$C298="S",LEN($R298)&gt;500),"Descrição &gt;500",
IF(AND(Import.TipoArredondamento="TransfereGOV",$L298="F",$C298="S",LEFT(TRIM(UPPER($P298)),6)&lt;&gt;"SINAPI",ISNA(VLOOKUP(TRIM(UPPER($S298)),ListaTgov.Unidades,1,FALSE))),"Unid. Não Disp",
" "))))))))))))))))</f>
        <v>SEM CUSTO</v>
      </c>
      <c r="AD298" t="str">
        <f ca="1">IF(C298&lt;=CRONO.NivelExibicao,MAX($AD$15:OFFSET(AD298,-1,0))+IF($C298&lt;&gt;1,1,MAX(1,COUNTIF(QCI!$A$13:$A$24,OFFSET($E298,-1,0)))),"")</f>
        <v/>
      </c>
      <c r="AE298" s="7" t="str">
        <f ca="1">IF(AND($C298="S",ORÇAMENTO.CodBarra&lt;&gt;""),IF(ORÇAMENTO.Fonte="",ORÇAMENTO.CodBarra,CONCATENATE(ORÇAMENTO.Fonte," ",ORÇAMENTO.CodBarra)))</f>
        <v>SINAPI 92687</v>
      </c>
      <c r="AF298" s="12" t="str">
        <f ca="1">IF(ISERROR(INDIRECT(ORÇAMENTO.BancoRef)),"(abra o arquivo 'Referência "&amp;Excel_BuiltIn_Database&amp;".xlsm)",IF(OR($C298&lt;&gt;"S",ORÇAMENTO.CodBarra=""),"(Sem Código)",IF(ISERROR(MATCH($AE298,INDIRECT(ORÇAMENTO.BancoRef),0)),"(Código não identificado nas referências)",MATCH($AE298,INDIRECT(ORÇAMENTO.BancoRef),0))))</f>
        <v>(abra o arquivo 'Referência 12-2024.xlsm)</v>
      </c>
      <c r="AG298" s="429">
        <f ca="1">ROUND(IF(DESONERACAO="sim",REFERENCIA.Desonerado,REFERENCIA.NaoDesonerado),2)</f>
        <v>0</v>
      </c>
      <c r="AH298" s="430">
        <f t="shared" ca="1" si="81"/>
        <v>0.31190000000000001</v>
      </c>
      <c r="AJ298" s="432">
        <v>1.5</v>
      </c>
      <c r="AL298" s="440"/>
      <c r="AM298" s="337">
        <f t="shared" ca="1" si="66"/>
        <v>0</v>
      </c>
      <c r="AN298" s="471">
        <f t="shared" ca="1" si="82"/>
        <v>0</v>
      </c>
    </row>
    <row r="299" spans="1:40" ht="38.25" x14ac:dyDescent="0.2">
      <c r="A299" t="str">
        <f t="shared" si="67"/>
        <v>S</v>
      </c>
      <c r="B299">
        <f t="shared" ca="1" si="68"/>
        <v>3</v>
      </c>
      <c r="C299" t="str">
        <f t="shared" ca="1" si="69"/>
        <v>S</v>
      </c>
      <c r="D299">
        <f t="shared" ca="1" si="70"/>
        <v>0</v>
      </c>
      <c r="E299">
        <f ca="1">IF($C299=1,OFFSET(E299,-1,0)+MAX(1,COUNTIF(QCI!$A$13:$A$24,OFFSET(ORÇAMENTO!E299,-1,0))),OFFSET(E299,-1,0))</f>
        <v>1</v>
      </c>
      <c r="F299">
        <f t="shared" ca="1" si="71"/>
        <v>16</v>
      </c>
      <c r="G299">
        <f t="shared" ca="1" si="72"/>
        <v>5</v>
      </c>
      <c r="H299">
        <f t="shared" ca="1" si="73"/>
        <v>0</v>
      </c>
      <c r="I299">
        <f t="shared" ca="1" si="74"/>
        <v>0</v>
      </c>
      <c r="J299">
        <f t="shared" ca="1" si="75"/>
        <v>0</v>
      </c>
      <c r="K299">
        <f ca="1">IF(OR($C299="S",$C299=0),0,MATCH(OFFSET($D299,0,$C299)+IF($C299&lt;&gt;1,1,COUNTIF(QCI!$A$13:$A$24,ORÇAMENTO!E299)),OFFSET($D299,1,$C299,ROW($C$405)-ROW($C299)),0))</f>
        <v>0</v>
      </c>
      <c r="L299" s="115" t="str">
        <f t="shared" ca="1" si="76"/>
        <v/>
      </c>
      <c r="M299" s="116" t="s">
        <v>706</v>
      </c>
      <c r="N299" s="117" t="str">
        <f t="shared" ca="1" si="77"/>
        <v>Serviço</v>
      </c>
      <c r="O299" s="118" t="str">
        <f t="shared" ca="1" si="78"/>
        <v>-</v>
      </c>
      <c r="P299" s="119" t="s">
        <v>751</v>
      </c>
      <c r="Q299" s="120" t="s">
        <v>1186</v>
      </c>
      <c r="R299" s="121" t="s">
        <v>1558</v>
      </c>
      <c r="S299" s="122" t="s">
        <v>621</v>
      </c>
      <c r="T299" s="123">
        <f ca="1">OFFSET(CÁLCULO!H$15,ROW($T299)-ROW(T$15),0)</f>
        <v>68.5</v>
      </c>
      <c r="U299" s="124"/>
      <c r="V299" s="125" t="s">
        <v>663</v>
      </c>
      <c r="W299" s="123">
        <f ca="1">IF($C299="S",ROUND(IF(TIPOORCAMENTO="Proposto",ORÇAMENTO.CustoUnitario*(1+$AH299),ORÇAMENTO.PrecoUnitarioLicitado),15-13*$AF$10),0)</f>
        <v>0</v>
      </c>
      <c r="X299" s="126" cm="1">
        <f t="array" aca="1" ref="X299" ca="1">IF($C299="S",IF(OR(Import.TipoArredondamento&lt;&gt;"TransfereGOV",ACOMPANHAMENTO="BM"),VTOTAL1,SUM(OFFSET(CÁLCULO!$AA$15,ROW($X299)-ROW($X$15),1):OFFSET(CÁLCULO!$AL$15,ROW($X299)-ROW($X$15),-1))),IF($C299=0,0,ROUND(SomaAgrup,15-13*$AF$11)))</f>
        <v>0</v>
      </c>
      <c r="Y299" s="127" t="s">
        <v>752</v>
      </c>
      <c r="Z299" t="str">
        <f t="shared" ca="1" si="79"/>
        <v/>
      </c>
      <c r="AA299" s="128">
        <f ca="1">IF($C299="S",IF($Z299="CP",$X299,IF($Z299="RA",(($X299)*QCI!$AA$3),0)),SomaAgrup)</f>
        <v>0</v>
      </c>
      <c r="AB299" s="129">
        <f t="shared" ca="1" si="80"/>
        <v>0</v>
      </c>
      <c r="AC299" s="567" t="str">
        <f ca="1">IF($N299=""," ",
IF(AND($C299&lt;&gt;"S",OR($R299="",$R299="(digite a descrição aqui)")),"DESCRIÇÃO",
IF(AND($C299="S",OR($Q299&lt;&gt;0,$T299&gt;0,$U299&gt;0),$P299=0),"FONTE",
IF(AND($C299="S",$P299&lt;&gt;0,OR($T299&gt;0,$U299&gt;0),$Q299=0),"CÓDIGO",
IF(AND($C299="S",$P299&lt;&gt;0,$Q299&lt;&gt;0,$R299="(Código não identificado nas referências)"),"CÓDIGO N/ID",
IF(AND($C299="S",OR($R299="",$R299="(digite a descrição aqui)"),OR($Q299&lt;&gt;0,$T299&gt;0,$U299&gt;0)),"DESCRIÇÃO",
IF(AND($C299="S",$P299&lt;&gt;0,$Q299&lt;&gt;0,$S299=""),"UNIDADE",
IF(AND($C299="S",$P299&lt;&gt;0,$Q299&lt;&gt;0,$U299=0),"SEM CUSTO",
IF(AND(TIPOORCAMENTO="Licitado",$AL299=0,$AN299&gt;0),"SEM PREÇO",
IF(AND($C299="S",$P299&lt;&gt;0,$Q299&lt;&gt;0,$U299&gt;0,$V299=0),"BDI",
IF(OR(AND(TIPOORCAMENTO="Proposto",$AG299&lt;&gt;"",$AG299&gt;0,ORÇAMENTO.CustoUnitario&gt;$AG299),AND(TIPOORCAMENTO="LICITADO",ORÇAMENTO.PrecoUnitarioLicitado&gt;$AN299)),"ACIMA REF.",
IF(AND($C299="S",$P299&lt;&gt;0,$Q299&lt;&gt;0,$T299=0,$U299&gt;0),"QUANT.",
IF(AND(Import.TipoArredondamento="TransfereGOV",$L299="F",$C299="S",LEN($Q299)&gt;13),"Código &gt;13",
IF(AND(Import.TipoArredondamento="TransfereGOV",$L299="F",$C299&lt;&gt;"S",LEN($R299)&gt;100),"Descrição &gt;100",
IF(AND(Import.TipoArredondamento="TransfereGOV",$L299="F",$C299="S",LEN($R299)&gt;500),"Descrição &gt;500",
IF(AND(Import.TipoArredondamento="TransfereGOV",$L299="F",$C299="S",LEFT(TRIM(UPPER($P299)),6)&lt;&gt;"SINAPI",ISNA(VLOOKUP(TRIM(UPPER($S299)),ListaTgov.Unidades,1,FALSE))),"Unid. Não Disp",
" "))))))))))))))))</f>
        <v>SEM CUSTO</v>
      </c>
      <c r="AD299" t="str">
        <f ca="1">IF(C299&lt;=CRONO.NivelExibicao,MAX($AD$15:OFFSET(AD299,-1,0))+IF($C299&lt;&gt;1,1,MAX(1,COUNTIF(QCI!$A$13:$A$24,OFFSET($E299,-1,0)))),"")</f>
        <v/>
      </c>
      <c r="AE299" s="7" t="str">
        <f ca="1">IF(AND($C299="S",ORÇAMENTO.CodBarra&lt;&gt;""),IF(ORÇAMENTO.Fonte="",ORÇAMENTO.CodBarra,CONCATENATE(ORÇAMENTO.Fonte," ",ORÇAMENTO.CodBarra)))</f>
        <v>SINAPI 92688</v>
      </c>
      <c r="AF299" s="12" t="str">
        <f ca="1">IF(ISERROR(INDIRECT(ORÇAMENTO.BancoRef)),"(abra o arquivo 'Referência "&amp;Excel_BuiltIn_Database&amp;".xlsm)",IF(OR($C299&lt;&gt;"S",ORÇAMENTO.CodBarra=""),"(Sem Código)",IF(ISERROR(MATCH($AE299,INDIRECT(ORÇAMENTO.BancoRef),0)),"(Código não identificado nas referências)",MATCH($AE299,INDIRECT(ORÇAMENTO.BancoRef),0))))</f>
        <v>(abra o arquivo 'Referência 12-2024.xlsm)</v>
      </c>
      <c r="AG299" s="429">
        <f ca="1">ROUND(IF(DESONERACAO="sim",REFERENCIA.Desonerado,REFERENCIA.NaoDesonerado),2)</f>
        <v>0</v>
      </c>
      <c r="AH299" s="430">
        <f t="shared" ca="1" si="81"/>
        <v>0.31190000000000001</v>
      </c>
      <c r="AJ299" s="432">
        <v>68.5</v>
      </c>
      <c r="AL299" s="440"/>
      <c r="AM299" s="337">
        <f t="shared" ca="1" si="66"/>
        <v>0</v>
      </c>
      <c r="AN299" s="471">
        <f t="shared" ca="1" si="82"/>
        <v>0</v>
      </c>
    </row>
    <row r="300" spans="1:40" ht="25.5" x14ac:dyDescent="0.2">
      <c r="A300" t="str">
        <f t="shared" si="67"/>
        <v>S</v>
      </c>
      <c r="B300">
        <f t="shared" ca="1" si="68"/>
        <v>3</v>
      </c>
      <c r="C300" t="str">
        <f t="shared" ca="1" si="69"/>
        <v>S</v>
      </c>
      <c r="D300">
        <f t="shared" ca="1" si="70"/>
        <v>0</v>
      </c>
      <c r="E300">
        <f ca="1">IF($C300=1,OFFSET(E300,-1,0)+MAX(1,COUNTIF(QCI!$A$13:$A$24,OFFSET(ORÇAMENTO!E300,-1,0))),OFFSET(E300,-1,0))</f>
        <v>1</v>
      </c>
      <c r="F300">
        <f t="shared" ca="1" si="71"/>
        <v>16</v>
      </c>
      <c r="G300">
        <f t="shared" ca="1" si="72"/>
        <v>5</v>
      </c>
      <c r="H300">
        <f t="shared" ca="1" si="73"/>
        <v>0</v>
      </c>
      <c r="I300">
        <f t="shared" ca="1" si="74"/>
        <v>0</v>
      </c>
      <c r="J300">
        <f t="shared" ca="1" si="75"/>
        <v>0</v>
      </c>
      <c r="K300">
        <f ca="1">IF(OR($C300="S",$C300=0),0,MATCH(OFFSET($D300,0,$C300)+IF($C300&lt;&gt;1,1,COUNTIF(QCI!$A$13:$A$24,ORÇAMENTO!E300)),OFFSET($D300,1,$C300,ROW($C$405)-ROW($C300)),0))</f>
        <v>0</v>
      </c>
      <c r="L300" s="115" t="str">
        <f t="shared" ca="1" si="76"/>
        <v/>
      </c>
      <c r="M300" s="116" t="s">
        <v>706</v>
      </c>
      <c r="N300" s="117" t="str">
        <f t="shared" ca="1" si="77"/>
        <v>Serviço</v>
      </c>
      <c r="O300" s="118" t="str">
        <f t="shared" ca="1" si="78"/>
        <v>-</v>
      </c>
      <c r="P300" s="119" t="s">
        <v>751</v>
      </c>
      <c r="Q300" s="120" t="s">
        <v>1187</v>
      </c>
      <c r="R300" s="121" t="s">
        <v>1559</v>
      </c>
      <c r="S300" s="122" t="s">
        <v>639</v>
      </c>
      <c r="T300" s="123">
        <f ca="1">OFFSET(CÁLCULO!H$15,ROW($T300)-ROW(T$15),0)</f>
        <v>2</v>
      </c>
      <c r="U300" s="124"/>
      <c r="V300" s="125" t="s">
        <v>663</v>
      </c>
      <c r="W300" s="123">
        <f ca="1">IF($C300="S",ROUND(IF(TIPOORCAMENTO="Proposto",ORÇAMENTO.CustoUnitario*(1+$AH300),ORÇAMENTO.PrecoUnitarioLicitado),15-13*$AF$10),0)</f>
        <v>0</v>
      </c>
      <c r="X300" s="126" cm="1">
        <f t="array" aca="1" ref="X300" ca="1">IF($C300="S",IF(OR(Import.TipoArredondamento&lt;&gt;"TransfereGOV",ACOMPANHAMENTO="BM"),VTOTAL1,SUM(OFFSET(CÁLCULO!$AA$15,ROW($X300)-ROW($X$15),1):OFFSET(CÁLCULO!$AL$15,ROW($X300)-ROW($X$15),-1))),IF($C300=0,0,ROUND(SomaAgrup,15-13*$AF$11)))</f>
        <v>0</v>
      </c>
      <c r="Y300" s="127" t="s">
        <v>752</v>
      </c>
      <c r="Z300" t="str">
        <f t="shared" ca="1" si="79"/>
        <v/>
      </c>
      <c r="AA300" s="128">
        <f ca="1">IF($C300="S",IF($Z300="CP",$X300,IF($Z300="RA",(($X300)*QCI!$AA$3),0)),SomaAgrup)</f>
        <v>0</v>
      </c>
      <c r="AB300" s="129">
        <f t="shared" ca="1" si="80"/>
        <v>0</v>
      </c>
      <c r="AC300" s="567" t="str">
        <f ca="1">IF($N300=""," ",
IF(AND($C300&lt;&gt;"S",OR($R300="",$R300="(digite a descrição aqui)")),"DESCRIÇÃO",
IF(AND($C300="S",OR($Q300&lt;&gt;0,$T300&gt;0,$U300&gt;0),$P300=0),"FONTE",
IF(AND($C300="S",$P300&lt;&gt;0,OR($T300&gt;0,$U300&gt;0),$Q300=0),"CÓDIGO",
IF(AND($C300="S",$P300&lt;&gt;0,$Q300&lt;&gt;0,$R300="(Código não identificado nas referências)"),"CÓDIGO N/ID",
IF(AND($C300="S",OR($R300="",$R300="(digite a descrição aqui)"),OR($Q300&lt;&gt;0,$T300&gt;0,$U300&gt;0)),"DESCRIÇÃO",
IF(AND($C300="S",$P300&lt;&gt;0,$Q300&lt;&gt;0,$S300=""),"UNIDADE",
IF(AND($C300="S",$P300&lt;&gt;0,$Q300&lt;&gt;0,$U300=0),"SEM CUSTO",
IF(AND(TIPOORCAMENTO="Licitado",$AL300=0,$AN300&gt;0),"SEM PREÇO",
IF(AND($C300="S",$P300&lt;&gt;0,$Q300&lt;&gt;0,$U300&gt;0,$V300=0),"BDI",
IF(OR(AND(TIPOORCAMENTO="Proposto",$AG300&lt;&gt;"",$AG300&gt;0,ORÇAMENTO.CustoUnitario&gt;$AG300),AND(TIPOORCAMENTO="LICITADO",ORÇAMENTO.PrecoUnitarioLicitado&gt;$AN300)),"ACIMA REF.",
IF(AND($C300="S",$P300&lt;&gt;0,$Q300&lt;&gt;0,$T300=0,$U300&gt;0),"QUANT.",
IF(AND(Import.TipoArredondamento="TransfereGOV",$L300="F",$C300="S",LEN($Q300)&gt;13),"Código &gt;13",
IF(AND(Import.TipoArredondamento="TransfereGOV",$L300="F",$C300&lt;&gt;"S",LEN($R300)&gt;100),"Descrição &gt;100",
IF(AND(Import.TipoArredondamento="TransfereGOV",$L300="F",$C300="S",LEN($R300)&gt;500),"Descrição &gt;500",
IF(AND(Import.TipoArredondamento="TransfereGOV",$L300="F",$C300="S",LEFT(TRIM(UPPER($P300)),6)&lt;&gt;"SINAPI",ISNA(VLOOKUP(TRIM(UPPER($S300)),ListaTgov.Unidades,1,FALSE))),"Unid. Não Disp",
" "))))))))))))))))</f>
        <v>SEM CUSTO</v>
      </c>
      <c r="AD300" t="str">
        <f ca="1">IF(C300&lt;=CRONO.NivelExibicao,MAX($AD$15:OFFSET(AD300,-1,0))+IF($C300&lt;&gt;1,1,MAX(1,COUNTIF(QCI!$A$13:$A$24,OFFSET($E300,-1,0)))),"")</f>
        <v/>
      </c>
      <c r="AE300" s="7" t="str">
        <f ca="1">IF(AND($C300="S",ORÇAMENTO.CodBarra&lt;&gt;""),IF(ORÇAMENTO.Fonte="",ORÇAMENTO.CodBarra,CONCATENATE(ORÇAMENTO.Fonte," ",ORÇAMENTO.CodBarra)))</f>
        <v>SINAPI 103029</v>
      </c>
      <c r="AF300" s="12" t="str">
        <f ca="1">IF(ISERROR(INDIRECT(ORÇAMENTO.BancoRef)),"(abra o arquivo 'Referência "&amp;Excel_BuiltIn_Database&amp;".xlsm)",IF(OR($C300&lt;&gt;"S",ORÇAMENTO.CodBarra=""),"(Sem Código)",IF(ISERROR(MATCH($AE300,INDIRECT(ORÇAMENTO.BancoRef),0)),"(Código não identificado nas referências)",MATCH($AE300,INDIRECT(ORÇAMENTO.BancoRef),0))))</f>
        <v>(abra o arquivo 'Referência 12-2024.xlsm)</v>
      </c>
      <c r="AG300" s="429">
        <f ca="1">ROUND(IF(DESONERACAO="sim",REFERENCIA.Desonerado,REFERENCIA.NaoDesonerado),2)</f>
        <v>0</v>
      </c>
      <c r="AH300" s="430">
        <f t="shared" ca="1" si="81"/>
        <v>0.31190000000000001</v>
      </c>
      <c r="AJ300" s="432">
        <v>2</v>
      </c>
      <c r="AL300" s="440"/>
      <c r="AM300" s="337">
        <f t="shared" ca="1" si="66"/>
        <v>0</v>
      </c>
      <c r="AN300" s="471">
        <f t="shared" ca="1" si="82"/>
        <v>0</v>
      </c>
    </row>
    <row r="301" spans="1:40" ht="25.5" x14ac:dyDescent="0.2">
      <c r="A301" t="str">
        <f t="shared" si="67"/>
        <v>S</v>
      </c>
      <c r="B301">
        <f t="shared" ca="1" si="68"/>
        <v>3</v>
      </c>
      <c r="C301" t="str">
        <f t="shared" ca="1" si="69"/>
        <v>S</v>
      </c>
      <c r="D301">
        <f t="shared" ca="1" si="70"/>
        <v>0</v>
      </c>
      <c r="E301">
        <f ca="1">IF($C301=1,OFFSET(E301,-1,0)+MAX(1,COUNTIF(QCI!$A$13:$A$24,OFFSET(ORÇAMENTO!E301,-1,0))),OFFSET(E301,-1,0))</f>
        <v>1</v>
      </c>
      <c r="F301">
        <f t="shared" ca="1" si="71"/>
        <v>16</v>
      </c>
      <c r="G301">
        <f t="shared" ca="1" si="72"/>
        <v>5</v>
      </c>
      <c r="H301">
        <f t="shared" ca="1" si="73"/>
        <v>0</v>
      </c>
      <c r="I301">
        <f t="shared" ca="1" si="74"/>
        <v>0</v>
      </c>
      <c r="J301">
        <f t="shared" ca="1" si="75"/>
        <v>0</v>
      </c>
      <c r="K301">
        <f ca="1">IF(OR($C301="S",$C301=0),0,MATCH(OFFSET($D301,0,$C301)+IF($C301&lt;&gt;1,1,COUNTIF(QCI!$A$13:$A$24,ORÇAMENTO!E301)),OFFSET($D301,1,$C301,ROW($C$405)-ROW($C301)),0))</f>
        <v>0</v>
      </c>
      <c r="L301" s="115" t="str">
        <f t="shared" ca="1" si="76"/>
        <v/>
      </c>
      <c r="M301" s="116" t="s">
        <v>706</v>
      </c>
      <c r="N301" s="117" t="str">
        <f t="shared" ca="1" si="77"/>
        <v>Serviço</v>
      </c>
      <c r="O301" s="118" t="str">
        <f t="shared" ca="1" si="78"/>
        <v>-</v>
      </c>
      <c r="P301" s="119" t="s">
        <v>1316</v>
      </c>
      <c r="Q301" s="120" t="s">
        <v>1188</v>
      </c>
      <c r="R301" s="121" t="s">
        <v>1302</v>
      </c>
      <c r="S301" s="122" t="s">
        <v>1644</v>
      </c>
      <c r="T301" s="123">
        <f ca="1">OFFSET(CÁLCULO!H$15,ROW($T301)-ROW(T$15),0)</f>
        <v>1</v>
      </c>
      <c r="U301" s="124"/>
      <c r="V301" s="125" t="s">
        <v>663</v>
      </c>
      <c r="W301" s="123">
        <f ca="1">IF($C301="S",ROUND(IF(TIPOORCAMENTO="Proposto",ORÇAMENTO.CustoUnitario*(1+$AH301),ORÇAMENTO.PrecoUnitarioLicitado),15-13*$AF$10),0)</f>
        <v>0</v>
      </c>
      <c r="X301" s="126" cm="1">
        <f t="array" aca="1" ref="X301" ca="1">IF($C301="S",IF(OR(Import.TipoArredondamento&lt;&gt;"TransfereGOV",ACOMPANHAMENTO="BM"),VTOTAL1,SUM(OFFSET(CÁLCULO!$AA$15,ROW($X301)-ROW($X$15),1):OFFSET(CÁLCULO!$AL$15,ROW($X301)-ROW($X$15),-1))),IF($C301=0,0,ROUND(SomaAgrup,15-13*$AF$11)))</f>
        <v>0</v>
      </c>
      <c r="Y301" s="127" t="s">
        <v>752</v>
      </c>
      <c r="Z301" t="str">
        <f t="shared" ca="1" si="79"/>
        <v/>
      </c>
      <c r="AA301" s="128">
        <f ca="1">IF($C301="S",IF($Z301="CP",$X301,IF($Z301="RA",(($X301)*QCI!$AA$3),0)),SomaAgrup)</f>
        <v>0</v>
      </c>
      <c r="AB301" s="129">
        <f t="shared" ca="1" si="80"/>
        <v>0</v>
      </c>
      <c r="AC301" s="567" t="str">
        <f ca="1">IF($N301=""," ",
IF(AND($C301&lt;&gt;"S",OR($R301="",$R301="(digite a descrição aqui)")),"DESCRIÇÃO",
IF(AND($C301="S",OR($Q301&lt;&gt;0,$T301&gt;0,$U301&gt;0),$P301=0),"FONTE",
IF(AND($C301="S",$P301&lt;&gt;0,OR($T301&gt;0,$U301&gt;0),$Q301=0),"CÓDIGO",
IF(AND($C301="S",$P301&lt;&gt;0,$Q301&lt;&gt;0,$R301="(Código não identificado nas referências)"),"CÓDIGO N/ID",
IF(AND($C301="S",OR($R301="",$R301="(digite a descrição aqui)"),OR($Q301&lt;&gt;0,$T301&gt;0,$U301&gt;0)),"DESCRIÇÃO",
IF(AND($C301="S",$P301&lt;&gt;0,$Q301&lt;&gt;0,$S301=""),"UNIDADE",
IF(AND($C301="S",$P301&lt;&gt;0,$Q301&lt;&gt;0,$U301=0),"SEM CUSTO",
IF(AND(TIPOORCAMENTO="Licitado",$AL301=0,$AN301&gt;0),"SEM PREÇO",
IF(AND($C301="S",$P301&lt;&gt;0,$Q301&lt;&gt;0,$U301&gt;0,$V301=0),"BDI",
IF(OR(AND(TIPOORCAMENTO="Proposto",$AG301&lt;&gt;"",$AG301&gt;0,ORÇAMENTO.CustoUnitario&gt;$AG301),AND(TIPOORCAMENTO="LICITADO",ORÇAMENTO.PrecoUnitarioLicitado&gt;$AN301)),"ACIMA REF.",
IF(AND($C301="S",$P301&lt;&gt;0,$Q301&lt;&gt;0,$T301=0,$U301&gt;0),"QUANT.",
IF(AND(Import.TipoArredondamento="TransfereGOV",$L301="F",$C301="S",LEN($Q301)&gt;13),"Código &gt;13",
IF(AND(Import.TipoArredondamento="TransfereGOV",$L301="F",$C301&lt;&gt;"S",LEN($R301)&gt;100),"Descrição &gt;100",
IF(AND(Import.TipoArredondamento="TransfereGOV",$L301="F",$C301="S",LEN($R301)&gt;500),"Descrição &gt;500",
IF(AND(Import.TipoArredondamento="TransfereGOV",$L301="F",$C301="S",LEFT(TRIM(UPPER($P301)),6)&lt;&gt;"SINAPI",ISNA(VLOOKUP(TRIM(UPPER($S301)),ListaTgov.Unidades,1,FALSE))),"Unid. Não Disp",
" "))))))))))))))))</f>
        <v>SEM CUSTO</v>
      </c>
      <c r="AD301" t="str">
        <f ca="1">IF(C301&lt;=CRONO.NivelExibicao,MAX($AD$15:OFFSET(AD301,-1,0))+IF($C301&lt;&gt;1,1,MAX(1,COUNTIF(QCI!$A$13:$A$24,OFFSET($E301,-1,0)))),"")</f>
        <v/>
      </c>
      <c r="AE301" s="7" t="str">
        <f ca="1">IF(AND($C301="S",ORÇAMENTO.CodBarra&lt;&gt;""),IF(ORÇAMENTO.Fonte="",ORÇAMENTO.CodBarra,CONCATENATE(ORÇAMENTO.Fonte," ",ORÇAMENTO.CodBarra)))</f>
        <v>Composiçao 223</v>
      </c>
      <c r="AF301" s="12" t="str">
        <f ca="1">IF(ISERROR(INDIRECT(ORÇAMENTO.BancoRef)),"(abra o arquivo 'Referência "&amp;Excel_BuiltIn_Database&amp;".xlsm)",IF(OR($C301&lt;&gt;"S",ORÇAMENTO.CodBarra=""),"(Sem Código)",IF(ISERROR(MATCH($AE301,INDIRECT(ORÇAMENTO.BancoRef),0)),"(Código não identificado nas referências)",MATCH($AE301,INDIRECT(ORÇAMENTO.BancoRef),0))))</f>
        <v>(abra o arquivo 'Referência 12-2024.xlsm)</v>
      </c>
      <c r="AG301" s="429">
        <f ca="1">ROUND(IF(DESONERACAO="sim",REFERENCIA.Desonerado,REFERENCIA.NaoDesonerado),2)</f>
        <v>0</v>
      </c>
      <c r="AH301" s="430">
        <f t="shared" ca="1" si="81"/>
        <v>0.31190000000000001</v>
      </c>
      <c r="AJ301" s="432">
        <v>1</v>
      </c>
      <c r="AL301" s="440"/>
      <c r="AM301" s="337">
        <f t="shared" ca="1" si="66"/>
        <v>0</v>
      </c>
      <c r="AN301" s="471">
        <f t="shared" ca="1" si="82"/>
        <v>0</v>
      </c>
    </row>
    <row r="302" spans="1:40" x14ac:dyDescent="0.2">
      <c r="A302" t="str">
        <f t="shared" si="67"/>
        <v>S</v>
      </c>
      <c r="B302">
        <f t="shared" ca="1" si="68"/>
        <v>3</v>
      </c>
      <c r="C302" t="str">
        <f t="shared" ca="1" si="69"/>
        <v>S</v>
      </c>
      <c r="D302">
        <f t="shared" ca="1" si="70"/>
        <v>0</v>
      </c>
      <c r="E302">
        <f ca="1">IF($C302=1,OFFSET(E302,-1,0)+MAX(1,COUNTIF(QCI!$A$13:$A$24,OFFSET(ORÇAMENTO!E302,-1,0))),OFFSET(E302,-1,0))</f>
        <v>1</v>
      </c>
      <c r="F302">
        <f t="shared" ca="1" si="71"/>
        <v>16</v>
      </c>
      <c r="G302">
        <f t="shared" ca="1" si="72"/>
        <v>5</v>
      </c>
      <c r="H302">
        <f t="shared" ca="1" si="73"/>
        <v>0</v>
      </c>
      <c r="I302">
        <f t="shared" ca="1" si="74"/>
        <v>0</v>
      </c>
      <c r="J302">
        <f t="shared" ca="1" si="75"/>
        <v>0</v>
      </c>
      <c r="K302">
        <f ca="1">IF(OR($C302="S",$C302=0),0,MATCH(OFFSET($D302,0,$C302)+IF($C302&lt;&gt;1,1,COUNTIF(QCI!$A$13:$A$24,ORÇAMENTO!E302)),OFFSET($D302,1,$C302,ROW($C$405)-ROW($C302)),0))</f>
        <v>0</v>
      </c>
      <c r="L302" s="115" t="str">
        <f t="shared" ca="1" si="76"/>
        <v/>
      </c>
      <c r="M302" s="116" t="s">
        <v>706</v>
      </c>
      <c r="N302" s="117" t="str">
        <f t="shared" ca="1" si="77"/>
        <v>Serviço</v>
      </c>
      <c r="O302" s="118" t="str">
        <f t="shared" ca="1" si="78"/>
        <v>-</v>
      </c>
      <c r="P302" s="119" t="s">
        <v>1319</v>
      </c>
      <c r="Q302" s="120" t="s">
        <v>1189</v>
      </c>
      <c r="R302" s="121" t="s">
        <v>1560</v>
      </c>
      <c r="S302" s="122" t="s">
        <v>1644</v>
      </c>
      <c r="T302" s="123">
        <f ca="1">OFFSET(CÁLCULO!H$15,ROW($T302)-ROW(T$15),0)</f>
        <v>4</v>
      </c>
      <c r="U302" s="124"/>
      <c r="V302" s="125" t="s">
        <v>663</v>
      </c>
      <c r="W302" s="123">
        <f ca="1">IF($C302="S",ROUND(IF(TIPOORCAMENTO="Proposto",ORÇAMENTO.CustoUnitario*(1+$AH302),ORÇAMENTO.PrecoUnitarioLicitado),15-13*$AF$10),0)</f>
        <v>0</v>
      </c>
      <c r="X302" s="126" cm="1">
        <f t="array" aca="1" ref="X302" ca="1">IF($C302="S",IF(OR(Import.TipoArredondamento&lt;&gt;"TransfereGOV",ACOMPANHAMENTO="BM"),VTOTAL1,SUM(OFFSET(CÁLCULO!$AA$15,ROW($X302)-ROW($X$15),1):OFFSET(CÁLCULO!$AL$15,ROW($X302)-ROW($X$15),-1))),IF($C302=0,0,ROUND(SomaAgrup,15-13*$AF$11)))</f>
        <v>0</v>
      </c>
      <c r="Y302" s="127" t="s">
        <v>752</v>
      </c>
      <c r="Z302" t="str">
        <f t="shared" ca="1" si="79"/>
        <v/>
      </c>
      <c r="AA302" s="128">
        <f ca="1">IF($C302="S",IF($Z302="CP",$X302,IF($Z302="RA",(($X302)*QCI!$AA$3),0)),SomaAgrup)</f>
        <v>0</v>
      </c>
      <c r="AB302" s="129">
        <f t="shared" ca="1" si="80"/>
        <v>0</v>
      </c>
      <c r="AC302" s="567" t="str">
        <f ca="1">IF($N302=""," ",
IF(AND($C302&lt;&gt;"S",OR($R302="",$R302="(digite a descrição aqui)")),"DESCRIÇÃO",
IF(AND($C302="S",OR($Q302&lt;&gt;0,$T302&gt;0,$U302&gt;0),$P302=0),"FONTE",
IF(AND($C302="S",$P302&lt;&gt;0,OR($T302&gt;0,$U302&gt;0),$Q302=0),"CÓDIGO",
IF(AND($C302="S",$P302&lt;&gt;0,$Q302&lt;&gt;0,$R302="(Código não identificado nas referências)"),"CÓDIGO N/ID",
IF(AND($C302="S",OR($R302="",$R302="(digite a descrição aqui)"),OR($Q302&lt;&gt;0,$T302&gt;0,$U302&gt;0)),"DESCRIÇÃO",
IF(AND($C302="S",$P302&lt;&gt;0,$Q302&lt;&gt;0,$S302=""),"UNIDADE",
IF(AND($C302="S",$P302&lt;&gt;0,$Q302&lt;&gt;0,$U302=0),"SEM CUSTO",
IF(AND(TIPOORCAMENTO="Licitado",$AL302=0,$AN302&gt;0),"SEM PREÇO",
IF(AND($C302="S",$P302&lt;&gt;0,$Q302&lt;&gt;0,$U302&gt;0,$V302=0),"BDI",
IF(OR(AND(TIPOORCAMENTO="Proposto",$AG302&lt;&gt;"",$AG302&gt;0,ORÇAMENTO.CustoUnitario&gt;$AG302),AND(TIPOORCAMENTO="LICITADO",ORÇAMENTO.PrecoUnitarioLicitado&gt;$AN302)),"ACIMA REF.",
IF(AND($C302="S",$P302&lt;&gt;0,$Q302&lt;&gt;0,$T302=0,$U302&gt;0),"QUANT.",
IF(AND(Import.TipoArredondamento="TransfereGOV",$L302="F",$C302="S",LEN($Q302)&gt;13),"Código &gt;13",
IF(AND(Import.TipoArredondamento="TransfereGOV",$L302="F",$C302&lt;&gt;"S",LEN($R302)&gt;100),"Descrição &gt;100",
IF(AND(Import.TipoArredondamento="TransfereGOV",$L302="F",$C302="S",LEN($R302)&gt;500),"Descrição &gt;500",
IF(AND(Import.TipoArredondamento="TransfereGOV",$L302="F",$C302="S",LEFT(TRIM(UPPER($P302)),6)&lt;&gt;"SINAPI",ISNA(VLOOKUP(TRIM(UPPER($S302)),ListaTgov.Unidades,1,FALSE))),"Unid. Não Disp",
" "))))))))))))))))</f>
        <v>SEM CUSTO</v>
      </c>
      <c r="AD302" t="str">
        <f ca="1">IF(C302&lt;=CRONO.NivelExibicao,MAX($AD$15:OFFSET(AD302,-1,0))+IF($C302&lt;&gt;1,1,MAX(1,COUNTIF(QCI!$A$13:$A$24,OFFSET($E302,-1,0)))),"")</f>
        <v/>
      </c>
      <c r="AE302" s="7" t="str">
        <f ca="1">IF(AND($C302="S",ORÇAMENTO.CodBarra&lt;&gt;""),IF(ORÇAMENTO.Fonte="",ORÇAMENTO.CodBarra,CONCATENATE(ORÇAMENTO.Fonte," ",ORÇAMENTO.CodBarra)))</f>
        <v>FNDE 260</v>
      </c>
      <c r="AF302" s="12" t="str">
        <f ca="1">IF(ISERROR(INDIRECT(ORÇAMENTO.BancoRef)),"(abra o arquivo 'Referência "&amp;Excel_BuiltIn_Database&amp;".xlsm)",IF(OR($C302&lt;&gt;"S",ORÇAMENTO.CodBarra=""),"(Sem Código)",IF(ISERROR(MATCH($AE302,INDIRECT(ORÇAMENTO.BancoRef),0)),"(Código não identificado nas referências)",MATCH($AE302,INDIRECT(ORÇAMENTO.BancoRef),0))))</f>
        <v>(abra o arquivo 'Referência 12-2024.xlsm)</v>
      </c>
      <c r="AG302" s="429">
        <f ca="1">ROUND(IF(DESONERACAO="sim",REFERENCIA.Desonerado,REFERENCIA.NaoDesonerado),2)</f>
        <v>0</v>
      </c>
      <c r="AH302" s="430">
        <f t="shared" ca="1" si="81"/>
        <v>0.31190000000000001</v>
      </c>
      <c r="AJ302" s="432">
        <v>4</v>
      </c>
      <c r="AL302" s="440"/>
      <c r="AM302" s="337">
        <f t="shared" ca="1" si="66"/>
        <v>0</v>
      </c>
      <c r="AN302" s="471">
        <f t="shared" ca="1" si="82"/>
        <v>0</v>
      </c>
    </row>
    <row r="303" spans="1:40" x14ac:dyDescent="0.2">
      <c r="A303">
        <f t="shared" si="67"/>
        <v>3</v>
      </c>
      <c r="B303">
        <f t="shared" ca="1" si="68"/>
        <v>3</v>
      </c>
      <c r="C303">
        <f t="shared" ca="1" si="69"/>
        <v>3</v>
      </c>
      <c r="D303">
        <f t="shared" ca="1" si="70"/>
        <v>22</v>
      </c>
      <c r="E303">
        <f ca="1">IF($C303=1,OFFSET(E303,-1,0)+MAX(1,COUNTIF(QCI!$A$13:$A$24,OFFSET(ORÇAMENTO!E303,-1,0))),OFFSET(E303,-1,0))</f>
        <v>1</v>
      </c>
      <c r="F303">
        <f t="shared" ca="1" si="71"/>
        <v>16</v>
      </c>
      <c r="G303">
        <f t="shared" ca="1" si="72"/>
        <v>6</v>
      </c>
      <c r="H303">
        <f t="shared" ca="1" si="73"/>
        <v>0</v>
      </c>
      <c r="I303">
        <f t="shared" ca="1" si="74"/>
        <v>0</v>
      </c>
      <c r="J303">
        <f t="shared" ca="1" si="75"/>
        <v>22</v>
      </c>
      <c r="K303" t="e">
        <f ca="1">IF(OR($C303="S",$C303=0),0,MATCH(OFFSET($D303,0,$C303)+IF($C303&lt;&gt;1,1,COUNTIF(QCI!$A$13:$A$24,ORÇAMENTO!E303)),OFFSET($D303,1,$C303,ROW($C$405)-ROW($C303)),0))</f>
        <v>#N/A</v>
      </c>
      <c r="L303" s="115" t="str">
        <f t="shared" ca="1" si="76"/>
        <v>F</v>
      </c>
      <c r="M303" s="116" t="s">
        <v>704</v>
      </c>
      <c r="N303" s="117" t="str">
        <f t="shared" ca="1" si="77"/>
        <v>Nível 3</v>
      </c>
      <c r="O303" s="118" t="str">
        <f t="shared" ca="1" si="78"/>
        <v>1.16.6.</v>
      </c>
      <c r="P303" s="119" t="s">
        <v>751</v>
      </c>
      <c r="Q303" s="120"/>
      <c r="R303" s="121" t="s">
        <v>1303</v>
      </c>
      <c r="S303" s="122" t="s">
        <v>689</v>
      </c>
      <c r="T303" s="123">
        <f ca="1">OFFSET(CÁLCULO!H$15,ROW($T303)-ROW(T$15),0)</f>
        <v>0</v>
      </c>
      <c r="U303" s="124"/>
      <c r="V303" s="125" t="s">
        <v>663</v>
      </c>
      <c r="W303" s="123">
        <f ca="1">IF($C303="S",ROUND(IF(TIPOORCAMENTO="Proposto",ORÇAMENTO.CustoUnitario*(1+$AH303),ORÇAMENTO.PrecoUnitarioLicitado),15-13*$AF$10),0)</f>
        <v>0</v>
      </c>
      <c r="X303" s="126" cm="1">
        <f t="array" aca="1" ref="X303" ca="1">IF($C303="S",IF(OR(Import.TipoArredondamento&lt;&gt;"TransfereGOV",ACOMPANHAMENTO="BM"),VTOTAL1,SUM(OFFSET(CÁLCULO!$AA$15,ROW($X303)-ROW($X$15),1):OFFSET(CÁLCULO!$AL$15,ROW($X303)-ROW($X$15),-1))),IF($C303=0,0,ROUND(SomaAgrup,15-13*$AF$11)))</f>
        <v>0</v>
      </c>
      <c r="Y303" s="127" t="s">
        <v>752</v>
      </c>
      <c r="Z303" t="str">
        <f t="shared" ca="1" si="79"/>
        <v/>
      </c>
      <c r="AA303" s="128">
        <f ca="1">IF($C303="S",IF($Z303="CP",$X303,IF($Z303="RA",(($X303)*QCI!$AA$3),0)),SomaAgrup)</f>
        <v>0</v>
      </c>
      <c r="AB303" s="129">
        <f t="shared" ca="1" si="80"/>
        <v>0</v>
      </c>
      <c r="AC303" s="567" t="str">
        <f ca="1">IF($N303=""," ",
IF(AND($C303&lt;&gt;"S",OR($R303="",$R303="(digite a descrição aqui)")),"DESCRIÇÃO",
IF(AND($C303="S",OR($Q303&lt;&gt;0,$T303&gt;0,$U303&gt;0),$P303=0),"FONTE",
IF(AND($C303="S",$P303&lt;&gt;0,OR($T303&gt;0,$U303&gt;0),$Q303=0),"CÓDIGO",
IF(AND($C303="S",$P303&lt;&gt;0,$Q303&lt;&gt;0,$R303="(Código não identificado nas referências)"),"CÓDIGO N/ID",
IF(AND($C303="S",OR($R303="",$R303="(digite a descrição aqui)"),OR($Q303&lt;&gt;0,$T303&gt;0,$U303&gt;0)),"DESCRIÇÃO",
IF(AND($C303="S",$P303&lt;&gt;0,$Q303&lt;&gt;0,$S303=""),"UNIDADE",
IF(AND($C303="S",$P303&lt;&gt;0,$Q303&lt;&gt;0,$U303=0),"SEM CUSTO",
IF(AND(TIPOORCAMENTO="Licitado",$AL303=0,$AN303&gt;0),"SEM PREÇO",
IF(AND($C303="S",$P303&lt;&gt;0,$Q303&lt;&gt;0,$U303&gt;0,$V303=0),"BDI",
IF(OR(AND(TIPOORCAMENTO="Proposto",$AG303&lt;&gt;"",$AG303&gt;0,ORÇAMENTO.CustoUnitario&gt;$AG303),AND(TIPOORCAMENTO="LICITADO",ORÇAMENTO.PrecoUnitarioLicitado&gt;$AN303)),"ACIMA REF.",
IF(AND($C303="S",$P303&lt;&gt;0,$Q303&lt;&gt;0,$T303=0,$U303&gt;0),"QUANT.",
IF(AND(Import.TipoArredondamento="TransfereGOV",$L303="F",$C303="S",LEN($Q303)&gt;13),"Código &gt;13",
IF(AND(Import.TipoArredondamento="TransfereGOV",$L303="F",$C303&lt;&gt;"S",LEN($R303)&gt;100),"Descrição &gt;100",
IF(AND(Import.TipoArredondamento="TransfereGOV",$L303="F",$C303="S",LEN($R303)&gt;500),"Descrição &gt;500",
IF(AND(Import.TipoArredondamento="TransfereGOV",$L303="F",$C303="S",LEFT(TRIM(UPPER($P303)),6)&lt;&gt;"SINAPI",ISNA(VLOOKUP(TRIM(UPPER($S303)),ListaTgov.Unidades,1,FALSE))),"Unid. Não Disp",
" "))))))))))))))))</f>
        <v xml:space="preserve"> </v>
      </c>
      <c r="AD303" t="str">
        <f ca="1">IF(C303&lt;=CRONO.NivelExibicao,MAX($AD$15:OFFSET(AD303,-1,0))+IF($C303&lt;&gt;1,1,MAX(1,COUNTIF(QCI!$A$13:$A$24,OFFSET($E303,-1,0)))),"")</f>
        <v/>
      </c>
      <c r="AE303" s="7" t="b">
        <f ca="1">IF(AND($C303="S",ORÇAMENTO.CodBarra&lt;&gt;""),IF(ORÇAMENTO.Fonte="",ORÇAMENTO.CodBarra,CONCATENATE(ORÇAMENTO.Fonte," ",ORÇAMENTO.CodBarra)))</f>
        <v>0</v>
      </c>
      <c r="AF303" s="12" t="str">
        <f ca="1">IF(ISERROR(INDIRECT(ORÇAMENTO.BancoRef)),"(abra o arquivo 'Referência "&amp;Excel_BuiltIn_Database&amp;".xlsm)",IF(OR($C303&lt;&gt;"S",ORÇAMENTO.CodBarra=""),"(Sem Código)",IF(ISERROR(MATCH($AE303,INDIRECT(ORÇAMENTO.BancoRef),0)),"(Código não identificado nas referências)",MATCH($AE303,INDIRECT(ORÇAMENTO.BancoRef),0))))</f>
        <v>(abra o arquivo 'Referência 12-2024.xlsm)</v>
      </c>
      <c r="AG303" s="429">
        <f ca="1">ROUND(IF(DESONERACAO="sim",REFERENCIA.Desonerado,REFERENCIA.NaoDesonerado),2)</f>
        <v>0</v>
      </c>
      <c r="AH303" s="430">
        <f t="shared" ca="1" si="81"/>
        <v>0.31190000000000001</v>
      </c>
      <c r="AJ303" s="432"/>
      <c r="AL303" s="440"/>
      <c r="AM303" s="337">
        <f t="shared" ca="1" si="66"/>
        <v>0</v>
      </c>
      <c r="AN303" s="471">
        <f t="shared" ca="1" si="82"/>
        <v>0</v>
      </c>
    </row>
    <row r="304" spans="1:40" ht="51" x14ac:dyDescent="0.2">
      <c r="A304" t="str">
        <f t="shared" si="67"/>
        <v>S</v>
      </c>
      <c r="B304">
        <f t="shared" ca="1" si="68"/>
        <v>3</v>
      </c>
      <c r="C304" t="str">
        <f t="shared" ca="1" si="69"/>
        <v>S</v>
      </c>
      <c r="D304">
        <f t="shared" ca="1" si="70"/>
        <v>0</v>
      </c>
      <c r="E304">
        <f ca="1">IF($C304=1,OFFSET(E304,-1,0)+MAX(1,COUNTIF(QCI!$A$13:$A$24,OFFSET(ORÇAMENTO!E304,-1,0))),OFFSET(E304,-1,0))</f>
        <v>1</v>
      </c>
      <c r="F304">
        <f t="shared" ca="1" si="71"/>
        <v>16</v>
      </c>
      <c r="G304">
        <f t="shared" ca="1" si="72"/>
        <v>6</v>
      </c>
      <c r="H304">
        <f t="shared" ca="1" si="73"/>
        <v>0</v>
      </c>
      <c r="I304">
        <f t="shared" ca="1" si="74"/>
        <v>0</v>
      </c>
      <c r="J304">
        <f t="shared" ca="1" si="75"/>
        <v>0</v>
      </c>
      <c r="K304">
        <f ca="1">IF(OR($C304="S",$C304=0),0,MATCH(OFFSET($D304,0,$C304)+IF($C304&lt;&gt;1,1,COUNTIF(QCI!$A$13:$A$24,ORÇAMENTO!E304)),OFFSET($D304,1,$C304,ROW($C$405)-ROW($C304)),0))</f>
        <v>0</v>
      </c>
      <c r="L304" s="115" t="str">
        <f t="shared" ca="1" si="76"/>
        <v/>
      </c>
      <c r="M304" s="116" t="s">
        <v>706</v>
      </c>
      <c r="N304" s="117" t="str">
        <f t="shared" ca="1" si="77"/>
        <v>Serviço</v>
      </c>
      <c r="O304" s="118" t="str">
        <f t="shared" ca="1" si="78"/>
        <v>-</v>
      </c>
      <c r="P304" s="119" t="s">
        <v>751</v>
      </c>
      <c r="Q304" s="120" t="s">
        <v>1190</v>
      </c>
      <c r="R304" s="121" t="s">
        <v>1561</v>
      </c>
      <c r="S304" s="122" t="s">
        <v>621</v>
      </c>
      <c r="T304" s="123">
        <f ca="1">OFFSET(CÁLCULO!H$15,ROW($T304)-ROW(T$15),0)</f>
        <v>57.6</v>
      </c>
      <c r="U304" s="124"/>
      <c r="V304" s="125" t="s">
        <v>663</v>
      </c>
      <c r="W304" s="123">
        <f ca="1">IF($C304="S",ROUND(IF(TIPOORCAMENTO="Proposto",ORÇAMENTO.CustoUnitario*(1+$AH304),ORÇAMENTO.PrecoUnitarioLicitado),15-13*$AF$10),0)</f>
        <v>0</v>
      </c>
      <c r="X304" s="126" cm="1">
        <f t="array" aca="1" ref="X304" ca="1">IF($C304="S",IF(OR(Import.TipoArredondamento&lt;&gt;"TransfereGOV",ACOMPANHAMENTO="BM"),VTOTAL1,SUM(OFFSET(CÁLCULO!$AA$15,ROW($X304)-ROW($X$15),1):OFFSET(CÁLCULO!$AL$15,ROW($X304)-ROW($X$15),-1))),IF($C304=0,0,ROUND(SomaAgrup,15-13*$AF$11)))</f>
        <v>0</v>
      </c>
      <c r="Y304" s="127" t="s">
        <v>752</v>
      </c>
      <c r="Z304" t="str">
        <f t="shared" ca="1" si="79"/>
        <v/>
      </c>
      <c r="AA304" s="128">
        <f ca="1">IF($C304="S",IF($Z304="CP",$X304,IF($Z304="RA",(($X304)*QCI!$AA$3),0)),SomaAgrup)</f>
        <v>0</v>
      </c>
      <c r="AB304" s="129">
        <f t="shared" ca="1" si="80"/>
        <v>0</v>
      </c>
      <c r="AC304" s="567" t="str">
        <f ca="1">IF($N304=""," ",
IF(AND($C304&lt;&gt;"S",OR($R304="",$R304="(digite a descrição aqui)")),"DESCRIÇÃO",
IF(AND($C304="S",OR($Q304&lt;&gt;0,$T304&gt;0,$U304&gt;0),$P304=0),"FONTE",
IF(AND($C304="S",$P304&lt;&gt;0,OR($T304&gt;0,$U304&gt;0),$Q304=0),"CÓDIGO",
IF(AND($C304="S",$P304&lt;&gt;0,$Q304&lt;&gt;0,$R304="(Código não identificado nas referências)"),"CÓDIGO N/ID",
IF(AND($C304="S",OR($R304="",$R304="(digite a descrição aqui)"),OR($Q304&lt;&gt;0,$T304&gt;0,$U304&gt;0)),"DESCRIÇÃO",
IF(AND($C304="S",$P304&lt;&gt;0,$Q304&lt;&gt;0,$S304=""),"UNIDADE",
IF(AND($C304="S",$P304&lt;&gt;0,$Q304&lt;&gt;0,$U304=0),"SEM CUSTO",
IF(AND(TIPOORCAMENTO="Licitado",$AL304=0,$AN304&gt;0),"SEM PREÇO",
IF(AND($C304="S",$P304&lt;&gt;0,$Q304&lt;&gt;0,$U304&gt;0,$V304=0),"BDI",
IF(OR(AND(TIPOORCAMENTO="Proposto",$AG304&lt;&gt;"",$AG304&gt;0,ORÇAMENTO.CustoUnitario&gt;$AG304),AND(TIPOORCAMENTO="LICITADO",ORÇAMENTO.PrecoUnitarioLicitado&gt;$AN304)),"ACIMA REF.",
IF(AND($C304="S",$P304&lt;&gt;0,$Q304&lt;&gt;0,$T304=0,$U304&gt;0),"QUANT.",
IF(AND(Import.TipoArredondamento="TransfereGOV",$L304="F",$C304="S",LEN($Q304)&gt;13),"Código &gt;13",
IF(AND(Import.TipoArredondamento="TransfereGOV",$L304="F",$C304&lt;&gt;"S",LEN($R304)&gt;100),"Descrição &gt;100",
IF(AND(Import.TipoArredondamento="TransfereGOV",$L304="F",$C304="S",LEN($R304)&gt;500),"Descrição &gt;500",
IF(AND(Import.TipoArredondamento="TransfereGOV",$L304="F",$C304="S",LEFT(TRIM(UPPER($P304)),6)&lt;&gt;"SINAPI",ISNA(VLOOKUP(TRIM(UPPER($S304)),ListaTgov.Unidades,1,FALSE))),"Unid. Não Disp",
" "))))))))))))))))</f>
        <v>SEM CUSTO</v>
      </c>
      <c r="AD304" t="str">
        <f ca="1">IF(C304&lt;=CRONO.NivelExibicao,MAX($AD$15:OFFSET(AD304,-1,0))+IF($C304&lt;&gt;1,1,MAX(1,COUNTIF(QCI!$A$13:$A$24,OFFSET($E304,-1,0)))),"")</f>
        <v/>
      </c>
      <c r="AE304" s="7" t="str">
        <f ca="1">IF(AND($C304="S",ORÇAMENTO.CodBarra&lt;&gt;""),IF(ORÇAMENTO.Fonte="",ORÇAMENTO.CodBarra,CONCATENATE(ORÇAMENTO.Fonte," ",ORÇAMENTO.CodBarra)))</f>
        <v>SINAPI 92367</v>
      </c>
      <c r="AF304" s="12" t="str">
        <f ca="1">IF(ISERROR(INDIRECT(ORÇAMENTO.BancoRef)),"(abra o arquivo 'Referência "&amp;Excel_BuiltIn_Database&amp;".xlsm)",IF(OR($C304&lt;&gt;"S",ORÇAMENTO.CodBarra=""),"(Sem Código)",IF(ISERROR(MATCH($AE304,INDIRECT(ORÇAMENTO.BancoRef),0)),"(Código não identificado nas referências)",MATCH($AE304,INDIRECT(ORÇAMENTO.BancoRef),0))))</f>
        <v>(abra o arquivo 'Referência 12-2024.xlsm)</v>
      </c>
      <c r="AG304" s="429">
        <f ca="1">ROUND(IF(DESONERACAO="sim",REFERENCIA.Desonerado,REFERENCIA.NaoDesonerado),2)</f>
        <v>0</v>
      </c>
      <c r="AH304" s="430">
        <f t="shared" ca="1" si="81"/>
        <v>0.31190000000000001</v>
      </c>
      <c r="AJ304" s="432">
        <v>57.6</v>
      </c>
      <c r="AL304" s="440"/>
      <c r="AM304" s="337">
        <f t="shared" ca="1" si="66"/>
        <v>0</v>
      </c>
      <c r="AN304" s="471">
        <f t="shared" ca="1" si="82"/>
        <v>0</v>
      </c>
    </row>
    <row r="305" spans="1:40" ht="38.25" x14ac:dyDescent="0.2">
      <c r="A305" t="str">
        <f t="shared" si="67"/>
        <v>S</v>
      </c>
      <c r="B305">
        <f t="shared" ca="1" si="68"/>
        <v>3</v>
      </c>
      <c r="C305" t="str">
        <f t="shared" ca="1" si="69"/>
        <v>S</v>
      </c>
      <c r="D305">
        <f t="shared" ca="1" si="70"/>
        <v>0</v>
      </c>
      <c r="E305">
        <f ca="1">IF($C305=1,OFFSET(E305,-1,0)+MAX(1,COUNTIF(QCI!$A$13:$A$24,OFFSET(ORÇAMENTO!E305,-1,0))),OFFSET(E305,-1,0))</f>
        <v>1</v>
      </c>
      <c r="F305">
        <f t="shared" ca="1" si="71"/>
        <v>16</v>
      </c>
      <c r="G305">
        <f t="shared" ca="1" si="72"/>
        <v>6</v>
      </c>
      <c r="H305">
        <f t="shared" ca="1" si="73"/>
        <v>0</v>
      </c>
      <c r="I305">
        <f t="shared" ca="1" si="74"/>
        <v>0</v>
      </c>
      <c r="J305">
        <f t="shared" ca="1" si="75"/>
        <v>0</v>
      </c>
      <c r="K305">
        <f ca="1">IF(OR($C305="S",$C305=0),0,MATCH(OFFSET($D305,0,$C305)+IF($C305&lt;&gt;1,1,COUNTIF(QCI!$A$13:$A$24,ORÇAMENTO!E305)),OFFSET($D305,1,$C305,ROW($C$405)-ROW($C305)),0))</f>
        <v>0</v>
      </c>
      <c r="L305" s="115" t="str">
        <f t="shared" ca="1" si="76"/>
        <v/>
      </c>
      <c r="M305" s="116" t="s">
        <v>706</v>
      </c>
      <c r="N305" s="117" t="str">
        <f t="shared" ca="1" si="77"/>
        <v>Serviço</v>
      </c>
      <c r="O305" s="118" t="str">
        <f t="shared" ca="1" si="78"/>
        <v>-</v>
      </c>
      <c r="P305" s="119" t="s">
        <v>751</v>
      </c>
      <c r="Q305" s="120" t="s">
        <v>1191</v>
      </c>
      <c r="R305" s="121" t="s">
        <v>1562</v>
      </c>
      <c r="S305" s="122" t="s">
        <v>639</v>
      </c>
      <c r="T305" s="123">
        <f ca="1">OFFSET(CÁLCULO!H$15,ROW($T305)-ROW(T$15),0)</f>
        <v>6</v>
      </c>
      <c r="U305" s="124"/>
      <c r="V305" s="125" t="s">
        <v>663</v>
      </c>
      <c r="W305" s="123">
        <f ca="1">IF($C305="S",ROUND(IF(TIPOORCAMENTO="Proposto",ORÇAMENTO.CustoUnitario*(1+$AH305),ORÇAMENTO.PrecoUnitarioLicitado),15-13*$AF$10),0)</f>
        <v>0</v>
      </c>
      <c r="X305" s="126" cm="1">
        <f t="array" aca="1" ref="X305" ca="1">IF($C305="S",IF(OR(Import.TipoArredondamento&lt;&gt;"TransfereGOV",ACOMPANHAMENTO="BM"),VTOTAL1,SUM(OFFSET(CÁLCULO!$AA$15,ROW($X305)-ROW($X$15),1):OFFSET(CÁLCULO!$AL$15,ROW($X305)-ROW($X$15),-1))),IF($C305=0,0,ROUND(SomaAgrup,15-13*$AF$11)))</f>
        <v>0</v>
      </c>
      <c r="Y305" s="127" t="s">
        <v>752</v>
      </c>
      <c r="Z305" t="str">
        <f t="shared" ca="1" si="79"/>
        <v/>
      </c>
      <c r="AA305" s="128">
        <f ca="1">IF($C305="S",IF($Z305="CP",$X305,IF($Z305="RA",(($X305)*QCI!$AA$3),0)),SomaAgrup)</f>
        <v>0</v>
      </c>
      <c r="AB305" s="129">
        <f t="shared" ca="1" si="80"/>
        <v>0</v>
      </c>
      <c r="AC305" s="567" t="str">
        <f ca="1">IF($N305=""," ",
IF(AND($C305&lt;&gt;"S",OR($R305="",$R305="(digite a descrição aqui)")),"DESCRIÇÃO",
IF(AND($C305="S",OR($Q305&lt;&gt;0,$T305&gt;0,$U305&gt;0),$P305=0),"FONTE",
IF(AND($C305="S",$P305&lt;&gt;0,OR($T305&gt;0,$U305&gt;0),$Q305=0),"CÓDIGO",
IF(AND($C305="S",$P305&lt;&gt;0,$Q305&lt;&gt;0,$R305="(Código não identificado nas referências)"),"CÓDIGO N/ID",
IF(AND($C305="S",OR($R305="",$R305="(digite a descrição aqui)"),OR($Q305&lt;&gt;0,$T305&gt;0,$U305&gt;0)),"DESCRIÇÃO",
IF(AND($C305="S",$P305&lt;&gt;0,$Q305&lt;&gt;0,$S305=""),"UNIDADE",
IF(AND($C305="S",$P305&lt;&gt;0,$Q305&lt;&gt;0,$U305=0),"SEM CUSTO",
IF(AND(TIPOORCAMENTO="Licitado",$AL305=0,$AN305&gt;0),"SEM PREÇO",
IF(AND($C305="S",$P305&lt;&gt;0,$Q305&lt;&gt;0,$U305&gt;0,$V305=0),"BDI",
IF(OR(AND(TIPOORCAMENTO="Proposto",$AG305&lt;&gt;"",$AG305&gt;0,ORÇAMENTO.CustoUnitario&gt;$AG305),AND(TIPOORCAMENTO="LICITADO",ORÇAMENTO.PrecoUnitarioLicitado&gt;$AN305)),"ACIMA REF.",
IF(AND($C305="S",$P305&lt;&gt;0,$Q305&lt;&gt;0,$T305=0,$U305&gt;0),"QUANT.",
IF(AND(Import.TipoArredondamento="TransfereGOV",$L305="F",$C305="S",LEN($Q305)&gt;13),"Código &gt;13",
IF(AND(Import.TipoArredondamento="TransfereGOV",$L305="F",$C305&lt;&gt;"S",LEN($R305)&gt;100),"Descrição &gt;100",
IF(AND(Import.TipoArredondamento="TransfereGOV",$L305="F",$C305="S",LEN($R305)&gt;500),"Descrição &gt;500",
IF(AND(Import.TipoArredondamento="TransfereGOV",$L305="F",$C305="S",LEFT(TRIM(UPPER($P305)),6)&lt;&gt;"SINAPI",ISNA(VLOOKUP(TRIM(UPPER($S305)),ListaTgov.Unidades,1,FALSE))),"Unid. Não Disp",
" "))))))))))))))))</f>
        <v>SEM CUSTO</v>
      </c>
      <c r="AD305" t="str">
        <f ca="1">IF(C305&lt;=CRONO.NivelExibicao,MAX($AD$15:OFFSET(AD305,-1,0))+IF($C305&lt;&gt;1,1,MAX(1,COUNTIF(QCI!$A$13:$A$24,OFFSET($E305,-1,0)))),"")</f>
        <v/>
      </c>
      <c r="AE305" s="7" t="str">
        <f ca="1">IF(AND($C305="S",ORÇAMENTO.CodBarra&lt;&gt;""),IF(ORÇAMENTO.Fonte="",ORÇAMENTO.CodBarra,CONCATENATE(ORÇAMENTO.Fonte," ",ORÇAMENTO.CodBarra)))</f>
        <v>SINAPI 92390</v>
      </c>
      <c r="AF305" s="12" t="str">
        <f ca="1">IF(ISERROR(INDIRECT(ORÇAMENTO.BancoRef)),"(abra o arquivo 'Referência "&amp;Excel_BuiltIn_Database&amp;".xlsm)",IF(OR($C305&lt;&gt;"S",ORÇAMENTO.CodBarra=""),"(Sem Código)",IF(ISERROR(MATCH($AE305,INDIRECT(ORÇAMENTO.BancoRef),0)),"(Código não identificado nas referências)",MATCH($AE305,INDIRECT(ORÇAMENTO.BancoRef),0))))</f>
        <v>(abra o arquivo 'Referência 12-2024.xlsm)</v>
      </c>
      <c r="AG305" s="429">
        <f ca="1">ROUND(IF(DESONERACAO="sim",REFERENCIA.Desonerado,REFERENCIA.NaoDesonerado),2)</f>
        <v>0</v>
      </c>
      <c r="AH305" s="430">
        <f t="shared" ca="1" si="81"/>
        <v>0.31190000000000001</v>
      </c>
      <c r="AJ305" s="432">
        <v>6</v>
      </c>
      <c r="AL305" s="440"/>
      <c r="AM305" s="337">
        <f t="shared" ca="1" si="66"/>
        <v>0</v>
      </c>
      <c r="AN305" s="471">
        <f t="shared" ca="1" si="82"/>
        <v>0</v>
      </c>
    </row>
    <row r="306" spans="1:40" ht="38.25" x14ac:dyDescent="0.2">
      <c r="A306" t="str">
        <f t="shared" si="67"/>
        <v>S</v>
      </c>
      <c r="B306">
        <f t="shared" ca="1" si="68"/>
        <v>3</v>
      </c>
      <c r="C306" t="str">
        <f t="shared" ca="1" si="69"/>
        <v>S</v>
      </c>
      <c r="D306">
        <f t="shared" ca="1" si="70"/>
        <v>0</v>
      </c>
      <c r="E306">
        <f ca="1">IF($C306=1,OFFSET(E306,-1,0)+MAX(1,COUNTIF(QCI!$A$13:$A$24,OFFSET(ORÇAMENTO!E306,-1,0))),OFFSET(E306,-1,0))</f>
        <v>1</v>
      </c>
      <c r="F306">
        <f t="shared" ca="1" si="71"/>
        <v>16</v>
      </c>
      <c r="G306">
        <f t="shared" ca="1" si="72"/>
        <v>6</v>
      </c>
      <c r="H306">
        <f t="shared" ca="1" si="73"/>
        <v>0</v>
      </c>
      <c r="I306">
        <f t="shared" ca="1" si="74"/>
        <v>0</v>
      </c>
      <c r="J306">
        <f t="shared" ca="1" si="75"/>
        <v>0</v>
      </c>
      <c r="K306">
        <f ca="1">IF(OR($C306="S",$C306=0),0,MATCH(OFFSET($D306,0,$C306)+IF($C306&lt;&gt;1,1,COUNTIF(QCI!$A$13:$A$24,ORÇAMENTO!E306)),OFFSET($D306,1,$C306,ROW($C$405)-ROW($C306)),0))</f>
        <v>0</v>
      </c>
      <c r="L306" s="115" t="str">
        <f t="shared" ca="1" si="76"/>
        <v/>
      </c>
      <c r="M306" s="116" t="s">
        <v>706</v>
      </c>
      <c r="N306" s="117" t="str">
        <f t="shared" ca="1" si="77"/>
        <v>Serviço</v>
      </c>
      <c r="O306" s="118" t="str">
        <f t="shared" ca="1" si="78"/>
        <v>-</v>
      </c>
      <c r="P306" s="119" t="s">
        <v>751</v>
      </c>
      <c r="Q306" s="120" t="s">
        <v>1192</v>
      </c>
      <c r="R306" s="121" t="s">
        <v>1563</v>
      </c>
      <c r="S306" s="122" t="s">
        <v>639</v>
      </c>
      <c r="T306" s="123">
        <f ca="1">OFFSET(CÁLCULO!H$15,ROW($T306)-ROW(T$15),0)</f>
        <v>2</v>
      </c>
      <c r="U306" s="124"/>
      <c r="V306" s="125" t="s">
        <v>663</v>
      </c>
      <c r="W306" s="123">
        <f ca="1">IF($C306="S",ROUND(IF(TIPOORCAMENTO="Proposto",ORÇAMENTO.CustoUnitario*(1+$AH306),ORÇAMENTO.PrecoUnitarioLicitado),15-13*$AF$10),0)</f>
        <v>0</v>
      </c>
      <c r="X306" s="126" cm="1">
        <f t="array" aca="1" ref="X306" ca="1">IF($C306="S",IF(OR(Import.TipoArredondamento&lt;&gt;"TransfereGOV",ACOMPANHAMENTO="BM"),VTOTAL1,SUM(OFFSET(CÁLCULO!$AA$15,ROW($X306)-ROW($X$15),1):OFFSET(CÁLCULO!$AL$15,ROW($X306)-ROW($X$15),-1))),IF($C306=0,0,ROUND(SomaAgrup,15-13*$AF$11)))</f>
        <v>0</v>
      </c>
      <c r="Y306" s="127" t="s">
        <v>752</v>
      </c>
      <c r="Z306" t="str">
        <f t="shared" ca="1" si="79"/>
        <v/>
      </c>
      <c r="AA306" s="128">
        <f ca="1">IF($C306="S",IF($Z306="CP",$X306,IF($Z306="RA",(($X306)*QCI!$AA$3),0)),SomaAgrup)</f>
        <v>0</v>
      </c>
      <c r="AB306" s="129">
        <f t="shared" ca="1" si="80"/>
        <v>0</v>
      </c>
      <c r="AC306" s="567" t="str">
        <f ca="1">IF($N306=""," ",
IF(AND($C306&lt;&gt;"S",OR($R306="",$R306="(digite a descrição aqui)")),"DESCRIÇÃO",
IF(AND($C306="S",OR($Q306&lt;&gt;0,$T306&gt;0,$U306&gt;0),$P306=0),"FONTE",
IF(AND($C306="S",$P306&lt;&gt;0,OR($T306&gt;0,$U306&gt;0),$Q306=0),"CÓDIGO",
IF(AND($C306="S",$P306&lt;&gt;0,$Q306&lt;&gt;0,$R306="(Código não identificado nas referências)"),"CÓDIGO N/ID",
IF(AND($C306="S",OR($R306="",$R306="(digite a descrição aqui)"),OR($Q306&lt;&gt;0,$T306&gt;0,$U306&gt;0)),"DESCRIÇÃO",
IF(AND($C306="S",$P306&lt;&gt;0,$Q306&lt;&gt;0,$S306=""),"UNIDADE",
IF(AND($C306="S",$P306&lt;&gt;0,$Q306&lt;&gt;0,$U306=0),"SEM CUSTO",
IF(AND(TIPOORCAMENTO="Licitado",$AL306=0,$AN306&gt;0),"SEM PREÇO",
IF(AND($C306="S",$P306&lt;&gt;0,$Q306&lt;&gt;0,$U306&gt;0,$V306=0),"BDI",
IF(OR(AND(TIPOORCAMENTO="Proposto",$AG306&lt;&gt;"",$AG306&gt;0,ORÇAMENTO.CustoUnitario&gt;$AG306),AND(TIPOORCAMENTO="LICITADO",ORÇAMENTO.PrecoUnitarioLicitado&gt;$AN306)),"ACIMA REF.",
IF(AND($C306="S",$P306&lt;&gt;0,$Q306&lt;&gt;0,$T306=0,$U306&gt;0),"QUANT.",
IF(AND(Import.TipoArredondamento="TransfereGOV",$L306="F",$C306="S",LEN($Q306)&gt;13),"Código &gt;13",
IF(AND(Import.TipoArredondamento="TransfereGOV",$L306="F",$C306&lt;&gt;"S",LEN($R306)&gt;100),"Descrição &gt;100",
IF(AND(Import.TipoArredondamento="TransfereGOV",$L306="F",$C306="S",LEN($R306)&gt;500),"Descrição &gt;500",
IF(AND(Import.TipoArredondamento="TransfereGOV",$L306="F",$C306="S",LEFT(TRIM(UPPER($P306)),6)&lt;&gt;"SINAPI",ISNA(VLOOKUP(TRIM(UPPER($S306)),ListaTgov.Unidades,1,FALSE))),"Unid. Não Disp",
" "))))))))))))))))</f>
        <v>SEM CUSTO</v>
      </c>
      <c r="AD306" t="str">
        <f ca="1">IF(C306&lt;=CRONO.NivelExibicao,MAX($AD$15:OFFSET(AD306,-1,0))+IF($C306&lt;&gt;1,1,MAX(1,COUNTIF(QCI!$A$13:$A$24,OFFSET($E306,-1,0)))),"")</f>
        <v/>
      </c>
      <c r="AE306" s="7" t="str">
        <f ca="1">IF(AND($C306="S",ORÇAMENTO.CodBarra&lt;&gt;""),IF(ORÇAMENTO.Fonte="",ORÇAMENTO.CodBarra,CONCATENATE(ORÇAMENTO.Fonte," ",ORÇAMENTO.CodBarra)))</f>
        <v>SINAPI 105208</v>
      </c>
      <c r="AF306" s="12" t="str">
        <f ca="1">IF(ISERROR(INDIRECT(ORÇAMENTO.BancoRef)),"(abra o arquivo 'Referência "&amp;Excel_BuiltIn_Database&amp;".xlsm)",IF(OR($C306&lt;&gt;"S",ORÇAMENTO.CodBarra=""),"(Sem Código)",IF(ISERROR(MATCH($AE306,INDIRECT(ORÇAMENTO.BancoRef),0)),"(Código não identificado nas referências)",MATCH($AE306,INDIRECT(ORÇAMENTO.BancoRef),0))))</f>
        <v>(abra o arquivo 'Referência 12-2024.xlsm)</v>
      </c>
      <c r="AG306" s="429">
        <f ca="1">ROUND(IF(DESONERACAO="sim",REFERENCIA.Desonerado,REFERENCIA.NaoDesonerado),2)</f>
        <v>0</v>
      </c>
      <c r="AH306" s="430">
        <f t="shared" ca="1" si="81"/>
        <v>0.31190000000000001</v>
      </c>
      <c r="AJ306" s="432">
        <v>2</v>
      </c>
      <c r="AL306" s="440"/>
      <c r="AM306" s="337">
        <f t="shared" ca="1" si="66"/>
        <v>0</v>
      </c>
      <c r="AN306" s="471">
        <f t="shared" ca="1" si="82"/>
        <v>0</v>
      </c>
    </row>
    <row r="307" spans="1:40" ht="38.25" x14ac:dyDescent="0.2">
      <c r="A307" t="str">
        <f t="shared" si="67"/>
        <v>S</v>
      </c>
      <c r="B307">
        <f t="shared" ca="1" si="68"/>
        <v>3</v>
      </c>
      <c r="C307" t="str">
        <f t="shared" ca="1" si="69"/>
        <v>S</v>
      </c>
      <c r="D307">
        <f t="shared" ca="1" si="70"/>
        <v>0</v>
      </c>
      <c r="E307">
        <f ca="1">IF($C307=1,OFFSET(E307,-1,0)+MAX(1,COUNTIF(QCI!$A$13:$A$24,OFFSET(ORÇAMENTO!E307,-1,0))),OFFSET(E307,-1,0))</f>
        <v>1</v>
      </c>
      <c r="F307">
        <f t="shared" ca="1" si="71"/>
        <v>16</v>
      </c>
      <c r="G307">
        <f t="shared" ca="1" si="72"/>
        <v>6</v>
      </c>
      <c r="H307">
        <f t="shared" ca="1" si="73"/>
        <v>0</v>
      </c>
      <c r="I307">
        <f t="shared" ca="1" si="74"/>
        <v>0</v>
      </c>
      <c r="J307">
        <f t="shared" ca="1" si="75"/>
        <v>0</v>
      </c>
      <c r="K307">
        <f ca="1">IF(OR($C307="S",$C307=0),0,MATCH(OFFSET($D307,0,$C307)+IF($C307&lt;&gt;1,1,COUNTIF(QCI!$A$13:$A$24,ORÇAMENTO!E307)),OFFSET($D307,1,$C307,ROW($C$405)-ROW($C307)),0))</f>
        <v>0</v>
      </c>
      <c r="L307" s="115" t="str">
        <f t="shared" ca="1" si="76"/>
        <v/>
      </c>
      <c r="M307" s="116" t="s">
        <v>706</v>
      </c>
      <c r="N307" s="117" t="str">
        <f t="shared" ca="1" si="77"/>
        <v>Serviço</v>
      </c>
      <c r="O307" s="118" t="str">
        <f t="shared" ca="1" si="78"/>
        <v>-</v>
      </c>
      <c r="P307" s="119" t="s">
        <v>751</v>
      </c>
      <c r="Q307" s="120" t="s">
        <v>1193</v>
      </c>
      <c r="R307" s="121" t="s">
        <v>1564</v>
      </c>
      <c r="S307" s="122" t="s">
        <v>639</v>
      </c>
      <c r="T307" s="123">
        <f ca="1">OFFSET(CÁLCULO!H$15,ROW($T307)-ROW(T$15),0)</f>
        <v>3</v>
      </c>
      <c r="U307" s="124"/>
      <c r="V307" s="125" t="s">
        <v>663</v>
      </c>
      <c r="W307" s="123">
        <f ca="1">IF($C307="S",ROUND(IF(TIPOORCAMENTO="Proposto",ORÇAMENTO.CustoUnitario*(1+$AH307),ORÇAMENTO.PrecoUnitarioLicitado),15-13*$AF$10),0)</f>
        <v>0</v>
      </c>
      <c r="X307" s="126" cm="1">
        <f t="array" aca="1" ref="X307" ca="1">IF($C307="S",IF(OR(Import.TipoArredondamento&lt;&gt;"TransfereGOV",ACOMPANHAMENTO="BM"),VTOTAL1,SUM(OFFSET(CÁLCULO!$AA$15,ROW($X307)-ROW($X$15),1):OFFSET(CÁLCULO!$AL$15,ROW($X307)-ROW($X$15),-1))),IF($C307=0,0,ROUND(SomaAgrup,15-13*$AF$11)))</f>
        <v>0</v>
      </c>
      <c r="Y307" s="127" t="s">
        <v>752</v>
      </c>
      <c r="Z307" t="str">
        <f t="shared" ca="1" si="79"/>
        <v/>
      </c>
      <c r="AA307" s="128">
        <f ca="1">IF($C307="S",IF($Z307="CP",$X307,IF($Z307="RA",(($X307)*QCI!$AA$3),0)),SomaAgrup)</f>
        <v>0</v>
      </c>
      <c r="AB307" s="129">
        <f t="shared" ca="1" si="80"/>
        <v>0</v>
      </c>
      <c r="AC307" s="567" t="str">
        <f ca="1">IF($N307=""," ",
IF(AND($C307&lt;&gt;"S",OR($R307="",$R307="(digite a descrição aqui)")),"DESCRIÇÃO",
IF(AND($C307="S",OR($Q307&lt;&gt;0,$T307&gt;0,$U307&gt;0),$P307=0),"FONTE",
IF(AND($C307="S",$P307&lt;&gt;0,OR($T307&gt;0,$U307&gt;0),$Q307=0),"CÓDIGO",
IF(AND($C307="S",$P307&lt;&gt;0,$Q307&lt;&gt;0,$R307="(Código não identificado nas referências)"),"CÓDIGO N/ID",
IF(AND($C307="S",OR($R307="",$R307="(digite a descrição aqui)"),OR($Q307&lt;&gt;0,$T307&gt;0,$U307&gt;0)),"DESCRIÇÃO",
IF(AND($C307="S",$P307&lt;&gt;0,$Q307&lt;&gt;0,$S307=""),"UNIDADE",
IF(AND($C307="S",$P307&lt;&gt;0,$Q307&lt;&gt;0,$U307=0),"SEM CUSTO",
IF(AND(TIPOORCAMENTO="Licitado",$AL307=0,$AN307&gt;0),"SEM PREÇO",
IF(AND($C307="S",$P307&lt;&gt;0,$Q307&lt;&gt;0,$U307&gt;0,$V307=0),"BDI",
IF(OR(AND(TIPOORCAMENTO="Proposto",$AG307&lt;&gt;"",$AG307&gt;0,ORÇAMENTO.CustoUnitario&gt;$AG307),AND(TIPOORCAMENTO="LICITADO",ORÇAMENTO.PrecoUnitarioLicitado&gt;$AN307)),"ACIMA REF.",
IF(AND($C307="S",$P307&lt;&gt;0,$Q307&lt;&gt;0,$T307=0,$U307&gt;0),"QUANT.",
IF(AND(Import.TipoArredondamento="TransfereGOV",$L307="F",$C307="S",LEN($Q307)&gt;13),"Código &gt;13",
IF(AND(Import.TipoArredondamento="TransfereGOV",$L307="F",$C307&lt;&gt;"S",LEN($R307)&gt;100),"Descrição &gt;100",
IF(AND(Import.TipoArredondamento="TransfereGOV",$L307="F",$C307="S",LEN($R307)&gt;500),"Descrição &gt;500",
IF(AND(Import.TipoArredondamento="TransfereGOV",$L307="F",$C307="S",LEFT(TRIM(UPPER($P307)),6)&lt;&gt;"SINAPI",ISNA(VLOOKUP(TRIM(UPPER($S307)),ListaTgov.Unidades,1,FALSE))),"Unid. Não Disp",
" "))))))))))))))))</f>
        <v>SEM CUSTO</v>
      </c>
      <c r="AD307" t="str">
        <f ca="1">IF(C307&lt;=CRONO.NivelExibicao,MAX($AD$15:OFFSET(AD307,-1,0))+IF($C307&lt;&gt;1,1,MAX(1,COUNTIF(QCI!$A$13:$A$24,OFFSET($E307,-1,0)))),"")</f>
        <v/>
      </c>
      <c r="AE307" s="7" t="str">
        <f ca="1">IF(AND($C307="S",ORÇAMENTO.CodBarra&lt;&gt;""),IF(ORÇAMENTO.Fonte="",ORÇAMENTO.CodBarra,CONCATENATE(ORÇAMENTO.Fonte," ",ORÇAMENTO.CodBarra)))</f>
        <v>SINAPI 92642</v>
      </c>
      <c r="AF307" s="12" t="str">
        <f ca="1">IF(ISERROR(INDIRECT(ORÇAMENTO.BancoRef)),"(abra o arquivo 'Referência "&amp;Excel_BuiltIn_Database&amp;".xlsm)",IF(OR($C307&lt;&gt;"S",ORÇAMENTO.CodBarra=""),"(Sem Código)",IF(ISERROR(MATCH($AE307,INDIRECT(ORÇAMENTO.BancoRef),0)),"(Código não identificado nas referências)",MATCH($AE307,INDIRECT(ORÇAMENTO.BancoRef),0))))</f>
        <v>(abra o arquivo 'Referência 12-2024.xlsm)</v>
      </c>
      <c r="AG307" s="429">
        <f ca="1">ROUND(IF(DESONERACAO="sim",REFERENCIA.Desonerado,REFERENCIA.NaoDesonerado),2)</f>
        <v>0</v>
      </c>
      <c r="AH307" s="430">
        <f t="shared" ca="1" si="81"/>
        <v>0.31190000000000001</v>
      </c>
      <c r="AJ307" s="432">
        <v>3</v>
      </c>
      <c r="AL307" s="440"/>
      <c r="AM307" s="337">
        <f t="shared" ca="1" si="66"/>
        <v>0</v>
      </c>
      <c r="AN307" s="471">
        <f t="shared" ca="1" si="82"/>
        <v>0</v>
      </c>
    </row>
    <row r="308" spans="1:40" ht="38.25" x14ac:dyDescent="0.2">
      <c r="A308" t="str">
        <f t="shared" si="67"/>
        <v>S</v>
      </c>
      <c r="B308">
        <f t="shared" ca="1" si="68"/>
        <v>3</v>
      </c>
      <c r="C308" t="str">
        <f t="shared" ca="1" si="69"/>
        <v>S</v>
      </c>
      <c r="D308">
        <f t="shared" ca="1" si="70"/>
        <v>0</v>
      </c>
      <c r="E308">
        <f ca="1">IF($C308=1,OFFSET(E308,-1,0)+MAX(1,COUNTIF(QCI!$A$13:$A$24,OFFSET(ORÇAMENTO!E308,-1,0))),OFFSET(E308,-1,0))</f>
        <v>1</v>
      </c>
      <c r="F308">
        <f t="shared" ca="1" si="71"/>
        <v>16</v>
      </c>
      <c r="G308">
        <f t="shared" ca="1" si="72"/>
        <v>6</v>
      </c>
      <c r="H308">
        <f t="shared" ca="1" si="73"/>
        <v>0</v>
      </c>
      <c r="I308">
        <f t="shared" ca="1" si="74"/>
        <v>0</v>
      </c>
      <c r="J308">
        <f t="shared" ca="1" si="75"/>
        <v>0</v>
      </c>
      <c r="K308">
        <f ca="1">IF(OR($C308="S",$C308=0),0,MATCH(OFFSET($D308,0,$C308)+IF($C308&lt;&gt;1,1,COUNTIF(QCI!$A$13:$A$24,ORÇAMENTO!E308)),OFFSET($D308,1,$C308,ROW($C$405)-ROW($C308)),0))</f>
        <v>0</v>
      </c>
      <c r="L308" s="115" t="str">
        <f t="shared" ca="1" si="76"/>
        <v/>
      </c>
      <c r="M308" s="116" t="s">
        <v>706</v>
      </c>
      <c r="N308" s="117" t="str">
        <f t="shared" ca="1" si="77"/>
        <v>Serviço</v>
      </c>
      <c r="O308" s="118" t="str">
        <f t="shared" ca="1" si="78"/>
        <v>-</v>
      </c>
      <c r="P308" s="119" t="s">
        <v>751</v>
      </c>
      <c r="Q308" s="120" t="s">
        <v>1194</v>
      </c>
      <c r="R308" s="121" t="s">
        <v>1565</v>
      </c>
      <c r="S308" s="122" t="s">
        <v>639</v>
      </c>
      <c r="T308" s="123">
        <f ca="1">OFFSET(CÁLCULO!H$15,ROW($T308)-ROW(T$15),0)</f>
        <v>6</v>
      </c>
      <c r="U308" s="124"/>
      <c r="V308" s="125" t="s">
        <v>663</v>
      </c>
      <c r="W308" s="123">
        <f ca="1">IF($C308="S",ROUND(IF(TIPOORCAMENTO="Proposto",ORÇAMENTO.CustoUnitario*(1+$AH308),ORÇAMENTO.PrecoUnitarioLicitado),15-13*$AF$10),0)</f>
        <v>0</v>
      </c>
      <c r="X308" s="126" cm="1">
        <f t="array" aca="1" ref="X308" ca="1">IF($C308="S",IF(OR(Import.TipoArredondamento&lt;&gt;"TransfereGOV",ACOMPANHAMENTO="BM"),VTOTAL1,SUM(OFFSET(CÁLCULO!$AA$15,ROW($X308)-ROW($X$15),1):OFFSET(CÁLCULO!$AL$15,ROW($X308)-ROW($X$15),-1))),IF($C308=0,0,ROUND(SomaAgrup,15-13*$AF$11)))</f>
        <v>0</v>
      </c>
      <c r="Y308" s="127" t="s">
        <v>752</v>
      </c>
      <c r="Z308" t="str">
        <f t="shared" ca="1" si="79"/>
        <v/>
      </c>
      <c r="AA308" s="128">
        <f ca="1">IF($C308="S",IF($Z308="CP",$X308,IF($Z308="RA",(($X308)*QCI!$AA$3),0)),SomaAgrup)</f>
        <v>0</v>
      </c>
      <c r="AB308" s="129">
        <f t="shared" ca="1" si="80"/>
        <v>0</v>
      </c>
      <c r="AC308" s="567" t="str">
        <f ca="1">IF($N308=""," ",
IF(AND($C308&lt;&gt;"S",OR($R308="",$R308="(digite a descrição aqui)")),"DESCRIÇÃO",
IF(AND($C308="S",OR($Q308&lt;&gt;0,$T308&gt;0,$U308&gt;0),$P308=0),"FONTE",
IF(AND($C308="S",$P308&lt;&gt;0,OR($T308&gt;0,$U308&gt;0),$Q308=0),"CÓDIGO",
IF(AND($C308="S",$P308&lt;&gt;0,$Q308&lt;&gt;0,$R308="(Código não identificado nas referências)"),"CÓDIGO N/ID",
IF(AND($C308="S",OR($R308="",$R308="(digite a descrição aqui)"),OR($Q308&lt;&gt;0,$T308&gt;0,$U308&gt;0)),"DESCRIÇÃO",
IF(AND($C308="S",$P308&lt;&gt;0,$Q308&lt;&gt;0,$S308=""),"UNIDADE",
IF(AND($C308="S",$P308&lt;&gt;0,$Q308&lt;&gt;0,$U308=0),"SEM CUSTO",
IF(AND(TIPOORCAMENTO="Licitado",$AL308=0,$AN308&gt;0),"SEM PREÇO",
IF(AND($C308="S",$P308&lt;&gt;0,$Q308&lt;&gt;0,$U308&gt;0,$V308=0),"BDI",
IF(OR(AND(TIPOORCAMENTO="Proposto",$AG308&lt;&gt;"",$AG308&gt;0,ORÇAMENTO.CustoUnitario&gt;$AG308),AND(TIPOORCAMENTO="LICITADO",ORÇAMENTO.PrecoUnitarioLicitado&gt;$AN308)),"ACIMA REF.",
IF(AND($C308="S",$P308&lt;&gt;0,$Q308&lt;&gt;0,$T308=0,$U308&gt;0),"QUANT.",
IF(AND(Import.TipoArredondamento="TransfereGOV",$L308="F",$C308="S",LEN($Q308)&gt;13),"Código &gt;13",
IF(AND(Import.TipoArredondamento="TransfereGOV",$L308="F",$C308&lt;&gt;"S",LEN($R308)&gt;100),"Descrição &gt;100",
IF(AND(Import.TipoArredondamento="TransfereGOV",$L308="F",$C308="S",LEN($R308)&gt;500),"Descrição &gt;500",
IF(AND(Import.TipoArredondamento="TransfereGOV",$L308="F",$C308="S",LEFT(TRIM(UPPER($P308)),6)&lt;&gt;"SINAPI",ISNA(VLOOKUP(TRIM(UPPER($S308)),ListaTgov.Unidades,1,FALSE))),"Unid. Não Disp",
" "))))))))))))))))</f>
        <v>SEM CUSTO</v>
      </c>
      <c r="AD308" t="str">
        <f ca="1">IF(C308&lt;=CRONO.NivelExibicao,MAX($AD$15:OFFSET(AD308,-1,0))+IF($C308&lt;&gt;1,1,MAX(1,COUNTIF(QCI!$A$13:$A$24,OFFSET($E308,-1,0)))),"")</f>
        <v/>
      </c>
      <c r="AE308" s="7" t="str">
        <f ca="1">IF(AND($C308="S",ORÇAMENTO.CodBarra&lt;&gt;""),IF(ORÇAMENTO.Fonte="",ORÇAMENTO.CodBarra,CONCATENATE(ORÇAMENTO.Fonte," ",ORÇAMENTO.CodBarra)))</f>
        <v>SINAPI 92377</v>
      </c>
      <c r="AF308" s="12" t="str">
        <f ca="1">IF(ISERROR(INDIRECT(ORÇAMENTO.BancoRef)),"(abra o arquivo 'Referência "&amp;Excel_BuiltIn_Database&amp;".xlsm)",IF(OR($C308&lt;&gt;"S",ORÇAMENTO.CodBarra=""),"(Sem Código)",IF(ISERROR(MATCH($AE308,INDIRECT(ORÇAMENTO.BancoRef),0)),"(Código não identificado nas referências)",MATCH($AE308,INDIRECT(ORÇAMENTO.BancoRef),0))))</f>
        <v>(abra o arquivo 'Referência 12-2024.xlsm)</v>
      </c>
      <c r="AG308" s="429">
        <f ca="1">ROUND(IF(DESONERACAO="sim",REFERENCIA.Desonerado,REFERENCIA.NaoDesonerado),2)</f>
        <v>0</v>
      </c>
      <c r="AH308" s="430">
        <f t="shared" ca="1" si="81"/>
        <v>0.31190000000000001</v>
      </c>
      <c r="AJ308" s="432">
        <v>6</v>
      </c>
      <c r="AL308" s="440"/>
      <c r="AM308" s="337">
        <f t="shared" ca="1" si="66"/>
        <v>0</v>
      </c>
      <c r="AN308" s="471">
        <f t="shared" ca="1" si="82"/>
        <v>0</v>
      </c>
    </row>
    <row r="309" spans="1:40" ht="25.5" x14ac:dyDescent="0.2">
      <c r="A309" t="str">
        <f t="shared" si="67"/>
        <v>S</v>
      </c>
      <c r="B309">
        <f t="shared" ca="1" si="68"/>
        <v>3</v>
      </c>
      <c r="C309" t="str">
        <f t="shared" ca="1" si="69"/>
        <v>S</v>
      </c>
      <c r="D309">
        <f t="shared" ca="1" si="70"/>
        <v>0</v>
      </c>
      <c r="E309">
        <f ca="1">IF($C309=1,OFFSET(E309,-1,0)+MAX(1,COUNTIF(QCI!$A$13:$A$24,OFFSET(ORÇAMENTO!E309,-1,0))),OFFSET(E309,-1,0))</f>
        <v>1</v>
      </c>
      <c r="F309">
        <f t="shared" ca="1" si="71"/>
        <v>16</v>
      </c>
      <c r="G309">
        <f t="shared" ca="1" si="72"/>
        <v>6</v>
      </c>
      <c r="H309">
        <f t="shared" ca="1" si="73"/>
        <v>0</v>
      </c>
      <c r="I309">
        <f t="shared" ca="1" si="74"/>
        <v>0</v>
      </c>
      <c r="J309">
        <f t="shared" ca="1" si="75"/>
        <v>0</v>
      </c>
      <c r="K309">
        <f ca="1">IF(OR($C309="S",$C309=0),0,MATCH(OFFSET($D309,0,$C309)+IF($C309&lt;&gt;1,1,COUNTIF(QCI!$A$13:$A$24,ORÇAMENTO!E309)),OFFSET($D309,1,$C309,ROW($C$405)-ROW($C309)),0))</f>
        <v>0</v>
      </c>
      <c r="L309" s="115" t="str">
        <f t="shared" ca="1" si="76"/>
        <v/>
      </c>
      <c r="M309" s="116" t="s">
        <v>706</v>
      </c>
      <c r="N309" s="117" t="str">
        <f t="shared" ca="1" si="77"/>
        <v>Serviço</v>
      </c>
      <c r="O309" s="118" t="str">
        <f t="shared" ca="1" si="78"/>
        <v>-</v>
      </c>
      <c r="P309" s="119" t="s">
        <v>1315</v>
      </c>
      <c r="Q309" s="120" t="s">
        <v>1195</v>
      </c>
      <c r="R309" s="121" t="s">
        <v>1566</v>
      </c>
      <c r="S309" s="122" t="s">
        <v>1644</v>
      </c>
      <c r="T309" s="123">
        <f ca="1">OFFSET(CÁLCULO!H$15,ROW($T309)-ROW(T$15),0)</f>
        <v>2</v>
      </c>
      <c r="U309" s="124"/>
      <c r="V309" s="125" t="s">
        <v>663</v>
      </c>
      <c r="W309" s="123">
        <f ca="1">IF($C309="S",ROUND(IF(TIPOORCAMENTO="Proposto",ORÇAMENTO.CustoUnitario*(1+$AH309),ORÇAMENTO.PrecoUnitarioLicitado),15-13*$AF$10),0)</f>
        <v>0</v>
      </c>
      <c r="X309" s="126" cm="1">
        <f t="array" aca="1" ref="X309" ca="1">IF($C309="S",IF(OR(Import.TipoArredondamento&lt;&gt;"TransfereGOV",ACOMPANHAMENTO="BM"),VTOTAL1,SUM(OFFSET(CÁLCULO!$AA$15,ROW($X309)-ROW($X$15),1):OFFSET(CÁLCULO!$AL$15,ROW($X309)-ROW($X$15),-1))),IF($C309=0,0,ROUND(SomaAgrup,15-13*$AF$11)))</f>
        <v>0</v>
      </c>
      <c r="Y309" s="127" t="s">
        <v>752</v>
      </c>
      <c r="Z309" t="str">
        <f t="shared" ca="1" si="79"/>
        <v/>
      </c>
      <c r="AA309" s="128">
        <f ca="1">IF($C309="S",IF($Z309="CP",$X309,IF($Z309="RA",(($X309)*QCI!$AA$3),0)),SomaAgrup)</f>
        <v>0</v>
      </c>
      <c r="AB309" s="129">
        <f t="shared" ca="1" si="80"/>
        <v>0</v>
      </c>
      <c r="AC309" s="567" t="str">
        <f ca="1">IF($N309=""," ",
IF(AND($C309&lt;&gt;"S",OR($R309="",$R309="(digite a descrição aqui)")),"DESCRIÇÃO",
IF(AND($C309="S",OR($Q309&lt;&gt;0,$T309&gt;0,$U309&gt;0),$P309=0),"FONTE",
IF(AND($C309="S",$P309&lt;&gt;0,OR($T309&gt;0,$U309&gt;0),$Q309=0),"CÓDIGO",
IF(AND($C309="S",$P309&lt;&gt;0,$Q309&lt;&gt;0,$R309="(Código não identificado nas referências)"),"CÓDIGO N/ID",
IF(AND($C309="S",OR($R309="",$R309="(digite a descrição aqui)"),OR($Q309&lt;&gt;0,$T309&gt;0,$U309&gt;0)),"DESCRIÇÃO",
IF(AND($C309="S",$P309&lt;&gt;0,$Q309&lt;&gt;0,$S309=""),"UNIDADE",
IF(AND($C309="S",$P309&lt;&gt;0,$Q309&lt;&gt;0,$U309=0),"SEM CUSTO",
IF(AND(TIPOORCAMENTO="Licitado",$AL309=0,$AN309&gt;0),"SEM PREÇO",
IF(AND($C309="S",$P309&lt;&gt;0,$Q309&lt;&gt;0,$U309&gt;0,$V309=0),"BDI",
IF(OR(AND(TIPOORCAMENTO="Proposto",$AG309&lt;&gt;"",$AG309&gt;0,ORÇAMENTO.CustoUnitario&gt;$AG309),AND(TIPOORCAMENTO="LICITADO",ORÇAMENTO.PrecoUnitarioLicitado&gt;$AN309)),"ACIMA REF.",
IF(AND($C309="S",$P309&lt;&gt;0,$Q309&lt;&gt;0,$T309=0,$U309&gt;0),"QUANT.",
IF(AND(Import.TipoArredondamento="TransfereGOV",$L309="F",$C309="S",LEN($Q309)&gt;13),"Código &gt;13",
IF(AND(Import.TipoArredondamento="TransfereGOV",$L309="F",$C309&lt;&gt;"S",LEN($R309)&gt;100),"Descrição &gt;100",
IF(AND(Import.TipoArredondamento="TransfereGOV",$L309="F",$C309="S",LEN($R309)&gt;500),"Descrição &gt;500",
IF(AND(Import.TipoArredondamento="TransfereGOV",$L309="F",$C309="S",LEFT(TRIM(UPPER($P309)),6)&lt;&gt;"SINAPI",ISNA(VLOOKUP(TRIM(UPPER($S309)),ListaTgov.Unidades,1,FALSE))),"Unid. Não Disp",
" "))))))))))))))))</f>
        <v>SEM CUSTO</v>
      </c>
      <c r="AD309" t="str">
        <f ca="1">IF(C309&lt;=CRONO.NivelExibicao,MAX($AD$15:OFFSET(AD309,-1,0))+IF($C309&lt;&gt;1,1,MAX(1,COUNTIF(QCI!$A$13:$A$24,OFFSET($E309,-1,0)))),"")</f>
        <v/>
      </c>
      <c r="AE309" s="7" t="str">
        <f ca="1">IF(AND($C309="S",ORÇAMENTO.CodBarra&lt;&gt;""),IF(ORÇAMENTO.Fonte="",ORÇAMENTO.CodBarra,CONCATENATE(ORÇAMENTO.Fonte," ",ORÇAMENTO.CodBarra)))</f>
        <v>SINAPI-I 10900</v>
      </c>
      <c r="AF309" s="12" t="str">
        <f ca="1">IF(ISERROR(INDIRECT(ORÇAMENTO.BancoRef)),"(abra o arquivo 'Referência "&amp;Excel_BuiltIn_Database&amp;".xlsm)",IF(OR($C309&lt;&gt;"S",ORÇAMENTO.CodBarra=""),"(Sem Código)",IF(ISERROR(MATCH($AE309,INDIRECT(ORÇAMENTO.BancoRef),0)),"(Código não identificado nas referências)",MATCH($AE309,INDIRECT(ORÇAMENTO.BancoRef),0))))</f>
        <v>(abra o arquivo 'Referência 12-2024.xlsm)</v>
      </c>
      <c r="AG309" s="429">
        <f ca="1">ROUND(IF(DESONERACAO="sim",REFERENCIA.Desonerado,REFERENCIA.NaoDesonerado),2)</f>
        <v>0</v>
      </c>
      <c r="AH309" s="430">
        <f t="shared" ca="1" si="81"/>
        <v>0.31190000000000001</v>
      </c>
      <c r="AJ309" s="432">
        <v>2</v>
      </c>
      <c r="AL309" s="440"/>
      <c r="AM309" s="337">
        <f t="shared" ca="1" si="66"/>
        <v>0</v>
      </c>
      <c r="AN309" s="471">
        <f t="shared" ca="1" si="82"/>
        <v>0</v>
      </c>
    </row>
    <row r="310" spans="1:40" ht="25.5" x14ac:dyDescent="0.2">
      <c r="A310" t="str">
        <f t="shared" si="67"/>
        <v>S</v>
      </c>
      <c r="B310">
        <f t="shared" ca="1" si="68"/>
        <v>3</v>
      </c>
      <c r="C310" t="str">
        <f t="shared" ca="1" si="69"/>
        <v>S</v>
      </c>
      <c r="D310">
        <f t="shared" ca="1" si="70"/>
        <v>0</v>
      </c>
      <c r="E310">
        <f ca="1">IF($C310=1,OFFSET(E310,-1,0)+MAX(1,COUNTIF(QCI!$A$13:$A$24,OFFSET(ORÇAMENTO!E310,-1,0))),OFFSET(E310,-1,0))</f>
        <v>1</v>
      </c>
      <c r="F310">
        <f t="shared" ca="1" si="71"/>
        <v>16</v>
      </c>
      <c r="G310">
        <f t="shared" ca="1" si="72"/>
        <v>6</v>
      </c>
      <c r="H310">
        <f t="shared" ca="1" si="73"/>
        <v>0</v>
      </c>
      <c r="I310">
        <f t="shared" ca="1" si="74"/>
        <v>0</v>
      </c>
      <c r="J310">
        <f t="shared" ca="1" si="75"/>
        <v>0</v>
      </c>
      <c r="K310">
        <f ca="1">IF(OR($C310="S",$C310=0),0,MATCH(OFFSET($D310,0,$C310)+IF($C310&lt;&gt;1,1,COUNTIF(QCI!$A$13:$A$24,ORÇAMENTO!E310)),OFFSET($D310,1,$C310,ROW($C$405)-ROW($C310)),0))</f>
        <v>0</v>
      </c>
      <c r="L310" s="115" t="str">
        <f t="shared" ca="1" si="76"/>
        <v/>
      </c>
      <c r="M310" s="116" t="s">
        <v>706</v>
      </c>
      <c r="N310" s="117" t="str">
        <f t="shared" ca="1" si="77"/>
        <v>Serviço</v>
      </c>
      <c r="O310" s="118" t="str">
        <f t="shared" ca="1" si="78"/>
        <v>-</v>
      </c>
      <c r="P310" s="119" t="s">
        <v>1315</v>
      </c>
      <c r="Q310" s="120" t="s">
        <v>1196</v>
      </c>
      <c r="R310" s="121" t="s">
        <v>1567</v>
      </c>
      <c r="S310" s="122" t="s">
        <v>1644</v>
      </c>
      <c r="T310" s="123">
        <f ca="1">OFFSET(CÁLCULO!H$15,ROW($T310)-ROW(T$15),0)</f>
        <v>1</v>
      </c>
      <c r="U310" s="124"/>
      <c r="V310" s="125" t="s">
        <v>663</v>
      </c>
      <c r="W310" s="123">
        <f ca="1">IF($C310="S",ROUND(IF(TIPOORCAMENTO="Proposto",ORÇAMENTO.CustoUnitario*(1+$AH310),ORÇAMENTO.PrecoUnitarioLicitado),15-13*$AF$10),0)</f>
        <v>0</v>
      </c>
      <c r="X310" s="126" cm="1">
        <f t="array" aca="1" ref="X310" ca="1">IF($C310="S",IF(OR(Import.TipoArredondamento&lt;&gt;"TransfereGOV",ACOMPANHAMENTO="BM"),VTOTAL1,SUM(OFFSET(CÁLCULO!$AA$15,ROW($X310)-ROW($X$15),1):OFFSET(CÁLCULO!$AL$15,ROW($X310)-ROW($X$15),-1))),IF($C310=0,0,ROUND(SomaAgrup,15-13*$AF$11)))</f>
        <v>0</v>
      </c>
      <c r="Y310" s="127" t="s">
        <v>752</v>
      </c>
      <c r="Z310" t="str">
        <f t="shared" ca="1" si="79"/>
        <v/>
      </c>
      <c r="AA310" s="128">
        <f ca="1">IF($C310="S",IF($Z310="CP",$X310,IF($Z310="RA",(($X310)*QCI!$AA$3),0)),SomaAgrup)</f>
        <v>0</v>
      </c>
      <c r="AB310" s="129">
        <f t="shared" ca="1" si="80"/>
        <v>0</v>
      </c>
      <c r="AC310" s="567" t="str">
        <f ca="1">IF($N310=""," ",
IF(AND($C310&lt;&gt;"S",OR($R310="",$R310="(digite a descrição aqui)")),"DESCRIÇÃO",
IF(AND($C310="S",OR($Q310&lt;&gt;0,$T310&gt;0,$U310&gt;0),$P310=0),"FONTE",
IF(AND($C310="S",$P310&lt;&gt;0,OR($T310&gt;0,$U310&gt;0),$Q310=0),"CÓDIGO",
IF(AND($C310="S",$P310&lt;&gt;0,$Q310&lt;&gt;0,$R310="(Código não identificado nas referências)"),"CÓDIGO N/ID",
IF(AND($C310="S",OR($R310="",$R310="(digite a descrição aqui)"),OR($Q310&lt;&gt;0,$T310&gt;0,$U310&gt;0)),"DESCRIÇÃO",
IF(AND($C310="S",$P310&lt;&gt;0,$Q310&lt;&gt;0,$S310=""),"UNIDADE",
IF(AND($C310="S",$P310&lt;&gt;0,$Q310&lt;&gt;0,$U310=0),"SEM CUSTO",
IF(AND(TIPOORCAMENTO="Licitado",$AL310=0,$AN310&gt;0),"SEM PREÇO",
IF(AND($C310="S",$P310&lt;&gt;0,$Q310&lt;&gt;0,$U310&gt;0,$V310=0),"BDI",
IF(OR(AND(TIPOORCAMENTO="Proposto",$AG310&lt;&gt;"",$AG310&gt;0,ORÇAMENTO.CustoUnitario&gt;$AG310),AND(TIPOORCAMENTO="LICITADO",ORÇAMENTO.PrecoUnitarioLicitado&gt;$AN310)),"ACIMA REF.",
IF(AND($C310="S",$P310&lt;&gt;0,$Q310&lt;&gt;0,$T310=0,$U310&gt;0),"QUANT.",
IF(AND(Import.TipoArredondamento="TransfereGOV",$L310="F",$C310="S",LEN($Q310)&gt;13),"Código &gt;13",
IF(AND(Import.TipoArredondamento="TransfereGOV",$L310="F",$C310&lt;&gt;"S",LEN($R310)&gt;100),"Descrição &gt;100",
IF(AND(Import.TipoArredondamento="TransfereGOV",$L310="F",$C310="S",LEN($R310)&gt;500),"Descrição &gt;500",
IF(AND(Import.TipoArredondamento="TransfereGOV",$L310="F",$C310="S",LEFT(TRIM(UPPER($P310)),6)&lt;&gt;"SINAPI",ISNA(VLOOKUP(TRIM(UPPER($S310)),ListaTgov.Unidades,1,FALSE))),"Unid. Não Disp",
" "))))))))))))))))</f>
        <v>SEM CUSTO</v>
      </c>
      <c r="AD310" t="str">
        <f ca="1">IF(C310&lt;=CRONO.NivelExibicao,MAX($AD$15:OFFSET(AD310,-1,0))+IF($C310&lt;&gt;1,1,MAX(1,COUNTIF(QCI!$A$13:$A$24,OFFSET($E310,-1,0)))),"")</f>
        <v/>
      </c>
      <c r="AE310" s="7" t="str">
        <f ca="1">IF(AND($C310="S",ORÇAMENTO.CodBarra&lt;&gt;""),IF(ORÇAMENTO.Fonte="",ORÇAMENTO.CodBarra,CONCATENATE(ORÇAMENTO.Fonte," ",ORÇAMENTO.CodBarra)))</f>
        <v>SINAPI-I 10899</v>
      </c>
      <c r="AF310" s="12" t="str">
        <f ca="1">IF(ISERROR(INDIRECT(ORÇAMENTO.BancoRef)),"(abra o arquivo 'Referência "&amp;Excel_BuiltIn_Database&amp;".xlsm)",IF(OR($C310&lt;&gt;"S",ORÇAMENTO.CodBarra=""),"(Sem Código)",IF(ISERROR(MATCH($AE310,INDIRECT(ORÇAMENTO.BancoRef),0)),"(Código não identificado nas referências)",MATCH($AE310,INDIRECT(ORÇAMENTO.BancoRef),0))))</f>
        <v>(abra o arquivo 'Referência 12-2024.xlsm)</v>
      </c>
      <c r="AG310" s="429">
        <f ca="1">ROUND(IF(DESONERACAO="sim",REFERENCIA.Desonerado,REFERENCIA.NaoDesonerado),2)</f>
        <v>0</v>
      </c>
      <c r="AH310" s="430">
        <f t="shared" ca="1" si="81"/>
        <v>0.31190000000000001</v>
      </c>
      <c r="AJ310" s="432">
        <v>1</v>
      </c>
      <c r="AL310" s="440"/>
      <c r="AM310" s="337">
        <f t="shared" ca="1" si="66"/>
        <v>0</v>
      </c>
      <c r="AN310" s="471">
        <f t="shared" ca="1" si="82"/>
        <v>0</v>
      </c>
    </row>
    <row r="311" spans="1:40" ht="38.25" x14ac:dyDescent="0.2">
      <c r="A311" t="str">
        <f t="shared" si="67"/>
        <v>S</v>
      </c>
      <c r="B311">
        <f t="shared" ca="1" si="68"/>
        <v>3</v>
      </c>
      <c r="C311" t="str">
        <f t="shared" ca="1" si="69"/>
        <v>S</v>
      </c>
      <c r="D311">
        <f t="shared" ca="1" si="70"/>
        <v>0</v>
      </c>
      <c r="E311">
        <f ca="1">IF($C311=1,OFFSET(E311,-1,0)+MAX(1,COUNTIF(QCI!$A$13:$A$24,OFFSET(ORÇAMENTO!E311,-1,0))),OFFSET(E311,-1,0))</f>
        <v>1</v>
      </c>
      <c r="F311">
        <f t="shared" ca="1" si="71"/>
        <v>16</v>
      </c>
      <c r="G311">
        <f t="shared" ca="1" si="72"/>
        <v>6</v>
      </c>
      <c r="H311">
        <f t="shared" ca="1" si="73"/>
        <v>0</v>
      </c>
      <c r="I311">
        <f t="shared" ca="1" si="74"/>
        <v>0</v>
      </c>
      <c r="J311">
        <f t="shared" ca="1" si="75"/>
        <v>0</v>
      </c>
      <c r="K311">
        <f ca="1">IF(OR($C311="S",$C311=0),0,MATCH(OFFSET($D311,0,$C311)+IF($C311&lt;&gt;1,1,COUNTIF(QCI!$A$13:$A$24,ORÇAMENTO!E311)),OFFSET($D311,1,$C311,ROW($C$405)-ROW($C311)),0))</f>
        <v>0</v>
      </c>
      <c r="L311" s="115" t="str">
        <f t="shared" ca="1" si="76"/>
        <v/>
      </c>
      <c r="M311" s="116" t="s">
        <v>706</v>
      </c>
      <c r="N311" s="117" t="str">
        <f t="shared" ca="1" si="77"/>
        <v>Serviço</v>
      </c>
      <c r="O311" s="118" t="str">
        <f t="shared" ca="1" si="78"/>
        <v>-</v>
      </c>
      <c r="P311" s="119" t="s">
        <v>1315</v>
      </c>
      <c r="Q311" s="120" t="s">
        <v>1197</v>
      </c>
      <c r="R311" s="121" t="s">
        <v>1568</v>
      </c>
      <c r="S311" s="122" t="s">
        <v>1644</v>
      </c>
      <c r="T311" s="123">
        <f ca="1">OFFSET(CÁLCULO!H$15,ROW($T311)-ROW(T$15),0)</f>
        <v>8</v>
      </c>
      <c r="U311" s="124"/>
      <c r="V311" s="125" t="s">
        <v>663</v>
      </c>
      <c r="W311" s="123">
        <f ca="1">IF($C311="S",ROUND(IF(TIPOORCAMENTO="Proposto",ORÇAMENTO.CustoUnitario*(1+$AH311),ORÇAMENTO.PrecoUnitarioLicitado),15-13*$AF$10),0)</f>
        <v>0</v>
      </c>
      <c r="X311" s="126" cm="1">
        <f t="array" aca="1" ref="X311" ca="1">IF($C311="S",IF(OR(Import.TipoArredondamento&lt;&gt;"TransfereGOV",ACOMPANHAMENTO="BM"),VTOTAL1,SUM(OFFSET(CÁLCULO!$AA$15,ROW($X311)-ROW($X$15),1):OFFSET(CÁLCULO!$AL$15,ROW($X311)-ROW($X$15),-1))),IF($C311=0,0,ROUND(SomaAgrup,15-13*$AF$11)))</f>
        <v>0</v>
      </c>
      <c r="Y311" s="127" t="s">
        <v>752</v>
      </c>
      <c r="Z311" t="str">
        <f t="shared" ca="1" si="79"/>
        <v/>
      </c>
      <c r="AA311" s="128">
        <f ca="1">IF($C311="S",IF($Z311="CP",$X311,IF($Z311="RA",(($X311)*QCI!$AA$3),0)),SomaAgrup)</f>
        <v>0</v>
      </c>
      <c r="AB311" s="129">
        <f t="shared" ca="1" si="80"/>
        <v>0</v>
      </c>
      <c r="AC311" s="567" t="str">
        <f ca="1">IF($N311=""," ",
IF(AND($C311&lt;&gt;"S",OR($R311="",$R311="(digite a descrição aqui)")),"DESCRIÇÃO",
IF(AND($C311="S",OR($Q311&lt;&gt;0,$T311&gt;0,$U311&gt;0),$P311=0),"FONTE",
IF(AND($C311="S",$P311&lt;&gt;0,OR($T311&gt;0,$U311&gt;0),$Q311=0),"CÓDIGO",
IF(AND($C311="S",$P311&lt;&gt;0,$Q311&lt;&gt;0,$R311="(Código não identificado nas referências)"),"CÓDIGO N/ID",
IF(AND($C311="S",OR($R311="",$R311="(digite a descrição aqui)"),OR($Q311&lt;&gt;0,$T311&gt;0,$U311&gt;0)),"DESCRIÇÃO",
IF(AND($C311="S",$P311&lt;&gt;0,$Q311&lt;&gt;0,$S311=""),"UNIDADE",
IF(AND($C311="S",$P311&lt;&gt;0,$Q311&lt;&gt;0,$U311=0),"SEM CUSTO",
IF(AND(TIPOORCAMENTO="Licitado",$AL311=0,$AN311&gt;0),"SEM PREÇO",
IF(AND($C311="S",$P311&lt;&gt;0,$Q311&lt;&gt;0,$U311&gt;0,$V311=0),"BDI",
IF(OR(AND(TIPOORCAMENTO="Proposto",$AG311&lt;&gt;"",$AG311&gt;0,ORÇAMENTO.CustoUnitario&gt;$AG311),AND(TIPOORCAMENTO="LICITADO",ORÇAMENTO.PrecoUnitarioLicitado&gt;$AN311)),"ACIMA REF.",
IF(AND($C311="S",$P311&lt;&gt;0,$Q311&lt;&gt;0,$T311=0,$U311&gt;0),"QUANT.",
IF(AND(Import.TipoArredondamento="TransfereGOV",$L311="F",$C311="S",LEN($Q311)&gt;13),"Código &gt;13",
IF(AND(Import.TipoArredondamento="TransfereGOV",$L311="F",$C311&lt;&gt;"S",LEN($R311)&gt;100),"Descrição &gt;100",
IF(AND(Import.TipoArredondamento="TransfereGOV",$L311="F",$C311="S",LEN($R311)&gt;500),"Descrição &gt;500",
IF(AND(Import.TipoArredondamento="TransfereGOV",$L311="F",$C311="S",LEFT(TRIM(UPPER($P311)),6)&lt;&gt;"SINAPI",ISNA(VLOOKUP(TRIM(UPPER($S311)),ListaTgov.Unidades,1,FALSE))),"Unid. Não Disp",
" "))))))))))))))))</f>
        <v>SEM CUSTO</v>
      </c>
      <c r="AD311" t="str">
        <f ca="1">IF(C311&lt;=CRONO.NivelExibicao,MAX($AD$15:OFFSET(AD311,-1,0))+IF($C311&lt;&gt;1,1,MAX(1,COUNTIF(QCI!$A$13:$A$24,OFFSET($E311,-1,0)))),"")</f>
        <v/>
      </c>
      <c r="AE311" s="7" t="str">
        <f ca="1">IF(AND($C311="S",ORÇAMENTO.CodBarra&lt;&gt;""),IF(ORÇAMENTO.Fonte="",ORÇAMENTO.CodBarra,CONCATENATE(ORÇAMENTO.Fonte," ",ORÇAMENTO.CodBarra)))</f>
        <v>SINAPI-I 4350</v>
      </c>
      <c r="AF311" s="12" t="str">
        <f ca="1">IF(ISERROR(INDIRECT(ORÇAMENTO.BancoRef)),"(abra o arquivo 'Referência "&amp;Excel_BuiltIn_Database&amp;".xlsm)",IF(OR($C311&lt;&gt;"S",ORÇAMENTO.CodBarra=""),"(Sem Código)",IF(ISERROR(MATCH($AE311,INDIRECT(ORÇAMENTO.BancoRef),0)),"(Código não identificado nas referências)",MATCH($AE311,INDIRECT(ORÇAMENTO.BancoRef),0))))</f>
        <v>(abra o arquivo 'Referência 12-2024.xlsm)</v>
      </c>
      <c r="AG311" s="429">
        <f ca="1">ROUND(IF(DESONERACAO="sim",REFERENCIA.Desonerado,REFERENCIA.NaoDesonerado),2)</f>
        <v>0</v>
      </c>
      <c r="AH311" s="430">
        <f t="shared" ca="1" si="81"/>
        <v>0.31190000000000001</v>
      </c>
      <c r="AJ311" s="432">
        <v>8</v>
      </c>
      <c r="AL311" s="440"/>
      <c r="AM311" s="337">
        <f t="shared" ca="1" si="66"/>
        <v>0</v>
      </c>
      <c r="AN311" s="471">
        <f t="shared" ca="1" si="82"/>
        <v>0</v>
      </c>
    </row>
    <row r="312" spans="1:40" ht="51" x14ac:dyDescent="0.2">
      <c r="A312" t="str">
        <f t="shared" si="67"/>
        <v>S</v>
      </c>
      <c r="B312">
        <f t="shared" ca="1" si="68"/>
        <v>3</v>
      </c>
      <c r="C312" t="str">
        <f t="shared" ca="1" si="69"/>
        <v>S</v>
      </c>
      <c r="D312">
        <f t="shared" ca="1" si="70"/>
        <v>0</v>
      </c>
      <c r="E312">
        <f ca="1">IF($C312=1,OFFSET(E312,-1,0)+MAX(1,COUNTIF(QCI!$A$13:$A$24,OFFSET(ORÇAMENTO!E312,-1,0))),OFFSET(E312,-1,0))</f>
        <v>1</v>
      </c>
      <c r="F312">
        <f t="shared" ca="1" si="71"/>
        <v>16</v>
      </c>
      <c r="G312">
        <f t="shared" ca="1" si="72"/>
        <v>6</v>
      </c>
      <c r="H312">
        <f t="shared" ca="1" si="73"/>
        <v>0</v>
      </c>
      <c r="I312">
        <f t="shared" ca="1" si="74"/>
        <v>0</v>
      </c>
      <c r="J312">
        <f t="shared" ca="1" si="75"/>
        <v>0</v>
      </c>
      <c r="K312">
        <f ca="1">IF(OR($C312="S",$C312=0),0,MATCH(OFFSET($D312,0,$C312)+IF($C312&lt;&gt;1,1,COUNTIF(QCI!$A$13:$A$24,ORÇAMENTO!E312)),OFFSET($D312,1,$C312,ROW($C$405)-ROW($C312)),0))</f>
        <v>0</v>
      </c>
      <c r="L312" s="115" t="str">
        <f t="shared" ca="1" si="76"/>
        <v/>
      </c>
      <c r="M312" s="116" t="s">
        <v>706</v>
      </c>
      <c r="N312" s="117" t="str">
        <f t="shared" ca="1" si="77"/>
        <v>Serviço</v>
      </c>
      <c r="O312" s="118" t="str">
        <f t="shared" ca="1" si="78"/>
        <v>-</v>
      </c>
      <c r="P312" s="119" t="s">
        <v>1315</v>
      </c>
      <c r="Q312" s="120" t="s">
        <v>1198</v>
      </c>
      <c r="R312" s="121" t="s">
        <v>1569</v>
      </c>
      <c r="S312" s="122" t="s">
        <v>1644</v>
      </c>
      <c r="T312" s="123">
        <f ca="1">OFFSET(CÁLCULO!H$15,ROW($T312)-ROW(T$15),0)</f>
        <v>3</v>
      </c>
      <c r="U312" s="124"/>
      <c r="V312" s="125" t="s">
        <v>663</v>
      </c>
      <c r="W312" s="123">
        <f ca="1">IF($C312="S",ROUND(IF(TIPOORCAMENTO="Proposto",ORÇAMENTO.CustoUnitario*(1+$AH312),ORÇAMENTO.PrecoUnitarioLicitado),15-13*$AF$10),0)</f>
        <v>0</v>
      </c>
      <c r="X312" s="126" cm="1">
        <f t="array" aca="1" ref="X312" ca="1">IF($C312="S",IF(OR(Import.TipoArredondamento&lt;&gt;"TransfereGOV",ACOMPANHAMENTO="BM"),VTOTAL1,SUM(OFFSET(CÁLCULO!$AA$15,ROW($X312)-ROW($X$15),1):OFFSET(CÁLCULO!$AL$15,ROW($X312)-ROW($X$15),-1))),IF($C312=0,0,ROUND(SomaAgrup,15-13*$AF$11)))</f>
        <v>0</v>
      </c>
      <c r="Y312" s="127" t="s">
        <v>752</v>
      </c>
      <c r="Z312" t="str">
        <f t="shared" ca="1" si="79"/>
        <v/>
      </c>
      <c r="AA312" s="128">
        <f ca="1">IF($C312="S",IF($Z312="CP",$X312,IF($Z312="RA",(($X312)*QCI!$AA$3),0)),SomaAgrup)</f>
        <v>0</v>
      </c>
      <c r="AB312" s="129">
        <f t="shared" ca="1" si="80"/>
        <v>0</v>
      </c>
      <c r="AC312" s="567" t="str">
        <f ca="1">IF($N312=""," ",
IF(AND($C312&lt;&gt;"S",OR($R312="",$R312="(digite a descrição aqui)")),"DESCRIÇÃO",
IF(AND($C312="S",OR($Q312&lt;&gt;0,$T312&gt;0,$U312&gt;0),$P312=0),"FONTE",
IF(AND($C312="S",$P312&lt;&gt;0,OR($T312&gt;0,$U312&gt;0),$Q312=0),"CÓDIGO",
IF(AND($C312="S",$P312&lt;&gt;0,$Q312&lt;&gt;0,$R312="(Código não identificado nas referências)"),"CÓDIGO N/ID",
IF(AND($C312="S",OR($R312="",$R312="(digite a descrição aqui)"),OR($Q312&lt;&gt;0,$T312&gt;0,$U312&gt;0)),"DESCRIÇÃO",
IF(AND($C312="S",$P312&lt;&gt;0,$Q312&lt;&gt;0,$S312=""),"UNIDADE",
IF(AND($C312="S",$P312&lt;&gt;0,$Q312&lt;&gt;0,$U312=0),"SEM CUSTO",
IF(AND(TIPOORCAMENTO="Licitado",$AL312=0,$AN312&gt;0),"SEM PREÇO",
IF(AND($C312="S",$P312&lt;&gt;0,$Q312&lt;&gt;0,$U312&gt;0,$V312=0),"BDI",
IF(OR(AND(TIPOORCAMENTO="Proposto",$AG312&lt;&gt;"",$AG312&gt;0,ORÇAMENTO.CustoUnitario&gt;$AG312),AND(TIPOORCAMENTO="LICITADO",ORÇAMENTO.PrecoUnitarioLicitado&gt;$AN312)),"ACIMA REF.",
IF(AND($C312="S",$P312&lt;&gt;0,$Q312&lt;&gt;0,$T312=0,$U312&gt;0),"QUANT.",
IF(AND(Import.TipoArredondamento="TransfereGOV",$L312="F",$C312="S",LEN($Q312)&gt;13),"Código &gt;13",
IF(AND(Import.TipoArredondamento="TransfereGOV",$L312="F",$C312&lt;&gt;"S",LEN($R312)&gt;100),"Descrição &gt;100",
IF(AND(Import.TipoArredondamento="TransfereGOV",$L312="F",$C312="S",LEN($R312)&gt;500),"Descrição &gt;500",
IF(AND(Import.TipoArredondamento="TransfereGOV",$L312="F",$C312="S",LEFT(TRIM(UPPER($P312)),6)&lt;&gt;"SINAPI",ISNA(VLOOKUP(TRIM(UPPER($S312)),ListaTgov.Unidades,1,FALSE))),"Unid. Não Disp",
" "))))))))))))))))</f>
        <v>SEM CUSTO</v>
      </c>
      <c r="AD312" t="str">
        <f ca="1">IF(C312&lt;=CRONO.NivelExibicao,MAX($AD$15:OFFSET(AD312,-1,0))+IF($C312&lt;&gt;1,1,MAX(1,COUNTIF(QCI!$A$13:$A$24,OFFSET($E312,-1,0)))),"")</f>
        <v/>
      </c>
      <c r="AE312" s="7" t="str">
        <f ca="1">IF(AND($C312="S",ORÇAMENTO.CodBarra&lt;&gt;""),IF(ORÇAMENTO.Fonte="",ORÇAMENTO.CodBarra,CONCATENATE(ORÇAMENTO.Fonte," ",ORÇAMENTO.CodBarra)))</f>
        <v>SINAPI-I 10904</v>
      </c>
      <c r="AF312" s="12" t="str">
        <f ca="1">IF(ISERROR(INDIRECT(ORÇAMENTO.BancoRef)),"(abra o arquivo 'Referência "&amp;Excel_BuiltIn_Database&amp;".xlsm)",IF(OR($C312&lt;&gt;"S",ORÇAMENTO.CodBarra=""),"(Sem Código)",IF(ISERROR(MATCH($AE312,INDIRECT(ORÇAMENTO.BancoRef),0)),"(Código não identificado nas referências)",MATCH($AE312,INDIRECT(ORÇAMENTO.BancoRef),0))))</f>
        <v>(abra o arquivo 'Referência 12-2024.xlsm)</v>
      </c>
      <c r="AG312" s="429">
        <f ca="1">ROUND(IF(DESONERACAO="sim",REFERENCIA.Desonerado,REFERENCIA.NaoDesonerado),2)</f>
        <v>0</v>
      </c>
      <c r="AH312" s="430">
        <f t="shared" ca="1" si="81"/>
        <v>0.31190000000000001</v>
      </c>
      <c r="AJ312" s="432">
        <v>3</v>
      </c>
      <c r="AL312" s="440"/>
      <c r="AM312" s="337">
        <f t="shared" ca="1" si="66"/>
        <v>0</v>
      </c>
      <c r="AN312" s="471">
        <f t="shared" ca="1" si="82"/>
        <v>0</v>
      </c>
    </row>
    <row r="313" spans="1:40" ht="25.5" x14ac:dyDescent="0.2">
      <c r="A313" t="str">
        <f t="shared" si="67"/>
        <v>S</v>
      </c>
      <c r="B313">
        <f t="shared" ca="1" si="68"/>
        <v>3</v>
      </c>
      <c r="C313" t="str">
        <f t="shared" ca="1" si="69"/>
        <v>S</v>
      </c>
      <c r="D313">
        <f t="shared" ca="1" si="70"/>
        <v>0</v>
      </c>
      <c r="E313">
        <f ca="1">IF($C313=1,OFFSET(E313,-1,0)+MAX(1,COUNTIF(QCI!$A$13:$A$24,OFFSET(ORÇAMENTO!E313,-1,0))),OFFSET(E313,-1,0))</f>
        <v>1</v>
      </c>
      <c r="F313">
        <f t="shared" ca="1" si="71"/>
        <v>16</v>
      </c>
      <c r="G313">
        <f t="shared" ca="1" si="72"/>
        <v>6</v>
      </c>
      <c r="H313">
        <f t="shared" ca="1" si="73"/>
        <v>0</v>
      </c>
      <c r="I313">
        <f t="shared" ca="1" si="74"/>
        <v>0</v>
      </c>
      <c r="J313">
        <f t="shared" ca="1" si="75"/>
        <v>0</v>
      </c>
      <c r="K313">
        <f ca="1">IF(OR($C313="S",$C313=0),0,MATCH(OFFSET($D313,0,$C313)+IF($C313&lt;&gt;1,1,COUNTIF(QCI!$A$13:$A$24,ORÇAMENTO!E313)),OFFSET($D313,1,$C313,ROW($C$405)-ROW($C313)),0))</f>
        <v>0</v>
      </c>
      <c r="L313" s="115" t="str">
        <f t="shared" ca="1" si="76"/>
        <v/>
      </c>
      <c r="M313" s="116" t="s">
        <v>706</v>
      </c>
      <c r="N313" s="117" t="str">
        <f t="shared" ca="1" si="77"/>
        <v>Serviço</v>
      </c>
      <c r="O313" s="118" t="str">
        <f t="shared" ca="1" si="78"/>
        <v>-</v>
      </c>
      <c r="P313" s="119" t="s">
        <v>751</v>
      </c>
      <c r="Q313" s="120" t="s">
        <v>1199</v>
      </c>
      <c r="R313" s="121" t="s">
        <v>1570</v>
      </c>
      <c r="S313" s="122" t="s">
        <v>639</v>
      </c>
      <c r="T313" s="123">
        <f ca="1">OFFSET(CÁLCULO!H$15,ROW($T313)-ROW(T$15),0)</f>
        <v>2</v>
      </c>
      <c r="U313" s="124"/>
      <c r="V313" s="125" t="s">
        <v>663</v>
      </c>
      <c r="W313" s="123">
        <f ca="1">IF($C313="S",ROUND(IF(TIPOORCAMENTO="Proposto",ORÇAMENTO.CustoUnitario*(1+$AH313),ORÇAMENTO.PrecoUnitarioLicitado),15-13*$AF$10),0)</f>
        <v>0</v>
      </c>
      <c r="X313" s="126" cm="1">
        <f t="array" aca="1" ref="X313" ca="1">IF($C313="S",IF(OR(Import.TipoArredondamento&lt;&gt;"TransfereGOV",ACOMPANHAMENTO="BM"),VTOTAL1,SUM(OFFSET(CÁLCULO!$AA$15,ROW($X313)-ROW($X$15),1):OFFSET(CÁLCULO!$AL$15,ROW($X313)-ROW($X$15),-1))),IF($C313=0,0,ROUND(SomaAgrup,15-13*$AF$11)))</f>
        <v>0</v>
      </c>
      <c r="Y313" s="127" t="s">
        <v>752</v>
      </c>
      <c r="Z313" t="str">
        <f t="shared" ca="1" si="79"/>
        <v/>
      </c>
      <c r="AA313" s="128">
        <f ca="1">IF($C313="S",IF($Z313="CP",$X313,IF($Z313="RA",(($X313)*QCI!$AA$3),0)),SomaAgrup)</f>
        <v>0</v>
      </c>
      <c r="AB313" s="129">
        <f t="shared" ca="1" si="80"/>
        <v>0</v>
      </c>
      <c r="AC313" s="567" t="str">
        <f ca="1">IF($N313=""," ",
IF(AND($C313&lt;&gt;"S",OR($R313="",$R313="(digite a descrição aqui)")),"DESCRIÇÃO",
IF(AND($C313="S",OR($Q313&lt;&gt;0,$T313&gt;0,$U313&gt;0),$P313=0),"FONTE",
IF(AND($C313="S",$P313&lt;&gt;0,OR($T313&gt;0,$U313&gt;0),$Q313=0),"CÓDIGO",
IF(AND($C313="S",$P313&lt;&gt;0,$Q313&lt;&gt;0,$R313="(Código não identificado nas referências)"),"CÓDIGO N/ID",
IF(AND($C313="S",OR($R313="",$R313="(digite a descrição aqui)"),OR($Q313&lt;&gt;0,$T313&gt;0,$U313&gt;0)),"DESCRIÇÃO",
IF(AND($C313="S",$P313&lt;&gt;0,$Q313&lt;&gt;0,$S313=""),"UNIDADE",
IF(AND($C313="S",$P313&lt;&gt;0,$Q313&lt;&gt;0,$U313=0),"SEM CUSTO",
IF(AND(TIPOORCAMENTO="Licitado",$AL313=0,$AN313&gt;0),"SEM PREÇO",
IF(AND($C313="S",$P313&lt;&gt;0,$Q313&lt;&gt;0,$U313&gt;0,$V313=0),"BDI",
IF(OR(AND(TIPOORCAMENTO="Proposto",$AG313&lt;&gt;"",$AG313&gt;0,ORÇAMENTO.CustoUnitario&gt;$AG313),AND(TIPOORCAMENTO="LICITADO",ORÇAMENTO.PrecoUnitarioLicitado&gt;$AN313)),"ACIMA REF.",
IF(AND($C313="S",$P313&lt;&gt;0,$Q313&lt;&gt;0,$T313=0,$U313&gt;0),"QUANT.",
IF(AND(Import.TipoArredondamento="TransfereGOV",$L313="F",$C313="S",LEN($Q313)&gt;13),"Código &gt;13",
IF(AND(Import.TipoArredondamento="TransfereGOV",$L313="F",$C313&lt;&gt;"S",LEN($R313)&gt;100),"Descrição &gt;100",
IF(AND(Import.TipoArredondamento="TransfereGOV",$L313="F",$C313="S",LEN($R313)&gt;500),"Descrição &gt;500",
IF(AND(Import.TipoArredondamento="TransfereGOV",$L313="F",$C313="S",LEFT(TRIM(UPPER($P313)),6)&lt;&gt;"SINAPI",ISNA(VLOOKUP(TRIM(UPPER($S313)),ListaTgov.Unidades,1,FALSE))),"Unid. Não Disp",
" "))))))))))))))))</f>
        <v>SEM CUSTO</v>
      </c>
      <c r="AD313" t="str">
        <f ca="1">IF(C313&lt;=CRONO.NivelExibicao,MAX($AD$15:OFFSET(AD313,-1,0))+IF($C313&lt;&gt;1,1,MAX(1,COUNTIF(QCI!$A$13:$A$24,OFFSET($E313,-1,0)))),"")</f>
        <v/>
      </c>
      <c r="AE313" s="7" t="str">
        <f ca="1">IF(AND($C313="S",ORÇAMENTO.CodBarra&lt;&gt;""),IF(ORÇAMENTO.Fonte="",ORÇAMENTO.CodBarra,CONCATENATE(ORÇAMENTO.Fonte," ",ORÇAMENTO.CodBarra)))</f>
        <v>SINAPI 101913</v>
      </c>
      <c r="AF313" s="12" t="str">
        <f ca="1">IF(ISERROR(INDIRECT(ORÇAMENTO.BancoRef)),"(abra o arquivo 'Referência "&amp;Excel_BuiltIn_Database&amp;".xlsm)",IF(OR($C313&lt;&gt;"S",ORÇAMENTO.CodBarra=""),"(Sem Código)",IF(ISERROR(MATCH($AE313,INDIRECT(ORÇAMENTO.BancoRef),0)),"(Código não identificado nas referências)",MATCH($AE313,INDIRECT(ORÇAMENTO.BancoRef),0))))</f>
        <v>(abra o arquivo 'Referência 12-2024.xlsm)</v>
      </c>
      <c r="AG313" s="429">
        <f ca="1">ROUND(IF(DESONERACAO="sim",REFERENCIA.Desonerado,REFERENCIA.NaoDesonerado),2)</f>
        <v>0</v>
      </c>
      <c r="AH313" s="430">
        <f t="shared" ca="1" si="81"/>
        <v>0.31190000000000001</v>
      </c>
      <c r="AJ313" s="432">
        <v>2</v>
      </c>
      <c r="AL313" s="440"/>
      <c r="AM313" s="337">
        <f t="shared" ca="1" si="66"/>
        <v>0</v>
      </c>
      <c r="AN313" s="471">
        <f t="shared" ca="1" si="82"/>
        <v>0</v>
      </c>
    </row>
    <row r="314" spans="1:40" ht="38.25" x14ac:dyDescent="0.2">
      <c r="A314" t="str">
        <f t="shared" si="67"/>
        <v>S</v>
      </c>
      <c r="B314">
        <f t="shared" ca="1" si="68"/>
        <v>3</v>
      </c>
      <c r="C314" t="str">
        <f t="shared" ca="1" si="69"/>
        <v>S</v>
      </c>
      <c r="D314">
        <f t="shared" ca="1" si="70"/>
        <v>0</v>
      </c>
      <c r="E314">
        <f ca="1">IF($C314=1,OFFSET(E314,-1,0)+MAX(1,COUNTIF(QCI!$A$13:$A$24,OFFSET(ORÇAMENTO!E314,-1,0))),OFFSET(E314,-1,0))</f>
        <v>1</v>
      </c>
      <c r="F314">
        <f t="shared" ca="1" si="71"/>
        <v>16</v>
      </c>
      <c r="G314">
        <f t="shared" ca="1" si="72"/>
        <v>6</v>
      </c>
      <c r="H314">
        <f t="shared" ca="1" si="73"/>
        <v>0</v>
      </c>
      <c r="I314">
        <f t="shared" ca="1" si="74"/>
        <v>0</v>
      </c>
      <c r="J314">
        <f t="shared" ca="1" si="75"/>
        <v>0</v>
      </c>
      <c r="K314">
        <f ca="1">IF(OR($C314="S",$C314=0),0,MATCH(OFFSET($D314,0,$C314)+IF($C314&lt;&gt;1,1,COUNTIF(QCI!$A$13:$A$24,ORÇAMENTO!E314)),OFFSET($D314,1,$C314,ROW($C$405)-ROW($C314)),0))</f>
        <v>0</v>
      </c>
      <c r="L314" s="115" t="str">
        <f t="shared" ca="1" si="76"/>
        <v/>
      </c>
      <c r="M314" s="116" t="s">
        <v>706</v>
      </c>
      <c r="N314" s="117" t="str">
        <f t="shared" ca="1" si="77"/>
        <v>Serviço</v>
      </c>
      <c r="O314" s="118" t="str">
        <f t="shared" ca="1" si="78"/>
        <v>-</v>
      </c>
      <c r="P314" s="119" t="s">
        <v>1315</v>
      </c>
      <c r="Q314" s="120" t="s">
        <v>1200</v>
      </c>
      <c r="R314" s="121" t="s">
        <v>1571</v>
      </c>
      <c r="S314" s="122" t="s">
        <v>1644</v>
      </c>
      <c r="T314" s="123">
        <f ca="1">OFFSET(CÁLCULO!H$15,ROW($T314)-ROW(T$15),0)</f>
        <v>2</v>
      </c>
      <c r="U314" s="124"/>
      <c r="V314" s="125" t="s">
        <v>663</v>
      </c>
      <c r="W314" s="123">
        <f ca="1">IF($C314="S",ROUND(IF(TIPOORCAMENTO="Proposto",ORÇAMENTO.CustoUnitario*(1+$AH314),ORÇAMENTO.PrecoUnitarioLicitado),15-13*$AF$10),0)</f>
        <v>0</v>
      </c>
      <c r="X314" s="126" cm="1">
        <f t="array" aca="1" ref="X314" ca="1">IF($C314="S",IF(OR(Import.TipoArredondamento&lt;&gt;"TransfereGOV",ACOMPANHAMENTO="BM"),VTOTAL1,SUM(OFFSET(CÁLCULO!$AA$15,ROW($X314)-ROW($X$15),1):OFFSET(CÁLCULO!$AL$15,ROW($X314)-ROW($X$15),-1))),IF($C314=0,0,ROUND(SomaAgrup,15-13*$AF$11)))</f>
        <v>0</v>
      </c>
      <c r="Y314" s="127" t="s">
        <v>752</v>
      </c>
      <c r="Z314" t="str">
        <f t="shared" ca="1" si="79"/>
        <v/>
      </c>
      <c r="AA314" s="128">
        <f ca="1">IF($C314="S",IF($Z314="CP",$X314,IF($Z314="RA",(($X314)*QCI!$AA$3),0)),SomaAgrup)</f>
        <v>0</v>
      </c>
      <c r="AB314" s="129">
        <f t="shared" ca="1" si="80"/>
        <v>0</v>
      </c>
      <c r="AC314" s="567" t="str">
        <f ca="1">IF($N314=""," ",
IF(AND($C314&lt;&gt;"S",OR($R314="",$R314="(digite a descrição aqui)")),"DESCRIÇÃO",
IF(AND($C314="S",OR($Q314&lt;&gt;0,$T314&gt;0,$U314&gt;0),$P314=0),"FONTE",
IF(AND($C314="S",$P314&lt;&gt;0,OR($T314&gt;0,$U314&gt;0),$Q314=0),"CÓDIGO",
IF(AND($C314="S",$P314&lt;&gt;0,$Q314&lt;&gt;0,$R314="(Código não identificado nas referências)"),"CÓDIGO N/ID",
IF(AND($C314="S",OR($R314="",$R314="(digite a descrição aqui)"),OR($Q314&lt;&gt;0,$T314&gt;0,$U314&gt;0)),"DESCRIÇÃO",
IF(AND($C314="S",$P314&lt;&gt;0,$Q314&lt;&gt;0,$S314=""),"UNIDADE",
IF(AND($C314="S",$P314&lt;&gt;0,$Q314&lt;&gt;0,$U314=0),"SEM CUSTO",
IF(AND(TIPOORCAMENTO="Licitado",$AL314=0,$AN314&gt;0),"SEM PREÇO",
IF(AND($C314="S",$P314&lt;&gt;0,$Q314&lt;&gt;0,$U314&gt;0,$V314=0),"BDI",
IF(OR(AND(TIPOORCAMENTO="Proposto",$AG314&lt;&gt;"",$AG314&gt;0,ORÇAMENTO.CustoUnitario&gt;$AG314),AND(TIPOORCAMENTO="LICITADO",ORÇAMENTO.PrecoUnitarioLicitado&gt;$AN314)),"ACIMA REF.",
IF(AND($C314="S",$P314&lt;&gt;0,$Q314&lt;&gt;0,$T314=0,$U314&gt;0),"QUANT.",
IF(AND(Import.TipoArredondamento="TransfereGOV",$L314="F",$C314="S",LEN($Q314)&gt;13),"Código &gt;13",
IF(AND(Import.TipoArredondamento="TransfereGOV",$L314="F",$C314&lt;&gt;"S",LEN($R314)&gt;100),"Descrição &gt;100",
IF(AND(Import.TipoArredondamento="TransfereGOV",$L314="F",$C314="S",LEN($R314)&gt;500),"Descrição &gt;500",
IF(AND(Import.TipoArredondamento="TransfereGOV",$L314="F",$C314="S",LEFT(TRIM(UPPER($P314)),6)&lt;&gt;"SINAPI",ISNA(VLOOKUP(TRIM(UPPER($S314)),ListaTgov.Unidades,1,FALSE))),"Unid. Não Disp",
" "))))))))))))))))</f>
        <v>SEM CUSTO</v>
      </c>
      <c r="AD314" t="str">
        <f ca="1">IF(C314&lt;=CRONO.NivelExibicao,MAX($AD$15:OFFSET(AD314,-1,0))+IF($C314&lt;&gt;1,1,MAX(1,COUNTIF(QCI!$A$13:$A$24,OFFSET($E314,-1,0)))),"")</f>
        <v/>
      </c>
      <c r="AE314" s="7" t="str">
        <f ca="1">IF(AND($C314="S",ORÇAMENTO.CodBarra&lt;&gt;""),IF(ORÇAMENTO.Fonte="",ORÇAMENTO.CodBarra,CONCATENATE(ORÇAMENTO.Fonte," ",ORÇAMENTO.CodBarra)))</f>
        <v>SINAPI-I 20971</v>
      </c>
      <c r="AF314" s="12" t="str">
        <f ca="1">IF(ISERROR(INDIRECT(ORÇAMENTO.BancoRef)),"(abra o arquivo 'Referência "&amp;Excel_BuiltIn_Database&amp;".xlsm)",IF(OR($C314&lt;&gt;"S",ORÇAMENTO.CodBarra=""),"(Sem Código)",IF(ISERROR(MATCH($AE314,INDIRECT(ORÇAMENTO.BancoRef),0)),"(Código não identificado nas referências)",MATCH($AE314,INDIRECT(ORÇAMENTO.BancoRef),0))))</f>
        <v>(abra o arquivo 'Referência 12-2024.xlsm)</v>
      </c>
      <c r="AG314" s="429">
        <f ca="1">ROUND(IF(DESONERACAO="sim",REFERENCIA.Desonerado,REFERENCIA.NaoDesonerado),2)</f>
        <v>0</v>
      </c>
      <c r="AH314" s="430">
        <f t="shared" ca="1" si="81"/>
        <v>0.31190000000000001</v>
      </c>
      <c r="AJ314" s="432">
        <v>2</v>
      </c>
      <c r="AL314" s="440"/>
      <c r="AM314" s="337">
        <f t="shared" ca="1" si="66"/>
        <v>0</v>
      </c>
      <c r="AN314" s="471">
        <f t="shared" ca="1" si="82"/>
        <v>0</v>
      </c>
    </row>
    <row r="315" spans="1:40" ht="38.25" x14ac:dyDescent="0.2">
      <c r="A315" t="str">
        <f t="shared" si="67"/>
        <v>S</v>
      </c>
      <c r="B315">
        <f t="shared" ca="1" si="68"/>
        <v>3</v>
      </c>
      <c r="C315" t="str">
        <f t="shared" ca="1" si="69"/>
        <v>S</v>
      </c>
      <c r="D315">
        <f t="shared" ca="1" si="70"/>
        <v>0</v>
      </c>
      <c r="E315">
        <f ca="1">IF($C315=1,OFFSET(E315,-1,0)+MAX(1,COUNTIF(QCI!$A$13:$A$24,OFFSET(ORÇAMENTO!E315,-1,0))),OFFSET(E315,-1,0))</f>
        <v>1</v>
      </c>
      <c r="F315">
        <f t="shared" ca="1" si="71"/>
        <v>16</v>
      </c>
      <c r="G315">
        <f t="shared" ca="1" si="72"/>
        <v>6</v>
      </c>
      <c r="H315">
        <f t="shared" ca="1" si="73"/>
        <v>0</v>
      </c>
      <c r="I315">
        <f t="shared" ca="1" si="74"/>
        <v>0</v>
      </c>
      <c r="J315">
        <f t="shared" ca="1" si="75"/>
        <v>0</v>
      </c>
      <c r="K315">
        <f ca="1">IF(OR($C315="S",$C315=0),0,MATCH(OFFSET($D315,0,$C315)+IF($C315&lt;&gt;1,1,COUNTIF(QCI!$A$13:$A$24,ORÇAMENTO!E315)),OFFSET($D315,1,$C315,ROW($C$405)-ROW($C315)),0))</f>
        <v>0</v>
      </c>
      <c r="L315" s="115" t="str">
        <f t="shared" ca="1" si="76"/>
        <v/>
      </c>
      <c r="M315" s="116" t="s">
        <v>706</v>
      </c>
      <c r="N315" s="117" t="str">
        <f t="shared" ca="1" si="77"/>
        <v>Serviço</v>
      </c>
      <c r="O315" s="118" t="str">
        <f t="shared" ca="1" si="78"/>
        <v>-</v>
      </c>
      <c r="P315" s="119" t="s">
        <v>1315</v>
      </c>
      <c r="Q315" s="120" t="s">
        <v>1201</v>
      </c>
      <c r="R315" s="121" t="s">
        <v>1572</v>
      </c>
      <c r="S315" s="122" t="s">
        <v>1644</v>
      </c>
      <c r="T315" s="123">
        <f ca="1">OFFSET(CÁLCULO!H$15,ROW($T315)-ROW(T$15),0)</f>
        <v>1</v>
      </c>
      <c r="U315" s="124"/>
      <c r="V315" s="125" t="s">
        <v>663</v>
      </c>
      <c r="W315" s="123">
        <f ca="1">IF($C315="S",ROUND(IF(TIPOORCAMENTO="Proposto",ORÇAMENTO.CustoUnitario*(1+$AH315),ORÇAMENTO.PrecoUnitarioLicitado),15-13*$AF$10),0)</f>
        <v>0</v>
      </c>
      <c r="X315" s="126" cm="1">
        <f t="array" aca="1" ref="X315" ca="1">IF($C315="S",IF(OR(Import.TipoArredondamento&lt;&gt;"TransfereGOV",ACOMPANHAMENTO="BM"),VTOTAL1,SUM(OFFSET(CÁLCULO!$AA$15,ROW($X315)-ROW($X$15),1):OFFSET(CÁLCULO!$AL$15,ROW($X315)-ROW($X$15),-1))),IF($C315=0,0,ROUND(SomaAgrup,15-13*$AF$11)))</f>
        <v>0</v>
      </c>
      <c r="Y315" s="127" t="s">
        <v>752</v>
      </c>
      <c r="Z315" t="str">
        <f t="shared" ca="1" si="79"/>
        <v/>
      </c>
      <c r="AA315" s="128">
        <f ca="1">IF($C315="S",IF($Z315="CP",$X315,IF($Z315="RA",(($X315)*QCI!$AA$3),0)),SomaAgrup)</f>
        <v>0</v>
      </c>
      <c r="AB315" s="129">
        <f t="shared" ca="1" si="80"/>
        <v>0</v>
      </c>
      <c r="AC315" s="567" t="str">
        <f ca="1">IF($N315=""," ",
IF(AND($C315&lt;&gt;"S",OR($R315="",$R315="(digite a descrição aqui)")),"DESCRIÇÃO",
IF(AND($C315="S",OR($Q315&lt;&gt;0,$T315&gt;0,$U315&gt;0),$P315=0),"FONTE",
IF(AND($C315="S",$P315&lt;&gt;0,OR($T315&gt;0,$U315&gt;0),$Q315=0),"CÓDIGO",
IF(AND($C315="S",$P315&lt;&gt;0,$Q315&lt;&gt;0,$R315="(Código não identificado nas referências)"),"CÓDIGO N/ID",
IF(AND($C315="S",OR($R315="",$R315="(digite a descrição aqui)"),OR($Q315&lt;&gt;0,$T315&gt;0,$U315&gt;0)),"DESCRIÇÃO",
IF(AND($C315="S",$P315&lt;&gt;0,$Q315&lt;&gt;0,$S315=""),"UNIDADE",
IF(AND($C315="S",$P315&lt;&gt;0,$Q315&lt;&gt;0,$U315=0),"SEM CUSTO",
IF(AND(TIPOORCAMENTO="Licitado",$AL315=0,$AN315&gt;0),"SEM PREÇO",
IF(AND($C315="S",$P315&lt;&gt;0,$Q315&lt;&gt;0,$U315&gt;0,$V315=0),"BDI",
IF(OR(AND(TIPOORCAMENTO="Proposto",$AG315&lt;&gt;"",$AG315&gt;0,ORÇAMENTO.CustoUnitario&gt;$AG315),AND(TIPOORCAMENTO="LICITADO",ORÇAMENTO.PrecoUnitarioLicitado&gt;$AN315)),"ACIMA REF.",
IF(AND($C315="S",$P315&lt;&gt;0,$Q315&lt;&gt;0,$T315=0,$U315&gt;0),"QUANT.",
IF(AND(Import.TipoArredondamento="TransfereGOV",$L315="F",$C315="S",LEN($Q315)&gt;13),"Código &gt;13",
IF(AND(Import.TipoArredondamento="TransfereGOV",$L315="F",$C315&lt;&gt;"S",LEN($R315)&gt;100),"Descrição &gt;100",
IF(AND(Import.TipoArredondamento="TransfereGOV",$L315="F",$C315="S",LEN($R315)&gt;500),"Descrição &gt;500",
IF(AND(Import.TipoArredondamento="TransfereGOV",$L315="F",$C315="S",LEFT(TRIM(UPPER($P315)),6)&lt;&gt;"SINAPI",ISNA(VLOOKUP(TRIM(UPPER($S315)),ListaTgov.Unidades,1,FALSE))),"Unid. Não Disp",
" "))))))))))))))))</f>
        <v>SEM CUSTO</v>
      </c>
      <c r="AD315" t="str">
        <f ca="1">IF(C315&lt;=CRONO.NivelExibicao,MAX($AD$15:OFFSET(AD315,-1,0))+IF($C315&lt;&gt;1,1,MAX(1,COUNTIF(QCI!$A$13:$A$24,OFFSET($E315,-1,0)))),"")</f>
        <v/>
      </c>
      <c r="AE315" s="7" t="str">
        <f ca="1">IF(AND($C315="S",ORÇAMENTO.CodBarra&lt;&gt;""),IF(ORÇAMENTO.Fonte="",ORÇAMENTO.CodBarra,CONCATENATE(ORÇAMENTO.Fonte," ",ORÇAMENTO.CodBarra)))</f>
        <v>SINAPI-I 37529</v>
      </c>
      <c r="AF315" s="12" t="str">
        <f ca="1">IF(ISERROR(INDIRECT(ORÇAMENTO.BancoRef)),"(abra o arquivo 'Referência "&amp;Excel_BuiltIn_Database&amp;".xlsm)",IF(OR($C315&lt;&gt;"S",ORÇAMENTO.CodBarra=""),"(Sem Código)",IF(ISERROR(MATCH($AE315,INDIRECT(ORÇAMENTO.BancoRef),0)),"(Código não identificado nas referências)",MATCH($AE315,INDIRECT(ORÇAMENTO.BancoRef),0))))</f>
        <v>(abra o arquivo 'Referência 12-2024.xlsm)</v>
      </c>
      <c r="AG315" s="429">
        <f ca="1">ROUND(IF(DESONERACAO="sim",REFERENCIA.Desonerado,REFERENCIA.NaoDesonerado),2)</f>
        <v>0</v>
      </c>
      <c r="AH315" s="430">
        <f t="shared" ca="1" si="81"/>
        <v>0.31190000000000001</v>
      </c>
      <c r="AJ315" s="432">
        <v>1</v>
      </c>
      <c r="AL315" s="440"/>
      <c r="AM315" s="337">
        <f t="shared" ca="1" si="66"/>
        <v>0</v>
      </c>
      <c r="AN315" s="471">
        <f t="shared" ca="1" si="82"/>
        <v>0</v>
      </c>
    </row>
    <row r="316" spans="1:40" ht="38.25" x14ac:dyDescent="0.2">
      <c r="A316" t="str">
        <f t="shared" si="67"/>
        <v>S</v>
      </c>
      <c r="B316">
        <f t="shared" ca="1" si="68"/>
        <v>3</v>
      </c>
      <c r="C316" t="str">
        <f t="shared" ca="1" si="69"/>
        <v>S</v>
      </c>
      <c r="D316">
        <f t="shared" ca="1" si="70"/>
        <v>0</v>
      </c>
      <c r="E316">
        <f ca="1">IF($C316=1,OFFSET(E316,-1,0)+MAX(1,COUNTIF(QCI!$A$13:$A$24,OFFSET(ORÇAMENTO!E316,-1,0))),OFFSET(E316,-1,0))</f>
        <v>1</v>
      </c>
      <c r="F316">
        <f t="shared" ca="1" si="71"/>
        <v>16</v>
      </c>
      <c r="G316">
        <f t="shared" ca="1" si="72"/>
        <v>6</v>
      </c>
      <c r="H316">
        <f t="shared" ca="1" si="73"/>
        <v>0</v>
      </c>
      <c r="I316">
        <f t="shared" ca="1" si="74"/>
        <v>0</v>
      </c>
      <c r="J316">
        <f t="shared" ca="1" si="75"/>
        <v>0</v>
      </c>
      <c r="K316">
        <f ca="1">IF(OR($C316="S",$C316=0),0,MATCH(OFFSET($D316,0,$C316)+IF($C316&lt;&gt;1,1,COUNTIF(QCI!$A$13:$A$24,ORÇAMENTO!E316)),OFFSET($D316,1,$C316,ROW($C$405)-ROW($C316)),0))</f>
        <v>0</v>
      </c>
      <c r="L316" s="115" t="str">
        <f t="shared" ca="1" si="76"/>
        <v/>
      </c>
      <c r="M316" s="116" t="s">
        <v>706</v>
      </c>
      <c r="N316" s="117" t="str">
        <f t="shared" ca="1" si="77"/>
        <v>Serviço</v>
      </c>
      <c r="O316" s="118" t="str">
        <f t="shared" ca="1" si="78"/>
        <v>-</v>
      </c>
      <c r="P316" s="119" t="s">
        <v>1315</v>
      </c>
      <c r="Q316" s="120" t="s">
        <v>1202</v>
      </c>
      <c r="R316" s="121" t="s">
        <v>1573</v>
      </c>
      <c r="S316" s="122" t="s">
        <v>1644</v>
      </c>
      <c r="T316" s="123">
        <f ca="1">OFFSET(CÁLCULO!H$15,ROW($T316)-ROW(T$15),0)</f>
        <v>2</v>
      </c>
      <c r="U316" s="124"/>
      <c r="V316" s="125" t="s">
        <v>663</v>
      </c>
      <c r="W316" s="123">
        <f ca="1">IF($C316="S",ROUND(IF(TIPOORCAMENTO="Proposto",ORÇAMENTO.CustoUnitario*(1+$AH316),ORÇAMENTO.PrecoUnitarioLicitado),15-13*$AF$10),0)</f>
        <v>0</v>
      </c>
      <c r="X316" s="126" cm="1">
        <f t="array" aca="1" ref="X316" ca="1">IF($C316="S",IF(OR(Import.TipoArredondamento&lt;&gt;"TransfereGOV",ACOMPANHAMENTO="BM"),VTOTAL1,SUM(OFFSET(CÁLCULO!$AA$15,ROW($X316)-ROW($X$15),1):OFFSET(CÁLCULO!$AL$15,ROW($X316)-ROW($X$15),-1))),IF($C316=0,0,ROUND(SomaAgrup,15-13*$AF$11)))</f>
        <v>0</v>
      </c>
      <c r="Y316" s="127" t="s">
        <v>752</v>
      </c>
      <c r="Z316" t="str">
        <f t="shared" ca="1" si="79"/>
        <v/>
      </c>
      <c r="AA316" s="128">
        <f ca="1">IF($C316="S",IF($Z316="CP",$X316,IF($Z316="RA",(($X316)*QCI!$AA$3),0)),SomaAgrup)</f>
        <v>0</v>
      </c>
      <c r="AB316" s="129">
        <f t="shared" ca="1" si="80"/>
        <v>0</v>
      </c>
      <c r="AC316" s="567" t="str">
        <f ca="1">IF($N316=""," ",
IF(AND($C316&lt;&gt;"S",OR($R316="",$R316="(digite a descrição aqui)")),"DESCRIÇÃO",
IF(AND($C316="S",OR($Q316&lt;&gt;0,$T316&gt;0,$U316&gt;0),$P316=0),"FONTE",
IF(AND($C316="S",$P316&lt;&gt;0,OR($T316&gt;0,$U316&gt;0),$Q316=0),"CÓDIGO",
IF(AND($C316="S",$P316&lt;&gt;0,$Q316&lt;&gt;0,$R316="(Código não identificado nas referências)"),"CÓDIGO N/ID",
IF(AND($C316="S",OR($R316="",$R316="(digite a descrição aqui)"),OR($Q316&lt;&gt;0,$T316&gt;0,$U316&gt;0)),"DESCRIÇÃO",
IF(AND($C316="S",$P316&lt;&gt;0,$Q316&lt;&gt;0,$S316=""),"UNIDADE",
IF(AND($C316="S",$P316&lt;&gt;0,$Q316&lt;&gt;0,$U316=0),"SEM CUSTO",
IF(AND(TIPOORCAMENTO="Licitado",$AL316=0,$AN316&gt;0),"SEM PREÇO",
IF(AND($C316="S",$P316&lt;&gt;0,$Q316&lt;&gt;0,$U316&gt;0,$V316=0),"BDI",
IF(OR(AND(TIPOORCAMENTO="Proposto",$AG316&lt;&gt;"",$AG316&gt;0,ORÇAMENTO.CustoUnitario&gt;$AG316),AND(TIPOORCAMENTO="LICITADO",ORÇAMENTO.PrecoUnitarioLicitado&gt;$AN316)),"ACIMA REF.",
IF(AND($C316="S",$P316&lt;&gt;0,$Q316&lt;&gt;0,$T316=0,$U316&gt;0),"QUANT.",
IF(AND(Import.TipoArredondamento="TransfereGOV",$L316="F",$C316="S",LEN($Q316)&gt;13),"Código &gt;13",
IF(AND(Import.TipoArredondamento="TransfereGOV",$L316="F",$C316&lt;&gt;"S",LEN($R316)&gt;100),"Descrição &gt;100",
IF(AND(Import.TipoArredondamento="TransfereGOV",$L316="F",$C316="S",LEN($R316)&gt;500),"Descrição &gt;500",
IF(AND(Import.TipoArredondamento="TransfereGOV",$L316="F",$C316="S",LEFT(TRIM(UPPER($P316)),6)&lt;&gt;"SINAPI",ISNA(VLOOKUP(TRIM(UPPER($S316)),ListaTgov.Unidades,1,FALSE))),"Unid. Não Disp",
" "))))))))))))))))</f>
        <v>SEM CUSTO</v>
      </c>
      <c r="AD316" t="str">
        <f ca="1">IF(C316&lt;=CRONO.NivelExibicao,MAX($AD$15:OFFSET(AD316,-1,0))+IF($C316&lt;&gt;1,1,MAX(1,COUNTIF(QCI!$A$13:$A$24,OFFSET($E316,-1,0)))),"")</f>
        <v/>
      </c>
      <c r="AE316" s="7" t="str">
        <f ca="1">IF(AND($C316="S",ORÇAMENTO.CodBarra&lt;&gt;""),IF(ORÇAMENTO.Fonte="",ORÇAMENTO.CodBarra,CONCATENATE(ORÇAMENTO.Fonte," ",ORÇAMENTO.CodBarra)))</f>
        <v>SINAPI-I 37527</v>
      </c>
      <c r="AF316" s="12" t="str">
        <f ca="1">IF(ISERROR(INDIRECT(ORÇAMENTO.BancoRef)),"(abra o arquivo 'Referência "&amp;Excel_BuiltIn_Database&amp;".xlsm)",IF(OR($C316&lt;&gt;"S",ORÇAMENTO.CodBarra=""),"(Sem Código)",IF(ISERROR(MATCH($AE316,INDIRECT(ORÇAMENTO.BancoRef),0)),"(Código não identificado nas referências)",MATCH($AE316,INDIRECT(ORÇAMENTO.BancoRef),0))))</f>
        <v>(abra o arquivo 'Referência 12-2024.xlsm)</v>
      </c>
      <c r="AG316" s="429">
        <f ca="1">ROUND(IF(DESONERACAO="sim",REFERENCIA.Desonerado,REFERENCIA.NaoDesonerado),2)</f>
        <v>0</v>
      </c>
      <c r="AH316" s="430">
        <f t="shared" ca="1" si="81"/>
        <v>0.31190000000000001</v>
      </c>
      <c r="AJ316" s="432">
        <v>2</v>
      </c>
      <c r="AL316" s="440"/>
      <c r="AM316" s="337">
        <f t="shared" ca="1" si="66"/>
        <v>0</v>
      </c>
      <c r="AN316" s="471">
        <f t="shared" ca="1" si="82"/>
        <v>0</v>
      </c>
    </row>
    <row r="317" spans="1:40" ht="38.25" x14ac:dyDescent="0.2">
      <c r="A317" t="str">
        <f t="shared" si="67"/>
        <v>S</v>
      </c>
      <c r="B317">
        <f t="shared" ca="1" si="68"/>
        <v>3</v>
      </c>
      <c r="C317" t="str">
        <f t="shared" ca="1" si="69"/>
        <v>S</v>
      </c>
      <c r="D317">
        <f t="shared" ca="1" si="70"/>
        <v>0</v>
      </c>
      <c r="E317">
        <f ca="1">IF($C317=1,OFFSET(E317,-1,0)+MAX(1,COUNTIF(QCI!$A$13:$A$24,OFFSET(ORÇAMENTO!E317,-1,0))),OFFSET(E317,-1,0))</f>
        <v>1</v>
      </c>
      <c r="F317">
        <f t="shared" ca="1" si="71"/>
        <v>16</v>
      </c>
      <c r="G317">
        <f t="shared" ca="1" si="72"/>
        <v>6</v>
      </c>
      <c r="H317">
        <f t="shared" ca="1" si="73"/>
        <v>0</v>
      </c>
      <c r="I317">
        <f t="shared" ca="1" si="74"/>
        <v>0</v>
      </c>
      <c r="J317">
        <f t="shared" ca="1" si="75"/>
        <v>0</v>
      </c>
      <c r="K317">
        <f ca="1">IF(OR($C317="S",$C317=0),0,MATCH(OFFSET($D317,0,$C317)+IF($C317&lt;&gt;1,1,COUNTIF(QCI!$A$13:$A$24,ORÇAMENTO!E317)),OFFSET($D317,1,$C317,ROW($C$405)-ROW($C317)),0))</f>
        <v>0</v>
      </c>
      <c r="L317" s="115" t="str">
        <f t="shared" ca="1" si="76"/>
        <v/>
      </c>
      <c r="M317" s="116" t="s">
        <v>706</v>
      </c>
      <c r="N317" s="117" t="str">
        <f t="shared" ca="1" si="77"/>
        <v>Serviço</v>
      </c>
      <c r="O317" s="118" t="str">
        <f t="shared" ca="1" si="78"/>
        <v>-</v>
      </c>
      <c r="P317" s="119" t="s">
        <v>1315</v>
      </c>
      <c r="Q317" s="120" t="s">
        <v>1203</v>
      </c>
      <c r="R317" s="121" t="s">
        <v>1574</v>
      </c>
      <c r="S317" s="122" t="s">
        <v>1644</v>
      </c>
      <c r="T317" s="123">
        <f ca="1">OFFSET(CÁLCULO!H$15,ROW($T317)-ROW(T$15),0)</f>
        <v>2</v>
      </c>
      <c r="U317" s="124"/>
      <c r="V317" s="125" t="s">
        <v>663</v>
      </c>
      <c r="W317" s="123">
        <f ca="1">IF($C317="S",ROUND(IF(TIPOORCAMENTO="Proposto",ORÇAMENTO.CustoUnitario*(1+$AH317),ORÇAMENTO.PrecoUnitarioLicitado),15-13*$AF$10),0)</f>
        <v>0</v>
      </c>
      <c r="X317" s="126" cm="1">
        <f t="array" aca="1" ref="X317" ca="1">IF($C317="S",IF(OR(Import.TipoArredondamento&lt;&gt;"TransfereGOV",ACOMPANHAMENTO="BM"),VTOTAL1,SUM(OFFSET(CÁLCULO!$AA$15,ROW($X317)-ROW($X$15),1):OFFSET(CÁLCULO!$AL$15,ROW($X317)-ROW($X$15),-1))),IF($C317=0,0,ROUND(SomaAgrup,15-13*$AF$11)))</f>
        <v>0</v>
      </c>
      <c r="Y317" s="127" t="s">
        <v>752</v>
      </c>
      <c r="Z317" t="str">
        <f t="shared" ca="1" si="79"/>
        <v/>
      </c>
      <c r="AA317" s="128">
        <f ca="1">IF($C317="S",IF($Z317="CP",$X317,IF($Z317="RA",(($X317)*QCI!$AA$3),0)),SomaAgrup)</f>
        <v>0</v>
      </c>
      <c r="AB317" s="129">
        <f t="shared" ca="1" si="80"/>
        <v>0</v>
      </c>
      <c r="AC317" s="567" t="str">
        <f ca="1">IF($N317=""," ",
IF(AND($C317&lt;&gt;"S",OR($R317="",$R317="(digite a descrição aqui)")),"DESCRIÇÃO",
IF(AND($C317="S",OR($Q317&lt;&gt;0,$T317&gt;0,$U317&gt;0),$P317=0),"FONTE",
IF(AND($C317="S",$P317&lt;&gt;0,OR($T317&gt;0,$U317&gt;0),$Q317=0),"CÓDIGO",
IF(AND($C317="S",$P317&lt;&gt;0,$Q317&lt;&gt;0,$R317="(Código não identificado nas referências)"),"CÓDIGO N/ID",
IF(AND($C317="S",OR($R317="",$R317="(digite a descrição aqui)"),OR($Q317&lt;&gt;0,$T317&gt;0,$U317&gt;0)),"DESCRIÇÃO",
IF(AND($C317="S",$P317&lt;&gt;0,$Q317&lt;&gt;0,$S317=""),"UNIDADE",
IF(AND($C317="S",$P317&lt;&gt;0,$Q317&lt;&gt;0,$U317=0),"SEM CUSTO",
IF(AND(TIPOORCAMENTO="Licitado",$AL317=0,$AN317&gt;0),"SEM PREÇO",
IF(AND($C317="S",$P317&lt;&gt;0,$Q317&lt;&gt;0,$U317&gt;0,$V317=0),"BDI",
IF(OR(AND(TIPOORCAMENTO="Proposto",$AG317&lt;&gt;"",$AG317&gt;0,ORÇAMENTO.CustoUnitario&gt;$AG317),AND(TIPOORCAMENTO="LICITADO",ORÇAMENTO.PrecoUnitarioLicitado&gt;$AN317)),"ACIMA REF.",
IF(AND($C317="S",$P317&lt;&gt;0,$Q317&lt;&gt;0,$T317=0,$U317&gt;0),"QUANT.",
IF(AND(Import.TipoArredondamento="TransfereGOV",$L317="F",$C317="S",LEN($Q317)&gt;13),"Código &gt;13",
IF(AND(Import.TipoArredondamento="TransfereGOV",$L317="F",$C317&lt;&gt;"S",LEN($R317)&gt;100),"Descrição &gt;100",
IF(AND(Import.TipoArredondamento="TransfereGOV",$L317="F",$C317="S",LEN($R317)&gt;500),"Descrição &gt;500",
IF(AND(Import.TipoArredondamento="TransfereGOV",$L317="F",$C317="S",LEFT(TRIM(UPPER($P317)),6)&lt;&gt;"SINAPI",ISNA(VLOOKUP(TRIM(UPPER($S317)),ListaTgov.Unidades,1,FALSE))),"Unid. Não Disp",
" "))))))))))))))))</f>
        <v>SEM CUSTO</v>
      </c>
      <c r="AD317" t="str">
        <f ca="1">IF(C317&lt;=CRONO.NivelExibicao,MAX($AD$15:OFFSET(AD317,-1,0))+IF($C317&lt;&gt;1,1,MAX(1,COUNTIF(QCI!$A$13:$A$24,OFFSET($E317,-1,0)))),"")</f>
        <v/>
      </c>
      <c r="AE317" s="7" t="str">
        <f ca="1">IF(AND($C317="S",ORÇAMENTO.CodBarra&lt;&gt;""),IF(ORÇAMENTO.Fonte="",ORÇAMENTO.CodBarra,CONCATENATE(ORÇAMENTO.Fonte," ",ORÇAMENTO.CodBarra)))</f>
        <v>SINAPI-I 10902</v>
      </c>
      <c r="AF317" s="12" t="str">
        <f ca="1">IF(ISERROR(INDIRECT(ORÇAMENTO.BancoRef)),"(abra o arquivo 'Referência "&amp;Excel_BuiltIn_Database&amp;".xlsm)",IF(OR($C317&lt;&gt;"S",ORÇAMENTO.CodBarra=""),"(Sem Código)",IF(ISERROR(MATCH($AE317,INDIRECT(ORÇAMENTO.BancoRef),0)),"(Código não identificado nas referências)",MATCH($AE317,INDIRECT(ORÇAMENTO.BancoRef),0))))</f>
        <v>(abra o arquivo 'Referência 12-2024.xlsm)</v>
      </c>
      <c r="AG317" s="429">
        <f ca="1">ROUND(IF(DESONERACAO="sim",REFERENCIA.Desonerado,REFERENCIA.NaoDesonerado),2)</f>
        <v>0</v>
      </c>
      <c r="AH317" s="430">
        <f t="shared" ca="1" si="81"/>
        <v>0.31190000000000001</v>
      </c>
      <c r="AJ317" s="432">
        <v>2</v>
      </c>
      <c r="AL317" s="440"/>
      <c r="AM317" s="337">
        <f t="shared" ca="1" si="66"/>
        <v>0</v>
      </c>
      <c r="AN317" s="471">
        <f t="shared" ca="1" si="82"/>
        <v>0</v>
      </c>
    </row>
    <row r="318" spans="1:40" ht="25.5" x14ac:dyDescent="0.2">
      <c r="A318" t="str">
        <f t="shared" si="67"/>
        <v>S</v>
      </c>
      <c r="B318">
        <f t="shared" ca="1" si="68"/>
        <v>3</v>
      </c>
      <c r="C318" t="str">
        <f t="shared" ca="1" si="69"/>
        <v>S</v>
      </c>
      <c r="D318">
        <f t="shared" ca="1" si="70"/>
        <v>0</v>
      </c>
      <c r="E318">
        <f ca="1">IF($C318=1,OFFSET(E318,-1,0)+MAX(1,COUNTIF(QCI!$A$13:$A$24,OFFSET(ORÇAMENTO!E318,-1,0))),OFFSET(E318,-1,0))</f>
        <v>1</v>
      </c>
      <c r="F318">
        <f t="shared" ca="1" si="71"/>
        <v>16</v>
      </c>
      <c r="G318">
        <f t="shared" ca="1" si="72"/>
        <v>6</v>
      </c>
      <c r="H318">
        <f t="shared" ca="1" si="73"/>
        <v>0</v>
      </c>
      <c r="I318">
        <f t="shared" ca="1" si="74"/>
        <v>0</v>
      </c>
      <c r="J318">
        <f t="shared" ca="1" si="75"/>
        <v>0</v>
      </c>
      <c r="K318">
        <f ca="1">IF(OR($C318="S",$C318=0),0,MATCH(OFFSET($D318,0,$C318)+IF($C318&lt;&gt;1,1,COUNTIF(QCI!$A$13:$A$24,ORÇAMENTO!E318)),OFFSET($D318,1,$C318,ROW($C$405)-ROW($C318)),0))</f>
        <v>0</v>
      </c>
      <c r="L318" s="115" t="str">
        <f t="shared" ca="1" si="76"/>
        <v/>
      </c>
      <c r="M318" s="116" t="s">
        <v>706</v>
      </c>
      <c r="N318" s="117" t="str">
        <f t="shared" ca="1" si="77"/>
        <v>Serviço</v>
      </c>
      <c r="O318" s="118" t="str">
        <f t="shared" ca="1" si="78"/>
        <v>-</v>
      </c>
      <c r="P318" s="119" t="s">
        <v>751</v>
      </c>
      <c r="Q318" s="120" t="s">
        <v>1204</v>
      </c>
      <c r="R318" s="121" t="s">
        <v>1575</v>
      </c>
      <c r="S318" s="122" t="s">
        <v>639</v>
      </c>
      <c r="T318" s="123">
        <f ca="1">OFFSET(CÁLCULO!H$15,ROW($T318)-ROW(T$15),0)</f>
        <v>2</v>
      </c>
      <c r="U318" s="124"/>
      <c r="V318" s="125" t="s">
        <v>663</v>
      </c>
      <c r="W318" s="123">
        <f ca="1">IF($C318="S",ROUND(IF(TIPOORCAMENTO="Proposto",ORÇAMENTO.CustoUnitario*(1+$AH318),ORÇAMENTO.PrecoUnitarioLicitado),15-13*$AF$10),0)</f>
        <v>0</v>
      </c>
      <c r="X318" s="126" cm="1">
        <f t="array" aca="1" ref="X318" ca="1">IF($C318="S",IF(OR(Import.TipoArredondamento&lt;&gt;"TransfereGOV",ACOMPANHAMENTO="BM"),VTOTAL1,SUM(OFFSET(CÁLCULO!$AA$15,ROW($X318)-ROW($X$15),1):OFFSET(CÁLCULO!$AL$15,ROW($X318)-ROW($X$15),-1))),IF($C318=0,0,ROUND(SomaAgrup,15-13*$AF$11)))</f>
        <v>0</v>
      </c>
      <c r="Y318" s="127" t="s">
        <v>752</v>
      </c>
      <c r="Z318" t="str">
        <f t="shared" ca="1" si="79"/>
        <v/>
      </c>
      <c r="AA318" s="128">
        <f ca="1">IF($C318="S",IF($Z318="CP",$X318,IF($Z318="RA",(($X318)*QCI!$AA$3),0)),SomaAgrup)</f>
        <v>0</v>
      </c>
      <c r="AB318" s="129">
        <f t="shared" ca="1" si="80"/>
        <v>0</v>
      </c>
      <c r="AC318" s="567" t="str">
        <f ca="1">IF($N318=""," ",
IF(AND($C318&lt;&gt;"S",OR($R318="",$R318="(digite a descrição aqui)")),"DESCRIÇÃO",
IF(AND($C318="S",OR($Q318&lt;&gt;0,$T318&gt;0,$U318&gt;0),$P318=0),"FONTE",
IF(AND($C318="S",$P318&lt;&gt;0,OR($T318&gt;0,$U318&gt;0),$Q318=0),"CÓDIGO",
IF(AND($C318="S",$P318&lt;&gt;0,$Q318&lt;&gt;0,$R318="(Código não identificado nas referências)"),"CÓDIGO N/ID",
IF(AND($C318="S",OR($R318="",$R318="(digite a descrição aqui)"),OR($Q318&lt;&gt;0,$T318&gt;0,$U318&gt;0)),"DESCRIÇÃO",
IF(AND($C318="S",$P318&lt;&gt;0,$Q318&lt;&gt;0,$S318=""),"UNIDADE",
IF(AND($C318="S",$P318&lt;&gt;0,$Q318&lt;&gt;0,$U318=0),"SEM CUSTO",
IF(AND(TIPOORCAMENTO="Licitado",$AL318=0,$AN318&gt;0),"SEM PREÇO",
IF(AND($C318="S",$P318&lt;&gt;0,$Q318&lt;&gt;0,$U318&gt;0,$V318=0),"BDI",
IF(OR(AND(TIPOORCAMENTO="Proposto",$AG318&lt;&gt;"",$AG318&gt;0,ORÇAMENTO.CustoUnitario&gt;$AG318),AND(TIPOORCAMENTO="LICITADO",ORÇAMENTO.PrecoUnitarioLicitado&gt;$AN318)),"ACIMA REF.",
IF(AND($C318="S",$P318&lt;&gt;0,$Q318&lt;&gt;0,$T318=0,$U318&gt;0),"QUANT.",
IF(AND(Import.TipoArredondamento="TransfereGOV",$L318="F",$C318="S",LEN($Q318)&gt;13),"Código &gt;13",
IF(AND(Import.TipoArredondamento="TransfereGOV",$L318="F",$C318&lt;&gt;"S",LEN($R318)&gt;100),"Descrição &gt;100",
IF(AND(Import.TipoArredondamento="TransfereGOV",$L318="F",$C318="S",LEN($R318)&gt;500),"Descrição &gt;500",
IF(AND(Import.TipoArredondamento="TransfereGOV",$L318="F",$C318="S",LEFT(TRIM(UPPER($P318)),6)&lt;&gt;"SINAPI",ISNA(VLOOKUP(TRIM(UPPER($S318)),ListaTgov.Unidades,1,FALSE))),"Unid. Não Disp",
" "))))))))))))))))</f>
        <v>SEM CUSTO</v>
      </c>
      <c r="AD318" t="str">
        <f ca="1">IF(C318&lt;=CRONO.NivelExibicao,MAX($AD$15:OFFSET(AD318,-1,0))+IF($C318&lt;&gt;1,1,MAX(1,COUNTIF(QCI!$A$13:$A$24,OFFSET($E318,-1,0)))),"")</f>
        <v/>
      </c>
      <c r="AE318" s="7" t="str">
        <f ca="1">IF(AND($C318="S",ORÇAMENTO.CodBarra&lt;&gt;""),IF(ORÇAMENTO.Fonte="",ORÇAMENTO.CodBarra,CONCATENATE(ORÇAMENTO.Fonte," ",ORÇAMENTO.CodBarra)))</f>
        <v>SINAPI 94499</v>
      </c>
      <c r="AF318" s="12" t="str">
        <f ca="1">IF(ISERROR(INDIRECT(ORÇAMENTO.BancoRef)),"(abra o arquivo 'Referência "&amp;Excel_BuiltIn_Database&amp;".xlsm)",IF(OR($C318&lt;&gt;"S",ORÇAMENTO.CodBarra=""),"(Sem Código)",IF(ISERROR(MATCH($AE318,INDIRECT(ORÇAMENTO.BancoRef),0)),"(Código não identificado nas referências)",MATCH($AE318,INDIRECT(ORÇAMENTO.BancoRef),0))))</f>
        <v>(abra o arquivo 'Referência 12-2024.xlsm)</v>
      </c>
      <c r="AG318" s="429">
        <f ca="1">ROUND(IF(DESONERACAO="sim",REFERENCIA.Desonerado,REFERENCIA.NaoDesonerado),2)</f>
        <v>0</v>
      </c>
      <c r="AH318" s="430">
        <f t="shared" ca="1" si="81"/>
        <v>0.31190000000000001</v>
      </c>
      <c r="AJ318" s="432">
        <v>2</v>
      </c>
      <c r="AL318" s="440"/>
      <c r="AM318" s="337">
        <f t="shared" ca="1" si="66"/>
        <v>0</v>
      </c>
      <c r="AN318" s="471">
        <f t="shared" ca="1" si="82"/>
        <v>0</v>
      </c>
    </row>
    <row r="319" spans="1:40" ht="25.5" x14ac:dyDescent="0.2">
      <c r="A319" t="str">
        <f t="shared" si="67"/>
        <v>S</v>
      </c>
      <c r="B319">
        <f t="shared" ca="1" si="68"/>
        <v>3</v>
      </c>
      <c r="C319" t="str">
        <f t="shared" ca="1" si="69"/>
        <v>S</v>
      </c>
      <c r="D319">
        <f t="shared" ca="1" si="70"/>
        <v>0</v>
      </c>
      <c r="E319">
        <f ca="1">IF($C319=1,OFFSET(E319,-1,0)+MAX(1,COUNTIF(QCI!$A$13:$A$24,OFFSET(ORÇAMENTO!E319,-1,0))),OFFSET(E319,-1,0))</f>
        <v>1</v>
      </c>
      <c r="F319">
        <f t="shared" ca="1" si="71"/>
        <v>16</v>
      </c>
      <c r="G319">
        <f t="shared" ca="1" si="72"/>
        <v>6</v>
      </c>
      <c r="H319">
        <f t="shared" ca="1" si="73"/>
        <v>0</v>
      </c>
      <c r="I319">
        <f t="shared" ca="1" si="74"/>
        <v>0</v>
      </c>
      <c r="J319">
        <f t="shared" ca="1" si="75"/>
        <v>0</v>
      </c>
      <c r="K319">
        <f ca="1">IF(OR($C319="S",$C319=0),0,MATCH(OFFSET($D319,0,$C319)+IF($C319&lt;&gt;1,1,COUNTIF(QCI!$A$13:$A$24,ORÇAMENTO!E319)),OFFSET($D319,1,$C319,ROW($C$405)-ROW($C319)),0))</f>
        <v>0</v>
      </c>
      <c r="L319" s="115" t="str">
        <f t="shared" ca="1" si="76"/>
        <v/>
      </c>
      <c r="M319" s="116" t="s">
        <v>706</v>
      </c>
      <c r="N319" s="117" t="str">
        <f t="shared" ca="1" si="77"/>
        <v>Serviço</v>
      </c>
      <c r="O319" s="118" t="str">
        <f t="shared" ca="1" si="78"/>
        <v>-</v>
      </c>
      <c r="P319" s="119" t="s">
        <v>751</v>
      </c>
      <c r="Q319" s="120" t="s">
        <v>1205</v>
      </c>
      <c r="R319" s="121" t="s">
        <v>1576</v>
      </c>
      <c r="S319" s="122" t="s">
        <v>639</v>
      </c>
      <c r="T319" s="123">
        <f ca="1">OFFSET(CÁLCULO!H$15,ROW($T319)-ROW(T$15),0)</f>
        <v>1</v>
      </c>
      <c r="U319" s="124"/>
      <c r="V319" s="125" t="s">
        <v>663</v>
      </c>
      <c r="W319" s="123">
        <f ca="1">IF($C319="S",ROUND(IF(TIPOORCAMENTO="Proposto",ORÇAMENTO.CustoUnitario*(1+$AH319),ORÇAMENTO.PrecoUnitarioLicitado),15-13*$AF$10),0)</f>
        <v>0</v>
      </c>
      <c r="X319" s="126" cm="1">
        <f t="array" aca="1" ref="X319" ca="1">IF($C319="S",IF(OR(Import.TipoArredondamento&lt;&gt;"TransfereGOV",ACOMPANHAMENTO="BM"),VTOTAL1,SUM(OFFSET(CÁLCULO!$AA$15,ROW($X319)-ROW($X$15),1):OFFSET(CÁLCULO!$AL$15,ROW($X319)-ROW($X$15),-1))),IF($C319=0,0,ROUND(SomaAgrup,15-13*$AF$11)))</f>
        <v>0</v>
      </c>
      <c r="Y319" s="127" t="s">
        <v>752</v>
      </c>
      <c r="Z319" t="str">
        <f t="shared" ca="1" si="79"/>
        <v/>
      </c>
      <c r="AA319" s="128">
        <f ca="1">IF($C319="S",IF($Z319="CP",$X319,IF($Z319="RA",(($X319)*QCI!$AA$3),0)),SomaAgrup)</f>
        <v>0</v>
      </c>
      <c r="AB319" s="129">
        <f t="shared" ca="1" si="80"/>
        <v>0</v>
      </c>
      <c r="AC319" s="567" t="str">
        <f ca="1">IF($N319=""," ",
IF(AND($C319&lt;&gt;"S",OR($R319="",$R319="(digite a descrição aqui)")),"DESCRIÇÃO",
IF(AND($C319="S",OR($Q319&lt;&gt;0,$T319&gt;0,$U319&gt;0),$P319=0),"FONTE",
IF(AND($C319="S",$P319&lt;&gt;0,OR($T319&gt;0,$U319&gt;0),$Q319=0),"CÓDIGO",
IF(AND($C319="S",$P319&lt;&gt;0,$Q319&lt;&gt;0,$R319="(Código não identificado nas referências)"),"CÓDIGO N/ID",
IF(AND($C319="S",OR($R319="",$R319="(digite a descrição aqui)"),OR($Q319&lt;&gt;0,$T319&gt;0,$U319&gt;0)),"DESCRIÇÃO",
IF(AND($C319="S",$P319&lt;&gt;0,$Q319&lt;&gt;0,$S319=""),"UNIDADE",
IF(AND($C319="S",$P319&lt;&gt;0,$Q319&lt;&gt;0,$U319=0),"SEM CUSTO",
IF(AND(TIPOORCAMENTO="Licitado",$AL319=0,$AN319&gt;0),"SEM PREÇO",
IF(AND($C319="S",$P319&lt;&gt;0,$Q319&lt;&gt;0,$U319&gt;0,$V319=0),"BDI",
IF(OR(AND(TIPOORCAMENTO="Proposto",$AG319&lt;&gt;"",$AG319&gt;0,ORÇAMENTO.CustoUnitario&gt;$AG319),AND(TIPOORCAMENTO="LICITADO",ORÇAMENTO.PrecoUnitarioLicitado&gt;$AN319)),"ACIMA REF.",
IF(AND($C319="S",$P319&lt;&gt;0,$Q319&lt;&gt;0,$T319=0,$U319&gt;0),"QUANT.",
IF(AND(Import.TipoArredondamento="TransfereGOV",$L319="F",$C319="S",LEN($Q319)&gt;13),"Código &gt;13",
IF(AND(Import.TipoArredondamento="TransfereGOV",$L319="F",$C319&lt;&gt;"S",LEN($R319)&gt;100),"Descrição &gt;100",
IF(AND(Import.TipoArredondamento="TransfereGOV",$L319="F",$C319="S",LEN($R319)&gt;500),"Descrição &gt;500",
IF(AND(Import.TipoArredondamento="TransfereGOV",$L319="F",$C319="S",LEFT(TRIM(UPPER($P319)),6)&lt;&gt;"SINAPI",ISNA(VLOOKUP(TRIM(UPPER($S319)),ListaTgov.Unidades,1,FALSE))),"Unid. Não Disp",
" "))))))))))))))))</f>
        <v>SEM CUSTO</v>
      </c>
      <c r="AD319" t="str">
        <f ca="1">IF(C319&lt;=CRONO.NivelExibicao,MAX($AD$15:OFFSET(AD319,-1,0))+IF($C319&lt;&gt;1,1,MAX(1,COUNTIF(QCI!$A$13:$A$24,OFFSET($E319,-1,0)))),"")</f>
        <v/>
      </c>
      <c r="AE319" s="7" t="str">
        <f ca="1">IF(AND($C319="S",ORÇAMENTO.CodBarra&lt;&gt;""),IF(ORÇAMENTO.Fonte="",ORÇAMENTO.CodBarra,CONCATENATE(ORÇAMENTO.Fonte," ",ORÇAMENTO.CodBarra)))</f>
        <v>SINAPI 103009</v>
      </c>
      <c r="AF319" s="12" t="str">
        <f ca="1">IF(ISERROR(INDIRECT(ORÇAMENTO.BancoRef)),"(abra o arquivo 'Referência "&amp;Excel_BuiltIn_Database&amp;".xlsm)",IF(OR($C319&lt;&gt;"S",ORÇAMENTO.CodBarra=""),"(Sem Código)",IF(ISERROR(MATCH($AE319,INDIRECT(ORÇAMENTO.BancoRef),0)),"(Código não identificado nas referências)",MATCH($AE319,INDIRECT(ORÇAMENTO.BancoRef),0))))</f>
        <v>(abra o arquivo 'Referência 12-2024.xlsm)</v>
      </c>
      <c r="AG319" s="429">
        <f ca="1">ROUND(IF(DESONERACAO="sim",REFERENCIA.Desonerado,REFERENCIA.NaoDesonerado),2)</f>
        <v>0</v>
      </c>
      <c r="AH319" s="430">
        <f t="shared" ca="1" si="81"/>
        <v>0.31190000000000001</v>
      </c>
      <c r="AJ319" s="432">
        <v>1</v>
      </c>
      <c r="AL319" s="440"/>
      <c r="AM319" s="337">
        <f t="shared" ca="1" si="66"/>
        <v>0</v>
      </c>
      <c r="AN319" s="471">
        <f t="shared" ca="1" si="82"/>
        <v>0</v>
      </c>
    </row>
    <row r="320" spans="1:40" ht="25.5" x14ac:dyDescent="0.2">
      <c r="A320" t="str">
        <f t="shared" si="67"/>
        <v>S</v>
      </c>
      <c r="B320">
        <f t="shared" ca="1" si="68"/>
        <v>3</v>
      </c>
      <c r="C320" t="str">
        <f t="shared" ca="1" si="69"/>
        <v>S</v>
      </c>
      <c r="D320">
        <f t="shared" ca="1" si="70"/>
        <v>0</v>
      </c>
      <c r="E320">
        <f ca="1">IF($C320=1,OFFSET(E320,-1,0)+MAX(1,COUNTIF(QCI!$A$13:$A$24,OFFSET(ORÇAMENTO!E320,-1,0))),OFFSET(E320,-1,0))</f>
        <v>1</v>
      </c>
      <c r="F320">
        <f t="shared" ca="1" si="71"/>
        <v>16</v>
      </c>
      <c r="G320">
        <f t="shared" ca="1" si="72"/>
        <v>6</v>
      </c>
      <c r="H320">
        <f t="shared" ca="1" si="73"/>
        <v>0</v>
      </c>
      <c r="I320">
        <f t="shared" ca="1" si="74"/>
        <v>0</v>
      </c>
      <c r="J320">
        <f t="shared" ca="1" si="75"/>
        <v>0</v>
      </c>
      <c r="K320">
        <f ca="1">IF(OR($C320="S",$C320=0),0,MATCH(OFFSET($D320,0,$C320)+IF($C320&lt;&gt;1,1,COUNTIF(QCI!$A$13:$A$24,ORÇAMENTO!E320)),OFFSET($D320,1,$C320,ROW($C$405)-ROW($C320)),0))</f>
        <v>0</v>
      </c>
      <c r="L320" s="115" t="str">
        <f t="shared" ca="1" si="76"/>
        <v/>
      </c>
      <c r="M320" s="116" t="s">
        <v>706</v>
      </c>
      <c r="N320" s="117" t="str">
        <f t="shared" ca="1" si="77"/>
        <v>Serviço</v>
      </c>
      <c r="O320" s="118" t="str">
        <f t="shared" ca="1" si="78"/>
        <v>-</v>
      </c>
      <c r="P320" s="119" t="s">
        <v>751</v>
      </c>
      <c r="Q320" s="120" t="s">
        <v>1206</v>
      </c>
      <c r="R320" s="121" t="s">
        <v>1577</v>
      </c>
      <c r="S320" s="122" t="s">
        <v>639</v>
      </c>
      <c r="T320" s="123">
        <f ca="1">OFFSET(CÁLCULO!H$15,ROW($T320)-ROW(T$15),0)</f>
        <v>1</v>
      </c>
      <c r="U320" s="124"/>
      <c r="V320" s="125" t="s">
        <v>663</v>
      </c>
      <c r="W320" s="123">
        <f ca="1">IF($C320="S",ROUND(IF(TIPOORCAMENTO="Proposto",ORÇAMENTO.CustoUnitario*(1+$AH320),ORÇAMENTO.PrecoUnitarioLicitado),15-13*$AF$10),0)</f>
        <v>0</v>
      </c>
      <c r="X320" s="126" cm="1">
        <f t="array" aca="1" ref="X320" ca="1">IF($C320="S",IF(OR(Import.TipoArredondamento&lt;&gt;"TransfereGOV",ACOMPANHAMENTO="BM"),VTOTAL1,SUM(OFFSET(CÁLCULO!$AA$15,ROW($X320)-ROW($X$15),1):OFFSET(CÁLCULO!$AL$15,ROW($X320)-ROW($X$15),-1))),IF($C320=0,0,ROUND(SomaAgrup,15-13*$AF$11)))</f>
        <v>0</v>
      </c>
      <c r="Y320" s="127" t="s">
        <v>752</v>
      </c>
      <c r="Z320" t="str">
        <f t="shared" ca="1" si="79"/>
        <v/>
      </c>
      <c r="AA320" s="128">
        <f ca="1">IF($C320="S",IF($Z320="CP",$X320,IF($Z320="RA",(($X320)*QCI!$AA$3),0)),SomaAgrup)</f>
        <v>0</v>
      </c>
      <c r="AB320" s="129">
        <f t="shared" ca="1" si="80"/>
        <v>0</v>
      </c>
      <c r="AC320" s="567" t="str">
        <f ca="1">IF($N320=""," ",
IF(AND($C320&lt;&gt;"S",OR($R320="",$R320="(digite a descrição aqui)")),"DESCRIÇÃO",
IF(AND($C320="S",OR($Q320&lt;&gt;0,$T320&gt;0,$U320&gt;0),$P320=0),"FONTE",
IF(AND($C320="S",$P320&lt;&gt;0,OR($T320&gt;0,$U320&gt;0),$Q320=0),"CÓDIGO",
IF(AND($C320="S",$P320&lt;&gt;0,$Q320&lt;&gt;0,$R320="(Código não identificado nas referências)"),"CÓDIGO N/ID",
IF(AND($C320="S",OR($R320="",$R320="(digite a descrição aqui)"),OR($Q320&lt;&gt;0,$T320&gt;0,$U320&gt;0)),"DESCRIÇÃO",
IF(AND($C320="S",$P320&lt;&gt;0,$Q320&lt;&gt;0,$S320=""),"UNIDADE",
IF(AND($C320="S",$P320&lt;&gt;0,$Q320&lt;&gt;0,$U320=0),"SEM CUSTO",
IF(AND(TIPOORCAMENTO="Licitado",$AL320=0,$AN320&gt;0),"SEM PREÇO",
IF(AND($C320="S",$P320&lt;&gt;0,$Q320&lt;&gt;0,$U320&gt;0,$V320=0),"BDI",
IF(OR(AND(TIPOORCAMENTO="Proposto",$AG320&lt;&gt;"",$AG320&gt;0,ORÇAMENTO.CustoUnitario&gt;$AG320),AND(TIPOORCAMENTO="LICITADO",ORÇAMENTO.PrecoUnitarioLicitado&gt;$AN320)),"ACIMA REF.",
IF(AND($C320="S",$P320&lt;&gt;0,$Q320&lt;&gt;0,$T320=0,$U320&gt;0),"QUANT.",
IF(AND(Import.TipoArredondamento="TransfereGOV",$L320="F",$C320="S",LEN($Q320)&gt;13),"Código &gt;13",
IF(AND(Import.TipoArredondamento="TransfereGOV",$L320="F",$C320&lt;&gt;"S",LEN($R320)&gt;100),"Descrição &gt;100",
IF(AND(Import.TipoArredondamento="TransfereGOV",$L320="F",$C320="S",LEN($R320)&gt;500),"Descrição &gt;500",
IF(AND(Import.TipoArredondamento="TransfereGOV",$L320="F",$C320="S",LEFT(TRIM(UPPER($P320)),6)&lt;&gt;"SINAPI",ISNA(VLOOKUP(TRIM(UPPER($S320)),ListaTgov.Unidades,1,FALSE))),"Unid. Não Disp",
" "))))))))))))))))</f>
        <v>SEM CUSTO</v>
      </c>
      <c r="AD320" t="str">
        <f ca="1">IF(C320&lt;=CRONO.NivelExibicao,MAX($AD$15:OFFSET(AD320,-1,0))+IF($C320&lt;&gt;1,1,MAX(1,COUNTIF(QCI!$A$13:$A$24,OFFSET($E320,-1,0)))),"")</f>
        <v/>
      </c>
      <c r="AE320" s="7" t="str">
        <f ca="1">IF(AND($C320="S",ORÇAMENTO.CodBarra&lt;&gt;""),IF(ORÇAMENTO.Fonte="",ORÇAMENTO.CodBarra,CONCATENATE(ORÇAMENTO.Fonte," ",ORÇAMENTO.CodBarra)))</f>
        <v>SINAPI 99624</v>
      </c>
      <c r="AF320" s="12" t="str">
        <f ca="1">IF(ISERROR(INDIRECT(ORÇAMENTO.BancoRef)),"(abra o arquivo 'Referência "&amp;Excel_BuiltIn_Database&amp;".xlsm)",IF(OR($C320&lt;&gt;"S",ORÇAMENTO.CodBarra=""),"(Sem Código)",IF(ISERROR(MATCH($AE320,INDIRECT(ORÇAMENTO.BancoRef),0)),"(Código não identificado nas referências)",MATCH($AE320,INDIRECT(ORÇAMENTO.BancoRef),0))))</f>
        <v>(abra o arquivo 'Referência 12-2024.xlsm)</v>
      </c>
      <c r="AG320" s="429">
        <f ca="1">ROUND(IF(DESONERACAO="sim",REFERENCIA.Desonerado,REFERENCIA.NaoDesonerado),2)</f>
        <v>0</v>
      </c>
      <c r="AH320" s="430">
        <f t="shared" ca="1" si="81"/>
        <v>0.31190000000000001</v>
      </c>
      <c r="AJ320" s="432">
        <v>1</v>
      </c>
      <c r="AL320" s="440"/>
      <c r="AM320" s="337">
        <f t="shared" ca="1" si="66"/>
        <v>0</v>
      </c>
      <c r="AN320" s="471">
        <f t="shared" ca="1" si="82"/>
        <v>0</v>
      </c>
    </row>
    <row r="321" spans="1:40" ht="25.5" x14ac:dyDescent="0.2">
      <c r="A321" t="str">
        <f t="shared" si="67"/>
        <v>S</v>
      </c>
      <c r="B321">
        <f t="shared" ca="1" si="68"/>
        <v>3</v>
      </c>
      <c r="C321" t="str">
        <f t="shared" ca="1" si="69"/>
        <v>S</v>
      </c>
      <c r="D321">
        <f t="shared" ca="1" si="70"/>
        <v>0</v>
      </c>
      <c r="E321">
        <f ca="1">IF($C321=1,OFFSET(E321,-1,0)+MAX(1,COUNTIF(QCI!$A$13:$A$24,OFFSET(ORÇAMENTO!E321,-1,0))),OFFSET(E321,-1,0))</f>
        <v>1</v>
      </c>
      <c r="F321">
        <f t="shared" ca="1" si="71"/>
        <v>16</v>
      </c>
      <c r="G321">
        <f t="shared" ca="1" si="72"/>
        <v>6</v>
      </c>
      <c r="H321">
        <f t="shared" ca="1" si="73"/>
        <v>0</v>
      </c>
      <c r="I321">
        <f t="shared" ca="1" si="74"/>
        <v>0</v>
      </c>
      <c r="J321">
        <f t="shared" ca="1" si="75"/>
        <v>0</v>
      </c>
      <c r="K321">
        <f ca="1">IF(OR($C321="S",$C321=0),0,MATCH(OFFSET($D321,0,$C321)+IF($C321&lt;&gt;1,1,COUNTIF(QCI!$A$13:$A$24,ORÇAMENTO!E321)),OFFSET($D321,1,$C321,ROW($C$405)-ROW($C321)),0))</f>
        <v>0</v>
      </c>
      <c r="L321" s="115" t="str">
        <f t="shared" ca="1" si="76"/>
        <v/>
      </c>
      <c r="M321" s="116" t="s">
        <v>706</v>
      </c>
      <c r="N321" s="117" t="str">
        <f t="shared" ca="1" si="77"/>
        <v>Serviço</v>
      </c>
      <c r="O321" s="118" t="str">
        <f t="shared" ca="1" si="78"/>
        <v>-</v>
      </c>
      <c r="P321" s="119" t="s">
        <v>1315</v>
      </c>
      <c r="Q321" s="120" t="s">
        <v>1207</v>
      </c>
      <c r="R321" s="121" t="s">
        <v>1578</v>
      </c>
      <c r="S321" s="122" t="s">
        <v>1644</v>
      </c>
      <c r="T321" s="123">
        <f ca="1">OFFSET(CÁLCULO!H$15,ROW($T321)-ROW(T$15),0)</f>
        <v>1</v>
      </c>
      <c r="U321" s="124"/>
      <c r="V321" s="125" t="s">
        <v>663</v>
      </c>
      <c r="W321" s="123">
        <f ca="1">IF($C321="S",ROUND(IF(TIPOORCAMENTO="Proposto",ORÇAMENTO.CustoUnitario*(1+$AH321),ORÇAMENTO.PrecoUnitarioLicitado),15-13*$AF$10),0)</f>
        <v>0</v>
      </c>
      <c r="X321" s="126" cm="1">
        <f t="array" aca="1" ref="X321" ca="1">IF($C321="S",IF(OR(Import.TipoArredondamento&lt;&gt;"TransfereGOV",ACOMPANHAMENTO="BM"),VTOTAL1,SUM(OFFSET(CÁLCULO!$AA$15,ROW($X321)-ROW($X$15),1):OFFSET(CÁLCULO!$AL$15,ROW($X321)-ROW($X$15),-1))),IF($C321=0,0,ROUND(SomaAgrup,15-13*$AF$11)))</f>
        <v>0</v>
      </c>
      <c r="Y321" s="127" t="s">
        <v>752</v>
      </c>
      <c r="Z321" t="str">
        <f t="shared" ca="1" si="79"/>
        <v/>
      </c>
      <c r="AA321" s="128">
        <f ca="1">IF($C321="S",IF($Z321="CP",$X321,IF($Z321="RA",(($X321)*QCI!$AA$3),0)),SomaAgrup)</f>
        <v>0</v>
      </c>
      <c r="AB321" s="129">
        <f t="shared" ca="1" si="80"/>
        <v>0</v>
      </c>
      <c r="AC321" s="567" t="str">
        <f ca="1">IF($N321=""," ",
IF(AND($C321&lt;&gt;"S",OR($R321="",$R321="(digite a descrição aqui)")),"DESCRIÇÃO",
IF(AND($C321="S",OR($Q321&lt;&gt;0,$T321&gt;0,$U321&gt;0),$P321=0),"FONTE",
IF(AND($C321="S",$P321&lt;&gt;0,OR($T321&gt;0,$U321&gt;0),$Q321=0),"CÓDIGO",
IF(AND($C321="S",$P321&lt;&gt;0,$Q321&lt;&gt;0,$R321="(Código não identificado nas referências)"),"CÓDIGO N/ID",
IF(AND($C321="S",OR($R321="",$R321="(digite a descrição aqui)"),OR($Q321&lt;&gt;0,$T321&gt;0,$U321&gt;0)),"DESCRIÇÃO",
IF(AND($C321="S",$P321&lt;&gt;0,$Q321&lt;&gt;0,$S321=""),"UNIDADE",
IF(AND($C321="S",$P321&lt;&gt;0,$Q321&lt;&gt;0,$U321=0),"SEM CUSTO",
IF(AND(TIPOORCAMENTO="Licitado",$AL321=0,$AN321&gt;0),"SEM PREÇO",
IF(AND($C321="S",$P321&lt;&gt;0,$Q321&lt;&gt;0,$U321&gt;0,$V321=0),"BDI",
IF(OR(AND(TIPOORCAMENTO="Proposto",$AG321&lt;&gt;"",$AG321&gt;0,ORÇAMENTO.CustoUnitario&gt;$AG321),AND(TIPOORCAMENTO="LICITADO",ORÇAMENTO.PrecoUnitarioLicitado&gt;$AN321)),"ACIMA REF.",
IF(AND($C321="S",$P321&lt;&gt;0,$Q321&lt;&gt;0,$T321=0,$U321&gt;0),"QUANT.",
IF(AND(Import.TipoArredondamento="TransfereGOV",$L321="F",$C321="S",LEN($Q321)&gt;13),"Código &gt;13",
IF(AND(Import.TipoArredondamento="TransfereGOV",$L321="F",$C321&lt;&gt;"S",LEN($R321)&gt;100),"Descrição &gt;100",
IF(AND(Import.TipoArredondamento="TransfereGOV",$L321="F",$C321="S",LEN($R321)&gt;500),"Descrição &gt;500",
IF(AND(Import.TipoArredondamento="TransfereGOV",$L321="F",$C321="S",LEFT(TRIM(UPPER($P321)),6)&lt;&gt;"SINAPI",ISNA(VLOOKUP(TRIM(UPPER($S321)),ListaTgov.Unidades,1,FALSE))),"Unid. Não Disp",
" "))))))))))))))))</f>
        <v>SEM CUSTO</v>
      </c>
      <c r="AD321" t="str">
        <f ca="1">IF(C321&lt;=CRONO.NivelExibicao,MAX($AD$15:OFFSET(AD321,-1,0))+IF($C321&lt;&gt;1,1,MAX(1,COUNTIF(QCI!$A$13:$A$24,OFFSET($E321,-1,0)))),"")</f>
        <v/>
      </c>
      <c r="AE321" s="7" t="str">
        <f ca="1">IF(AND($C321="S",ORÇAMENTO.CodBarra&lt;&gt;""),IF(ORÇAMENTO.Fonte="",ORÇAMENTO.CodBarra,CONCATENATE(ORÇAMENTO.Fonte," ",ORÇAMENTO.CodBarra)))</f>
        <v>SINAPI-I 10905</v>
      </c>
      <c r="AF321" s="12" t="str">
        <f ca="1">IF(ISERROR(INDIRECT(ORÇAMENTO.BancoRef)),"(abra o arquivo 'Referência "&amp;Excel_BuiltIn_Database&amp;".xlsm)",IF(OR($C321&lt;&gt;"S",ORÇAMENTO.CodBarra=""),"(Sem Código)",IF(ISERROR(MATCH($AE321,INDIRECT(ORÇAMENTO.BancoRef),0)),"(Código não identificado nas referências)",MATCH($AE321,INDIRECT(ORÇAMENTO.BancoRef),0))))</f>
        <v>(abra o arquivo 'Referência 12-2024.xlsm)</v>
      </c>
      <c r="AG321" s="429">
        <f ca="1">ROUND(IF(DESONERACAO="sim",REFERENCIA.Desonerado,REFERENCIA.NaoDesonerado),2)</f>
        <v>0</v>
      </c>
      <c r="AH321" s="430">
        <f t="shared" ca="1" si="81"/>
        <v>0.31190000000000001</v>
      </c>
      <c r="AJ321" s="432">
        <v>1</v>
      </c>
      <c r="AL321" s="440"/>
      <c r="AM321" s="337">
        <f t="shared" ca="1" si="66"/>
        <v>0</v>
      </c>
      <c r="AN321" s="471">
        <f t="shared" ca="1" si="82"/>
        <v>0</v>
      </c>
    </row>
    <row r="322" spans="1:40" ht="38.25" x14ac:dyDescent="0.2">
      <c r="A322" t="str">
        <f t="shared" si="67"/>
        <v>S</v>
      </c>
      <c r="B322">
        <f t="shared" ca="1" si="68"/>
        <v>3</v>
      </c>
      <c r="C322" t="str">
        <f t="shared" ca="1" si="69"/>
        <v>S</v>
      </c>
      <c r="D322">
        <f t="shared" ca="1" si="70"/>
        <v>0</v>
      </c>
      <c r="E322">
        <f ca="1">IF($C322=1,OFFSET(E322,-1,0)+MAX(1,COUNTIF(QCI!$A$13:$A$24,OFFSET(ORÇAMENTO!E322,-1,0))),OFFSET(E322,-1,0))</f>
        <v>1</v>
      </c>
      <c r="F322">
        <f t="shared" ca="1" si="71"/>
        <v>16</v>
      </c>
      <c r="G322">
        <f t="shared" ca="1" si="72"/>
        <v>6</v>
      </c>
      <c r="H322">
        <f t="shared" ca="1" si="73"/>
        <v>0</v>
      </c>
      <c r="I322">
        <f t="shared" ca="1" si="74"/>
        <v>0</v>
      </c>
      <c r="J322">
        <f t="shared" ca="1" si="75"/>
        <v>0</v>
      </c>
      <c r="K322">
        <f ca="1">IF(OR($C322="S",$C322=0),0,MATCH(OFFSET($D322,0,$C322)+IF($C322&lt;&gt;1,1,COUNTIF(QCI!$A$13:$A$24,ORÇAMENTO!E322)),OFFSET($D322,1,$C322,ROW($C$405)-ROW($C322)),0))</f>
        <v>0</v>
      </c>
      <c r="L322" s="115" t="str">
        <f t="shared" ca="1" si="76"/>
        <v/>
      </c>
      <c r="M322" s="116" t="s">
        <v>706</v>
      </c>
      <c r="N322" s="117" t="str">
        <f t="shared" ca="1" si="77"/>
        <v>Serviço</v>
      </c>
      <c r="O322" s="118" t="str">
        <f t="shared" ca="1" si="78"/>
        <v>-</v>
      </c>
      <c r="P322" s="119" t="s">
        <v>751</v>
      </c>
      <c r="Q322" s="120" t="s">
        <v>1208</v>
      </c>
      <c r="R322" s="121" t="s">
        <v>1579</v>
      </c>
      <c r="S322" s="122" t="s">
        <v>639</v>
      </c>
      <c r="T322" s="123">
        <f ca="1">OFFSET(CÁLCULO!H$15,ROW($T322)-ROW(T$15),0)</f>
        <v>10</v>
      </c>
      <c r="U322" s="124"/>
      <c r="V322" s="125" t="s">
        <v>663</v>
      </c>
      <c r="W322" s="123">
        <f ca="1">IF($C322="S",ROUND(IF(TIPOORCAMENTO="Proposto",ORÇAMENTO.CustoUnitario*(1+$AH322),ORÇAMENTO.PrecoUnitarioLicitado),15-13*$AF$10),0)</f>
        <v>0</v>
      </c>
      <c r="X322" s="126" cm="1">
        <f t="array" aca="1" ref="X322" ca="1">IF($C322="S",IF(OR(Import.TipoArredondamento&lt;&gt;"TransfereGOV",ACOMPANHAMENTO="BM"),VTOTAL1,SUM(OFFSET(CÁLCULO!$AA$15,ROW($X322)-ROW($X$15),1):OFFSET(CÁLCULO!$AL$15,ROW($X322)-ROW($X$15),-1))),IF($C322=0,0,ROUND(SomaAgrup,15-13*$AF$11)))</f>
        <v>0</v>
      </c>
      <c r="Y322" s="127" t="s">
        <v>752</v>
      </c>
      <c r="Z322" t="str">
        <f t="shared" ca="1" si="79"/>
        <v/>
      </c>
      <c r="AA322" s="128">
        <f ca="1">IF($C322="S",IF($Z322="CP",$X322,IF($Z322="RA",(($X322)*QCI!$AA$3),0)),SomaAgrup)</f>
        <v>0</v>
      </c>
      <c r="AB322" s="129">
        <f t="shared" ca="1" si="80"/>
        <v>0</v>
      </c>
      <c r="AC322" s="567" t="str">
        <f ca="1">IF($N322=""," ",
IF(AND($C322&lt;&gt;"S",OR($R322="",$R322="(digite a descrição aqui)")),"DESCRIÇÃO",
IF(AND($C322="S",OR($Q322&lt;&gt;0,$T322&gt;0,$U322&gt;0),$P322=0),"FONTE",
IF(AND($C322="S",$P322&lt;&gt;0,OR($T322&gt;0,$U322&gt;0),$Q322=0),"CÓDIGO",
IF(AND($C322="S",$P322&lt;&gt;0,$Q322&lt;&gt;0,$R322="(Código não identificado nas referências)"),"CÓDIGO N/ID",
IF(AND($C322="S",OR($R322="",$R322="(digite a descrição aqui)"),OR($Q322&lt;&gt;0,$T322&gt;0,$U322&gt;0)),"DESCRIÇÃO",
IF(AND($C322="S",$P322&lt;&gt;0,$Q322&lt;&gt;0,$S322=""),"UNIDADE",
IF(AND($C322="S",$P322&lt;&gt;0,$Q322&lt;&gt;0,$U322=0),"SEM CUSTO",
IF(AND(TIPOORCAMENTO="Licitado",$AL322=0,$AN322&gt;0),"SEM PREÇO",
IF(AND($C322="S",$P322&lt;&gt;0,$Q322&lt;&gt;0,$U322&gt;0,$V322=0),"BDI",
IF(OR(AND(TIPOORCAMENTO="Proposto",$AG322&lt;&gt;"",$AG322&gt;0,ORÇAMENTO.CustoUnitario&gt;$AG322),AND(TIPOORCAMENTO="LICITADO",ORÇAMENTO.PrecoUnitarioLicitado&gt;$AN322)),"ACIMA REF.",
IF(AND($C322="S",$P322&lt;&gt;0,$Q322&lt;&gt;0,$T322=0,$U322&gt;0),"QUANT.",
IF(AND(Import.TipoArredondamento="TransfereGOV",$L322="F",$C322="S",LEN($Q322)&gt;13),"Código &gt;13",
IF(AND(Import.TipoArredondamento="TransfereGOV",$L322="F",$C322&lt;&gt;"S",LEN($R322)&gt;100),"Descrição &gt;100",
IF(AND(Import.TipoArredondamento="TransfereGOV",$L322="F",$C322="S",LEN($R322)&gt;500),"Descrição &gt;500",
IF(AND(Import.TipoArredondamento="TransfereGOV",$L322="F",$C322="S",LEFT(TRIM(UPPER($P322)),6)&lt;&gt;"SINAPI",ISNA(VLOOKUP(TRIM(UPPER($S322)),ListaTgov.Unidades,1,FALSE))),"Unid. Não Disp",
" "))))))))))))))))</f>
        <v>SEM CUSTO</v>
      </c>
      <c r="AD322" t="str">
        <f ca="1">IF(C322&lt;=CRONO.NivelExibicao,MAX($AD$15:OFFSET(AD322,-1,0))+IF($C322&lt;&gt;1,1,MAX(1,COUNTIF(QCI!$A$13:$A$24,OFFSET($E322,-1,0)))),"")</f>
        <v/>
      </c>
      <c r="AE322" s="7" t="str">
        <f ca="1">IF(AND($C322="S",ORÇAMENTO.CodBarra&lt;&gt;""),IF(ORÇAMENTO.Fonte="",ORÇAMENTO.CodBarra,CONCATENATE(ORÇAMENTO.Fonte," ",ORÇAMENTO.CodBarra)))</f>
        <v>SINAPI 92896</v>
      </c>
      <c r="AF322" s="12" t="str">
        <f ca="1">IF(ISERROR(INDIRECT(ORÇAMENTO.BancoRef)),"(abra o arquivo 'Referência "&amp;Excel_BuiltIn_Database&amp;".xlsm)",IF(OR($C322&lt;&gt;"S",ORÇAMENTO.CodBarra=""),"(Sem Código)",IF(ISERROR(MATCH($AE322,INDIRECT(ORÇAMENTO.BancoRef),0)),"(Código não identificado nas referências)",MATCH($AE322,INDIRECT(ORÇAMENTO.BancoRef),0))))</f>
        <v>(abra o arquivo 'Referência 12-2024.xlsm)</v>
      </c>
      <c r="AG322" s="429">
        <f ca="1">ROUND(IF(DESONERACAO="sim",REFERENCIA.Desonerado,REFERENCIA.NaoDesonerado),2)</f>
        <v>0</v>
      </c>
      <c r="AH322" s="430">
        <f t="shared" ca="1" si="81"/>
        <v>0.31190000000000001</v>
      </c>
      <c r="AJ322" s="432">
        <v>10</v>
      </c>
      <c r="AL322" s="440"/>
      <c r="AM322" s="337">
        <f t="shared" ca="1" si="66"/>
        <v>0</v>
      </c>
      <c r="AN322" s="471">
        <f t="shared" ca="1" si="82"/>
        <v>0</v>
      </c>
    </row>
    <row r="323" spans="1:40" ht="25.5" x14ac:dyDescent="0.2">
      <c r="A323" t="str">
        <f t="shared" si="67"/>
        <v>S</v>
      </c>
      <c r="B323">
        <f t="shared" ca="1" si="68"/>
        <v>3</v>
      </c>
      <c r="C323" t="str">
        <f t="shared" ca="1" si="69"/>
        <v>S</v>
      </c>
      <c r="D323">
        <f t="shared" ca="1" si="70"/>
        <v>0</v>
      </c>
      <c r="E323">
        <f ca="1">IF($C323=1,OFFSET(E323,-1,0)+MAX(1,COUNTIF(QCI!$A$13:$A$24,OFFSET(ORÇAMENTO!E323,-1,0))),OFFSET(E323,-1,0))</f>
        <v>1</v>
      </c>
      <c r="F323">
        <f t="shared" ca="1" si="71"/>
        <v>16</v>
      </c>
      <c r="G323">
        <f t="shared" ca="1" si="72"/>
        <v>6</v>
      </c>
      <c r="H323">
        <f t="shared" ca="1" si="73"/>
        <v>0</v>
      </c>
      <c r="I323">
        <f t="shared" ca="1" si="74"/>
        <v>0</v>
      </c>
      <c r="J323">
        <f t="shared" ca="1" si="75"/>
        <v>0</v>
      </c>
      <c r="K323">
        <f ca="1">IF(OR($C323="S",$C323=0),0,MATCH(OFFSET($D323,0,$C323)+IF($C323&lt;&gt;1,1,COUNTIF(QCI!$A$13:$A$24,ORÇAMENTO!E323)),OFFSET($D323,1,$C323,ROW($C$405)-ROW($C323)),0))</f>
        <v>0</v>
      </c>
      <c r="L323" s="115" t="str">
        <f t="shared" ca="1" si="76"/>
        <v/>
      </c>
      <c r="M323" s="116" t="s">
        <v>706</v>
      </c>
      <c r="N323" s="117" t="str">
        <f t="shared" ca="1" si="77"/>
        <v>Serviço</v>
      </c>
      <c r="O323" s="118" t="str">
        <f t="shared" ca="1" si="78"/>
        <v>-</v>
      </c>
      <c r="P323" s="119" t="s">
        <v>751</v>
      </c>
      <c r="Q323" s="120" t="s">
        <v>1209</v>
      </c>
      <c r="R323" s="121" t="s">
        <v>1580</v>
      </c>
      <c r="S323" s="122" t="s">
        <v>615</v>
      </c>
      <c r="T323" s="123">
        <f ca="1">OFFSET(CÁLCULO!H$15,ROW($T323)-ROW(T$15),0)</f>
        <v>80</v>
      </c>
      <c r="U323" s="124"/>
      <c r="V323" s="125" t="s">
        <v>663</v>
      </c>
      <c r="W323" s="123">
        <f ca="1">IF($C323="S",ROUND(IF(TIPOORCAMENTO="Proposto",ORÇAMENTO.CustoUnitario*(1+$AH323),ORÇAMENTO.PrecoUnitarioLicitado),15-13*$AF$10),0)</f>
        <v>0</v>
      </c>
      <c r="X323" s="126" cm="1">
        <f t="array" aca="1" ref="X323" ca="1">IF($C323="S",IF(OR(Import.TipoArredondamento&lt;&gt;"TransfereGOV",ACOMPANHAMENTO="BM"),VTOTAL1,SUM(OFFSET(CÁLCULO!$AA$15,ROW($X323)-ROW($X$15),1):OFFSET(CÁLCULO!$AL$15,ROW($X323)-ROW($X$15),-1))),IF($C323=0,0,ROUND(SomaAgrup,15-13*$AF$11)))</f>
        <v>0</v>
      </c>
      <c r="Y323" s="127" t="s">
        <v>752</v>
      </c>
      <c r="Z323" t="str">
        <f t="shared" ca="1" si="79"/>
        <v/>
      </c>
      <c r="AA323" s="128">
        <f ca="1">IF($C323="S",IF($Z323="CP",$X323,IF($Z323="RA",(($X323)*QCI!$AA$3),0)),SomaAgrup)</f>
        <v>0</v>
      </c>
      <c r="AB323" s="129">
        <f t="shared" ca="1" si="80"/>
        <v>0</v>
      </c>
      <c r="AC323" s="567" t="str">
        <f ca="1">IF($N323=""," ",
IF(AND($C323&lt;&gt;"S",OR($R323="",$R323="(digite a descrição aqui)")),"DESCRIÇÃO",
IF(AND($C323="S",OR($Q323&lt;&gt;0,$T323&gt;0,$U323&gt;0),$P323=0),"FONTE",
IF(AND($C323="S",$P323&lt;&gt;0,OR($T323&gt;0,$U323&gt;0),$Q323=0),"CÓDIGO",
IF(AND($C323="S",$P323&lt;&gt;0,$Q323&lt;&gt;0,$R323="(Código não identificado nas referências)"),"CÓDIGO N/ID",
IF(AND($C323="S",OR($R323="",$R323="(digite a descrição aqui)"),OR($Q323&lt;&gt;0,$T323&gt;0,$U323&gt;0)),"DESCRIÇÃO",
IF(AND($C323="S",$P323&lt;&gt;0,$Q323&lt;&gt;0,$S323=""),"UNIDADE",
IF(AND($C323="S",$P323&lt;&gt;0,$Q323&lt;&gt;0,$U323=0),"SEM CUSTO",
IF(AND(TIPOORCAMENTO="Licitado",$AL323=0,$AN323&gt;0),"SEM PREÇO",
IF(AND($C323="S",$P323&lt;&gt;0,$Q323&lt;&gt;0,$U323&gt;0,$V323=0),"BDI",
IF(OR(AND(TIPOORCAMENTO="Proposto",$AG323&lt;&gt;"",$AG323&gt;0,ORÇAMENTO.CustoUnitario&gt;$AG323),AND(TIPOORCAMENTO="LICITADO",ORÇAMENTO.PrecoUnitarioLicitado&gt;$AN323)),"ACIMA REF.",
IF(AND($C323="S",$P323&lt;&gt;0,$Q323&lt;&gt;0,$T323=0,$U323&gt;0),"QUANT.",
IF(AND(Import.TipoArredondamento="TransfereGOV",$L323="F",$C323="S",LEN($Q323)&gt;13),"Código &gt;13",
IF(AND(Import.TipoArredondamento="TransfereGOV",$L323="F",$C323&lt;&gt;"S",LEN($R323)&gt;100),"Descrição &gt;100",
IF(AND(Import.TipoArredondamento="TransfereGOV",$L323="F",$C323="S",LEN($R323)&gt;500),"Descrição &gt;500",
IF(AND(Import.TipoArredondamento="TransfereGOV",$L323="F",$C323="S",LEFT(TRIM(UPPER($P323)),6)&lt;&gt;"SINAPI",ISNA(VLOOKUP(TRIM(UPPER($S323)),ListaTgov.Unidades,1,FALSE))),"Unid. Não Disp",
" "))))))))))))))))</f>
        <v>SEM CUSTO</v>
      </c>
      <c r="AD323" t="str">
        <f ca="1">IF(C323&lt;=CRONO.NivelExibicao,MAX($AD$15:OFFSET(AD323,-1,0))+IF($C323&lt;&gt;1,1,MAX(1,COUNTIF(QCI!$A$13:$A$24,OFFSET($E323,-1,0)))),"")</f>
        <v/>
      </c>
      <c r="AE323" s="7" t="str">
        <f ca="1">IF(AND($C323="S",ORÇAMENTO.CodBarra&lt;&gt;""),IF(ORÇAMENTO.Fonte="",ORÇAMENTO.CodBarra,CONCATENATE(ORÇAMENTO.Fonte," ",ORÇAMENTO.CodBarra)))</f>
        <v>SINAPI 88248</v>
      </c>
      <c r="AF323" s="12" t="str">
        <f ca="1">IF(ISERROR(INDIRECT(ORÇAMENTO.BancoRef)),"(abra o arquivo 'Referência "&amp;Excel_BuiltIn_Database&amp;".xlsm)",IF(OR($C323&lt;&gt;"S",ORÇAMENTO.CodBarra=""),"(Sem Código)",IF(ISERROR(MATCH($AE323,INDIRECT(ORÇAMENTO.BancoRef),0)),"(Código não identificado nas referências)",MATCH($AE323,INDIRECT(ORÇAMENTO.BancoRef),0))))</f>
        <v>(abra o arquivo 'Referência 12-2024.xlsm)</v>
      </c>
      <c r="AG323" s="429">
        <f ca="1">ROUND(IF(DESONERACAO="sim",REFERENCIA.Desonerado,REFERENCIA.NaoDesonerado),2)</f>
        <v>0</v>
      </c>
      <c r="AH323" s="430">
        <f t="shared" ca="1" si="81"/>
        <v>0.31190000000000001</v>
      </c>
      <c r="AJ323" s="432">
        <v>80</v>
      </c>
      <c r="AL323" s="440"/>
      <c r="AM323" s="337">
        <f t="shared" ca="1" si="66"/>
        <v>0</v>
      </c>
      <c r="AN323" s="471">
        <f t="shared" ca="1" si="82"/>
        <v>0</v>
      </c>
    </row>
    <row r="324" spans="1:40" ht="25.5" x14ac:dyDescent="0.2">
      <c r="A324" t="str">
        <f t="shared" si="67"/>
        <v>S</v>
      </c>
      <c r="B324">
        <f t="shared" ca="1" si="68"/>
        <v>3</v>
      </c>
      <c r="C324" t="str">
        <f t="shared" ca="1" si="69"/>
        <v>S</v>
      </c>
      <c r="D324">
        <f t="shared" ca="1" si="70"/>
        <v>0</v>
      </c>
      <c r="E324">
        <f ca="1">IF($C324=1,OFFSET(E324,-1,0)+MAX(1,COUNTIF(QCI!$A$13:$A$24,OFFSET(ORÇAMENTO!E324,-1,0))),OFFSET(E324,-1,0))</f>
        <v>1</v>
      </c>
      <c r="F324">
        <f t="shared" ca="1" si="71"/>
        <v>16</v>
      </c>
      <c r="G324">
        <f t="shared" ca="1" si="72"/>
        <v>6</v>
      </c>
      <c r="H324">
        <f t="shared" ca="1" si="73"/>
        <v>0</v>
      </c>
      <c r="I324">
        <f t="shared" ca="1" si="74"/>
        <v>0</v>
      </c>
      <c r="J324">
        <f t="shared" ca="1" si="75"/>
        <v>0</v>
      </c>
      <c r="K324">
        <f ca="1">IF(OR($C324="S",$C324=0),0,MATCH(OFFSET($D324,0,$C324)+IF($C324&lt;&gt;1,1,COUNTIF(QCI!$A$13:$A$24,ORÇAMENTO!E324)),OFFSET($D324,1,$C324,ROW($C$405)-ROW($C324)),0))</f>
        <v>0</v>
      </c>
      <c r="L324" s="115" t="str">
        <f t="shared" ca="1" si="76"/>
        <v/>
      </c>
      <c r="M324" s="116" t="s">
        <v>706</v>
      </c>
      <c r="N324" s="117" t="str">
        <f t="shared" ca="1" si="77"/>
        <v>Serviço</v>
      </c>
      <c r="O324" s="118" t="str">
        <f t="shared" ca="1" si="78"/>
        <v>-</v>
      </c>
      <c r="P324" s="119" t="s">
        <v>751</v>
      </c>
      <c r="Q324" s="120" t="s">
        <v>1210</v>
      </c>
      <c r="R324" s="121" t="s">
        <v>1581</v>
      </c>
      <c r="S324" s="122" t="s">
        <v>615</v>
      </c>
      <c r="T324" s="123">
        <f ca="1">OFFSET(CÁLCULO!H$15,ROW($T324)-ROW(T$15),0)</f>
        <v>80</v>
      </c>
      <c r="U324" s="124"/>
      <c r="V324" s="125" t="s">
        <v>663</v>
      </c>
      <c r="W324" s="123">
        <f ca="1">IF($C324="S",ROUND(IF(TIPOORCAMENTO="Proposto",ORÇAMENTO.CustoUnitario*(1+$AH324),ORÇAMENTO.PrecoUnitarioLicitado),15-13*$AF$10),0)</f>
        <v>0</v>
      </c>
      <c r="X324" s="126" cm="1">
        <f t="array" aca="1" ref="X324" ca="1">IF($C324="S",IF(OR(Import.TipoArredondamento&lt;&gt;"TransfereGOV",ACOMPANHAMENTO="BM"),VTOTAL1,SUM(OFFSET(CÁLCULO!$AA$15,ROW($X324)-ROW($X$15),1):OFFSET(CÁLCULO!$AL$15,ROW($X324)-ROW($X$15),-1))),IF($C324=0,0,ROUND(SomaAgrup,15-13*$AF$11)))</f>
        <v>0</v>
      </c>
      <c r="Y324" s="127" t="s">
        <v>752</v>
      </c>
      <c r="Z324" t="str">
        <f t="shared" ca="1" si="79"/>
        <v/>
      </c>
      <c r="AA324" s="128">
        <f ca="1">IF($C324="S",IF($Z324="CP",$X324,IF($Z324="RA",(($X324)*QCI!$AA$3),0)),SomaAgrup)</f>
        <v>0</v>
      </c>
      <c r="AB324" s="129">
        <f t="shared" ca="1" si="80"/>
        <v>0</v>
      </c>
      <c r="AC324" s="567" t="str">
        <f ca="1">IF($N324=""," ",
IF(AND($C324&lt;&gt;"S",OR($R324="",$R324="(digite a descrição aqui)")),"DESCRIÇÃO",
IF(AND($C324="S",OR($Q324&lt;&gt;0,$T324&gt;0,$U324&gt;0),$P324=0),"FONTE",
IF(AND($C324="S",$P324&lt;&gt;0,OR($T324&gt;0,$U324&gt;0),$Q324=0),"CÓDIGO",
IF(AND($C324="S",$P324&lt;&gt;0,$Q324&lt;&gt;0,$R324="(Código não identificado nas referências)"),"CÓDIGO N/ID",
IF(AND($C324="S",OR($R324="",$R324="(digite a descrição aqui)"),OR($Q324&lt;&gt;0,$T324&gt;0,$U324&gt;0)),"DESCRIÇÃO",
IF(AND($C324="S",$P324&lt;&gt;0,$Q324&lt;&gt;0,$S324=""),"UNIDADE",
IF(AND($C324="S",$P324&lt;&gt;0,$Q324&lt;&gt;0,$U324=0),"SEM CUSTO",
IF(AND(TIPOORCAMENTO="Licitado",$AL324=0,$AN324&gt;0),"SEM PREÇO",
IF(AND($C324="S",$P324&lt;&gt;0,$Q324&lt;&gt;0,$U324&gt;0,$V324=0),"BDI",
IF(OR(AND(TIPOORCAMENTO="Proposto",$AG324&lt;&gt;"",$AG324&gt;0,ORÇAMENTO.CustoUnitario&gt;$AG324),AND(TIPOORCAMENTO="LICITADO",ORÇAMENTO.PrecoUnitarioLicitado&gt;$AN324)),"ACIMA REF.",
IF(AND($C324="S",$P324&lt;&gt;0,$Q324&lt;&gt;0,$T324=0,$U324&gt;0),"QUANT.",
IF(AND(Import.TipoArredondamento="TransfereGOV",$L324="F",$C324="S",LEN($Q324)&gt;13),"Código &gt;13",
IF(AND(Import.TipoArredondamento="TransfereGOV",$L324="F",$C324&lt;&gt;"S",LEN($R324)&gt;100),"Descrição &gt;100",
IF(AND(Import.TipoArredondamento="TransfereGOV",$L324="F",$C324="S",LEN($R324)&gt;500),"Descrição &gt;500",
IF(AND(Import.TipoArredondamento="TransfereGOV",$L324="F",$C324="S",LEFT(TRIM(UPPER($P324)),6)&lt;&gt;"SINAPI",ISNA(VLOOKUP(TRIM(UPPER($S324)),ListaTgov.Unidades,1,FALSE))),"Unid. Não Disp",
" "))))))))))))))))</f>
        <v>SEM CUSTO</v>
      </c>
      <c r="AD324" t="str">
        <f ca="1">IF(C324&lt;=CRONO.NivelExibicao,MAX($AD$15:OFFSET(AD324,-1,0))+IF($C324&lt;&gt;1,1,MAX(1,COUNTIF(QCI!$A$13:$A$24,OFFSET($E324,-1,0)))),"")</f>
        <v/>
      </c>
      <c r="AE324" s="7" t="str">
        <f ca="1">IF(AND($C324="S",ORÇAMENTO.CodBarra&lt;&gt;""),IF(ORÇAMENTO.Fonte="",ORÇAMENTO.CodBarra,CONCATENATE(ORÇAMENTO.Fonte," ",ORÇAMENTO.CodBarra)))</f>
        <v>SINAPI 88267</v>
      </c>
      <c r="AF324" s="12" t="str">
        <f ca="1">IF(ISERROR(INDIRECT(ORÇAMENTO.BancoRef)),"(abra o arquivo 'Referência "&amp;Excel_BuiltIn_Database&amp;".xlsm)",IF(OR($C324&lt;&gt;"S",ORÇAMENTO.CodBarra=""),"(Sem Código)",IF(ISERROR(MATCH($AE324,INDIRECT(ORÇAMENTO.BancoRef),0)),"(Código não identificado nas referências)",MATCH($AE324,INDIRECT(ORÇAMENTO.BancoRef),0))))</f>
        <v>(abra o arquivo 'Referência 12-2024.xlsm)</v>
      </c>
      <c r="AG324" s="429">
        <f ca="1">ROUND(IF(DESONERACAO="sim",REFERENCIA.Desonerado,REFERENCIA.NaoDesonerado),2)</f>
        <v>0</v>
      </c>
      <c r="AH324" s="430">
        <f t="shared" ca="1" si="81"/>
        <v>0.31190000000000001</v>
      </c>
      <c r="AJ324" s="432">
        <v>80</v>
      </c>
      <c r="AL324" s="440"/>
      <c r="AM324" s="337">
        <f t="shared" ca="1" si="66"/>
        <v>0</v>
      </c>
      <c r="AN324" s="471">
        <f t="shared" ca="1" si="82"/>
        <v>0</v>
      </c>
    </row>
    <row r="325" spans="1:40" x14ac:dyDescent="0.2">
      <c r="A325">
        <f t="shared" si="67"/>
        <v>2</v>
      </c>
      <c r="B325">
        <f t="shared" ca="1" si="68"/>
        <v>2</v>
      </c>
      <c r="C325">
        <f t="shared" ca="1" si="69"/>
        <v>2</v>
      </c>
      <c r="D325">
        <f t="shared" ca="1" si="70"/>
        <v>17</v>
      </c>
      <c r="E325">
        <f ca="1">IF($C325=1,OFFSET(E325,-1,0)+MAX(1,COUNTIF(QCI!$A$13:$A$24,OFFSET(ORÇAMENTO!E325,-1,0))),OFFSET(E325,-1,0))</f>
        <v>1</v>
      </c>
      <c r="F325">
        <f t="shared" ca="1" si="71"/>
        <v>17</v>
      </c>
      <c r="G325">
        <f t="shared" ca="1" si="72"/>
        <v>0</v>
      </c>
      <c r="H325">
        <f t="shared" ca="1" si="73"/>
        <v>0</v>
      </c>
      <c r="I325">
        <f t="shared" ca="1" si="74"/>
        <v>0</v>
      </c>
      <c r="J325">
        <f t="shared" ca="1" si="75"/>
        <v>80</v>
      </c>
      <c r="K325">
        <f ca="1">IF(OR($C325="S",$C325=0),0,MATCH(OFFSET($D325,0,$C325)+IF($C325&lt;&gt;1,1,COUNTIF(QCI!$A$13:$A$24,ORÇAMENTO!E325)),OFFSET($D325,1,$C325,ROW($C$405)-ROW($C325)),0))</f>
        <v>17</v>
      </c>
      <c r="L325" s="115" t="str">
        <f t="shared" ca="1" si="76"/>
        <v>F</v>
      </c>
      <c r="M325" s="116" t="s">
        <v>703</v>
      </c>
      <c r="N325" s="117" t="str">
        <f t="shared" ca="1" si="77"/>
        <v>Nível 2</v>
      </c>
      <c r="O325" s="118" t="str">
        <f t="shared" ca="1" si="78"/>
        <v>1.17.</v>
      </c>
      <c r="P325" s="119" t="s">
        <v>1315</v>
      </c>
      <c r="Q325" s="120" t="s">
        <v>1211</v>
      </c>
      <c r="R325" s="121" t="s">
        <v>1304</v>
      </c>
      <c r="S325" s="122" t="s">
        <v>689</v>
      </c>
      <c r="T325" s="123">
        <f ca="1">OFFSET(CÁLCULO!H$15,ROW($T325)-ROW(T$15),0)</f>
        <v>0</v>
      </c>
      <c r="U325" s="124"/>
      <c r="V325" s="125" t="s">
        <v>663</v>
      </c>
      <c r="W325" s="123">
        <f ca="1">IF($C325="S",ROUND(IF(TIPOORCAMENTO="Proposto",ORÇAMENTO.CustoUnitario*(1+$AH325),ORÇAMENTO.PrecoUnitarioLicitado),15-13*$AF$10),0)</f>
        <v>0</v>
      </c>
      <c r="X325" s="126" cm="1">
        <f t="array" aca="1" ref="X325" ca="1">IF($C325="S",IF(OR(Import.TipoArredondamento&lt;&gt;"TransfereGOV",ACOMPANHAMENTO="BM"),VTOTAL1,SUM(OFFSET(CÁLCULO!$AA$15,ROW($X325)-ROW($X$15),1):OFFSET(CÁLCULO!$AL$15,ROW($X325)-ROW($X$15),-1))),IF($C325=0,0,ROUND(SomaAgrup,15-13*$AF$11)))</f>
        <v>0</v>
      </c>
      <c r="Y325" s="127" t="s">
        <v>752</v>
      </c>
      <c r="Z325" t="str">
        <f t="shared" ca="1" si="79"/>
        <v/>
      </c>
      <c r="AA325" s="128">
        <f ca="1">IF($C325="S",IF($Z325="CP",$X325,IF($Z325="RA",(($X325)*QCI!$AA$3),0)),SomaAgrup)</f>
        <v>0</v>
      </c>
      <c r="AB325" s="129">
        <f t="shared" ca="1" si="80"/>
        <v>0</v>
      </c>
      <c r="AC325" s="567" t="str">
        <f ca="1">IF($N325=""," ",
IF(AND($C325&lt;&gt;"S",OR($R325="",$R325="(digite a descrição aqui)")),"DESCRIÇÃO",
IF(AND($C325="S",OR($Q325&lt;&gt;0,$T325&gt;0,$U325&gt;0),$P325=0),"FONTE",
IF(AND($C325="S",$P325&lt;&gt;0,OR($T325&gt;0,$U325&gt;0),$Q325=0),"CÓDIGO",
IF(AND($C325="S",$P325&lt;&gt;0,$Q325&lt;&gt;0,$R325="(Código não identificado nas referências)"),"CÓDIGO N/ID",
IF(AND($C325="S",OR($R325="",$R325="(digite a descrição aqui)"),OR($Q325&lt;&gt;0,$T325&gt;0,$U325&gt;0)),"DESCRIÇÃO",
IF(AND($C325="S",$P325&lt;&gt;0,$Q325&lt;&gt;0,$S325=""),"UNIDADE",
IF(AND($C325="S",$P325&lt;&gt;0,$Q325&lt;&gt;0,$U325=0),"SEM CUSTO",
IF(AND(TIPOORCAMENTO="Licitado",$AL325=0,$AN325&gt;0),"SEM PREÇO",
IF(AND($C325="S",$P325&lt;&gt;0,$Q325&lt;&gt;0,$U325&gt;0,$V325=0),"BDI",
IF(OR(AND(TIPOORCAMENTO="Proposto",$AG325&lt;&gt;"",$AG325&gt;0,ORÇAMENTO.CustoUnitario&gt;$AG325),AND(TIPOORCAMENTO="LICITADO",ORÇAMENTO.PrecoUnitarioLicitado&gt;$AN325)),"ACIMA REF.",
IF(AND($C325="S",$P325&lt;&gt;0,$Q325&lt;&gt;0,$T325=0,$U325&gt;0),"QUANT.",
IF(AND(Import.TipoArredondamento="TransfereGOV",$L325="F",$C325="S",LEN($Q325)&gt;13),"Código &gt;13",
IF(AND(Import.TipoArredondamento="TransfereGOV",$L325="F",$C325&lt;&gt;"S",LEN($R325)&gt;100),"Descrição &gt;100",
IF(AND(Import.TipoArredondamento="TransfereGOV",$L325="F",$C325="S",LEN($R325)&gt;500),"Descrição &gt;500",
IF(AND(Import.TipoArredondamento="TransfereGOV",$L325="F",$C325="S",LEFT(TRIM(UPPER($P325)),6)&lt;&gt;"SINAPI",ISNA(VLOOKUP(TRIM(UPPER($S325)),ListaTgov.Unidades,1,FALSE))),"Unid. Não Disp",
" "))))))))))))))))</f>
        <v xml:space="preserve"> </v>
      </c>
      <c r="AD325">
        <f ca="1">IF(C325&lt;=CRONO.NivelExibicao,MAX($AD$15:OFFSET(AD325,-1,0))+IF($C325&lt;&gt;1,1,MAX(1,COUNTIF(QCI!$A$13:$A$24,OFFSET($E325,-1,0)))),"")</f>
        <v>18</v>
      </c>
      <c r="AE325" s="7" t="b">
        <f ca="1">IF(AND($C325="S",ORÇAMENTO.CodBarra&lt;&gt;""),IF(ORÇAMENTO.Fonte="",ORÇAMENTO.CodBarra,CONCATENATE(ORÇAMENTO.Fonte," ",ORÇAMENTO.CodBarra)))</f>
        <v>0</v>
      </c>
      <c r="AF325" s="12" t="str">
        <f ca="1">IF(ISERROR(INDIRECT(ORÇAMENTO.BancoRef)),"(abra o arquivo 'Referência "&amp;Excel_BuiltIn_Database&amp;".xlsm)",IF(OR($C325&lt;&gt;"S",ORÇAMENTO.CodBarra=""),"(Sem Código)",IF(ISERROR(MATCH($AE325,INDIRECT(ORÇAMENTO.BancoRef),0)),"(Código não identificado nas referências)",MATCH($AE325,INDIRECT(ORÇAMENTO.BancoRef),0))))</f>
        <v>(abra o arquivo 'Referência 12-2024.xlsm)</v>
      </c>
      <c r="AG325" s="429">
        <f ca="1">ROUND(IF(DESONERACAO="sim",REFERENCIA.Desonerado,REFERENCIA.NaoDesonerado),2)</f>
        <v>0</v>
      </c>
      <c r="AH325" s="430">
        <f t="shared" ca="1" si="81"/>
        <v>0.31190000000000001</v>
      </c>
      <c r="AJ325" s="432">
        <v>180</v>
      </c>
      <c r="AL325" s="440"/>
      <c r="AM325" s="337">
        <f t="shared" ca="1" si="66"/>
        <v>0</v>
      </c>
      <c r="AN325" s="471">
        <f t="shared" ca="1" si="82"/>
        <v>0</v>
      </c>
    </row>
    <row r="326" spans="1:40" ht="25.5" x14ac:dyDescent="0.2">
      <c r="A326" t="str">
        <f t="shared" si="67"/>
        <v>S</v>
      </c>
      <c r="B326">
        <f t="shared" ca="1" si="68"/>
        <v>2</v>
      </c>
      <c r="C326" t="str">
        <f t="shared" ca="1" si="69"/>
        <v>S</v>
      </c>
      <c r="D326">
        <f t="shared" ca="1" si="70"/>
        <v>0</v>
      </c>
      <c r="E326">
        <f ca="1">IF($C326=1,OFFSET(E326,-1,0)+MAX(1,COUNTIF(QCI!$A$13:$A$24,OFFSET(ORÇAMENTO!E326,-1,0))),OFFSET(E326,-1,0))</f>
        <v>1</v>
      </c>
      <c r="F326">
        <f t="shared" ca="1" si="71"/>
        <v>17</v>
      </c>
      <c r="G326">
        <f t="shared" ca="1" si="72"/>
        <v>0</v>
      </c>
      <c r="H326">
        <f t="shared" ca="1" si="73"/>
        <v>0</v>
      </c>
      <c r="I326">
        <f t="shared" ca="1" si="74"/>
        <v>0</v>
      </c>
      <c r="J326">
        <f t="shared" ca="1" si="75"/>
        <v>0</v>
      </c>
      <c r="K326">
        <f ca="1">IF(OR($C326="S",$C326=0),0,MATCH(OFFSET($D326,0,$C326)+IF($C326&lt;&gt;1,1,COUNTIF(QCI!$A$13:$A$24,ORÇAMENTO!E326)),OFFSET($D326,1,$C326,ROW($C$405)-ROW($C326)),0))</f>
        <v>0</v>
      </c>
      <c r="L326" s="115" t="str">
        <f t="shared" ca="1" si="76"/>
        <v/>
      </c>
      <c r="M326" s="116" t="s">
        <v>706</v>
      </c>
      <c r="N326" s="117" t="str">
        <f t="shared" ca="1" si="77"/>
        <v>Serviço</v>
      </c>
      <c r="O326" s="118" t="str">
        <f t="shared" ca="1" si="78"/>
        <v>-</v>
      </c>
      <c r="P326" s="119" t="s">
        <v>1315</v>
      </c>
      <c r="Q326" s="120" t="s">
        <v>955</v>
      </c>
      <c r="R326" s="121" t="s">
        <v>1333</v>
      </c>
      <c r="S326" s="122" t="s">
        <v>1643</v>
      </c>
      <c r="T326" s="123">
        <f ca="1">OFFSET(CÁLCULO!H$15,ROW($T326)-ROW(T$15),0)</f>
        <v>1</v>
      </c>
      <c r="U326" s="124"/>
      <c r="V326" s="125" t="s">
        <v>663</v>
      </c>
      <c r="W326" s="123">
        <f ca="1">IF($C326="S",ROUND(IF(TIPOORCAMENTO="Proposto",ORÇAMENTO.CustoUnitario*(1+$AH326),ORÇAMENTO.PrecoUnitarioLicitado),15-13*$AF$10),0)</f>
        <v>0</v>
      </c>
      <c r="X326" s="126" cm="1">
        <f t="array" aca="1" ref="X326" ca="1">IF($C326="S",IF(OR(Import.TipoArredondamento&lt;&gt;"TransfereGOV",ACOMPANHAMENTO="BM"),VTOTAL1,SUM(OFFSET(CÁLCULO!$AA$15,ROW($X326)-ROW($X$15),1):OFFSET(CÁLCULO!$AL$15,ROW($X326)-ROW($X$15),-1))),IF($C326=0,0,ROUND(SomaAgrup,15-13*$AF$11)))</f>
        <v>0</v>
      </c>
      <c r="Y326" s="127" t="s">
        <v>752</v>
      </c>
      <c r="Z326" t="str">
        <f t="shared" ca="1" si="79"/>
        <v/>
      </c>
      <c r="AA326" s="128">
        <f ca="1">IF($C326="S",IF($Z326="CP",$X326,IF($Z326="RA",(($X326)*QCI!$AA$3),0)),SomaAgrup)</f>
        <v>0</v>
      </c>
      <c r="AB326" s="129">
        <f t="shared" ca="1" si="80"/>
        <v>0</v>
      </c>
      <c r="AC326" s="567" t="str">
        <f ca="1">IF($N326=""," ",
IF(AND($C326&lt;&gt;"S",OR($R326="",$R326="(digite a descrição aqui)")),"DESCRIÇÃO",
IF(AND($C326="S",OR($Q326&lt;&gt;0,$T326&gt;0,$U326&gt;0),$P326=0),"FONTE",
IF(AND($C326="S",$P326&lt;&gt;0,OR($T326&gt;0,$U326&gt;0),$Q326=0),"CÓDIGO",
IF(AND($C326="S",$P326&lt;&gt;0,$Q326&lt;&gt;0,$R326="(Código não identificado nas referências)"),"CÓDIGO N/ID",
IF(AND($C326="S",OR($R326="",$R326="(digite a descrição aqui)"),OR($Q326&lt;&gt;0,$T326&gt;0,$U326&gt;0)),"DESCRIÇÃO",
IF(AND($C326="S",$P326&lt;&gt;0,$Q326&lt;&gt;0,$S326=""),"UNIDADE",
IF(AND($C326="S",$P326&lt;&gt;0,$Q326&lt;&gt;0,$U326=0),"SEM CUSTO",
IF(AND(TIPOORCAMENTO="Licitado",$AL326=0,$AN326&gt;0),"SEM PREÇO",
IF(AND($C326="S",$P326&lt;&gt;0,$Q326&lt;&gt;0,$U326&gt;0,$V326=0),"BDI",
IF(OR(AND(TIPOORCAMENTO="Proposto",$AG326&lt;&gt;"",$AG326&gt;0,ORÇAMENTO.CustoUnitario&gt;$AG326),AND(TIPOORCAMENTO="LICITADO",ORÇAMENTO.PrecoUnitarioLicitado&gt;$AN326)),"ACIMA REF.",
IF(AND($C326="S",$P326&lt;&gt;0,$Q326&lt;&gt;0,$T326=0,$U326&gt;0),"QUANT.",
IF(AND(Import.TipoArredondamento="TransfereGOV",$L326="F",$C326="S",LEN($Q326)&gt;13),"Código &gt;13",
IF(AND(Import.TipoArredondamento="TransfereGOV",$L326="F",$C326&lt;&gt;"S",LEN($R326)&gt;100),"Descrição &gt;100",
IF(AND(Import.TipoArredondamento="TransfereGOV",$L326="F",$C326="S",LEN($R326)&gt;500),"Descrição &gt;500",
IF(AND(Import.TipoArredondamento="TransfereGOV",$L326="F",$C326="S",LEFT(TRIM(UPPER($P326)),6)&lt;&gt;"SINAPI",ISNA(VLOOKUP(TRIM(UPPER($S326)),ListaTgov.Unidades,1,FALSE))),"Unid. Não Disp",
" "))))))))))))))))</f>
        <v>SEM CUSTO</v>
      </c>
      <c r="AD326" t="str">
        <f ca="1">IF(C326&lt;=CRONO.NivelExibicao,MAX($AD$15:OFFSET(AD326,-1,0))+IF($C326&lt;&gt;1,1,MAX(1,COUNTIF(QCI!$A$13:$A$24,OFFSET($E326,-1,0)))),"")</f>
        <v/>
      </c>
      <c r="AE326" s="7" t="str">
        <f ca="1">IF(AND($C326="S",ORÇAMENTO.CodBarra&lt;&gt;""),IF(ORÇAMENTO.Fonte="",ORÇAMENTO.CodBarra,CONCATENATE(ORÇAMENTO.Fonte," ",ORÇAMENTO.CodBarra)))</f>
        <v>SINAPI-I 20065</v>
      </c>
      <c r="AF326" s="12" t="str">
        <f ca="1">IF(ISERROR(INDIRECT(ORÇAMENTO.BancoRef)),"(abra o arquivo 'Referência "&amp;Excel_BuiltIn_Database&amp;".xlsm)",IF(OR($C326&lt;&gt;"S",ORÇAMENTO.CodBarra=""),"(Sem Código)",IF(ISERROR(MATCH($AE326,INDIRECT(ORÇAMENTO.BancoRef),0)),"(Código não identificado nas referências)",MATCH($AE326,INDIRECT(ORÇAMENTO.BancoRef),0))))</f>
        <v>(abra o arquivo 'Referência 12-2024.xlsm)</v>
      </c>
      <c r="AG326" s="429">
        <f ca="1">ROUND(IF(DESONERACAO="sim",REFERENCIA.Desonerado,REFERENCIA.NaoDesonerado),2)</f>
        <v>0</v>
      </c>
      <c r="AH326" s="430">
        <f t="shared" ca="1" si="81"/>
        <v>0.31190000000000001</v>
      </c>
      <c r="AJ326" s="432">
        <v>1</v>
      </c>
      <c r="AL326" s="440"/>
      <c r="AM326" s="337">
        <f t="shared" ca="1" si="66"/>
        <v>0</v>
      </c>
      <c r="AN326" s="471">
        <f t="shared" ca="1" si="82"/>
        <v>0</v>
      </c>
    </row>
    <row r="327" spans="1:40" ht="51" x14ac:dyDescent="0.2">
      <c r="A327" t="str">
        <f t="shared" si="67"/>
        <v>S</v>
      </c>
      <c r="B327">
        <f t="shared" ca="1" si="68"/>
        <v>2</v>
      </c>
      <c r="C327" t="str">
        <f t="shared" ca="1" si="69"/>
        <v>S</v>
      </c>
      <c r="D327">
        <f t="shared" ca="1" si="70"/>
        <v>0</v>
      </c>
      <c r="E327">
        <f ca="1">IF($C327=1,OFFSET(E327,-1,0)+MAX(1,COUNTIF(QCI!$A$13:$A$24,OFFSET(ORÇAMENTO!E327,-1,0))),OFFSET(E327,-1,0))</f>
        <v>1</v>
      </c>
      <c r="F327">
        <f t="shared" ca="1" si="71"/>
        <v>17</v>
      </c>
      <c r="G327">
        <f t="shared" ca="1" si="72"/>
        <v>0</v>
      </c>
      <c r="H327">
        <f t="shared" ca="1" si="73"/>
        <v>0</v>
      </c>
      <c r="I327">
        <f t="shared" ca="1" si="74"/>
        <v>0</v>
      </c>
      <c r="J327">
        <f t="shared" ca="1" si="75"/>
        <v>0</v>
      </c>
      <c r="K327">
        <f ca="1">IF(OR($C327="S",$C327=0),0,MATCH(OFFSET($D327,0,$C327)+IF($C327&lt;&gt;1,1,COUNTIF(QCI!$A$13:$A$24,ORÇAMENTO!E327)),OFFSET($D327,1,$C327,ROW($C$405)-ROW($C327)),0))</f>
        <v>0</v>
      </c>
      <c r="L327" s="115" t="str">
        <f t="shared" ca="1" si="76"/>
        <v/>
      </c>
      <c r="M327" s="116" t="s">
        <v>706</v>
      </c>
      <c r="N327" s="117" t="str">
        <f t="shared" ca="1" si="77"/>
        <v>Serviço</v>
      </c>
      <c r="O327" s="118" t="str">
        <f t="shared" ca="1" si="78"/>
        <v>-</v>
      </c>
      <c r="P327" s="119" t="s">
        <v>751</v>
      </c>
      <c r="Q327" s="120" t="s">
        <v>1212</v>
      </c>
      <c r="R327" s="121" t="s">
        <v>1582</v>
      </c>
      <c r="S327" s="122" t="s">
        <v>623</v>
      </c>
      <c r="T327" s="123">
        <f ca="1">OFFSET(CÁLCULO!H$15,ROW($T327)-ROW(T$15),0)</f>
        <v>106.61</v>
      </c>
      <c r="U327" s="124"/>
      <c r="V327" s="125" t="s">
        <v>663</v>
      </c>
      <c r="W327" s="123">
        <f ca="1">IF($C327="S",ROUND(IF(TIPOORCAMENTO="Proposto",ORÇAMENTO.CustoUnitario*(1+$AH327),ORÇAMENTO.PrecoUnitarioLicitado),15-13*$AF$10),0)</f>
        <v>0</v>
      </c>
      <c r="X327" s="126" cm="1">
        <f t="array" aca="1" ref="X327" ca="1">IF($C327="S",IF(OR(Import.TipoArredondamento&lt;&gt;"TransfereGOV",ACOMPANHAMENTO="BM"),VTOTAL1,SUM(OFFSET(CÁLCULO!$AA$15,ROW($X327)-ROW($X$15),1):OFFSET(CÁLCULO!$AL$15,ROW($X327)-ROW($X$15),-1))),IF($C327=0,0,ROUND(SomaAgrup,15-13*$AF$11)))</f>
        <v>0</v>
      </c>
      <c r="Y327" s="127" t="s">
        <v>752</v>
      </c>
      <c r="Z327" t="str">
        <f t="shared" ca="1" si="79"/>
        <v/>
      </c>
      <c r="AA327" s="128">
        <f ca="1">IF($C327="S",IF($Z327="CP",$X327,IF($Z327="RA",(($X327)*QCI!$AA$3),0)),SomaAgrup)</f>
        <v>0</v>
      </c>
      <c r="AB327" s="129">
        <f t="shared" ca="1" si="80"/>
        <v>0</v>
      </c>
      <c r="AC327" s="567" t="str">
        <f ca="1">IF($N327=""," ",
IF(AND($C327&lt;&gt;"S",OR($R327="",$R327="(digite a descrição aqui)")),"DESCRIÇÃO",
IF(AND($C327="S",OR($Q327&lt;&gt;0,$T327&gt;0,$U327&gt;0),$P327=0),"FONTE",
IF(AND($C327="S",$P327&lt;&gt;0,OR($T327&gt;0,$U327&gt;0),$Q327=0),"CÓDIGO",
IF(AND($C327="S",$P327&lt;&gt;0,$Q327&lt;&gt;0,$R327="(Código não identificado nas referências)"),"CÓDIGO N/ID",
IF(AND($C327="S",OR($R327="",$R327="(digite a descrição aqui)"),OR($Q327&lt;&gt;0,$T327&gt;0,$U327&gt;0)),"DESCRIÇÃO",
IF(AND($C327="S",$P327&lt;&gt;0,$Q327&lt;&gt;0,$S327=""),"UNIDADE",
IF(AND($C327="S",$P327&lt;&gt;0,$Q327&lt;&gt;0,$U327=0),"SEM CUSTO",
IF(AND(TIPOORCAMENTO="Licitado",$AL327=0,$AN327&gt;0),"SEM PREÇO",
IF(AND($C327="S",$P327&lt;&gt;0,$Q327&lt;&gt;0,$U327&gt;0,$V327=0),"BDI",
IF(OR(AND(TIPOORCAMENTO="Proposto",$AG327&lt;&gt;"",$AG327&gt;0,ORÇAMENTO.CustoUnitario&gt;$AG327),AND(TIPOORCAMENTO="LICITADO",ORÇAMENTO.PrecoUnitarioLicitado&gt;$AN327)),"ACIMA REF.",
IF(AND($C327="S",$P327&lt;&gt;0,$Q327&lt;&gt;0,$T327=0,$U327&gt;0),"QUANT.",
IF(AND(Import.TipoArredondamento="TransfereGOV",$L327="F",$C327="S",LEN($Q327)&gt;13),"Código &gt;13",
IF(AND(Import.TipoArredondamento="TransfereGOV",$L327="F",$C327&lt;&gt;"S",LEN($R327)&gt;100),"Descrição &gt;100",
IF(AND(Import.TipoArredondamento="TransfereGOV",$L327="F",$C327="S",LEN($R327)&gt;500),"Descrição &gt;500",
IF(AND(Import.TipoArredondamento="TransfereGOV",$L327="F",$C327="S",LEFT(TRIM(UPPER($P327)),6)&lt;&gt;"SINAPI",ISNA(VLOOKUP(TRIM(UPPER($S327)),ListaTgov.Unidades,1,FALSE))),"Unid. Não Disp",
" "))))))))))))))))</f>
        <v>SEM CUSTO</v>
      </c>
      <c r="AD327" t="str">
        <f ca="1">IF(C327&lt;=CRONO.NivelExibicao,MAX($AD$15:OFFSET(AD327,-1,0))+IF($C327&lt;&gt;1,1,MAX(1,COUNTIF(QCI!$A$13:$A$24,OFFSET($E327,-1,0)))),"")</f>
        <v/>
      </c>
      <c r="AE327" s="7" t="str">
        <f ca="1">IF(AND($C327="S",ORÇAMENTO.CodBarra&lt;&gt;""),IF(ORÇAMENTO.Fonte="",ORÇAMENTO.CodBarra,CONCATENATE(ORÇAMENTO.Fonte," ",ORÇAMENTO.CodBarra)))</f>
        <v>SINAPI 103331</v>
      </c>
      <c r="AF327" s="12" t="str">
        <f ca="1">IF(ISERROR(INDIRECT(ORÇAMENTO.BancoRef)),"(abra o arquivo 'Referência "&amp;Excel_BuiltIn_Database&amp;".xlsm)",IF(OR($C327&lt;&gt;"S",ORÇAMENTO.CodBarra=""),"(Sem Código)",IF(ISERROR(MATCH($AE327,INDIRECT(ORÇAMENTO.BancoRef),0)),"(Código não identificado nas referências)",MATCH($AE327,INDIRECT(ORÇAMENTO.BancoRef),0))))</f>
        <v>(abra o arquivo 'Referência 12-2024.xlsm)</v>
      </c>
      <c r="AG327" s="429">
        <f ca="1">ROUND(IF(DESONERACAO="sim",REFERENCIA.Desonerado,REFERENCIA.NaoDesonerado),2)</f>
        <v>0</v>
      </c>
      <c r="AH327" s="430">
        <f t="shared" ca="1" si="81"/>
        <v>0.31190000000000001</v>
      </c>
      <c r="AJ327" s="432">
        <v>106.61</v>
      </c>
      <c r="AL327" s="440"/>
      <c r="AM327" s="337">
        <f t="shared" ca="1" si="66"/>
        <v>0</v>
      </c>
      <c r="AN327" s="471">
        <f t="shared" ca="1" si="82"/>
        <v>0</v>
      </c>
    </row>
    <row r="328" spans="1:40" ht="38.25" x14ac:dyDescent="0.2">
      <c r="A328" t="str">
        <f t="shared" si="67"/>
        <v>S</v>
      </c>
      <c r="B328">
        <f t="shared" ca="1" si="68"/>
        <v>2</v>
      </c>
      <c r="C328" t="str">
        <f t="shared" ca="1" si="69"/>
        <v>S</v>
      </c>
      <c r="D328">
        <f t="shared" ca="1" si="70"/>
        <v>0</v>
      </c>
      <c r="E328">
        <f ca="1">IF($C328=1,OFFSET(E328,-1,0)+MAX(1,COUNTIF(QCI!$A$13:$A$24,OFFSET(ORÇAMENTO!E328,-1,0))),OFFSET(E328,-1,0))</f>
        <v>1</v>
      </c>
      <c r="F328">
        <f t="shared" ca="1" si="71"/>
        <v>17</v>
      </c>
      <c r="G328">
        <f t="shared" ca="1" si="72"/>
        <v>0</v>
      </c>
      <c r="H328">
        <f t="shared" ca="1" si="73"/>
        <v>0</v>
      </c>
      <c r="I328">
        <f t="shared" ca="1" si="74"/>
        <v>0</v>
      </c>
      <c r="J328">
        <f t="shared" ca="1" si="75"/>
        <v>0</v>
      </c>
      <c r="K328">
        <f ca="1">IF(OR($C328="S",$C328=0),0,MATCH(OFFSET($D328,0,$C328)+IF($C328&lt;&gt;1,1,COUNTIF(QCI!$A$13:$A$24,ORÇAMENTO!E328)),OFFSET($D328,1,$C328,ROW($C$405)-ROW($C328)),0))</f>
        <v>0</v>
      </c>
      <c r="L328" s="115" t="str">
        <f t="shared" ca="1" si="76"/>
        <v/>
      </c>
      <c r="M328" s="116" t="s">
        <v>706</v>
      </c>
      <c r="N328" s="117" t="str">
        <f t="shared" ca="1" si="77"/>
        <v>Serviço</v>
      </c>
      <c r="O328" s="118" t="str">
        <f t="shared" ca="1" si="78"/>
        <v>-</v>
      </c>
      <c r="P328" s="119" t="s">
        <v>751</v>
      </c>
      <c r="Q328" s="120" t="s">
        <v>1213</v>
      </c>
      <c r="R328" s="121" t="s">
        <v>1583</v>
      </c>
      <c r="S328" s="122" t="s">
        <v>623</v>
      </c>
      <c r="T328" s="123">
        <f ca="1">OFFSET(CÁLCULO!H$15,ROW($T328)-ROW(T$15),0)</f>
        <v>227.58</v>
      </c>
      <c r="U328" s="124"/>
      <c r="V328" s="125" t="s">
        <v>663</v>
      </c>
      <c r="W328" s="123">
        <f ca="1">IF($C328="S",ROUND(IF(TIPOORCAMENTO="Proposto",ORÇAMENTO.CustoUnitario*(1+$AH328),ORÇAMENTO.PrecoUnitarioLicitado),15-13*$AF$10),0)</f>
        <v>0</v>
      </c>
      <c r="X328" s="126" cm="1">
        <f t="array" aca="1" ref="X328" ca="1">IF($C328="S",IF(OR(Import.TipoArredondamento&lt;&gt;"TransfereGOV",ACOMPANHAMENTO="BM"),VTOTAL1,SUM(OFFSET(CÁLCULO!$AA$15,ROW($X328)-ROW($X$15),1):OFFSET(CÁLCULO!$AL$15,ROW($X328)-ROW($X$15),-1))),IF($C328=0,0,ROUND(SomaAgrup,15-13*$AF$11)))</f>
        <v>0</v>
      </c>
      <c r="Y328" s="127" t="s">
        <v>752</v>
      </c>
      <c r="Z328" t="str">
        <f t="shared" ca="1" si="79"/>
        <v/>
      </c>
      <c r="AA328" s="128">
        <f ca="1">IF($C328="S",IF($Z328="CP",$X328,IF($Z328="RA",(($X328)*QCI!$AA$3),0)),SomaAgrup)</f>
        <v>0</v>
      </c>
      <c r="AB328" s="129">
        <f t="shared" ca="1" si="80"/>
        <v>0</v>
      </c>
      <c r="AC328" s="567" t="str">
        <f ca="1">IF($N328=""," ",
IF(AND($C328&lt;&gt;"S",OR($R328="",$R328="(digite a descrição aqui)")),"DESCRIÇÃO",
IF(AND($C328="S",OR($Q328&lt;&gt;0,$T328&gt;0,$U328&gt;0),$P328=0),"FONTE",
IF(AND($C328="S",$P328&lt;&gt;0,OR($T328&gt;0,$U328&gt;0),$Q328=0),"CÓDIGO",
IF(AND($C328="S",$P328&lt;&gt;0,$Q328&lt;&gt;0,$R328="(Código não identificado nas referências)"),"CÓDIGO N/ID",
IF(AND($C328="S",OR($R328="",$R328="(digite a descrição aqui)"),OR($Q328&lt;&gt;0,$T328&gt;0,$U328&gt;0)),"DESCRIÇÃO",
IF(AND($C328="S",$P328&lt;&gt;0,$Q328&lt;&gt;0,$S328=""),"UNIDADE",
IF(AND($C328="S",$P328&lt;&gt;0,$Q328&lt;&gt;0,$U328=0),"SEM CUSTO",
IF(AND(TIPOORCAMENTO="Licitado",$AL328=0,$AN328&gt;0),"SEM PREÇO",
IF(AND($C328="S",$P328&lt;&gt;0,$Q328&lt;&gt;0,$U328&gt;0,$V328=0),"BDI",
IF(OR(AND(TIPOORCAMENTO="Proposto",$AG328&lt;&gt;"",$AG328&gt;0,ORÇAMENTO.CustoUnitario&gt;$AG328),AND(TIPOORCAMENTO="LICITADO",ORÇAMENTO.PrecoUnitarioLicitado&gt;$AN328)),"ACIMA REF.",
IF(AND($C328="S",$P328&lt;&gt;0,$Q328&lt;&gt;0,$T328=0,$U328&gt;0),"QUANT.",
IF(AND(Import.TipoArredondamento="TransfereGOV",$L328="F",$C328="S",LEN($Q328)&gt;13),"Código &gt;13",
IF(AND(Import.TipoArredondamento="TransfereGOV",$L328="F",$C328&lt;&gt;"S",LEN($R328)&gt;100),"Descrição &gt;100",
IF(AND(Import.TipoArredondamento="TransfereGOV",$L328="F",$C328="S",LEN($R328)&gt;500),"Descrição &gt;500",
IF(AND(Import.TipoArredondamento="TransfereGOV",$L328="F",$C328="S",LEFT(TRIM(UPPER($P328)),6)&lt;&gt;"SINAPI",ISNA(VLOOKUP(TRIM(UPPER($S328)),ListaTgov.Unidades,1,FALSE))),"Unid. Não Disp",
" "))))))))))))))))</f>
        <v>SEM CUSTO</v>
      </c>
      <c r="AD328" t="str">
        <f ca="1">IF(C328&lt;=CRONO.NivelExibicao,MAX($AD$15:OFFSET(AD328,-1,0))+IF($C328&lt;&gt;1,1,MAX(1,COUNTIF(QCI!$A$13:$A$24,OFFSET($E328,-1,0)))),"")</f>
        <v/>
      </c>
      <c r="AE328" s="7" t="str">
        <f ca="1">IF(AND($C328="S",ORÇAMENTO.CodBarra&lt;&gt;""),IF(ORÇAMENTO.Fonte="",ORÇAMENTO.CodBarra,CONCATENATE(ORÇAMENTO.Fonte," ",ORÇAMENTO.CodBarra)))</f>
        <v>SINAPI 87879</v>
      </c>
      <c r="AF328" s="12" t="str">
        <f ca="1">IF(ISERROR(INDIRECT(ORÇAMENTO.BancoRef)),"(abra o arquivo 'Referência "&amp;Excel_BuiltIn_Database&amp;".xlsm)",IF(OR($C328&lt;&gt;"S",ORÇAMENTO.CodBarra=""),"(Sem Código)",IF(ISERROR(MATCH($AE328,INDIRECT(ORÇAMENTO.BancoRef),0)),"(Código não identificado nas referências)",MATCH($AE328,INDIRECT(ORÇAMENTO.BancoRef),0))))</f>
        <v>(abra o arquivo 'Referência 12-2024.xlsm)</v>
      </c>
      <c r="AG328" s="429">
        <f ca="1">ROUND(IF(DESONERACAO="sim",REFERENCIA.Desonerado,REFERENCIA.NaoDesonerado),2)</f>
        <v>0</v>
      </c>
      <c r="AH328" s="430">
        <f t="shared" ca="1" si="81"/>
        <v>0.31190000000000001</v>
      </c>
      <c r="AJ328" s="432">
        <v>227.58</v>
      </c>
      <c r="AL328" s="440"/>
      <c r="AM328" s="337">
        <f t="shared" ca="1" si="66"/>
        <v>0</v>
      </c>
      <c r="AN328" s="471">
        <f t="shared" ca="1" si="82"/>
        <v>0</v>
      </c>
    </row>
    <row r="329" spans="1:40" ht="51" x14ac:dyDescent="0.2">
      <c r="A329" t="str">
        <f t="shared" si="67"/>
        <v>S</v>
      </c>
      <c r="B329">
        <f t="shared" ca="1" si="68"/>
        <v>2</v>
      </c>
      <c r="C329" t="str">
        <f t="shared" ca="1" si="69"/>
        <v>S</v>
      </c>
      <c r="D329">
        <f t="shared" ca="1" si="70"/>
        <v>0</v>
      </c>
      <c r="E329">
        <f ca="1">IF($C329=1,OFFSET(E329,-1,0)+MAX(1,COUNTIF(QCI!$A$13:$A$24,OFFSET(ORÇAMENTO!E329,-1,0))),OFFSET(E329,-1,0))</f>
        <v>1</v>
      </c>
      <c r="F329">
        <f t="shared" ca="1" si="71"/>
        <v>17</v>
      </c>
      <c r="G329">
        <f t="shared" ca="1" si="72"/>
        <v>0</v>
      </c>
      <c r="H329">
        <f t="shared" ca="1" si="73"/>
        <v>0</v>
      </c>
      <c r="I329">
        <f t="shared" ca="1" si="74"/>
        <v>0</v>
      </c>
      <c r="J329">
        <f t="shared" ca="1" si="75"/>
        <v>0</v>
      </c>
      <c r="K329">
        <f ca="1">IF(OR($C329="S",$C329=0),0,MATCH(OFFSET($D329,0,$C329)+IF($C329&lt;&gt;1,1,COUNTIF(QCI!$A$13:$A$24,ORÇAMENTO!E329)),OFFSET($D329,1,$C329,ROW($C$405)-ROW($C329)),0))</f>
        <v>0</v>
      </c>
      <c r="L329" s="115" t="str">
        <f t="shared" ca="1" si="76"/>
        <v/>
      </c>
      <c r="M329" s="116" t="s">
        <v>706</v>
      </c>
      <c r="N329" s="117" t="str">
        <f t="shared" ca="1" si="77"/>
        <v>Serviço</v>
      </c>
      <c r="O329" s="118" t="str">
        <f t="shared" ca="1" si="78"/>
        <v>-</v>
      </c>
      <c r="P329" s="119" t="s">
        <v>751</v>
      </c>
      <c r="Q329" s="120" t="s">
        <v>1214</v>
      </c>
      <c r="R329" s="121" t="s">
        <v>1584</v>
      </c>
      <c r="S329" s="122" t="s">
        <v>623</v>
      </c>
      <c r="T329" s="123">
        <f ca="1">OFFSET(CÁLCULO!H$15,ROW($T329)-ROW(T$15),0)</f>
        <v>227.58</v>
      </c>
      <c r="U329" s="124"/>
      <c r="V329" s="125" t="s">
        <v>663</v>
      </c>
      <c r="W329" s="123">
        <f ca="1">IF($C329="S",ROUND(IF(TIPOORCAMENTO="Proposto",ORÇAMENTO.CustoUnitario*(1+$AH329),ORÇAMENTO.PrecoUnitarioLicitado),15-13*$AF$10),0)</f>
        <v>0</v>
      </c>
      <c r="X329" s="126" cm="1">
        <f t="array" aca="1" ref="X329" ca="1">IF($C329="S",IF(OR(Import.TipoArredondamento&lt;&gt;"TransfereGOV",ACOMPANHAMENTO="BM"),VTOTAL1,SUM(OFFSET(CÁLCULO!$AA$15,ROW($X329)-ROW($X$15),1):OFFSET(CÁLCULO!$AL$15,ROW($X329)-ROW($X$15),-1))),IF($C329=0,0,ROUND(SomaAgrup,15-13*$AF$11)))</f>
        <v>0</v>
      </c>
      <c r="Y329" s="127" t="s">
        <v>752</v>
      </c>
      <c r="Z329" t="str">
        <f t="shared" ca="1" si="79"/>
        <v/>
      </c>
      <c r="AA329" s="128">
        <f ca="1">IF($C329="S",IF($Z329="CP",$X329,IF($Z329="RA",(($X329)*QCI!$AA$3),0)),SomaAgrup)</f>
        <v>0</v>
      </c>
      <c r="AB329" s="129">
        <f t="shared" ca="1" si="80"/>
        <v>0</v>
      </c>
      <c r="AC329" s="567" t="str">
        <f ca="1">IF($N329=""," ",
IF(AND($C329&lt;&gt;"S",OR($R329="",$R329="(digite a descrição aqui)")),"DESCRIÇÃO",
IF(AND($C329="S",OR($Q329&lt;&gt;0,$T329&gt;0,$U329&gt;0),$P329=0),"FONTE",
IF(AND($C329="S",$P329&lt;&gt;0,OR($T329&gt;0,$U329&gt;0),$Q329=0),"CÓDIGO",
IF(AND($C329="S",$P329&lt;&gt;0,$Q329&lt;&gt;0,$R329="(Código não identificado nas referências)"),"CÓDIGO N/ID",
IF(AND($C329="S",OR($R329="",$R329="(digite a descrição aqui)"),OR($Q329&lt;&gt;0,$T329&gt;0,$U329&gt;0)),"DESCRIÇÃO",
IF(AND($C329="S",$P329&lt;&gt;0,$Q329&lt;&gt;0,$S329=""),"UNIDADE",
IF(AND($C329="S",$P329&lt;&gt;0,$Q329&lt;&gt;0,$U329=0),"SEM CUSTO",
IF(AND(TIPOORCAMENTO="Licitado",$AL329=0,$AN329&gt;0),"SEM PREÇO",
IF(AND($C329="S",$P329&lt;&gt;0,$Q329&lt;&gt;0,$U329&gt;0,$V329=0),"BDI",
IF(OR(AND(TIPOORCAMENTO="Proposto",$AG329&lt;&gt;"",$AG329&gt;0,ORÇAMENTO.CustoUnitario&gt;$AG329),AND(TIPOORCAMENTO="LICITADO",ORÇAMENTO.PrecoUnitarioLicitado&gt;$AN329)),"ACIMA REF.",
IF(AND($C329="S",$P329&lt;&gt;0,$Q329&lt;&gt;0,$T329=0,$U329&gt;0),"QUANT.",
IF(AND(Import.TipoArredondamento="TransfereGOV",$L329="F",$C329="S",LEN($Q329)&gt;13),"Código &gt;13",
IF(AND(Import.TipoArredondamento="TransfereGOV",$L329="F",$C329&lt;&gt;"S",LEN($R329)&gt;100),"Descrição &gt;100",
IF(AND(Import.TipoArredondamento="TransfereGOV",$L329="F",$C329="S",LEN($R329)&gt;500),"Descrição &gt;500",
IF(AND(Import.TipoArredondamento="TransfereGOV",$L329="F",$C329="S",LEFT(TRIM(UPPER($P329)),6)&lt;&gt;"SINAPI",ISNA(VLOOKUP(TRIM(UPPER($S329)),ListaTgov.Unidades,1,FALSE))),"Unid. Não Disp",
" "))))))))))))))))</f>
        <v>SEM CUSTO</v>
      </c>
      <c r="AD329" t="str">
        <f ca="1">IF(C329&lt;=CRONO.NivelExibicao,MAX($AD$15:OFFSET(AD329,-1,0))+IF($C329&lt;&gt;1,1,MAX(1,COUNTIF(QCI!$A$13:$A$24,OFFSET($E329,-1,0)))),"")</f>
        <v/>
      </c>
      <c r="AE329" s="7" t="str">
        <f ca="1">IF(AND($C329="S",ORÇAMENTO.CodBarra&lt;&gt;""),IF(ORÇAMENTO.Fonte="",ORÇAMENTO.CodBarra,CONCATENATE(ORÇAMENTO.Fonte," ",ORÇAMENTO.CodBarra)))</f>
        <v>SINAPI 87775</v>
      </c>
      <c r="AF329" s="12" t="str">
        <f ca="1">IF(ISERROR(INDIRECT(ORÇAMENTO.BancoRef)),"(abra o arquivo 'Referência "&amp;Excel_BuiltIn_Database&amp;".xlsm)",IF(OR($C329&lt;&gt;"S",ORÇAMENTO.CodBarra=""),"(Sem Código)",IF(ISERROR(MATCH($AE329,INDIRECT(ORÇAMENTO.BancoRef),0)),"(Código não identificado nas referências)",MATCH($AE329,INDIRECT(ORÇAMENTO.BancoRef),0))))</f>
        <v>(abra o arquivo 'Referência 12-2024.xlsm)</v>
      </c>
      <c r="AG329" s="429">
        <f ca="1">ROUND(IF(DESONERACAO="sim",REFERENCIA.Desonerado,REFERENCIA.NaoDesonerado),2)</f>
        <v>0</v>
      </c>
      <c r="AH329" s="430">
        <f t="shared" ca="1" si="81"/>
        <v>0.31190000000000001</v>
      </c>
      <c r="AJ329" s="432">
        <v>227.58</v>
      </c>
      <c r="AL329" s="440"/>
      <c r="AM329" s="337">
        <f t="shared" ca="1" si="66"/>
        <v>0</v>
      </c>
      <c r="AN329" s="471">
        <f t="shared" ca="1" si="82"/>
        <v>0</v>
      </c>
    </row>
    <row r="330" spans="1:40" ht="25.5" x14ac:dyDescent="0.2">
      <c r="A330" t="str">
        <f t="shared" si="67"/>
        <v>S</v>
      </c>
      <c r="B330">
        <f t="shared" ca="1" si="68"/>
        <v>2</v>
      </c>
      <c r="C330" t="str">
        <f t="shared" ca="1" si="69"/>
        <v>S</v>
      </c>
      <c r="D330">
        <f t="shared" ca="1" si="70"/>
        <v>0</v>
      </c>
      <c r="E330">
        <f ca="1">IF($C330=1,OFFSET(E330,-1,0)+MAX(1,COUNTIF(QCI!$A$13:$A$24,OFFSET(ORÇAMENTO!E330,-1,0))),OFFSET(E330,-1,0))</f>
        <v>1</v>
      </c>
      <c r="F330">
        <f t="shared" ca="1" si="71"/>
        <v>17</v>
      </c>
      <c r="G330">
        <f t="shared" ca="1" si="72"/>
        <v>0</v>
      </c>
      <c r="H330">
        <f t="shared" ca="1" si="73"/>
        <v>0</v>
      </c>
      <c r="I330">
        <f t="shared" ca="1" si="74"/>
        <v>0</v>
      </c>
      <c r="J330">
        <f t="shared" ca="1" si="75"/>
        <v>0</v>
      </c>
      <c r="K330">
        <f ca="1">IF(OR($C330="S",$C330=0),0,MATCH(OFFSET($D330,0,$C330)+IF($C330&lt;&gt;1,1,COUNTIF(QCI!$A$13:$A$24,ORÇAMENTO!E330)),OFFSET($D330,1,$C330,ROW($C$405)-ROW($C330)),0))</f>
        <v>0</v>
      </c>
      <c r="L330" s="115" t="str">
        <f t="shared" ca="1" si="76"/>
        <v/>
      </c>
      <c r="M330" s="116" t="s">
        <v>706</v>
      </c>
      <c r="N330" s="117" t="str">
        <f t="shared" ca="1" si="77"/>
        <v>Serviço</v>
      </c>
      <c r="O330" s="118" t="str">
        <f t="shared" ca="1" si="78"/>
        <v>-</v>
      </c>
      <c r="P330" s="119" t="s">
        <v>751</v>
      </c>
      <c r="Q330" s="120" t="s">
        <v>1215</v>
      </c>
      <c r="R330" s="121" t="s">
        <v>1585</v>
      </c>
      <c r="S330" s="122" t="s">
        <v>623</v>
      </c>
      <c r="T330" s="123">
        <f ca="1">OFFSET(CÁLCULO!H$15,ROW($T330)-ROW(T$15),0)</f>
        <v>227.58</v>
      </c>
      <c r="U330" s="124"/>
      <c r="V330" s="125" t="s">
        <v>663</v>
      </c>
      <c r="W330" s="123">
        <f ca="1">IF($C330="S",ROUND(IF(TIPOORCAMENTO="Proposto",ORÇAMENTO.CustoUnitario*(1+$AH330),ORÇAMENTO.PrecoUnitarioLicitado),15-13*$AF$10),0)</f>
        <v>0</v>
      </c>
      <c r="X330" s="126" cm="1">
        <f t="array" aca="1" ref="X330" ca="1">IF($C330="S",IF(OR(Import.TipoArredondamento&lt;&gt;"TransfereGOV",ACOMPANHAMENTO="BM"),VTOTAL1,SUM(OFFSET(CÁLCULO!$AA$15,ROW($X330)-ROW($X$15),1):OFFSET(CÁLCULO!$AL$15,ROW($X330)-ROW($X$15),-1))),IF($C330=0,0,ROUND(SomaAgrup,15-13*$AF$11)))</f>
        <v>0</v>
      </c>
      <c r="Y330" s="127" t="s">
        <v>752</v>
      </c>
      <c r="Z330" t="str">
        <f t="shared" ca="1" si="79"/>
        <v/>
      </c>
      <c r="AA330" s="128">
        <f ca="1">IF($C330="S",IF($Z330="CP",$X330,IF($Z330="RA",(($X330)*QCI!$AA$3),0)),SomaAgrup)</f>
        <v>0</v>
      </c>
      <c r="AB330" s="129">
        <f t="shared" ca="1" si="80"/>
        <v>0</v>
      </c>
      <c r="AC330" s="567" t="str">
        <f ca="1">IF($N330=""," ",
IF(AND($C330&lt;&gt;"S",OR($R330="",$R330="(digite a descrição aqui)")),"DESCRIÇÃO",
IF(AND($C330="S",OR($Q330&lt;&gt;0,$T330&gt;0,$U330&gt;0),$P330=0),"FONTE",
IF(AND($C330="S",$P330&lt;&gt;0,OR($T330&gt;0,$U330&gt;0),$Q330=0),"CÓDIGO",
IF(AND($C330="S",$P330&lt;&gt;0,$Q330&lt;&gt;0,$R330="(Código não identificado nas referências)"),"CÓDIGO N/ID",
IF(AND($C330="S",OR($R330="",$R330="(digite a descrição aqui)"),OR($Q330&lt;&gt;0,$T330&gt;0,$U330&gt;0)),"DESCRIÇÃO",
IF(AND($C330="S",$P330&lt;&gt;0,$Q330&lt;&gt;0,$S330=""),"UNIDADE",
IF(AND($C330="S",$P330&lt;&gt;0,$Q330&lt;&gt;0,$U330=0),"SEM CUSTO",
IF(AND(TIPOORCAMENTO="Licitado",$AL330=0,$AN330&gt;0),"SEM PREÇO",
IF(AND($C330="S",$P330&lt;&gt;0,$Q330&lt;&gt;0,$U330&gt;0,$V330=0),"BDI",
IF(OR(AND(TIPOORCAMENTO="Proposto",$AG330&lt;&gt;"",$AG330&gt;0,ORÇAMENTO.CustoUnitario&gt;$AG330),AND(TIPOORCAMENTO="LICITADO",ORÇAMENTO.PrecoUnitarioLicitado&gt;$AN330)),"ACIMA REF.",
IF(AND($C330="S",$P330&lt;&gt;0,$Q330&lt;&gt;0,$T330=0,$U330&gt;0),"QUANT.",
IF(AND(Import.TipoArredondamento="TransfereGOV",$L330="F",$C330="S",LEN($Q330)&gt;13),"Código &gt;13",
IF(AND(Import.TipoArredondamento="TransfereGOV",$L330="F",$C330&lt;&gt;"S",LEN($R330)&gt;100),"Descrição &gt;100",
IF(AND(Import.TipoArredondamento="TransfereGOV",$L330="F",$C330="S",LEN($R330)&gt;500),"Descrição &gt;500",
IF(AND(Import.TipoArredondamento="TransfereGOV",$L330="F",$C330="S",LEFT(TRIM(UPPER($P330)),6)&lt;&gt;"SINAPI",ISNA(VLOOKUP(TRIM(UPPER($S330)),ListaTgov.Unidades,1,FALSE))),"Unid. Não Disp",
" "))))))))))))))))</f>
        <v>SEM CUSTO</v>
      </c>
      <c r="AD330" t="str">
        <f ca="1">IF(C330&lt;=CRONO.NivelExibicao,MAX($AD$15:OFFSET(AD330,-1,0))+IF($C330&lt;&gt;1,1,MAX(1,COUNTIF(QCI!$A$13:$A$24,OFFSET($E330,-1,0)))),"")</f>
        <v/>
      </c>
      <c r="AE330" s="7" t="str">
        <f ca="1">IF(AND($C330="S",ORÇAMENTO.CodBarra&lt;&gt;""),IF(ORÇAMENTO.Fonte="",ORÇAMENTO.CodBarra,CONCATENATE(ORÇAMENTO.Fonte," ",ORÇAMENTO.CodBarra)))</f>
        <v>SINAPI 88485</v>
      </c>
      <c r="AF330" s="12" t="str">
        <f ca="1">IF(ISERROR(INDIRECT(ORÇAMENTO.BancoRef)),"(abra o arquivo 'Referência "&amp;Excel_BuiltIn_Database&amp;".xlsm)",IF(OR($C330&lt;&gt;"S",ORÇAMENTO.CodBarra=""),"(Sem Código)",IF(ISERROR(MATCH($AE330,INDIRECT(ORÇAMENTO.BancoRef),0)),"(Código não identificado nas referências)",MATCH($AE330,INDIRECT(ORÇAMENTO.BancoRef),0))))</f>
        <v>(abra o arquivo 'Referência 12-2024.xlsm)</v>
      </c>
      <c r="AG330" s="429">
        <f ca="1">ROUND(IF(DESONERACAO="sim",REFERENCIA.Desonerado,REFERENCIA.NaoDesonerado),2)</f>
        <v>0</v>
      </c>
      <c r="AH330" s="430">
        <f t="shared" ca="1" si="81"/>
        <v>0.31190000000000001</v>
      </c>
      <c r="AJ330" s="432">
        <v>227.58</v>
      </c>
      <c r="AL330" s="440"/>
      <c r="AM330" s="337">
        <f t="shared" ca="1" si="66"/>
        <v>0</v>
      </c>
      <c r="AN330" s="471">
        <f t="shared" ca="1" si="82"/>
        <v>0</v>
      </c>
    </row>
    <row r="331" spans="1:40" ht="25.5" x14ac:dyDescent="0.2">
      <c r="A331" t="str">
        <f t="shared" si="67"/>
        <v>S</v>
      </c>
      <c r="B331">
        <f t="shared" ca="1" si="68"/>
        <v>2</v>
      </c>
      <c r="C331" t="str">
        <f t="shared" ca="1" si="69"/>
        <v>S</v>
      </c>
      <c r="D331">
        <f t="shared" ca="1" si="70"/>
        <v>0</v>
      </c>
      <c r="E331">
        <f ca="1">IF($C331=1,OFFSET(E331,-1,0)+MAX(1,COUNTIF(QCI!$A$13:$A$24,OFFSET(ORÇAMENTO!E331,-1,0))),OFFSET(E331,-1,0))</f>
        <v>1</v>
      </c>
      <c r="F331">
        <f t="shared" ca="1" si="71"/>
        <v>17</v>
      </c>
      <c r="G331">
        <f t="shared" ca="1" si="72"/>
        <v>0</v>
      </c>
      <c r="H331">
        <f t="shared" ca="1" si="73"/>
        <v>0</v>
      </c>
      <c r="I331">
        <f t="shared" ca="1" si="74"/>
        <v>0</v>
      </c>
      <c r="J331">
        <f t="shared" ca="1" si="75"/>
        <v>0</v>
      </c>
      <c r="K331">
        <f ca="1">IF(OR($C331="S",$C331=0),0,MATCH(OFFSET($D331,0,$C331)+IF($C331&lt;&gt;1,1,COUNTIF(QCI!$A$13:$A$24,ORÇAMENTO!E331)),OFFSET($D331,1,$C331,ROW($C$405)-ROW($C331)),0))</f>
        <v>0</v>
      </c>
      <c r="L331" s="115" t="str">
        <f t="shared" ca="1" si="76"/>
        <v/>
      </c>
      <c r="M331" s="116" t="s">
        <v>706</v>
      </c>
      <c r="N331" s="117" t="str">
        <f t="shared" ca="1" si="77"/>
        <v>Serviço</v>
      </c>
      <c r="O331" s="118" t="str">
        <f t="shared" ca="1" si="78"/>
        <v>-</v>
      </c>
      <c r="P331" s="119" t="s">
        <v>751</v>
      </c>
      <c r="Q331" s="120" t="s">
        <v>1216</v>
      </c>
      <c r="R331" s="121" t="s">
        <v>1586</v>
      </c>
      <c r="S331" s="122" t="s">
        <v>623</v>
      </c>
      <c r="T331" s="123">
        <f ca="1">OFFSET(CÁLCULO!H$15,ROW($T331)-ROW(T$15),0)</f>
        <v>227.58</v>
      </c>
      <c r="U331" s="124"/>
      <c r="V331" s="125" t="s">
        <v>663</v>
      </c>
      <c r="W331" s="123">
        <f ca="1">IF($C331="S",ROUND(IF(TIPOORCAMENTO="Proposto",ORÇAMENTO.CustoUnitario*(1+$AH331),ORÇAMENTO.PrecoUnitarioLicitado),15-13*$AF$10),0)</f>
        <v>0</v>
      </c>
      <c r="X331" s="126" cm="1">
        <f t="array" aca="1" ref="X331" ca="1">IF($C331="S",IF(OR(Import.TipoArredondamento&lt;&gt;"TransfereGOV",ACOMPANHAMENTO="BM"),VTOTAL1,SUM(OFFSET(CÁLCULO!$AA$15,ROW($X331)-ROW($X$15),1):OFFSET(CÁLCULO!$AL$15,ROW($X331)-ROW($X$15),-1))),IF($C331=0,0,ROUND(SomaAgrup,15-13*$AF$11)))</f>
        <v>0</v>
      </c>
      <c r="Y331" s="127" t="s">
        <v>752</v>
      </c>
      <c r="Z331" t="str">
        <f t="shared" ca="1" si="79"/>
        <v/>
      </c>
      <c r="AA331" s="128">
        <f ca="1">IF($C331="S",IF($Z331="CP",$X331,IF($Z331="RA",(($X331)*QCI!$AA$3),0)),SomaAgrup)</f>
        <v>0</v>
      </c>
      <c r="AB331" s="129">
        <f t="shared" ca="1" si="80"/>
        <v>0</v>
      </c>
      <c r="AC331" s="567" t="str">
        <f ca="1">IF($N331=""," ",
IF(AND($C331&lt;&gt;"S",OR($R331="",$R331="(digite a descrição aqui)")),"DESCRIÇÃO",
IF(AND($C331="S",OR($Q331&lt;&gt;0,$T331&gt;0,$U331&gt;0),$P331=0),"FONTE",
IF(AND($C331="S",$P331&lt;&gt;0,OR($T331&gt;0,$U331&gt;0),$Q331=0),"CÓDIGO",
IF(AND($C331="S",$P331&lt;&gt;0,$Q331&lt;&gt;0,$R331="(Código não identificado nas referências)"),"CÓDIGO N/ID",
IF(AND($C331="S",OR($R331="",$R331="(digite a descrição aqui)"),OR($Q331&lt;&gt;0,$T331&gt;0,$U331&gt;0)),"DESCRIÇÃO",
IF(AND($C331="S",$P331&lt;&gt;0,$Q331&lt;&gt;0,$S331=""),"UNIDADE",
IF(AND($C331="S",$P331&lt;&gt;0,$Q331&lt;&gt;0,$U331=0),"SEM CUSTO",
IF(AND(TIPOORCAMENTO="Licitado",$AL331=0,$AN331&gt;0),"SEM PREÇO",
IF(AND($C331="S",$P331&lt;&gt;0,$Q331&lt;&gt;0,$U331&gt;0,$V331=0),"BDI",
IF(OR(AND(TIPOORCAMENTO="Proposto",$AG331&lt;&gt;"",$AG331&gt;0,ORÇAMENTO.CustoUnitario&gt;$AG331),AND(TIPOORCAMENTO="LICITADO",ORÇAMENTO.PrecoUnitarioLicitado&gt;$AN331)),"ACIMA REF.",
IF(AND($C331="S",$P331&lt;&gt;0,$Q331&lt;&gt;0,$T331=0,$U331&gt;0),"QUANT.",
IF(AND(Import.TipoArredondamento="TransfereGOV",$L331="F",$C331="S",LEN($Q331)&gt;13),"Código &gt;13",
IF(AND(Import.TipoArredondamento="TransfereGOV",$L331="F",$C331&lt;&gt;"S",LEN($R331)&gt;100),"Descrição &gt;100",
IF(AND(Import.TipoArredondamento="TransfereGOV",$L331="F",$C331="S",LEN($R331)&gt;500),"Descrição &gt;500",
IF(AND(Import.TipoArredondamento="TransfereGOV",$L331="F",$C331="S",LEFT(TRIM(UPPER($P331)),6)&lt;&gt;"SINAPI",ISNA(VLOOKUP(TRIM(UPPER($S331)),ListaTgov.Unidades,1,FALSE))),"Unid. Não Disp",
" "))))))))))))))))</f>
        <v>SEM CUSTO</v>
      </c>
      <c r="AD331" t="str">
        <f ca="1">IF(C331&lt;=CRONO.NivelExibicao,MAX($AD$15:OFFSET(AD331,-1,0))+IF($C331&lt;&gt;1,1,MAX(1,COUNTIF(QCI!$A$13:$A$24,OFFSET($E331,-1,0)))),"")</f>
        <v/>
      </c>
      <c r="AE331" s="7" t="str">
        <f ca="1">IF(AND($C331="S",ORÇAMENTO.CodBarra&lt;&gt;""),IF(ORÇAMENTO.Fonte="",ORÇAMENTO.CodBarra,CONCATENATE(ORÇAMENTO.Fonte," ",ORÇAMENTO.CodBarra)))</f>
        <v>SINAPI 88489</v>
      </c>
      <c r="AF331" s="12" t="str">
        <f ca="1">IF(ISERROR(INDIRECT(ORÇAMENTO.BancoRef)),"(abra o arquivo 'Referência "&amp;Excel_BuiltIn_Database&amp;".xlsm)",IF(OR($C331&lt;&gt;"S",ORÇAMENTO.CodBarra=""),"(Sem Código)",IF(ISERROR(MATCH($AE331,INDIRECT(ORÇAMENTO.BancoRef),0)),"(Código não identificado nas referências)",MATCH($AE331,INDIRECT(ORÇAMENTO.BancoRef),0))))</f>
        <v>(abra o arquivo 'Referência 12-2024.xlsm)</v>
      </c>
      <c r="AG331" s="429">
        <f ca="1">ROUND(IF(DESONERACAO="sim",REFERENCIA.Desonerado,REFERENCIA.NaoDesonerado),2)</f>
        <v>0</v>
      </c>
      <c r="AH331" s="430">
        <f t="shared" ca="1" si="81"/>
        <v>0.31190000000000001</v>
      </c>
      <c r="AJ331" s="432">
        <v>227.58</v>
      </c>
      <c r="AL331" s="440"/>
      <c r="AM331" s="337">
        <f t="shared" ca="1" si="66"/>
        <v>0</v>
      </c>
      <c r="AN331" s="471">
        <f t="shared" ca="1" si="82"/>
        <v>0</v>
      </c>
    </row>
    <row r="332" spans="1:40" ht="25.5" x14ac:dyDescent="0.2">
      <c r="A332" t="str">
        <f t="shared" si="67"/>
        <v>S</v>
      </c>
      <c r="B332">
        <f t="shared" ca="1" si="68"/>
        <v>2</v>
      </c>
      <c r="C332" t="str">
        <f t="shared" ca="1" si="69"/>
        <v>S</v>
      </c>
      <c r="D332">
        <f t="shared" ca="1" si="70"/>
        <v>0</v>
      </c>
      <c r="E332">
        <f ca="1">IF($C332=1,OFFSET(E332,-1,0)+MAX(1,COUNTIF(QCI!$A$13:$A$24,OFFSET(ORÇAMENTO!E332,-1,0))),OFFSET(E332,-1,0))</f>
        <v>1</v>
      </c>
      <c r="F332">
        <f t="shared" ca="1" si="71"/>
        <v>17</v>
      </c>
      <c r="G332">
        <f t="shared" ca="1" si="72"/>
        <v>0</v>
      </c>
      <c r="H332">
        <f t="shared" ca="1" si="73"/>
        <v>0</v>
      </c>
      <c r="I332">
        <f t="shared" ca="1" si="74"/>
        <v>0</v>
      </c>
      <c r="J332">
        <f t="shared" ca="1" si="75"/>
        <v>0</v>
      </c>
      <c r="K332">
        <f ca="1">IF(OR($C332="S",$C332=0),0,MATCH(OFFSET($D332,0,$C332)+IF($C332&lt;&gt;1,1,COUNTIF(QCI!$A$13:$A$24,ORÇAMENTO!E332)),OFFSET($D332,1,$C332,ROW($C$405)-ROW($C332)),0))</f>
        <v>0</v>
      </c>
      <c r="L332" s="115" t="str">
        <f t="shared" ca="1" si="76"/>
        <v/>
      </c>
      <c r="M332" s="116" t="s">
        <v>706</v>
      </c>
      <c r="N332" s="117" t="str">
        <f t="shared" ca="1" si="77"/>
        <v>Serviço</v>
      </c>
      <c r="O332" s="118" t="str">
        <f t="shared" ca="1" si="78"/>
        <v>-</v>
      </c>
      <c r="P332" s="119" t="s">
        <v>751</v>
      </c>
      <c r="Q332" s="120" t="s">
        <v>1217</v>
      </c>
      <c r="R332" s="121" t="s">
        <v>1587</v>
      </c>
      <c r="S332" s="122" t="s">
        <v>623</v>
      </c>
      <c r="T332" s="123">
        <f ca="1">OFFSET(CÁLCULO!H$15,ROW($T332)-ROW(T$15),0)</f>
        <v>2.95</v>
      </c>
      <c r="U332" s="124"/>
      <c r="V332" s="125" t="s">
        <v>663</v>
      </c>
      <c r="W332" s="123">
        <f ca="1">IF($C332="S",ROUND(IF(TIPOORCAMENTO="Proposto",ORÇAMENTO.CustoUnitario*(1+$AH332),ORÇAMENTO.PrecoUnitarioLicitado),15-13*$AF$10),0)</f>
        <v>0</v>
      </c>
      <c r="X332" s="126" cm="1">
        <f t="array" aca="1" ref="X332" ca="1">IF($C332="S",IF(OR(Import.TipoArredondamento&lt;&gt;"TransfereGOV",ACOMPANHAMENTO="BM"),VTOTAL1,SUM(OFFSET(CÁLCULO!$AA$15,ROW($X332)-ROW($X$15),1):OFFSET(CÁLCULO!$AL$15,ROW($X332)-ROW($X$15),-1))),IF($C332=0,0,ROUND(SomaAgrup,15-13*$AF$11)))</f>
        <v>0</v>
      </c>
      <c r="Y332" s="127" t="s">
        <v>752</v>
      </c>
      <c r="Z332" t="str">
        <f t="shared" ca="1" si="79"/>
        <v/>
      </c>
      <c r="AA332" s="128">
        <f ca="1">IF($C332="S",IF($Z332="CP",$X332,IF($Z332="RA",(($X332)*QCI!$AA$3),0)),SomaAgrup)</f>
        <v>0</v>
      </c>
      <c r="AB332" s="129">
        <f t="shared" ca="1" si="80"/>
        <v>0</v>
      </c>
      <c r="AC332" s="567" t="str">
        <f ca="1">IF($N332=""," ",
IF(AND($C332&lt;&gt;"S",OR($R332="",$R332="(digite a descrição aqui)")),"DESCRIÇÃO",
IF(AND($C332="S",OR($Q332&lt;&gt;0,$T332&gt;0,$U332&gt;0),$P332=0),"FONTE",
IF(AND($C332="S",$P332&lt;&gt;0,OR($T332&gt;0,$U332&gt;0),$Q332=0),"CÓDIGO",
IF(AND($C332="S",$P332&lt;&gt;0,$Q332&lt;&gt;0,$R332="(Código não identificado nas referências)"),"CÓDIGO N/ID",
IF(AND($C332="S",OR($R332="",$R332="(digite a descrição aqui)"),OR($Q332&lt;&gt;0,$T332&gt;0,$U332&gt;0)),"DESCRIÇÃO",
IF(AND($C332="S",$P332&lt;&gt;0,$Q332&lt;&gt;0,$S332=""),"UNIDADE",
IF(AND($C332="S",$P332&lt;&gt;0,$Q332&lt;&gt;0,$U332=0),"SEM CUSTO",
IF(AND(TIPOORCAMENTO="Licitado",$AL332=0,$AN332&gt;0),"SEM PREÇO",
IF(AND($C332="S",$P332&lt;&gt;0,$Q332&lt;&gt;0,$U332&gt;0,$V332=0),"BDI",
IF(OR(AND(TIPOORCAMENTO="Proposto",$AG332&lt;&gt;"",$AG332&gt;0,ORÇAMENTO.CustoUnitario&gt;$AG332),AND(TIPOORCAMENTO="LICITADO",ORÇAMENTO.PrecoUnitarioLicitado&gt;$AN332)),"ACIMA REF.",
IF(AND($C332="S",$P332&lt;&gt;0,$Q332&lt;&gt;0,$T332=0,$U332&gt;0),"QUANT.",
IF(AND(Import.TipoArredondamento="TransfereGOV",$L332="F",$C332="S",LEN($Q332)&gt;13),"Código &gt;13",
IF(AND(Import.TipoArredondamento="TransfereGOV",$L332="F",$C332&lt;&gt;"S",LEN($R332)&gt;100),"Descrição &gt;100",
IF(AND(Import.TipoArredondamento="TransfereGOV",$L332="F",$C332="S",LEN($R332)&gt;500),"Descrição &gt;500",
IF(AND(Import.TipoArredondamento="TransfereGOV",$L332="F",$C332="S",LEFT(TRIM(UPPER($P332)),6)&lt;&gt;"SINAPI",ISNA(VLOOKUP(TRIM(UPPER($S332)),ListaTgov.Unidades,1,FALSE))),"Unid. Não Disp",
" "))))))))))))))))</f>
        <v>SEM CUSTO</v>
      </c>
      <c r="AD332" t="str">
        <f ca="1">IF(C332&lt;=CRONO.NivelExibicao,MAX($AD$15:OFFSET(AD332,-1,0))+IF($C332&lt;&gt;1,1,MAX(1,COUNTIF(QCI!$A$13:$A$24,OFFSET($E332,-1,0)))),"")</f>
        <v/>
      </c>
      <c r="AE332" s="7" t="str">
        <f ca="1">IF(AND($C332="S",ORÇAMENTO.CodBarra&lt;&gt;""),IF(ORÇAMENTO.Fonte="",ORÇAMENTO.CodBarra,CONCATENATE(ORÇAMENTO.Fonte," ",ORÇAMENTO.CodBarra)))</f>
        <v>SINAPI 92482</v>
      </c>
      <c r="AF332" s="12" t="str">
        <f ca="1">IF(ISERROR(INDIRECT(ORÇAMENTO.BancoRef)),"(abra o arquivo 'Referência "&amp;Excel_BuiltIn_Database&amp;".xlsm)",IF(OR($C332&lt;&gt;"S",ORÇAMENTO.CodBarra=""),"(Sem Código)",IF(ISERROR(MATCH($AE332,INDIRECT(ORÇAMENTO.BancoRef),0)),"(Código não identificado nas referências)",MATCH($AE332,INDIRECT(ORÇAMENTO.BancoRef),0))))</f>
        <v>(abra o arquivo 'Referência 12-2024.xlsm)</v>
      </c>
      <c r="AG332" s="429">
        <f ca="1">ROUND(IF(DESONERACAO="sim",REFERENCIA.Desonerado,REFERENCIA.NaoDesonerado),2)</f>
        <v>0</v>
      </c>
      <c r="AH332" s="430">
        <f t="shared" ca="1" si="81"/>
        <v>0.31190000000000001</v>
      </c>
      <c r="AJ332" s="432">
        <v>2.95</v>
      </c>
      <c r="AL332" s="440"/>
      <c r="AM332" s="337">
        <f t="shared" ca="1" si="66"/>
        <v>0</v>
      </c>
      <c r="AN332" s="471">
        <f t="shared" ca="1" si="82"/>
        <v>0</v>
      </c>
    </row>
    <row r="333" spans="1:40" ht="38.25" x14ac:dyDescent="0.2">
      <c r="A333" t="str">
        <f t="shared" si="67"/>
        <v>S</v>
      </c>
      <c r="B333">
        <f t="shared" ca="1" si="68"/>
        <v>2</v>
      </c>
      <c r="C333" t="str">
        <f t="shared" ca="1" si="69"/>
        <v>S</v>
      </c>
      <c r="D333">
        <f t="shared" ca="1" si="70"/>
        <v>0</v>
      </c>
      <c r="E333">
        <f ca="1">IF($C333=1,OFFSET(E333,-1,0)+MAX(1,COUNTIF(QCI!$A$13:$A$24,OFFSET(ORÇAMENTO!E333,-1,0))),OFFSET(E333,-1,0))</f>
        <v>1</v>
      </c>
      <c r="F333">
        <f t="shared" ca="1" si="71"/>
        <v>17</v>
      </c>
      <c r="G333">
        <f t="shared" ca="1" si="72"/>
        <v>0</v>
      </c>
      <c r="H333">
        <f t="shared" ca="1" si="73"/>
        <v>0</v>
      </c>
      <c r="I333">
        <f t="shared" ca="1" si="74"/>
        <v>0</v>
      </c>
      <c r="J333">
        <f t="shared" ca="1" si="75"/>
        <v>0</v>
      </c>
      <c r="K333">
        <f ca="1">IF(OR($C333="S",$C333=0),0,MATCH(OFFSET($D333,0,$C333)+IF($C333&lt;&gt;1,1,COUNTIF(QCI!$A$13:$A$24,ORÇAMENTO!E333)),OFFSET($D333,1,$C333,ROW($C$405)-ROW($C333)),0))</f>
        <v>0</v>
      </c>
      <c r="L333" s="115" t="str">
        <f t="shared" ca="1" si="76"/>
        <v/>
      </c>
      <c r="M333" s="116" t="s">
        <v>706</v>
      </c>
      <c r="N333" s="117" t="str">
        <f t="shared" ca="1" si="77"/>
        <v>Serviço</v>
      </c>
      <c r="O333" s="118" t="str">
        <f t="shared" ca="1" si="78"/>
        <v>-</v>
      </c>
      <c r="P333" s="119" t="s">
        <v>751</v>
      </c>
      <c r="Q333" s="120" t="s">
        <v>1218</v>
      </c>
      <c r="R333" s="121" t="s">
        <v>1588</v>
      </c>
      <c r="S333" s="122" t="s">
        <v>625</v>
      </c>
      <c r="T333" s="123">
        <f ca="1">OFFSET(CÁLCULO!H$15,ROW($T333)-ROW(T$15),0)</f>
        <v>0.5</v>
      </c>
      <c r="U333" s="124"/>
      <c r="V333" s="125" t="s">
        <v>663</v>
      </c>
      <c r="W333" s="123">
        <f ca="1">IF($C333="S",ROUND(IF(TIPOORCAMENTO="Proposto",ORÇAMENTO.CustoUnitario*(1+$AH333),ORÇAMENTO.PrecoUnitarioLicitado),15-13*$AF$10),0)</f>
        <v>0</v>
      </c>
      <c r="X333" s="126" cm="1">
        <f t="array" aca="1" ref="X333" ca="1">IF($C333="S",IF(OR(Import.TipoArredondamento&lt;&gt;"TransfereGOV",ACOMPANHAMENTO="BM"),VTOTAL1,SUM(OFFSET(CÁLCULO!$AA$15,ROW($X333)-ROW($X$15),1):OFFSET(CÁLCULO!$AL$15,ROW($X333)-ROW($X$15),-1))),IF($C333=0,0,ROUND(SomaAgrup,15-13*$AF$11)))</f>
        <v>0</v>
      </c>
      <c r="Y333" s="127" t="s">
        <v>752</v>
      </c>
      <c r="Z333" t="str">
        <f t="shared" ca="1" si="79"/>
        <v/>
      </c>
      <c r="AA333" s="128">
        <f ca="1">IF($C333="S",IF($Z333="CP",$X333,IF($Z333="RA",(($X333)*QCI!$AA$3),0)),SomaAgrup)</f>
        <v>0</v>
      </c>
      <c r="AB333" s="129">
        <f t="shared" ca="1" si="80"/>
        <v>0</v>
      </c>
      <c r="AC333" s="567" t="str">
        <f ca="1">IF($N333=""," ",
IF(AND($C333&lt;&gt;"S",OR($R333="",$R333="(digite a descrição aqui)")),"DESCRIÇÃO",
IF(AND($C333="S",OR($Q333&lt;&gt;0,$T333&gt;0,$U333&gt;0),$P333=0),"FONTE",
IF(AND($C333="S",$P333&lt;&gt;0,OR($T333&gt;0,$U333&gt;0),$Q333=0),"CÓDIGO",
IF(AND($C333="S",$P333&lt;&gt;0,$Q333&lt;&gt;0,$R333="(Código não identificado nas referências)"),"CÓDIGO N/ID",
IF(AND($C333="S",OR($R333="",$R333="(digite a descrição aqui)"),OR($Q333&lt;&gt;0,$T333&gt;0,$U333&gt;0)),"DESCRIÇÃO",
IF(AND($C333="S",$P333&lt;&gt;0,$Q333&lt;&gt;0,$S333=""),"UNIDADE",
IF(AND($C333="S",$P333&lt;&gt;0,$Q333&lt;&gt;0,$U333=0),"SEM CUSTO",
IF(AND(TIPOORCAMENTO="Licitado",$AL333=0,$AN333&gt;0),"SEM PREÇO",
IF(AND($C333="S",$P333&lt;&gt;0,$Q333&lt;&gt;0,$U333&gt;0,$V333=0),"BDI",
IF(OR(AND(TIPOORCAMENTO="Proposto",$AG333&lt;&gt;"",$AG333&gt;0,ORÇAMENTO.CustoUnitario&gt;$AG333),AND(TIPOORCAMENTO="LICITADO",ORÇAMENTO.PrecoUnitarioLicitado&gt;$AN333)),"ACIMA REF.",
IF(AND($C333="S",$P333&lt;&gt;0,$Q333&lt;&gt;0,$T333=0,$U333&gt;0),"QUANT.",
IF(AND(Import.TipoArredondamento="TransfereGOV",$L333="F",$C333="S",LEN($Q333)&gt;13),"Código &gt;13",
IF(AND(Import.TipoArredondamento="TransfereGOV",$L333="F",$C333&lt;&gt;"S",LEN($R333)&gt;100),"Descrição &gt;100",
IF(AND(Import.TipoArredondamento="TransfereGOV",$L333="F",$C333="S",LEN($R333)&gt;500),"Descrição &gt;500",
IF(AND(Import.TipoArredondamento="TransfereGOV",$L333="F",$C333="S",LEFT(TRIM(UPPER($P333)),6)&lt;&gt;"SINAPI",ISNA(VLOOKUP(TRIM(UPPER($S333)),ListaTgov.Unidades,1,FALSE))),"Unid. Não Disp",
" "))))))))))))))))</f>
        <v>SEM CUSTO</v>
      </c>
      <c r="AD333" t="str">
        <f ca="1">IF(C333&lt;=CRONO.NivelExibicao,MAX($AD$15:OFFSET(AD333,-1,0))+IF($C333&lt;&gt;1,1,MAX(1,COUNTIF(QCI!$A$13:$A$24,OFFSET($E333,-1,0)))),"")</f>
        <v/>
      </c>
      <c r="AE333" s="7" t="str">
        <f ca="1">IF(AND($C333="S",ORÇAMENTO.CodBarra&lt;&gt;""),IF(ORÇAMENTO.Fonte="",ORÇAMENTO.CodBarra,CONCATENATE(ORÇAMENTO.Fonte," ",ORÇAMENTO.CodBarra)))</f>
        <v>SINAPI 103682</v>
      </c>
      <c r="AF333" s="12" t="str">
        <f ca="1">IF(ISERROR(INDIRECT(ORÇAMENTO.BancoRef)),"(abra o arquivo 'Referência "&amp;Excel_BuiltIn_Database&amp;".xlsm)",IF(OR($C333&lt;&gt;"S",ORÇAMENTO.CodBarra=""),"(Sem Código)",IF(ISERROR(MATCH($AE333,INDIRECT(ORÇAMENTO.BancoRef),0)),"(Código não identificado nas referências)",MATCH($AE333,INDIRECT(ORÇAMENTO.BancoRef),0))))</f>
        <v>(abra o arquivo 'Referência 12-2024.xlsm)</v>
      </c>
      <c r="AG333" s="429">
        <f ca="1">ROUND(IF(DESONERACAO="sim",REFERENCIA.Desonerado,REFERENCIA.NaoDesonerado),2)</f>
        <v>0</v>
      </c>
      <c r="AH333" s="430">
        <f t="shared" ca="1" si="81"/>
        <v>0.31190000000000001</v>
      </c>
      <c r="AJ333" s="432">
        <v>0.5</v>
      </c>
      <c r="AL333" s="440"/>
      <c r="AM333" s="337">
        <f t="shared" ref="AM333:AM396" ca="1" si="83">$X333</f>
        <v>0</v>
      </c>
      <c r="AN333" s="471">
        <f t="shared" ca="1" si="82"/>
        <v>0</v>
      </c>
    </row>
    <row r="334" spans="1:40" ht="38.25" x14ac:dyDescent="0.2">
      <c r="A334" t="str">
        <f t="shared" si="67"/>
        <v>S</v>
      </c>
      <c r="B334">
        <f t="shared" ca="1" si="68"/>
        <v>2</v>
      </c>
      <c r="C334" t="str">
        <f t="shared" ca="1" si="69"/>
        <v>S</v>
      </c>
      <c r="D334">
        <f t="shared" ca="1" si="70"/>
        <v>0</v>
      </c>
      <c r="E334">
        <f ca="1">IF($C334=1,OFFSET(E334,-1,0)+MAX(1,COUNTIF(QCI!$A$13:$A$24,OFFSET(ORÇAMENTO!E334,-1,0))),OFFSET(E334,-1,0))</f>
        <v>1</v>
      </c>
      <c r="F334">
        <f t="shared" ca="1" si="71"/>
        <v>17</v>
      </c>
      <c r="G334">
        <f t="shared" ca="1" si="72"/>
        <v>0</v>
      </c>
      <c r="H334">
        <f t="shared" ca="1" si="73"/>
        <v>0</v>
      </c>
      <c r="I334">
        <f t="shared" ca="1" si="74"/>
        <v>0</v>
      </c>
      <c r="J334">
        <f t="shared" ca="1" si="75"/>
        <v>0</v>
      </c>
      <c r="K334">
        <f ca="1">IF(OR($C334="S",$C334=0),0,MATCH(OFFSET($D334,0,$C334)+IF($C334&lt;&gt;1,1,COUNTIF(QCI!$A$13:$A$24,ORÇAMENTO!E334)),OFFSET($D334,1,$C334,ROW($C$405)-ROW($C334)),0))</f>
        <v>0</v>
      </c>
      <c r="L334" s="115" t="str">
        <f t="shared" ca="1" si="76"/>
        <v/>
      </c>
      <c r="M334" s="116" t="s">
        <v>706</v>
      </c>
      <c r="N334" s="117" t="str">
        <f t="shared" ca="1" si="77"/>
        <v>Serviço</v>
      </c>
      <c r="O334" s="118" t="str">
        <f t="shared" ca="1" si="78"/>
        <v>-</v>
      </c>
      <c r="P334" s="119" t="s">
        <v>751</v>
      </c>
      <c r="Q334" s="120" t="s">
        <v>1177</v>
      </c>
      <c r="R334" s="121" t="s">
        <v>1549</v>
      </c>
      <c r="S334" s="122" t="s">
        <v>623</v>
      </c>
      <c r="T334" s="123">
        <f ca="1">OFFSET(CÁLCULO!H$15,ROW($T334)-ROW(T$15),0)</f>
        <v>1.53</v>
      </c>
      <c r="U334" s="124"/>
      <c r="V334" s="125" t="s">
        <v>663</v>
      </c>
      <c r="W334" s="123">
        <f ca="1">IF($C334="S",ROUND(IF(TIPOORCAMENTO="Proposto",ORÇAMENTO.CustoUnitario*(1+$AH334),ORÇAMENTO.PrecoUnitarioLicitado),15-13*$AF$10),0)</f>
        <v>0</v>
      </c>
      <c r="X334" s="126" cm="1">
        <f t="array" aca="1" ref="X334" ca="1">IF($C334="S",IF(OR(Import.TipoArredondamento&lt;&gt;"TransfereGOV",ACOMPANHAMENTO="BM"),VTOTAL1,SUM(OFFSET(CÁLCULO!$AA$15,ROW($X334)-ROW($X$15),1):OFFSET(CÁLCULO!$AL$15,ROW($X334)-ROW($X$15),-1))),IF($C334=0,0,ROUND(SomaAgrup,15-13*$AF$11)))</f>
        <v>0</v>
      </c>
      <c r="Y334" s="127" t="s">
        <v>752</v>
      </c>
      <c r="Z334" t="str">
        <f t="shared" ca="1" si="79"/>
        <v/>
      </c>
      <c r="AA334" s="128">
        <f ca="1">IF($C334="S",IF($Z334="CP",$X334,IF($Z334="RA",(($X334)*QCI!$AA$3),0)),SomaAgrup)</f>
        <v>0</v>
      </c>
      <c r="AB334" s="129">
        <f t="shared" ca="1" si="80"/>
        <v>0</v>
      </c>
      <c r="AC334" s="567" t="str">
        <f ca="1">IF($N334=""," ",
IF(AND($C334&lt;&gt;"S",OR($R334="",$R334="(digite a descrição aqui)")),"DESCRIÇÃO",
IF(AND($C334="S",OR($Q334&lt;&gt;0,$T334&gt;0,$U334&gt;0),$P334=0),"FONTE",
IF(AND($C334="S",$P334&lt;&gt;0,OR($T334&gt;0,$U334&gt;0),$Q334=0),"CÓDIGO",
IF(AND($C334="S",$P334&lt;&gt;0,$Q334&lt;&gt;0,$R334="(Código não identificado nas referências)"),"CÓDIGO N/ID",
IF(AND($C334="S",OR($R334="",$R334="(digite a descrição aqui)"),OR($Q334&lt;&gt;0,$T334&gt;0,$U334&gt;0)),"DESCRIÇÃO",
IF(AND($C334="S",$P334&lt;&gt;0,$Q334&lt;&gt;0,$S334=""),"UNIDADE",
IF(AND($C334="S",$P334&lt;&gt;0,$Q334&lt;&gt;0,$U334=0),"SEM CUSTO",
IF(AND(TIPOORCAMENTO="Licitado",$AL334=0,$AN334&gt;0),"SEM PREÇO",
IF(AND($C334="S",$P334&lt;&gt;0,$Q334&lt;&gt;0,$U334&gt;0,$V334=0),"BDI",
IF(OR(AND(TIPOORCAMENTO="Proposto",$AG334&lt;&gt;"",$AG334&gt;0,ORÇAMENTO.CustoUnitario&gt;$AG334),AND(TIPOORCAMENTO="LICITADO",ORÇAMENTO.PrecoUnitarioLicitado&gt;$AN334)),"ACIMA REF.",
IF(AND($C334="S",$P334&lt;&gt;0,$Q334&lt;&gt;0,$T334=0,$U334&gt;0),"QUANT.",
IF(AND(Import.TipoArredondamento="TransfereGOV",$L334="F",$C334="S",LEN($Q334)&gt;13),"Código &gt;13",
IF(AND(Import.TipoArredondamento="TransfereGOV",$L334="F",$C334&lt;&gt;"S",LEN($R334)&gt;100),"Descrição &gt;100",
IF(AND(Import.TipoArredondamento="TransfereGOV",$L334="F",$C334="S",LEN($R334)&gt;500),"Descrição &gt;500",
IF(AND(Import.TipoArredondamento="TransfereGOV",$L334="F",$C334="S",LEFT(TRIM(UPPER($P334)),6)&lt;&gt;"SINAPI",ISNA(VLOOKUP(TRIM(UPPER($S334)),ListaTgov.Unidades,1,FALSE))),"Unid. Não Disp",
" "))))))))))))))))</f>
        <v>SEM CUSTO</v>
      </c>
      <c r="AD334" t="str">
        <f ca="1">IF(C334&lt;=CRONO.NivelExibicao,MAX($AD$15:OFFSET(AD334,-1,0))+IF($C334&lt;&gt;1,1,MAX(1,COUNTIF(QCI!$A$13:$A$24,OFFSET($E334,-1,0)))),"")</f>
        <v/>
      </c>
      <c r="AE334" s="7" t="str">
        <f ca="1">IF(AND($C334="S",ORÇAMENTO.CodBarra&lt;&gt;""),IF(ORÇAMENTO.Fonte="",ORÇAMENTO.CodBarra,CONCATENATE(ORÇAMENTO.Fonte," ",ORÇAMENTO.CodBarra)))</f>
        <v>SINAPI 91341</v>
      </c>
      <c r="AF334" s="12" t="str">
        <f ca="1">IF(ISERROR(INDIRECT(ORÇAMENTO.BancoRef)),"(abra o arquivo 'Referência "&amp;Excel_BuiltIn_Database&amp;".xlsm)",IF(OR($C334&lt;&gt;"S",ORÇAMENTO.CodBarra=""),"(Sem Código)",IF(ISERROR(MATCH($AE334,INDIRECT(ORÇAMENTO.BancoRef),0)),"(Código não identificado nas referências)",MATCH($AE334,INDIRECT(ORÇAMENTO.BancoRef),0))))</f>
        <v>(abra o arquivo 'Referência 12-2024.xlsm)</v>
      </c>
      <c r="AG334" s="429">
        <f ca="1">ROUND(IF(DESONERACAO="sim",REFERENCIA.Desonerado,REFERENCIA.NaoDesonerado),2)</f>
        <v>0</v>
      </c>
      <c r="AH334" s="430">
        <f t="shared" ca="1" si="81"/>
        <v>0.31190000000000001</v>
      </c>
      <c r="AJ334" s="432">
        <v>1.53</v>
      </c>
      <c r="AL334" s="440"/>
      <c r="AM334" s="337">
        <f t="shared" ca="1" si="83"/>
        <v>0</v>
      </c>
      <c r="AN334" s="471">
        <f t="shared" ca="1" si="82"/>
        <v>0</v>
      </c>
    </row>
    <row r="335" spans="1:40" ht="38.25" x14ac:dyDescent="0.2">
      <c r="A335" t="str">
        <f t="shared" si="67"/>
        <v>S</v>
      </c>
      <c r="B335">
        <f t="shared" ca="1" si="68"/>
        <v>2</v>
      </c>
      <c r="C335" t="str">
        <f t="shared" ca="1" si="69"/>
        <v>S</v>
      </c>
      <c r="D335">
        <f t="shared" ca="1" si="70"/>
        <v>0</v>
      </c>
      <c r="E335">
        <f ca="1">IF($C335=1,OFFSET(E335,-1,0)+MAX(1,COUNTIF(QCI!$A$13:$A$24,OFFSET(ORÇAMENTO!E335,-1,0))),OFFSET(E335,-1,0))</f>
        <v>1</v>
      </c>
      <c r="F335">
        <f t="shared" ca="1" si="71"/>
        <v>17</v>
      </c>
      <c r="G335">
        <f t="shared" ca="1" si="72"/>
        <v>0</v>
      </c>
      <c r="H335">
        <f t="shared" ca="1" si="73"/>
        <v>0</v>
      </c>
      <c r="I335">
        <f t="shared" ca="1" si="74"/>
        <v>0</v>
      </c>
      <c r="J335">
        <f t="shared" ca="1" si="75"/>
        <v>0</v>
      </c>
      <c r="K335">
        <f ca="1">IF(OR($C335="S",$C335=0),0,MATCH(OFFSET($D335,0,$C335)+IF($C335&lt;&gt;1,1,COUNTIF(QCI!$A$13:$A$24,ORÇAMENTO!E335)),OFFSET($D335,1,$C335,ROW($C$405)-ROW($C335)),0))</f>
        <v>0</v>
      </c>
      <c r="L335" s="115" t="str">
        <f t="shared" ca="1" si="76"/>
        <v/>
      </c>
      <c r="M335" s="116" t="s">
        <v>706</v>
      </c>
      <c r="N335" s="117" t="str">
        <f t="shared" ca="1" si="77"/>
        <v>Serviço</v>
      </c>
      <c r="O335" s="118" t="str">
        <f t="shared" ca="1" si="78"/>
        <v>-</v>
      </c>
      <c r="P335" s="119" t="s">
        <v>751</v>
      </c>
      <c r="Q335" s="120" t="s">
        <v>1177</v>
      </c>
      <c r="R335" s="121" t="s">
        <v>1549</v>
      </c>
      <c r="S335" s="122" t="s">
        <v>623</v>
      </c>
      <c r="T335" s="123">
        <f ca="1">OFFSET(CÁLCULO!H$15,ROW($T335)-ROW(T$15),0)</f>
        <v>2.72</v>
      </c>
      <c r="U335" s="124"/>
      <c r="V335" s="125" t="s">
        <v>663</v>
      </c>
      <c r="W335" s="123">
        <f ca="1">IF($C335="S",ROUND(IF(TIPOORCAMENTO="Proposto",ORÇAMENTO.CustoUnitario*(1+$AH335),ORÇAMENTO.PrecoUnitarioLicitado),15-13*$AF$10),0)</f>
        <v>0</v>
      </c>
      <c r="X335" s="126" cm="1">
        <f t="array" aca="1" ref="X335" ca="1">IF($C335="S",IF(OR(Import.TipoArredondamento&lt;&gt;"TransfereGOV",ACOMPANHAMENTO="BM"),VTOTAL1,SUM(OFFSET(CÁLCULO!$AA$15,ROW($X335)-ROW($X$15),1):OFFSET(CÁLCULO!$AL$15,ROW($X335)-ROW($X$15),-1))),IF($C335=0,0,ROUND(SomaAgrup,15-13*$AF$11)))</f>
        <v>0</v>
      </c>
      <c r="Y335" s="127" t="s">
        <v>752</v>
      </c>
      <c r="Z335" t="str">
        <f t="shared" ca="1" si="79"/>
        <v/>
      </c>
      <c r="AA335" s="128">
        <f ca="1">IF($C335="S",IF($Z335="CP",$X335,IF($Z335="RA",(($X335)*QCI!$AA$3),0)),SomaAgrup)</f>
        <v>0</v>
      </c>
      <c r="AB335" s="129">
        <f t="shared" ca="1" si="80"/>
        <v>0</v>
      </c>
      <c r="AC335" s="567" t="str">
        <f ca="1">IF($N335=""," ",
IF(AND($C335&lt;&gt;"S",OR($R335="",$R335="(digite a descrição aqui)")),"DESCRIÇÃO",
IF(AND($C335="S",OR($Q335&lt;&gt;0,$T335&gt;0,$U335&gt;0),$P335=0),"FONTE",
IF(AND($C335="S",$P335&lt;&gt;0,OR($T335&gt;0,$U335&gt;0),$Q335=0),"CÓDIGO",
IF(AND($C335="S",$P335&lt;&gt;0,$Q335&lt;&gt;0,$R335="(Código não identificado nas referências)"),"CÓDIGO N/ID",
IF(AND($C335="S",OR($R335="",$R335="(digite a descrição aqui)"),OR($Q335&lt;&gt;0,$T335&gt;0,$U335&gt;0)),"DESCRIÇÃO",
IF(AND($C335="S",$P335&lt;&gt;0,$Q335&lt;&gt;0,$S335=""),"UNIDADE",
IF(AND($C335="S",$P335&lt;&gt;0,$Q335&lt;&gt;0,$U335=0),"SEM CUSTO",
IF(AND(TIPOORCAMENTO="Licitado",$AL335=0,$AN335&gt;0),"SEM PREÇO",
IF(AND($C335="S",$P335&lt;&gt;0,$Q335&lt;&gt;0,$U335&gt;0,$V335=0),"BDI",
IF(OR(AND(TIPOORCAMENTO="Proposto",$AG335&lt;&gt;"",$AG335&gt;0,ORÇAMENTO.CustoUnitario&gt;$AG335),AND(TIPOORCAMENTO="LICITADO",ORÇAMENTO.PrecoUnitarioLicitado&gt;$AN335)),"ACIMA REF.",
IF(AND($C335="S",$P335&lt;&gt;0,$Q335&lt;&gt;0,$T335=0,$U335&gt;0),"QUANT.",
IF(AND(Import.TipoArredondamento="TransfereGOV",$L335="F",$C335="S",LEN($Q335)&gt;13),"Código &gt;13",
IF(AND(Import.TipoArredondamento="TransfereGOV",$L335="F",$C335&lt;&gt;"S",LEN($R335)&gt;100),"Descrição &gt;100",
IF(AND(Import.TipoArredondamento="TransfereGOV",$L335="F",$C335="S",LEN($R335)&gt;500),"Descrição &gt;500",
IF(AND(Import.TipoArredondamento="TransfereGOV",$L335="F",$C335="S",LEFT(TRIM(UPPER($P335)),6)&lt;&gt;"SINAPI",ISNA(VLOOKUP(TRIM(UPPER($S335)),ListaTgov.Unidades,1,FALSE))),"Unid. Não Disp",
" "))))))))))))))))</f>
        <v>SEM CUSTO</v>
      </c>
      <c r="AD335" t="str">
        <f ca="1">IF(C335&lt;=CRONO.NivelExibicao,MAX($AD$15:OFFSET(AD335,-1,0))+IF($C335&lt;&gt;1,1,MAX(1,COUNTIF(QCI!$A$13:$A$24,OFFSET($E335,-1,0)))),"")</f>
        <v/>
      </c>
      <c r="AE335" s="7" t="str">
        <f ca="1">IF(AND($C335="S",ORÇAMENTO.CodBarra&lt;&gt;""),IF(ORÇAMENTO.Fonte="",ORÇAMENTO.CodBarra,CONCATENATE(ORÇAMENTO.Fonte," ",ORÇAMENTO.CodBarra)))</f>
        <v>SINAPI 91341</v>
      </c>
      <c r="AF335" s="12" t="str">
        <f ca="1">IF(ISERROR(INDIRECT(ORÇAMENTO.BancoRef)),"(abra o arquivo 'Referência "&amp;Excel_BuiltIn_Database&amp;".xlsm)",IF(OR($C335&lt;&gt;"S",ORÇAMENTO.CodBarra=""),"(Sem Código)",IF(ISERROR(MATCH($AE335,INDIRECT(ORÇAMENTO.BancoRef),0)),"(Código não identificado nas referências)",MATCH($AE335,INDIRECT(ORÇAMENTO.BancoRef),0))))</f>
        <v>(abra o arquivo 'Referência 12-2024.xlsm)</v>
      </c>
      <c r="AG335" s="429">
        <f ca="1">ROUND(IF(DESONERACAO="sim",REFERENCIA.Desonerado,REFERENCIA.NaoDesonerado),2)</f>
        <v>0</v>
      </c>
      <c r="AH335" s="430">
        <f t="shared" ca="1" si="81"/>
        <v>0.31190000000000001</v>
      </c>
      <c r="AJ335" s="432">
        <v>2.72</v>
      </c>
      <c r="AL335" s="440"/>
      <c r="AM335" s="337">
        <f t="shared" ca="1" si="83"/>
        <v>0</v>
      </c>
      <c r="AN335" s="471">
        <f t="shared" ca="1" si="82"/>
        <v>0</v>
      </c>
    </row>
    <row r="336" spans="1:40" ht="38.25" x14ac:dyDescent="0.2">
      <c r="A336" t="str">
        <f t="shared" ref="A336:A404" si="84">CHOOSE(1+LOG(1+2*(ORÇAMENTO.Nivel="Meta")+4*(ORÇAMENTO.Nivel="Nível 2")+8*(ORÇAMENTO.Nivel="Nível 3")+16*(ORÇAMENTO.Nivel="Nível 4")+32*(ORÇAMENTO.Nivel="Serviço"),2),0,1,2,3,4,"S")</f>
        <v>S</v>
      </c>
      <c r="B336">
        <f t="shared" ref="B336:B399" ca="1" si="85">IF(OR(C336="s",C336=0),OFFSET(B336,-1,0),C336)</f>
        <v>2</v>
      </c>
      <c r="C336" t="str">
        <f t="shared" ref="C336:C399" ca="1" si="86">IF(OFFSET(C336,-1,0)="L",1,IF(OFFSET(C336,-1,0)=1,2,IF(OR(A336="s",A336=0),"S",IF(AND(OFFSET(C336,-1,0)=2,A336=4),3,IF(AND(OR(OFFSET(C336,-1,0)="s",OFFSET(C336,-1,0)=0),A336&lt;&gt;"s",A336&gt;OFFSET(B336,-1,0)),OFFSET(B336,-1,0),A336)))))</f>
        <v>S</v>
      </c>
      <c r="D336">
        <f t="shared" ref="D336:D399" ca="1" si="87">IF(OR(C336="S",C336=0),0,IF(ISERROR(K336),J336,SMALL(J336:K336,1)))</f>
        <v>0</v>
      </c>
      <c r="E336">
        <f ca="1">IF($C336=1,OFFSET(E336,-1,0)+MAX(1,COUNTIF(QCI!$A$13:$A$24,OFFSET(ORÇAMENTO!E336,-1,0))),OFFSET(E336,-1,0))</f>
        <v>1</v>
      </c>
      <c r="F336">
        <f t="shared" ref="F336:F399" ca="1" si="88">IF($C336=1,0,IF($C336=2,OFFSET(F336,-1,0)+1,OFFSET(F336,-1,0)))</f>
        <v>17</v>
      </c>
      <c r="G336">
        <f t="shared" ref="G336:G399" ca="1" si="89">IF(AND($C336&lt;=2,$C336&lt;&gt;0),0,IF($C336=3,OFFSET(G336,-1,0)+1,OFFSET(G336,-1,0)))</f>
        <v>0</v>
      </c>
      <c r="H336">
        <f t="shared" ref="H336:H399" ca="1" si="90">IF(AND($C336&lt;=3,$C336&lt;&gt;0),0,IF($C336=4,OFFSET(H336,-1,0)+1,OFFSET(H336,-1,0)))</f>
        <v>0</v>
      </c>
      <c r="I336">
        <f t="shared" ref="I336:I399" ca="1" si="91">IF(AND($C336&lt;=4,$C336&lt;&gt;0),0,IF(AND($C336="S",$X336&gt;0),OFFSET(I336,-1,0)+1,OFFSET(I336,-1,0)))</f>
        <v>0</v>
      </c>
      <c r="J336">
        <f t="shared" ref="J336:J399" ca="1" si="92">IF(OR($C336="S",$C336=0),0,MATCH(0,OFFSET($D336,1,$C336,ROW($C$405)-ROW($C336)),0))</f>
        <v>0</v>
      </c>
      <c r="K336">
        <f ca="1">IF(OR($C336="S",$C336=0),0,MATCH(OFFSET($D336,0,$C336)+IF($C336&lt;&gt;1,1,COUNTIF(QCI!$A$13:$A$24,ORÇAMENTO!E336)),OFFSET($D336,1,$C336,ROW($C$405)-ROW($C336)),0))</f>
        <v>0</v>
      </c>
      <c r="L336" s="115" t="str">
        <f t="shared" ref="L336:L399" ca="1" si="93">IF(OR($X336&gt;0,$C336=1,$C336=2,$C336=3,$C336=4),"F","")</f>
        <v/>
      </c>
      <c r="M336" s="116" t="s">
        <v>706</v>
      </c>
      <c r="N336" s="117" t="str">
        <f t="shared" ref="N336:N399" ca="1" si="94">CHOOSE(1+LOG(1+2*(C336=1)+4*(C336=2)+8*(C336=3)+16*(C336=4)+32*(C336="S"),2),"","Meta","Nível 2","Nível 3","Nível 4","Serviço")</f>
        <v>Serviço</v>
      </c>
      <c r="O336" s="118" t="str">
        <f t="shared" ref="O336:O399" ca="1" si="95">IF(OR($C336=0,$L336=""),"-",CONCATENATE(E336&amp;".",IF(AND($A$5&gt;=2,$C336&gt;=2),F336&amp;".",""),IF(AND($A$5&gt;=3,$C336&gt;=3),G336&amp;".",""),IF(AND($A$5&gt;=4,$C336&gt;=4),H336&amp;".",""),IF($C336="S",I336&amp;".","")))</f>
        <v>-</v>
      </c>
      <c r="P336" s="119" t="s">
        <v>1315</v>
      </c>
      <c r="Q336" s="120" t="s">
        <v>1219</v>
      </c>
      <c r="R336" s="121" t="s">
        <v>1589</v>
      </c>
      <c r="S336" s="122" t="s">
        <v>1646</v>
      </c>
      <c r="T336" s="123">
        <f ca="1">OFFSET(CÁLCULO!H$15,ROW($T336)-ROW(T$15),0)</f>
        <v>2.0699999999999998</v>
      </c>
      <c r="U336" s="124"/>
      <c r="V336" s="125" t="s">
        <v>663</v>
      </c>
      <c r="W336" s="123">
        <f ca="1">IF($C336="S",ROUND(IF(TIPOORCAMENTO="Proposto",ORÇAMENTO.CustoUnitario*(1+$AH336),ORÇAMENTO.PrecoUnitarioLicitado),15-13*$AF$10),0)</f>
        <v>0</v>
      </c>
      <c r="X336" s="126" cm="1">
        <f t="array" aca="1" ref="X336" ca="1">IF($C336="S",IF(OR(Import.TipoArredondamento&lt;&gt;"TransfereGOV",ACOMPANHAMENTO="BM"),VTOTAL1,SUM(OFFSET(CÁLCULO!$AA$15,ROW($X336)-ROW($X$15),1):OFFSET(CÁLCULO!$AL$15,ROW($X336)-ROW($X$15),-1))),IF($C336=0,0,ROUND(SomaAgrup,15-13*$AF$11)))</f>
        <v>0</v>
      </c>
      <c r="Y336" s="127" t="s">
        <v>752</v>
      </c>
      <c r="Z336" t="str">
        <f t="shared" ref="Z336:Z399" ca="1" si="96">IF(AND($C336="S",$X336&gt;0),IF(ISBLANK($Y336),"RA",LEFT($Y336,2)),"")</f>
        <v/>
      </c>
      <c r="AA336" s="128">
        <f ca="1">IF($C336="S",IF($Z336="CP",$X336,IF($Z336="RA",(($X336)*QCI!$AA$3),0)),SomaAgrup)</f>
        <v>0</v>
      </c>
      <c r="AB336" s="129">
        <f t="shared" ref="AB336:AB404" ca="1" si="97">IF($C336="S",IF($Z336="OU",ROUND($X336,2),0),SomaAgrup)</f>
        <v>0</v>
      </c>
      <c r="AC336" s="567" t="str">
        <f ca="1">IF($N336=""," ",
IF(AND($C336&lt;&gt;"S",OR($R336="",$R336="(digite a descrição aqui)")),"DESCRIÇÃO",
IF(AND($C336="S",OR($Q336&lt;&gt;0,$T336&gt;0,$U336&gt;0),$P336=0),"FONTE",
IF(AND($C336="S",$P336&lt;&gt;0,OR($T336&gt;0,$U336&gt;0),$Q336=0),"CÓDIGO",
IF(AND($C336="S",$P336&lt;&gt;0,$Q336&lt;&gt;0,$R336="(Código não identificado nas referências)"),"CÓDIGO N/ID",
IF(AND($C336="S",OR($R336="",$R336="(digite a descrição aqui)"),OR($Q336&lt;&gt;0,$T336&gt;0,$U336&gt;0)),"DESCRIÇÃO",
IF(AND($C336="S",$P336&lt;&gt;0,$Q336&lt;&gt;0,$S336=""),"UNIDADE",
IF(AND($C336="S",$P336&lt;&gt;0,$Q336&lt;&gt;0,$U336=0),"SEM CUSTO",
IF(AND(TIPOORCAMENTO="Licitado",$AL336=0,$AN336&gt;0),"SEM PREÇO",
IF(AND($C336="S",$P336&lt;&gt;0,$Q336&lt;&gt;0,$U336&gt;0,$V336=0),"BDI",
IF(OR(AND(TIPOORCAMENTO="Proposto",$AG336&lt;&gt;"",$AG336&gt;0,ORÇAMENTO.CustoUnitario&gt;$AG336),AND(TIPOORCAMENTO="LICITADO",ORÇAMENTO.PrecoUnitarioLicitado&gt;$AN336)),"ACIMA REF.",
IF(AND($C336="S",$P336&lt;&gt;0,$Q336&lt;&gt;0,$T336=0,$U336&gt;0),"QUANT.",
IF(AND(Import.TipoArredondamento="TransfereGOV",$L336="F",$C336="S",LEN($Q336)&gt;13),"Código &gt;13",
IF(AND(Import.TipoArredondamento="TransfereGOV",$L336="F",$C336&lt;&gt;"S",LEN($R336)&gt;100),"Descrição &gt;100",
IF(AND(Import.TipoArredondamento="TransfereGOV",$L336="F",$C336="S",LEN($R336)&gt;500),"Descrição &gt;500",
IF(AND(Import.TipoArredondamento="TransfereGOV",$L336="F",$C336="S",LEFT(TRIM(UPPER($P336)),6)&lt;&gt;"SINAPI",ISNA(VLOOKUP(TRIM(UPPER($S336)),ListaTgov.Unidades,1,FALSE))),"Unid. Não Disp",
" "))))))))))))))))</f>
        <v>SEM CUSTO</v>
      </c>
      <c r="AD336" t="str">
        <f ca="1">IF(C336&lt;=CRONO.NivelExibicao,MAX($AD$15:OFFSET(AD336,-1,0))+IF($C336&lt;&gt;1,1,MAX(1,COUNTIF(QCI!$A$13:$A$24,OFFSET($E336,-1,0)))),"")</f>
        <v/>
      </c>
      <c r="AE336" s="7" t="str">
        <f ca="1">IF(AND($C336="S",ORÇAMENTO.CodBarra&lt;&gt;""),IF(ORÇAMENTO.Fonte="",ORÇAMENTO.CodBarra,CONCATENATE(ORÇAMENTO.Fonte," ",ORÇAMENTO.CodBarra)))</f>
        <v>SINAPI-I 4948</v>
      </c>
      <c r="AF336" s="12" t="str">
        <f ca="1">IF(ISERROR(INDIRECT(ORÇAMENTO.BancoRef)),"(abra o arquivo 'Referência "&amp;Excel_BuiltIn_Database&amp;".xlsm)",IF(OR($C336&lt;&gt;"S",ORÇAMENTO.CodBarra=""),"(Sem Código)",IF(ISERROR(MATCH($AE336,INDIRECT(ORÇAMENTO.BancoRef),0)),"(Código não identificado nas referências)",MATCH($AE336,INDIRECT(ORÇAMENTO.BancoRef),0))))</f>
        <v>(abra o arquivo 'Referência 12-2024.xlsm)</v>
      </c>
      <c r="AG336" s="429">
        <f ca="1">ROUND(IF(DESONERACAO="sim",REFERENCIA.Desonerado,REFERENCIA.NaoDesonerado),2)</f>
        <v>0</v>
      </c>
      <c r="AH336" s="430">
        <f t="shared" ref="AH336:AH404" ca="1" si="98">ROUND(IF(ISNUMBER(ORÇAMENTO.OpcaoBDI),ORÇAMENTO.OpcaoBDI,IF(LEFT(ORÇAMENTO.OpcaoBDI,3)="BDI",HLOOKUP(ORÇAMENTO.OpcaoBDI,$F$4:$H$5,2,FALSE),0)),15-11*$AF$9)</f>
        <v>0.31190000000000001</v>
      </c>
      <c r="AJ336" s="432">
        <v>2.0699999999999998</v>
      </c>
      <c r="AL336" s="440"/>
      <c r="AM336" s="337">
        <f t="shared" ca="1" si="83"/>
        <v>0</v>
      </c>
      <c r="AN336" s="471">
        <f t="shared" ref="AN336:AN404" ca="1" si="99">ROUND(ORÇAMENTO.CustoUnitario*(1+$AH336),2)</f>
        <v>0</v>
      </c>
    </row>
    <row r="337" spans="1:40" ht="38.25" x14ac:dyDescent="0.2">
      <c r="A337" t="str">
        <f t="shared" si="84"/>
        <v>S</v>
      </c>
      <c r="B337">
        <f t="shared" ca="1" si="85"/>
        <v>2</v>
      </c>
      <c r="C337" t="str">
        <f t="shared" ca="1" si="86"/>
        <v>S</v>
      </c>
      <c r="D337">
        <f t="shared" ca="1" si="87"/>
        <v>0</v>
      </c>
      <c r="E337">
        <f ca="1">IF($C337=1,OFFSET(E337,-1,0)+MAX(1,COUNTIF(QCI!$A$13:$A$24,OFFSET(ORÇAMENTO!E337,-1,0))),OFFSET(E337,-1,0))</f>
        <v>1</v>
      </c>
      <c r="F337">
        <f t="shared" ca="1" si="88"/>
        <v>17</v>
      </c>
      <c r="G337">
        <f t="shared" ca="1" si="89"/>
        <v>0</v>
      </c>
      <c r="H337">
        <f t="shared" ca="1" si="90"/>
        <v>0</v>
      </c>
      <c r="I337">
        <f t="shared" ca="1" si="91"/>
        <v>0</v>
      </c>
      <c r="J337">
        <f t="shared" ca="1" si="92"/>
        <v>0</v>
      </c>
      <c r="K337">
        <f ca="1">IF(OR($C337="S",$C337=0),0,MATCH(OFFSET($D337,0,$C337)+IF($C337&lt;&gt;1,1,COUNTIF(QCI!$A$13:$A$24,ORÇAMENTO!E337)),OFFSET($D337,1,$C337,ROW($C$405)-ROW($C337)),0))</f>
        <v>0</v>
      </c>
      <c r="L337" s="115" t="str">
        <f t="shared" ca="1" si="93"/>
        <v/>
      </c>
      <c r="M337" s="116" t="s">
        <v>706</v>
      </c>
      <c r="N337" s="117" t="str">
        <f t="shared" ca="1" si="94"/>
        <v>Serviço</v>
      </c>
      <c r="O337" s="118" t="str">
        <f t="shared" ca="1" si="95"/>
        <v>-</v>
      </c>
      <c r="P337" s="119" t="s">
        <v>1315</v>
      </c>
      <c r="Q337" s="120" t="s">
        <v>1220</v>
      </c>
      <c r="R337" s="121" t="s">
        <v>1590</v>
      </c>
      <c r="S337" s="122" t="s">
        <v>1647</v>
      </c>
      <c r="T337" s="123">
        <f ca="1">OFFSET(CÁLCULO!H$15,ROW($T337)-ROW(T$15),0)</f>
        <v>320</v>
      </c>
      <c r="U337" s="124"/>
      <c r="V337" s="125" t="s">
        <v>663</v>
      </c>
      <c r="W337" s="123">
        <f ca="1">IF($C337="S",ROUND(IF(TIPOORCAMENTO="Proposto",ORÇAMENTO.CustoUnitario*(1+$AH337),ORÇAMENTO.PrecoUnitarioLicitado),15-13*$AF$10),0)</f>
        <v>0</v>
      </c>
      <c r="X337" s="126" cm="1">
        <f t="array" aca="1" ref="X337" ca="1">IF($C337="S",IF(OR(Import.TipoArredondamento&lt;&gt;"TransfereGOV",ACOMPANHAMENTO="BM"),VTOTAL1,SUM(OFFSET(CÁLCULO!$AA$15,ROW($X337)-ROW($X$15),1):OFFSET(CÁLCULO!$AL$15,ROW($X337)-ROW($X$15),-1))),IF($C337=0,0,ROUND(SomaAgrup,15-13*$AF$11)))</f>
        <v>0</v>
      </c>
      <c r="Y337" s="127" t="s">
        <v>752</v>
      </c>
      <c r="Z337" t="str">
        <f t="shared" ca="1" si="96"/>
        <v/>
      </c>
      <c r="AA337" s="128">
        <f ca="1">IF($C337="S",IF($Z337="CP",$X337,IF($Z337="RA",(($X337)*QCI!$AA$3),0)),SomaAgrup)</f>
        <v>0</v>
      </c>
      <c r="AB337" s="129">
        <f t="shared" ca="1" si="97"/>
        <v>0</v>
      </c>
      <c r="AC337" s="567" t="str">
        <f ca="1">IF($N337=""," ",
IF(AND($C337&lt;&gt;"S",OR($R337="",$R337="(digite a descrição aqui)")),"DESCRIÇÃO",
IF(AND($C337="S",OR($Q337&lt;&gt;0,$T337&gt;0,$U337&gt;0),$P337=0),"FONTE",
IF(AND($C337="S",$P337&lt;&gt;0,OR($T337&gt;0,$U337&gt;0),$Q337=0),"CÓDIGO",
IF(AND($C337="S",$P337&lt;&gt;0,$Q337&lt;&gt;0,$R337="(Código não identificado nas referências)"),"CÓDIGO N/ID",
IF(AND($C337="S",OR($R337="",$R337="(digite a descrição aqui)"),OR($Q337&lt;&gt;0,$T337&gt;0,$U337&gt;0)),"DESCRIÇÃO",
IF(AND($C337="S",$P337&lt;&gt;0,$Q337&lt;&gt;0,$S337=""),"UNIDADE",
IF(AND($C337="S",$P337&lt;&gt;0,$Q337&lt;&gt;0,$U337=0),"SEM CUSTO",
IF(AND(TIPOORCAMENTO="Licitado",$AL337=0,$AN337&gt;0),"SEM PREÇO",
IF(AND($C337="S",$P337&lt;&gt;0,$Q337&lt;&gt;0,$U337&gt;0,$V337=0),"BDI",
IF(OR(AND(TIPOORCAMENTO="Proposto",$AG337&lt;&gt;"",$AG337&gt;0,ORÇAMENTO.CustoUnitario&gt;$AG337),AND(TIPOORCAMENTO="LICITADO",ORÇAMENTO.PrecoUnitarioLicitado&gt;$AN337)),"ACIMA REF.",
IF(AND($C337="S",$P337&lt;&gt;0,$Q337&lt;&gt;0,$T337=0,$U337&gt;0),"QUANT.",
IF(AND(Import.TipoArredondamento="TransfereGOV",$L337="F",$C337="S",LEN($Q337)&gt;13),"Código &gt;13",
IF(AND(Import.TipoArredondamento="TransfereGOV",$L337="F",$C337&lt;&gt;"S",LEN($R337)&gt;100),"Descrição &gt;100",
IF(AND(Import.TipoArredondamento="TransfereGOV",$L337="F",$C337="S",LEN($R337)&gt;500),"Descrição &gt;500",
IF(AND(Import.TipoArredondamento="TransfereGOV",$L337="F",$C337="S",LEFT(TRIM(UPPER($P337)),6)&lt;&gt;"SINAPI",ISNA(VLOOKUP(TRIM(UPPER($S337)),ListaTgov.Unidades,1,FALSE))),"Unid. Não Disp",
" "))))))))))))))))</f>
        <v>SEM CUSTO</v>
      </c>
      <c r="AD337" t="str">
        <f ca="1">IF(C337&lt;=CRONO.NivelExibicao,MAX($AD$15:OFFSET(AD337,-1,0))+IF($C337&lt;&gt;1,1,MAX(1,COUNTIF(QCI!$A$13:$A$24,OFFSET($E337,-1,0)))),"")</f>
        <v/>
      </c>
      <c r="AE337" s="7" t="str">
        <f ca="1">IF(AND($C337="S",ORÇAMENTO.CodBarra&lt;&gt;""),IF(ORÇAMENTO.Fonte="",ORÇAMENTO.CodBarra,CONCATENATE(ORÇAMENTO.Fonte," ",ORÇAMENTO.CodBarra)))</f>
        <v>SINAPI-I 43105</v>
      </c>
      <c r="AF337" s="12" t="str">
        <f ca="1">IF(ISERROR(INDIRECT(ORÇAMENTO.BancoRef)),"(abra o arquivo 'Referência "&amp;Excel_BuiltIn_Database&amp;".xlsm)",IF(OR($C337&lt;&gt;"S",ORÇAMENTO.CodBarra=""),"(Sem Código)",IF(ISERROR(MATCH($AE337,INDIRECT(ORÇAMENTO.BancoRef),0)),"(Código não identificado nas referências)",MATCH($AE337,INDIRECT(ORÇAMENTO.BancoRef),0))))</f>
        <v>(abra o arquivo 'Referência 12-2024.xlsm)</v>
      </c>
      <c r="AG337" s="429">
        <f ca="1">ROUND(IF(DESONERACAO="sim",REFERENCIA.Desonerado,REFERENCIA.NaoDesonerado),2)</f>
        <v>0</v>
      </c>
      <c r="AH337" s="430">
        <f t="shared" ca="1" si="98"/>
        <v>0.31190000000000001</v>
      </c>
      <c r="AJ337" s="432">
        <v>320</v>
      </c>
      <c r="AL337" s="440"/>
      <c r="AM337" s="337">
        <f t="shared" ca="1" si="83"/>
        <v>0</v>
      </c>
      <c r="AN337" s="471">
        <f t="shared" ca="1" si="99"/>
        <v>0</v>
      </c>
    </row>
    <row r="338" spans="1:40" ht="38.25" x14ac:dyDescent="0.2">
      <c r="A338" t="str">
        <f t="shared" si="84"/>
        <v>S</v>
      </c>
      <c r="B338">
        <f t="shared" ca="1" si="85"/>
        <v>2</v>
      </c>
      <c r="C338" t="str">
        <f t="shared" ca="1" si="86"/>
        <v>S</v>
      </c>
      <c r="D338">
        <f t="shared" ca="1" si="87"/>
        <v>0</v>
      </c>
      <c r="E338">
        <f ca="1">IF($C338=1,OFFSET(E338,-1,0)+MAX(1,COUNTIF(QCI!$A$13:$A$24,OFFSET(ORÇAMENTO!E338,-1,0))),OFFSET(E338,-1,0))</f>
        <v>1</v>
      </c>
      <c r="F338">
        <f t="shared" ca="1" si="88"/>
        <v>17</v>
      </c>
      <c r="G338">
        <f t="shared" ca="1" si="89"/>
        <v>0</v>
      </c>
      <c r="H338">
        <f t="shared" ca="1" si="90"/>
        <v>0</v>
      </c>
      <c r="I338">
        <f t="shared" ca="1" si="91"/>
        <v>0</v>
      </c>
      <c r="J338">
        <f t="shared" ca="1" si="92"/>
        <v>0</v>
      </c>
      <c r="K338">
        <f ca="1">IF(OR($C338="S",$C338=0),0,MATCH(OFFSET($D338,0,$C338)+IF($C338&lt;&gt;1,1,COUNTIF(QCI!$A$13:$A$24,ORÇAMENTO!E338)),OFFSET($D338,1,$C338,ROW($C$405)-ROW($C338)),0))</f>
        <v>0</v>
      </c>
      <c r="L338" s="115" t="str">
        <f t="shared" ca="1" si="93"/>
        <v/>
      </c>
      <c r="M338" s="116" t="s">
        <v>706</v>
      </c>
      <c r="N338" s="117" t="str">
        <f t="shared" ca="1" si="94"/>
        <v>Serviço</v>
      </c>
      <c r="O338" s="118" t="str">
        <f t="shared" ca="1" si="95"/>
        <v>-</v>
      </c>
      <c r="P338" s="119" t="s">
        <v>751</v>
      </c>
      <c r="Q338" s="120" t="s">
        <v>1221</v>
      </c>
      <c r="R338" s="121" t="s">
        <v>1591</v>
      </c>
      <c r="S338" s="122" t="s">
        <v>623</v>
      </c>
      <c r="T338" s="123">
        <f ca="1">OFFSET(CÁLCULO!H$15,ROW($T338)-ROW(T$15),0)</f>
        <v>84</v>
      </c>
      <c r="U338" s="124"/>
      <c r="V338" s="125" t="s">
        <v>663</v>
      </c>
      <c r="W338" s="123">
        <f ca="1">IF($C338="S",ROUND(IF(TIPOORCAMENTO="Proposto",ORÇAMENTO.CustoUnitario*(1+$AH338),ORÇAMENTO.PrecoUnitarioLicitado),15-13*$AF$10),0)</f>
        <v>0</v>
      </c>
      <c r="X338" s="126" cm="1">
        <f t="array" aca="1" ref="X338" ca="1">IF($C338="S",IF(OR(Import.TipoArredondamento&lt;&gt;"TransfereGOV",ACOMPANHAMENTO="BM"),VTOTAL1,SUM(OFFSET(CÁLCULO!$AA$15,ROW($X338)-ROW($X$15),1):OFFSET(CÁLCULO!$AL$15,ROW($X338)-ROW($X$15),-1))),IF($C338=0,0,ROUND(SomaAgrup,15-13*$AF$11)))</f>
        <v>0</v>
      </c>
      <c r="Y338" s="127" t="s">
        <v>752</v>
      </c>
      <c r="Z338" t="str">
        <f t="shared" ca="1" si="96"/>
        <v/>
      </c>
      <c r="AA338" s="128">
        <f ca="1">IF($C338="S",IF($Z338="CP",$X338,IF($Z338="RA",(($X338)*QCI!$AA$3),0)),SomaAgrup)</f>
        <v>0</v>
      </c>
      <c r="AB338" s="129">
        <f t="shared" ca="1" si="97"/>
        <v>0</v>
      </c>
      <c r="AC338" s="567" t="str">
        <f ca="1">IF($N338=""," ",
IF(AND($C338&lt;&gt;"S",OR($R338="",$R338="(digite a descrição aqui)")),"DESCRIÇÃO",
IF(AND($C338="S",OR($Q338&lt;&gt;0,$T338&gt;0,$U338&gt;0),$P338=0),"FONTE",
IF(AND($C338="S",$P338&lt;&gt;0,OR($T338&gt;0,$U338&gt;0),$Q338=0),"CÓDIGO",
IF(AND($C338="S",$P338&lt;&gt;0,$Q338&lt;&gt;0,$R338="(Código não identificado nas referências)"),"CÓDIGO N/ID",
IF(AND($C338="S",OR($R338="",$R338="(digite a descrição aqui)"),OR($Q338&lt;&gt;0,$T338&gt;0,$U338&gt;0)),"DESCRIÇÃO",
IF(AND($C338="S",$P338&lt;&gt;0,$Q338&lt;&gt;0,$S338=""),"UNIDADE",
IF(AND($C338="S",$P338&lt;&gt;0,$Q338&lt;&gt;0,$U338=0),"SEM CUSTO",
IF(AND(TIPOORCAMENTO="Licitado",$AL338=0,$AN338&gt;0),"SEM PREÇO",
IF(AND($C338="S",$P338&lt;&gt;0,$Q338&lt;&gt;0,$U338&gt;0,$V338=0),"BDI",
IF(OR(AND(TIPOORCAMENTO="Proposto",$AG338&lt;&gt;"",$AG338&gt;0,ORÇAMENTO.CustoUnitario&gt;$AG338),AND(TIPOORCAMENTO="LICITADO",ORÇAMENTO.PrecoUnitarioLicitado&gt;$AN338)),"ACIMA REF.",
IF(AND($C338="S",$P338&lt;&gt;0,$Q338&lt;&gt;0,$T338=0,$U338&gt;0),"QUANT.",
IF(AND(Import.TipoArredondamento="TransfereGOV",$L338="F",$C338="S",LEN($Q338)&gt;13),"Código &gt;13",
IF(AND(Import.TipoArredondamento="TransfereGOV",$L338="F",$C338&lt;&gt;"S",LEN($R338)&gt;100),"Descrição &gt;100",
IF(AND(Import.TipoArredondamento="TransfereGOV",$L338="F",$C338="S",LEN($R338)&gt;500),"Descrição &gt;500",
IF(AND(Import.TipoArredondamento="TransfereGOV",$L338="F",$C338="S",LEFT(TRIM(UPPER($P338)),6)&lt;&gt;"SINAPI",ISNA(VLOOKUP(TRIM(UPPER($S338)),ListaTgov.Unidades,1,FALSE))),"Unid. Não Disp",
" "))))))))))))))))</f>
        <v>SEM CUSTO</v>
      </c>
      <c r="AD338" t="str">
        <f ca="1">IF(C338&lt;=CRONO.NivelExibicao,MAX($AD$15:OFFSET(AD338,-1,0))+IF($C338&lt;&gt;1,1,MAX(1,COUNTIF(QCI!$A$13:$A$24,OFFSET($E338,-1,0)))),"")</f>
        <v/>
      </c>
      <c r="AE338" s="7" t="str">
        <f ca="1">IF(AND($C338="S",ORÇAMENTO.CodBarra&lt;&gt;""),IF(ORÇAMENTO.Fonte="",ORÇAMENTO.CodBarra,CONCATENATE(ORÇAMENTO.Fonte," ",ORÇAMENTO.CodBarra)))</f>
        <v>SINAPI 100721</v>
      </c>
      <c r="AF338" s="12" t="str">
        <f ca="1">IF(ISERROR(INDIRECT(ORÇAMENTO.BancoRef)),"(abra o arquivo 'Referência "&amp;Excel_BuiltIn_Database&amp;".xlsm)",IF(OR($C338&lt;&gt;"S",ORÇAMENTO.CodBarra=""),"(Sem Código)",IF(ISERROR(MATCH($AE338,INDIRECT(ORÇAMENTO.BancoRef),0)),"(Código não identificado nas referências)",MATCH($AE338,INDIRECT(ORÇAMENTO.BancoRef),0))))</f>
        <v>(abra o arquivo 'Referência 12-2024.xlsm)</v>
      </c>
      <c r="AG338" s="429">
        <f ca="1">ROUND(IF(DESONERACAO="sim",REFERENCIA.Desonerado,REFERENCIA.NaoDesonerado),2)</f>
        <v>0</v>
      </c>
      <c r="AH338" s="430">
        <f t="shared" ca="1" si="98"/>
        <v>0.31190000000000001</v>
      </c>
      <c r="AJ338" s="432">
        <v>84</v>
      </c>
      <c r="AL338" s="440"/>
      <c r="AM338" s="337">
        <f t="shared" ca="1" si="83"/>
        <v>0</v>
      </c>
      <c r="AN338" s="471">
        <f t="shared" ca="1" si="99"/>
        <v>0</v>
      </c>
    </row>
    <row r="339" spans="1:40" ht="38.25" x14ac:dyDescent="0.2">
      <c r="A339" t="str">
        <f t="shared" si="84"/>
        <v>S</v>
      </c>
      <c r="B339">
        <f t="shared" ca="1" si="85"/>
        <v>2</v>
      </c>
      <c r="C339" t="str">
        <f t="shared" ca="1" si="86"/>
        <v>S</v>
      </c>
      <c r="D339">
        <f t="shared" ca="1" si="87"/>
        <v>0</v>
      </c>
      <c r="E339">
        <f ca="1">IF($C339=1,OFFSET(E339,-1,0)+MAX(1,COUNTIF(QCI!$A$13:$A$24,OFFSET(ORÇAMENTO!E339,-1,0))),OFFSET(E339,-1,0))</f>
        <v>1</v>
      </c>
      <c r="F339">
        <f t="shared" ca="1" si="88"/>
        <v>17</v>
      </c>
      <c r="G339">
        <f t="shared" ca="1" si="89"/>
        <v>0</v>
      </c>
      <c r="H339">
        <f t="shared" ca="1" si="90"/>
        <v>0</v>
      </c>
      <c r="I339">
        <f t="shared" ca="1" si="91"/>
        <v>0</v>
      </c>
      <c r="J339">
        <f t="shared" ca="1" si="92"/>
        <v>0</v>
      </c>
      <c r="K339">
        <f ca="1">IF(OR($C339="S",$C339=0),0,MATCH(OFFSET($D339,0,$C339)+IF($C339&lt;&gt;1,1,COUNTIF(QCI!$A$13:$A$24,ORÇAMENTO!E339)),OFFSET($D339,1,$C339,ROW($C$405)-ROW($C339)),0))</f>
        <v>0</v>
      </c>
      <c r="L339" s="115" t="str">
        <f t="shared" ca="1" si="93"/>
        <v/>
      </c>
      <c r="M339" s="116" t="s">
        <v>706</v>
      </c>
      <c r="N339" s="117" t="str">
        <f t="shared" ca="1" si="94"/>
        <v>Serviço</v>
      </c>
      <c r="O339" s="118" t="str">
        <f t="shared" ca="1" si="95"/>
        <v>-</v>
      </c>
      <c r="P339" s="119" t="s">
        <v>751</v>
      </c>
      <c r="Q339" s="120" t="s">
        <v>1222</v>
      </c>
      <c r="R339" s="121" t="s">
        <v>1592</v>
      </c>
      <c r="S339" s="122" t="s">
        <v>623</v>
      </c>
      <c r="T339" s="123">
        <f ca="1">OFFSET(CÁLCULO!H$15,ROW($T339)-ROW(T$15),0)</f>
        <v>84</v>
      </c>
      <c r="U339" s="124"/>
      <c r="V339" s="125" t="s">
        <v>663</v>
      </c>
      <c r="W339" s="123">
        <f ca="1">IF($C339="S",ROUND(IF(TIPOORCAMENTO="Proposto",ORÇAMENTO.CustoUnitario*(1+$AH339),ORÇAMENTO.PrecoUnitarioLicitado),15-13*$AF$10),0)</f>
        <v>0</v>
      </c>
      <c r="X339" s="126" cm="1">
        <f t="array" aca="1" ref="X339" ca="1">IF($C339="S",IF(OR(Import.TipoArredondamento&lt;&gt;"TransfereGOV",ACOMPANHAMENTO="BM"),VTOTAL1,SUM(OFFSET(CÁLCULO!$AA$15,ROW($X339)-ROW($X$15),1):OFFSET(CÁLCULO!$AL$15,ROW($X339)-ROW($X$15),-1))),IF($C339=0,0,ROUND(SomaAgrup,15-13*$AF$11)))</f>
        <v>0</v>
      </c>
      <c r="Y339" s="127" t="s">
        <v>752</v>
      </c>
      <c r="Z339" t="str">
        <f t="shared" ca="1" si="96"/>
        <v/>
      </c>
      <c r="AA339" s="128">
        <f ca="1">IF($C339="S",IF($Z339="CP",$X339,IF($Z339="RA",(($X339)*QCI!$AA$3),0)),SomaAgrup)</f>
        <v>0</v>
      </c>
      <c r="AB339" s="129">
        <f t="shared" ca="1" si="97"/>
        <v>0</v>
      </c>
      <c r="AC339" s="567" t="str">
        <f ca="1">IF($N339=""," ",
IF(AND($C339&lt;&gt;"S",OR($R339="",$R339="(digite a descrição aqui)")),"DESCRIÇÃO",
IF(AND($C339="S",OR($Q339&lt;&gt;0,$T339&gt;0,$U339&gt;0),$P339=0),"FONTE",
IF(AND($C339="S",$P339&lt;&gt;0,OR($T339&gt;0,$U339&gt;0),$Q339=0),"CÓDIGO",
IF(AND($C339="S",$P339&lt;&gt;0,$Q339&lt;&gt;0,$R339="(Código não identificado nas referências)"),"CÓDIGO N/ID",
IF(AND($C339="S",OR($R339="",$R339="(digite a descrição aqui)"),OR($Q339&lt;&gt;0,$T339&gt;0,$U339&gt;0)),"DESCRIÇÃO",
IF(AND($C339="S",$P339&lt;&gt;0,$Q339&lt;&gt;0,$S339=""),"UNIDADE",
IF(AND($C339="S",$P339&lt;&gt;0,$Q339&lt;&gt;0,$U339=0),"SEM CUSTO",
IF(AND(TIPOORCAMENTO="Licitado",$AL339=0,$AN339&gt;0),"SEM PREÇO",
IF(AND($C339="S",$P339&lt;&gt;0,$Q339&lt;&gt;0,$U339&gt;0,$V339=0),"BDI",
IF(OR(AND(TIPOORCAMENTO="Proposto",$AG339&lt;&gt;"",$AG339&gt;0,ORÇAMENTO.CustoUnitario&gt;$AG339),AND(TIPOORCAMENTO="LICITADO",ORÇAMENTO.PrecoUnitarioLicitado&gt;$AN339)),"ACIMA REF.",
IF(AND($C339="S",$P339&lt;&gt;0,$Q339&lt;&gt;0,$T339=0,$U339&gt;0),"QUANT.",
IF(AND(Import.TipoArredondamento="TransfereGOV",$L339="F",$C339="S",LEN($Q339)&gt;13),"Código &gt;13",
IF(AND(Import.TipoArredondamento="TransfereGOV",$L339="F",$C339&lt;&gt;"S",LEN($R339)&gt;100),"Descrição &gt;100",
IF(AND(Import.TipoArredondamento="TransfereGOV",$L339="F",$C339="S",LEN($R339)&gt;500),"Descrição &gt;500",
IF(AND(Import.TipoArredondamento="TransfereGOV",$L339="F",$C339="S",LEFT(TRIM(UPPER($P339)),6)&lt;&gt;"SINAPI",ISNA(VLOOKUP(TRIM(UPPER($S339)),ListaTgov.Unidades,1,FALSE))),"Unid. Não Disp",
" "))))))))))))))))</f>
        <v>SEM CUSTO</v>
      </c>
      <c r="AD339" t="str">
        <f ca="1">IF(C339&lt;=CRONO.NivelExibicao,MAX($AD$15:OFFSET(AD339,-1,0))+IF($C339&lt;&gt;1,1,MAX(1,COUNTIF(QCI!$A$13:$A$24,OFFSET($E339,-1,0)))),"")</f>
        <v/>
      </c>
      <c r="AE339" s="7" t="str">
        <f ca="1">IF(AND($C339="S",ORÇAMENTO.CodBarra&lt;&gt;""),IF(ORÇAMENTO.Fonte="",ORÇAMENTO.CodBarra,CONCATENATE(ORÇAMENTO.Fonte," ",ORÇAMENTO.CodBarra)))</f>
        <v>SINAPI 100753</v>
      </c>
      <c r="AF339" s="12" t="str">
        <f ca="1">IF(ISERROR(INDIRECT(ORÇAMENTO.BancoRef)),"(abra o arquivo 'Referência "&amp;Excel_BuiltIn_Database&amp;".xlsm)",IF(OR($C339&lt;&gt;"S",ORÇAMENTO.CodBarra=""),"(Sem Código)",IF(ISERROR(MATCH($AE339,INDIRECT(ORÇAMENTO.BancoRef),0)),"(Código não identificado nas referências)",MATCH($AE339,INDIRECT(ORÇAMENTO.BancoRef),0))))</f>
        <v>(abra o arquivo 'Referência 12-2024.xlsm)</v>
      </c>
      <c r="AG339" s="429">
        <f ca="1">ROUND(IF(DESONERACAO="sim",REFERENCIA.Desonerado,REFERENCIA.NaoDesonerado),2)</f>
        <v>0</v>
      </c>
      <c r="AH339" s="430">
        <f t="shared" ca="1" si="98"/>
        <v>0.31190000000000001</v>
      </c>
      <c r="AJ339" s="432">
        <v>84</v>
      </c>
      <c r="AL339" s="440"/>
      <c r="AM339" s="337">
        <f t="shared" ca="1" si="83"/>
        <v>0</v>
      </c>
      <c r="AN339" s="471">
        <f t="shared" ca="1" si="99"/>
        <v>0</v>
      </c>
    </row>
    <row r="340" spans="1:40" x14ac:dyDescent="0.2">
      <c r="A340" t="str">
        <f t="shared" si="84"/>
        <v>S</v>
      </c>
      <c r="B340">
        <f t="shared" ca="1" si="85"/>
        <v>2</v>
      </c>
      <c r="C340" t="str">
        <f t="shared" ca="1" si="86"/>
        <v>S</v>
      </c>
      <c r="D340">
        <f t="shared" ca="1" si="87"/>
        <v>0</v>
      </c>
      <c r="E340">
        <f ca="1">IF($C340=1,OFFSET(E340,-1,0)+MAX(1,COUNTIF(QCI!$A$13:$A$24,OFFSET(ORÇAMENTO!E340,-1,0))),OFFSET(E340,-1,0))</f>
        <v>1</v>
      </c>
      <c r="F340">
        <f t="shared" ca="1" si="88"/>
        <v>17</v>
      </c>
      <c r="G340">
        <f t="shared" ca="1" si="89"/>
        <v>0</v>
      </c>
      <c r="H340">
        <f t="shared" ca="1" si="90"/>
        <v>0</v>
      </c>
      <c r="I340">
        <f t="shared" ca="1" si="91"/>
        <v>0</v>
      </c>
      <c r="J340">
        <f t="shared" ca="1" si="92"/>
        <v>0</v>
      </c>
      <c r="K340">
        <f ca="1">IF(OR($C340="S",$C340=0),0,MATCH(OFFSET($D340,0,$C340)+IF($C340&lt;&gt;1,1,COUNTIF(QCI!$A$13:$A$24,ORÇAMENTO!E340)),OFFSET($D340,1,$C340,ROW($C$405)-ROW($C340)),0))</f>
        <v>0</v>
      </c>
      <c r="L340" s="115" t="str">
        <f t="shared" ca="1" si="93"/>
        <v/>
      </c>
      <c r="M340" s="116" t="s">
        <v>706</v>
      </c>
      <c r="N340" s="117" t="str">
        <f t="shared" ca="1" si="94"/>
        <v>Serviço</v>
      </c>
      <c r="O340" s="118" t="str">
        <f t="shared" ca="1" si="95"/>
        <v>-</v>
      </c>
      <c r="P340" s="119" t="s">
        <v>751</v>
      </c>
      <c r="Q340" s="120" t="s">
        <v>1223</v>
      </c>
      <c r="R340" s="121" t="s">
        <v>1593</v>
      </c>
      <c r="S340" s="122" t="s">
        <v>615</v>
      </c>
      <c r="T340" s="123">
        <f ca="1">OFFSET(CÁLCULO!H$15,ROW($T340)-ROW(T$15),0)</f>
        <v>8</v>
      </c>
      <c r="U340" s="124"/>
      <c r="V340" s="125" t="s">
        <v>663</v>
      </c>
      <c r="W340" s="123">
        <f ca="1">IF($C340="S",ROUND(IF(TIPOORCAMENTO="Proposto",ORÇAMENTO.CustoUnitario*(1+$AH340),ORÇAMENTO.PrecoUnitarioLicitado),15-13*$AF$10),0)</f>
        <v>0</v>
      </c>
      <c r="X340" s="126" cm="1">
        <f t="array" aca="1" ref="X340" ca="1">IF($C340="S",IF(OR(Import.TipoArredondamento&lt;&gt;"TransfereGOV",ACOMPANHAMENTO="BM"),VTOTAL1,SUM(OFFSET(CÁLCULO!$AA$15,ROW($X340)-ROW($X$15),1):OFFSET(CÁLCULO!$AL$15,ROW($X340)-ROW($X$15),-1))),IF($C340=0,0,ROUND(SomaAgrup,15-13*$AF$11)))</f>
        <v>0</v>
      </c>
      <c r="Y340" s="127" t="s">
        <v>752</v>
      </c>
      <c r="Z340" t="str">
        <f t="shared" ca="1" si="96"/>
        <v/>
      </c>
      <c r="AA340" s="128">
        <f ca="1">IF($C340="S",IF($Z340="CP",$X340,IF($Z340="RA",(($X340)*QCI!$AA$3),0)),SomaAgrup)</f>
        <v>0</v>
      </c>
      <c r="AB340" s="129">
        <f t="shared" ca="1" si="97"/>
        <v>0</v>
      </c>
      <c r="AC340" s="567" t="str">
        <f ca="1">IF($N340=""," ",
IF(AND($C340&lt;&gt;"S",OR($R340="",$R340="(digite a descrição aqui)")),"DESCRIÇÃO",
IF(AND($C340="S",OR($Q340&lt;&gt;0,$T340&gt;0,$U340&gt;0),$P340=0),"FONTE",
IF(AND($C340="S",$P340&lt;&gt;0,OR($T340&gt;0,$U340&gt;0),$Q340=0),"CÓDIGO",
IF(AND($C340="S",$P340&lt;&gt;0,$Q340&lt;&gt;0,$R340="(Código não identificado nas referências)"),"CÓDIGO N/ID",
IF(AND($C340="S",OR($R340="",$R340="(digite a descrição aqui)"),OR($Q340&lt;&gt;0,$T340&gt;0,$U340&gt;0)),"DESCRIÇÃO",
IF(AND($C340="S",$P340&lt;&gt;0,$Q340&lt;&gt;0,$S340=""),"UNIDADE",
IF(AND($C340="S",$P340&lt;&gt;0,$Q340&lt;&gt;0,$U340=0),"SEM CUSTO",
IF(AND(TIPOORCAMENTO="Licitado",$AL340=0,$AN340&gt;0),"SEM PREÇO",
IF(AND($C340="S",$P340&lt;&gt;0,$Q340&lt;&gt;0,$U340&gt;0,$V340=0),"BDI",
IF(OR(AND(TIPOORCAMENTO="Proposto",$AG340&lt;&gt;"",$AG340&gt;0,ORÇAMENTO.CustoUnitario&gt;$AG340),AND(TIPOORCAMENTO="LICITADO",ORÇAMENTO.PrecoUnitarioLicitado&gt;$AN340)),"ACIMA REF.",
IF(AND($C340="S",$P340&lt;&gt;0,$Q340&lt;&gt;0,$T340=0,$U340&gt;0),"QUANT.",
IF(AND(Import.TipoArredondamento="TransfereGOV",$L340="F",$C340="S",LEN($Q340)&gt;13),"Código &gt;13",
IF(AND(Import.TipoArredondamento="TransfereGOV",$L340="F",$C340&lt;&gt;"S",LEN($R340)&gt;100),"Descrição &gt;100",
IF(AND(Import.TipoArredondamento="TransfereGOV",$L340="F",$C340="S",LEN($R340)&gt;500),"Descrição &gt;500",
IF(AND(Import.TipoArredondamento="TransfereGOV",$L340="F",$C340="S",LEFT(TRIM(UPPER($P340)),6)&lt;&gt;"SINAPI",ISNA(VLOOKUP(TRIM(UPPER($S340)),ListaTgov.Unidades,1,FALSE))),"Unid. Não Disp",
" "))))))))))))))))</f>
        <v>SEM CUSTO</v>
      </c>
      <c r="AD340" t="str">
        <f ca="1">IF(C340&lt;=CRONO.NivelExibicao,MAX($AD$15:OFFSET(AD340,-1,0))+IF($C340&lt;&gt;1,1,MAX(1,COUNTIF(QCI!$A$13:$A$24,OFFSET($E340,-1,0)))),"")</f>
        <v/>
      </c>
      <c r="AE340" s="7" t="str">
        <f ca="1">IF(AND($C340="S",ORÇAMENTO.CodBarra&lt;&gt;""),IF(ORÇAMENTO.Fonte="",ORÇAMENTO.CodBarra,CONCATENATE(ORÇAMENTO.Fonte," ",ORÇAMENTO.CodBarra)))</f>
        <v>SINAPI 88309</v>
      </c>
      <c r="AF340" s="12" t="str">
        <f ca="1">IF(ISERROR(INDIRECT(ORÇAMENTO.BancoRef)),"(abra o arquivo 'Referência "&amp;Excel_BuiltIn_Database&amp;".xlsm)",IF(OR($C340&lt;&gt;"S",ORÇAMENTO.CodBarra=""),"(Sem Código)",IF(ISERROR(MATCH($AE340,INDIRECT(ORÇAMENTO.BancoRef),0)),"(Código não identificado nas referências)",MATCH($AE340,INDIRECT(ORÇAMENTO.BancoRef),0))))</f>
        <v>(abra o arquivo 'Referência 12-2024.xlsm)</v>
      </c>
      <c r="AG340" s="429">
        <f ca="1">ROUND(IF(DESONERACAO="sim",REFERENCIA.Desonerado,REFERENCIA.NaoDesonerado),2)</f>
        <v>0</v>
      </c>
      <c r="AH340" s="430">
        <f t="shared" ca="1" si="98"/>
        <v>0.31190000000000001</v>
      </c>
      <c r="AJ340" s="432">
        <v>8</v>
      </c>
      <c r="AL340" s="440"/>
      <c r="AM340" s="337">
        <f t="shared" ca="1" si="83"/>
        <v>0</v>
      </c>
      <c r="AN340" s="471">
        <f t="shared" ca="1" si="99"/>
        <v>0</v>
      </c>
    </row>
    <row r="341" spans="1:40" x14ac:dyDescent="0.2">
      <c r="A341" t="str">
        <f t="shared" si="84"/>
        <v>S</v>
      </c>
      <c r="B341">
        <f t="shared" ca="1" si="85"/>
        <v>2</v>
      </c>
      <c r="C341" t="str">
        <f t="shared" ca="1" si="86"/>
        <v>S</v>
      </c>
      <c r="D341">
        <f t="shared" ca="1" si="87"/>
        <v>0</v>
      </c>
      <c r="E341">
        <f ca="1">IF($C341=1,OFFSET(E341,-1,0)+MAX(1,COUNTIF(QCI!$A$13:$A$24,OFFSET(ORÇAMENTO!E341,-1,0))),OFFSET(E341,-1,0))</f>
        <v>1</v>
      </c>
      <c r="F341">
        <f t="shared" ca="1" si="88"/>
        <v>17</v>
      </c>
      <c r="G341">
        <f t="shared" ca="1" si="89"/>
        <v>0</v>
      </c>
      <c r="H341">
        <f t="shared" ca="1" si="90"/>
        <v>0</v>
      </c>
      <c r="I341">
        <f t="shared" ca="1" si="91"/>
        <v>0</v>
      </c>
      <c r="J341">
        <f t="shared" ca="1" si="92"/>
        <v>0</v>
      </c>
      <c r="K341">
        <f ca="1">IF(OR($C341="S",$C341=0),0,MATCH(OFFSET($D341,0,$C341)+IF($C341&lt;&gt;1,1,COUNTIF(QCI!$A$13:$A$24,ORÇAMENTO!E341)),OFFSET($D341,1,$C341,ROW($C$405)-ROW($C341)),0))</f>
        <v>0</v>
      </c>
      <c r="L341" s="115" t="str">
        <f t="shared" ca="1" si="93"/>
        <v/>
      </c>
      <c r="M341" s="116" t="s">
        <v>706</v>
      </c>
      <c r="N341" s="117" t="str">
        <f t="shared" ca="1" si="94"/>
        <v>Serviço</v>
      </c>
      <c r="O341" s="118" t="str">
        <f t="shared" ca="1" si="95"/>
        <v>-</v>
      </c>
      <c r="P341" s="119" t="s">
        <v>751</v>
      </c>
      <c r="Q341" s="120" t="s">
        <v>956</v>
      </c>
      <c r="R341" s="121" t="s">
        <v>1334</v>
      </c>
      <c r="S341" s="122" t="s">
        <v>615</v>
      </c>
      <c r="T341" s="123">
        <f ca="1">OFFSET(CÁLCULO!H$15,ROW($T341)-ROW(T$15),0)</f>
        <v>8</v>
      </c>
      <c r="U341" s="124"/>
      <c r="V341" s="125" t="s">
        <v>663</v>
      </c>
      <c r="W341" s="123">
        <f ca="1">IF($C341="S",ROUND(IF(TIPOORCAMENTO="Proposto",ORÇAMENTO.CustoUnitario*(1+$AH341),ORÇAMENTO.PrecoUnitarioLicitado),15-13*$AF$10),0)</f>
        <v>0</v>
      </c>
      <c r="X341" s="126" cm="1">
        <f t="array" aca="1" ref="X341" ca="1">IF($C341="S",IF(OR(Import.TipoArredondamento&lt;&gt;"TransfereGOV",ACOMPANHAMENTO="BM"),VTOTAL1,SUM(OFFSET(CÁLCULO!$AA$15,ROW($X341)-ROW($X$15),1):OFFSET(CÁLCULO!$AL$15,ROW($X341)-ROW($X$15),-1))),IF($C341=0,0,ROUND(SomaAgrup,15-13*$AF$11)))</f>
        <v>0</v>
      </c>
      <c r="Y341" s="127" t="s">
        <v>752</v>
      </c>
      <c r="Z341" t="str">
        <f t="shared" ca="1" si="96"/>
        <v/>
      </c>
      <c r="AA341" s="128">
        <f ca="1">IF($C341="S",IF($Z341="CP",$X341,IF($Z341="RA",(($X341)*QCI!$AA$3),0)),SomaAgrup)</f>
        <v>0</v>
      </c>
      <c r="AB341" s="129">
        <f t="shared" ca="1" si="97"/>
        <v>0</v>
      </c>
      <c r="AC341" s="567" t="str">
        <f ca="1">IF($N341=""," ",
IF(AND($C341&lt;&gt;"S",OR($R341="",$R341="(digite a descrição aqui)")),"DESCRIÇÃO",
IF(AND($C341="S",OR($Q341&lt;&gt;0,$T341&gt;0,$U341&gt;0),$P341=0),"FONTE",
IF(AND($C341="S",$P341&lt;&gt;0,OR($T341&gt;0,$U341&gt;0),$Q341=0),"CÓDIGO",
IF(AND($C341="S",$P341&lt;&gt;0,$Q341&lt;&gt;0,$R341="(Código não identificado nas referências)"),"CÓDIGO N/ID",
IF(AND($C341="S",OR($R341="",$R341="(digite a descrição aqui)"),OR($Q341&lt;&gt;0,$T341&gt;0,$U341&gt;0)),"DESCRIÇÃO",
IF(AND($C341="S",$P341&lt;&gt;0,$Q341&lt;&gt;0,$S341=""),"UNIDADE",
IF(AND($C341="S",$P341&lt;&gt;0,$Q341&lt;&gt;0,$U341=0),"SEM CUSTO",
IF(AND(TIPOORCAMENTO="Licitado",$AL341=0,$AN341&gt;0),"SEM PREÇO",
IF(AND($C341="S",$P341&lt;&gt;0,$Q341&lt;&gt;0,$U341&gt;0,$V341=0),"BDI",
IF(OR(AND(TIPOORCAMENTO="Proposto",$AG341&lt;&gt;"",$AG341&gt;0,ORÇAMENTO.CustoUnitario&gt;$AG341),AND(TIPOORCAMENTO="LICITADO",ORÇAMENTO.PrecoUnitarioLicitado&gt;$AN341)),"ACIMA REF.",
IF(AND($C341="S",$P341&lt;&gt;0,$Q341&lt;&gt;0,$T341=0,$U341&gt;0),"QUANT.",
IF(AND(Import.TipoArredondamento="TransfereGOV",$L341="F",$C341="S",LEN($Q341)&gt;13),"Código &gt;13",
IF(AND(Import.TipoArredondamento="TransfereGOV",$L341="F",$C341&lt;&gt;"S",LEN($R341)&gt;100),"Descrição &gt;100",
IF(AND(Import.TipoArredondamento="TransfereGOV",$L341="F",$C341="S",LEN($R341)&gt;500),"Descrição &gt;500",
IF(AND(Import.TipoArredondamento="TransfereGOV",$L341="F",$C341="S",LEFT(TRIM(UPPER($P341)),6)&lt;&gt;"SINAPI",ISNA(VLOOKUP(TRIM(UPPER($S341)),ListaTgov.Unidades,1,FALSE))),"Unid. Não Disp",
" "))))))))))))))))</f>
        <v>SEM CUSTO</v>
      </c>
      <c r="AD341" t="str">
        <f ca="1">IF(C341&lt;=CRONO.NivelExibicao,MAX($AD$15:OFFSET(AD341,-1,0))+IF($C341&lt;&gt;1,1,MAX(1,COUNTIF(QCI!$A$13:$A$24,OFFSET($E341,-1,0)))),"")</f>
        <v/>
      </c>
      <c r="AE341" s="7" t="str">
        <f ca="1">IF(AND($C341="S",ORÇAMENTO.CodBarra&lt;&gt;""),IF(ORÇAMENTO.Fonte="",ORÇAMENTO.CodBarra,CONCATENATE(ORÇAMENTO.Fonte," ",ORÇAMENTO.CodBarra)))</f>
        <v>SINAPI 88242</v>
      </c>
      <c r="AF341" s="12" t="str">
        <f ca="1">IF(ISERROR(INDIRECT(ORÇAMENTO.BancoRef)),"(abra o arquivo 'Referência "&amp;Excel_BuiltIn_Database&amp;".xlsm)",IF(OR($C341&lt;&gt;"S",ORÇAMENTO.CodBarra=""),"(Sem Código)",IF(ISERROR(MATCH($AE341,INDIRECT(ORÇAMENTO.BancoRef),0)),"(Código não identificado nas referências)",MATCH($AE341,INDIRECT(ORÇAMENTO.BancoRef),0))))</f>
        <v>(abra o arquivo 'Referência 12-2024.xlsm)</v>
      </c>
      <c r="AG341" s="429">
        <f ca="1">ROUND(IF(DESONERACAO="sim",REFERENCIA.Desonerado,REFERENCIA.NaoDesonerado),2)</f>
        <v>0</v>
      </c>
      <c r="AH341" s="430">
        <f t="shared" ca="1" si="98"/>
        <v>0.31190000000000001</v>
      </c>
      <c r="AJ341" s="432">
        <v>8</v>
      </c>
      <c r="AL341" s="440"/>
      <c r="AM341" s="337">
        <f t="shared" ca="1" si="83"/>
        <v>0</v>
      </c>
      <c r="AN341" s="471">
        <f t="shared" ca="1" si="99"/>
        <v>0</v>
      </c>
    </row>
    <row r="342" spans="1:40" x14ac:dyDescent="0.2">
      <c r="A342">
        <f t="shared" si="84"/>
        <v>2</v>
      </c>
      <c r="B342">
        <f t="shared" ca="1" si="85"/>
        <v>2</v>
      </c>
      <c r="C342">
        <f t="shared" ca="1" si="86"/>
        <v>2</v>
      </c>
      <c r="D342">
        <f t="shared" ca="1" si="87"/>
        <v>4</v>
      </c>
      <c r="E342">
        <f ca="1">IF($C342=1,OFFSET(E342,-1,0)+MAX(1,COUNTIF(QCI!$A$13:$A$24,OFFSET(ORÇAMENTO!E342,-1,0))),OFFSET(E342,-1,0))</f>
        <v>1</v>
      </c>
      <c r="F342">
        <f t="shared" ca="1" si="88"/>
        <v>18</v>
      </c>
      <c r="G342">
        <f t="shared" ca="1" si="89"/>
        <v>0</v>
      </c>
      <c r="H342">
        <f t="shared" ca="1" si="90"/>
        <v>0</v>
      </c>
      <c r="I342">
        <f t="shared" ca="1" si="91"/>
        <v>0</v>
      </c>
      <c r="J342">
        <f t="shared" ca="1" si="92"/>
        <v>63</v>
      </c>
      <c r="K342">
        <f ca="1">IF(OR($C342="S",$C342=0),0,MATCH(OFFSET($D342,0,$C342)+IF($C342&lt;&gt;1,1,COUNTIF(QCI!$A$13:$A$24,ORÇAMENTO!E342)),OFFSET($D342,1,$C342,ROW($C$405)-ROW($C342)),0))</f>
        <v>4</v>
      </c>
      <c r="L342" s="115" t="str">
        <f t="shared" ca="1" si="93"/>
        <v>F</v>
      </c>
      <c r="M342" s="116" t="s">
        <v>703</v>
      </c>
      <c r="N342" s="117" t="str">
        <f t="shared" ca="1" si="94"/>
        <v>Nível 2</v>
      </c>
      <c r="O342" s="118" t="str">
        <f t="shared" ca="1" si="95"/>
        <v>1.18.</v>
      </c>
      <c r="P342" s="119" t="s">
        <v>751</v>
      </c>
      <c r="Q342" s="120"/>
      <c r="R342" s="121" t="s">
        <v>1305</v>
      </c>
      <c r="S342" s="122" t="s">
        <v>689</v>
      </c>
      <c r="T342" s="123">
        <f ca="1">OFFSET(CÁLCULO!H$15,ROW($T342)-ROW(T$15),0)</f>
        <v>0</v>
      </c>
      <c r="U342" s="124"/>
      <c r="V342" s="125" t="s">
        <v>663</v>
      </c>
      <c r="W342" s="123">
        <f ca="1">IF($C342="S",ROUND(IF(TIPOORCAMENTO="Proposto",ORÇAMENTO.CustoUnitario*(1+$AH342),ORÇAMENTO.PrecoUnitarioLicitado),15-13*$AF$10),0)</f>
        <v>0</v>
      </c>
      <c r="X342" s="126" cm="1">
        <f t="array" aca="1" ref="X342" ca="1">IF($C342="S",IF(OR(Import.TipoArredondamento&lt;&gt;"TransfereGOV",ACOMPANHAMENTO="BM"),VTOTAL1,SUM(OFFSET(CÁLCULO!$AA$15,ROW($X342)-ROW($X$15),1):OFFSET(CÁLCULO!$AL$15,ROW($X342)-ROW($X$15),-1))),IF($C342=0,0,ROUND(SomaAgrup,15-13*$AF$11)))</f>
        <v>0</v>
      </c>
      <c r="Y342" s="127" t="s">
        <v>752</v>
      </c>
      <c r="Z342" t="str">
        <f t="shared" ca="1" si="96"/>
        <v/>
      </c>
      <c r="AA342" s="128">
        <f ca="1">IF($C342="S",IF($Z342="CP",$X342,IF($Z342="RA",(($X342)*QCI!$AA$3),0)),SomaAgrup)</f>
        <v>0</v>
      </c>
      <c r="AB342" s="129">
        <f t="shared" ca="1" si="97"/>
        <v>0</v>
      </c>
      <c r="AC342" s="567" t="str">
        <f ca="1">IF($N342=""," ",
IF(AND($C342&lt;&gt;"S",OR($R342="",$R342="(digite a descrição aqui)")),"DESCRIÇÃO",
IF(AND($C342="S",OR($Q342&lt;&gt;0,$T342&gt;0,$U342&gt;0),$P342=0),"FONTE",
IF(AND($C342="S",$P342&lt;&gt;0,OR($T342&gt;0,$U342&gt;0),$Q342=0),"CÓDIGO",
IF(AND($C342="S",$P342&lt;&gt;0,$Q342&lt;&gt;0,$R342="(Código não identificado nas referências)"),"CÓDIGO N/ID",
IF(AND($C342="S",OR($R342="",$R342="(digite a descrição aqui)"),OR($Q342&lt;&gt;0,$T342&gt;0,$U342&gt;0)),"DESCRIÇÃO",
IF(AND($C342="S",$P342&lt;&gt;0,$Q342&lt;&gt;0,$S342=""),"UNIDADE",
IF(AND($C342="S",$P342&lt;&gt;0,$Q342&lt;&gt;0,$U342=0),"SEM CUSTO",
IF(AND(TIPOORCAMENTO="Licitado",$AL342=0,$AN342&gt;0),"SEM PREÇO",
IF(AND($C342="S",$P342&lt;&gt;0,$Q342&lt;&gt;0,$U342&gt;0,$V342=0),"BDI",
IF(OR(AND(TIPOORCAMENTO="Proposto",$AG342&lt;&gt;"",$AG342&gt;0,ORÇAMENTO.CustoUnitario&gt;$AG342),AND(TIPOORCAMENTO="LICITADO",ORÇAMENTO.PrecoUnitarioLicitado&gt;$AN342)),"ACIMA REF.",
IF(AND($C342="S",$P342&lt;&gt;0,$Q342&lt;&gt;0,$T342=0,$U342&gt;0),"QUANT.",
IF(AND(Import.TipoArredondamento="TransfereGOV",$L342="F",$C342="S",LEN($Q342)&gt;13),"Código &gt;13",
IF(AND(Import.TipoArredondamento="TransfereGOV",$L342="F",$C342&lt;&gt;"S",LEN($R342)&gt;100),"Descrição &gt;100",
IF(AND(Import.TipoArredondamento="TransfereGOV",$L342="F",$C342="S",LEN($R342)&gt;500),"Descrição &gt;500",
IF(AND(Import.TipoArredondamento="TransfereGOV",$L342="F",$C342="S",LEFT(TRIM(UPPER($P342)),6)&lt;&gt;"SINAPI",ISNA(VLOOKUP(TRIM(UPPER($S342)),ListaTgov.Unidades,1,FALSE))),"Unid. Não Disp",
" "))))))))))))))))</f>
        <v xml:space="preserve"> </v>
      </c>
      <c r="AD342">
        <f ca="1">IF(C342&lt;=CRONO.NivelExibicao,MAX($AD$15:OFFSET(AD342,-1,0))+IF($C342&lt;&gt;1,1,MAX(1,COUNTIF(QCI!$A$13:$A$24,OFFSET($E342,-1,0)))),"")</f>
        <v>19</v>
      </c>
      <c r="AE342" s="7" t="b">
        <f ca="1">IF(AND($C342="S",ORÇAMENTO.CodBarra&lt;&gt;""),IF(ORÇAMENTO.Fonte="",ORÇAMENTO.CodBarra,CONCATENATE(ORÇAMENTO.Fonte," ",ORÇAMENTO.CodBarra)))</f>
        <v>0</v>
      </c>
      <c r="AF342" s="12" t="str">
        <f ca="1">IF(ISERROR(INDIRECT(ORÇAMENTO.BancoRef)),"(abra o arquivo 'Referência "&amp;Excel_BuiltIn_Database&amp;".xlsm)",IF(OR($C342&lt;&gt;"S",ORÇAMENTO.CodBarra=""),"(Sem Código)",IF(ISERROR(MATCH($AE342,INDIRECT(ORÇAMENTO.BancoRef),0)),"(Código não identificado nas referências)",MATCH($AE342,INDIRECT(ORÇAMENTO.BancoRef),0))))</f>
        <v>(abra o arquivo 'Referência 12-2024.xlsm)</v>
      </c>
      <c r="AG342" s="429">
        <f ca="1">ROUND(IF(DESONERACAO="sim",REFERENCIA.Desonerado,REFERENCIA.NaoDesonerado),2)</f>
        <v>0</v>
      </c>
      <c r="AH342" s="430">
        <f t="shared" ca="1" si="98"/>
        <v>0.31190000000000001</v>
      </c>
      <c r="AJ342" s="432"/>
      <c r="AL342" s="440"/>
      <c r="AM342" s="337">
        <f t="shared" ca="1" si="83"/>
        <v>0</v>
      </c>
      <c r="AN342" s="471">
        <f t="shared" ca="1" si="99"/>
        <v>0</v>
      </c>
    </row>
    <row r="343" spans="1:40" ht="38.25" x14ac:dyDescent="0.2">
      <c r="A343" t="str">
        <f t="shared" si="84"/>
        <v>S</v>
      </c>
      <c r="B343">
        <f t="shared" ca="1" si="85"/>
        <v>2</v>
      </c>
      <c r="C343" t="str">
        <f t="shared" ca="1" si="86"/>
        <v>S</v>
      </c>
      <c r="D343">
        <f t="shared" ca="1" si="87"/>
        <v>0</v>
      </c>
      <c r="E343">
        <f ca="1">IF($C343=1,OFFSET(E343,-1,0)+MAX(1,COUNTIF(QCI!$A$13:$A$24,OFFSET(ORÇAMENTO!E343,-1,0))),OFFSET(E343,-1,0))</f>
        <v>1</v>
      </c>
      <c r="F343">
        <f t="shared" ca="1" si="88"/>
        <v>18</v>
      </c>
      <c r="G343">
        <f t="shared" ca="1" si="89"/>
        <v>0</v>
      </c>
      <c r="H343">
        <f t="shared" ca="1" si="90"/>
        <v>0</v>
      </c>
      <c r="I343">
        <f t="shared" ca="1" si="91"/>
        <v>0</v>
      </c>
      <c r="J343">
        <f t="shared" ca="1" si="92"/>
        <v>0</v>
      </c>
      <c r="K343">
        <f ca="1">IF(OR($C343="S",$C343=0),0,MATCH(OFFSET($D343,0,$C343)+IF($C343&lt;&gt;1,1,COUNTIF(QCI!$A$13:$A$24,ORÇAMENTO!E343)),OFFSET($D343,1,$C343,ROW($C$405)-ROW($C343)),0))</f>
        <v>0</v>
      </c>
      <c r="L343" s="115" t="str">
        <f t="shared" ca="1" si="93"/>
        <v/>
      </c>
      <c r="M343" s="116" t="s">
        <v>706</v>
      </c>
      <c r="N343" s="117" t="str">
        <f t="shared" ca="1" si="94"/>
        <v>Serviço</v>
      </c>
      <c r="O343" s="118" t="str">
        <f t="shared" ca="1" si="95"/>
        <v>-</v>
      </c>
      <c r="P343" s="119" t="s">
        <v>751</v>
      </c>
      <c r="Q343" s="120" t="s">
        <v>1224</v>
      </c>
      <c r="R343" s="121" t="s">
        <v>1594</v>
      </c>
      <c r="S343" s="122" t="s">
        <v>623</v>
      </c>
      <c r="T343" s="123">
        <f ca="1">OFFSET(CÁLCULO!H$15,ROW($T343)-ROW(T$15),0)</f>
        <v>107.83</v>
      </c>
      <c r="U343" s="124"/>
      <c r="V343" s="125" t="s">
        <v>663</v>
      </c>
      <c r="W343" s="123">
        <f ca="1">IF($C343="S",ROUND(IF(TIPOORCAMENTO="Proposto",ORÇAMENTO.CustoUnitario*(1+$AH343),ORÇAMENTO.PrecoUnitarioLicitado),15-13*$AF$10),0)</f>
        <v>0</v>
      </c>
      <c r="X343" s="126" cm="1">
        <f t="array" aca="1" ref="X343" ca="1">IF($C343="S",IF(OR(Import.TipoArredondamento&lt;&gt;"TransfereGOV",ACOMPANHAMENTO="BM"),VTOTAL1,SUM(OFFSET(CÁLCULO!$AA$15,ROW($X343)-ROW($X$15),1):OFFSET(CÁLCULO!$AL$15,ROW($X343)-ROW($X$15),-1))),IF($C343=0,0,ROUND(SomaAgrup,15-13*$AF$11)))</f>
        <v>0</v>
      </c>
      <c r="Y343" s="127" t="s">
        <v>752</v>
      </c>
      <c r="Z343" t="str">
        <f t="shared" ca="1" si="96"/>
        <v/>
      </c>
      <c r="AA343" s="128">
        <f ca="1">IF($C343="S",IF($Z343="CP",$X343,IF($Z343="RA",(($X343)*QCI!$AA$3),0)),SomaAgrup)</f>
        <v>0</v>
      </c>
      <c r="AB343" s="129">
        <f t="shared" ca="1" si="97"/>
        <v>0</v>
      </c>
      <c r="AC343" s="567" t="str">
        <f ca="1">IF($N343=""," ",
IF(AND($C343&lt;&gt;"S",OR($R343="",$R343="(digite a descrição aqui)")),"DESCRIÇÃO",
IF(AND($C343="S",OR($Q343&lt;&gt;0,$T343&gt;0,$U343&gt;0),$P343=0),"FONTE",
IF(AND($C343="S",$P343&lt;&gt;0,OR($T343&gt;0,$U343&gt;0),$Q343=0),"CÓDIGO",
IF(AND($C343="S",$P343&lt;&gt;0,$Q343&lt;&gt;0,$R343="(Código não identificado nas referências)"),"CÓDIGO N/ID",
IF(AND($C343="S",OR($R343="",$R343="(digite a descrição aqui)"),OR($Q343&lt;&gt;0,$T343&gt;0,$U343&gt;0)),"DESCRIÇÃO",
IF(AND($C343="S",$P343&lt;&gt;0,$Q343&lt;&gt;0,$S343=""),"UNIDADE",
IF(AND($C343="S",$P343&lt;&gt;0,$Q343&lt;&gt;0,$U343=0),"SEM CUSTO",
IF(AND(TIPOORCAMENTO="Licitado",$AL343=0,$AN343&gt;0),"SEM PREÇO",
IF(AND($C343="S",$P343&lt;&gt;0,$Q343&lt;&gt;0,$U343&gt;0,$V343=0),"BDI",
IF(OR(AND(TIPOORCAMENTO="Proposto",$AG343&lt;&gt;"",$AG343&gt;0,ORÇAMENTO.CustoUnitario&gt;$AG343),AND(TIPOORCAMENTO="LICITADO",ORÇAMENTO.PrecoUnitarioLicitado&gt;$AN343)),"ACIMA REF.",
IF(AND($C343="S",$P343&lt;&gt;0,$Q343&lt;&gt;0,$T343=0,$U343&gt;0),"QUANT.",
IF(AND(Import.TipoArredondamento="TransfereGOV",$L343="F",$C343="S",LEN($Q343)&gt;13),"Código &gt;13",
IF(AND(Import.TipoArredondamento="TransfereGOV",$L343="F",$C343&lt;&gt;"S",LEN($R343)&gt;100),"Descrição &gt;100",
IF(AND(Import.TipoArredondamento="TransfereGOV",$L343="F",$C343="S",LEN($R343)&gt;500),"Descrição &gt;500",
IF(AND(Import.TipoArredondamento="TransfereGOV",$L343="F",$C343="S",LEFT(TRIM(UPPER($P343)),6)&lt;&gt;"SINAPI",ISNA(VLOOKUP(TRIM(UPPER($S343)),ListaTgov.Unidades,1,FALSE))),"Unid. Não Disp",
" "))))))))))))))))</f>
        <v>SEM CUSTO</v>
      </c>
      <c r="AD343" t="str">
        <f ca="1">IF(C343&lt;=CRONO.NivelExibicao,MAX($AD$15:OFFSET(AD343,-1,0))+IF($C343&lt;&gt;1,1,MAX(1,COUNTIF(QCI!$A$13:$A$24,OFFSET($E343,-1,0)))),"")</f>
        <v/>
      </c>
      <c r="AE343" s="7" t="str">
        <f ca="1">IF(AND($C343="S",ORÇAMENTO.CodBarra&lt;&gt;""),IF(ORÇAMENTO.Fonte="",ORÇAMENTO.CodBarra,CONCATENATE(ORÇAMENTO.Fonte," ",ORÇAMENTO.CodBarra)))</f>
        <v>SINAPI 92396</v>
      </c>
      <c r="AF343" s="12" t="str">
        <f ca="1">IF(ISERROR(INDIRECT(ORÇAMENTO.BancoRef)),"(abra o arquivo 'Referência "&amp;Excel_BuiltIn_Database&amp;".xlsm)",IF(OR($C343&lt;&gt;"S",ORÇAMENTO.CodBarra=""),"(Sem Código)",IF(ISERROR(MATCH($AE343,INDIRECT(ORÇAMENTO.BancoRef),0)),"(Código não identificado nas referências)",MATCH($AE343,INDIRECT(ORÇAMENTO.BancoRef),0))))</f>
        <v>(abra o arquivo 'Referência 12-2024.xlsm)</v>
      </c>
      <c r="AG343" s="429">
        <f ca="1">ROUND(IF(DESONERACAO="sim",REFERENCIA.Desonerado,REFERENCIA.NaoDesonerado),2)</f>
        <v>0</v>
      </c>
      <c r="AH343" s="430">
        <f t="shared" ca="1" si="98"/>
        <v>0.31190000000000001</v>
      </c>
      <c r="AJ343" s="432">
        <v>107.83</v>
      </c>
      <c r="AL343" s="440"/>
      <c r="AM343" s="337">
        <f t="shared" ca="1" si="83"/>
        <v>0</v>
      </c>
      <c r="AN343" s="471">
        <f t="shared" ca="1" si="99"/>
        <v>0</v>
      </c>
    </row>
    <row r="344" spans="1:40" ht="38.25" x14ac:dyDescent="0.2">
      <c r="A344" t="str">
        <f t="shared" si="84"/>
        <v>S</v>
      </c>
      <c r="B344">
        <f t="shared" ca="1" si="85"/>
        <v>2</v>
      </c>
      <c r="C344" t="str">
        <f t="shared" ca="1" si="86"/>
        <v>S</v>
      </c>
      <c r="D344">
        <f t="shared" ca="1" si="87"/>
        <v>0</v>
      </c>
      <c r="E344">
        <f ca="1">IF($C344=1,OFFSET(E344,-1,0)+MAX(1,COUNTIF(QCI!$A$13:$A$24,OFFSET(ORÇAMENTO!E344,-1,0))),OFFSET(E344,-1,0))</f>
        <v>1</v>
      </c>
      <c r="F344">
        <f t="shared" ca="1" si="88"/>
        <v>18</v>
      </c>
      <c r="G344">
        <f t="shared" ca="1" si="89"/>
        <v>0</v>
      </c>
      <c r="H344">
        <f t="shared" ca="1" si="90"/>
        <v>0</v>
      </c>
      <c r="I344">
        <f t="shared" ca="1" si="91"/>
        <v>0</v>
      </c>
      <c r="J344">
        <f t="shared" ca="1" si="92"/>
        <v>0</v>
      </c>
      <c r="K344">
        <f ca="1">IF(OR($C344="S",$C344=0),0,MATCH(OFFSET($D344,0,$C344)+IF($C344&lt;&gt;1,1,COUNTIF(QCI!$A$13:$A$24,ORÇAMENTO!E344)),OFFSET($D344,1,$C344,ROW($C$405)-ROW($C344)),0))</f>
        <v>0</v>
      </c>
      <c r="L344" s="115" t="str">
        <f t="shared" ca="1" si="93"/>
        <v/>
      </c>
      <c r="M344" s="116" t="s">
        <v>706</v>
      </c>
      <c r="N344" s="117" t="str">
        <f t="shared" ca="1" si="94"/>
        <v>Serviço</v>
      </c>
      <c r="O344" s="118" t="str">
        <f t="shared" ca="1" si="95"/>
        <v>-</v>
      </c>
      <c r="P344" s="119" t="s">
        <v>751</v>
      </c>
      <c r="Q344" s="120" t="s">
        <v>1225</v>
      </c>
      <c r="R344" s="121" t="s">
        <v>1595</v>
      </c>
      <c r="S344" s="122" t="s">
        <v>623</v>
      </c>
      <c r="T344" s="123">
        <f ca="1">OFFSET(CÁLCULO!H$15,ROW($T344)-ROW(T$15),0)</f>
        <v>27.4</v>
      </c>
      <c r="U344" s="124"/>
      <c r="V344" s="125" t="s">
        <v>663</v>
      </c>
      <c r="W344" s="123">
        <f ca="1">IF($C344="S",ROUND(IF(TIPOORCAMENTO="Proposto",ORÇAMENTO.CustoUnitario*(1+$AH344),ORÇAMENTO.PrecoUnitarioLicitado),15-13*$AF$10),0)</f>
        <v>0</v>
      </c>
      <c r="X344" s="126" cm="1">
        <f t="array" aca="1" ref="X344" ca="1">IF($C344="S",IF(OR(Import.TipoArredondamento&lt;&gt;"TransfereGOV",ACOMPANHAMENTO="BM"),VTOTAL1,SUM(OFFSET(CÁLCULO!$AA$15,ROW($X344)-ROW($X$15),1):OFFSET(CÁLCULO!$AL$15,ROW($X344)-ROW($X$15),-1))),IF($C344=0,0,ROUND(SomaAgrup,15-13*$AF$11)))</f>
        <v>0</v>
      </c>
      <c r="Y344" s="127" t="s">
        <v>752</v>
      </c>
      <c r="Z344" t="str">
        <f t="shared" ca="1" si="96"/>
        <v/>
      </c>
      <c r="AA344" s="128">
        <f ca="1">IF($C344="S",IF($Z344="CP",$X344,IF($Z344="RA",(($X344)*QCI!$AA$3),0)),SomaAgrup)</f>
        <v>0</v>
      </c>
      <c r="AB344" s="129">
        <f t="shared" ca="1" si="97"/>
        <v>0</v>
      </c>
      <c r="AC344" s="567" t="str">
        <f ca="1">IF($N344=""," ",
IF(AND($C344&lt;&gt;"S",OR($R344="",$R344="(digite a descrição aqui)")),"DESCRIÇÃO",
IF(AND($C344="S",OR($Q344&lt;&gt;0,$T344&gt;0,$U344&gt;0),$P344=0),"FONTE",
IF(AND($C344="S",$P344&lt;&gt;0,OR($T344&gt;0,$U344&gt;0),$Q344=0),"CÓDIGO",
IF(AND($C344="S",$P344&lt;&gt;0,$Q344&lt;&gt;0,$R344="(Código não identificado nas referências)"),"CÓDIGO N/ID",
IF(AND($C344="S",OR($R344="",$R344="(digite a descrição aqui)"),OR($Q344&lt;&gt;0,$T344&gt;0,$U344&gt;0)),"DESCRIÇÃO",
IF(AND($C344="S",$P344&lt;&gt;0,$Q344&lt;&gt;0,$S344=""),"UNIDADE",
IF(AND($C344="S",$P344&lt;&gt;0,$Q344&lt;&gt;0,$U344=0),"SEM CUSTO",
IF(AND(TIPOORCAMENTO="Licitado",$AL344=0,$AN344&gt;0),"SEM PREÇO",
IF(AND($C344="S",$P344&lt;&gt;0,$Q344&lt;&gt;0,$U344&gt;0,$V344=0),"BDI",
IF(OR(AND(TIPOORCAMENTO="Proposto",$AG344&lt;&gt;"",$AG344&gt;0,ORÇAMENTO.CustoUnitario&gt;$AG344),AND(TIPOORCAMENTO="LICITADO",ORÇAMENTO.PrecoUnitarioLicitado&gt;$AN344)),"ACIMA REF.",
IF(AND($C344="S",$P344&lt;&gt;0,$Q344&lt;&gt;0,$T344=0,$U344&gt;0),"QUANT.",
IF(AND(Import.TipoArredondamento="TransfereGOV",$L344="F",$C344="S",LEN($Q344)&gt;13),"Código &gt;13",
IF(AND(Import.TipoArredondamento="TransfereGOV",$L344="F",$C344&lt;&gt;"S",LEN($R344)&gt;100),"Descrição &gt;100",
IF(AND(Import.TipoArredondamento="TransfereGOV",$L344="F",$C344="S",LEN($R344)&gt;500),"Descrição &gt;500",
IF(AND(Import.TipoArredondamento="TransfereGOV",$L344="F",$C344="S",LEFT(TRIM(UPPER($P344)),6)&lt;&gt;"SINAPI",ISNA(VLOOKUP(TRIM(UPPER($S344)),ListaTgov.Unidades,1,FALSE))),"Unid. Não Disp",
" "))))))))))))))))</f>
        <v>SEM CUSTO</v>
      </c>
      <c r="AD344" t="str">
        <f ca="1">IF(C344&lt;=CRONO.NivelExibicao,MAX($AD$15:OFFSET(AD344,-1,0))+IF($C344&lt;&gt;1,1,MAX(1,COUNTIF(QCI!$A$13:$A$24,OFFSET($E344,-1,0)))),"")</f>
        <v/>
      </c>
      <c r="AE344" s="7" t="str">
        <f ca="1">IF(AND($C344="S",ORÇAMENTO.CodBarra&lt;&gt;""),IF(ORÇAMENTO.Fonte="",ORÇAMENTO.CodBarra,CONCATENATE(ORÇAMENTO.Fonte," ",ORÇAMENTO.CodBarra)))</f>
        <v>SINAPI 103075</v>
      </c>
      <c r="AF344" s="12" t="str">
        <f ca="1">IF(ISERROR(INDIRECT(ORÇAMENTO.BancoRef)),"(abra o arquivo 'Referência "&amp;Excel_BuiltIn_Database&amp;".xlsm)",IF(OR($C344&lt;&gt;"S",ORÇAMENTO.CodBarra=""),"(Sem Código)",IF(ISERROR(MATCH($AE344,INDIRECT(ORÇAMENTO.BancoRef),0)),"(Código não identificado nas referências)",MATCH($AE344,INDIRECT(ORÇAMENTO.BancoRef),0))))</f>
        <v>(abra o arquivo 'Referência 12-2024.xlsm)</v>
      </c>
      <c r="AG344" s="429">
        <f ca="1">ROUND(IF(DESONERACAO="sim",REFERENCIA.Desonerado,REFERENCIA.NaoDesonerado),2)</f>
        <v>0</v>
      </c>
      <c r="AH344" s="430">
        <f t="shared" ca="1" si="98"/>
        <v>0.31190000000000001</v>
      </c>
      <c r="AJ344" s="432">
        <v>27.4</v>
      </c>
      <c r="AL344" s="440"/>
      <c r="AM344" s="337">
        <f t="shared" ca="1" si="83"/>
        <v>0</v>
      </c>
      <c r="AN344" s="471">
        <f t="shared" ca="1" si="99"/>
        <v>0</v>
      </c>
    </row>
    <row r="345" spans="1:40" ht="25.5" x14ac:dyDescent="0.2">
      <c r="A345" t="str">
        <f t="shared" si="84"/>
        <v>S</v>
      </c>
      <c r="B345">
        <f t="shared" ca="1" si="85"/>
        <v>2</v>
      </c>
      <c r="C345" t="str">
        <f t="shared" ca="1" si="86"/>
        <v>S</v>
      </c>
      <c r="D345">
        <f t="shared" ca="1" si="87"/>
        <v>0</v>
      </c>
      <c r="E345">
        <f ca="1">IF($C345=1,OFFSET(E345,-1,0)+MAX(1,COUNTIF(QCI!$A$13:$A$24,OFFSET(ORÇAMENTO!E345,-1,0))),OFFSET(E345,-1,0))</f>
        <v>1</v>
      </c>
      <c r="F345">
        <f t="shared" ca="1" si="88"/>
        <v>18</v>
      </c>
      <c r="G345">
        <f t="shared" ca="1" si="89"/>
        <v>0</v>
      </c>
      <c r="H345">
        <f t="shared" ca="1" si="90"/>
        <v>0</v>
      </c>
      <c r="I345">
        <f t="shared" ca="1" si="91"/>
        <v>0</v>
      </c>
      <c r="J345">
        <f t="shared" ca="1" si="92"/>
        <v>0</v>
      </c>
      <c r="K345">
        <f ca="1">IF(OR($C345="S",$C345=0),0,MATCH(OFFSET($D345,0,$C345)+IF($C345&lt;&gt;1,1,COUNTIF(QCI!$A$13:$A$24,ORÇAMENTO!E345)),OFFSET($D345,1,$C345,ROW($C$405)-ROW($C345)),0))</f>
        <v>0</v>
      </c>
      <c r="L345" s="115" t="str">
        <f t="shared" ca="1" si="93"/>
        <v/>
      </c>
      <c r="M345" s="116" t="s">
        <v>706</v>
      </c>
      <c r="N345" s="117" t="str">
        <f t="shared" ca="1" si="94"/>
        <v>Serviço</v>
      </c>
      <c r="O345" s="118" t="str">
        <f t="shared" ca="1" si="95"/>
        <v>-</v>
      </c>
      <c r="P345" s="119" t="s">
        <v>751</v>
      </c>
      <c r="Q345" s="120" t="s">
        <v>1226</v>
      </c>
      <c r="R345" s="121" t="s">
        <v>1596</v>
      </c>
      <c r="S345" s="122" t="s">
        <v>623</v>
      </c>
      <c r="T345" s="123">
        <f ca="1">OFFSET(CÁLCULO!H$15,ROW($T345)-ROW(T$15),0)</f>
        <v>27.4</v>
      </c>
      <c r="U345" s="124"/>
      <c r="V345" s="125" t="s">
        <v>663</v>
      </c>
      <c r="W345" s="123">
        <f ca="1">IF($C345="S",ROUND(IF(TIPOORCAMENTO="Proposto",ORÇAMENTO.CustoUnitario*(1+$AH345),ORÇAMENTO.PrecoUnitarioLicitado),15-13*$AF$10),0)</f>
        <v>0</v>
      </c>
      <c r="X345" s="126" cm="1">
        <f t="array" aca="1" ref="X345" ca="1">IF($C345="S",IF(OR(Import.TipoArredondamento&lt;&gt;"TransfereGOV",ACOMPANHAMENTO="BM"),VTOTAL1,SUM(OFFSET(CÁLCULO!$AA$15,ROW($X345)-ROW($X$15),1):OFFSET(CÁLCULO!$AL$15,ROW($X345)-ROW($X$15),-1))),IF($C345=0,0,ROUND(SomaAgrup,15-13*$AF$11)))</f>
        <v>0</v>
      </c>
      <c r="Y345" s="127" t="s">
        <v>752</v>
      </c>
      <c r="Z345" t="str">
        <f t="shared" ca="1" si="96"/>
        <v/>
      </c>
      <c r="AA345" s="128">
        <f ca="1">IF($C345="S",IF($Z345="CP",$X345,IF($Z345="RA",(($X345)*QCI!$AA$3),0)),SomaAgrup)</f>
        <v>0</v>
      </c>
      <c r="AB345" s="129">
        <f t="shared" ca="1" si="97"/>
        <v>0</v>
      </c>
      <c r="AC345" s="567" t="str">
        <f ca="1">IF($N345=""," ",
IF(AND($C345&lt;&gt;"S",OR($R345="",$R345="(digite a descrição aqui)")),"DESCRIÇÃO",
IF(AND($C345="S",OR($Q345&lt;&gt;0,$T345&gt;0,$U345&gt;0),$P345=0),"FONTE",
IF(AND($C345="S",$P345&lt;&gt;0,OR($T345&gt;0,$U345&gt;0),$Q345=0),"CÓDIGO",
IF(AND($C345="S",$P345&lt;&gt;0,$Q345&lt;&gt;0,$R345="(Código não identificado nas referências)"),"CÓDIGO N/ID",
IF(AND($C345="S",OR($R345="",$R345="(digite a descrição aqui)"),OR($Q345&lt;&gt;0,$T345&gt;0,$U345&gt;0)),"DESCRIÇÃO",
IF(AND($C345="S",$P345&lt;&gt;0,$Q345&lt;&gt;0,$S345=""),"UNIDADE",
IF(AND($C345="S",$P345&lt;&gt;0,$Q345&lt;&gt;0,$U345=0),"SEM CUSTO",
IF(AND(TIPOORCAMENTO="Licitado",$AL345=0,$AN345&gt;0),"SEM PREÇO",
IF(AND($C345="S",$P345&lt;&gt;0,$Q345&lt;&gt;0,$U345&gt;0,$V345=0),"BDI",
IF(OR(AND(TIPOORCAMENTO="Proposto",$AG345&lt;&gt;"",$AG345&gt;0,ORÇAMENTO.CustoUnitario&gt;$AG345),AND(TIPOORCAMENTO="LICITADO",ORÇAMENTO.PrecoUnitarioLicitado&gt;$AN345)),"ACIMA REF.",
IF(AND($C345="S",$P345&lt;&gt;0,$Q345&lt;&gt;0,$T345=0,$U345&gt;0),"QUANT.",
IF(AND(Import.TipoArredondamento="TransfereGOV",$L345="F",$C345="S",LEN($Q345)&gt;13),"Código &gt;13",
IF(AND(Import.TipoArredondamento="TransfereGOV",$L345="F",$C345&lt;&gt;"S",LEN($R345)&gt;100),"Descrição &gt;100",
IF(AND(Import.TipoArredondamento="TransfereGOV",$L345="F",$C345="S",LEN($R345)&gt;500),"Descrição &gt;500",
IF(AND(Import.TipoArredondamento="TransfereGOV",$L345="F",$C345="S",LEFT(TRIM(UPPER($P345)),6)&lt;&gt;"SINAPI",ISNA(VLOOKUP(TRIM(UPPER($S345)),ListaTgov.Unidades,1,FALSE))),"Unid. Não Disp",
" "))))))))))))))))</f>
        <v>SEM CUSTO</v>
      </c>
      <c r="AD345" t="str">
        <f ca="1">IF(C345&lt;=CRONO.NivelExibicao,MAX($AD$15:OFFSET(AD345,-1,0))+IF($C345&lt;&gt;1,1,MAX(1,COUNTIF(QCI!$A$13:$A$24,OFFSET($E345,-1,0)))),"")</f>
        <v/>
      </c>
      <c r="AE345" s="7" t="str">
        <f ca="1">IF(AND($C345="S",ORÇAMENTO.CodBarra&lt;&gt;""),IF(ORÇAMENTO.Fonte="",ORÇAMENTO.CodBarra,CONCATENATE(ORÇAMENTO.Fonte," ",ORÇAMENTO.CodBarra)))</f>
        <v>SINAPI 97097</v>
      </c>
      <c r="AF345" s="12" t="str">
        <f ca="1">IF(ISERROR(INDIRECT(ORÇAMENTO.BancoRef)),"(abra o arquivo 'Referência "&amp;Excel_BuiltIn_Database&amp;".xlsm)",IF(OR($C345&lt;&gt;"S",ORÇAMENTO.CodBarra=""),"(Sem Código)",IF(ISERROR(MATCH($AE345,INDIRECT(ORÇAMENTO.BancoRef),0)),"(Código não identificado nas referências)",MATCH($AE345,INDIRECT(ORÇAMENTO.BancoRef),0))))</f>
        <v>(abra o arquivo 'Referência 12-2024.xlsm)</v>
      </c>
      <c r="AG345" s="429">
        <f ca="1">ROUND(IF(DESONERACAO="sim",REFERENCIA.Desonerado,REFERENCIA.NaoDesonerado),2)</f>
        <v>0</v>
      </c>
      <c r="AH345" s="430">
        <f t="shared" ca="1" si="98"/>
        <v>0.31190000000000001</v>
      </c>
      <c r="AJ345" s="432">
        <v>27.4</v>
      </c>
      <c r="AL345" s="440"/>
      <c r="AM345" s="337">
        <f t="shared" ca="1" si="83"/>
        <v>0</v>
      </c>
      <c r="AN345" s="471">
        <f t="shared" ca="1" si="99"/>
        <v>0</v>
      </c>
    </row>
    <row r="346" spans="1:40" x14ac:dyDescent="0.2">
      <c r="A346">
        <f t="shared" si="84"/>
        <v>2</v>
      </c>
      <c r="B346">
        <f t="shared" ca="1" si="85"/>
        <v>2</v>
      </c>
      <c r="C346">
        <f t="shared" ca="1" si="86"/>
        <v>2</v>
      </c>
      <c r="D346">
        <f t="shared" ca="1" si="87"/>
        <v>24</v>
      </c>
      <c r="E346">
        <f ca="1">IF($C346=1,OFFSET(E346,-1,0)+MAX(1,COUNTIF(QCI!$A$13:$A$24,OFFSET(ORÇAMENTO!E346,-1,0))),OFFSET(E346,-1,0))</f>
        <v>1</v>
      </c>
      <c r="F346">
        <f t="shared" ca="1" si="88"/>
        <v>19</v>
      </c>
      <c r="G346">
        <f t="shared" ca="1" si="89"/>
        <v>0</v>
      </c>
      <c r="H346">
        <f t="shared" ca="1" si="90"/>
        <v>0</v>
      </c>
      <c r="I346">
        <f t="shared" ca="1" si="91"/>
        <v>0</v>
      </c>
      <c r="J346">
        <f t="shared" ca="1" si="92"/>
        <v>59</v>
      </c>
      <c r="K346">
        <f ca="1">IF(OR($C346="S",$C346=0),0,MATCH(OFFSET($D346,0,$C346)+IF($C346&lt;&gt;1,1,COUNTIF(QCI!$A$13:$A$24,ORÇAMENTO!E346)),OFFSET($D346,1,$C346,ROW($C$405)-ROW($C346)),0))</f>
        <v>24</v>
      </c>
      <c r="L346" s="115" t="str">
        <f t="shared" ca="1" si="93"/>
        <v>F</v>
      </c>
      <c r="M346" s="116" t="s">
        <v>703</v>
      </c>
      <c r="N346" s="117" t="str">
        <f t="shared" ca="1" si="94"/>
        <v>Nível 2</v>
      </c>
      <c r="O346" s="118" t="str">
        <f t="shared" ca="1" si="95"/>
        <v>1.19.</v>
      </c>
      <c r="P346" s="119" t="s">
        <v>751</v>
      </c>
      <c r="Q346" s="120"/>
      <c r="R346" s="121" t="s">
        <v>1306</v>
      </c>
      <c r="S346" s="122" t="s">
        <v>689</v>
      </c>
      <c r="T346" s="123">
        <f ca="1">OFFSET(CÁLCULO!H$15,ROW($T346)-ROW(T$15),0)</f>
        <v>0</v>
      </c>
      <c r="U346" s="124"/>
      <c r="V346" s="125" t="s">
        <v>663</v>
      </c>
      <c r="W346" s="123">
        <f ca="1">IF($C346="S",ROUND(IF(TIPOORCAMENTO="Proposto",ORÇAMENTO.CustoUnitario*(1+$AH346),ORÇAMENTO.PrecoUnitarioLicitado),15-13*$AF$10),0)</f>
        <v>0</v>
      </c>
      <c r="X346" s="126" cm="1">
        <f t="array" aca="1" ref="X346" ca="1">IF($C346="S",IF(OR(Import.TipoArredondamento&lt;&gt;"TransfereGOV",ACOMPANHAMENTO="BM"),VTOTAL1,SUM(OFFSET(CÁLCULO!$AA$15,ROW($X346)-ROW($X$15),1):OFFSET(CÁLCULO!$AL$15,ROW($X346)-ROW($X$15),-1))),IF($C346=0,0,ROUND(SomaAgrup,15-13*$AF$11)))</f>
        <v>0</v>
      </c>
      <c r="Y346" s="127" t="s">
        <v>752</v>
      </c>
      <c r="Z346" t="str">
        <f t="shared" ca="1" si="96"/>
        <v/>
      </c>
      <c r="AA346" s="128">
        <f ca="1">IF($C346="S",IF($Z346="CP",$X346,IF($Z346="RA",(($X346)*QCI!$AA$3),0)),SomaAgrup)</f>
        <v>0</v>
      </c>
      <c r="AB346" s="129">
        <f t="shared" ca="1" si="97"/>
        <v>0</v>
      </c>
      <c r="AC346" s="567" t="str">
        <f ca="1">IF($N346=""," ",
IF(AND($C346&lt;&gt;"S",OR($R346="",$R346="(digite a descrição aqui)")),"DESCRIÇÃO",
IF(AND($C346="S",OR($Q346&lt;&gt;0,$T346&gt;0,$U346&gt;0),$P346=0),"FONTE",
IF(AND($C346="S",$P346&lt;&gt;0,OR($T346&gt;0,$U346&gt;0),$Q346=0),"CÓDIGO",
IF(AND($C346="S",$P346&lt;&gt;0,$Q346&lt;&gt;0,$R346="(Código não identificado nas referências)"),"CÓDIGO N/ID",
IF(AND($C346="S",OR($R346="",$R346="(digite a descrição aqui)"),OR($Q346&lt;&gt;0,$T346&gt;0,$U346&gt;0)),"DESCRIÇÃO",
IF(AND($C346="S",$P346&lt;&gt;0,$Q346&lt;&gt;0,$S346=""),"UNIDADE",
IF(AND($C346="S",$P346&lt;&gt;0,$Q346&lt;&gt;0,$U346=0),"SEM CUSTO",
IF(AND(TIPOORCAMENTO="Licitado",$AL346=0,$AN346&gt;0),"SEM PREÇO",
IF(AND($C346="S",$P346&lt;&gt;0,$Q346&lt;&gt;0,$U346&gt;0,$V346=0),"BDI",
IF(OR(AND(TIPOORCAMENTO="Proposto",$AG346&lt;&gt;"",$AG346&gt;0,ORÇAMENTO.CustoUnitario&gt;$AG346),AND(TIPOORCAMENTO="LICITADO",ORÇAMENTO.PrecoUnitarioLicitado&gt;$AN346)),"ACIMA REF.",
IF(AND($C346="S",$P346&lt;&gt;0,$Q346&lt;&gt;0,$T346=0,$U346&gt;0),"QUANT.",
IF(AND(Import.TipoArredondamento="TransfereGOV",$L346="F",$C346="S",LEN($Q346)&gt;13),"Código &gt;13",
IF(AND(Import.TipoArredondamento="TransfereGOV",$L346="F",$C346&lt;&gt;"S",LEN($R346)&gt;100),"Descrição &gt;100",
IF(AND(Import.TipoArredondamento="TransfereGOV",$L346="F",$C346="S",LEN($R346)&gt;500),"Descrição &gt;500",
IF(AND(Import.TipoArredondamento="TransfereGOV",$L346="F",$C346="S",LEFT(TRIM(UPPER($P346)),6)&lt;&gt;"SINAPI",ISNA(VLOOKUP(TRIM(UPPER($S346)),ListaTgov.Unidades,1,FALSE))),"Unid. Não Disp",
" "))))))))))))))))</f>
        <v xml:space="preserve"> </v>
      </c>
      <c r="AD346">
        <f ca="1">IF(C346&lt;=CRONO.NivelExibicao,MAX($AD$15:OFFSET(AD346,-1,0))+IF($C346&lt;&gt;1,1,MAX(1,COUNTIF(QCI!$A$13:$A$24,OFFSET($E346,-1,0)))),"")</f>
        <v>20</v>
      </c>
      <c r="AE346" s="7" t="b">
        <f ca="1">IF(AND($C346="S",ORÇAMENTO.CodBarra&lt;&gt;""),IF(ORÇAMENTO.Fonte="",ORÇAMENTO.CodBarra,CONCATENATE(ORÇAMENTO.Fonte," ",ORÇAMENTO.CodBarra)))</f>
        <v>0</v>
      </c>
      <c r="AF346" s="12" t="str">
        <f ca="1">IF(ISERROR(INDIRECT(ORÇAMENTO.BancoRef)),"(abra o arquivo 'Referência "&amp;Excel_BuiltIn_Database&amp;".xlsm)",IF(OR($C346&lt;&gt;"S",ORÇAMENTO.CodBarra=""),"(Sem Código)",IF(ISERROR(MATCH($AE346,INDIRECT(ORÇAMENTO.BancoRef),0)),"(Código não identificado nas referências)",MATCH($AE346,INDIRECT(ORÇAMENTO.BancoRef),0))))</f>
        <v>(abra o arquivo 'Referência 12-2024.xlsm)</v>
      </c>
      <c r="AG346" s="429">
        <f ca="1">ROUND(IF(DESONERACAO="sim",REFERENCIA.Desonerado,REFERENCIA.NaoDesonerado),2)</f>
        <v>0</v>
      </c>
      <c r="AH346" s="430">
        <f t="shared" ca="1" si="98"/>
        <v>0.31190000000000001</v>
      </c>
      <c r="AJ346" s="432"/>
      <c r="AL346" s="440"/>
      <c r="AM346" s="337">
        <f t="shared" ca="1" si="83"/>
        <v>0</v>
      </c>
      <c r="AN346" s="471">
        <f t="shared" ca="1" si="99"/>
        <v>0</v>
      </c>
    </row>
    <row r="347" spans="1:40" ht="63.75" x14ac:dyDescent="0.2">
      <c r="A347" t="str">
        <f t="shared" si="84"/>
        <v>S</v>
      </c>
      <c r="B347">
        <f t="shared" ca="1" si="85"/>
        <v>2</v>
      </c>
      <c r="C347" t="str">
        <f t="shared" ca="1" si="86"/>
        <v>S</v>
      </c>
      <c r="D347">
        <f t="shared" ca="1" si="87"/>
        <v>0</v>
      </c>
      <c r="E347">
        <f ca="1">IF($C347=1,OFFSET(E347,-1,0)+MAX(1,COUNTIF(QCI!$A$13:$A$24,OFFSET(ORÇAMENTO!E347,-1,0))),OFFSET(E347,-1,0))</f>
        <v>1</v>
      </c>
      <c r="F347">
        <f t="shared" ca="1" si="88"/>
        <v>19</v>
      </c>
      <c r="G347">
        <f t="shared" ca="1" si="89"/>
        <v>0</v>
      </c>
      <c r="H347">
        <f t="shared" ca="1" si="90"/>
        <v>0</v>
      </c>
      <c r="I347">
        <f t="shared" ca="1" si="91"/>
        <v>0</v>
      </c>
      <c r="J347">
        <f t="shared" ca="1" si="92"/>
        <v>0</v>
      </c>
      <c r="K347">
        <f ca="1">IF(OR($C347="S",$C347=0),0,MATCH(OFFSET($D347,0,$C347)+IF($C347&lt;&gt;1,1,COUNTIF(QCI!$A$13:$A$24,ORÇAMENTO!E347)),OFFSET($D347,1,$C347,ROW($C$405)-ROW($C347)),0))</f>
        <v>0</v>
      </c>
      <c r="L347" s="115" t="str">
        <f t="shared" ca="1" si="93"/>
        <v/>
      </c>
      <c r="M347" s="116" t="s">
        <v>706</v>
      </c>
      <c r="N347" s="117" t="str">
        <f t="shared" ca="1" si="94"/>
        <v>Serviço</v>
      </c>
      <c r="O347" s="118" t="str">
        <f t="shared" ca="1" si="95"/>
        <v>-</v>
      </c>
      <c r="P347" s="119" t="s">
        <v>751</v>
      </c>
      <c r="Q347" s="120" t="s">
        <v>1227</v>
      </c>
      <c r="R347" s="121" t="s">
        <v>1597</v>
      </c>
      <c r="S347" s="122" t="s">
        <v>625</v>
      </c>
      <c r="T347" s="123">
        <f ca="1">OFFSET(CÁLCULO!H$15,ROW($T347)-ROW(T$15),0)</f>
        <v>115</v>
      </c>
      <c r="U347" s="124"/>
      <c r="V347" s="125" t="s">
        <v>663</v>
      </c>
      <c r="W347" s="123">
        <f ca="1">IF($C347="S",ROUND(IF(TIPOORCAMENTO="Proposto",ORÇAMENTO.CustoUnitario*(1+$AH347),ORÇAMENTO.PrecoUnitarioLicitado),15-13*$AF$10),0)</f>
        <v>0</v>
      </c>
      <c r="X347" s="126" cm="1">
        <f t="array" aca="1" ref="X347" ca="1">IF($C347="S",IF(OR(Import.TipoArredondamento&lt;&gt;"TransfereGOV",ACOMPANHAMENTO="BM"),VTOTAL1,SUM(OFFSET(CÁLCULO!$AA$15,ROW($X347)-ROW($X$15),1):OFFSET(CÁLCULO!$AL$15,ROW($X347)-ROW($X$15),-1))),IF($C347=0,0,ROUND(SomaAgrup,15-13*$AF$11)))</f>
        <v>0</v>
      </c>
      <c r="Y347" s="127" t="s">
        <v>752</v>
      </c>
      <c r="Z347" t="str">
        <f t="shared" ca="1" si="96"/>
        <v/>
      </c>
      <c r="AA347" s="128">
        <f ca="1">IF($C347="S",IF($Z347="CP",$X347,IF($Z347="RA",(($X347)*QCI!$AA$3),0)),SomaAgrup)</f>
        <v>0</v>
      </c>
      <c r="AB347" s="129">
        <f t="shared" ca="1" si="97"/>
        <v>0</v>
      </c>
      <c r="AC347" s="567" t="str">
        <f ca="1">IF($N347=""," ",
IF(AND($C347&lt;&gt;"S",OR($R347="",$R347="(digite a descrição aqui)")),"DESCRIÇÃO",
IF(AND($C347="S",OR($Q347&lt;&gt;0,$T347&gt;0,$U347&gt;0),$P347=0),"FONTE",
IF(AND($C347="S",$P347&lt;&gt;0,OR($T347&gt;0,$U347&gt;0),$Q347=0),"CÓDIGO",
IF(AND($C347="S",$P347&lt;&gt;0,$Q347&lt;&gt;0,$R347="(Código não identificado nas referências)"),"CÓDIGO N/ID",
IF(AND($C347="S",OR($R347="",$R347="(digite a descrição aqui)"),OR($Q347&lt;&gt;0,$T347&gt;0,$U347&gt;0)),"DESCRIÇÃO",
IF(AND($C347="S",$P347&lt;&gt;0,$Q347&lt;&gt;0,$S347=""),"UNIDADE",
IF(AND($C347="S",$P347&lt;&gt;0,$Q347&lt;&gt;0,$U347=0),"SEM CUSTO",
IF(AND(TIPOORCAMENTO="Licitado",$AL347=0,$AN347&gt;0),"SEM PREÇO",
IF(AND($C347="S",$P347&lt;&gt;0,$Q347&lt;&gt;0,$U347&gt;0,$V347=0),"BDI",
IF(OR(AND(TIPOORCAMENTO="Proposto",$AG347&lt;&gt;"",$AG347&gt;0,ORÇAMENTO.CustoUnitario&gt;$AG347),AND(TIPOORCAMENTO="LICITADO",ORÇAMENTO.PrecoUnitarioLicitado&gt;$AN347)),"ACIMA REF.",
IF(AND($C347="S",$P347&lt;&gt;0,$Q347&lt;&gt;0,$T347=0,$U347&gt;0),"QUANT.",
IF(AND(Import.TipoArredondamento="TransfereGOV",$L347="F",$C347="S",LEN($Q347)&gt;13),"Código &gt;13",
IF(AND(Import.TipoArredondamento="TransfereGOV",$L347="F",$C347&lt;&gt;"S",LEN($R347)&gt;100),"Descrição &gt;100",
IF(AND(Import.TipoArredondamento="TransfereGOV",$L347="F",$C347="S",LEN($R347)&gt;500),"Descrição &gt;500",
IF(AND(Import.TipoArredondamento="TransfereGOV",$L347="F",$C347="S",LEFT(TRIM(UPPER($P347)),6)&lt;&gt;"SINAPI",ISNA(VLOOKUP(TRIM(UPPER($S347)),ListaTgov.Unidades,1,FALSE))),"Unid. Não Disp",
" "))))))))))))))))</f>
        <v>SEM CUSTO</v>
      </c>
      <c r="AD347" t="str">
        <f ca="1">IF(C347&lt;=CRONO.NivelExibicao,MAX($AD$15:OFFSET(AD347,-1,0))+IF($C347&lt;&gt;1,1,MAX(1,COUNTIF(QCI!$A$13:$A$24,OFFSET($E347,-1,0)))),"")</f>
        <v/>
      </c>
      <c r="AE347" s="7" t="str">
        <f ca="1">IF(AND($C347="S",ORÇAMENTO.CodBarra&lt;&gt;""),IF(ORÇAMENTO.Fonte="",ORÇAMENTO.CodBarra,CONCATENATE(ORÇAMENTO.Fonte," ",ORÇAMENTO.CodBarra)))</f>
        <v>SINAPI 90099</v>
      </c>
      <c r="AF347" s="12" t="str">
        <f ca="1">IF(ISERROR(INDIRECT(ORÇAMENTO.BancoRef)),"(abra o arquivo 'Referência "&amp;Excel_BuiltIn_Database&amp;".xlsm)",IF(OR($C347&lt;&gt;"S",ORÇAMENTO.CodBarra=""),"(Sem Código)",IF(ISERROR(MATCH($AE347,INDIRECT(ORÇAMENTO.BancoRef),0)),"(Código não identificado nas referências)",MATCH($AE347,INDIRECT(ORÇAMENTO.BancoRef),0))))</f>
        <v>(abra o arquivo 'Referência 12-2024.xlsm)</v>
      </c>
      <c r="AG347" s="429">
        <f ca="1">ROUND(IF(DESONERACAO="sim",REFERENCIA.Desonerado,REFERENCIA.NaoDesonerado),2)</f>
        <v>0</v>
      </c>
      <c r="AH347" s="430">
        <f t="shared" ca="1" si="98"/>
        <v>0.31190000000000001</v>
      </c>
      <c r="AJ347" s="432">
        <v>115</v>
      </c>
      <c r="AL347" s="440"/>
      <c r="AM347" s="337">
        <f t="shared" ca="1" si="83"/>
        <v>0</v>
      </c>
      <c r="AN347" s="471">
        <f t="shared" ca="1" si="99"/>
        <v>0</v>
      </c>
    </row>
    <row r="348" spans="1:40" ht="25.5" x14ac:dyDescent="0.2">
      <c r="A348" t="str">
        <f t="shared" si="84"/>
        <v>S</v>
      </c>
      <c r="B348">
        <f t="shared" ca="1" si="85"/>
        <v>2</v>
      </c>
      <c r="C348" t="str">
        <f t="shared" ca="1" si="86"/>
        <v>S</v>
      </c>
      <c r="D348">
        <f t="shared" ca="1" si="87"/>
        <v>0</v>
      </c>
      <c r="E348">
        <f ca="1">IF($C348=1,OFFSET(E348,-1,0)+MAX(1,COUNTIF(QCI!$A$13:$A$24,OFFSET(ORÇAMENTO!E348,-1,0))),OFFSET(E348,-1,0))</f>
        <v>1</v>
      </c>
      <c r="F348">
        <f t="shared" ca="1" si="88"/>
        <v>19</v>
      </c>
      <c r="G348">
        <f t="shared" ca="1" si="89"/>
        <v>0</v>
      </c>
      <c r="H348">
        <f t="shared" ca="1" si="90"/>
        <v>0</v>
      </c>
      <c r="I348">
        <f t="shared" ca="1" si="91"/>
        <v>0</v>
      </c>
      <c r="J348">
        <f t="shared" ca="1" si="92"/>
        <v>0</v>
      </c>
      <c r="K348">
        <f ca="1">IF(OR($C348="S",$C348=0),0,MATCH(OFFSET($D348,0,$C348)+IF($C348&lt;&gt;1,1,COUNTIF(QCI!$A$13:$A$24,ORÇAMENTO!E348)),OFFSET($D348,1,$C348,ROW($C$405)-ROW($C348)),0))</f>
        <v>0</v>
      </c>
      <c r="L348" s="115" t="str">
        <f t="shared" ca="1" si="93"/>
        <v/>
      </c>
      <c r="M348" s="116" t="s">
        <v>706</v>
      </c>
      <c r="N348" s="117" t="str">
        <f t="shared" ca="1" si="94"/>
        <v>Serviço</v>
      </c>
      <c r="O348" s="118" t="str">
        <f t="shared" ca="1" si="95"/>
        <v>-</v>
      </c>
      <c r="P348" s="119" t="s">
        <v>751</v>
      </c>
      <c r="Q348" s="120" t="s">
        <v>1228</v>
      </c>
      <c r="R348" s="121" t="s">
        <v>1598</v>
      </c>
      <c r="S348" s="122" t="s">
        <v>623</v>
      </c>
      <c r="T348" s="123">
        <f ca="1">OFFSET(CÁLCULO!H$15,ROW($T348)-ROW(T$15),0)</f>
        <v>55</v>
      </c>
      <c r="U348" s="124"/>
      <c r="V348" s="125" t="s">
        <v>663</v>
      </c>
      <c r="W348" s="123">
        <f ca="1">IF($C348="S",ROUND(IF(TIPOORCAMENTO="Proposto",ORÇAMENTO.CustoUnitario*(1+$AH348),ORÇAMENTO.PrecoUnitarioLicitado),15-13*$AF$10),0)</f>
        <v>0</v>
      </c>
      <c r="X348" s="126" cm="1">
        <f t="array" aca="1" ref="X348" ca="1">IF($C348="S",IF(OR(Import.TipoArredondamento&lt;&gt;"TransfereGOV",ACOMPANHAMENTO="BM"),VTOTAL1,SUM(OFFSET(CÁLCULO!$AA$15,ROW($X348)-ROW($X$15),1):OFFSET(CÁLCULO!$AL$15,ROW($X348)-ROW($X$15),-1))),IF($C348=0,0,ROUND(SomaAgrup,15-13*$AF$11)))</f>
        <v>0</v>
      </c>
      <c r="Y348" s="127" t="s">
        <v>752</v>
      </c>
      <c r="Z348" t="str">
        <f t="shared" ca="1" si="96"/>
        <v/>
      </c>
      <c r="AA348" s="128">
        <f ca="1">IF($C348="S",IF($Z348="CP",$X348,IF($Z348="RA",(($X348)*QCI!$AA$3),0)),SomaAgrup)</f>
        <v>0</v>
      </c>
      <c r="AB348" s="129">
        <f t="shared" ca="1" si="97"/>
        <v>0</v>
      </c>
      <c r="AC348" s="567" t="str">
        <f ca="1">IF($N348=""," ",
IF(AND($C348&lt;&gt;"S",OR($R348="",$R348="(digite a descrição aqui)")),"DESCRIÇÃO",
IF(AND($C348="S",OR($Q348&lt;&gt;0,$T348&gt;0,$U348&gt;0),$P348=0),"FONTE",
IF(AND($C348="S",$P348&lt;&gt;0,OR($T348&gt;0,$U348&gt;0),$Q348=0),"CÓDIGO",
IF(AND($C348="S",$P348&lt;&gt;0,$Q348&lt;&gt;0,$R348="(Código não identificado nas referências)"),"CÓDIGO N/ID",
IF(AND($C348="S",OR($R348="",$R348="(digite a descrição aqui)"),OR($Q348&lt;&gt;0,$T348&gt;0,$U348&gt;0)),"DESCRIÇÃO",
IF(AND($C348="S",$P348&lt;&gt;0,$Q348&lt;&gt;0,$S348=""),"UNIDADE",
IF(AND($C348="S",$P348&lt;&gt;0,$Q348&lt;&gt;0,$U348=0),"SEM CUSTO",
IF(AND(TIPOORCAMENTO="Licitado",$AL348=0,$AN348&gt;0),"SEM PREÇO",
IF(AND($C348="S",$P348&lt;&gt;0,$Q348&lt;&gt;0,$U348&gt;0,$V348=0),"BDI",
IF(OR(AND(TIPOORCAMENTO="Proposto",$AG348&lt;&gt;"",$AG348&gt;0,ORÇAMENTO.CustoUnitario&gt;$AG348),AND(TIPOORCAMENTO="LICITADO",ORÇAMENTO.PrecoUnitarioLicitado&gt;$AN348)),"ACIMA REF.",
IF(AND($C348="S",$P348&lt;&gt;0,$Q348&lt;&gt;0,$T348=0,$U348&gt;0),"QUANT.",
IF(AND(Import.TipoArredondamento="TransfereGOV",$L348="F",$C348="S",LEN($Q348)&gt;13),"Código &gt;13",
IF(AND(Import.TipoArredondamento="TransfereGOV",$L348="F",$C348&lt;&gt;"S",LEN($R348)&gt;100),"Descrição &gt;100",
IF(AND(Import.TipoArredondamento="TransfereGOV",$L348="F",$C348="S",LEN($R348)&gt;500),"Descrição &gt;500",
IF(AND(Import.TipoArredondamento="TransfereGOV",$L348="F",$C348="S",LEFT(TRIM(UPPER($P348)),6)&lt;&gt;"SINAPI",ISNA(VLOOKUP(TRIM(UPPER($S348)),ListaTgov.Unidades,1,FALSE))),"Unid. Não Disp",
" "))))))))))))))))</f>
        <v>SEM CUSTO</v>
      </c>
      <c r="AD348" t="str">
        <f ca="1">IF(C348&lt;=CRONO.NivelExibicao,MAX($AD$15:OFFSET(AD348,-1,0))+IF($C348&lt;&gt;1,1,MAX(1,COUNTIF(QCI!$A$13:$A$24,OFFSET($E348,-1,0)))),"")</f>
        <v/>
      </c>
      <c r="AE348" s="7" t="str">
        <f ca="1">IF(AND($C348="S",ORÇAMENTO.CodBarra&lt;&gt;""),IF(ORÇAMENTO.Fonte="",ORÇAMENTO.CodBarra,CONCATENATE(ORÇAMENTO.Fonte," ",ORÇAMENTO.CodBarra)))</f>
        <v>SINAPI 101616</v>
      </c>
      <c r="AF348" s="12" t="str">
        <f ca="1">IF(ISERROR(INDIRECT(ORÇAMENTO.BancoRef)),"(abra o arquivo 'Referência "&amp;Excel_BuiltIn_Database&amp;".xlsm)",IF(OR($C348&lt;&gt;"S",ORÇAMENTO.CodBarra=""),"(Sem Código)",IF(ISERROR(MATCH($AE348,INDIRECT(ORÇAMENTO.BancoRef),0)),"(Código não identificado nas referências)",MATCH($AE348,INDIRECT(ORÇAMENTO.BancoRef),0))))</f>
        <v>(abra o arquivo 'Referência 12-2024.xlsm)</v>
      </c>
      <c r="AG348" s="429">
        <f ca="1">ROUND(IF(DESONERACAO="sim",REFERENCIA.Desonerado,REFERENCIA.NaoDesonerado),2)</f>
        <v>0</v>
      </c>
      <c r="AH348" s="430">
        <f t="shared" ca="1" si="98"/>
        <v>0.31190000000000001</v>
      </c>
      <c r="AJ348" s="432">
        <v>55</v>
      </c>
      <c r="AL348" s="440"/>
      <c r="AM348" s="337">
        <f t="shared" ca="1" si="83"/>
        <v>0</v>
      </c>
      <c r="AN348" s="471">
        <f t="shared" ca="1" si="99"/>
        <v>0</v>
      </c>
    </row>
    <row r="349" spans="1:40" ht="38.25" x14ac:dyDescent="0.2">
      <c r="A349" t="str">
        <f t="shared" si="84"/>
        <v>S</v>
      </c>
      <c r="B349">
        <f t="shared" ca="1" si="85"/>
        <v>2</v>
      </c>
      <c r="C349" t="str">
        <f t="shared" ca="1" si="86"/>
        <v>S</v>
      </c>
      <c r="D349">
        <f t="shared" ca="1" si="87"/>
        <v>0</v>
      </c>
      <c r="E349">
        <f ca="1">IF($C349=1,OFFSET(E349,-1,0)+MAX(1,COUNTIF(QCI!$A$13:$A$24,OFFSET(ORÇAMENTO!E349,-1,0))),OFFSET(E349,-1,0))</f>
        <v>1</v>
      </c>
      <c r="F349">
        <f t="shared" ca="1" si="88"/>
        <v>19</v>
      </c>
      <c r="G349">
        <f t="shared" ca="1" si="89"/>
        <v>0</v>
      </c>
      <c r="H349">
        <f t="shared" ca="1" si="90"/>
        <v>0</v>
      </c>
      <c r="I349">
        <f t="shared" ca="1" si="91"/>
        <v>0</v>
      </c>
      <c r="J349">
        <f t="shared" ca="1" si="92"/>
        <v>0</v>
      </c>
      <c r="K349">
        <f ca="1">IF(OR($C349="S",$C349=0),0,MATCH(OFFSET($D349,0,$C349)+IF($C349&lt;&gt;1,1,COUNTIF(QCI!$A$13:$A$24,ORÇAMENTO!E349)),OFFSET($D349,1,$C349,ROW($C$405)-ROW($C349)),0))</f>
        <v>0</v>
      </c>
      <c r="L349" s="115" t="str">
        <f t="shared" ca="1" si="93"/>
        <v/>
      </c>
      <c r="M349" s="116" t="s">
        <v>706</v>
      </c>
      <c r="N349" s="117" t="str">
        <f t="shared" ca="1" si="94"/>
        <v>Serviço</v>
      </c>
      <c r="O349" s="118" t="str">
        <f t="shared" ca="1" si="95"/>
        <v>-</v>
      </c>
      <c r="P349" s="119" t="s">
        <v>751</v>
      </c>
      <c r="Q349" s="120" t="s">
        <v>1229</v>
      </c>
      <c r="R349" s="121" t="s">
        <v>1599</v>
      </c>
      <c r="S349" s="122" t="s">
        <v>625</v>
      </c>
      <c r="T349" s="123">
        <f ca="1">OFFSET(CÁLCULO!H$15,ROW($T349)-ROW(T$15),0)</f>
        <v>24.23</v>
      </c>
      <c r="U349" s="124"/>
      <c r="V349" s="125" t="s">
        <v>663</v>
      </c>
      <c r="W349" s="123">
        <f ca="1">IF($C349="S",ROUND(IF(TIPOORCAMENTO="Proposto",ORÇAMENTO.CustoUnitario*(1+$AH349),ORÇAMENTO.PrecoUnitarioLicitado),15-13*$AF$10),0)</f>
        <v>0</v>
      </c>
      <c r="X349" s="126" cm="1">
        <f t="array" aca="1" ref="X349" ca="1">IF($C349="S",IF(OR(Import.TipoArredondamento&lt;&gt;"TransfereGOV",ACOMPANHAMENTO="BM"),VTOTAL1,SUM(OFFSET(CÁLCULO!$AA$15,ROW($X349)-ROW($X$15),1):OFFSET(CÁLCULO!$AL$15,ROW($X349)-ROW($X$15),-1))),IF($C349=0,0,ROUND(SomaAgrup,15-13*$AF$11)))</f>
        <v>0</v>
      </c>
      <c r="Y349" s="127" t="s">
        <v>752</v>
      </c>
      <c r="Z349" t="str">
        <f t="shared" ca="1" si="96"/>
        <v/>
      </c>
      <c r="AA349" s="128">
        <f ca="1">IF($C349="S",IF($Z349="CP",$X349,IF($Z349="RA",(($X349)*QCI!$AA$3),0)),SomaAgrup)</f>
        <v>0</v>
      </c>
      <c r="AB349" s="129">
        <f t="shared" ca="1" si="97"/>
        <v>0</v>
      </c>
      <c r="AC349" s="567" t="str">
        <f ca="1">IF($N349=""," ",
IF(AND($C349&lt;&gt;"S",OR($R349="",$R349="(digite a descrição aqui)")),"DESCRIÇÃO",
IF(AND($C349="S",OR($Q349&lt;&gt;0,$T349&gt;0,$U349&gt;0),$P349=0),"FONTE",
IF(AND($C349="S",$P349&lt;&gt;0,OR($T349&gt;0,$U349&gt;0),$Q349=0),"CÓDIGO",
IF(AND($C349="S",$P349&lt;&gt;0,$Q349&lt;&gt;0,$R349="(Código não identificado nas referências)"),"CÓDIGO N/ID",
IF(AND($C349="S",OR($R349="",$R349="(digite a descrição aqui)"),OR($Q349&lt;&gt;0,$T349&gt;0,$U349&gt;0)),"DESCRIÇÃO",
IF(AND($C349="S",$P349&lt;&gt;0,$Q349&lt;&gt;0,$S349=""),"UNIDADE",
IF(AND($C349="S",$P349&lt;&gt;0,$Q349&lt;&gt;0,$U349=0),"SEM CUSTO",
IF(AND(TIPOORCAMENTO="Licitado",$AL349=0,$AN349&gt;0),"SEM PREÇO",
IF(AND($C349="S",$P349&lt;&gt;0,$Q349&lt;&gt;0,$U349&gt;0,$V349=0),"BDI",
IF(OR(AND(TIPOORCAMENTO="Proposto",$AG349&lt;&gt;"",$AG349&gt;0,ORÇAMENTO.CustoUnitario&gt;$AG349),AND(TIPOORCAMENTO="LICITADO",ORÇAMENTO.PrecoUnitarioLicitado&gt;$AN349)),"ACIMA REF.",
IF(AND($C349="S",$P349&lt;&gt;0,$Q349&lt;&gt;0,$T349=0,$U349&gt;0),"QUANT.",
IF(AND(Import.TipoArredondamento="TransfereGOV",$L349="F",$C349="S",LEN($Q349)&gt;13),"Código &gt;13",
IF(AND(Import.TipoArredondamento="TransfereGOV",$L349="F",$C349&lt;&gt;"S",LEN($R349)&gt;100),"Descrição &gt;100",
IF(AND(Import.TipoArredondamento="TransfereGOV",$L349="F",$C349="S",LEN($R349)&gt;500),"Descrição &gt;500",
IF(AND(Import.TipoArredondamento="TransfereGOV",$L349="F",$C349="S",LEFT(TRIM(UPPER($P349)),6)&lt;&gt;"SINAPI",ISNA(VLOOKUP(TRIM(UPPER($S349)),ListaTgov.Unidades,1,FALSE))),"Unid. Não Disp",
" "))))))))))))))))</f>
        <v>SEM CUSTO</v>
      </c>
      <c r="AD349" t="str">
        <f ca="1">IF(C349&lt;=CRONO.NivelExibicao,MAX($AD$15:OFFSET(AD349,-1,0))+IF($C349&lt;&gt;1,1,MAX(1,COUNTIF(QCI!$A$13:$A$24,OFFSET($E349,-1,0)))),"")</f>
        <v/>
      </c>
      <c r="AE349" s="7" t="str">
        <f ca="1">IF(AND($C349="S",ORÇAMENTO.CodBarra&lt;&gt;""),IF(ORÇAMENTO.Fonte="",ORÇAMENTO.CodBarra,CONCATENATE(ORÇAMENTO.Fonte," ",ORÇAMENTO.CodBarra)))</f>
        <v>SINAPI 96521</v>
      </c>
      <c r="AF349" s="12" t="str">
        <f ca="1">IF(ISERROR(INDIRECT(ORÇAMENTO.BancoRef)),"(abra o arquivo 'Referência "&amp;Excel_BuiltIn_Database&amp;".xlsm)",IF(OR($C349&lt;&gt;"S",ORÇAMENTO.CodBarra=""),"(Sem Código)",IF(ISERROR(MATCH($AE349,INDIRECT(ORÇAMENTO.BancoRef),0)),"(Código não identificado nas referências)",MATCH($AE349,INDIRECT(ORÇAMENTO.BancoRef),0))))</f>
        <v>(abra o arquivo 'Referência 12-2024.xlsm)</v>
      </c>
      <c r="AG349" s="429">
        <f ca="1">ROUND(IF(DESONERACAO="sim",REFERENCIA.Desonerado,REFERENCIA.NaoDesonerado),2)</f>
        <v>0</v>
      </c>
      <c r="AH349" s="430">
        <f t="shared" ca="1" si="98"/>
        <v>0.31190000000000001</v>
      </c>
      <c r="AJ349" s="432">
        <v>24.23</v>
      </c>
      <c r="AL349" s="440"/>
      <c r="AM349" s="337">
        <f t="shared" ca="1" si="83"/>
        <v>0</v>
      </c>
      <c r="AN349" s="471">
        <f t="shared" ca="1" si="99"/>
        <v>0</v>
      </c>
    </row>
    <row r="350" spans="1:40" ht="38.25" x14ac:dyDescent="0.2">
      <c r="A350" t="str">
        <f t="shared" si="84"/>
        <v>S</v>
      </c>
      <c r="B350">
        <f t="shared" ca="1" si="85"/>
        <v>2</v>
      </c>
      <c r="C350" t="str">
        <f t="shared" ca="1" si="86"/>
        <v>S</v>
      </c>
      <c r="D350">
        <f t="shared" ca="1" si="87"/>
        <v>0</v>
      </c>
      <c r="E350">
        <f ca="1">IF($C350=1,OFFSET(E350,-1,0)+MAX(1,COUNTIF(QCI!$A$13:$A$24,OFFSET(ORÇAMENTO!E350,-1,0))),OFFSET(E350,-1,0))</f>
        <v>1</v>
      </c>
      <c r="F350">
        <f t="shared" ca="1" si="88"/>
        <v>19</v>
      </c>
      <c r="G350">
        <f t="shared" ca="1" si="89"/>
        <v>0</v>
      </c>
      <c r="H350">
        <f t="shared" ca="1" si="90"/>
        <v>0</v>
      </c>
      <c r="I350">
        <f t="shared" ca="1" si="91"/>
        <v>0</v>
      </c>
      <c r="J350">
        <f t="shared" ca="1" si="92"/>
        <v>0</v>
      </c>
      <c r="K350">
        <f ca="1">IF(OR($C350="S",$C350=0),0,MATCH(OFFSET($D350,0,$C350)+IF($C350&lt;&gt;1,1,COUNTIF(QCI!$A$13:$A$24,ORÇAMENTO!E350)),OFFSET($D350,1,$C350,ROW($C$405)-ROW($C350)),0))</f>
        <v>0</v>
      </c>
      <c r="L350" s="115" t="str">
        <f t="shared" ca="1" si="93"/>
        <v/>
      </c>
      <c r="M350" s="116" t="s">
        <v>706</v>
      </c>
      <c r="N350" s="117" t="str">
        <f t="shared" ca="1" si="94"/>
        <v>Serviço</v>
      </c>
      <c r="O350" s="118" t="str">
        <f t="shared" ca="1" si="95"/>
        <v>-</v>
      </c>
      <c r="P350" s="119" t="s">
        <v>751</v>
      </c>
      <c r="Q350" s="120" t="s">
        <v>1230</v>
      </c>
      <c r="R350" s="121" t="s">
        <v>1600</v>
      </c>
      <c r="S350" s="122" t="s">
        <v>623</v>
      </c>
      <c r="T350" s="123">
        <f ca="1">OFFSET(CÁLCULO!H$15,ROW($T350)-ROW(T$15),0)</f>
        <v>143.43</v>
      </c>
      <c r="U350" s="124"/>
      <c r="V350" s="125" t="s">
        <v>663</v>
      </c>
      <c r="W350" s="123">
        <f ca="1">IF($C350="S",ROUND(IF(TIPOORCAMENTO="Proposto",ORÇAMENTO.CustoUnitario*(1+$AH350),ORÇAMENTO.PrecoUnitarioLicitado),15-13*$AF$10),0)</f>
        <v>0</v>
      </c>
      <c r="X350" s="126" cm="1">
        <f t="array" aca="1" ref="X350" ca="1">IF($C350="S",IF(OR(Import.TipoArredondamento&lt;&gt;"TransfereGOV",ACOMPANHAMENTO="BM"),VTOTAL1,SUM(OFFSET(CÁLCULO!$AA$15,ROW($X350)-ROW($X$15),1):OFFSET(CÁLCULO!$AL$15,ROW($X350)-ROW($X$15),-1))),IF($C350=0,0,ROUND(SomaAgrup,15-13*$AF$11)))</f>
        <v>0</v>
      </c>
      <c r="Y350" s="127" t="s">
        <v>752</v>
      </c>
      <c r="Z350" t="str">
        <f t="shared" ca="1" si="96"/>
        <v/>
      </c>
      <c r="AA350" s="128">
        <f ca="1">IF($C350="S",IF($Z350="CP",$X350,IF($Z350="RA",(($X350)*QCI!$AA$3),0)),SomaAgrup)</f>
        <v>0</v>
      </c>
      <c r="AB350" s="129">
        <f t="shared" ca="1" si="97"/>
        <v>0</v>
      </c>
      <c r="AC350" s="567" t="str">
        <f ca="1">IF($N350=""," ",
IF(AND($C350&lt;&gt;"S",OR($R350="",$R350="(digite a descrição aqui)")),"DESCRIÇÃO",
IF(AND($C350="S",OR($Q350&lt;&gt;0,$T350&gt;0,$U350&gt;0),$P350=0),"FONTE",
IF(AND($C350="S",$P350&lt;&gt;0,OR($T350&gt;0,$U350&gt;0),$Q350=0),"CÓDIGO",
IF(AND($C350="S",$P350&lt;&gt;0,$Q350&lt;&gt;0,$R350="(Código não identificado nas referências)"),"CÓDIGO N/ID",
IF(AND($C350="S",OR($R350="",$R350="(digite a descrição aqui)"),OR($Q350&lt;&gt;0,$T350&gt;0,$U350&gt;0)),"DESCRIÇÃO",
IF(AND($C350="S",$P350&lt;&gt;0,$Q350&lt;&gt;0,$S350=""),"UNIDADE",
IF(AND($C350="S",$P350&lt;&gt;0,$Q350&lt;&gt;0,$U350=0),"SEM CUSTO",
IF(AND(TIPOORCAMENTO="Licitado",$AL350=0,$AN350&gt;0),"SEM PREÇO",
IF(AND($C350="S",$P350&lt;&gt;0,$Q350&lt;&gt;0,$U350&gt;0,$V350=0),"BDI",
IF(OR(AND(TIPOORCAMENTO="Proposto",$AG350&lt;&gt;"",$AG350&gt;0,ORÇAMENTO.CustoUnitario&gt;$AG350),AND(TIPOORCAMENTO="LICITADO",ORÇAMENTO.PrecoUnitarioLicitado&gt;$AN350)),"ACIMA REF.",
IF(AND($C350="S",$P350&lt;&gt;0,$Q350&lt;&gt;0,$T350=0,$U350&gt;0),"QUANT.",
IF(AND(Import.TipoArredondamento="TransfereGOV",$L350="F",$C350="S",LEN($Q350)&gt;13),"Código &gt;13",
IF(AND(Import.TipoArredondamento="TransfereGOV",$L350="F",$C350&lt;&gt;"S",LEN($R350)&gt;100),"Descrição &gt;100",
IF(AND(Import.TipoArredondamento="TransfereGOV",$L350="F",$C350="S",LEN($R350)&gt;500),"Descrição &gt;500",
IF(AND(Import.TipoArredondamento="TransfereGOV",$L350="F",$C350="S",LEFT(TRIM(UPPER($P350)),6)&lt;&gt;"SINAPI",ISNA(VLOOKUP(TRIM(UPPER($S350)),ListaTgov.Unidades,1,FALSE))),"Unid. Não Disp",
" "))))))))))))))))</f>
        <v>SEM CUSTO</v>
      </c>
      <c r="AD350" t="str">
        <f ca="1">IF(C350&lt;=CRONO.NivelExibicao,MAX($AD$15:OFFSET(AD350,-1,0))+IF($C350&lt;&gt;1,1,MAX(1,COUNTIF(QCI!$A$13:$A$24,OFFSET($E350,-1,0)))),"")</f>
        <v/>
      </c>
      <c r="AE350" s="7" t="str">
        <f ca="1">IF(AND($C350="S",ORÇAMENTO.CodBarra&lt;&gt;""),IF(ORÇAMENTO.Fonte="",ORÇAMENTO.CodBarra,CONCATENATE(ORÇAMENTO.Fonte," ",ORÇAMENTO.CodBarra)))</f>
        <v>SINAPI 96530</v>
      </c>
      <c r="AF350" s="12" t="str">
        <f ca="1">IF(ISERROR(INDIRECT(ORÇAMENTO.BancoRef)),"(abra o arquivo 'Referência "&amp;Excel_BuiltIn_Database&amp;".xlsm)",IF(OR($C350&lt;&gt;"S",ORÇAMENTO.CodBarra=""),"(Sem Código)",IF(ISERROR(MATCH($AE350,INDIRECT(ORÇAMENTO.BancoRef),0)),"(Código não identificado nas referências)",MATCH($AE350,INDIRECT(ORÇAMENTO.BancoRef),0))))</f>
        <v>(abra o arquivo 'Referência 12-2024.xlsm)</v>
      </c>
      <c r="AG350" s="429">
        <f ca="1">ROUND(IF(DESONERACAO="sim",REFERENCIA.Desonerado,REFERENCIA.NaoDesonerado),2)</f>
        <v>0</v>
      </c>
      <c r="AH350" s="430">
        <f t="shared" ca="1" si="98"/>
        <v>0.31190000000000001</v>
      </c>
      <c r="AJ350" s="432">
        <v>143.43</v>
      </c>
      <c r="AL350" s="440"/>
      <c r="AM350" s="337">
        <f t="shared" ca="1" si="83"/>
        <v>0</v>
      </c>
      <c r="AN350" s="471">
        <f t="shared" ca="1" si="99"/>
        <v>0</v>
      </c>
    </row>
    <row r="351" spans="1:40" ht="38.25" x14ac:dyDescent="0.2">
      <c r="A351" t="str">
        <f t="shared" si="84"/>
        <v>S</v>
      </c>
      <c r="B351">
        <f t="shared" ca="1" si="85"/>
        <v>2</v>
      </c>
      <c r="C351" t="str">
        <f t="shared" ca="1" si="86"/>
        <v>S</v>
      </c>
      <c r="D351">
        <f t="shared" ca="1" si="87"/>
        <v>0</v>
      </c>
      <c r="E351">
        <f ca="1">IF($C351=1,OFFSET(E351,-1,0)+MAX(1,COUNTIF(QCI!$A$13:$A$24,OFFSET(ORÇAMENTO!E351,-1,0))),OFFSET(E351,-1,0))</f>
        <v>1</v>
      </c>
      <c r="F351">
        <f t="shared" ca="1" si="88"/>
        <v>19</v>
      </c>
      <c r="G351">
        <f t="shared" ca="1" si="89"/>
        <v>0</v>
      </c>
      <c r="H351">
        <f t="shared" ca="1" si="90"/>
        <v>0</v>
      </c>
      <c r="I351">
        <f t="shared" ca="1" si="91"/>
        <v>0</v>
      </c>
      <c r="J351">
        <f t="shared" ca="1" si="92"/>
        <v>0</v>
      </c>
      <c r="K351">
        <f ca="1">IF(OR($C351="S",$C351=0),0,MATCH(OFFSET($D351,0,$C351)+IF($C351&lt;&gt;1,1,COUNTIF(QCI!$A$13:$A$24,ORÇAMENTO!E351)),OFFSET($D351,1,$C351,ROW($C$405)-ROW($C351)),0))</f>
        <v>0</v>
      </c>
      <c r="L351" s="115" t="str">
        <f t="shared" ca="1" si="93"/>
        <v/>
      </c>
      <c r="M351" s="116" t="s">
        <v>706</v>
      </c>
      <c r="N351" s="117" t="str">
        <f t="shared" ca="1" si="94"/>
        <v>Serviço</v>
      </c>
      <c r="O351" s="118" t="str">
        <f t="shared" ca="1" si="95"/>
        <v>-</v>
      </c>
      <c r="P351" s="119" t="s">
        <v>751</v>
      </c>
      <c r="Q351" s="120" t="s">
        <v>1231</v>
      </c>
      <c r="R351" s="121" t="s">
        <v>1601</v>
      </c>
      <c r="S351" s="122" t="s">
        <v>623</v>
      </c>
      <c r="T351" s="123">
        <f ca="1">OFFSET(CÁLCULO!H$15,ROW($T351)-ROW(T$15),0)</f>
        <v>16.149999999999999</v>
      </c>
      <c r="U351" s="124"/>
      <c r="V351" s="125" t="s">
        <v>663</v>
      </c>
      <c r="W351" s="123">
        <f ca="1">IF($C351="S",ROUND(IF(TIPOORCAMENTO="Proposto",ORÇAMENTO.CustoUnitario*(1+$AH351),ORÇAMENTO.PrecoUnitarioLicitado),15-13*$AF$10),0)</f>
        <v>0</v>
      </c>
      <c r="X351" s="126" cm="1">
        <f t="array" aca="1" ref="X351" ca="1">IF($C351="S",IF(OR(Import.TipoArredondamento&lt;&gt;"TransfereGOV",ACOMPANHAMENTO="BM"),VTOTAL1,SUM(OFFSET(CÁLCULO!$AA$15,ROW($X351)-ROW($X$15),1):OFFSET(CÁLCULO!$AL$15,ROW($X351)-ROW($X$15),-1))),IF($C351=0,0,ROUND(SomaAgrup,15-13*$AF$11)))</f>
        <v>0</v>
      </c>
      <c r="Y351" s="127" t="s">
        <v>752</v>
      </c>
      <c r="Z351" t="str">
        <f t="shared" ca="1" si="96"/>
        <v/>
      </c>
      <c r="AA351" s="128">
        <f ca="1">IF($C351="S",IF($Z351="CP",$X351,IF($Z351="RA",(($X351)*QCI!$AA$3),0)),SomaAgrup)</f>
        <v>0</v>
      </c>
      <c r="AB351" s="129">
        <f t="shared" ca="1" si="97"/>
        <v>0</v>
      </c>
      <c r="AC351" s="567" t="str">
        <f ca="1">IF($N351=""," ",
IF(AND($C351&lt;&gt;"S",OR($R351="",$R351="(digite a descrição aqui)")),"DESCRIÇÃO",
IF(AND($C351="S",OR($Q351&lt;&gt;0,$T351&gt;0,$U351&gt;0),$P351=0),"FONTE",
IF(AND($C351="S",$P351&lt;&gt;0,OR($T351&gt;0,$U351&gt;0),$Q351=0),"CÓDIGO",
IF(AND($C351="S",$P351&lt;&gt;0,$Q351&lt;&gt;0,$R351="(Código não identificado nas referências)"),"CÓDIGO N/ID",
IF(AND($C351="S",OR($R351="",$R351="(digite a descrição aqui)"),OR($Q351&lt;&gt;0,$T351&gt;0,$U351&gt;0)),"DESCRIÇÃO",
IF(AND($C351="S",$P351&lt;&gt;0,$Q351&lt;&gt;0,$S351=""),"UNIDADE",
IF(AND($C351="S",$P351&lt;&gt;0,$Q351&lt;&gt;0,$U351=0),"SEM CUSTO",
IF(AND(TIPOORCAMENTO="Licitado",$AL351=0,$AN351&gt;0),"SEM PREÇO",
IF(AND($C351="S",$P351&lt;&gt;0,$Q351&lt;&gt;0,$U351&gt;0,$V351=0),"BDI",
IF(OR(AND(TIPOORCAMENTO="Proposto",$AG351&lt;&gt;"",$AG351&gt;0,ORÇAMENTO.CustoUnitario&gt;$AG351),AND(TIPOORCAMENTO="LICITADO",ORÇAMENTO.PrecoUnitarioLicitado&gt;$AN351)),"ACIMA REF.",
IF(AND($C351="S",$P351&lt;&gt;0,$Q351&lt;&gt;0,$T351=0,$U351&gt;0),"QUANT.",
IF(AND(Import.TipoArredondamento="TransfereGOV",$L351="F",$C351="S",LEN($Q351)&gt;13),"Código &gt;13",
IF(AND(Import.TipoArredondamento="TransfereGOV",$L351="F",$C351&lt;&gt;"S",LEN($R351)&gt;100),"Descrição &gt;100",
IF(AND(Import.TipoArredondamento="TransfereGOV",$L351="F",$C351="S",LEN($R351)&gt;500),"Descrição &gt;500",
IF(AND(Import.TipoArredondamento="TransfereGOV",$L351="F",$C351="S",LEFT(TRIM(UPPER($P351)),6)&lt;&gt;"SINAPI",ISNA(VLOOKUP(TRIM(UPPER($S351)),ListaTgov.Unidades,1,FALSE))),"Unid. Não Disp",
" "))))))))))))))))</f>
        <v>SEM CUSTO</v>
      </c>
      <c r="AD351" t="str">
        <f ca="1">IF(C351&lt;=CRONO.NivelExibicao,MAX($AD$15:OFFSET(AD351,-1,0))+IF($C351&lt;&gt;1,1,MAX(1,COUNTIF(QCI!$A$13:$A$24,OFFSET($E351,-1,0)))),"")</f>
        <v/>
      </c>
      <c r="AE351" s="7" t="str">
        <f ca="1">IF(AND($C351="S",ORÇAMENTO.CodBarra&lt;&gt;""),IF(ORÇAMENTO.Fonte="",ORÇAMENTO.CodBarra,CONCATENATE(ORÇAMENTO.Fonte," ",ORÇAMENTO.CodBarra)))</f>
        <v>SINAPI 96529</v>
      </c>
      <c r="AF351" s="12" t="str">
        <f ca="1">IF(ISERROR(INDIRECT(ORÇAMENTO.BancoRef)),"(abra o arquivo 'Referência "&amp;Excel_BuiltIn_Database&amp;".xlsm)",IF(OR($C351&lt;&gt;"S",ORÇAMENTO.CodBarra=""),"(Sem Código)",IF(ISERROR(MATCH($AE351,INDIRECT(ORÇAMENTO.BancoRef),0)),"(Código não identificado nas referências)",MATCH($AE351,INDIRECT(ORÇAMENTO.BancoRef),0))))</f>
        <v>(abra o arquivo 'Referência 12-2024.xlsm)</v>
      </c>
      <c r="AG351" s="429">
        <f ca="1">ROUND(IF(DESONERACAO="sim",REFERENCIA.Desonerado,REFERENCIA.NaoDesonerado),2)</f>
        <v>0</v>
      </c>
      <c r="AH351" s="430">
        <f t="shared" ca="1" si="98"/>
        <v>0.31190000000000001</v>
      </c>
      <c r="AJ351" s="432">
        <v>16.149999999999999</v>
      </c>
      <c r="AL351" s="440"/>
      <c r="AM351" s="337">
        <f t="shared" ca="1" si="83"/>
        <v>0</v>
      </c>
      <c r="AN351" s="471">
        <f t="shared" ca="1" si="99"/>
        <v>0</v>
      </c>
    </row>
    <row r="352" spans="1:40" ht="38.25" x14ac:dyDescent="0.2">
      <c r="A352" t="str">
        <f t="shared" si="84"/>
        <v>S</v>
      </c>
      <c r="B352">
        <f t="shared" ca="1" si="85"/>
        <v>2</v>
      </c>
      <c r="C352" t="str">
        <f t="shared" ca="1" si="86"/>
        <v>S</v>
      </c>
      <c r="D352">
        <f t="shared" ca="1" si="87"/>
        <v>0</v>
      </c>
      <c r="E352">
        <f ca="1">IF($C352=1,OFFSET(E352,-1,0)+MAX(1,COUNTIF(QCI!$A$13:$A$24,OFFSET(ORÇAMENTO!E352,-1,0))),OFFSET(E352,-1,0))</f>
        <v>1</v>
      </c>
      <c r="F352">
        <f t="shared" ca="1" si="88"/>
        <v>19</v>
      </c>
      <c r="G352">
        <f t="shared" ca="1" si="89"/>
        <v>0</v>
      </c>
      <c r="H352">
        <f t="shared" ca="1" si="90"/>
        <v>0</v>
      </c>
      <c r="I352">
        <f t="shared" ca="1" si="91"/>
        <v>0</v>
      </c>
      <c r="J352">
        <f t="shared" ca="1" si="92"/>
        <v>0</v>
      </c>
      <c r="K352">
        <f ca="1">IF(OR($C352="S",$C352=0),0,MATCH(OFFSET($D352,0,$C352)+IF($C352&lt;&gt;1,1,COUNTIF(QCI!$A$13:$A$24,ORÇAMENTO!E352)),OFFSET($D352,1,$C352,ROW($C$405)-ROW($C352)),0))</f>
        <v>0</v>
      </c>
      <c r="L352" s="115" t="str">
        <f t="shared" ca="1" si="93"/>
        <v/>
      </c>
      <c r="M352" s="116" t="s">
        <v>706</v>
      </c>
      <c r="N352" s="117" t="str">
        <f t="shared" ca="1" si="94"/>
        <v>Serviço</v>
      </c>
      <c r="O352" s="118" t="str">
        <f t="shared" ca="1" si="95"/>
        <v>-</v>
      </c>
      <c r="P352" s="119" t="s">
        <v>751</v>
      </c>
      <c r="Q352" s="120" t="s">
        <v>1232</v>
      </c>
      <c r="R352" s="121" t="s">
        <v>1602</v>
      </c>
      <c r="S352" s="122" t="s">
        <v>623</v>
      </c>
      <c r="T352" s="123">
        <f ca="1">OFFSET(CÁLCULO!H$15,ROW($T352)-ROW(T$15),0)</f>
        <v>80.7</v>
      </c>
      <c r="U352" s="124"/>
      <c r="V352" s="125" t="s">
        <v>663</v>
      </c>
      <c r="W352" s="123">
        <f ca="1">IF($C352="S",ROUND(IF(TIPOORCAMENTO="Proposto",ORÇAMENTO.CustoUnitario*(1+$AH352),ORÇAMENTO.PrecoUnitarioLicitado),15-13*$AF$10),0)</f>
        <v>0</v>
      </c>
      <c r="X352" s="126" cm="1">
        <f t="array" aca="1" ref="X352" ca="1">IF($C352="S",IF(OR(Import.TipoArredondamento&lt;&gt;"TransfereGOV",ACOMPANHAMENTO="BM"),VTOTAL1,SUM(OFFSET(CÁLCULO!$AA$15,ROW($X352)-ROW($X$15),1):OFFSET(CÁLCULO!$AL$15,ROW($X352)-ROW($X$15),-1))),IF($C352=0,0,ROUND(SomaAgrup,15-13*$AF$11)))</f>
        <v>0</v>
      </c>
      <c r="Y352" s="127" t="s">
        <v>752</v>
      </c>
      <c r="Z352" t="str">
        <f t="shared" ca="1" si="96"/>
        <v/>
      </c>
      <c r="AA352" s="128">
        <f ca="1">IF($C352="S",IF($Z352="CP",$X352,IF($Z352="RA",(($X352)*QCI!$AA$3),0)),SomaAgrup)</f>
        <v>0</v>
      </c>
      <c r="AB352" s="129">
        <f t="shared" ca="1" si="97"/>
        <v>0</v>
      </c>
      <c r="AC352" s="567" t="str">
        <f ca="1">IF($N352=""," ",
IF(AND($C352&lt;&gt;"S",OR($R352="",$R352="(digite a descrição aqui)")),"DESCRIÇÃO",
IF(AND($C352="S",OR($Q352&lt;&gt;0,$T352&gt;0,$U352&gt;0),$P352=0),"FONTE",
IF(AND($C352="S",$P352&lt;&gt;0,OR($T352&gt;0,$U352&gt;0),$Q352=0),"CÓDIGO",
IF(AND($C352="S",$P352&lt;&gt;0,$Q352&lt;&gt;0,$R352="(Código não identificado nas referências)"),"CÓDIGO N/ID",
IF(AND($C352="S",OR($R352="",$R352="(digite a descrição aqui)"),OR($Q352&lt;&gt;0,$T352&gt;0,$U352&gt;0)),"DESCRIÇÃO",
IF(AND($C352="S",$P352&lt;&gt;0,$Q352&lt;&gt;0,$S352=""),"UNIDADE",
IF(AND($C352="S",$P352&lt;&gt;0,$Q352&lt;&gt;0,$U352=0),"SEM CUSTO",
IF(AND(TIPOORCAMENTO="Licitado",$AL352=0,$AN352&gt;0),"SEM PREÇO",
IF(AND($C352="S",$P352&lt;&gt;0,$Q352&lt;&gt;0,$U352&gt;0,$V352=0),"BDI",
IF(OR(AND(TIPOORCAMENTO="Proposto",$AG352&lt;&gt;"",$AG352&gt;0,ORÇAMENTO.CustoUnitario&gt;$AG352),AND(TIPOORCAMENTO="LICITADO",ORÇAMENTO.PrecoUnitarioLicitado&gt;$AN352)),"ACIMA REF.",
IF(AND($C352="S",$P352&lt;&gt;0,$Q352&lt;&gt;0,$T352=0,$U352&gt;0),"QUANT.",
IF(AND(Import.TipoArredondamento="TransfereGOV",$L352="F",$C352="S",LEN($Q352)&gt;13),"Código &gt;13",
IF(AND(Import.TipoArredondamento="TransfereGOV",$L352="F",$C352&lt;&gt;"S",LEN($R352)&gt;100),"Descrição &gt;100",
IF(AND(Import.TipoArredondamento="TransfereGOV",$L352="F",$C352="S",LEN($R352)&gt;500),"Descrição &gt;500",
IF(AND(Import.TipoArredondamento="TransfereGOV",$L352="F",$C352="S",LEFT(TRIM(UPPER($P352)),6)&lt;&gt;"SINAPI",ISNA(VLOOKUP(TRIM(UPPER($S352)),ListaTgov.Unidades,1,FALSE))),"Unid. Não Disp",
" "))))))))))))))))</f>
        <v>SEM CUSTO</v>
      </c>
      <c r="AD352" t="str">
        <f ca="1">IF(C352&lt;=CRONO.NivelExibicao,MAX($AD$15:OFFSET(AD352,-1,0))+IF($C352&lt;&gt;1,1,MAX(1,COUNTIF(QCI!$A$13:$A$24,OFFSET($E352,-1,0)))),"")</f>
        <v/>
      </c>
      <c r="AE352" s="7" t="str">
        <f ca="1">IF(AND($C352="S",ORÇAMENTO.CodBarra&lt;&gt;""),IF(ORÇAMENTO.Fonte="",ORÇAMENTO.CodBarra,CONCATENATE(ORÇAMENTO.Fonte," ",ORÇAMENTO.CodBarra)))</f>
        <v>SINAPI 92409</v>
      </c>
      <c r="AF352" s="12" t="str">
        <f ca="1">IF(ISERROR(INDIRECT(ORÇAMENTO.BancoRef)),"(abra o arquivo 'Referência "&amp;Excel_BuiltIn_Database&amp;".xlsm)",IF(OR($C352&lt;&gt;"S",ORÇAMENTO.CodBarra=""),"(Sem Código)",IF(ISERROR(MATCH($AE352,INDIRECT(ORÇAMENTO.BancoRef),0)),"(Código não identificado nas referências)",MATCH($AE352,INDIRECT(ORÇAMENTO.BancoRef),0))))</f>
        <v>(abra o arquivo 'Referência 12-2024.xlsm)</v>
      </c>
      <c r="AG352" s="429">
        <f ca="1">ROUND(IF(DESONERACAO="sim",REFERENCIA.Desonerado,REFERENCIA.NaoDesonerado),2)</f>
        <v>0</v>
      </c>
      <c r="AH352" s="430">
        <f t="shared" ca="1" si="98"/>
        <v>0.31190000000000001</v>
      </c>
      <c r="AJ352" s="432">
        <v>80.7</v>
      </c>
      <c r="AL352" s="440"/>
      <c r="AM352" s="337">
        <f t="shared" ca="1" si="83"/>
        <v>0</v>
      </c>
      <c r="AN352" s="471">
        <f t="shared" ca="1" si="99"/>
        <v>0</v>
      </c>
    </row>
    <row r="353" spans="1:40" ht="25.5" x14ac:dyDescent="0.2">
      <c r="A353" t="str">
        <f t="shared" si="84"/>
        <v>S</v>
      </c>
      <c r="B353">
        <f t="shared" ca="1" si="85"/>
        <v>2</v>
      </c>
      <c r="C353" t="str">
        <f t="shared" ca="1" si="86"/>
        <v>S</v>
      </c>
      <c r="D353">
        <f t="shared" ca="1" si="87"/>
        <v>0</v>
      </c>
      <c r="E353">
        <f ca="1">IF($C353=1,OFFSET(E353,-1,0)+MAX(1,COUNTIF(QCI!$A$13:$A$24,OFFSET(ORÇAMENTO!E353,-1,0))),OFFSET(E353,-1,0))</f>
        <v>1</v>
      </c>
      <c r="F353">
        <f t="shared" ca="1" si="88"/>
        <v>19</v>
      </c>
      <c r="G353">
        <f t="shared" ca="1" si="89"/>
        <v>0</v>
      </c>
      <c r="H353">
        <f t="shared" ca="1" si="90"/>
        <v>0</v>
      </c>
      <c r="I353">
        <f t="shared" ca="1" si="91"/>
        <v>0</v>
      </c>
      <c r="J353">
        <f t="shared" ca="1" si="92"/>
        <v>0</v>
      </c>
      <c r="K353">
        <f ca="1">IF(OR($C353="S",$C353=0),0,MATCH(OFFSET($D353,0,$C353)+IF($C353&lt;&gt;1,1,COUNTIF(QCI!$A$13:$A$24,ORÇAMENTO!E353)),OFFSET($D353,1,$C353,ROW($C$405)-ROW($C353)),0))</f>
        <v>0</v>
      </c>
      <c r="L353" s="115" t="str">
        <f t="shared" ca="1" si="93"/>
        <v/>
      </c>
      <c r="M353" s="116" t="s">
        <v>706</v>
      </c>
      <c r="N353" s="117" t="str">
        <f t="shared" ca="1" si="94"/>
        <v>Serviço</v>
      </c>
      <c r="O353" s="118" t="str">
        <f t="shared" ca="1" si="95"/>
        <v>-</v>
      </c>
      <c r="P353" s="119" t="s">
        <v>751</v>
      </c>
      <c r="Q353" s="120" t="s">
        <v>1233</v>
      </c>
      <c r="R353" s="121" t="s">
        <v>1603</v>
      </c>
      <c r="S353" s="122" t="s">
        <v>617</v>
      </c>
      <c r="T353" s="123">
        <f ca="1">OFFSET(CÁLCULO!H$15,ROW($T353)-ROW(T$15),0)</f>
        <v>314.23</v>
      </c>
      <c r="U353" s="124"/>
      <c r="V353" s="125" t="s">
        <v>663</v>
      </c>
      <c r="W353" s="123">
        <f ca="1">IF($C353="S",ROUND(IF(TIPOORCAMENTO="Proposto",ORÇAMENTO.CustoUnitario*(1+$AH353),ORÇAMENTO.PrecoUnitarioLicitado),15-13*$AF$10),0)</f>
        <v>0</v>
      </c>
      <c r="X353" s="126" cm="1">
        <f t="array" aca="1" ref="X353" ca="1">IF($C353="S",IF(OR(Import.TipoArredondamento&lt;&gt;"TransfereGOV",ACOMPANHAMENTO="BM"),VTOTAL1,SUM(OFFSET(CÁLCULO!$AA$15,ROW($X353)-ROW($X$15),1):OFFSET(CÁLCULO!$AL$15,ROW($X353)-ROW($X$15),-1))),IF($C353=0,0,ROUND(SomaAgrup,15-13*$AF$11)))</f>
        <v>0</v>
      </c>
      <c r="Y353" s="127" t="s">
        <v>752</v>
      </c>
      <c r="Z353" t="str">
        <f t="shared" ca="1" si="96"/>
        <v/>
      </c>
      <c r="AA353" s="128">
        <f ca="1">IF($C353="S",IF($Z353="CP",$X353,IF($Z353="RA",(($X353)*QCI!$AA$3),0)),SomaAgrup)</f>
        <v>0</v>
      </c>
      <c r="AB353" s="129">
        <f t="shared" ca="1" si="97"/>
        <v>0</v>
      </c>
      <c r="AC353" s="567" t="str">
        <f ca="1">IF($N353=""," ",
IF(AND($C353&lt;&gt;"S",OR($R353="",$R353="(digite a descrição aqui)")),"DESCRIÇÃO",
IF(AND($C353="S",OR($Q353&lt;&gt;0,$T353&gt;0,$U353&gt;0),$P353=0),"FONTE",
IF(AND($C353="S",$P353&lt;&gt;0,OR($T353&gt;0,$U353&gt;0),$Q353=0),"CÓDIGO",
IF(AND($C353="S",$P353&lt;&gt;0,$Q353&lt;&gt;0,$R353="(Código não identificado nas referências)"),"CÓDIGO N/ID",
IF(AND($C353="S",OR($R353="",$R353="(digite a descrição aqui)"),OR($Q353&lt;&gt;0,$T353&gt;0,$U353&gt;0)),"DESCRIÇÃO",
IF(AND($C353="S",$P353&lt;&gt;0,$Q353&lt;&gt;0,$S353=""),"UNIDADE",
IF(AND($C353="S",$P353&lt;&gt;0,$Q353&lt;&gt;0,$U353=0),"SEM CUSTO",
IF(AND(TIPOORCAMENTO="Licitado",$AL353=0,$AN353&gt;0),"SEM PREÇO",
IF(AND($C353="S",$P353&lt;&gt;0,$Q353&lt;&gt;0,$U353&gt;0,$V353=0),"BDI",
IF(OR(AND(TIPOORCAMENTO="Proposto",$AG353&lt;&gt;"",$AG353&gt;0,ORÇAMENTO.CustoUnitario&gt;$AG353),AND(TIPOORCAMENTO="LICITADO",ORÇAMENTO.PrecoUnitarioLicitado&gt;$AN353)),"ACIMA REF.",
IF(AND($C353="S",$P353&lt;&gt;0,$Q353&lt;&gt;0,$T353=0,$U353&gt;0),"QUANT.",
IF(AND(Import.TipoArredondamento="TransfereGOV",$L353="F",$C353="S",LEN($Q353)&gt;13),"Código &gt;13",
IF(AND(Import.TipoArredondamento="TransfereGOV",$L353="F",$C353&lt;&gt;"S",LEN($R353)&gt;100),"Descrição &gt;100",
IF(AND(Import.TipoArredondamento="TransfereGOV",$L353="F",$C353="S",LEN($R353)&gt;500),"Descrição &gt;500",
IF(AND(Import.TipoArredondamento="TransfereGOV",$L353="F",$C353="S",LEFT(TRIM(UPPER($P353)),6)&lt;&gt;"SINAPI",ISNA(VLOOKUP(TRIM(UPPER($S353)),ListaTgov.Unidades,1,FALSE))),"Unid. Não Disp",
" "))))))))))))))))</f>
        <v>SEM CUSTO</v>
      </c>
      <c r="AD353" t="str">
        <f ca="1">IF(C353&lt;=CRONO.NivelExibicao,MAX($AD$15:OFFSET(AD353,-1,0))+IF($C353&lt;&gt;1,1,MAX(1,COUNTIF(QCI!$A$13:$A$24,OFFSET($E353,-1,0)))),"")</f>
        <v/>
      </c>
      <c r="AE353" s="7" t="str">
        <f ca="1">IF(AND($C353="S",ORÇAMENTO.CodBarra&lt;&gt;""),IF(ORÇAMENTO.Fonte="",ORÇAMENTO.CodBarra,CONCATENATE(ORÇAMENTO.Fonte," ",ORÇAMENTO.CodBarra)))</f>
        <v>SINAPI 104916</v>
      </c>
      <c r="AF353" s="12" t="str">
        <f ca="1">IF(ISERROR(INDIRECT(ORÇAMENTO.BancoRef)),"(abra o arquivo 'Referência "&amp;Excel_BuiltIn_Database&amp;".xlsm)",IF(OR($C353&lt;&gt;"S",ORÇAMENTO.CodBarra=""),"(Sem Código)",IF(ISERROR(MATCH($AE353,INDIRECT(ORÇAMENTO.BancoRef),0)),"(Código não identificado nas referências)",MATCH($AE353,INDIRECT(ORÇAMENTO.BancoRef),0))))</f>
        <v>(abra o arquivo 'Referência 12-2024.xlsm)</v>
      </c>
      <c r="AG353" s="429">
        <f ca="1">ROUND(IF(DESONERACAO="sim",REFERENCIA.Desonerado,REFERENCIA.NaoDesonerado),2)</f>
        <v>0</v>
      </c>
      <c r="AH353" s="430">
        <f t="shared" ca="1" si="98"/>
        <v>0.31190000000000001</v>
      </c>
      <c r="AJ353" s="432">
        <v>314.23</v>
      </c>
      <c r="AL353" s="440"/>
      <c r="AM353" s="337">
        <f t="shared" ca="1" si="83"/>
        <v>0</v>
      </c>
      <c r="AN353" s="471">
        <f t="shared" ca="1" si="99"/>
        <v>0</v>
      </c>
    </row>
    <row r="354" spans="1:40" ht="25.5" x14ac:dyDescent="0.2">
      <c r="A354" t="str">
        <f t="shared" si="84"/>
        <v>S</v>
      </c>
      <c r="B354">
        <f t="shared" ca="1" si="85"/>
        <v>2</v>
      </c>
      <c r="C354" t="str">
        <f t="shared" ca="1" si="86"/>
        <v>S</v>
      </c>
      <c r="D354">
        <f t="shared" ca="1" si="87"/>
        <v>0</v>
      </c>
      <c r="E354">
        <f ca="1">IF($C354=1,OFFSET(E354,-1,0)+MAX(1,COUNTIF(QCI!$A$13:$A$24,OFFSET(ORÇAMENTO!E354,-1,0))),OFFSET(E354,-1,0))</f>
        <v>1</v>
      </c>
      <c r="F354">
        <f t="shared" ca="1" si="88"/>
        <v>19</v>
      </c>
      <c r="G354">
        <f t="shared" ca="1" si="89"/>
        <v>0</v>
      </c>
      <c r="H354">
        <f t="shared" ca="1" si="90"/>
        <v>0</v>
      </c>
      <c r="I354">
        <f t="shared" ca="1" si="91"/>
        <v>0</v>
      </c>
      <c r="J354">
        <f t="shared" ca="1" si="92"/>
        <v>0</v>
      </c>
      <c r="K354">
        <f ca="1">IF(OR($C354="S",$C354=0),0,MATCH(OFFSET($D354,0,$C354)+IF($C354&lt;&gt;1,1,COUNTIF(QCI!$A$13:$A$24,ORÇAMENTO!E354)),OFFSET($D354,1,$C354,ROW($C$405)-ROW($C354)),0))</f>
        <v>0</v>
      </c>
      <c r="L354" s="115" t="str">
        <f t="shared" ca="1" si="93"/>
        <v/>
      </c>
      <c r="M354" s="116" t="s">
        <v>706</v>
      </c>
      <c r="N354" s="117" t="str">
        <f t="shared" ca="1" si="94"/>
        <v>Serviço</v>
      </c>
      <c r="O354" s="118" t="str">
        <f t="shared" ca="1" si="95"/>
        <v>-</v>
      </c>
      <c r="P354" s="119" t="s">
        <v>751</v>
      </c>
      <c r="Q354" s="120" t="s">
        <v>1234</v>
      </c>
      <c r="R354" s="121" t="s">
        <v>1604</v>
      </c>
      <c r="S354" s="122" t="s">
        <v>617</v>
      </c>
      <c r="T354" s="123">
        <f ca="1">OFFSET(CÁLCULO!H$15,ROW($T354)-ROW(T$15),0)</f>
        <v>277.10000000000002</v>
      </c>
      <c r="U354" s="124"/>
      <c r="V354" s="125" t="s">
        <v>663</v>
      </c>
      <c r="W354" s="123">
        <f ca="1">IF($C354="S",ROUND(IF(TIPOORCAMENTO="Proposto",ORÇAMENTO.CustoUnitario*(1+$AH354),ORÇAMENTO.PrecoUnitarioLicitado),15-13*$AF$10),0)</f>
        <v>0</v>
      </c>
      <c r="X354" s="126" cm="1">
        <f t="array" aca="1" ref="X354" ca="1">IF($C354="S",IF(OR(Import.TipoArredondamento&lt;&gt;"TransfereGOV",ACOMPANHAMENTO="BM"),VTOTAL1,SUM(OFFSET(CÁLCULO!$AA$15,ROW($X354)-ROW($X$15),1):OFFSET(CÁLCULO!$AL$15,ROW($X354)-ROW($X$15),-1))),IF($C354=0,0,ROUND(SomaAgrup,15-13*$AF$11)))</f>
        <v>0</v>
      </c>
      <c r="Y354" s="127" t="s">
        <v>752</v>
      </c>
      <c r="Z354" t="str">
        <f t="shared" ca="1" si="96"/>
        <v/>
      </c>
      <c r="AA354" s="128">
        <f ca="1">IF($C354="S",IF($Z354="CP",$X354,IF($Z354="RA",(($X354)*QCI!$AA$3),0)),SomaAgrup)</f>
        <v>0</v>
      </c>
      <c r="AB354" s="129">
        <f t="shared" ca="1" si="97"/>
        <v>0</v>
      </c>
      <c r="AC354" s="567" t="str">
        <f ca="1">IF($N354=""," ",
IF(AND($C354&lt;&gt;"S",OR($R354="",$R354="(digite a descrição aqui)")),"DESCRIÇÃO",
IF(AND($C354="S",OR($Q354&lt;&gt;0,$T354&gt;0,$U354&gt;0),$P354=0),"FONTE",
IF(AND($C354="S",$P354&lt;&gt;0,OR($T354&gt;0,$U354&gt;0),$Q354=0),"CÓDIGO",
IF(AND($C354="S",$P354&lt;&gt;0,$Q354&lt;&gt;0,$R354="(Código não identificado nas referências)"),"CÓDIGO N/ID",
IF(AND($C354="S",OR($R354="",$R354="(digite a descrição aqui)"),OR($Q354&lt;&gt;0,$T354&gt;0,$U354&gt;0)),"DESCRIÇÃO",
IF(AND($C354="S",$P354&lt;&gt;0,$Q354&lt;&gt;0,$S354=""),"UNIDADE",
IF(AND($C354="S",$P354&lt;&gt;0,$Q354&lt;&gt;0,$U354=0),"SEM CUSTO",
IF(AND(TIPOORCAMENTO="Licitado",$AL354=0,$AN354&gt;0),"SEM PREÇO",
IF(AND($C354="S",$P354&lt;&gt;0,$Q354&lt;&gt;0,$U354&gt;0,$V354=0),"BDI",
IF(OR(AND(TIPOORCAMENTO="Proposto",$AG354&lt;&gt;"",$AG354&gt;0,ORÇAMENTO.CustoUnitario&gt;$AG354),AND(TIPOORCAMENTO="LICITADO",ORÇAMENTO.PrecoUnitarioLicitado&gt;$AN354)),"ACIMA REF.",
IF(AND($C354="S",$P354&lt;&gt;0,$Q354&lt;&gt;0,$T354=0,$U354&gt;0),"QUANT.",
IF(AND(Import.TipoArredondamento="TransfereGOV",$L354="F",$C354="S",LEN($Q354)&gt;13),"Código &gt;13",
IF(AND(Import.TipoArredondamento="TransfereGOV",$L354="F",$C354&lt;&gt;"S",LEN($R354)&gt;100),"Descrição &gt;100",
IF(AND(Import.TipoArredondamento="TransfereGOV",$L354="F",$C354="S",LEN($R354)&gt;500),"Descrição &gt;500",
IF(AND(Import.TipoArredondamento="TransfereGOV",$L354="F",$C354="S",LEFT(TRIM(UPPER($P354)),6)&lt;&gt;"SINAPI",ISNA(VLOOKUP(TRIM(UPPER($S354)),ListaTgov.Unidades,1,FALSE))),"Unid. Não Disp",
" "))))))))))))))))</f>
        <v>SEM CUSTO</v>
      </c>
      <c r="AD354" t="str">
        <f ca="1">IF(C354&lt;=CRONO.NivelExibicao,MAX($AD$15:OFFSET(AD354,-1,0))+IF($C354&lt;&gt;1,1,MAX(1,COUNTIF(QCI!$A$13:$A$24,OFFSET($E354,-1,0)))),"")</f>
        <v/>
      </c>
      <c r="AE354" s="7" t="str">
        <f ca="1">IF(AND($C354="S",ORÇAMENTO.CodBarra&lt;&gt;""),IF(ORÇAMENTO.Fonte="",ORÇAMENTO.CodBarra,CONCATENATE(ORÇAMENTO.Fonte," ",ORÇAMENTO.CodBarra)))</f>
        <v>SINAPI 104918</v>
      </c>
      <c r="AF354" s="12" t="str">
        <f ca="1">IF(ISERROR(INDIRECT(ORÇAMENTO.BancoRef)),"(abra o arquivo 'Referência "&amp;Excel_BuiltIn_Database&amp;".xlsm)",IF(OR($C354&lt;&gt;"S",ORÇAMENTO.CodBarra=""),"(Sem Código)",IF(ISERROR(MATCH($AE354,INDIRECT(ORÇAMENTO.BancoRef),0)),"(Código não identificado nas referências)",MATCH($AE354,INDIRECT(ORÇAMENTO.BancoRef),0))))</f>
        <v>(abra o arquivo 'Referência 12-2024.xlsm)</v>
      </c>
      <c r="AG354" s="429">
        <f ca="1">ROUND(IF(DESONERACAO="sim",REFERENCIA.Desonerado,REFERENCIA.NaoDesonerado),2)</f>
        <v>0</v>
      </c>
      <c r="AH354" s="430">
        <f t="shared" ca="1" si="98"/>
        <v>0.31190000000000001</v>
      </c>
      <c r="AJ354" s="432">
        <v>277.09999999999997</v>
      </c>
      <c r="AL354" s="440"/>
      <c r="AM354" s="337">
        <f t="shared" ca="1" si="83"/>
        <v>0</v>
      </c>
      <c r="AN354" s="471">
        <f t="shared" ca="1" si="99"/>
        <v>0</v>
      </c>
    </row>
    <row r="355" spans="1:40" ht="25.5" x14ac:dyDescent="0.2">
      <c r="A355" t="str">
        <f t="shared" si="84"/>
        <v>S</v>
      </c>
      <c r="B355">
        <f t="shared" ca="1" si="85"/>
        <v>2</v>
      </c>
      <c r="C355" t="str">
        <f t="shared" ca="1" si="86"/>
        <v>S</v>
      </c>
      <c r="D355">
        <f t="shared" ca="1" si="87"/>
        <v>0</v>
      </c>
      <c r="E355">
        <f ca="1">IF($C355=1,OFFSET(E355,-1,0)+MAX(1,COUNTIF(QCI!$A$13:$A$24,OFFSET(ORÇAMENTO!E355,-1,0))),OFFSET(E355,-1,0))</f>
        <v>1</v>
      </c>
      <c r="F355">
        <f t="shared" ca="1" si="88"/>
        <v>19</v>
      </c>
      <c r="G355">
        <f t="shared" ca="1" si="89"/>
        <v>0</v>
      </c>
      <c r="H355">
        <f t="shared" ca="1" si="90"/>
        <v>0</v>
      </c>
      <c r="I355">
        <f t="shared" ca="1" si="91"/>
        <v>0</v>
      </c>
      <c r="J355">
        <f t="shared" ca="1" si="92"/>
        <v>0</v>
      </c>
      <c r="K355">
        <f ca="1">IF(OR($C355="S",$C355=0),0,MATCH(OFFSET($D355,0,$C355)+IF($C355&lt;&gt;1,1,COUNTIF(QCI!$A$13:$A$24,ORÇAMENTO!E355)),OFFSET($D355,1,$C355,ROW($C$405)-ROW($C355)),0))</f>
        <v>0</v>
      </c>
      <c r="L355" s="115" t="str">
        <f t="shared" ca="1" si="93"/>
        <v/>
      </c>
      <c r="M355" s="116" t="s">
        <v>706</v>
      </c>
      <c r="N355" s="117" t="str">
        <f t="shared" ca="1" si="94"/>
        <v>Serviço</v>
      </c>
      <c r="O355" s="118" t="str">
        <f t="shared" ca="1" si="95"/>
        <v>-</v>
      </c>
      <c r="P355" s="119" t="s">
        <v>751</v>
      </c>
      <c r="Q355" s="120" t="s">
        <v>1235</v>
      </c>
      <c r="R355" s="121" t="s">
        <v>1605</v>
      </c>
      <c r="S355" s="122" t="s">
        <v>617</v>
      </c>
      <c r="T355" s="123">
        <f ca="1">OFFSET(CÁLCULO!H$15,ROW($T355)-ROW(T$15),0)</f>
        <v>188.42</v>
      </c>
      <c r="U355" s="124"/>
      <c r="V355" s="125" t="s">
        <v>663</v>
      </c>
      <c r="W355" s="123">
        <f ca="1">IF($C355="S",ROUND(IF(TIPOORCAMENTO="Proposto",ORÇAMENTO.CustoUnitario*(1+$AH355),ORÇAMENTO.PrecoUnitarioLicitado),15-13*$AF$10),0)</f>
        <v>0</v>
      </c>
      <c r="X355" s="126" cm="1">
        <f t="array" aca="1" ref="X355" ca="1">IF($C355="S",IF(OR(Import.TipoArredondamento&lt;&gt;"TransfereGOV",ACOMPANHAMENTO="BM"),VTOTAL1,SUM(OFFSET(CÁLCULO!$AA$15,ROW($X355)-ROW($X$15),1):OFFSET(CÁLCULO!$AL$15,ROW($X355)-ROW($X$15),-1))),IF($C355=0,0,ROUND(SomaAgrup,15-13*$AF$11)))</f>
        <v>0</v>
      </c>
      <c r="Y355" s="127" t="s">
        <v>752</v>
      </c>
      <c r="Z355" t="str">
        <f t="shared" ca="1" si="96"/>
        <v/>
      </c>
      <c r="AA355" s="128">
        <f ca="1">IF($C355="S",IF($Z355="CP",$X355,IF($Z355="RA",(($X355)*QCI!$AA$3),0)),SomaAgrup)</f>
        <v>0</v>
      </c>
      <c r="AB355" s="129">
        <f t="shared" ca="1" si="97"/>
        <v>0</v>
      </c>
      <c r="AC355" s="567" t="str">
        <f ca="1">IF($N355=""," ",
IF(AND($C355&lt;&gt;"S",OR($R355="",$R355="(digite a descrição aqui)")),"DESCRIÇÃO",
IF(AND($C355="S",OR($Q355&lt;&gt;0,$T355&gt;0,$U355&gt;0),$P355=0),"FONTE",
IF(AND($C355="S",$P355&lt;&gt;0,OR($T355&gt;0,$U355&gt;0),$Q355=0),"CÓDIGO",
IF(AND($C355="S",$P355&lt;&gt;0,$Q355&lt;&gt;0,$R355="(Código não identificado nas referências)"),"CÓDIGO N/ID",
IF(AND($C355="S",OR($R355="",$R355="(digite a descrição aqui)"),OR($Q355&lt;&gt;0,$T355&gt;0,$U355&gt;0)),"DESCRIÇÃO",
IF(AND($C355="S",$P355&lt;&gt;0,$Q355&lt;&gt;0,$S355=""),"UNIDADE",
IF(AND($C355="S",$P355&lt;&gt;0,$Q355&lt;&gt;0,$U355=0),"SEM CUSTO",
IF(AND(TIPOORCAMENTO="Licitado",$AL355=0,$AN355&gt;0),"SEM PREÇO",
IF(AND($C355="S",$P355&lt;&gt;0,$Q355&lt;&gt;0,$U355&gt;0,$V355=0),"BDI",
IF(OR(AND(TIPOORCAMENTO="Proposto",$AG355&lt;&gt;"",$AG355&gt;0,ORÇAMENTO.CustoUnitario&gt;$AG355),AND(TIPOORCAMENTO="LICITADO",ORÇAMENTO.PrecoUnitarioLicitado&gt;$AN355)),"ACIMA REF.",
IF(AND($C355="S",$P355&lt;&gt;0,$Q355&lt;&gt;0,$T355=0,$U355&gt;0),"QUANT.",
IF(AND(Import.TipoArredondamento="TransfereGOV",$L355="F",$C355="S",LEN($Q355)&gt;13),"Código &gt;13",
IF(AND(Import.TipoArredondamento="TransfereGOV",$L355="F",$C355&lt;&gt;"S",LEN($R355)&gt;100),"Descrição &gt;100",
IF(AND(Import.TipoArredondamento="TransfereGOV",$L355="F",$C355="S",LEN($R355)&gt;500),"Descrição &gt;500",
IF(AND(Import.TipoArredondamento="TransfereGOV",$L355="F",$C355="S",LEFT(TRIM(UPPER($P355)),6)&lt;&gt;"SINAPI",ISNA(VLOOKUP(TRIM(UPPER($S355)),ListaTgov.Unidades,1,FALSE))),"Unid. Não Disp",
" "))))))))))))))))</f>
        <v>SEM CUSTO</v>
      </c>
      <c r="AD355" t="str">
        <f ca="1">IF(C355&lt;=CRONO.NivelExibicao,MAX($AD$15:OFFSET(AD355,-1,0))+IF($C355&lt;&gt;1,1,MAX(1,COUNTIF(QCI!$A$13:$A$24,OFFSET($E355,-1,0)))),"")</f>
        <v/>
      </c>
      <c r="AE355" s="7" t="str">
        <f ca="1">IF(AND($C355="S",ORÇAMENTO.CodBarra&lt;&gt;""),IF(ORÇAMENTO.Fonte="",ORÇAMENTO.CodBarra,CONCATENATE(ORÇAMENTO.Fonte," ",ORÇAMENTO.CodBarra)))</f>
        <v>SINAPI 104919</v>
      </c>
      <c r="AF355" s="12" t="str">
        <f ca="1">IF(ISERROR(INDIRECT(ORÇAMENTO.BancoRef)),"(abra o arquivo 'Referência "&amp;Excel_BuiltIn_Database&amp;".xlsm)",IF(OR($C355&lt;&gt;"S",ORÇAMENTO.CodBarra=""),"(Sem Código)",IF(ISERROR(MATCH($AE355,INDIRECT(ORÇAMENTO.BancoRef),0)),"(Código não identificado nas referências)",MATCH($AE355,INDIRECT(ORÇAMENTO.BancoRef),0))))</f>
        <v>(abra o arquivo 'Referência 12-2024.xlsm)</v>
      </c>
      <c r="AG355" s="429">
        <f ca="1">ROUND(IF(DESONERACAO="sim",REFERENCIA.Desonerado,REFERENCIA.NaoDesonerado),2)</f>
        <v>0</v>
      </c>
      <c r="AH355" s="430">
        <f t="shared" ca="1" si="98"/>
        <v>0.31190000000000001</v>
      </c>
      <c r="AJ355" s="432">
        <v>188.42</v>
      </c>
      <c r="AL355" s="440"/>
      <c r="AM355" s="337">
        <f t="shared" ca="1" si="83"/>
        <v>0</v>
      </c>
      <c r="AN355" s="471">
        <f t="shared" ca="1" si="99"/>
        <v>0</v>
      </c>
    </row>
    <row r="356" spans="1:40" ht="38.25" x14ac:dyDescent="0.2">
      <c r="A356" t="str">
        <f t="shared" si="84"/>
        <v>S</v>
      </c>
      <c r="B356">
        <f t="shared" ca="1" si="85"/>
        <v>2</v>
      </c>
      <c r="C356" t="str">
        <f t="shared" ca="1" si="86"/>
        <v>S</v>
      </c>
      <c r="D356">
        <f t="shared" ca="1" si="87"/>
        <v>0</v>
      </c>
      <c r="E356">
        <f ca="1">IF($C356=1,OFFSET(E356,-1,0)+MAX(1,COUNTIF(QCI!$A$13:$A$24,OFFSET(ORÇAMENTO!E356,-1,0))),OFFSET(E356,-1,0))</f>
        <v>1</v>
      </c>
      <c r="F356">
        <f t="shared" ca="1" si="88"/>
        <v>19</v>
      </c>
      <c r="G356">
        <f t="shared" ca="1" si="89"/>
        <v>0</v>
      </c>
      <c r="H356">
        <f t="shared" ca="1" si="90"/>
        <v>0</v>
      </c>
      <c r="I356">
        <f t="shared" ca="1" si="91"/>
        <v>0</v>
      </c>
      <c r="J356">
        <f t="shared" ca="1" si="92"/>
        <v>0</v>
      </c>
      <c r="K356">
        <f ca="1">IF(OR($C356="S",$C356=0),0,MATCH(OFFSET($D356,0,$C356)+IF($C356&lt;&gt;1,1,COUNTIF(QCI!$A$13:$A$24,ORÇAMENTO!E356)),OFFSET($D356,1,$C356,ROW($C$405)-ROW($C356)),0))</f>
        <v>0</v>
      </c>
      <c r="L356" s="115" t="str">
        <f t="shared" ca="1" si="93"/>
        <v/>
      </c>
      <c r="M356" s="116" t="s">
        <v>706</v>
      </c>
      <c r="N356" s="117" t="str">
        <f t="shared" ca="1" si="94"/>
        <v>Serviço</v>
      </c>
      <c r="O356" s="118" t="str">
        <f t="shared" ca="1" si="95"/>
        <v>-</v>
      </c>
      <c r="P356" s="119" t="s">
        <v>751</v>
      </c>
      <c r="Q356" s="120" t="s">
        <v>1236</v>
      </c>
      <c r="R356" s="121" t="s">
        <v>1606</v>
      </c>
      <c r="S356" s="122" t="s">
        <v>617</v>
      </c>
      <c r="T356" s="123">
        <f ca="1">OFFSET(CÁLCULO!H$15,ROW($T356)-ROW(T$15),0)</f>
        <v>80.56</v>
      </c>
      <c r="U356" s="124"/>
      <c r="V356" s="125" t="s">
        <v>663</v>
      </c>
      <c r="W356" s="123">
        <f ca="1">IF($C356="S",ROUND(IF(TIPOORCAMENTO="Proposto",ORÇAMENTO.CustoUnitario*(1+$AH356),ORÇAMENTO.PrecoUnitarioLicitado),15-13*$AF$10),0)</f>
        <v>0</v>
      </c>
      <c r="X356" s="126" cm="1">
        <f t="array" aca="1" ref="X356" ca="1">IF($C356="S",IF(OR(Import.TipoArredondamento&lt;&gt;"TransfereGOV",ACOMPANHAMENTO="BM"),VTOTAL1,SUM(OFFSET(CÁLCULO!$AA$15,ROW($X356)-ROW($X$15),1):OFFSET(CÁLCULO!$AL$15,ROW($X356)-ROW($X$15),-1))),IF($C356=0,0,ROUND(SomaAgrup,15-13*$AF$11)))</f>
        <v>0</v>
      </c>
      <c r="Y356" s="127" t="s">
        <v>752</v>
      </c>
      <c r="Z356" t="str">
        <f t="shared" ca="1" si="96"/>
        <v/>
      </c>
      <c r="AA356" s="128">
        <f ca="1">IF($C356="S",IF($Z356="CP",$X356,IF($Z356="RA",(($X356)*QCI!$AA$3),0)),SomaAgrup)</f>
        <v>0</v>
      </c>
      <c r="AB356" s="129">
        <f t="shared" ca="1" si="97"/>
        <v>0</v>
      </c>
      <c r="AC356" s="567" t="str">
        <f ca="1">IF($N356=""," ",
IF(AND($C356&lt;&gt;"S",OR($R356="",$R356="(digite a descrição aqui)")),"DESCRIÇÃO",
IF(AND($C356="S",OR($Q356&lt;&gt;0,$T356&gt;0,$U356&gt;0),$P356=0),"FONTE",
IF(AND($C356="S",$P356&lt;&gt;0,OR($T356&gt;0,$U356&gt;0),$Q356=0),"CÓDIGO",
IF(AND($C356="S",$P356&lt;&gt;0,$Q356&lt;&gt;0,$R356="(Código não identificado nas referências)"),"CÓDIGO N/ID",
IF(AND($C356="S",OR($R356="",$R356="(digite a descrição aqui)"),OR($Q356&lt;&gt;0,$T356&gt;0,$U356&gt;0)),"DESCRIÇÃO",
IF(AND($C356="S",$P356&lt;&gt;0,$Q356&lt;&gt;0,$S356=""),"UNIDADE",
IF(AND($C356="S",$P356&lt;&gt;0,$Q356&lt;&gt;0,$U356=0),"SEM CUSTO",
IF(AND(TIPOORCAMENTO="Licitado",$AL356=0,$AN356&gt;0),"SEM PREÇO",
IF(AND($C356="S",$P356&lt;&gt;0,$Q356&lt;&gt;0,$U356&gt;0,$V356=0),"BDI",
IF(OR(AND(TIPOORCAMENTO="Proposto",$AG356&lt;&gt;"",$AG356&gt;0,ORÇAMENTO.CustoUnitario&gt;$AG356),AND(TIPOORCAMENTO="LICITADO",ORÇAMENTO.PrecoUnitarioLicitado&gt;$AN356)),"ACIMA REF.",
IF(AND($C356="S",$P356&lt;&gt;0,$Q356&lt;&gt;0,$T356=0,$U356&gt;0),"QUANT.",
IF(AND(Import.TipoArredondamento="TransfereGOV",$L356="F",$C356="S",LEN($Q356)&gt;13),"Código &gt;13",
IF(AND(Import.TipoArredondamento="TransfereGOV",$L356="F",$C356&lt;&gt;"S",LEN($R356)&gt;100),"Descrição &gt;100",
IF(AND(Import.TipoArredondamento="TransfereGOV",$L356="F",$C356="S",LEN($R356)&gt;500),"Descrição &gt;500",
IF(AND(Import.TipoArredondamento="TransfereGOV",$L356="F",$C356="S",LEFT(TRIM(UPPER($P356)),6)&lt;&gt;"SINAPI",ISNA(VLOOKUP(TRIM(UPPER($S356)),ListaTgov.Unidades,1,FALSE))),"Unid. Não Disp",
" "))))))))))))))))</f>
        <v>SEM CUSTO</v>
      </c>
      <c r="AD356" t="str">
        <f ca="1">IF(C356&lt;=CRONO.NivelExibicao,MAX($AD$15:OFFSET(AD356,-1,0))+IF($C356&lt;&gt;1,1,MAX(1,COUNTIF(QCI!$A$13:$A$24,OFFSET($E356,-1,0)))),"")</f>
        <v/>
      </c>
      <c r="AE356" s="7" t="str">
        <f ca="1">IF(AND($C356="S",ORÇAMENTO.CodBarra&lt;&gt;""),IF(ORÇAMENTO.Fonte="",ORÇAMENTO.CodBarra,CONCATENATE(ORÇAMENTO.Fonte," ",ORÇAMENTO.CodBarra)))</f>
        <v>SINAPI 92759</v>
      </c>
      <c r="AF356" s="12" t="str">
        <f ca="1">IF(ISERROR(INDIRECT(ORÇAMENTO.BancoRef)),"(abra o arquivo 'Referência "&amp;Excel_BuiltIn_Database&amp;".xlsm)",IF(OR($C356&lt;&gt;"S",ORÇAMENTO.CodBarra=""),"(Sem Código)",IF(ISERROR(MATCH($AE356,INDIRECT(ORÇAMENTO.BancoRef),0)),"(Código não identificado nas referências)",MATCH($AE356,INDIRECT(ORÇAMENTO.BancoRef),0))))</f>
        <v>(abra o arquivo 'Referência 12-2024.xlsm)</v>
      </c>
      <c r="AG356" s="429">
        <f ca="1">ROUND(IF(DESONERACAO="sim",REFERENCIA.Desonerado,REFERENCIA.NaoDesonerado),2)</f>
        <v>0</v>
      </c>
      <c r="AH356" s="430">
        <f t="shared" ca="1" si="98"/>
        <v>0.31190000000000001</v>
      </c>
      <c r="AJ356" s="432">
        <v>80.56</v>
      </c>
      <c r="AL356" s="440"/>
      <c r="AM356" s="337">
        <f t="shared" ca="1" si="83"/>
        <v>0</v>
      </c>
      <c r="AN356" s="471">
        <f t="shared" ca="1" si="99"/>
        <v>0</v>
      </c>
    </row>
    <row r="357" spans="1:40" ht="38.25" x14ac:dyDescent="0.2">
      <c r="A357" t="str">
        <f t="shared" si="84"/>
        <v>S</v>
      </c>
      <c r="B357">
        <f t="shared" ca="1" si="85"/>
        <v>2</v>
      </c>
      <c r="C357" t="str">
        <f t="shared" ca="1" si="86"/>
        <v>S</v>
      </c>
      <c r="D357">
        <f t="shared" ca="1" si="87"/>
        <v>0</v>
      </c>
      <c r="E357">
        <f ca="1">IF($C357=1,OFFSET(E357,-1,0)+MAX(1,COUNTIF(QCI!$A$13:$A$24,OFFSET(ORÇAMENTO!E357,-1,0))),OFFSET(E357,-1,0))</f>
        <v>1</v>
      </c>
      <c r="F357">
        <f t="shared" ca="1" si="88"/>
        <v>19</v>
      </c>
      <c r="G357">
        <f t="shared" ca="1" si="89"/>
        <v>0</v>
      </c>
      <c r="H357">
        <f t="shared" ca="1" si="90"/>
        <v>0</v>
      </c>
      <c r="I357">
        <f t="shared" ca="1" si="91"/>
        <v>0</v>
      </c>
      <c r="J357">
        <f t="shared" ca="1" si="92"/>
        <v>0</v>
      </c>
      <c r="K357">
        <f ca="1">IF(OR($C357="S",$C357=0),0,MATCH(OFFSET($D357,0,$C357)+IF($C357&lt;&gt;1,1,COUNTIF(QCI!$A$13:$A$24,ORÇAMENTO!E357)),OFFSET($D357,1,$C357,ROW($C$405)-ROW($C357)),0))</f>
        <v>0</v>
      </c>
      <c r="L357" s="115" t="str">
        <f t="shared" ca="1" si="93"/>
        <v/>
      </c>
      <c r="M357" s="116" t="s">
        <v>706</v>
      </c>
      <c r="N357" s="117" t="str">
        <f t="shared" ca="1" si="94"/>
        <v>Serviço</v>
      </c>
      <c r="O357" s="118" t="str">
        <f t="shared" ca="1" si="95"/>
        <v>-</v>
      </c>
      <c r="P357" s="119" t="s">
        <v>751</v>
      </c>
      <c r="Q357" s="120" t="s">
        <v>1237</v>
      </c>
      <c r="R357" s="121" t="s">
        <v>1607</v>
      </c>
      <c r="S357" s="122" t="s">
        <v>617</v>
      </c>
      <c r="T357" s="123">
        <f ca="1">OFFSET(CÁLCULO!H$15,ROW($T357)-ROW(T$15),0)</f>
        <v>90.63</v>
      </c>
      <c r="U357" s="124"/>
      <c r="V357" s="125" t="s">
        <v>663</v>
      </c>
      <c r="W357" s="123">
        <f ca="1">IF($C357="S",ROUND(IF(TIPOORCAMENTO="Proposto",ORÇAMENTO.CustoUnitario*(1+$AH357),ORÇAMENTO.PrecoUnitarioLicitado),15-13*$AF$10),0)</f>
        <v>0</v>
      </c>
      <c r="X357" s="126" cm="1">
        <f t="array" aca="1" ref="X357" ca="1">IF($C357="S",IF(OR(Import.TipoArredondamento&lt;&gt;"TransfereGOV",ACOMPANHAMENTO="BM"),VTOTAL1,SUM(OFFSET(CÁLCULO!$AA$15,ROW($X357)-ROW($X$15),1):OFFSET(CÁLCULO!$AL$15,ROW($X357)-ROW($X$15),-1))),IF($C357=0,0,ROUND(SomaAgrup,15-13*$AF$11)))</f>
        <v>0</v>
      </c>
      <c r="Y357" s="127" t="s">
        <v>752</v>
      </c>
      <c r="Z357" t="str">
        <f t="shared" ca="1" si="96"/>
        <v/>
      </c>
      <c r="AA357" s="128">
        <f ca="1">IF($C357="S",IF($Z357="CP",$X357,IF($Z357="RA",(($X357)*QCI!$AA$3),0)),SomaAgrup)</f>
        <v>0</v>
      </c>
      <c r="AB357" s="129">
        <f t="shared" ca="1" si="97"/>
        <v>0</v>
      </c>
      <c r="AC357" s="567" t="str">
        <f ca="1">IF($N357=""," ",
IF(AND($C357&lt;&gt;"S",OR($R357="",$R357="(digite a descrição aqui)")),"DESCRIÇÃO",
IF(AND($C357="S",OR($Q357&lt;&gt;0,$T357&gt;0,$U357&gt;0),$P357=0),"FONTE",
IF(AND($C357="S",$P357&lt;&gt;0,OR($T357&gt;0,$U357&gt;0),$Q357=0),"CÓDIGO",
IF(AND($C357="S",$P357&lt;&gt;0,$Q357&lt;&gt;0,$R357="(Código não identificado nas referências)"),"CÓDIGO N/ID",
IF(AND($C357="S",OR($R357="",$R357="(digite a descrição aqui)"),OR($Q357&lt;&gt;0,$T357&gt;0,$U357&gt;0)),"DESCRIÇÃO",
IF(AND($C357="S",$P357&lt;&gt;0,$Q357&lt;&gt;0,$S357=""),"UNIDADE",
IF(AND($C357="S",$P357&lt;&gt;0,$Q357&lt;&gt;0,$U357=0),"SEM CUSTO",
IF(AND(TIPOORCAMENTO="Licitado",$AL357=0,$AN357&gt;0),"SEM PREÇO",
IF(AND($C357="S",$P357&lt;&gt;0,$Q357&lt;&gt;0,$U357&gt;0,$V357=0),"BDI",
IF(OR(AND(TIPOORCAMENTO="Proposto",$AG357&lt;&gt;"",$AG357&gt;0,ORÇAMENTO.CustoUnitario&gt;$AG357),AND(TIPOORCAMENTO="LICITADO",ORÇAMENTO.PrecoUnitarioLicitado&gt;$AN357)),"ACIMA REF.",
IF(AND($C357="S",$P357&lt;&gt;0,$Q357&lt;&gt;0,$T357=0,$U357&gt;0),"QUANT.",
IF(AND(Import.TipoArredondamento="TransfereGOV",$L357="F",$C357="S",LEN($Q357)&gt;13),"Código &gt;13",
IF(AND(Import.TipoArredondamento="TransfereGOV",$L357="F",$C357&lt;&gt;"S",LEN($R357)&gt;100),"Descrição &gt;100",
IF(AND(Import.TipoArredondamento="TransfereGOV",$L357="F",$C357="S",LEN($R357)&gt;500),"Descrição &gt;500",
IF(AND(Import.TipoArredondamento="TransfereGOV",$L357="F",$C357="S",LEFT(TRIM(UPPER($P357)),6)&lt;&gt;"SINAPI",ISNA(VLOOKUP(TRIM(UPPER($S357)),ListaTgov.Unidades,1,FALSE))),"Unid. Não Disp",
" "))))))))))))))))</f>
        <v>SEM CUSTO</v>
      </c>
      <c r="AD357" t="str">
        <f ca="1">IF(C357&lt;=CRONO.NivelExibicao,MAX($AD$15:OFFSET(AD357,-1,0))+IF($C357&lt;&gt;1,1,MAX(1,COUNTIF(QCI!$A$13:$A$24,OFFSET($E357,-1,0)))),"")</f>
        <v/>
      </c>
      <c r="AE357" s="7" t="str">
        <f ca="1">IF(AND($C357="S",ORÇAMENTO.CodBarra&lt;&gt;""),IF(ORÇAMENTO.Fonte="",ORÇAMENTO.CodBarra,CONCATENATE(ORÇAMENTO.Fonte," ",ORÇAMENTO.CodBarra)))</f>
        <v>SINAPI 92761</v>
      </c>
      <c r="AF357" s="12" t="str">
        <f ca="1">IF(ISERROR(INDIRECT(ORÇAMENTO.BancoRef)),"(abra o arquivo 'Referência "&amp;Excel_BuiltIn_Database&amp;".xlsm)",IF(OR($C357&lt;&gt;"S",ORÇAMENTO.CodBarra=""),"(Sem Código)",IF(ISERROR(MATCH($AE357,INDIRECT(ORÇAMENTO.BancoRef),0)),"(Código não identificado nas referências)",MATCH($AE357,INDIRECT(ORÇAMENTO.BancoRef),0))))</f>
        <v>(abra o arquivo 'Referência 12-2024.xlsm)</v>
      </c>
      <c r="AG357" s="429">
        <f ca="1">ROUND(IF(DESONERACAO="sim",REFERENCIA.Desonerado,REFERENCIA.NaoDesonerado),2)</f>
        <v>0</v>
      </c>
      <c r="AH357" s="430">
        <f t="shared" ca="1" si="98"/>
        <v>0.31190000000000001</v>
      </c>
      <c r="AJ357" s="432">
        <v>90.625</v>
      </c>
      <c r="AL357" s="440"/>
      <c r="AM357" s="337">
        <f t="shared" ca="1" si="83"/>
        <v>0</v>
      </c>
      <c r="AN357" s="471">
        <f t="shared" ca="1" si="99"/>
        <v>0</v>
      </c>
    </row>
    <row r="358" spans="1:40" ht="38.25" x14ac:dyDescent="0.2">
      <c r="A358" t="str">
        <f t="shared" si="84"/>
        <v>S</v>
      </c>
      <c r="B358">
        <f t="shared" ca="1" si="85"/>
        <v>2</v>
      </c>
      <c r="C358" t="str">
        <f t="shared" ca="1" si="86"/>
        <v>S</v>
      </c>
      <c r="D358">
        <f t="shared" ca="1" si="87"/>
        <v>0</v>
      </c>
      <c r="E358">
        <f ca="1">IF($C358=1,OFFSET(E358,-1,0)+MAX(1,COUNTIF(QCI!$A$13:$A$24,OFFSET(ORÇAMENTO!E358,-1,0))),OFFSET(E358,-1,0))</f>
        <v>1</v>
      </c>
      <c r="F358">
        <f t="shared" ca="1" si="88"/>
        <v>19</v>
      </c>
      <c r="G358">
        <f t="shared" ca="1" si="89"/>
        <v>0</v>
      </c>
      <c r="H358">
        <f t="shared" ca="1" si="90"/>
        <v>0</v>
      </c>
      <c r="I358">
        <f t="shared" ca="1" si="91"/>
        <v>0</v>
      </c>
      <c r="J358">
        <f t="shared" ca="1" si="92"/>
        <v>0</v>
      </c>
      <c r="K358">
        <f ca="1">IF(OR($C358="S",$C358=0),0,MATCH(OFFSET($D358,0,$C358)+IF($C358&lt;&gt;1,1,COUNTIF(QCI!$A$13:$A$24,ORÇAMENTO!E358)),OFFSET($D358,1,$C358,ROW($C$405)-ROW($C358)),0))</f>
        <v>0</v>
      </c>
      <c r="L358" s="115" t="str">
        <f t="shared" ca="1" si="93"/>
        <v/>
      </c>
      <c r="M358" s="116" t="s">
        <v>706</v>
      </c>
      <c r="N358" s="117" t="str">
        <f t="shared" ca="1" si="94"/>
        <v>Serviço</v>
      </c>
      <c r="O358" s="118" t="str">
        <f t="shared" ca="1" si="95"/>
        <v>-</v>
      </c>
      <c r="P358" s="119" t="s">
        <v>751</v>
      </c>
      <c r="Q358" s="120" t="s">
        <v>1238</v>
      </c>
      <c r="R358" s="121" t="s">
        <v>1608</v>
      </c>
      <c r="S358" s="122" t="s">
        <v>617</v>
      </c>
      <c r="T358" s="123">
        <f ca="1">OFFSET(CÁLCULO!H$15,ROW($T358)-ROW(T$15),0)</f>
        <v>135.12</v>
      </c>
      <c r="U358" s="124"/>
      <c r="V358" s="125" t="s">
        <v>663</v>
      </c>
      <c r="W358" s="123">
        <f ca="1">IF($C358="S",ROUND(IF(TIPOORCAMENTO="Proposto",ORÇAMENTO.CustoUnitario*(1+$AH358),ORÇAMENTO.PrecoUnitarioLicitado),15-13*$AF$10),0)</f>
        <v>0</v>
      </c>
      <c r="X358" s="126" cm="1">
        <f t="array" aca="1" ref="X358" ca="1">IF($C358="S",IF(OR(Import.TipoArredondamento&lt;&gt;"TransfereGOV",ACOMPANHAMENTO="BM"),VTOTAL1,SUM(OFFSET(CÁLCULO!$AA$15,ROW($X358)-ROW($X$15),1):OFFSET(CÁLCULO!$AL$15,ROW($X358)-ROW($X$15),-1))),IF($C358=0,0,ROUND(SomaAgrup,15-13*$AF$11)))</f>
        <v>0</v>
      </c>
      <c r="Y358" s="127" t="s">
        <v>752</v>
      </c>
      <c r="Z358" t="str">
        <f t="shared" ca="1" si="96"/>
        <v/>
      </c>
      <c r="AA358" s="128">
        <f ca="1">IF($C358="S",IF($Z358="CP",$X358,IF($Z358="RA",(($X358)*QCI!$AA$3),0)),SomaAgrup)</f>
        <v>0</v>
      </c>
      <c r="AB358" s="129">
        <f t="shared" ca="1" si="97"/>
        <v>0</v>
      </c>
      <c r="AC358" s="567" t="str">
        <f ca="1">IF($N358=""," ",
IF(AND($C358&lt;&gt;"S",OR($R358="",$R358="(digite a descrição aqui)")),"DESCRIÇÃO",
IF(AND($C358="S",OR($Q358&lt;&gt;0,$T358&gt;0,$U358&gt;0),$P358=0),"FONTE",
IF(AND($C358="S",$P358&lt;&gt;0,OR($T358&gt;0,$U358&gt;0),$Q358=0),"CÓDIGO",
IF(AND($C358="S",$P358&lt;&gt;0,$Q358&lt;&gt;0,$R358="(Código não identificado nas referências)"),"CÓDIGO N/ID",
IF(AND($C358="S",OR($R358="",$R358="(digite a descrição aqui)"),OR($Q358&lt;&gt;0,$T358&gt;0,$U358&gt;0)),"DESCRIÇÃO",
IF(AND($C358="S",$P358&lt;&gt;0,$Q358&lt;&gt;0,$S358=""),"UNIDADE",
IF(AND($C358="S",$P358&lt;&gt;0,$Q358&lt;&gt;0,$U358=0),"SEM CUSTO",
IF(AND(TIPOORCAMENTO="Licitado",$AL358=0,$AN358&gt;0),"SEM PREÇO",
IF(AND($C358="S",$P358&lt;&gt;0,$Q358&lt;&gt;0,$U358&gt;0,$V358=0),"BDI",
IF(OR(AND(TIPOORCAMENTO="Proposto",$AG358&lt;&gt;"",$AG358&gt;0,ORÇAMENTO.CustoUnitario&gt;$AG358),AND(TIPOORCAMENTO="LICITADO",ORÇAMENTO.PrecoUnitarioLicitado&gt;$AN358)),"ACIMA REF.",
IF(AND($C358="S",$P358&lt;&gt;0,$Q358&lt;&gt;0,$T358=0,$U358&gt;0),"QUANT.",
IF(AND(Import.TipoArredondamento="TransfereGOV",$L358="F",$C358="S",LEN($Q358)&gt;13),"Código &gt;13",
IF(AND(Import.TipoArredondamento="TransfereGOV",$L358="F",$C358&lt;&gt;"S",LEN($R358)&gt;100),"Descrição &gt;100",
IF(AND(Import.TipoArredondamento="TransfereGOV",$L358="F",$C358="S",LEN($R358)&gt;500),"Descrição &gt;500",
IF(AND(Import.TipoArredondamento="TransfereGOV",$L358="F",$C358="S",LEFT(TRIM(UPPER($P358)),6)&lt;&gt;"SINAPI",ISNA(VLOOKUP(TRIM(UPPER($S358)),ListaTgov.Unidades,1,FALSE))),"Unid. Não Disp",
" "))))))))))))))))</f>
        <v>SEM CUSTO</v>
      </c>
      <c r="AD358" t="str">
        <f ca="1">IF(C358&lt;=CRONO.NivelExibicao,MAX($AD$15:OFFSET(AD358,-1,0))+IF($C358&lt;&gt;1,1,MAX(1,COUNTIF(QCI!$A$13:$A$24,OFFSET($E358,-1,0)))),"")</f>
        <v/>
      </c>
      <c r="AE358" s="7" t="str">
        <f ca="1">IF(AND($C358="S",ORÇAMENTO.CodBarra&lt;&gt;""),IF(ORÇAMENTO.Fonte="",ORÇAMENTO.CodBarra,CONCATENATE(ORÇAMENTO.Fonte," ",ORÇAMENTO.CodBarra)))</f>
        <v>SINAPI 92762</v>
      </c>
      <c r="AF358" s="12" t="str">
        <f ca="1">IF(ISERROR(INDIRECT(ORÇAMENTO.BancoRef)),"(abra o arquivo 'Referência "&amp;Excel_BuiltIn_Database&amp;".xlsm)",IF(OR($C358&lt;&gt;"S",ORÇAMENTO.CodBarra=""),"(Sem Código)",IF(ISERROR(MATCH($AE358,INDIRECT(ORÇAMENTO.BancoRef),0)),"(Código não identificado nas referências)",MATCH($AE358,INDIRECT(ORÇAMENTO.BancoRef),0))))</f>
        <v>(abra o arquivo 'Referência 12-2024.xlsm)</v>
      </c>
      <c r="AG358" s="429">
        <f ca="1">ROUND(IF(DESONERACAO="sim",REFERENCIA.Desonerado,REFERENCIA.NaoDesonerado),2)</f>
        <v>0</v>
      </c>
      <c r="AH358" s="430">
        <f t="shared" ca="1" si="98"/>
        <v>0.31190000000000001</v>
      </c>
      <c r="AJ358" s="432">
        <v>135.12</v>
      </c>
      <c r="AL358" s="440"/>
      <c r="AM358" s="337">
        <f t="shared" ca="1" si="83"/>
        <v>0</v>
      </c>
      <c r="AN358" s="471">
        <f t="shared" ca="1" si="99"/>
        <v>0</v>
      </c>
    </row>
    <row r="359" spans="1:40" ht="25.5" x14ac:dyDescent="0.2">
      <c r="A359" t="str">
        <f t="shared" si="84"/>
        <v>S</v>
      </c>
      <c r="B359">
        <f t="shared" ca="1" si="85"/>
        <v>2</v>
      </c>
      <c r="C359" t="str">
        <f t="shared" ca="1" si="86"/>
        <v>S</v>
      </c>
      <c r="D359">
        <f t="shared" ca="1" si="87"/>
        <v>0</v>
      </c>
      <c r="E359">
        <f ca="1">IF($C359=1,OFFSET(E359,-1,0)+MAX(1,COUNTIF(QCI!$A$13:$A$24,OFFSET(ORÇAMENTO!E359,-1,0))),OFFSET(E359,-1,0))</f>
        <v>1</v>
      </c>
      <c r="F359">
        <f t="shared" ca="1" si="88"/>
        <v>19</v>
      </c>
      <c r="G359">
        <f t="shared" ca="1" si="89"/>
        <v>0</v>
      </c>
      <c r="H359">
        <f t="shared" ca="1" si="90"/>
        <v>0</v>
      </c>
      <c r="I359">
        <f t="shared" ca="1" si="91"/>
        <v>0</v>
      </c>
      <c r="J359">
        <f t="shared" ca="1" si="92"/>
        <v>0</v>
      </c>
      <c r="K359">
        <f ca="1">IF(OR($C359="S",$C359=0),0,MATCH(OFFSET($D359,0,$C359)+IF($C359&lt;&gt;1,1,COUNTIF(QCI!$A$13:$A$24,ORÇAMENTO!E359)),OFFSET($D359,1,$C359,ROW($C$405)-ROW($C359)),0))</f>
        <v>0</v>
      </c>
      <c r="L359" s="115" t="str">
        <f t="shared" ca="1" si="93"/>
        <v/>
      </c>
      <c r="M359" s="116" t="s">
        <v>706</v>
      </c>
      <c r="N359" s="117" t="str">
        <f t="shared" ca="1" si="94"/>
        <v>Serviço</v>
      </c>
      <c r="O359" s="118" t="str">
        <f t="shared" ca="1" si="95"/>
        <v>-</v>
      </c>
      <c r="P359" s="119" t="s">
        <v>751</v>
      </c>
      <c r="Q359" s="120" t="s">
        <v>1239</v>
      </c>
      <c r="R359" s="121" t="s">
        <v>1609</v>
      </c>
      <c r="S359" s="122" t="s">
        <v>625</v>
      </c>
      <c r="T359" s="123">
        <f ca="1">OFFSET(CÁLCULO!H$15,ROW($T359)-ROW(T$15),0)</f>
        <v>2.4900000000000002</v>
      </c>
      <c r="U359" s="124"/>
      <c r="V359" s="125" t="s">
        <v>663</v>
      </c>
      <c r="W359" s="123">
        <f ca="1">IF($C359="S",ROUND(IF(TIPOORCAMENTO="Proposto",ORÇAMENTO.CustoUnitario*(1+$AH359),ORÇAMENTO.PrecoUnitarioLicitado),15-13*$AF$10),0)</f>
        <v>0</v>
      </c>
      <c r="X359" s="126" cm="1">
        <f t="array" aca="1" ref="X359" ca="1">IF($C359="S",IF(OR(Import.TipoArredondamento&lt;&gt;"TransfereGOV",ACOMPANHAMENTO="BM"),VTOTAL1,SUM(OFFSET(CÁLCULO!$AA$15,ROW($X359)-ROW($X$15),1):OFFSET(CÁLCULO!$AL$15,ROW($X359)-ROW($X$15),-1))),IF($C359=0,0,ROUND(SomaAgrup,15-13*$AF$11)))</f>
        <v>0</v>
      </c>
      <c r="Y359" s="127" t="s">
        <v>752</v>
      </c>
      <c r="Z359" t="str">
        <f t="shared" ca="1" si="96"/>
        <v/>
      </c>
      <c r="AA359" s="128">
        <f ca="1">IF($C359="S",IF($Z359="CP",$X359,IF($Z359="RA",(($X359)*QCI!$AA$3),0)),SomaAgrup)</f>
        <v>0</v>
      </c>
      <c r="AB359" s="129">
        <f t="shared" ca="1" si="97"/>
        <v>0</v>
      </c>
      <c r="AC359" s="567" t="str">
        <f ca="1">IF($N359=""," ",
IF(AND($C359&lt;&gt;"S",OR($R359="",$R359="(digite a descrição aqui)")),"DESCRIÇÃO",
IF(AND($C359="S",OR($Q359&lt;&gt;0,$T359&gt;0,$U359&gt;0),$P359=0),"FONTE",
IF(AND($C359="S",$P359&lt;&gt;0,OR($T359&gt;0,$U359&gt;0),$Q359=0),"CÓDIGO",
IF(AND($C359="S",$P359&lt;&gt;0,$Q359&lt;&gt;0,$R359="(Código não identificado nas referências)"),"CÓDIGO N/ID",
IF(AND($C359="S",OR($R359="",$R359="(digite a descrição aqui)"),OR($Q359&lt;&gt;0,$T359&gt;0,$U359&gt;0)),"DESCRIÇÃO",
IF(AND($C359="S",$P359&lt;&gt;0,$Q359&lt;&gt;0,$S359=""),"UNIDADE",
IF(AND($C359="S",$P359&lt;&gt;0,$Q359&lt;&gt;0,$U359=0),"SEM CUSTO",
IF(AND(TIPOORCAMENTO="Licitado",$AL359=0,$AN359&gt;0),"SEM PREÇO",
IF(AND($C359="S",$P359&lt;&gt;0,$Q359&lt;&gt;0,$U359&gt;0,$V359=0),"BDI",
IF(OR(AND(TIPOORCAMENTO="Proposto",$AG359&lt;&gt;"",$AG359&gt;0,ORÇAMENTO.CustoUnitario&gt;$AG359),AND(TIPOORCAMENTO="LICITADO",ORÇAMENTO.PrecoUnitarioLicitado&gt;$AN359)),"ACIMA REF.",
IF(AND($C359="S",$P359&lt;&gt;0,$Q359&lt;&gt;0,$T359=0,$U359&gt;0),"QUANT.",
IF(AND(Import.TipoArredondamento="TransfereGOV",$L359="F",$C359="S",LEN($Q359)&gt;13),"Código &gt;13",
IF(AND(Import.TipoArredondamento="TransfereGOV",$L359="F",$C359&lt;&gt;"S",LEN($R359)&gt;100),"Descrição &gt;100",
IF(AND(Import.TipoArredondamento="TransfereGOV",$L359="F",$C359="S",LEN($R359)&gt;500),"Descrição &gt;500",
IF(AND(Import.TipoArredondamento="TransfereGOV",$L359="F",$C359="S",LEFT(TRIM(UPPER($P359)),6)&lt;&gt;"SINAPI",ISNA(VLOOKUP(TRIM(UPPER($S359)),ListaTgov.Unidades,1,FALSE))),"Unid. Não Disp",
" "))))))))))))))))</f>
        <v>SEM CUSTO</v>
      </c>
      <c r="AD359" t="str">
        <f ca="1">IF(C359&lt;=CRONO.NivelExibicao,MAX($AD$15:OFFSET(AD359,-1,0))+IF($C359&lt;&gt;1,1,MAX(1,COUNTIF(QCI!$A$13:$A$24,OFFSET($E359,-1,0)))),"")</f>
        <v/>
      </c>
      <c r="AE359" s="7" t="str">
        <f ca="1">IF(AND($C359="S",ORÇAMENTO.CodBarra&lt;&gt;""),IF(ORÇAMENTO.Fonte="",ORÇAMENTO.CodBarra,CONCATENATE(ORÇAMENTO.Fonte," ",ORÇAMENTO.CodBarra)))</f>
        <v>SINAPI 96558</v>
      </c>
      <c r="AF359" s="12" t="str">
        <f ca="1">IF(ISERROR(INDIRECT(ORÇAMENTO.BancoRef)),"(abra o arquivo 'Referência "&amp;Excel_BuiltIn_Database&amp;".xlsm)",IF(OR($C359&lt;&gt;"S",ORÇAMENTO.CodBarra=""),"(Sem Código)",IF(ISERROR(MATCH($AE359,INDIRECT(ORÇAMENTO.BancoRef),0)),"(Código não identificado nas referências)",MATCH($AE359,INDIRECT(ORÇAMENTO.BancoRef),0))))</f>
        <v>(abra o arquivo 'Referência 12-2024.xlsm)</v>
      </c>
      <c r="AG359" s="429">
        <f ca="1">ROUND(IF(DESONERACAO="sim",REFERENCIA.Desonerado,REFERENCIA.NaoDesonerado),2)</f>
        <v>0</v>
      </c>
      <c r="AH359" s="430">
        <f t="shared" ca="1" si="98"/>
        <v>0.31190000000000001</v>
      </c>
      <c r="AJ359" s="432">
        <v>2.4900000000000002</v>
      </c>
      <c r="AL359" s="440"/>
      <c r="AM359" s="337">
        <f t="shared" ca="1" si="83"/>
        <v>0</v>
      </c>
      <c r="AN359" s="471">
        <f t="shared" ca="1" si="99"/>
        <v>0</v>
      </c>
    </row>
    <row r="360" spans="1:40" ht="38.25" x14ac:dyDescent="0.2">
      <c r="A360" t="str">
        <f t="shared" si="84"/>
        <v>S</v>
      </c>
      <c r="B360">
        <f t="shared" ca="1" si="85"/>
        <v>2</v>
      </c>
      <c r="C360" t="str">
        <f t="shared" ca="1" si="86"/>
        <v>S</v>
      </c>
      <c r="D360">
        <f t="shared" ca="1" si="87"/>
        <v>0</v>
      </c>
      <c r="E360">
        <f ca="1">IF($C360=1,OFFSET(E360,-1,0)+MAX(1,COUNTIF(QCI!$A$13:$A$24,OFFSET(ORÇAMENTO!E360,-1,0))),OFFSET(E360,-1,0))</f>
        <v>1</v>
      </c>
      <c r="F360">
        <f t="shared" ca="1" si="88"/>
        <v>19</v>
      </c>
      <c r="G360">
        <f t="shared" ca="1" si="89"/>
        <v>0</v>
      </c>
      <c r="H360">
        <f t="shared" ca="1" si="90"/>
        <v>0</v>
      </c>
      <c r="I360">
        <f t="shared" ca="1" si="91"/>
        <v>0</v>
      </c>
      <c r="J360">
        <f t="shared" ca="1" si="92"/>
        <v>0</v>
      </c>
      <c r="K360">
        <f ca="1">IF(OR($C360="S",$C360=0),0,MATCH(OFFSET($D360,0,$C360)+IF($C360&lt;&gt;1,1,COUNTIF(QCI!$A$13:$A$24,ORÇAMENTO!E360)),OFFSET($D360,1,$C360,ROW($C$405)-ROW($C360)),0))</f>
        <v>0</v>
      </c>
      <c r="L360" s="115" t="str">
        <f t="shared" ca="1" si="93"/>
        <v/>
      </c>
      <c r="M360" s="116" t="s">
        <v>706</v>
      </c>
      <c r="N360" s="117" t="str">
        <f t="shared" ca="1" si="94"/>
        <v>Serviço</v>
      </c>
      <c r="O360" s="118" t="str">
        <f t="shared" ca="1" si="95"/>
        <v>-</v>
      </c>
      <c r="P360" s="119" t="s">
        <v>751</v>
      </c>
      <c r="Q360" s="120" t="s">
        <v>1240</v>
      </c>
      <c r="R360" s="121" t="s">
        <v>1610</v>
      </c>
      <c r="S360" s="122" t="s">
        <v>625</v>
      </c>
      <c r="T360" s="123">
        <f ca="1">OFFSET(CÁLCULO!H$15,ROW($T360)-ROW(T$15),0)</f>
        <v>12.29</v>
      </c>
      <c r="U360" s="124"/>
      <c r="V360" s="125" t="s">
        <v>663</v>
      </c>
      <c r="W360" s="123">
        <f ca="1">IF($C360="S",ROUND(IF(TIPOORCAMENTO="Proposto",ORÇAMENTO.CustoUnitario*(1+$AH360),ORÇAMENTO.PrecoUnitarioLicitado),15-13*$AF$10),0)</f>
        <v>0</v>
      </c>
      <c r="X360" s="126" cm="1">
        <f t="array" aca="1" ref="X360" ca="1">IF($C360="S",IF(OR(Import.TipoArredondamento&lt;&gt;"TransfereGOV",ACOMPANHAMENTO="BM"),VTOTAL1,SUM(OFFSET(CÁLCULO!$AA$15,ROW($X360)-ROW($X$15),1):OFFSET(CÁLCULO!$AL$15,ROW($X360)-ROW($X$15),-1))),IF($C360=0,0,ROUND(SomaAgrup,15-13*$AF$11)))</f>
        <v>0</v>
      </c>
      <c r="Y360" s="127" t="s">
        <v>752</v>
      </c>
      <c r="Z360" t="str">
        <f t="shared" ca="1" si="96"/>
        <v/>
      </c>
      <c r="AA360" s="128">
        <f ca="1">IF($C360="S",IF($Z360="CP",$X360,IF($Z360="RA",(($X360)*QCI!$AA$3),0)),SomaAgrup)</f>
        <v>0</v>
      </c>
      <c r="AB360" s="129">
        <f t="shared" ca="1" si="97"/>
        <v>0</v>
      </c>
      <c r="AC360" s="567" t="str">
        <f ca="1">IF($N360=""," ",
IF(AND($C360&lt;&gt;"S",OR($R360="",$R360="(digite a descrição aqui)")),"DESCRIÇÃO",
IF(AND($C360="S",OR($Q360&lt;&gt;0,$T360&gt;0,$U360&gt;0),$P360=0),"FONTE",
IF(AND($C360="S",$P360&lt;&gt;0,OR($T360&gt;0,$U360&gt;0),$Q360=0),"CÓDIGO",
IF(AND($C360="S",$P360&lt;&gt;0,$Q360&lt;&gt;0,$R360="(Código não identificado nas referências)"),"CÓDIGO N/ID",
IF(AND($C360="S",OR($R360="",$R360="(digite a descrição aqui)"),OR($Q360&lt;&gt;0,$T360&gt;0,$U360&gt;0)),"DESCRIÇÃO",
IF(AND($C360="S",$P360&lt;&gt;0,$Q360&lt;&gt;0,$S360=""),"UNIDADE",
IF(AND($C360="S",$P360&lt;&gt;0,$Q360&lt;&gt;0,$U360=0),"SEM CUSTO",
IF(AND(TIPOORCAMENTO="Licitado",$AL360=0,$AN360&gt;0),"SEM PREÇO",
IF(AND($C360="S",$P360&lt;&gt;0,$Q360&lt;&gt;0,$U360&gt;0,$V360=0),"BDI",
IF(OR(AND(TIPOORCAMENTO="Proposto",$AG360&lt;&gt;"",$AG360&gt;0,ORÇAMENTO.CustoUnitario&gt;$AG360),AND(TIPOORCAMENTO="LICITADO",ORÇAMENTO.PrecoUnitarioLicitado&gt;$AN360)),"ACIMA REF.",
IF(AND($C360="S",$P360&lt;&gt;0,$Q360&lt;&gt;0,$T360=0,$U360&gt;0),"QUANT.",
IF(AND(Import.TipoArredondamento="TransfereGOV",$L360="F",$C360="S",LEN($Q360)&gt;13),"Código &gt;13",
IF(AND(Import.TipoArredondamento="TransfereGOV",$L360="F",$C360&lt;&gt;"S",LEN($R360)&gt;100),"Descrição &gt;100",
IF(AND(Import.TipoArredondamento="TransfereGOV",$L360="F",$C360="S",LEN($R360)&gt;500),"Descrição &gt;500",
IF(AND(Import.TipoArredondamento="TransfereGOV",$L360="F",$C360="S",LEFT(TRIM(UPPER($P360)),6)&lt;&gt;"SINAPI",ISNA(VLOOKUP(TRIM(UPPER($S360)),ListaTgov.Unidades,1,FALSE))),"Unid. Não Disp",
" "))))))))))))))))</f>
        <v>SEM CUSTO</v>
      </c>
      <c r="AD360" t="str">
        <f ca="1">IF(C360&lt;=CRONO.NivelExibicao,MAX($AD$15:OFFSET(AD360,-1,0))+IF($C360&lt;&gt;1,1,MAX(1,COUNTIF(QCI!$A$13:$A$24,OFFSET($E360,-1,0)))),"")</f>
        <v/>
      </c>
      <c r="AE360" s="7" t="str">
        <f ca="1">IF(AND($C360="S",ORÇAMENTO.CodBarra&lt;&gt;""),IF(ORÇAMENTO.Fonte="",ORÇAMENTO.CodBarra,CONCATENATE(ORÇAMENTO.Fonte," ",ORÇAMENTO.CodBarra)))</f>
        <v>SINAPI 96557</v>
      </c>
      <c r="AF360" s="12" t="str">
        <f ca="1">IF(ISERROR(INDIRECT(ORÇAMENTO.BancoRef)),"(abra o arquivo 'Referência "&amp;Excel_BuiltIn_Database&amp;".xlsm)",IF(OR($C360&lt;&gt;"S",ORÇAMENTO.CodBarra=""),"(Sem Código)",IF(ISERROR(MATCH($AE360,INDIRECT(ORÇAMENTO.BancoRef),0)),"(Código não identificado nas referências)",MATCH($AE360,INDIRECT(ORÇAMENTO.BancoRef),0))))</f>
        <v>(abra o arquivo 'Referência 12-2024.xlsm)</v>
      </c>
      <c r="AG360" s="429">
        <f ca="1">ROUND(IF(DESONERACAO="sim",REFERENCIA.Desonerado,REFERENCIA.NaoDesonerado),2)</f>
        <v>0</v>
      </c>
      <c r="AH360" s="430">
        <f t="shared" ca="1" si="98"/>
        <v>0.31190000000000001</v>
      </c>
      <c r="AJ360" s="432">
        <v>12.29</v>
      </c>
      <c r="AL360" s="440"/>
      <c r="AM360" s="337">
        <f t="shared" ca="1" si="83"/>
        <v>0</v>
      </c>
      <c r="AN360" s="471">
        <f t="shared" ca="1" si="99"/>
        <v>0</v>
      </c>
    </row>
    <row r="361" spans="1:40" ht="25.5" x14ac:dyDescent="0.2">
      <c r="A361" t="str">
        <f t="shared" si="84"/>
        <v>S</v>
      </c>
      <c r="B361">
        <f t="shared" ca="1" si="85"/>
        <v>2</v>
      </c>
      <c r="C361" t="str">
        <f t="shared" ca="1" si="86"/>
        <v>S</v>
      </c>
      <c r="D361">
        <f t="shared" ca="1" si="87"/>
        <v>0</v>
      </c>
      <c r="E361">
        <f ca="1">IF($C361=1,OFFSET(E361,-1,0)+MAX(1,COUNTIF(QCI!$A$13:$A$24,OFFSET(ORÇAMENTO!E361,-1,0))),OFFSET(E361,-1,0))</f>
        <v>1</v>
      </c>
      <c r="F361">
        <f t="shared" ca="1" si="88"/>
        <v>19</v>
      </c>
      <c r="G361">
        <f t="shared" ca="1" si="89"/>
        <v>0</v>
      </c>
      <c r="H361">
        <f t="shared" ca="1" si="90"/>
        <v>0</v>
      </c>
      <c r="I361">
        <f t="shared" ca="1" si="91"/>
        <v>0</v>
      </c>
      <c r="J361">
        <f t="shared" ca="1" si="92"/>
        <v>0</v>
      </c>
      <c r="K361">
        <f ca="1">IF(OR($C361="S",$C361=0),0,MATCH(OFFSET($D361,0,$C361)+IF($C361&lt;&gt;1,1,COUNTIF(QCI!$A$13:$A$24,ORÇAMENTO!E361)),OFFSET($D361,1,$C361,ROW($C$405)-ROW($C361)),0))</f>
        <v>0</v>
      </c>
      <c r="L361" s="115" t="str">
        <f t="shared" ca="1" si="93"/>
        <v/>
      </c>
      <c r="M361" s="116" t="s">
        <v>706</v>
      </c>
      <c r="N361" s="117" t="str">
        <f t="shared" ca="1" si="94"/>
        <v>Serviço</v>
      </c>
      <c r="O361" s="118" t="str">
        <f t="shared" ca="1" si="95"/>
        <v>-</v>
      </c>
      <c r="P361" s="119" t="s">
        <v>751</v>
      </c>
      <c r="Q361" s="120" t="s">
        <v>1241</v>
      </c>
      <c r="R361" s="121" t="s">
        <v>1611</v>
      </c>
      <c r="S361" s="122" t="s">
        <v>625</v>
      </c>
      <c r="T361" s="123">
        <f ca="1">OFFSET(CÁLCULO!H$15,ROW($T361)-ROW(T$15),0)</f>
        <v>3.04</v>
      </c>
      <c r="U361" s="124"/>
      <c r="V361" s="125" t="s">
        <v>663</v>
      </c>
      <c r="W361" s="123">
        <f ca="1">IF($C361="S",ROUND(IF(TIPOORCAMENTO="Proposto",ORÇAMENTO.CustoUnitario*(1+$AH361),ORÇAMENTO.PrecoUnitarioLicitado),15-13*$AF$10),0)</f>
        <v>0</v>
      </c>
      <c r="X361" s="126" cm="1">
        <f t="array" aca="1" ref="X361" ca="1">IF($C361="S",IF(OR(Import.TipoArredondamento&lt;&gt;"TransfereGOV",ACOMPANHAMENTO="BM"),VTOTAL1,SUM(OFFSET(CÁLCULO!$AA$15,ROW($X361)-ROW($X$15),1):OFFSET(CÁLCULO!$AL$15,ROW($X361)-ROW($X$15),-1))),IF($C361=0,0,ROUND(SomaAgrup,15-13*$AF$11)))</f>
        <v>0</v>
      </c>
      <c r="Y361" s="127" t="s">
        <v>752</v>
      </c>
      <c r="Z361" t="str">
        <f t="shared" ca="1" si="96"/>
        <v/>
      </c>
      <c r="AA361" s="128">
        <f ca="1">IF($C361="S",IF($Z361="CP",$X361,IF($Z361="RA",(($X361)*QCI!$AA$3),0)),SomaAgrup)</f>
        <v>0</v>
      </c>
      <c r="AB361" s="129">
        <f t="shared" ca="1" si="97"/>
        <v>0</v>
      </c>
      <c r="AC361" s="567" t="str">
        <f ca="1">IF($N361=""," ",
IF(AND($C361&lt;&gt;"S",OR($R361="",$R361="(digite a descrição aqui)")),"DESCRIÇÃO",
IF(AND($C361="S",OR($Q361&lt;&gt;0,$T361&gt;0,$U361&gt;0),$P361=0),"FONTE",
IF(AND($C361="S",$P361&lt;&gt;0,OR($T361&gt;0,$U361&gt;0),$Q361=0),"CÓDIGO",
IF(AND($C361="S",$P361&lt;&gt;0,$Q361&lt;&gt;0,$R361="(Código não identificado nas referências)"),"CÓDIGO N/ID",
IF(AND($C361="S",OR($R361="",$R361="(digite a descrição aqui)"),OR($Q361&lt;&gt;0,$T361&gt;0,$U361&gt;0)),"DESCRIÇÃO",
IF(AND($C361="S",$P361&lt;&gt;0,$Q361&lt;&gt;0,$S361=""),"UNIDADE",
IF(AND($C361="S",$P361&lt;&gt;0,$Q361&lt;&gt;0,$U361=0),"SEM CUSTO",
IF(AND(TIPOORCAMENTO="Licitado",$AL361=0,$AN361&gt;0),"SEM PREÇO",
IF(AND($C361="S",$P361&lt;&gt;0,$Q361&lt;&gt;0,$U361&gt;0,$V361=0),"BDI",
IF(OR(AND(TIPOORCAMENTO="Proposto",$AG361&lt;&gt;"",$AG361&gt;0,ORÇAMENTO.CustoUnitario&gt;$AG361),AND(TIPOORCAMENTO="LICITADO",ORÇAMENTO.PrecoUnitarioLicitado&gt;$AN361)),"ACIMA REF.",
IF(AND($C361="S",$P361&lt;&gt;0,$Q361&lt;&gt;0,$T361=0,$U361&gt;0),"QUANT.",
IF(AND(Import.TipoArredondamento="TransfereGOV",$L361="F",$C361="S",LEN($Q361)&gt;13),"Código &gt;13",
IF(AND(Import.TipoArredondamento="TransfereGOV",$L361="F",$C361&lt;&gt;"S",LEN($R361)&gt;100),"Descrição &gt;100",
IF(AND(Import.TipoArredondamento="TransfereGOV",$L361="F",$C361="S",LEN($R361)&gt;500),"Descrição &gt;500",
IF(AND(Import.TipoArredondamento="TransfereGOV",$L361="F",$C361="S",LEFT(TRIM(UPPER($P361)),6)&lt;&gt;"SINAPI",ISNA(VLOOKUP(TRIM(UPPER($S361)),ListaTgov.Unidades,1,FALSE))),"Unid. Não Disp",
" "))))))))))))))))</f>
        <v>SEM CUSTO</v>
      </c>
      <c r="AD361" t="str">
        <f ca="1">IF(C361&lt;=CRONO.NivelExibicao,MAX($AD$15:OFFSET(AD361,-1,0))+IF($C361&lt;&gt;1,1,MAX(1,COUNTIF(QCI!$A$13:$A$24,OFFSET($E361,-1,0)))),"")</f>
        <v/>
      </c>
      <c r="AE361" s="7" t="str">
        <f ca="1">IF(AND($C361="S",ORÇAMENTO.CodBarra&lt;&gt;""),IF(ORÇAMENTO.Fonte="",ORÇAMENTO.CodBarra,CONCATENATE(ORÇAMENTO.Fonte," ",ORÇAMENTO.CodBarra)))</f>
        <v>SINAPI 103672</v>
      </c>
      <c r="AF361" s="12" t="str">
        <f ca="1">IF(ISERROR(INDIRECT(ORÇAMENTO.BancoRef)),"(abra o arquivo 'Referência "&amp;Excel_BuiltIn_Database&amp;".xlsm)",IF(OR($C361&lt;&gt;"S",ORÇAMENTO.CodBarra=""),"(Sem Código)",IF(ISERROR(MATCH($AE361,INDIRECT(ORÇAMENTO.BancoRef),0)),"(Código não identificado nas referências)",MATCH($AE361,INDIRECT(ORÇAMENTO.BancoRef),0))))</f>
        <v>(abra o arquivo 'Referência 12-2024.xlsm)</v>
      </c>
      <c r="AG361" s="429">
        <f ca="1">ROUND(IF(DESONERACAO="sim",REFERENCIA.Desonerado,REFERENCIA.NaoDesonerado),2)</f>
        <v>0</v>
      </c>
      <c r="AH361" s="430">
        <f t="shared" ca="1" si="98"/>
        <v>0.31190000000000001</v>
      </c>
      <c r="AJ361" s="432">
        <v>3.04</v>
      </c>
      <c r="AL361" s="440"/>
      <c r="AM361" s="337">
        <f t="shared" ca="1" si="83"/>
        <v>0</v>
      </c>
      <c r="AN361" s="471">
        <f t="shared" ca="1" si="99"/>
        <v>0</v>
      </c>
    </row>
    <row r="362" spans="1:40" ht="51" x14ac:dyDescent="0.2">
      <c r="A362" t="str">
        <f t="shared" si="84"/>
        <v>S</v>
      </c>
      <c r="B362">
        <f t="shared" ca="1" si="85"/>
        <v>2</v>
      </c>
      <c r="C362" t="str">
        <f t="shared" ca="1" si="86"/>
        <v>S</v>
      </c>
      <c r="D362">
        <f t="shared" ca="1" si="87"/>
        <v>0</v>
      </c>
      <c r="E362">
        <f ca="1">IF($C362=1,OFFSET(E362,-1,0)+MAX(1,COUNTIF(QCI!$A$13:$A$24,OFFSET(ORÇAMENTO!E362,-1,0))),OFFSET(E362,-1,0))</f>
        <v>1</v>
      </c>
      <c r="F362">
        <f t="shared" ca="1" si="88"/>
        <v>19</v>
      </c>
      <c r="G362">
        <f t="shared" ca="1" si="89"/>
        <v>0</v>
      </c>
      <c r="H362">
        <f t="shared" ca="1" si="90"/>
        <v>0</v>
      </c>
      <c r="I362">
        <f t="shared" ca="1" si="91"/>
        <v>0</v>
      </c>
      <c r="J362">
        <f t="shared" ca="1" si="92"/>
        <v>0</v>
      </c>
      <c r="K362">
        <f ca="1">IF(OR($C362="S",$C362=0),0,MATCH(OFFSET($D362,0,$C362)+IF($C362&lt;&gt;1,1,COUNTIF(QCI!$A$13:$A$24,ORÇAMENTO!E362)),OFFSET($D362,1,$C362,ROW($C$405)-ROW($C362)),0))</f>
        <v>0</v>
      </c>
      <c r="L362" s="115" t="str">
        <f t="shared" ca="1" si="93"/>
        <v/>
      </c>
      <c r="M362" s="116" t="s">
        <v>706</v>
      </c>
      <c r="N362" s="117" t="str">
        <f t="shared" ca="1" si="94"/>
        <v>Serviço</v>
      </c>
      <c r="O362" s="118" t="str">
        <f t="shared" ca="1" si="95"/>
        <v>-</v>
      </c>
      <c r="P362" s="119" t="s">
        <v>751</v>
      </c>
      <c r="Q362" s="120" t="s">
        <v>1212</v>
      </c>
      <c r="R362" s="121" t="s">
        <v>1582</v>
      </c>
      <c r="S362" s="122" t="s">
        <v>623</v>
      </c>
      <c r="T362" s="123">
        <f ca="1">OFFSET(CÁLCULO!H$15,ROW($T362)-ROW(T$15),0)</f>
        <v>207.84</v>
      </c>
      <c r="U362" s="124"/>
      <c r="V362" s="125" t="s">
        <v>663</v>
      </c>
      <c r="W362" s="123">
        <f ca="1">IF($C362="S",ROUND(IF(TIPOORCAMENTO="Proposto",ORÇAMENTO.CustoUnitario*(1+$AH362),ORÇAMENTO.PrecoUnitarioLicitado),15-13*$AF$10),0)</f>
        <v>0</v>
      </c>
      <c r="X362" s="126" cm="1">
        <f t="array" aca="1" ref="X362" ca="1">IF($C362="S",IF(OR(Import.TipoArredondamento&lt;&gt;"TransfereGOV",ACOMPANHAMENTO="BM"),VTOTAL1,SUM(OFFSET(CÁLCULO!$AA$15,ROW($X362)-ROW($X$15),1):OFFSET(CÁLCULO!$AL$15,ROW($X362)-ROW($X$15),-1))),IF($C362=0,0,ROUND(SomaAgrup,15-13*$AF$11)))</f>
        <v>0</v>
      </c>
      <c r="Y362" s="127" t="s">
        <v>752</v>
      </c>
      <c r="Z362" t="str">
        <f t="shared" ca="1" si="96"/>
        <v/>
      </c>
      <c r="AA362" s="128">
        <f ca="1">IF($C362="S",IF($Z362="CP",$X362,IF($Z362="RA",(($X362)*QCI!$AA$3),0)),SomaAgrup)</f>
        <v>0</v>
      </c>
      <c r="AB362" s="129">
        <f t="shared" ca="1" si="97"/>
        <v>0</v>
      </c>
      <c r="AC362" s="567" t="str">
        <f ca="1">IF($N362=""," ",
IF(AND($C362&lt;&gt;"S",OR($R362="",$R362="(digite a descrição aqui)")),"DESCRIÇÃO",
IF(AND($C362="S",OR($Q362&lt;&gt;0,$T362&gt;0,$U362&gt;0),$P362=0),"FONTE",
IF(AND($C362="S",$P362&lt;&gt;0,OR($T362&gt;0,$U362&gt;0),$Q362=0),"CÓDIGO",
IF(AND($C362="S",$P362&lt;&gt;0,$Q362&lt;&gt;0,$R362="(Código não identificado nas referências)"),"CÓDIGO N/ID",
IF(AND($C362="S",OR($R362="",$R362="(digite a descrição aqui)"),OR($Q362&lt;&gt;0,$T362&gt;0,$U362&gt;0)),"DESCRIÇÃO",
IF(AND($C362="S",$P362&lt;&gt;0,$Q362&lt;&gt;0,$S362=""),"UNIDADE",
IF(AND($C362="S",$P362&lt;&gt;0,$Q362&lt;&gt;0,$U362=0),"SEM CUSTO",
IF(AND(TIPOORCAMENTO="Licitado",$AL362=0,$AN362&gt;0),"SEM PREÇO",
IF(AND($C362="S",$P362&lt;&gt;0,$Q362&lt;&gt;0,$U362&gt;0,$V362=0),"BDI",
IF(OR(AND(TIPOORCAMENTO="Proposto",$AG362&lt;&gt;"",$AG362&gt;0,ORÇAMENTO.CustoUnitario&gt;$AG362),AND(TIPOORCAMENTO="LICITADO",ORÇAMENTO.PrecoUnitarioLicitado&gt;$AN362)),"ACIMA REF.",
IF(AND($C362="S",$P362&lt;&gt;0,$Q362&lt;&gt;0,$T362=0,$U362&gt;0),"QUANT.",
IF(AND(Import.TipoArredondamento="TransfereGOV",$L362="F",$C362="S",LEN($Q362)&gt;13),"Código &gt;13",
IF(AND(Import.TipoArredondamento="TransfereGOV",$L362="F",$C362&lt;&gt;"S",LEN($R362)&gt;100),"Descrição &gt;100",
IF(AND(Import.TipoArredondamento="TransfereGOV",$L362="F",$C362="S",LEN($R362)&gt;500),"Descrição &gt;500",
IF(AND(Import.TipoArredondamento="TransfereGOV",$L362="F",$C362="S",LEFT(TRIM(UPPER($P362)),6)&lt;&gt;"SINAPI",ISNA(VLOOKUP(TRIM(UPPER($S362)),ListaTgov.Unidades,1,FALSE))),"Unid. Não Disp",
" "))))))))))))))))</f>
        <v>SEM CUSTO</v>
      </c>
      <c r="AD362" t="str">
        <f ca="1">IF(C362&lt;=CRONO.NivelExibicao,MAX($AD$15:OFFSET(AD362,-1,0))+IF($C362&lt;&gt;1,1,MAX(1,COUNTIF(QCI!$A$13:$A$24,OFFSET($E362,-1,0)))),"")</f>
        <v/>
      </c>
      <c r="AE362" s="7" t="str">
        <f ca="1">IF(AND($C362="S",ORÇAMENTO.CodBarra&lt;&gt;""),IF(ORÇAMENTO.Fonte="",ORÇAMENTO.CodBarra,CONCATENATE(ORÇAMENTO.Fonte," ",ORÇAMENTO.CodBarra)))</f>
        <v>SINAPI 103331</v>
      </c>
      <c r="AF362" s="12" t="str">
        <f ca="1">IF(ISERROR(INDIRECT(ORÇAMENTO.BancoRef)),"(abra o arquivo 'Referência "&amp;Excel_BuiltIn_Database&amp;".xlsm)",IF(OR($C362&lt;&gt;"S",ORÇAMENTO.CodBarra=""),"(Sem Código)",IF(ISERROR(MATCH($AE362,INDIRECT(ORÇAMENTO.BancoRef),0)),"(Código não identificado nas referências)",MATCH($AE362,INDIRECT(ORÇAMENTO.BancoRef),0))))</f>
        <v>(abra o arquivo 'Referência 12-2024.xlsm)</v>
      </c>
      <c r="AG362" s="429">
        <f ca="1">ROUND(IF(DESONERACAO="sim",REFERENCIA.Desonerado,REFERENCIA.NaoDesonerado),2)</f>
        <v>0</v>
      </c>
      <c r="AH362" s="430">
        <f t="shared" ca="1" si="98"/>
        <v>0.31190000000000001</v>
      </c>
      <c r="AJ362" s="432">
        <v>207.84</v>
      </c>
      <c r="AL362" s="440"/>
      <c r="AM362" s="337">
        <f t="shared" ca="1" si="83"/>
        <v>0</v>
      </c>
      <c r="AN362" s="471">
        <f t="shared" ca="1" si="99"/>
        <v>0</v>
      </c>
    </row>
    <row r="363" spans="1:40" ht="38.25" x14ac:dyDescent="0.2">
      <c r="A363" t="str">
        <f t="shared" si="84"/>
        <v>S</v>
      </c>
      <c r="B363">
        <f t="shared" ca="1" si="85"/>
        <v>2</v>
      </c>
      <c r="C363" t="str">
        <f t="shared" ca="1" si="86"/>
        <v>S</v>
      </c>
      <c r="D363">
        <f t="shared" ca="1" si="87"/>
        <v>0</v>
      </c>
      <c r="E363">
        <f ca="1">IF($C363=1,OFFSET(E363,-1,0)+MAX(1,COUNTIF(QCI!$A$13:$A$24,OFFSET(ORÇAMENTO!E363,-1,0))),OFFSET(E363,-1,0))</f>
        <v>1</v>
      </c>
      <c r="F363">
        <f t="shared" ca="1" si="88"/>
        <v>19</v>
      </c>
      <c r="G363">
        <f t="shared" ca="1" si="89"/>
        <v>0</v>
      </c>
      <c r="H363">
        <f t="shared" ca="1" si="90"/>
        <v>0</v>
      </c>
      <c r="I363">
        <f t="shared" ca="1" si="91"/>
        <v>0</v>
      </c>
      <c r="J363">
        <f t="shared" ca="1" si="92"/>
        <v>0</v>
      </c>
      <c r="K363">
        <f ca="1">IF(OR($C363="S",$C363=0),0,MATCH(OFFSET($D363,0,$C363)+IF($C363&lt;&gt;1,1,COUNTIF(QCI!$A$13:$A$24,ORÇAMENTO!E363)),OFFSET($D363,1,$C363,ROW($C$405)-ROW($C363)),0))</f>
        <v>0</v>
      </c>
      <c r="L363" s="115" t="str">
        <f t="shared" ca="1" si="93"/>
        <v/>
      </c>
      <c r="M363" s="116" t="s">
        <v>706</v>
      </c>
      <c r="N363" s="117" t="str">
        <f t="shared" ca="1" si="94"/>
        <v>Serviço</v>
      </c>
      <c r="O363" s="118" t="str">
        <f t="shared" ca="1" si="95"/>
        <v>-</v>
      </c>
      <c r="P363" s="119" t="s">
        <v>751</v>
      </c>
      <c r="Q363" s="120" t="s">
        <v>1213</v>
      </c>
      <c r="R363" s="121" t="s">
        <v>1583</v>
      </c>
      <c r="S363" s="122" t="s">
        <v>623</v>
      </c>
      <c r="T363" s="123">
        <f ca="1">OFFSET(CÁLCULO!H$15,ROW($T363)-ROW(T$15),0)</f>
        <v>498.89</v>
      </c>
      <c r="U363" s="124"/>
      <c r="V363" s="125" t="s">
        <v>663</v>
      </c>
      <c r="W363" s="123">
        <f ca="1">IF($C363="S",ROUND(IF(TIPOORCAMENTO="Proposto",ORÇAMENTO.CustoUnitario*(1+$AH363),ORÇAMENTO.PrecoUnitarioLicitado),15-13*$AF$10),0)</f>
        <v>0</v>
      </c>
      <c r="X363" s="126" cm="1">
        <f t="array" aca="1" ref="X363" ca="1">IF($C363="S",IF(OR(Import.TipoArredondamento&lt;&gt;"TransfereGOV",ACOMPANHAMENTO="BM"),VTOTAL1,SUM(OFFSET(CÁLCULO!$AA$15,ROW($X363)-ROW($X$15),1):OFFSET(CÁLCULO!$AL$15,ROW($X363)-ROW($X$15),-1))),IF($C363=0,0,ROUND(SomaAgrup,15-13*$AF$11)))</f>
        <v>0</v>
      </c>
      <c r="Y363" s="127" t="s">
        <v>752</v>
      </c>
      <c r="Z363" t="str">
        <f t="shared" ca="1" si="96"/>
        <v/>
      </c>
      <c r="AA363" s="128">
        <f ca="1">IF($C363="S",IF($Z363="CP",$X363,IF($Z363="RA",(($X363)*QCI!$AA$3),0)),SomaAgrup)</f>
        <v>0</v>
      </c>
      <c r="AB363" s="129">
        <f t="shared" ca="1" si="97"/>
        <v>0</v>
      </c>
      <c r="AC363" s="567" t="str">
        <f ca="1">IF($N363=""," ",
IF(AND($C363&lt;&gt;"S",OR($R363="",$R363="(digite a descrição aqui)")),"DESCRIÇÃO",
IF(AND($C363="S",OR($Q363&lt;&gt;0,$T363&gt;0,$U363&gt;0),$P363=0),"FONTE",
IF(AND($C363="S",$P363&lt;&gt;0,OR($T363&gt;0,$U363&gt;0),$Q363=0),"CÓDIGO",
IF(AND($C363="S",$P363&lt;&gt;0,$Q363&lt;&gt;0,$R363="(Código não identificado nas referências)"),"CÓDIGO N/ID",
IF(AND($C363="S",OR($R363="",$R363="(digite a descrição aqui)"),OR($Q363&lt;&gt;0,$T363&gt;0,$U363&gt;0)),"DESCRIÇÃO",
IF(AND($C363="S",$P363&lt;&gt;0,$Q363&lt;&gt;0,$S363=""),"UNIDADE",
IF(AND($C363="S",$P363&lt;&gt;0,$Q363&lt;&gt;0,$U363=0),"SEM CUSTO",
IF(AND(TIPOORCAMENTO="Licitado",$AL363=0,$AN363&gt;0),"SEM PREÇO",
IF(AND($C363="S",$P363&lt;&gt;0,$Q363&lt;&gt;0,$U363&gt;0,$V363=0),"BDI",
IF(OR(AND(TIPOORCAMENTO="Proposto",$AG363&lt;&gt;"",$AG363&gt;0,ORÇAMENTO.CustoUnitario&gt;$AG363),AND(TIPOORCAMENTO="LICITADO",ORÇAMENTO.PrecoUnitarioLicitado&gt;$AN363)),"ACIMA REF.",
IF(AND($C363="S",$P363&lt;&gt;0,$Q363&lt;&gt;0,$T363=0,$U363&gt;0),"QUANT.",
IF(AND(Import.TipoArredondamento="TransfereGOV",$L363="F",$C363="S",LEN($Q363)&gt;13),"Código &gt;13",
IF(AND(Import.TipoArredondamento="TransfereGOV",$L363="F",$C363&lt;&gt;"S",LEN($R363)&gt;100),"Descrição &gt;100",
IF(AND(Import.TipoArredondamento="TransfereGOV",$L363="F",$C363="S",LEN($R363)&gt;500),"Descrição &gt;500",
IF(AND(Import.TipoArredondamento="TransfereGOV",$L363="F",$C363="S",LEFT(TRIM(UPPER($P363)),6)&lt;&gt;"SINAPI",ISNA(VLOOKUP(TRIM(UPPER($S363)),ListaTgov.Unidades,1,FALSE))),"Unid. Não Disp",
" "))))))))))))))))</f>
        <v>SEM CUSTO</v>
      </c>
      <c r="AD363" t="str">
        <f ca="1">IF(C363&lt;=CRONO.NivelExibicao,MAX($AD$15:OFFSET(AD363,-1,0))+IF($C363&lt;&gt;1,1,MAX(1,COUNTIF(QCI!$A$13:$A$24,OFFSET($E363,-1,0)))),"")</f>
        <v/>
      </c>
      <c r="AE363" s="7" t="str">
        <f ca="1">IF(AND($C363="S",ORÇAMENTO.CodBarra&lt;&gt;""),IF(ORÇAMENTO.Fonte="",ORÇAMENTO.CodBarra,CONCATENATE(ORÇAMENTO.Fonte," ",ORÇAMENTO.CodBarra)))</f>
        <v>SINAPI 87879</v>
      </c>
      <c r="AF363" s="12" t="str">
        <f ca="1">IF(ISERROR(INDIRECT(ORÇAMENTO.BancoRef)),"(abra o arquivo 'Referência "&amp;Excel_BuiltIn_Database&amp;".xlsm)",IF(OR($C363&lt;&gt;"S",ORÇAMENTO.CodBarra=""),"(Sem Código)",IF(ISERROR(MATCH($AE363,INDIRECT(ORÇAMENTO.BancoRef),0)),"(Código não identificado nas referências)",MATCH($AE363,INDIRECT(ORÇAMENTO.BancoRef),0))))</f>
        <v>(abra o arquivo 'Referência 12-2024.xlsm)</v>
      </c>
      <c r="AG363" s="429">
        <f ca="1">ROUND(IF(DESONERACAO="sim",REFERENCIA.Desonerado,REFERENCIA.NaoDesonerado),2)</f>
        <v>0</v>
      </c>
      <c r="AH363" s="430">
        <f t="shared" ca="1" si="98"/>
        <v>0.31190000000000001</v>
      </c>
      <c r="AJ363" s="432">
        <v>498.89</v>
      </c>
      <c r="AL363" s="440"/>
      <c r="AM363" s="337">
        <f t="shared" ca="1" si="83"/>
        <v>0</v>
      </c>
      <c r="AN363" s="471">
        <f t="shared" ca="1" si="99"/>
        <v>0</v>
      </c>
    </row>
    <row r="364" spans="1:40" ht="51" x14ac:dyDescent="0.2">
      <c r="A364" t="str">
        <f t="shared" si="84"/>
        <v>S</v>
      </c>
      <c r="B364">
        <f t="shared" ca="1" si="85"/>
        <v>2</v>
      </c>
      <c r="C364" t="str">
        <f t="shared" ca="1" si="86"/>
        <v>S</v>
      </c>
      <c r="D364">
        <f t="shared" ca="1" si="87"/>
        <v>0</v>
      </c>
      <c r="E364">
        <f ca="1">IF($C364=1,OFFSET(E364,-1,0)+MAX(1,COUNTIF(QCI!$A$13:$A$24,OFFSET(ORÇAMENTO!E364,-1,0))),OFFSET(E364,-1,0))</f>
        <v>1</v>
      </c>
      <c r="F364">
        <f t="shared" ca="1" si="88"/>
        <v>19</v>
      </c>
      <c r="G364">
        <f t="shared" ca="1" si="89"/>
        <v>0</v>
      </c>
      <c r="H364">
        <f t="shared" ca="1" si="90"/>
        <v>0</v>
      </c>
      <c r="I364">
        <f t="shared" ca="1" si="91"/>
        <v>0</v>
      </c>
      <c r="J364">
        <f t="shared" ca="1" si="92"/>
        <v>0</v>
      </c>
      <c r="K364">
        <f ca="1">IF(OR($C364="S",$C364=0),0,MATCH(OFFSET($D364,0,$C364)+IF($C364&lt;&gt;1,1,COUNTIF(QCI!$A$13:$A$24,ORÇAMENTO!E364)),OFFSET($D364,1,$C364,ROW($C$405)-ROW($C364)),0))</f>
        <v>0</v>
      </c>
      <c r="L364" s="115" t="str">
        <f t="shared" ca="1" si="93"/>
        <v/>
      </c>
      <c r="M364" s="116" t="s">
        <v>706</v>
      </c>
      <c r="N364" s="117" t="str">
        <f t="shared" ca="1" si="94"/>
        <v>Serviço</v>
      </c>
      <c r="O364" s="118" t="str">
        <f t="shared" ca="1" si="95"/>
        <v>-</v>
      </c>
      <c r="P364" s="119" t="s">
        <v>751</v>
      </c>
      <c r="Q364" s="120" t="s">
        <v>1242</v>
      </c>
      <c r="R364" s="121" t="s">
        <v>1612</v>
      </c>
      <c r="S364" s="122" t="s">
        <v>623</v>
      </c>
      <c r="T364" s="123">
        <f ca="1">OFFSET(CÁLCULO!H$15,ROW($T364)-ROW(T$15),0)</f>
        <v>498.89</v>
      </c>
      <c r="U364" s="124"/>
      <c r="V364" s="125" t="s">
        <v>663</v>
      </c>
      <c r="W364" s="123">
        <f ca="1">IF($C364="S",ROUND(IF(TIPOORCAMENTO="Proposto",ORÇAMENTO.CustoUnitario*(1+$AH364),ORÇAMENTO.PrecoUnitarioLicitado),15-13*$AF$10),0)</f>
        <v>0</v>
      </c>
      <c r="X364" s="126" cm="1">
        <f t="array" aca="1" ref="X364" ca="1">IF($C364="S",IF(OR(Import.TipoArredondamento&lt;&gt;"TransfereGOV",ACOMPANHAMENTO="BM"),VTOTAL1,SUM(OFFSET(CÁLCULO!$AA$15,ROW($X364)-ROW($X$15),1):OFFSET(CÁLCULO!$AL$15,ROW($X364)-ROW($X$15),-1))),IF($C364=0,0,ROUND(SomaAgrup,15-13*$AF$11)))</f>
        <v>0</v>
      </c>
      <c r="Y364" s="127" t="s">
        <v>752</v>
      </c>
      <c r="Z364" t="str">
        <f t="shared" ca="1" si="96"/>
        <v/>
      </c>
      <c r="AA364" s="128">
        <f ca="1">IF($C364="S",IF($Z364="CP",$X364,IF($Z364="RA",(($X364)*QCI!$AA$3),0)),SomaAgrup)</f>
        <v>0</v>
      </c>
      <c r="AB364" s="129">
        <f t="shared" ca="1" si="97"/>
        <v>0</v>
      </c>
      <c r="AC364" s="567" t="str">
        <f ca="1">IF($N364=""," ",
IF(AND($C364&lt;&gt;"S",OR($R364="",$R364="(digite a descrição aqui)")),"DESCRIÇÃO",
IF(AND($C364="S",OR($Q364&lt;&gt;0,$T364&gt;0,$U364&gt;0),$P364=0),"FONTE",
IF(AND($C364="S",$P364&lt;&gt;0,OR($T364&gt;0,$U364&gt;0),$Q364=0),"CÓDIGO",
IF(AND($C364="S",$P364&lt;&gt;0,$Q364&lt;&gt;0,$R364="(Código não identificado nas referências)"),"CÓDIGO N/ID",
IF(AND($C364="S",OR($R364="",$R364="(digite a descrição aqui)"),OR($Q364&lt;&gt;0,$T364&gt;0,$U364&gt;0)),"DESCRIÇÃO",
IF(AND($C364="S",$P364&lt;&gt;0,$Q364&lt;&gt;0,$S364=""),"UNIDADE",
IF(AND($C364="S",$P364&lt;&gt;0,$Q364&lt;&gt;0,$U364=0),"SEM CUSTO",
IF(AND(TIPOORCAMENTO="Licitado",$AL364=0,$AN364&gt;0),"SEM PREÇO",
IF(AND($C364="S",$P364&lt;&gt;0,$Q364&lt;&gt;0,$U364&gt;0,$V364=0),"BDI",
IF(OR(AND(TIPOORCAMENTO="Proposto",$AG364&lt;&gt;"",$AG364&gt;0,ORÇAMENTO.CustoUnitario&gt;$AG364),AND(TIPOORCAMENTO="LICITADO",ORÇAMENTO.PrecoUnitarioLicitado&gt;$AN364)),"ACIMA REF.",
IF(AND($C364="S",$P364&lt;&gt;0,$Q364&lt;&gt;0,$T364=0,$U364&gt;0),"QUANT.",
IF(AND(Import.TipoArredondamento="TransfereGOV",$L364="F",$C364="S",LEN($Q364)&gt;13),"Código &gt;13",
IF(AND(Import.TipoArredondamento="TransfereGOV",$L364="F",$C364&lt;&gt;"S",LEN($R364)&gt;100),"Descrição &gt;100",
IF(AND(Import.TipoArredondamento="TransfereGOV",$L364="F",$C364="S",LEN($R364)&gt;500),"Descrição &gt;500",
IF(AND(Import.TipoArredondamento="TransfereGOV",$L364="F",$C364="S",LEFT(TRIM(UPPER($P364)),6)&lt;&gt;"SINAPI",ISNA(VLOOKUP(TRIM(UPPER($S364)),ListaTgov.Unidades,1,FALSE))),"Unid. Não Disp",
" "))))))))))))))))</f>
        <v>SEM CUSTO</v>
      </c>
      <c r="AD364" t="str">
        <f ca="1">IF(C364&lt;=CRONO.NivelExibicao,MAX($AD$15:OFFSET(AD364,-1,0))+IF($C364&lt;&gt;1,1,MAX(1,COUNTIF(QCI!$A$13:$A$24,OFFSET($E364,-1,0)))),"")</f>
        <v/>
      </c>
      <c r="AE364" s="7" t="str">
        <f ca="1">IF(AND($C364="S",ORÇAMENTO.CodBarra&lt;&gt;""),IF(ORÇAMENTO.Fonte="",ORÇAMENTO.CodBarra,CONCATENATE(ORÇAMENTO.Fonte," ",ORÇAMENTO.CodBarra)))</f>
        <v>SINAPI 87792</v>
      </c>
      <c r="AF364" s="12" t="str">
        <f ca="1">IF(ISERROR(INDIRECT(ORÇAMENTO.BancoRef)),"(abra o arquivo 'Referência "&amp;Excel_BuiltIn_Database&amp;".xlsm)",IF(OR($C364&lt;&gt;"S",ORÇAMENTO.CodBarra=""),"(Sem Código)",IF(ISERROR(MATCH($AE364,INDIRECT(ORÇAMENTO.BancoRef),0)),"(Código não identificado nas referências)",MATCH($AE364,INDIRECT(ORÇAMENTO.BancoRef),0))))</f>
        <v>(abra o arquivo 'Referência 12-2024.xlsm)</v>
      </c>
      <c r="AG364" s="429">
        <f ca="1">ROUND(IF(DESONERACAO="sim",REFERENCIA.Desonerado,REFERENCIA.NaoDesonerado),2)</f>
        <v>0</v>
      </c>
      <c r="AH364" s="430">
        <f t="shared" ca="1" si="98"/>
        <v>0.31190000000000001</v>
      </c>
      <c r="AJ364" s="432">
        <v>498.89</v>
      </c>
      <c r="AL364" s="440"/>
      <c r="AM364" s="337">
        <f t="shared" ca="1" si="83"/>
        <v>0</v>
      </c>
      <c r="AN364" s="471">
        <f t="shared" ca="1" si="99"/>
        <v>0</v>
      </c>
    </row>
    <row r="365" spans="1:40" ht="25.5" x14ac:dyDescent="0.2">
      <c r="A365" t="str">
        <f t="shared" si="84"/>
        <v>S</v>
      </c>
      <c r="B365">
        <f t="shared" ca="1" si="85"/>
        <v>2</v>
      </c>
      <c r="C365" t="str">
        <f t="shared" ca="1" si="86"/>
        <v>S</v>
      </c>
      <c r="D365">
        <f t="shared" ca="1" si="87"/>
        <v>0</v>
      </c>
      <c r="E365">
        <f ca="1">IF($C365=1,OFFSET(E365,-1,0)+MAX(1,COUNTIF(QCI!$A$13:$A$24,OFFSET(ORÇAMENTO!E365,-1,0))),OFFSET(E365,-1,0))</f>
        <v>1</v>
      </c>
      <c r="F365">
        <f t="shared" ca="1" si="88"/>
        <v>19</v>
      </c>
      <c r="G365">
        <f t="shared" ca="1" si="89"/>
        <v>0</v>
      </c>
      <c r="H365">
        <f t="shared" ca="1" si="90"/>
        <v>0</v>
      </c>
      <c r="I365">
        <f t="shared" ca="1" si="91"/>
        <v>0</v>
      </c>
      <c r="J365">
        <f t="shared" ca="1" si="92"/>
        <v>0</v>
      </c>
      <c r="K365">
        <f ca="1">IF(OR($C365="S",$C365=0),0,MATCH(OFFSET($D365,0,$C365)+IF($C365&lt;&gt;1,1,COUNTIF(QCI!$A$13:$A$24,ORÇAMENTO!E365)),OFFSET($D365,1,$C365,ROW($C$405)-ROW($C365)),0))</f>
        <v>0</v>
      </c>
      <c r="L365" s="115" t="str">
        <f t="shared" ca="1" si="93"/>
        <v/>
      </c>
      <c r="M365" s="116" t="s">
        <v>706</v>
      </c>
      <c r="N365" s="117" t="str">
        <f t="shared" ca="1" si="94"/>
        <v>Serviço</v>
      </c>
      <c r="O365" s="118" t="str">
        <f t="shared" ca="1" si="95"/>
        <v>-</v>
      </c>
      <c r="P365" s="119" t="s">
        <v>751</v>
      </c>
      <c r="Q365" s="120" t="s">
        <v>1215</v>
      </c>
      <c r="R365" s="121" t="s">
        <v>1585</v>
      </c>
      <c r="S365" s="122" t="s">
        <v>623</v>
      </c>
      <c r="T365" s="123">
        <f ca="1">OFFSET(CÁLCULO!H$15,ROW($T365)-ROW(T$15),0)</f>
        <v>498.89</v>
      </c>
      <c r="U365" s="124"/>
      <c r="V365" s="125" t="s">
        <v>663</v>
      </c>
      <c r="W365" s="123">
        <f ca="1">IF($C365="S",ROUND(IF(TIPOORCAMENTO="Proposto",ORÇAMENTO.CustoUnitario*(1+$AH365),ORÇAMENTO.PrecoUnitarioLicitado),15-13*$AF$10),0)</f>
        <v>0</v>
      </c>
      <c r="X365" s="126" cm="1">
        <f t="array" aca="1" ref="X365" ca="1">IF($C365="S",IF(OR(Import.TipoArredondamento&lt;&gt;"TransfereGOV",ACOMPANHAMENTO="BM"),VTOTAL1,SUM(OFFSET(CÁLCULO!$AA$15,ROW($X365)-ROW($X$15),1):OFFSET(CÁLCULO!$AL$15,ROW($X365)-ROW($X$15),-1))),IF($C365=0,0,ROUND(SomaAgrup,15-13*$AF$11)))</f>
        <v>0</v>
      </c>
      <c r="Y365" s="127" t="s">
        <v>752</v>
      </c>
      <c r="Z365" t="str">
        <f t="shared" ca="1" si="96"/>
        <v/>
      </c>
      <c r="AA365" s="128">
        <f ca="1">IF($C365="S",IF($Z365="CP",$X365,IF($Z365="RA",(($X365)*QCI!$AA$3),0)),SomaAgrup)</f>
        <v>0</v>
      </c>
      <c r="AB365" s="129">
        <f t="shared" ca="1" si="97"/>
        <v>0</v>
      </c>
      <c r="AC365" s="567" t="str">
        <f ca="1">IF($N365=""," ",
IF(AND($C365&lt;&gt;"S",OR($R365="",$R365="(digite a descrição aqui)")),"DESCRIÇÃO",
IF(AND($C365="S",OR($Q365&lt;&gt;0,$T365&gt;0,$U365&gt;0),$P365=0),"FONTE",
IF(AND($C365="S",$P365&lt;&gt;0,OR($T365&gt;0,$U365&gt;0),$Q365=0),"CÓDIGO",
IF(AND($C365="S",$P365&lt;&gt;0,$Q365&lt;&gt;0,$R365="(Código não identificado nas referências)"),"CÓDIGO N/ID",
IF(AND($C365="S",OR($R365="",$R365="(digite a descrição aqui)"),OR($Q365&lt;&gt;0,$T365&gt;0,$U365&gt;0)),"DESCRIÇÃO",
IF(AND($C365="S",$P365&lt;&gt;0,$Q365&lt;&gt;0,$S365=""),"UNIDADE",
IF(AND($C365="S",$P365&lt;&gt;0,$Q365&lt;&gt;0,$U365=0),"SEM CUSTO",
IF(AND(TIPOORCAMENTO="Licitado",$AL365=0,$AN365&gt;0),"SEM PREÇO",
IF(AND($C365="S",$P365&lt;&gt;0,$Q365&lt;&gt;0,$U365&gt;0,$V365=0),"BDI",
IF(OR(AND(TIPOORCAMENTO="Proposto",$AG365&lt;&gt;"",$AG365&gt;0,ORÇAMENTO.CustoUnitario&gt;$AG365),AND(TIPOORCAMENTO="LICITADO",ORÇAMENTO.PrecoUnitarioLicitado&gt;$AN365)),"ACIMA REF.",
IF(AND($C365="S",$P365&lt;&gt;0,$Q365&lt;&gt;0,$T365=0,$U365&gt;0),"QUANT.",
IF(AND(Import.TipoArredondamento="TransfereGOV",$L365="F",$C365="S",LEN($Q365)&gt;13),"Código &gt;13",
IF(AND(Import.TipoArredondamento="TransfereGOV",$L365="F",$C365&lt;&gt;"S",LEN($R365)&gt;100),"Descrição &gt;100",
IF(AND(Import.TipoArredondamento="TransfereGOV",$L365="F",$C365="S",LEN($R365)&gt;500),"Descrição &gt;500",
IF(AND(Import.TipoArredondamento="TransfereGOV",$L365="F",$C365="S",LEFT(TRIM(UPPER($P365)),6)&lt;&gt;"SINAPI",ISNA(VLOOKUP(TRIM(UPPER($S365)),ListaTgov.Unidades,1,FALSE))),"Unid. Não Disp",
" "))))))))))))))))</f>
        <v>SEM CUSTO</v>
      </c>
      <c r="AD365" t="str">
        <f ca="1">IF(C365&lt;=CRONO.NivelExibicao,MAX($AD$15:OFFSET(AD365,-1,0))+IF($C365&lt;&gt;1,1,MAX(1,COUNTIF(QCI!$A$13:$A$24,OFFSET($E365,-1,0)))),"")</f>
        <v/>
      </c>
      <c r="AE365" s="7" t="str">
        <f ca="1">IF(AND($C365="S",ORÇAMENTO.CodBarra&lt;&gt;""),IF(ORÇAMENTO.Fonte="",ORÇAMENTO.CodBarra,CONCATENATE(ORÇAMENTO.Fonte," ",ORÇAMENTO.CodBarra)))</f>
        <v>SINAPI 88485</v>
      </c>
      <c r="AF365" s="12" t="str">
        <f ca="1">IF(ISERROR(INDIRECT(ORÇAMENTO.BancoRef)),"(abra o arquivo 'Referência "&amp;Excel_BuiltIn_Database&amp;".xlsm)",IF(OR($C365&lt;&gt;"S",ORÇAMENTO.CodBarra=""),"(Sem Código)",IF(ISERROR(MATCH($AE365,INDIRECT(ORÇAMENTO.BancoRef),0)),"(Código não identificado nas referências)",MATCH($AE365,INDIRECT(ORÇAMENTO.BancoRef),0))))</f>
        <v>(abra o arquivo 'Referência 12-2024.xlsm)</v>
      </c>
      <c r="AG365" s="429">
        <f ca="1">ROUND(IF(DESONERACAO="sim",REFERENCIA.Desonerado,REFERENCIA.NaoDesonerado),2)</f>
        <v>0</v>
      </c>
      <c r="AH365" s="430">
        <f t="shared" ca="1" si="98"/>
        <v>0.31190000000000001</v>
      </c>
      <c r="AJ365" s="432">
        <v>498.89</v>
      </c>
      <c r="AL365" s="440"/>
      <c r="AM365" s="337">
        <f t="shared" ca="1" si="83"/>
        <v>0</v>
      </c>
      <c r="AN365" s="471">
        <f t="shared" ca="1" si="99"/>
        <v>0</v>
      </c>
    </row>
    <row r="366" spans="1:40" ht="25.5" x14ac:dyDescent="0.2">
      <c r="A366" t="str">
        <f t="shared" si="84"/>
        <v>S</v>
      </c>
      <c r="B366">
        <f t="shared" ca="1" si="85"/>
        <v>2</v>
      </c>
      <c r="C366" t="str">
        <f t="shared" ca="1" si="86"/>
        <v>S</v>
      </c>
      <c r="D366">
        <f t="shared" ca="1" si="87"/>
        <v>0</v>
      </c>
      <c r="E366">
        <f ca="1">IF($C366=1,OFFSET(E366,-1,0)+MAX(1,COUNTIF(QCI!$A$13:$A$24,OFFSET(ORÇAMENTO!E366,-1,0))),OFFSET(E366,-1,0))</f>
        <v>1</v>
      </c>
      <c r="F366">
        <f t="shared" ca="1" si="88"/>
        <v>19</v>
      </c>
      <c r="G366">
        <f t="shared" ca="1" si="89"/>
        <v>0</v>
      </c>
      <c r="H366">
        <f t="shared" ca="1" si="90"/>
        <v>0</v>
      </c>
      <c r="I366">
        <f t="shared" ca="1" si="91"/>
        <v>0</v>
      </c>
      <c r="J366">
        <f t="shared" ca="1" si="92"/>
        <v>0</v>
      </c>
      <c r="K366">
        <f ca="1">IF(OR($C366="S",$C366=0),0,MATCH(OFFSET($D366,0,$C366)+IF($C366&lt;&gt;1,1,COUNTIF(QCI!$A$13:$A$24,ORÇAMENTO!E366)),OFFSET($D366,1,$C366,ROW($C$405)-ROW($C366)),0))</f>
        <v>0</v>
      </c>
      <c r="L366" s="115" t="str">
        <f t="shared" ca="1" si="93"/>
        <v/>
      </c>
      <c r="M366" s="116" t="s">
        <v>706</v>
      </c>
      <c r="N366" s="117" t="str">
        <f t="shared" ca="1" si="94"/>
        <v>Serviço</v>
      </c>
      <c r="O366" s="118" t="str">
        <f t="shared" ca="1" si="95"/>
        <v>-</v>
      </c>
      <c r="P366" s="119" t="s">
        <v>751</v>
      </c>
      <c r="Q366" s="120" t="s">
        <v>1216</v>
      </c>
      <c r="R366" s="121" t="s">
        <v>1586</v>
      </c>
      <c r="S366" s="122" t="s">
        <v>623</v>
      </c>
      <c r="T366" s="123">
        <f ca="1">OFFSET(CÁLCULO!H$15,ROW($T366)-ROW(T$15),0)</f>
        <v>498.89</v>
      </c>
      <c r="U366" s="124"/>
      <c r="V366" s="125" t="s">
        <v>663</v>
      </c>
      <c r="W366" s="123">
        <f ca="1">IF($C366="S",ROUND(IF(TIPOORCAMENTO="Proposto",ORÇAMENTO.CustoUnitario*(1+$AH366),ORÇAMENTO.PrecoUnitarioLicitado),15-13*$AF$10),0)</f>
        <v>0</v>
      </c>
      <c r="X366" s="126" cm="1">
        <f t="array" aca="1" ref="X366" ca="1">IF($C366="S",IF(OR(Import.TipoArredondamento&lt;&gt;"TransfereGOV",ACOMPANHAMENTO="BM"),VTOTAL1,SUM(OFFSET(CÁLCULO!$AA$15,ROW($X366)-ROW($X$15),1):OFFSET(CÁLCULO!$AL$15,ROW($X366)-ROW($X$15),-1))),IF($C366=0,0,ROUND(SomaAgrup,15-13*$AF$11)))</f>
        <v>0</v>
      </c>
      <c r="Y366" s="127" t="s">
        <v>752</v>
      </c>
      <c r="Z366" t="str">
        <f t="shared" ca="1" si="96"/>
        <v/>
      </c>
      <c r="AA366" s="128">
        <f ca="1">IF($C366="S",IF($Z366="CP",$X366,IF($Z366="RA",(($X366)*QCI!$AA$3),0)),SomaAgrup)</f>
        <v>0</v>
      </c>
      <c r="AB366" s="129">
        <f t="shared" ca="1" si="97"/>
        <v>0</v>
      </c>
      <c r="AC366" s="567" t="str">
        <f ca="1">IF($N366=""," ",
IF(AND($C366&lt;&gt;"S",OR($R366="",$R366="(digite a descrição aqui)")),"DESCRIÇÃO",
IF(AND($C366="S",OR($Q366&lt;&gt;0,$T366&gt;0,$U366&gt;0),$P366=0),"FONTE",
IF(AND($C366="S",$P366&lt;&gt;0,OR($T366&gt;0,$U366&gt;0),$Q366=0),"CÓDIGO",
IF(AND($C366="S",$P366&lt;&gt;0,$Q366&lt;&gt;0,$R366="(Código não identificado nas referências)"),"CÓDIGO N/ID",
IF(AND($C366="S",OR($R366="",$R366="(digite a descrição aqui)"),OR($Q366&lt;&gt;0,$T366&gt;0,$U366&gt;0)),"DESCRIÇÃO",
IF(AND($C366="S",$P366&lt;&gt;0,$Q366&lt;&gt;0,$S366=""),"UNIDADE",
IF(AND($C366="S",$P366&lt;&gt;0,$Q366&lt;&gt;0,$U366=0),"SEM CUSTO",
IF(AND(TIPOORCAMENTO="Licitado",$AL366=0,$AN366&gt;0),"SEM PREÇO",
IF(AND($C366="S",$P366&lt;&gt;0,$Q366&lt;&gt;0,$U366&gt;0,$V366=0),"BDI",
IF(OR(AND(TIPOORCAMENTO="Proposto",$AG366&lt;&gt;"",$AG366&gt;0,ORÇAMENTO.CustoUnitario&gt;$AG366),AND(TIPOORCAMENTO="LICITADO",ORÇAMENTO.PrecoUnitarioLicitado&gt;$AN366)),"ACIMA REF.",
IF(AND($C366="S",$P366&lt;&gt;0,$Q366&lt;&gt;0,$T366=0,$U366&gt;0),"QUANT.",
IF(AND(Import.TipoArredondamento="TransfereGOV",$L366="F",$C366="S",LEN($Q366)&gt;13),"Código &gt;13",
IF(AND(Import.TipoArredondamento="TransfereGOV",$L366="F",$C366&lt;&gt;"S",LEN($R366)&gt;100),"Descrição &gt;100",
IF(AND(Import.TipoArredondamento="TransfereGOV",$L366="F",$C366="S",LEN($R366)&gt;500),"Descrição &gt;500",
IF(AND(Import.TipoArredondamento="TransfereGOV",$L366="F",$C366="S",LEFT(TRIM(UPPER($P366)),6)&lt;&gt;"SINAPI",ISNA(VLOOKUP(TRIM(UPPER($S366)),ListaTgov.Unidades,1,FALSE))),"Unid. Não Disp",
" "))))))))))))))))</f>
        <v>SEM CUSTO</v>
      </c>
      <c r="AD366" t="str">
        <f ca="1">IF(C366&lt;=CRONO.NivelExibicao,MAX($AD$15:OFFSET(AD366,-1,0))+IF($C366&lt;&gt;1,1,MAX(1,COUNTIF(QCI!$A$13:$A$24,OFFSET($E366,-1,0)))),"")</f>
        <v/>
      </c>
      <c r="AE366" s="7" t="str">
        <f ca="1">IF(AND($C366="S",ORÇAMENTO.CodBarra&lt;&gt;""),IF(ORÇAMENTO.Fonte="",ORÇAMENTO.CodBarra,CONCATENATE(ORÇAMENTO.Fonte," ",ORÇAMENTO.CodBarra)))</f>
        <v>SINAPI 88489</v>
      </c>
      <c r="AF366" s="12" t="str">
        <f ca="1">IF(ISERROR(INDIRECT(ORÇAMENTO.BancoRef)),"(abra o arquivo 'Referência "&amp;Excel_BuiltIn_Database&amp;".xlsm)",IF(OR($C366&lt;&gt;"S",ORÇAMENTO.CodBarra=""),"(Sem Código)",IF(ISERROR(MATCH($AE366,INDIRECT(ORÇAMENTO.BancoRef),0)),"(Código não identificado nas referências)",MATCH($AE366,INDIRECT(ORÇAMENTO.BancoRef),0))))</f>
        <v>(abra o arquivo 'Referência 12-2024.xlsm)</v>
      </c>
      <c r="AG366" s="429">
        <f ca="1">ROUND(IF(DESONERACAO="sim",REFERENCIA.Desonerado,REFERENCIA.NaoDesonerado),2)</f>
        <v>0</v>
      </c>
      <c r="AH366" s="430">
        <f t="shared" ca="1" si="98"/>
        <v>0.31190000000000001</v>
      </c>
      <c r="AJ366" s="432">
        <v>498.89</v>
      </c>
      <c r="AL366" s="440"/>
      <c r="AM366" s="337">
        <f t="shared" ca="1" si="83"/>
        <v>0</v>
      </c>
      <c r="AN366" s="471">
        <f t="shared" ca="1" si="99"/>
        <v>0</v>
      </c>
    </row>
    <row r="367" spans="1:40" ht="51" x14ac:dyDescent="0.2">
      <c r="A367" t="str">
        <f t="shared" si="84"/>
        <v>S</v>
      </c>
      <c r="B367">
        <f t="shared" ca="1" si="85"/>
        <v>2</v>
      </c>
      <c r="C367" t="str">
        <f t="shared" ca="1" si="86"/>
        <v>S</v>
      </c>
      <c r="D367">
        <f t="shared" ca="1" si="87"/>
        <v>0</v>
      </c>
      <c r="E367">
        <f ca="1">IF($C367=1,OFFSET(E367,-1,0)+MAX(1,COUNTIF(QCI!$A$13:$A$24,OFFSET(ORÇAMENTO!E367,-1,0))),OFFSET(E367,-1,0))</f>
        <v>1</v>
      </c>
      <c r="F367">
        <f t="shared" ca="1" si="88"/>
        <v>19</v>
      </c>
      <c r="G367">
        <f t="shared" ca="1" si="89"/>
        <v>0</v>
      </c>
      <c r="H367">
        <f t="shared" ca="1" si="90"/>
        <v>0</v>
      </c>
      <c r="I367">
        <f t="shared" ca="1" si="91"/>
        <v>0</v>
      </c>
      <c r="J367">
        <f t="shared" ca="1" si="92"/>
        <v>0</v>
      </c>
      <c r="K367">
        <f ca="1">IF(OR($C367="S",$C367=0),0,MATCH(OFFSET($D367,0,$C367)+IF($C367&lt;&gt;1,1,COUNTIF(QCI!$A$13:$A$24,ORÇAMENTO!E367)),OFFSET($D367,1,$C367,ROW($C$405)-ROW($C367)),0))</f>
        <v>0</v>
      </c>
      <c r="L367" s="115" t="str">
        <f t="shared" ca="1" si="93"/>
        <v/>
      </c>
      <c r="M367" s="116" t="s">
        <v>706</v>
      </c>
      <c r="N367" s="117" t="str">
        <f t="shared" ca="1" si="94"/>
        <v>Serviço</v>
      </c>
      <c r="O367" s="118" t="str">
        <f t="shared" ca="1" si="95"/>
        <v>-</v>
      </c>
      <c r="P367" s="119" t="s">
        <v>1313</v>
      </c>
      <c r="Q367" s="120" t="s">
        <v>1243</v>
      </c>
      <c r="R367" s="121" t="s">
        <v>1613</v>
      </c>
      <c r="S367" s="122" t="s">
        <v>639</v>
      </c>
      <c r="T367" s="123">
        <f ca="1">OFFSET(CÁLCULO!H$15,ROW($T367)-ROW(T$15),0)</f>
        <v>62</v>
      </c>
      <c r="U367" s="124"/>
      <c r="V367" s="125" t="s">
        <v>663</v>
      </c>
      <c r="W367" s="123">
        <f ca="1">IF($C367="S",ROUND(IF(TIPOORCAMENTO="Proposto",ORÇAMENTO.CustoUnitario*(1+$AH367),ORÇAMENTO.PrecoUnitarioLicitado),15-13*$AF$10),0)</f>
        <v>0</v>
      </c>
      <c r="X367" s="126" cm="1">
        <f t="array" aca="1" ref="X367" ca="1">IF($C367="S",IF(OR(Import.TipoArredondamento&lt;&gt;"TransfereGOV",ACOMPANHAMENTO="BM"),VTOTAL1,SUM(OFFSET(CÁLCULO!$AA$15,ROW($X367)-ROW($X$15),1):OFFSET(CÁLCULO!$AL$15,ROW($X367)-ROW($X$15),-1))),IF($C367=0,0,ROUND(SomaAgrup,15-13*$AF$11)))</f>
        <v>0</v>
      </c>
      <c r="Y367" s="127" t="s">
        <v>752</v>
      </c>
      <c r="Z367" t="str">
        <f t="shared" ca="1" si="96"/>
        <v/>
      </c>
      <c r="AA367" s="128">
        <f ca="1">IF($C367="S",IF($Z367="CP",$X367,IF($Z367="RA",(($X367)*QCI!$AA$3),0)),SomaAgrup)</f>
        <v>0</v>
      </c>
      <c r="AB367" s="129">
        <f t="shared" ca="1" si="97"/>
        <v>0</v>
      </c>
      <c r="AC367" s="567" t="str">
        <f ca="1">IF($N367=""," ",
IF(AND($C367&lt;&gt;"S",OR($R367="",$R367="(digite a descrição aqui)")),"DESCRIÇÃO",
IF(AND($C367="S",OR($Q367&lt;&gt;0,$T367&gt;0,$U367&gt;0),$P367=0),"FONTE",
IF(AND($C367="S",$P367&lt;&gt;0,OR($T367&gt;0,$U367&gt;0),$Q367=0),"CÓDIGO",
IF(AND($C367="S",$P367&lt;&gt;0,$Q367&lt;&gt;0,$R367="(Código não identificado nas referências)"),"CÓDIGO N/ID",
IF(AND($C367="S",OR($R367="",$R367="(digite a descrição aqui)"),OR($Q367&lt;&gt;0,$T367&gt;0,$U367&gt;0)),"DESCRIÇÃO",
IF(AND($C367="S",$P367&lt;&gt;0,$Q367&lt;&gt;0,$S367=""),"UNIDADE",
IF(AND($C367="S",$P367&lt;&gt;0,$Q367&lt;&gt;0,$U367=0),"SEM CUSTO",
IF(AND(TIPOORCAMENTO="Licitado",$AL367=0,$AN367&gt;0),"SEM PREÇO",
IF(AND($C367="S",$P367&lt;&gt;0,$Q367&lt;&gt;0,$U367&gt;0,$V367=0),"BDI",
IF(OR(AND(TIPOORCAMENTO="Proposto",$AG367&lt;&gt;"",$AG367&gt;0,ORÇAMENTO.CustoUnitario&gt;$AG367),AND(TIPOORCAMENTO="LICITADO",ORÇAMENTO.PrecoUnitarioLicitado&gt;$AN367)),"ACIMA REF.",
IF(AND($C367="S",$P367&lt;&gt;0,$Q367&lt;&gt;0,$T367=0,$U367&gt;0),"QUANT.",
IF(AND(Import.TipoArredondamento="TransfereGOV",$L367="F",$C367="S",LEN($Q367)&gt;13),"Código &gt;13",
IF(AND(Import.TipoArredondamento="TransfereGOV",$L367="F",$C367&lt;&gt;"S",LEN($R367)&gt;100),"Descrição &gt;100",
IF(AND(Import.TipoArredondamento="TransfereGOV",$L367="F",$C367="S",LEN($R367)&gt;500),"Descrição &gt;500",
IF(AND(Import.TipoArredondamento="TransfereGOV",$L367="F",$C367="S",LEFT(TRIM(UPPER($P367)),6)&lt;&gt;"SINAPI",ISNA(VLOOKUP(TRIM(UPPER($S367)),ListaTgov.Unidades,1,FALSE))),"Unid. Não Disp",
" "))))))))))))))))</f>
        <v>SEM CUSTO</v>
      </c>
      <c r="AD367" t="str">
        <f ca="1">IF(C367&lt;=CRONO.NivelExibicao,MAX($AD$15:OFFSET(AD367,-1,0))+IF($C367&lt;&gt;1,1,MAX(1,COUNTIF(QCI!$A$13:$A$24,OFFSET($E367,-1,0)))),"")</f>
        <v/>
      </c>
      <c r="AE367" s="7" t="str">
        <f ca="1">IF(AND($C367="S",ORÇAMENTO.CodBarra&lt;&gt;""),IF(ORÇAMENTO.Fonte="",ORÇAMENTO.CodBarra,CONCATENATE(ORÇAMENTO.Fonte," ",ORÇAMENTO.CodBarra)))</f>
        <v>Cotação 166</v>
      </c>
      <c r="AF367" s="12" t="str">
        <f ca="1">IF(ISERROR(INDIRECT(ORÇAMENTO.BancoRef)),"(abra o arquivo 'Referência "&amp;Excel_BuiltIn_Database&amp;".xlsm)",IF(OR($C367&lt;&gt;"S",ORÇAMENTO.CodBarra=""),"(Sem Código)",IF(ISERROR(MATCH($AE367,INDIRECT(ORÇAMENTO.BancoRef),0)),"(Código não identificado nas referências)",MATCH($AE367,INDIRECT(ORÇAMENTO.BancoRef),0))))</f>
        <v>(abra o arquivo 'Referência 12-2024.xlsm)</v>
      </c>
      <c r="AG367" s="429">
        <f ca="1">ROUND(IF(DESONERACAO="sim",REFERENCIA.Desonerado,REFERENCIA.NaoDesonerado),2)</f>
        <v>0</v>
      </c>
      <c r="AH367" s="430">
        <f t="shared" ca="1" si="98"/>
        <v>0.31190000000000001</v>
      </c>
      <c r="AJ367" s="432">
        <v>62</v>
      </c>
      <c r="AL367" s="440"/>
      <c r="AM367" s="337">
        <f t="shared" ca="1" si="83"/>
        <v>0</v>
      </c>
      <c r="AN367" s="471">
        <f t="shared" ca="1" si="99"/>
        <v>0</v>
      </c>
    </row>
    <row r="368" spans="1:40" x14ac:dyDescent="0.2">
      <c r="A368" t="str">
        <f t="shared" si="84"/>
        <v>S</v>
      </c>
      <c r="B368">
        <f t="shared" ca="1" si="85"/>
        <v>2</v>
      </c>
      <c r="C368" t="str">
        <f t="shared" ca="1" si="86"/>
        <v>S</v>
      </c>
      <c r="D368">
        <f t="shared" ca="1" si="87"/>
        <v>0</v>
      </c>
      <c r="E368">
        <f ca="1">IF($C368=1,OFFSET(E368,-1,0)+MAX(1,COUNTIF(QCI!$A$13:$A$24,OFFSET(ORÇAMENTO!E368,-1,0))),OFFSET(E368,-1,0))</f>
        <v>1</v>
      </c>
      <c r="F368">
        <f t="shared" ca="1" si="88"/>
        <v>19</v>
      </c>
      <c r="G368">
        <f t="shared" ca="1" si="89"/>
        <v>0</v>
      </c>
      <c r="H368">
        <f t="shared" ca="1" si="90"/>
        <v>0</v>
      </c>
      <c r="I368">
        <f t="shared" ca="1" si="91"/>
        <v>0</v>
      </c>
      <c r="J368">
        <f t="shared" ca="1" si="92"/>
        <v>0</v>
      </c>
      <c r="K368">
        <f ca="1">IF(OR($C368="S",$C368=0),0,MATCH(OFFSET($D368,0,$C368)+IF($C368&lt;&gt;1,1,COUNTIF(QCI!$A$13:$A$24,ORÇAMENTO!E368)),OFFSET($D368,1,$C368,ROW($C$405)-ROW($C368)),0))</f>
        <v>0</v>
      </c>
      <c r="L368" s="115" t="str">
        <f t="shared" ca="1" si="93"/>
        <v/>
      </c>
      <c r="M368" s="116" t="s">
        <v>706</v>
      </c>
      <c r="N368" s="117" t="str">
        <f t="shared" ca="1" si="94"/>
        <v>Serviço</v>
      </c>
      <c r="O368" s="118" t="str">
        <f t="shared" ca="1" si="95"/>
        <v>-</v>
      </c>
      <c r="P368" s="119" t="s">
        <v>751</v>
      </c>
      <c r="Q368" s="120" t="s">
        <v>1223</v>
      </c>
      <c r="R368" s="121" t="s">
        <v>1593</v>
      </c>
      <c r="S368" s="122" t="s">
        <v>615</v>
      </c>
      <c r="T368" s="123">
        <f ca="1">OFFSET(CÁLCULO!H$15,ROW($T368)-ROW(T$15),0)</f>
        <v>40</v>
      </c>
      <c r="U368" s="124"/>
      <c r="V368" s="125" t="s">
        <v>663</v>
      </c>
      <c r="W368" s="123">
        <f ca="1">IF($C368="S",ROUND(IF(TIPOORCAMENTO="Proposto",ORÇAMENTO.CustoUnitario*(1+$AH368),ORÇAMENTO.PrecoUnitarioLicitado),15-13*$AF$10),0)</f>
        <v>0</v>
      </c>
      <c r="X368" s="126" cm="1">
        <f t="array" aca="1" ref="X368" ca="1">IF($C368="S",IF(OR(Import.TipoArredondamento&lt;&gt;"TransfereGOV",ACOMPANHAMENTO="BM"),VTOTAL1,SUM(OFFSET(CÁLCULO!$AA$15,ROW($X368)-ROW($X$15),1):OFFSET(CÁLCULO!$AL$15,ROW($X368)-ROW($X$15),-1))),IF($C368=0,0,ROUND(SomaAgrup,15-13*$AF$11)))</f>
        <v>0</v>
      </c>
      <c r="Y368" s="127" t="s">
        <v>752</v>
      </c>
      <c r="Z368" t="str">
        <f t="shared" ca="1" si="96"/>
        <v/>
      </c>
      <c r="AA368" s="128">
        <f ca="1">IF($C368="S",IF($Z368="CP",$X368,IF($Z368="RA",(($X368)*QCI!$AA$3),0)),SomaAgrup)</f>
        <v>0</v>
      </c>
      <c r="AB368" s="129">
        <f t="shared" ca="1" si="97"/>
        <v>0</v>
      </c>
      <c r="AC368" s="567" t="str">
        <f ca="1">IF($N368=""," ",
IF(AND($C368&lt;&gt;"S",OR($R368="",$R368="(digite a descrição aqui)")),"DESCRIÇÃO",
IF(AND($C368="S",OR($Q368&lt;&gt;0,$T368&gt;0,$U368&gt;0),$P368=0),"FONTE",
IF(AND($C368="S",$P368&lt;&gt;0,OR($T368&gt;0,$U368&gt;0),$Q368=0),"CÓDIGO",
IF(AND($C368="S",$P368&lt;&gt;0,$Q368&lt;&gt;0,$R368="(Código não identificado nas referências)"),"CÓDIGO N/ID",
IF(AND($C368="S",OR($R368="",$R368="(digite a descrição aqui)"),OR($Q368&lt;&gt;0,$T368&gt;0,$U368&gt;0)),"DESCRIÇÃO",
IF(AND($C368="S",$P368&lt;&gt;0,$Q368&lt;&gt;0,$S368=""),"UNIDADE",
IF(AND($C368="S",$P368&lt;&gt;0,$Q368&lt;&gt;0,$U368=0),"SEM CUSTO",
IF(AND(TIPOORCAMENTO="Licitado",$AL368=0,$AN368&gt;0),"SEM PREÇO",
IF(AND($C368="S",$P368&lt;&gt;0,$Q368&lt;&gt;0,$U368&gt;0,$V368=0),"BDI",
IF(OR(AND(TIPOORCAMENTO="Proposto",$AG368&lt;&gt;"",$AG368&gt;0,ORÇAMENTO.CustoUnitario&gt;$AG368),AND(TIPOORCAMENTO="LICITADO",ORÇAMENTO.PrecoUnitarioLicitado&gt;$AN368)),"ACIMA REF.",
IF(AND($C368="S",$P368&lt;&gt;0,$Q368&lt;&gt;0,$T368=0,$U368&gt;0),"QUANT.",
IF(AND(Import.TipoArredondamento="TransfereGOV",$L368="F",$C368="S",LEN($Q368)&gt;13),"Código &gt;13",
IF(AND(Import.TipoArredondamento="TransfereGOV",$L368="F",$C368&lt;&gt;"S",LEN($R368)&gt;100),"Descrição &gt;100",
IF(AND(Import.TipoArredondamento="TransfereGOV",$L368="F",$C368="S",LEN($R368)&gt;500),"Descrição &gt;500",
IF(AND(Import.TipoArredondamento="TransfereGOV",$L368="F",$C368="S",LEFT(TRIM(UPPER($P368)),6)&lt;&gt;"SINAPI",ISNA(VLOOKUP(TRIM(UPPER($S368)),ListaTgov.Unidades,1,FALSE))),"Unid. Não Disp",
" "))))))))))))))))</f>
        <v>SEM CUSTO</v>
      </c>
      <c r="AD368" t="str">
        <f ca="1">IF(C368&lt;=CRONO.NivelExibicao,MAX($AD$15:OFFSET(AD368,-1,0))+IF($C368&lt;&gt;1,1,MAX(1,COUNTIF(QCI!$A$13:$A$24,OFFSET($E368,-1,0)))),"")</f>
        <v/>
      </c>
      <c r="AE368" s="7" t="str">
        <f ca="1">IF(AND($C368="S",ORÇAMENTO.CodBarra&lt;&gt;""),IF(ORÇAMENTO.Fonte="",ORÇAMENTO.CodBarra,CONCATENATE(ORÇAMENTO.Fonte," ",ORÇAMENTO.CodBarra)))</f>
        <v>SINAPI 88309</v>
      </c>
      <c r="AF368" s="12" t="str">
        <f ca="1">IF(ISERROR(INDIRECT(ORÇAMENTO.BancoRef)),"(abra o arquivo 'Referência "&amp;Excel_BuiltIn_Database&amp;".xlsm)",IF(OR($C368&lt;&gt;"S",ORÇAMENTO.CodBarra=""),"(Sem Código)",IF(ISERROR(MATCH($AE368,INDIRECT(ORÇAMENTO.BancoRef),0)),"(Código não identificado nas referências)",MATCH($AE368,INDIRECT(ORÇAMENTO.BancoRef),0))))</f>
        <v>(abra o arquivo 'Referência 12-2024.xlsm)</v>
      </c>
      <c r="AG368" s="429">
        <f ca="1">ROUND(IF(DESONERACAO="sim",REFERENCIA.Desonerado,REFERENCIA.NaoDesonerado),2)</f>
        <v>0</v>
      </c>
      <c r="AH368" s="430">
        <f t="shared" ca="1" si="98"/>
        <v>0.31190000000000001</v>
      </c>
      <c r="AJ368" s="432">
        <v>40</v>
      </c>
      <c r="AL368" s="440"/>
      <c r="AM368" s="337">
        <f t="shared" ca="1" si="83"/>
        <v>0</v>
      </c>
      <c r="AN368" s="471">
        <f t="shared" ca="1" si="99"/>
        <v>0</v>
      </c>
    </row>
    <row r="369" spans="1:40" x14ac:dyDescent="0.2">
      <c r="A369" t="str">
        <f t="shared" si="84"/>
        <v>S</v>
      </c>
      <c r="B369">
        <f t="shared" ca="1" si="85"/>
        <v>2</v>
      </c>
      <c r="C369" t="str">
        <f t="shared" ca="1" si="86"/>
        <v>S</v>
      </c>
      <c r="D369">
        <f t="shared" ca="1" si="87"/>
        <v>0</v>
      </c>
      <c r="E369">
        <f ca="1">IF($C369=1,OFFSET(E369,-1,0)+MAX(1,COUNTIF(QCI!$A$13:$A$24,OFFSET(ORÇAMENTO!E369,-1,0))),OFFSET(E369,-1,0))</f>
        <v>1</v>
      </c>
      <c r="F369">
        <f t="shared" ca="1" si="88"/>
        <v>19</v>
      </c>
      <c r="G369">
        <f t="shared" ca="1" si="89"/>
        <v>0</v>
      </c>
      <c r="H369">
        <f t="shared" ca="1" si="90"/>
        <v>0</v>
      </c>
      <c r="I369">
        <f t="shared" ca="1" si="91"/>
        <v>0</v>
      </c>
      <c r="J369">
        <f t="shared" ca="1" si="92"/>
        <v>0</v>
      </c>
      <c r="K369">
        <f ca="1">IF(OR($C369="S",$C369=0),0,MATCH(OFFSET($D369,0,$C369)+IF($C369&lt;&gt;1,1,COUNTIF(QCI!$A$13:$A$24,ORÇAMENTO!E369)),OFFSET($D369,1,$C369,ROW($C$405)-ROW($C369)),0))</f>
        <v>0</v>
      </c>
      <c r="L369" s="115" t="str">
        <f t="shared" ca="1" si="93"/>
        <v/>
      </c>
      <c r="M369" s="116" t="s">
        <v>706</v>
      </c>
      <c r="N369" s="117" t="str">
        <f t="shared" ca="1" si="94"/>
        <v>Serviço</v>
      </c>
      <c r="O369" s="118" t="str">
        <f t="shared" ca="1" si="95"/>
        <v>-</v>
      </c>
      <c r="P369" s="119" t="s">
        <v>751</v>
      </c>
      <c r="Q369" s="120" t="s">
        <v>956</v>
      </c>
      <c r="R369" s="121" t="s">
        <v>1334</v>
      </c>
      <c r="S369" s="122" t="s">
        <v>615</v>
      </c>
      <c r="T369" s="123">
        <f ca="1">OFFSET(CÁLCULO!H$15,ROW($T369)-ROW(T$15),0)</f>
        <v>40</v>
      </c>
      <c r="U369" s="124"/>
      <c r="V369" s="125" t="s">
        <v>663</v>
      </c>
      <c r="W369" s="123">
        <f ca="1">IF($C369="S",ROUND(IF(TIPOORCAMENTO="Proposto",ORÇAMENTO.CustoUnitario*(1+$AH369),ORÇAMENTO.PrecoUnitarioLicitado),15-13*$AF$10),0)</f>
        <v>0</v>
      </c>
      <c r="X369" s="126" cm="1">
        <f t="array" aca="1" ref="X369" ca="1">IF($C369="S",IF(OR(Import.TipoArredondamento&lt;&gt;"TransfereGOV",ACOMPANHAMENTO="BM"),VTOTAL1,SUM(OFFSET(CÁLCULO!$AA$15,ROW($X369)-ROW($X$15),1):OFFSET(CÁLCULO!$AL$15,ROW($X369)-ROW($X$15),-1))),IF($C369=0,0,ROUND(SomaAgrup,15-13*$AF$11)))</f>
        <v>0</v>
      </c>
      <c r="Y369" s="127" t="s">
        <v>752</v>
      </c>
      <c r="Z369" t="str">
        <f t="shared" ca="1" si="96"/>
        <v/>
      </c>
      <c r="AA369" s="128">
        <f ca="1">IF($C369="S",IF($Z369="CP",$X369,IF($Z369="RA",(($X369)*QCI!$AA$3),0)),SomaAgrup)</f>
        <v>0</v>
      </c>
      <c r="AB369" s="129">
        <f t="shared" ca="1" si="97"/>
        <v>0</v>
      </c>
      <c r="AC369" s="567" t="str">
        <f ca="1">IF($N369=""," ",
IF(AND($C369&lt;&gt;"S",OR($R369="",$R369="(digite a descrição aqui)")),"DESCRIÇÃO",
IF(AND($C369="S",OR($Q369&lt;&gt;0,$T369&gt;0,$U369&gt;0),$P369=0),"FONTE",
IF(AND($C369="S",$P369&lt;&gt;0,OR($T369&gt;0,$U369&gt;0),$Q369=0),"CÓDIGO",
IF(AND($C369="S",$P369&lt;&gt;0,$Q369&lt;&gt;0,$R369="(Código não identificado nas referências)"),"CÓDIGO N/ID",
IF(AND($C369="S",OR($R369="",$R369="(digite a descrição aqui)"),OR($Q369&lt;&gt;0,$T369&gt;0,$U369&gt;0)),"DESCRIÇÃO",
IF(AND($C369="S",$P369&lt;&gt;0,$Q369&lt;&gt;0,$S369=""),"UNIDADE",
IF(AND($C369="S",$P369&lt;&gt;0,$Q369&lt;&gt;0,$U369=0),"SEM CUSTO",
IF(AND(TIPOORCAMENTO="Licitado",$AL369=0,$AN369&gt;0),"SEM PREÇO",
IF(AND($C369="S",$P369&lt;&gt;0,$Q369&lt;&gt;0,$U369&gt;0,$V369=0),"BDI",
IF(OR(AND(TIPOORCAMENTO="Proposto",$AG369&lt;&gt;"",$AG369&gt;0,ORÇAMENTO.CustoUnitario&gt;$AG369),AND(TIPOORCAMENTO="LICITADO",ORÇAMENTO.PrecoUnitarioLicitado&gt;$AN369)),"ACIMA REF.",
IF(AND($C369="S",$P369&lt;&gt;0,$Q369&lt;&gt;0,$T369=0,$U369&gt;0),"QUANT.",
IF(AND(Import.TipoArredondamento="TransfereGOV",$L369="F",$C369="S",LEN($Q369)&gt;13),"Código &gt;13",
IF(AND(Import.TipoArredondamento="TransfereGOV",$L369="F",$C369&lt;&gt;"S",LEN($R369)&gt;100),"Descrição &gt;100",
IF(AND(Import.TipoArredondamento="TransfereGOV",$L369="F",$C369="S",LEN($R369)&gt;500),"Descrição &gt;500",
IF(AND(Import.TipoArredondamento="TransfereGOV",$L369="F",$C369="S",LEFT(TRIM(UPPER($P369)),6)&lt;&gt;"SINAPI",ISNA(VLOOKUP(TRIM(UPPER($S369)),ListaTgov.Unidades,1,FALSE))),"Unid. Não Disp",
" "))))))))))))))))</f>
        <v>SEM CUSTO</v>
      </c>
      <c r="AD369" t="str">
        <f ca="1">IF(C369&lt;=CRONO.NivelExibicao,MAX($AD$15:OFFSET(AD369,-1,0))+IF($C369&lt;&gt;1,1,MAX(1,COUNTIF(QCI!$A$13:$A$24,OFFSET($E369,-1,0)))),"")</f>
        <v/>
      </c>
      <c r="AE369" s="7" t="str">
        <f ca="1">IF(AND($C369="S",ORÇAMENTO.CodBarra&lt;&gt;""),IF(ORÇAMENTO.Fonte="",ORÇAMENTO.CodBarra,CONCATENATE(ORÇAMENTO.Fonte," ",ORÇAMENTO.CodBarra)))</f>
        <v>SINAPI 88242</v>
      </c>
      <c r="AF369" s="12" t="str">
        <f ca="1">IF(ISERROR(INDIRECT(ORÇAMENTO.BancoRef)),"(abra o arquivo 'Referência "&amp;Excel_BuiltIn_Database&amp;".xlsm)",IF(OR($C369&lt;&gt;"S",ORÇAMENTO.CodBarra=""),"(Sem Código)",IF(ISERROR(MATCH($AE369,INDIRECT(ORÇAMENTO.BancoRef),0)),"(Código não identificado nas referências)",MATCH($AE369,INDIRECT(ORÇAMENTO.BancoRef),0))))</f>
        <v>(abra o arquivo 'Referência 12-2024.xlsm)</v>
      </c>
      <c r="AG369" s="429">
        <f ca="1">ROUND(IF(DESONERACAO="sim",REFERENCIA.Desonerado,REFERENCIA.NaoDesonerado),2)</f>
        <v>0</v>
      </c>
      <c r="AH369" s="430">
        <f t="shared" ca="1" si="98"/>
        <v>0.31190000000000001</v>
      </c>
      <c r="AJ369" s="432">
        <v>40</v>
      </c>
      <c r="AL369" s="440"/>
      <c r="AM369" s="337">
        <f t="shared" ca="1" si="83"/>
        <v>0</v>
      </c>
      <c r="AN369" s="471">
        <f t="shared" ca="1" si="99"/>
        <v>0</v>
      </c>
    </row>
    <row r="370" spans="1:40" x14ac:dyDescent="0.2">
      <c r="A370">
        <f t="shared" si="84"/>
        <v>2</v>
      </c>
      <c r="B370">
        <f t="shared" ca="1" si="85"/>
        <v>2</v>
      </c>
      <c r="C370">
        <f t="shared" ca="1" si="86"/>
        <v>2</v>
      </c>
      <c r="D370">
        <f t="shared" ca="1" si="87"/>
        <v>10</v>
      </c>
      <c r="E370">
        <f ca="1">IF($C370=1,OFFSET(E370,-1,0)+MAX(1,COUNTIF(QCI!$A$13:$A$24,OFFSET(ORÇAMENTO!E370,-1,0))),OFFSET(E370,-1,0))</f>
        <v>1</v>
      </c>
      <c r="F370">
        <f t="shared" ca="1" si="88"/>
        <v>20</v>
      </c>
      <c r="G370">
        <f t="shared" ca="1" si="89"/>
        <v>0</v>
      </c>
      <c r="H370">
        <f t="shared" ca="1" si="90"/>
        <v>0</v>
      </c>
      <c r="I370">
        <f t="shared" ca="1" si="91"/>
        <v>0</v>
      </c>
      <c r="J370">
        <f t="shared" ca="1" si="92"/>
        <v>35</v>
      </c>
      <c r="K370">
        <f ca="1">IF(OR($C370="S",$C370=0),0,MATCH(OFFSET($D370,0,$C370)+IF($C370&lt;&gt;1,1,COUNTIF(QCI!$A$13:$A$24,ORÇAMENTO!E370)),OFFSET($D370,1,$C370,ROW($C$405)-ROW($C370)),0))</f>
        <v>10</v>
      </c>
      <c r="L370" s="115" t="str">
        <f t="shared" ca="1" si="93"/>
        <v>F</v>
      </c>
      <c r="M370" s="116" t="s">
        <v>703</v>
      </c>
      <c r="N370" s="117" t="str">
        <f t="shared" ca="1" si="94"/>
        <v>Nível 2</v>
      </c>
      <c r="O370" s="118" t="str">
        <f t="shared" ca="1" si="95"/>
        <v>1.20.</v>
      </c>
      <c r="P370" s="119" t="s">
        <v>751</v>
      </c>
      <c r="Q370" s="120"/>
      <c r="R370" s="121" t="s">
        <v>1307</v>
      </c>
      <c r="S370" s="122" t="s">
        <v>689</v>
      </c>
      <c r="T370" s="123">
        <f ca="1">OFFSET(CÁLCULO!H$15,ROW($T370)-ROW(T$15),0)</f>
        <v>0</v>
      </c>
      <c r="U370" s="124"/>
      <c r="V370" s="125" t="s">
        <v>663</v>
      </c>
      <c r="W370" s="123">
        <f ca="1">IF($C370="S",ROUND(IF(TIPOORCAMENTO="Proposto",ORÇAMENTO.CustoUnitario*(1+$AH370),ORÇAMENTO.PrecoUnitarioLicitado),15-13*$AF$10),0)</f>
        <v>0</v>
      </c>
      <c r="X370" s="126" cm="1">
        <f t="array" aca="1" ref="X370" ca="1">IF($C370="S",IF(OR(Import.TipoArredondamento&lt;&gt;"TransfereGOV",ACOMPANHAMENTO="BM"),VTOTAL1,SUM(OFFSET(CÁLCULO!$AA$15,ROW($X370)-ROW($X$15),1):OFFSET(CÁLCULO!$AL$15,ROW($X370)-ROW($X$15),-1))),IF($C370=0,0,ROUND(SomaAgrup,15-13*$AF$11)))</f>
        <v>0</v>
      </c>
      <c r="Y370" s="127" t="s">
        <v>752</v>
      </c>
      <c r="Z370" t="str">
        <f t="shared" ca="1" si="96"/>
        <v/>
      </c>
      <c r="AA370" s="128">
        <f ca="1">IF($C370="S",IF($Z370="CP",$X370,IF($Z370="RA",(($X370)*QCI!$AA$3),0)),SomaAgrup)</f>
        <v>0</v>
      </c>
      <c r="AB370" s="129">
        <f t="shared" ca="1" si="97"/>
        <v>0</v>
      </c>
      <c r="AC370" s="567" t="str">
        <f ca="1">IF($N370=""," ",
IF(AND($C370&lt;&gt;"S",OR($R370="",$R370="(digite a descrição aqui)")),"DESCRIÇÃO",
IF(AND($C370="S",OR($Q370&lt;&gt;0,$T370&gt;0,$U370&gt;0),$P370=0),"FONTE",
IF(AND($C370="S",$P370&lt;&gt;0,OR($T370&gt;0,$U370&gt;0),$Q370=0),"CÓDIGO",
IF(AND($C370="S",$P370&lt;&gt;0,$Q370&lt;&gt;0,$R370="(Código não identificado nas referências)"),"CÓDIGO N/ID",
IF(AND($C370="S",OR($R370="",$R370="(digite a descrição aqui)"),OR($Q370&lt;&gt;0,$T370&gt;0,$U370&gt;0)),"DESCRIÇÃO",
IF(AND($C370="S",$P370&lt;&gt;0,$Q370&lt;&gt;0,$S370=""),"UNIDADE",
IF(AND($C370="S",$P370&lt;&gt;0,$Q370&lt;&gt;0,$U370=0),"SEM CUSTO",
IF(AND(TIPOORCAMENTO="Licitado",$AL370=0,$AN370&gt;0),"SEM PREÇO",
IF(AND($C370="S",$P370&lt;&gt;0,$Q370&lt;&gt;0,$U370&gt;0,$V370=0),"BDI",
IF(OR(AND(TIPOORCAMENTO="Proposto",$AG370&lt;&gt;"",$AG370&gt;0,ORÇAMENTO.CustoUnitario&gt;$AG370),AND(TIPOORCAMENTO="LICITADO",ORÇAMENTO.PrecoUnitarioLicitado&gt;$AN370)),"ACIMA REF.",
IF(AND($C370="S",$P370&lt;&gt;0,$Q370&lt;&gt;0,$T370=0,$U370&gt;0),"QUANT.",
IF(AND(Import.TipoArredondamento="TransfereGOV",$L370="F",$C370="S",LEN($Q370)&gt;13),"Código &gt;13",
IF(AND(Import.TipoArredondamento="TransfereGOV",$L370="F",$C370&lt;&gt;"S",LEN($R370)&gt;100),"Descrição &gt;100",
IF(AND(Import.TipoArredondamento="TransfereGOV",$L370="F",$C370="S",LEN($R370)&gt;500),"Descrição &gt;500",
IF(AND(Import.TipoArredondamento="TransfereGOV",$L370="F",$C370="S",LEFT(TRIM(UPPER($P370)),6)&lt;&gt;"SINAPI",ISNA(VLOOKUP(TRIM(UPPER($S370)),ListaTgov.Unidades,1,FALSE))),"Unid. Não Disp",
" "))))))))))))))))</f>
        <v xml:space="preserve"> </v>
      </c>
      <c r="AD370">
        <f ca="1">IF(C370&lt;=CRONO.NivelExibicao,MAX($AD$15:OFFSET(AD370,-1,0))+IF($C370&lt;&gt;1,1,MAX(1,COUNTIF(QCI!$A$13:$A$24,OFFSET($E370,-1,0)))),"")</f>
        <v>21</v>
      </c>
      <c r="AE370" s="7" t="b">
        <f ca="1">IF(AND($C370="S",ORÇAMENTO.CodBarra&lt;&gt;""),IF(ORÇAMENTO.Fonte="",ORÇAMENTO.CodBarra,CONCATENATE(ORÇAMENTO.Fonte," ",ORÇAMENTO.CodBarra)))</f>
        <v>0</v>
      </c>
      <c r="AF370" s="12" t="str">
        <f ca="1">IF(ISERROR(INDIRECT(ORÇAMENTO.BancoRef)),"(abra o arquivo 'Referência "&amp;Excel_BuiltIn_Database&amp;".xlsm)",IF(OR($C370&lt;&gt;"S",ORÇAMENTO.CodBarra=""),"(Sem Código)",IF(ISERROR(MATCH($AE370,INDIRECT(ORÇAMENTO.BancoRef),0)),"(Código não identificado nas referências)",MATCH($AE370,INDIRECT(ORÇAMENTO.BancoRef),0))))</f>
        <v>(abra o arquivo 'Referência 12-2024.xlsm)</v>
      </c>
      <c r="AG370" s="429">
        <f ca="1">ROUND(IF(DESONERACAO="sim",REFERENCIA.Desonerado,REFERENCIA.NaoDesonerado),2)</f>
        <v>0</v>
      </c>
      <c r="AH370" s="430">
        <f t="shared" ca="1" si="98"/>
        <v>0.31190000000000001</v>
      </c>
      <c r="AJ370" s="432"/>
      <c r="AL370" s="440"/>
      <c r="AM370" s="337">
        <f t="shared" ca="1" si="83"/>
        <v>0</v>
      </c>
      <c r="AN370" s="471">
        <f t="shared" ca="1" si="99"/>
        <v>0</v>
      </c>
    </row>
    <row r="371" spans="1:40" ht="25.5" x14ac:dyDescent="0.2">
      <c r="A371" t="str">
        <f t="shared" si="84"/>
        <v>S</v>
      </c>
      <c r="B371">
        <f t="shared" ca="1" si="85"/>
        <v>2</v>
      </c>
      <c r="C371" t="str">
        <f t="shared" ca="1" si="86"/>
        <v>S</v>
      </c>
      <c r="D371">
        <f t="shared" ca="1" si="87"/>
        <v>0</v>
      </c>
      <c r="E371">
        <f ca="1">IF($C371=1,OFFSET(E371,-1,0)+MAX(1,COUNTIF(QCI!$A$13:$A$24,OFFSET(ORÇAMENTO!E371,-1,0))),OFFSET(E371,-1,0))</f>
        <v>1</v>
      </c>
      <c r="F371">
        <f t="shared" ca="1" si="88"/>
        <v>20</v>
      </c>
      <c r="G371">
        <f t="shared" ca="1" si="89"/>
        <v>0</v>
      </c>
      <c r="H371">
        <f t="shared" ca="1" si="90"/>
        <v>0</v>
      </c>
      <c r="I371">
        <f t="shared" ca="1" si="91"/>
        <v>0</v>
      </c>
      <c r="J371">
        <f t="shared" ca="1" si="92"/>
        <v>0</v>
      </c>
      <c r="K371">
        <f ca="1">IF(OR($C371="S",$C371=0),0,MATCH(OFFSET($D371,0,$C371)+IF($C371&lt;&gt;1,1,COUNTIF(QCI!$A$13:$A$24,ORÇAMENTO!E371)),OFFSET($D371,1,$C371,ROW($C$405)-ROW($C371)),0))</f>
        <v>0</v>
      </c>
      <c r="L371" s="115" t="str">
        <f t="shared" ca="1" si="93"/>
        <v/>
      </c>
      <c r="M371" s="116" t="s">
        <v>706</v>
      </c>
      <c r="N371" s="117" t="str">
        <f t="shared" ca="1" si="94"/>
        <v>Serviço</v>
      </c>
      <c r="O371" s="118" t="str">
        <f t="shared" ca="1" si="95"/>
        <v>-</v>
      </c>
      <c r="P371" s="119" t="s">
        <v>751</v>
      </c>
      <c r="Q371" s="120" t="s">
        <v>1244</v>
      </c>
      <c r="R371" s="121" t="s">
        <v>1614</v>
      </c>
      <c r="S371" s="122" t="s">
        <v>623</v>
      </c>
      <c r="T371" s="123">
        <f ca="1">OFFSET(CÁLCULO!H$15,ROW($T371)-ROW(T$15),0)</f>
        <v>28.92</v>
      </c>
      <c r="U371" s="124"/>
      <c r="V371" s="125" t="s">
        <v>663</v>
      </c>
      <c r="W371" s="123">
        <f ca="1">IF($C371="S",ROUND(IF(TIPOORCAMENTO="Proposto",ORÇAMENTO.CustoUnitario*(1+$AH371),ORÇAMENTO.PrecoUnitarioLicitado),15-13*$AF$10),0)</f>
        <v>0</v>
      </c>
      <c r="X371" s="126" cm="1">
        <f t="array" aca="1" ref="X371" ca="1">IF($C371="S",IF(OR(Import.TipoArredondamento&lt;&gt;"TransfereGOV",ACOMPANHAMENTO="BM"),VTOTAL1,SUM(OFFSET(CÁLCULO!$AA$15,ROW($X371)-ROW($X$15),1):OFFSET(CÁLCULO!$AL$15,ROW($X371)-ROW($X$15),-1))),IF($C371=0,0,ROUND(SomaAgrup,15-13*$AF$11)))</f>
        <v>0</v>
      </c>
      <c r="Y371" s="127" t="s">
        <v>752</v>
      </c>
      <c r="Z371" t="str">
        <f t="shared" ca="1" si="96"/>
        <v/>
      </c>
      <c r="AA371" s="128">
        <f ca="1">IF($C371="S",IF($Z371="CP",$X371,IF($Z371="RA",(($X371)*QCI!$AA$3),0)),SomaAgrup)</f>
        <v>0</v>
      </c>
      <c r="AB371" s="129">
        <f t="shared" ca="1" si="97"/>
        <v>0</v>
      </c>
      <c r="AC371" s="567" t="str">
        <f ca="1">IF($N371=""," ",
IF(AND($C371&lt;&gt;"S",OR($R371="",$R371="(digite a descrição aqui)")),"DESCRIÇÃO",
IF(AND($C371="S",OR($Q371&lt;&gt;0,$T371&gt;0,$U371&gt;0),$P371=0),"FONTE",
IF(AND($C371="S",$P371&lt;&gt;0,OR($T371&gt;0,$U371&gt;0),$Q371=0),"CÓDIGO",
IF(AND($C371="S",$P371&lt;&gt;0,$Q371&lt;&gt;0,$R371="(Código não identificado nas referências)"),"CÓDIGO N/ID",
IF(AND($C371="S",OR($R371="",$R371="(digite a descrição aqui)"),OR($Q371&lt;&gt;0,$T371&gt;0,$U371&gt;0)),"DESCRIÇÃO",
IF(AND($C371="S",$P371&lt;&gt;0,$Q371&lt;&gt;0,$S371=""),"UNIDADE",
IF(AND($C371="S",$P371&lt;&gt;0,$Q371&lt;&gt;0,$U371=0),"SEM CUSTO",
IF(AND(TIPOORCAMENTO="Licitado",$AL371=0,$AN371&gt;0),"SEM PREÇO",
IF(AND($C371="S",$P371&lt;&gt;0,$Q371&lt;&gt;0,$U371&gt;0,$V371=0),"BDI",
IF(OR(AND(TIPOORCAMENTO="Proposto",$AG371&lt;&gt;"",$AG371&gt;0,ORÇAMENTO.CustoUnitario&gt;$AG371),AND(TIPOORCAMENTO="LICITADO",ORÇAMENTO.PrecoUnitarioLicitado&gt;$AN371)),"ACIMA REF.",
IF(AND($C371="S",$P371&lt;&gt;0,$Q371&lt;&gt;0,$T371=0,$U371&gt;0),"QUANT.",
IF(AND(Import.TipoArredondamento="TransfereGOV",$L371="F",$C371="S",LEN($Q371)&gt;13),"Código &gt;13",
IF(AND(Import.TipoArredondamento="TransfereGOV",$L371="F",$C371&lt;&gt;"S",LEN($R371)&gt;100),"Descrição &gt;100",
IF(AND(Import.TipoArredondamento="TransfereGOV",$L371="F",$C371="S",LEN($R371)&gt;500),"Descrição &gt;500",
IF(AND(Import.TipoArredondamento="TransfereGOV",$L371="F",$C371="S",LEFT(TRIM(UPPER($P371)),6)&lt;&gt;"SINAPI",ISNA(VLOOKUP(TRIM(UPPER($S371)),ListaTgov.Unidades,1,FALSE))),"Unid. Não Disp",
" "))))))))))))))))</f>
        <v>SEM CUSTO</v>
      </c>
      <c r="AD371" t="str">
        <f ca="1">IF(C371&lt;=CRONO.NivelExibicao,MAX($AD$15:OFFSET(AD371,-1,0))+IF($C371&lt;&gt;1,1,MAX(1,COUNTIF(QCI!$A$13:$A$24,OFFSET($E371,-1,0)))),"")</f>
        <v/>
      </c>
      <c r="AE371" s="7" t="str">
        <f ca="1">IF(AND($C371="S",ORÇAMENTO.CodBarra&lt;&gt;""),IF(ORÇAMENTO.Fonte="",ORÇAMENTO.CodBarra,CONCATENATE(ORÇAMENTO.Fonte," ",ORÇAMENTO.CodBarra)))</f>
        <v>SINAPI 104658</v>
      </c>
      <c r="AF371" s="12" t="str">
        <f ca="1">IF(ISERROR(INDIRECT(ORÇAMENTO.BancoRef)),"(abra o arquivo 'Referência "&amp;Excel_BuiltIn_Database&amp;".xlsm)",IF(OR($C371&lt;&gt;"S",ORÇAMENTO.CodBarra=""),"(Sem Código)",IF(ISERROR(MATCH($AE371,INDIRECT(ORÇAMENTO.BancoRef),0)),"(Código não identificado nas referências)",MATCH($AE371,INDIRECT(ORÇAMENTO.BancoRef),0))))</f>
        <v>(abra o arquivo 'Referência 12-2024.xlsm)</v>
      </c>
      <c r="AG371" s="429">
        <f ca="1">ROUND(IF(DESONERACAO="sim",REFERENCIA.Desonerado,REFERENCIA.NaoDesonerado),2)</f>
        <v>0</v>
      </c>
      <c r="AH371" s="430">
        <f t="shared" ca="1" si="98"/>
        <v>0.31190000000000001</v>
      </c>
      <c r="AJ371" s="432">
        <v>28.92</v>
      </c>
      <c r="AL371" s="440"/>
      <c r="AM371" s="337">
        <f t="shared" ca="1" si="83"/>
        <v>0</v>
      </c>
      <c r="AN371" s="471">
        <f t="shared" ca="1" si="99"/>
        <v>0</v>
      </c>
    </row>
    <row r="372" spans="1:40" ht="25.5" x14ac:dyDescent="0.2">
      <c r="A372" t="str">
        <f t="shared" si="84"/>
        <v>S</v>
      </c>
      <c r="B372">
        <f t="shared" ca="1" si="85"/>
        <v>2</v>
      </c>
      <c r="C372" t="str">
        <f t="shared" ca="1" si="86"/>
        <v>S</v>
      </c>
      <c r="D372">
        <f t="shared" ca="1" si="87"/>
        <v>0</v>
      </c>
      <c r="E372">
        <f ca="1">IF($C372=1,OFFSET(E372,-1,0)+MAX(1,COUNTIF(QCI!$A$13:$A$24,OFFSET(ORÇAMENTO!E372,-1,0))),OFFSET(E372,-1,0))</f>
        <v>1</v>
      </c>
      <c r="F372">
        <f t="shared" ca="1" si="88"/>
        <v>20</v>
      </c>
      <c r="G372">
        <f t="shared" ca="1" si="89"/>
        <v>0</v>
      </c>
      <c r="H372">
        <f t="shared" ca="1" si="90"/>
        <v>0</v>
      </c>
      <c r="I372">
        <f t="shared" ca="1" si="91"/>
        <v>0</v>
      </c>
      <c r="J372">
        <f t="shared" ca="1" si="92"/>
        <v>0</v>
      </c>
      <c r="K372">
        <f ca="1">IF(OR($C372="S",$C372=0),0,MATCH(OFFSET($D372,0,$C372)+IF($C372&lt;&gt;1,1,COUNTIF(QCI!$A$13:$A$24,ORÇAMENTO!E372)),OFFSET($D372,1,$C372,ROW($C$405)-ROW($C372)),0))</f>
        <v>0</v>
      </c>
      <c r="L372" s="115" t="str">
        <f t="shared" ca="1" si="93"/>
        <v/>
      </c>
      <c r="M372" s="116" t="s">
        <v>706</v>
      </c>
      <c r="N372" s="117" t="str">
        <f t="shared" ca="1" si="94"/>
        <v>Serviço</v>
      </c>
      <c r="O372" s="118" t="str">
        <f t="shared" ca="1" si="95"/>
        <v>-</v>
      </c>
      <c r="P372" s="119" t="s">
        <v>751</v>
      </c>
      <c r="Q372" s="120" t="s">
        <v>1245</v>
      </c>
      <c r="R372" s="121" t="s">
        <v>1615</v>
      </c>
      <c r="S372" s="122" t="s">
        <v>621</v>
      </c>
      <c r="T372" s="123">
        <f ca="1">OFFSET(CÁLCULO!H$15,ROW($T372)-ROW(T$15),0)</f>
        <v>120.64</v>
      </c>
      <c r="U372" s="124"/>
      <c r="V372" s="125" t="s">
        <v>663</v>
      </c>
      <c r="W372" s="123">
        <f ca="1">IF($C372="S",ROUND(IF(TIPOORCAMENTO="Proposto",ORÇAMENTO.CustoUnitario*(1+$AH372),ORÇAMENTO.PrecoUnitarioLicitado),15-13*$AF$10),0)</f>
        <v>0</v>
      </c>
      <c r="X372" s="126" cm="1">
        <f t="array" aca="1" ref="X372" ca="1">IF($C372="S",IF(OR(Import.TipoArredondamento&lt;&gt;"TransfereGOV",ACOMPANHAMENTO="BM"),VTOTAL1,SUM(OFFSET(CÁLCULO!$AA$15,ROW($X372)-ROW($X$15),1):OFFSET(CÁLCULO!$AL$15,ROW($X372)-ROW($X$15),-1))),IF($C372=0,0,ROUND(SomaAgrup,15-13*$AF$11)))</f>
        <v>0</v>
      </c>
      <c r="Y372" s="127" t="s">
        <v>752</v>
      </c>
      <c r="Z372" t="str">
        <f t="shared" ca="1" si="96"/>
        <v/>
      </c>
      <c r="AA372" s="128">
        <f ca="1">IF($C372="S",IF($Z372="CP",$X372,IF($Z372="RA",(($X372)*QCI!$AA$3),0)),SomaAgrup)</f>
        <v>0</v>
      </c>
      <c r="AB372" s="129">
        <f t="shared" ca="1" si="97"/>
        <v>0</v>
      </c>
      <c r="AC372" s="567" t="str">
        <f ca="1">IF($N372=""," ",
IF(AND($C372&lt;&gt;"S",OR($R372="",$R372="(digite a descrição aqui)")),"DESCRIÇÃO",
IF(AND($C372="S",OR($Q372&lt;&gt;0,$T372&gt;0,$U372&gt;0),$P372=0),"FONTE",
IF(AND($C372="S",$P372&lt;&gt;0,OR($T372&gt;0,$U372&gt;0),$Q372=0),"CÓDIGO",
IF(AND($C372="S",$P372&lt;&gt;0,$Q372&lt;&gt;0,$R372="(Código não identificado nas referências)"),"CÓDIGO N/ID",
IF(AND($C372="S",OR($R372="",$R372="(digite a descrição aqui)"),OR($Q372&lt;&gt;0,$T372&gt;0,$U372&gt;0)),"DESCRIÇÃO",
IF(AND($C372="S",$P372&lt;&gt;0,$Q372&lt;&gt;0,$S372=""),"UNIDADE",
IF(AND($C372="S",$P372&lt;&gt;0,$Q372&lt;&gt;0,$U372=0),"SEM CUSTO",
IF(AND(TIPOORCAMENTO="Licitado",$AL372=0,$AN372&gt;0),"SEM PREÇO",
IF(AND($C372="S",$P372&lt;&gt;0,$Q372&lt;&gt;0,$U372&gt;0,$V372=0),"BDI",
IF(OR(AND(TIPOORCAMENTO="Proposto",$AG372&lt;&gt;"",$AG372&gt;0,ORÇAMENTO.CustoUnitario&gt;$AG372),AND(TIPOORCAMENTO="LICITADO",ORÇAMENTO.PrecoUnitarioLicitado&gt;$AN372)),"ACIMA REF.",
IF(AND($C372="S",$P372&lt;&gt;0,$Q372&lt;&gt;0,$T372=0,$U372&gt;0),"QUANT.",
IF(AND(Import.TipoArredondamento="TransfereGOV",$L372="F",$C372="S",LEN($Q372)&gt;13),"Código &gt;13",
IF(AND(Import.TipoArredondamento="TransfereGOV",$L372="F",$C372&lt;&gt;"S",LEN($R372)&gt;100),"Descrição &gt;100",
IF(AND(Import.TipoArredondamento="TransfereGOV",$L372="F",$C372="S",LEN($R372)&gt;500),"Descrição &gt;500",
IF(AND(Import.TipoArredondamento="TransfereGOV",$L372="F",$C372="S",LEFT(TRIM(UPPER($P372)),6)&lt;&gt;"SINAPI",ISNA(VLOOKUP(TRIM(UPPER($S372)),ListaTgov.Unidades,1,FALSE))),"Unid. Não Disp",
" "))))))))))))))))</f>
        <v>SEM CUSTO</v>
      </c>
      <c r="AD372" t="str">
        <f ca="1">IF(C372&lt;=CRONO.NivelExibicao,MAX($AD$15:OFFSET(AD372,-1,0))+IF($C372&lt;&gt;1,1,MAX(1,COUNTIF(QCI!$A$13:$A$24,OFFSET($E372,-1,0)))),"")</f>
        <v/>
      </c>
      <c r="AE372" s="7" t="str">
        <f ca="1">IF(AND($C372="S",ORÇAMENTO.CodBarra&lt;&gt;""),IF(ORÇAMENTO.Fonte="",ORÇAMENTO.CodBarra,CONCATENATE(ORÇAMENTO.Fonte," ",ORÇAMENTO.CodBarra)))</f>
        <v>SINAPI 99855</v>
      </c>
      <c r="AF372" s="12" t="str">
        <f ca="1">IF(ISERROR(INDIRECT(ORÇAMENTO.BancoRef)),"(abra o arquivo 'Referência "&amp;Excel_BuiltIn_Database&amp;".xlsm)",IF(OR($C372&lt;&gt;"S",ORÇAMENTO.CodBarra=""),"(Sem Código)",IF(ISERROR(MATCH($AE372,INDIRECT(ORÇAMENTO.BancoRef),0)),"(Código não identificado nas referências)",MATCH($AE372,INDIRECT(ORÇAMENTO.BancoRef),0))))</f>
        <v>(abra o arquivo 'Referência 12-2024.xlsm)</v>
      </c>
      <c r="AG372" s="429">
        <f ca="1">ROUND(IF(DESONERACAO="sim",REFERENCIA.Desonerado,REFERENCIA.NaoDesonerado),2)</f>
        <v>0</v>
      </c>
      <c r="AH372" s="430">
        <f t="shared" ca="1" si="98"/>
        <v>0.31190000000000001</v>
      </c>
      <c r="AJ372" s="432">
        <v>120.64</v>
      </c>
      <c r="AL372" s="440"/>
      <c r="AM372" s="337">
        <f t="shared" ca="1" si="83"/>
        <v>0</v>
      </c>
      <c r="AN372" s="471">
        <f t="shared" ca="1" si="99"/>
        <v>0</v>
      </c>
    </row>
    <row r="373" spans="1:40" ht="63.75" x14ac:dyDescent="0.2">
      <c r="A373" t="str">
        <f t="shared" si="84"/>
        <v>S</v>
      </c>
      <c r="B373">
        <f t="shared" ca="1" si="85"/>
        <v>2</v>
      </c>
      <c r="C373" t="str">
        <f t="shared" ca="1" si="86"/>
        <v>S</v>
      </c>
      <c r="D373">
        <f t="shared" ca="1" si="87"/>
        <v>0</v>
      </c>
      <c r="E373">
        <f ca="1">IF($C373=1,OFFSET(E373,-1,0)+MAX(1,COUNTIF(QCI!$A$13:$A$24,OFFSET(ORÇAMENTO!E373,-1,0))),OFFSET(E373,-1,0))</f>
        <v>1</v>
      </c>
      <c r="F373">
        <f t="shared" ca="1" si="88"/>
        <v>20</v>
      </c>
      <c r="G373">
        <f t="shared" ca="1" si="89"/>
        <v>0</v>
      </c>
      <c r="H373">
        <f t="shared" ca="1" si="90"/>
        <v>0</v>
      </c>
      <c r="I373">
        <f t="shared" ca="1" si="91"/>
        <v>0</v>
      </c>
      <c r="J373">
        <f t="shared" ca="1" si="92"/>
        <v>0</v>
      </c>
      <c r="K373">
        <f ca="1">IF(OR($C373="S",$C373=0),0,MATCH(OFFSET($D373,0,$C373)+IF($C373&lt;&gt;1,1,COUNTIF(QCI!$A$13:$A$24,ORÇAMENTO!E373)),OFFSET($D373,1,$C373,ROW($C$405)-ROW($C373)),0))</f>
        <v>0</v>
      </c>
      <c r="L373" s="115" t="str">
        <f t="shared" ca="1" si="93"/>
        <v/>
      </c>
      <c r="M373" s="116" t="s">
        <v>706</v>
      </c>
      <c r="N373" s="117" t="str">
        <f t="shared" ca="1" si="94"/>
        <v>Serviço</v>
      </c>
      <c r="O373" s="118" t="str">
        <f t="shared" ca="1" si="95"/>
        <v>-</v>
      </c>
      <c r="P373" s="119" t="s">
        <v>751</v>
      </c>
      <c r="Q373" s="120" t="s">
        <v>1246</v>
      </c>
      <c r="R373" s="121" t="s">
        <v>1616</v>
      </c>
      <c r="S373" s="122" t="s">
        <v>621</v>
      </c>
      <c r="T373" s="123">
        <f ca="1">OFFSET(CÁLCULO!H$15,ROW($T373)-ROW(T$15),0)</f>
        <v>19.13</v>
      </c>
      <c r="U373" s="124"/>
      <c r="V373" s="125" t="s">
        <v>663</v>
      </c>
      <c r="W373" s="123">
        <f ca="1">IF($C373="S",ROUND(IF(TIPOORCAMENTO="Proposto",ORÇAMENTO.CustoUnitario*(1+$AH373),ORÇAMENTO.PrecoUnitarioLicitado),15-13*$AF$10),0)</f>
        <v>0</v>
      </c>
      <c r="X373" s="126" cm="1">
        <f t="array" aca="1" ref="X373" ca="1">IF($C373="S",IF(OR(Import.TipoArredondamento&lt;&gt;"TransfereGOV",ACOMPANHAMENTO="BM"),VTOTAL1,SUM(OFFSET(CÁLCULO!$AA$15,ROW($X373)-ROW($X$15),1):OFFSET(CÁLCULO!$AL$15,ROW($X373)-ROW($X$15),-1))),IF($C373=0,0,ROUND(SomaAgrup,15-13*$AF$11)))</f>
        <v>0</v>
      </c>
      <c r="Y373" s="127" t="s">
        <v>752</v>
      </c>
      <c r="Z373" t="str">
        <f t="shared" ca="1" si="96"/>
        <v/>
      </c>
      <c r="AA373" s="128">
        <f ca="1">IF($C373="S",IF($Z373="CP",$X373,IF($Z373="RA",(($X373)*QCI!$AA$3),0)),SomaAgrup)</f>
        <v>0</v>
      </c>
      <c r="AB373" s="129">
        <f t="shared" ca="1" si="97"/>
        <v>0</v>
      </c>
      <c r="AC373" s="567" t="str">
        <f ca="1">IF($N373=""," ",
IF(AND($C373&lt;&gt;"S",OR($R373="",$R373="(digite a descrição aqui)")),"DESCRIÇÃO",
IF(AND($C373="S",OR($Q373&lt;&gt;0,$T373&gt;0,$U373&gt;0),$P373=0),"FONTE",
IF(AND($C373="S",$P373&lt;&gt;0,OR($T373&gt;0,$U373&gt;0),$Q373=0),"CÓDIGO",
IF(AND($C373="S",$P373&lt;&gt;0,$Q373&lt;&gt;0,$R373="(Código não identificado nas referências)"),"CÓDIGO N/ID",
IF(AND($C373="S",OR($R373="",$R373="(digite a descrição aqui)"),OR($Q373&lt;&gt;0,$T373&gt;0,$U373&gt;0)),"DESCRIÇÃO",
IF(AND($C373="S",$P373&lt;&gt;0,$Q373&lt;&gt;0,$S373=""),"UNIDADE",
IF(AND($C373="S",$P373&lt;&gt;0,$Q373&lt;&gt;0,$U373=0),"SEM CUSTO",
IF(AND(TIPOORCAMENTO="Licitado",$AL373=0,$AN373&gt;0),"SEM PREÇO",
IF(AND($C373="S",$P373&lt;&gt;0,$Q373&lt;&gt;0,$U373&gt;0,$V373=0),"BDI",
IF(OR(AND(TIPOORCAMENTO="Proposto",$AG373&lt;&gt;"",$AG373&gt;0,ORÇAMENTO.CustoUnitario&gt;$AG373),AND(TIPOORCAMENTO="LICITADO",ORÇAMENTO.PrecoUnitarioLicitado&gt;$AN373)),"ACIMA REF.",
IF(AND($C373="S",$P373&lt;&gt;0,$Q373&lt;&gt;0,$T373=0,$U373&gt;0),"QUANT.",
IF(AND(Import.TipoArredondamento="TransfereGOV",$L373="F",$C373="S",LEN($Q373)&gt;13),"Código &gt;13",
IF(AND(Import.TipoArredondamento="TransfereGOV",$L373="F",$C373&lt;&gt;"S",LEN($R373)&gt;100),"Descrição &gt;100",
IF(AND(Import.TipoArredondamento="TransfereGOV",$L373="F",$C373="S",LEN($R373)&gt;500),"Descrição &gt;500",
IF(AND(Import.TipoArredondamento="TransfereGOV",$L373="F",$C373="S",LEFT(TRIM(UPPER($P373)),6)&lt;&gt;"SINAPI",ISNA(VLOOKUP(TRIM(UPPER($S373)),ListaTgov.Unidades,1,FALSE))),"Unid. Não Disp",
" "))))))))))))))))</f>
        <v>SEM CUSTO</v>
      </c>
      <c r="AD373" t="str">
        <f ca="1">IF(C373&lt;=CRONO.NivelExibicao,MAX($AD$15:OFFSET(AD373,-1,0))+IF($C373&lt;&gt;1,1,MAX(1,COUNTIF(QCI!$A$13:$A$24,OFFSET($E373,-1,0)))),"")</f>
        <v/>
      </c>
      <c r="AE373" s="7" t="str">
        <f ca="1">IF(AND($C373="S",ORÇAMENTO.CodBarra&lt;&gt;""),IF(ORÇAMENTO.Fonte="",ORÇAMENTO.CodBarra,CONCATENATE(ORÇAMENTO.Fonte," ",ORÇAMENTO.CodBarra)))</f>
        <v>SINAPI 99837</v>
      </c>
      <c r="AF373" s="12" t="str">
        <f ca="1">IF(ISERROR(INDIRECT(ORÇAMENTO.BancoRef)),"(abra o arquivo 'Referência "&amp;Excel_BuiltIn_Database&amp;".xlsm)",IF(OR($C373&lt;&gt;"S",ORÇAMENTO.CodBarra=""),"(Sem Código)",IF(ISERROR(MATCH($AE373,INDIRECT(ORÇAMENTO.BancoRef),0)),"(Código não identificado nas referências)",MATCH($AE373,INDIRECT(ORÇAMENTO.BancoRef),0))))</f>
        <v>(abra o arquivo 'Referência 12-2024.xlsm)</v>
      </c>
      <c r="AG373" s="429">
        <f ca="1">ROUND(IF(DESONERACAO="sim",REFERENCIA.Desonerado,REFERENCIA.NaoDesonerado),2)</f>
        <v>0</v>
      </c>
      <c r="AH373" s="430">
        <f t="shared" ca="1" si="98"/>
        <v>0.31190000000000001</v>
      </c>
      <c r="AJ373" s="432">
        <v>19.13</v>
      </c>
      <c r="AL373" s="440"/>
      <c r="AM373" s="337">
        <f t="shared" ca="1" si="83"/>
        <v>0</v>
      </c>
      <c r="AN373" s="471">
        <f t="shared" ca="1" si="99"/>
        <v>0</v>
      </c>
    </row>
    <row r="374" spans="1:40" x14ac:dyDescent="0.2">
      <c r="A374" t="str">
        <f t="shared" si="84"/>
        <v>S</v>
      </c>
      <c r="B374">
        <f t="shared" ca="1" si="85"/>
        <v>2</v>
      </c>
      <c r="C374" t="str">
        <f t="shared" ca="1" si="86"/>
        <v>S</v>
      </c>
      <c r="D374">
        <f t="shared" ca="1" si="87"/>
        <v>0</v>
      </c>
      <c r="E374">
        <f ca="1">IF($C374=1,OFFSET(E374,-1,0)+MAX(1,COUNTIF(QCI!$A$13:$A$24,OFFSET(ORÇAMENTO!E374,-1,0))),OFFSET(E374,-1,0))</f>
        <v>1</v>
      </c>
      <c r="F374">
        <f t="shared" ca="1" si="88"/>
        <v>20</v>
      </c>
      <c r="G374">
        <f t="shared" ca="1" si="89"/>
        <v>0</v>
      </c>
      <c r="H374">
        <f t="shared" ca="1" si="90"/>
        <v>0</v>
      </c>
      <c r="I374">
        <f t="shared" ca="1" si="91"/>
        <v>0</v>
      </c>
      <c r="J374">
        <f t="shared" ca="1" si="92"/>
        <v>0</v>
      </c>
      <c r="K374">
        <f ca="1">IF(OR($C374="S",$C374=0),0,MATCH(OFFSET($D374,0,$C374)+IF($C374&lt;&gt;1,1,COUNTIF(QCI!$A$13:$A$24,ORÇAMENTO!E374)),OFFSET($D374,1,$C374,ROW($C$405)-ROW($C374)),0))</f>
        <v>0</v>
      </c>
      <c r="L374" s="115" t="str">
        <f t="shared" ca="1" si="93"/>
        <v/>
      </c>
      <c r="M374" s="116" t="s">
        <v>706</v>
      </c>
      <c r="N374" s="117" t="str">
        <f t="shared" ca="1" si="94"/>
        <v>Serviço</v>
      </c>
      <c r="O374" s="118" t="str">
        <f t="shared" ca="1" si="95"/>
        <v>-</v>
      </c>
      <c r="P374" s="119" t="s">
        <v>1313</v>
      </c>
      <c r="Q374" s="120" t="s">
        <v>966</v>
      </c>
      <c r="R374" s="121" t="s">
        <v>1617</v>
      </c>
      <c r="S374" s="122" t="s">
        <v>639</v>
      </c>
      <c r="T374" s="123">
        <f ca="1">OFFSET(CÁLCULO!H$15,ROW($T374)-ROW(T$15),0)</f>
        <v>6</v>
      </c>
      <c r="U374" s="124"/>
      <c r="V374" s="125" t="s">
        <v>663</v>
      </c>
      <c r="W374" s="123">
        <f ca="1">IF($C374="S",ROUND(IF(TIPOORCAMENTO="Proposto",ORÇAMENTO.CustoUnitario*(1+$AH374),ORÇAMENTO.PrecoUnitarioLicitado),15-13*$AF$10),0)</f>
        <v>0</v>
      </c>
      <c r="X374" s="126" cm="1">
        <f t="array" aca="1" ref="X374" ca="1">IF($C374="S",IF(OR(Import.TipoArredondamento&lt;&gt;"TransfereGOV",ACOMPANHAMENTO="BM"),VTOTAL1,SUM(OFFSET(CÁLCULO!$AA$15,ROW($X374)-ROW($X$15),1):OFFSET(CÁLCULO!$AL$15,ROW($X374)-ROW($X$15),-1))),IF($C374=0,0,ROUND(SomaAgrup,15-13*$AF$11)))</f>
        <v>0</v>
      </c>
      <c r="Y374" s="127" t="s">
        <v>752</v>
      </c>
      <c r="Z374" t="str">
        <f t="shared" ca="1" si="96"/>
        <v/>
      </c>
      <c r="AA374" s="128">
        <f ca="1">IF($C374="S",IF($Z374="CP",$X374,IF($Z374="RA",(($X374)*QCI!$AA$3),0)),SomaAgrup)</f>
        <v>0</v>
      </c>
      <c r="AB374" s="129">
        <f t="shared" ca="1" si="97"/>
        <v>0</v>
      </c>
      <c r="AC374" s="567" t="str">
        <f ca="1">IF($N374=""," ",
IF(AND($C374&lt;&gt;"S",OR($R374="",$R374="(digite a descrição aqui)")),"DESCRIÇÃO",
IF(AND($C374="S",OR($Q374&lt;&gt;0,$T374&gt;0,$U374&gt;0),$P374=0),"FONTE",
IF(AND($C374="S",$P374&lt;&gt;0,OR($T374&gt;0,$U374&gt;0),$Q374=0),"CÓDIGO",
IF(AND($C374="S",$P374&lt;&gt;0,$Q374&lt;&gt;0,$R374="(Código não identificado nas referências)"),"CÓDIGO N/ID",
IF(AND($C374="S",OR($R374="",$R374="(digite a descrição aqui)"),OR($Q374&lt;&gt;0,$T374&gt;0,$U374&gt;0)),"DESCRIÇÃO",
IF(AND($C374="S",$P374&lt;&gt;0,$Q374&lt;&gt;0,$S374=""),"UNIDADE",
IF(AND($C374="S",$P374&lt;&gt;0,$Q374&lt;&gt;0,$U374=0),"SEM CUSTO",
IF(AND(TIPOORCAMENTO="Licitado",$AL374=0,$AN374&gt;0),"SEM PREÇO",
IF(AND($C374="S",$P374&lt;&gt;0,$Q374&lt;&gt;0,$U374&gt;0,$V374=0),"BDI",
IF(OR(AND(TIPOORCAMENTO="Proposto",$AG374&lt;&gt;"",$AG374&gt;0,ORÇAMENTO.CustoUnitario&gt;$AG374),AND(TIPOORCAMENTO="LICITADO",ORÇAMENTO.PrecoUnitarioLicitado&gt;$AN374)),"ACIMA REF.",
IF(AND($C374="S",$P374&lt;&gt;0,$Q374&lt;&gt;0,$T374=0,$U374&gt;0),"QUANT.",
IF(AND(Import.TipoArredondamento="TransfereGOV",$L374="F",$C374="S",LEN($Q374)&gt;13),"Código &gt;13",
IF(AND(Import.TipoArredondamento="TransfereGOV",$L374="F",$C374&lt;&gt;"S",LEN($R374)&gt;100),"Descrição &gt;100",
IF(AND(Import.TipoArredondamento="TransfereGOV",$L374="F",$C374="S",LEN($R374)&gt;500),"Descrição &gt;500",
IF(AND(Import.TipoArredondamento="TransfereGOV",$L374="F",$C374="S",LEFT(TRIM(UPPER($P374)),6)&lt;&gt;"SINAPI",ISNA(VLOOKUP(TRIM(UPPER($S374)),ListaTgov.Unidades,1,FALSE))),"Unid. Não Disp",
" "))))))))))))))))</f>
        <v>SEM CUSTO</v>
      </c>
      <c r="AD374" t="str">
        <f ca="1">IF(C374&lt;=CRONO.NivelExibicao,MAX($AD$15:OFFSET(AD374,-1,0))+IF($C374&lt;&gt;1,1,MAX(1,COUNTIF(QCI!$A$13:$A$24,OFFSET($E374,-1,0)))),"")</f>
        <v/>
      </c>
      <c r="AE374" s="7" t="str">
        <f ca="1">IF(AND($C374="S",ORÇAMENTO.CodBarra&lt;&gt;""),IF(ORÇAMENTO.Fonte="",ORÇAMENTO.CodBarra,CONCATENATE(ORÇAMENTO.Fonte," ",ORÇAMENTO.CodBarra)))</f>
        <v>Cotação 142</v>
      </c>
      <c r="AF374" s="12" t="str">
        <f ca="1">IF(ISERROR(INDIRECT(ORÇAMENTO.BancoRef)),"(abra o arquivo 'Referência "&amp;Excel_BuiltIn_Database&amp;".xlsm)",IF(OR($C374&lt;&gt;"S",ORÇAMENTO.CodBarra=""),"(Sem Código)",IF(ISERROR(MATCH($AE374,INDIRECT(ORÇAMENTO.BancoRef),0)),"(Código não identificado nas referências)",MATCH($AE374,INDIRECT(ORÇAMENTO.BancoRef),0))))</f>
        <v>(abra o arquivo 'Referência 12-2024.xlsm)</v>
      </c>
      <c r="AG374" s="429">
        <f ca="1">ROUND(IF(DESONERACAO="sim",REFERENCIA.Desonerado,REFERENCIA.NaoDesonerado),2)</f>
        <v>0</v>
      </c>
      <c r="AH374" s="430">
        <f t="shared" ca="1" si="98"/>
        <v>0.31190000000000001</v>
      </c>
      <c r="AJ374" s="432">
        <v>6</v>
      </c>
      <c r="AL374" s="440"/>
      <c r="AM374" s="337">
        <f t="shared" ca="1" si="83"/>
        <v>0</v>
      </c>
      <c r="AN374" s="471">
        <f t="shared" ca="1" si="99"/>
        <v>0</v>
      </c>
    </row>
    <row r="375" spans="1:40" x14ac:dyDescent="0.2">
      <c r="A375" t="str">
        <f t="shared" si="84"/>
        <v>S</v>
      </c>
      <c r="B375">
        <f t="shared" ca="1" si="85"/>
        <v>2</v>
      </c>
      <c r="C375" t="str">
        <f t="shared" ca="1" si="86"/>
        <v>S</v>
      </c>
      <c r="D375">
        <f t="shared" ca="1" si="87"/>
        <v>0</v>
      </c>
      <c r="E375">
        <f ca="1">IF($C375=1,OFFSET(E375,-1,0)+MAX(1,COUNTIF(QCI!$A$13:$A$24,OFFSET(ORÇAMENTO!E375,-1,0))),OFFSET(E375,-1,0))</f>
        <v>1</v>
      </c>
      <c r="F375">
        <f t="shared" ca="1" si="88"/>
        <v>20</v>
      </c>
      <c r="G375">
        <f t="shared" ca="1" si="89"/>
        <v>0</v>
      </c>
      <c r="H375">
        <f t="shared" ca="1" si="90"/>
        <v>0</v>
      </c>
      <c r="I375">
        <f t="shared" ca="1" si="91"/>
        <v>0</v>
      </c>
      <c r="J375">
        <f t="shared" ca="1" si="92"/>
        <v>0</v>
      </c>
      <c r="K375">
        <f ca="1">IF(OR($C375="S",$C375=0),0,MATCH(OFFSET($D375,0,$C375)+IF($C375&lt;&gt;1,1,COUNTIF(QCI!$A$13:$A$24,ORÇAMENTO!E375)),OFFSET($D375,1,$C375,ROW($C$405)-ROW($C375)),0))</f>
        <v>0</v>
      </c>
      <c r="L375" s="115" t="str">
        <f t="shared" ca="1" si="93"/>
        <v/>
      </c>
      <c r="M375" s="116" t="s">
        <v>706</v>
      </c>
      <c r="N375" s="117" t="str">
        <f t="shared" ca="1" si="94"/>
        <v>Serviço</v>
      </c>
      <c r="O375" s="118" t="str">
        <f t="shared" ca="1" si="95"/>
        <v>-</v>
      </c>
      <c r="P375" s="119" t="s">
        <v>1313</v>
      </c>
      <c r="Q375" s="120" t="s">
        <v>1247</v>
      </c>
      <c r="R375" s="121" t="s">
        <v>1618</v>
      </c>
      <c r="S375" s="122" t="s">
        <v>639</v>
      </c>
      <c r="T375" s="123">
        <f ca="1">OFFSET(CÁLCULO!H$15,ROW($T375)-ROW(T$15),0)</f>
        <v>1</v>
      </c>
      <c r="U375" s="124"/>
      <c r="V375" s="125" t="s">
        <v>663</v>
      </c>
      <c r="W375" s="123">
        <f ca="1">IF($C375="S",ROUND(IF(TIPOORCAMENTO="Proposto",ORÇAMENTO.CustoUnitario*(1+$AH375),ORÇAMENTO.PrecoUnitarioLicitado),15-13*$AF$10),0)</f>
        <v>0</v>
      </c>
      <c r="X375" s="126" cm="1">
        <f t="array" aca="1" ref="X375" ca="1">IF($C375="S",IF(OR(Import.TipoArredondamento&lt;&gt;"TransfereGOV",ACOMPANHAMENTO="BM"),VTOTAL1,SUM(OFFSET(CÁLCULO!$AA$15,ROW($X375)-ROW($X$15),1):OFFSET(CÁLCULO!$AL$15,ROW($X375)-ROW($X$15),-1))),IF($C375=0,0,ROUND(SomaAgrup,15-13*$AF$11)))</f>
        <v>0</v>
      </c>
      <c r="Y375" s="127" t="s">
        <v>752</v>
      </c>
      <c r="Z375" t="str">
        <f t="shared" ca="1" si="96"/>
        <v/>
      </c>
      <c r="AA375" s="128">
        <f ca="1">IF($C375="S",IF($Z375="CP",$X375,IF($Z375="RA",(($X375)*QCI!$AA$3),0)),SomaAgrup)</f>
        <v>0</v>
      </c>
      <c r="AB375" s="129">
        <f t="shared" ca="1" si="97"/>
        <v>0</v>
      </c>
      <c r="AC375" s="567" t="str">
        <f ca="1">IF($N375=""," ",
IF(AND($C375&lt;&gt;"S",OR($R375="",$R375="(digite a descrição aqui)")),"DESCRIÇÃO",
IF(AND($C375="S",OR($Q375&lt;&gt;0,$T375&gt;0,$U375&gt;0),$P375=0),"FONTE",
IF(AND($C375="S",$P375&lt;&gt;0,OR($T375&gt;0,$U375&gt;0),$Q375=0),"CÓDIGO",
IF(AND($C375="S",$P375&lt;&gt;0,$Q375&lt;&gt;0,$R375="(Código não identificado nas referências)"),"CÓDIGO N/ID",
IF(AND($C375="S",OR($R375="",$R375="(digite a descrição aqui)"),OR($Q375&lt;&gt;0,$T375&gt;0,$U375&gt;0)),"DESCRIÇÃO",
IF(AND($C375="S",$P375&lt;&gt;0,$Q375&lt;&gt;0,$S375=""),"UNIDADE",
IF(AND($C375="S",$P375&lt;&gt;0,$Q375&lt;&gt;0,$U375=0),"SEM CUSTO",
IF(AND(TIPOORCAMENTO="Licitado",$AL375=0,$AN375&gt;0),"SEM PREÇO",
IF(AND($C375="S",$P375&lt;&gt;0,$Q375&lt;&gt;0,$U375&gt;0,$V375=0),"BDI",
IF(OR(AND(TIPOORCAMENTO="Proposto",$AG375&lt;&gt;"",$AG375&gt;0,ORÇAMENTO.CustoUnitario&gt;$AG375),AND(TIPOORCAMENTO="LICITADO",ORÇAMENTO.PrecoUnitarioLicitado&gt;$AN375)),"ACIMA REF.",
IF(AND($C375="S",$P375&lt;&gt;0,$Q375&lt;&gt;0,$T375=0,$U375&gt;0),"QUANT.",
IF(AND(Import.TipoArredondamento="TransfereGOV",$L375="F",$C375="S",LEN($Q375)&gt;13),"Código &gt;13",
IF(AND(Import.TipoArredondamento="TransfereGOV",$L375="F",$C375&lt;&gt;"S",LEN($R375)&gt;100),"Descrição &gt;100",
IF(AND(Import.TipoArredondamento="TransfereGOV",$L375="F",$C375="S",LEN($R375)&gt;500),"Descrição &gt;500",
IF(AND(Import.TipoArredondamento="TransfereGOV",$L375="F",$C375="S",LEFT(TRIM(UPPER($P375)),6)&lt;&gt;"SINAPI",ISNA(VLOOKUP(TRIM(UPPER($S375)),ListaTgov.Unidades,1,FALSE))),"Unid. Não Disp",
" "))))))))))))))))</f>
        <v>SEM CUSTO</v>
      </c>
      <c r="AD375" t="str">
        <f ca="1">IF(C375&lt;=CRONO.NivelExibicao,MAX($AD$15:OFFSET(AD375,-1,0))+IF($C375&lt;&gt;1,1,MAX(1,COUNTIF(QCI!$A$13:$A$24,OFFSET($E375,-1,0)))),"")</f>
        <v/>
      </c>
      <c r="AE375" s="7" t="str">
        <f ca="1">IF(AND($C375="S",ORÇAMENTO.CodBarra&lt;&gt;""),IF(ORÇAMENTO.Fonte="",ORÇAMENTO.CodBarra,CONCATENATE(ORÇAMENTO.Fonte," ",ORÇAMENTO.CodBarra)))</f>
        <v>Cotação 137</v>
      </c>
      <c r="AF375" s="12" t="str">
        <f ca="1">IF(ISERROR(INDIRECT(ORÇAMENTO.BancoRef)),"(abra o arquivo 'Referência "&amp;Excel_BuiltIn_Database&amp;".xlsm)",IF(OR($C375&lt;&gt;"S",ORÇAMENTO.CodBarra=""),"(Sem Código)",IF(ISERROR(MATCH($AE375,INDIRECT(ORÇAMENTO.BancoRef),0)),"(Código não identificado nas referências)",MATCH($AE375,INDIRECT(ORÇAMENTO.BancoRef),0))))</f>
        <v>(abra o arquivo 'Referência 12-2024.xlsm)</v>
      </c>
      <c r="AG375" s="429">
        <f ca="1">ROUND(IF(DESONERACAO="sim",REFERENCIA.Desonerado,REFERENCIA.NaoDesonerado),2)</f>
        <v>0</v>
      </c>
      <c r="AH375" s="430">
        <f t="shared" ca="1" si="98"/>
        <v>0.31190000000000001</v>
      </c>
      <c r="AJ375" s="432">
        <v>1</v>
      </c>
      <c r="AL375" s="440"/>
      <c r="AM375" s="337">
        <f t="shared" ca="1" si="83"/>
        <v>0</v>
      </c>
      <c r="AN375" s="471">
        <f t="shared" ca="1" si="99"/>
        <v>0</v>
      </c>
    </row>
    <row r="376" spans="1:40" x14ac:dyDescent="0.2">
      <c r="A376" t="str">
        <f t="shared" si="84"/>
        <v>S</v>
      </c>
      <c r="B376">
        <f t="shared" ca="1" si="85"/>
        <v>2</v>
      </c>
      <c r="C376" t="str">
        <f t="shared" ca="1" si="86"/>
        <v>S</v>
      </c>
      <c r="D376">
        <f t="shared" ca="1" si="87"/>
        <v>0</v>
      </c>
      <c r="E376">
        <f ca="1">IF($C376=1,OFFSET(E376,-1,0)+MAX(1,COUNTIF(QCI!$A$13:$A$24,OFFSET(ORÇAMENTO!E376,-1,0))),OFFSET(E376,-1,0))</f>
        <v>1</v>
      </c>
      <c r="F376">
        <f t="shared" ca="1" si="88"/>
        <v>20</v>
      </c>
      <c r="G376">
        <f t="shared" ca="1" si="89"/>
        <v>0</v>
      </c>
      <c r="H376">
        <f t="shared" ca="1" si="90"/>
        <v>0</v>
      </c>
      <c r="I376">
        <f t="shared" ca="1" si="91"/>
        <v>0</v>
      </c>
      <c r="J376">
        <f t="shared" ca="1" si="92"/>
        <v>0</v>
      </c>
      <c r="K376">
        <f ca="1">IF(OR($C376="S",$C376=0),0,MATCH(OFFSET($D376,0,$C376)+IF($C376&lt;&gt;1,1,COUNTIF(QCI!$A$13:$A$24,ORÇAMENTO!E376)),OFFSET($D376,1,$C376,ROW($C$405)-ROW($C376)),0))</f>
        <v>0</v>
      </c>
      <c r="L376" s="115" t="str">
        <f t="shared" ca="1" si="93"/>
        <v/>
      </c>
      <c r="M376" s="116" t="s">
        <v>706</v>
      </c>
      <c r="N376" s="117" t="str">
        <f t="shared" ca="1" si="94"/>
        <v>Serviço</v>
      </c>
      <c r="O376" s="118" t="str">
        <f t="shared" ca="1" si="95"/>
        <v>-</v>
      </c>
      <c r="P376" s="119" t="s">
        <v>1313</v>
      </c>
      <c r="Q376" s="120" t="s">
        <v>1248</v>
      </c>
      <c r="R376" s="121" t="s">
        <v>1619</v>
      </c>
      <c r="S376" s="122" t="s">
        <v>639</v>
      </c>
      <c r="T376" s="123">
        <f ca="1">OFFSET(CÁLCULO!H$15,ROW($T376)-ROW(T$15),0)</f>
        <v>1</v>
      </c>
      <c r="U376" s="124"/>
      <c r="V376" s="125" t="s">
        <v>663</v>
      </c>
      <c r="W376" s="123">
        <f ca="1">IF($C376="S",ROUND(IF(TIPOORCAMENTO="Proposto",ORÇAMENTO.CustoUnitario*(1+$AH376),ORÇAMENTO.PrecoUnitarioLicitado),15-13*$AF$10),0)</f>
        <v>0</v>
      </c>
      <c r="X376" s="126" cm="1">
        <f t="array" aca="1" ref="X376" ca="1">IF($C376="S",IF(OR(Import.TipoArredondamento&lt;&gt;"TransfereGOV",ACOMPANHAMENTO="BM"),VTOTAL1,SUM(OFFSET(CÁLCULO!$AA$15,ROW($X376)-ROW($X$15),1):OFFSET(CÁLCULO!$AL$15,ROW($X376)-ROW($X$15),-1))),IF($C376=0,0,ROUND(SomaAgrup,15-13*$AF$11)))</f>
        <v>0</v>
      </c>
      <c r="Y376" s="127" t="s">
        <v>752</v>
      </c>
      <c r="Z376" t="str">
        <f t="shared" ca="1" si="96"/>
        <v/>
      </c>
      <c r="AA376" s="128">
        <f ca="1">IF($C376="S",IF($Z376="CP",$X376,IF($Z376="RA",(($X376)*QCI!$AA$3),0)),SomaAgrup)</f>
        <v>0</v>
      </c>
      <c r="AB376" s="129">
        <f t="shared" ca="1" si="97"/>
        <v>0</v>
      </c>
      <c r="AC376" s="567" t="str">
        <f ca="1">IF($N376=""," ",
IF(AND($C376&lt;&gt;"S",OR($R376="",$R376="(digite a descrição aqui)")),"DESCRIÇÃO",
IF(AND($C376="S",OR($Q376&lt;&gt;0,$T376&gt;0,$U376&gt;0),$P376=0),"FONTE",
IF(AND($C376="S",$P376&lt;&gt;0,OR($T376&gt;0,$U376&gt;0),$Q376=0),"CÓDIGO",
IF(AND($C376="S",$P376&lt;&gt;0,$Q376&lt;&gt;0,$R376="(Código não identificado nas referências)"),"CÓDIGO N/ID",
IF(AND($C376="S",OR($R376="",$R376="(digite a descrição aqui)"),OR($Q376&lt;&gt;0,$T376&gt;0,$U376&gt;0)),"DESCRIÇÃO",
IF(AND($C376="S",$P376&lt;&gt;0,$Q376&lt;&gt;0,$S376=""),"UNIDADE",
IF(AND($C376="S",$P376&lt;&gt;0,$Q376&lt;&gt;0,$U376=0),"SEM CUSTO",
IF(AND(TIPOORCAMENTO="Licitado",$AL376=0,$AN376&gt;0),"SEM PREÇO",
IF(AND($C376="S",$P376&lt;&gt;0,$Q376&lt;&gt;0,$U376&gt;0,$V376=0),"BDI",
IF(OR(AND(TIPOORCAMENTO="Proposto",$AG376&lt;&gt;"",$AG376&gt;0,ORÇAMENTO.CustoUnitario&gt;$AG376),AND(TIPOORCAMENTO="LICITADO",ORÇAMENTO.PrecoUnitarioLicitado&gt;$AN376)),"ACIMA REF.",
IF(AND($C376="S",$P376&lt;&gt;0,$Q376&lt;&gt;0,$T376=0,$U376&gt;0),"QUANT.",
IF(AND(Import.TipoArredondamento="TransfereGOV",$L376="F",$C376="S",LEN($Q376)&gt;13),"Código &gt;13",
IF(AND(Import.TipoArredondamento="TransfereGOV",$L376="F",$C376&lt;&gt;"S",LEN($R376)&gt;100),"Descrição &gt;100",
IF(AND(Import.TipoArredondamento="TransfereGOV",$L376="F",$C376="S",LEN($R376)&gt;500),"Descrição &gt;500",
IF(AND(Import.TipoArredondamento="TransfereGOV",$L376="F",$C376="S",LEFT(TRIM(UPPER($P376)),6)&lt;&gt;"SINAPI",ISNA(VLOOKUP(TRIM(UPPER($S376)),ListaTgov.Unidades,1,FALSE))),"Unid. Não Disp",
" "))))))))))))))))</f>
        <v>SEM CUSTO</v>
      </c>
      <c r="AD376" t="str">
        <f ca="1">IF(C376&lt;=CRONO.NivelExibicao,MAX($AD$15:OFFSET(AD376,-1,0))+IF($C376&lt;&gt;1,1,MAX(1,COUNTIF(QCI!$A$13:$A$24,OFFSET($E376,-1,0)))),"")</f>
        <v/>
      </c>
      <c r="AE376" s="7" t="str">
        <f ca="1">IF(AND($C376="S",ORÇAMENTO.CodBarra&lt;&gt;""),IF(ORÇAMENTO.Fonte="",ORÇAMENTO.CodBarra,CONCATENATE(ORÇAMENTO.Fonte," ",ORÇAMENTO.CodBarra)))</f>
        <v>Cotação 138</v>
      </c>
      <c r="AF376" s="12" t="str">
        <f ca="1">IF(ISERROR(INDIRECT(ORÇAMENTO.BancoRef)),"(abra o arquivo 'Referência "&amp;Excel_BuiltIn_Database&amp;".xlsm)",IF(OR($C376&lt;&gt;"S",ORÇAMENTO.CodBarra=""),"(Sem Código)",IF(ISERROR(MATCH($AE376,INDIRECT(ORÇAMENTO.BancoRef),0)),"(Código não identificado nas referências)",MATCH($AE376,INDIRECT(ORÇAMENTO.BancoRef),0))))</f>
        <v>(abra o arquivo 'Referência 12-2024.xlsm)</v>
      </c>
      <c r="AG376" s="429">
        <f ca="1">ROUND(IF(DESONERACAO="sim",REFERENCIA.Desonerado,REFERENCIA.NaoDesonerado),2)</f>
        <v>0</v>
      </c>
      <c r="AH376" s="430">
        <f t="shared" ca="1" si="98"/>
        <v>0.31190000000000001</v>
      </c>
      <c r="AJ376" s="432">
        <v>1</v>
      </c>
      <c r="AL376" s="440"/>
      <c r="AM376" s="337">
        <f t="shared" ca="1" si="83"/>
        <v>0</v>
      </c>
      <c r="AN376" s="471">
        <f t="shared" ca="1" si="99"/>
        <v>0</v>
      </c>
    </row>
    <row r="377" spans="1:40" x14ac:dyDescent="0.2">
      <c r="A377" t="str">
        <f t="shared" si="84"/>
        <v>S</v>
      </c>
      <c r="B377">
        <f t="shared" ca="1" si="85"/>
        <v>2</v>
      </c>
      <c r="C377" t="str">
        <f t="shared" ca="1" si="86"/>
        <v>S</v>
      </c>
      <c r="D377">
        <f t="shared" ca="1" si="87"/>
        <v>0</v>
      </c>
      <c r="E377">
        <f ca="1">IF($C377=1,OFFSET(E377,-1,0)+MAX(1,COUNTIF(QCI!$A$13:$A$24,OFFSET(ORÇAMENTO!E377,-1,0))),OFFSET(E377,-1,0))</f>
        <v>1</v>
      </c>
      <c r="F377">
        <f t="shared" ca="1" si="88"/>
        <v>20</v>
      </c>
      <c r="G377">
        <f t="shared" ca="1" si="89"/>
        <v>0</v>
      </c>
      <c r="H377">
        <f t="shared" ca="1" si="90"/>
        <v>0</v>
      </c>
      <c r="I377">
        <f t="shared" ca="1" si="91"/>
        <v>0</v>
      </c>
      <c r="J377">
        <f t="shared" ca="1" si="92"/>
        <v>0</v>
      </c>
      <c r="K377">
        <f ca="1">IF(OR($C377="S",$C377=0),0,MATCH(OFFSET($D377,0,$C377)+IF($C377&lt;&gt;1,1,COUNTIF(QCI!$A$13:$A$24,ORÇAMENTO!E377)),OFFSET($D377,1,$C377,ROW($C$405)-ROW($C377)),0))</f>
        <v>0</v>
      </c>
      <c r="L377" s="115" t="str">
        <f t="shared" ca="1" si="93"/>
        <v/>
      </c>
      <c r="M377" s="116" t="s">
        <v>706</v>
      </c>
      <c r="N377" s="117" t="str">
        <f t="shared" ca="1" si="94"/>
        <v>Serviço</v>
      </c>
      <c r="O377" s="118" t="str">
        <f t="shared" ca="1" si="95"/>
        <v>-</v>
      </c>
      <c r="P377" s="119" t="s">
        <v>1313</v>
      </c>
      <c r="Q377" s="120" t="s">
        <v>1249</v>
      </c>
      <c r="R377" s="121" t="s">
        <v>1620</v>
      </c>
      <c r="S377" s="122" t="s">
        <v>424</v>
      </c>
      <c r="T377" s="123">
        <f ca="1">OFFSET(CÁLCULO!H$15,ROW($T377)-ROW(T$15),0)</f>
        <v>1</v>
      </c>
      <c r="U377" s="124"/>
      <c r="V377" s="125" t="s">
        <v>663</v>
      </c>
      <c r="W377" s="123">
        <f ca="1">IF($C377="S",ROUND(IF(TIPOORCAMENTO="Proposto",ORÇAMENTO.CustoUnitario*(1+$AH377),ORÇAMENTO.PrecoUnitarioLicitado),15-13*$AF$10),0)</f>
        <v>0</v>
      </c>
      <c r="X377" s="126" cm="1">
        <f t="array" aca="1" ref="X377" ca="1">IF($C377="S",IF(OR(Import.TipoArredondamento&lt;&gt;"TransfereGOV",ACOMPANHAMENTO="BM"),VTOTAL1,SUM(OFFSET(CÁLCULO!$AA$15,ROW($X377)-ROW($X$15),1):OFFSET(CÁLCULO!$AL$15,ROW($X377)-ROW($X$15),-1))),IF($C377=0,0,ROUND(SomaAgrup,15-13*$AF$11)))</f>
        <v>0</v>
      </c>
      <c r="Y377" s="127" t="s">
        <v>752</v>
      </c>
      <c r="Z377" t="str">
        <f t="shared" ca="1" si="96"/>
        <v/>
      </c>
      <c r="AA377" s="128">
        <f ca="1">IF($C377="S",IF($Z377="CP",$X377,IF($Z377="RA",(($X377)*QCI!$AA$3),0)),SomaAgrup)</f>
        <v>0</v>
      </c>
      <c r="AB377" s="129">
        <f t="shared" ca="1" si="97"/>
        <v>0</v>
      </c>
      <c r="AC377" s="567" t="str">
        <f ca="1">IF($N377=""," ",
IF(AND($C377&lt;&gt;"S",OR($R377="",$R377="(digite a descrição aqui)")),"DESCRIÇÃO",
IF(AND($C377="S",OR($Q377&lt;&gt;0,$T377&gt;0,$U377&gt;0),$P377=0),"FONTE",
IF(AND($C377="S",$P377&lt;&gt;0,OR($T377&gt;0,$U377&gt;0),$Q377=0),"CÓDIGO",
IF(AND($C377="S",$P377&lt;&gt;0,$Q377&lt;&gt;0,$R377="(Código não identificado nas referências)"),"CÓDIGO N/ID",
IF(AND($C377="S",OR($R377="",$R377="(digite a descrição aqui)"),OR($Q377&lt;&gt;0,$T377&gt;0,$U377&gt;0)),"DESCRIÇÃO",
IF(AND($C377="S",$P377&lt;&gt;0,$Q377&lt;&gt;0,$S377=""),"UNIDADE",
IF(AND($C377="S",$P377&lt;&gt;0,$Q377&lt;&gt;0,$U377=0),"SEM CUSTO",
IF(AND(TIPOORCAMENTO="Licitado",$AL377=0,$AN377&gt;0),"SEM PREÇO",
IF(AND($C377="S",$P377&lt;&gt;0,$Q377&lt;&gt;0,$U377&gt;0,$V377=0),"BDI",
IF(OR(AND(TIPOORCAMENTO="Proposto",$AG377&lt;&gt;"",$AG377&gt;0,ORÇAMENTO.CustoUnitario&gt;$AG377),AND(TIPOORCAMENTO="LICITADO",ORÇAMENTO.PrecoUnitarioLicitado&gt;$AN377)),"ACIMA REF.",
IF(AND($C377="S",$P377&lt;&gt;0,$Q377&lt;&gt;0,$T377=0,$U377&gt;0),"QUANT.",
IF(AND(Import.TipoArredondamento="TransfereGOV",$L377="F",$C377="S",LEN($Q377)&gt;13),"Código &gt;13",
IF(AND(Import.TipoArredondamento="TransfereGOV",$L377="F",$C377&lt;&gt;"S",LEN($R377)&gt;100),"Descrição &gt;100",
IF(AND(Import.TipoArredondamento="TransfereGOV",$L377="F",$C377="S",LEN($R377)&gt;500),"Descrição &gt;500",
IF(AND(Import.TipoArredondamento="TransfereGOV",$L377="F",$C377="S",LEFT(TRIM(UPPER($P377)),6)&lt;&gt;"SINAPI",ISNA(VLOOKUP(TRIM(UPPER($S377)),ListaTgov.Unidades,1,FALSE))),"Unid. Não Disp",
" "))))))))))))))))</f>
        <v>SEM CUSTO</v>
      </c>
      <c r="AD377" t="str">
        <f ca="1">IF(C377&lt;=CRONO.NivelExibicao,MAX($AD$15:OFFSET(AD377,-1,0))+IF($C377&lt;&gt;1,1,MAX(1,COUNTIF(QCI!$A$13:$A$24,OFFSET($E377,-1,0)))),"")</f>
        <v/>
      </c>
      <c r="AE377" s="7" t="str">
        <f ca="1">IF(AND($C377="S",ORÇAMENTO.CodBarra&lt;&gt;""),IF(ORÇAMENTO.Fonte="",ORÇAMENTO.CodBarra,CONCATENATE(ORÇAMENTO.Fonte," ",ORÇAMENTO.CodBarra)))</f>
        <v>Cotação 136</v>
      </c>
      <c r="AF377" s="12" t="str">
        <f ca="1">IF(ISERROR(INDIRECT(ORÇAMENTO.BancoRef)),"(abra o arquivo 'Referência "&amp;Excel_BuiltIn_Database&amp;".xlsm)",IF(OR($C377&lt;&gt;"S",ORÇAMENTO.CodBarra=""),"(Sem Código)",IF(ISERROR(MATCH($AE377,INDIRECT(ORÇAMENTO.BancoRef),0)),"(Código não identificado nas referências)",MATCH($AE377,INDIRECT(ORÇAMENTO.BancoRef),0))))</f>
        <v>(abra o arquivo 'Referência 12-2024.xlsm)</v>
      </c>
      <c r="AG377" s="429">
        <f ca="1">ROUND(IF(DESONERACAO="sim",REFERENCIA.Desonerado,REFERENCIA.NaoDesonerado),2)</f>
        <v>0</v>
      </c>
      <c r="AH377" s="430">
        <f t="shared" ca="1" si="98"/>
        <v>0.31190000000000001</v>
      </c>
      <c r="AJ377" s="432">
        <v>1</v>
      </c>
      <c r="AL377" s="440"/>
      <c r="AM377" s="337">
        <f t="shared" ca="1" si="83"/>
        <v>0</v>
      </c>
      <c r="AN377" s="471">
        <f t="shared" ca="1" si="99"/>
        <v>0</v>
      </c>
    </row>
    <row r="378" spans="1:40" x14ac:dyDescent="0.2">
      <c r="A378" t="str">
        <f t="shared" si="84"/>
        <v>S</v>
      </c>
      <c r="B378">
        <f t="shared" ca="1" si="85"/>
        <v>2</v>
      </c>
      <c r="C378" t="str">
        <f t="shared" ca="1" si="86"/>
        <v>S</v>
      </c>
      <c r="D378">
        <f t="shared" ca="1" si="87"/>
        <v>0</v>
      </c>
      <c r="E378">
        <f ca="1">IF($C378=1,OFFSET(E378,-1,0)+MAX(1,COUNTIF(QCI!$A$13:$A$24,OFFSET(ORÇAMENTO!E378,-1,0))),OFFSET(E378,-1,0))</f>
        <v>1</v>
      </c>
      <c r="F378">
        <f t="shared" ca="1" si="88"/>
        <v>20</v>
      </c>
      <c r="G378">
        <f t="shared" ca="1" si="89"/>
        <v>0</v>
      </c>
      <c r="H378">
        <f t="shared" ca="1" si="90"/>
        <v>0</v>
      </c>
      <c r="I378">
        <f t="shared" ca="1" si="91"/>
        <v>0</v>
      </c>
      <c r="J378">
        <f t="shared" ca="1" si="92"/>
        <v>0</v>
      </c>
      <c r="K378">
        <f ca="1">IF(OR($C378="S",$C378=0),0,MATCH(OFFSET($D378,0,$C378)+IF($C378&lt;&gt;1,1,COUNTIF(QCI!$A$13:$A$24,ORÇAMENTO!E378)),OFFSET($D378,1,$C378,ROW($C$405)-ROW($C378)),0))</f>
        <v>0</v>
      </c>
      <c r="L378" s="115" t="str">
        <f t="shared" ca="1" si="93"/>
        <v/>
      </c>
      <c r="M378" s="116" t="s">
        <v>706</v>
      </c>
      <c r="N378" s="117" t="str">
        <f t="shared" ca="1" si="94"/>
        <v>Serviço</v>
      </c>
      <c r="O378" s="118" t="str">
        <f t="shared" ca="1" si="95"/>
        <v>-</v>
      </c>
      <c r="P378" s="119" t="s">
        <v>751</v>
      </c>
      <c r="Q378" s="120" t="s">
        <v>1167</v>
      </c>
      <c r="R378" s="121" t="s">
        <v>1539</v>
      </c>
      <c r="S378" s="122" t="s">
        <v>615</v>
      </c>
      <c r="T378" s="123">
        <f ca="1">OFFSET(CÁLCULO!H$15,ROW($T378)-ROW(T$15),0)</f>
        <v>16</v>
      </c>
      <c r="U378" s="124"/>
      <c r="V378" s="125" t="s">
        <v>663</v>
      </c>
      <c r="W378" s="123">
        <f ca="1">IF($C378="S",ROUND(IF(TIPOORCAMENTO="Proposto",ORÇAMENTO.CustoUnitario*(1+$AH378),ORÇAMENTO.PrecoUnitarioLicitado),15-13*$AF$10),0)</f>
        <v>0</v>
      </c>
      <c r="X378" s="126" cm="1">
        <f t="array" aca="1" ref="X378" ca="1">IF($C378="S",IF(OR(Import.TipoArredondamento&lt;&gt;"TransfereGOV",ACOMPANHAMENTO="BM"),VTOTAL1,SUM(OFFSET(CÁLCULO!$AA$15,ROW($X378)-ROW($X$15),1):OFFSET(CÁLCULO!$AL$15,ROW($X378)-ROW($X$15),-1))),IF($C378=0,0,ROUND(SomaAgrup,15-13*$AF$11)))</f>
        <v>0</v>
      </c>
      <c r="Y378" s="127" t="s">
        <v>752</v>
      </c>
      <c r="Z378" t="str">
        <f t="shared" ca="1" si="96"/>
        <v/>
      </c>
      <c r="AA378" s="128">
        <f ca="1">IF($C378="S",IF($Z378="CP",$X378,IF($Z378="RA",(($X378)*QCI!$AA$3),0)),SomaAgrup)</f>
        <v>0</v>
      </c>
      <c r="AB378" s="129">
        <f t="shared" ca="1" si="97"/>
        <v>0</v>
      </c>
      <c r="AC378" s="567" t="str">
        <f ca="1">IF($N378=""," ",
IF(AND($C378&lt;&gt;"S",OR($R378="",$R378="(digite a descrição aqui)")),"DESCRIÇÃO",
IF(AND($C378="S",OR($Q378&lt;&gt;0,$T378&gt;0,$U378&gt;0),$P378=0),"FONTE",
IF(AND($C378="S",$P378&lt;&gt;0,OR($T378&gt;0,$U378&gt;0),$Q378=0),"CÓDIGO",
IF(AND($C378="S",$P378&lt;&gt;0,$Q378&lt;&gt;0,$R378="(Código não identificado nas referências)"),"CÓDIGO N/ID",
IF(AND($C378="S",OR($R378="",$R378="(digite a descrição aqui)"),OR($Q378&lt;&gt;0,$T378&gt;0,$U378&gt;0)),"DESCRIÇÃO",
IF(AND($C378="S",$P378&lt;&gt;0,$Q378&lt;&gt;0,$S378=""),"UNIDADE",
IF(AND($C378="S",$P378&lt;&gt;0,$Q378&lt;&gt;0,$U378=0),"SEM CUSTO",
IF(AND(TIPOORCAMENTO="Licitado",$AL378=0,$AN378&gt;0),"SEM PREÇO",
IF(AND($C378="S",$P378&lt;&gt;0,$Q378&lt;&gt;0,$U378&gt;0,$V378=0),"BDI",
IF(OR(AND(TIPOORCAMENTO="Proposto",$AG378&lt;&gt;"",$AG378&gt;0,ORÇAMENTO.CustoUnitario&gt;$AG378),AND(TIPOORCAMENTO="LICITADO",ORÇAMENTO.PrecoUnitarioLicitado&gt;$AN378)),"ACIMA REF.",
IF(AND($C378="S",$P378&lt;&gt;0,$Q378&lt;&gt;0,$T378=0,$U378&gt;0),"QUANT.",
IF(AND(Import.TipoArredondamento="TransfereGOV",$L378="F",$C378="S",LEN($Q378)&gt;13),"Código &gt;13",
IF(AND(Import.TipoArredondamento="TransfereGOV",$L378="F",$C378&lt;&gt;"S",LEN($R378)&gt;100),"Descrição &gt;100",
IF(AND(Import.TipoArredondamento="TransfereGOV",$L378="F",$C378="S",LEN($R378)&gt;500),"Descrição &gt;500",
IF(AND(Import.TipoArredondamento="TransfereGOV",$L378="F",$C378="S",LEFT(TRIM(UPPER($P378)),6)&lt;&gt;"SINAPI",ISNA(VLOOKUP(TRIM(UPPER($S378)),ListaTgov.Unidades,1,FALSE))),"Unid. Não Disp",
" "))))))))))))))))</f>
        <v>SEM CUSTO</v>
      </c>
      <c r="AD378" t="str">
        <f ca="1">IF(C378&lt;=CRONO.NivelExibicao,MAX($AD$15:OFFSET(AD378,-1,0))+IF($C378&lt;&gt;1,1,MAX(1,COUNTIF(QCI!$A$13:$A$24,OFFSET($E378,-1,0)))),"")</f>
        <v/>
      </c>
      <c r="AE378" s="7" t="str">
        <f ca="1">IF(AND($C378="S",ORÇAMENTO.CodBarra&lt;&gt;""),IF(ORÇAMENTO.Fonte="",ORÇAMENTO.CodBarra,CONCATENATE(ORÇAMENTO.Fonte," ",ORÇAMENTO.CodBarra)))</f>
        <v>SINAPI 88316</v>
      </c>
      <c r="AF378" s="12" t="str">
        <f ca="1">IF(ISERROR(INDIRECT(ORÇAMENTO.BancoRef)),"(abra o arquivo 'Referência "&amp;Excel_BuiltIn_Database&amp;".xlsm)",IF(OR($C378&lt;&gt;"S",ORÇAMENTO.CodBarra=""),"(Sem Código)",IF(ISERROR(MATCH($AE378,INDIRECT(ORÇAMENTO.BancoRef),0)),"(Código não identificado nas referências)",MATCH($AE378,INDIRECT(ORÇAMENTO.BancoRef),0))))</f>
        <v>(abra o arquivo 'Referência 12-2024.xlsm)</v>
      </c>
      <c r="AG378" s="429">
        <f ca="1">ROUND(IF(DESONERACAO="sim",REFERENCIA.Desonerado,REFERENCIA.NaoDesonerado),2)</f>
        <v>0</v>
      </c>
      <c r="AH378" s="430">
        <f t="shared" ca="1" si="98"/>
        <v>0.31190000000000001</v>
      </c>
      <c r="AJ378" s="432">
        <v>16</v>
      </c>
      <c r="AL378" s="440"/>
      <c r="AM378" s="337">
        <f t="shared" ca="1" si="83"/>
        <v>0</v>
      </c>
      <c r="AN378" s="471">
        <f t="shared" ca="1" si="99"/>
        <v>0</v>
      </c>
    </row>
    <row r="379" spans="1:40" ht="51" x14ac:dyDescent="0.2">
      <c r="A379" t="str">
        <f t="shared" si="84"/>
        <v>S</v>
      </c>
      <c r="B379">
        <f t="shared" ca="1" si="85"/>
        <v>2</v>
      </c>
      <c r="C379" t="str">
        <f t="shared" ca="1" si="86"/>
        <v>S</v>
      </c>
      <c r="D379">
        <f t="shared" ca="1" si="87"/>
        <v>0</v>
      </c>
      <c r="E379">
        <f ca="1">IF($C379=1,OFFSET(E379,-1,0)+MAX(1,COUNTIF(QCI!$A$13:$A$24,OFFSET(ORÇAMENTO!E379,-1,0))),OFFSET(E379,-1,0))</f>
        <v>1</v>
      </c>
      <c r="F379">
        <f t="shared" ca="1" si="88"/>
        <v>20</v>
      </c>
      <c r="G379">
        <f t="shared" ca="1" si="89"/>
        <v>0</v>
      </c>
      <c r="H379">
        <f t="shared" ca="1" si="90"/>
        <v>0</v>
      </c>
      <c r="I379">
        <f t="shared" ca="1" si="91"/>
        <v>0</v>
      </c>
      <c r="J379">
        <f t="shared" ca="1" si="92"/>
        <v>0</v>
      </c>
      <c r="K379">
        <f ca="1">IF(OR($C379="S",$C379=0),0,MATCH(OFFSET($D379,0,$C379)+IF($C379&lt;&gt;1,1,COUNTIF(QCI!$A$13:$A$24,ORÇAMENTO!E379)),OFFSET($D379,1,$C379,ROW($C$405)-ROW($C379)),0))</f>
        <v>0</v>
      </c>
      <c r="L379" s="115" t="str">
        <f t="shared" ca="1" si="93"/>
        <v/>
      </c>
      <c r="M379" s="116" t="s">
        <v>706</v>
      </c>
      <c r="N379" s="117" t="str">
        <f t="shared" ca="1" si="94"/>
        <v>Serviço</v>
      </c>
      <c r="O379" s="118" t="str">
        <f t="shared" ca="1" si="95"/>
        <v>-</v>
      </c>
      <c r="P379" s="119" t="s">
        <v>1320</v>
      </c>
      <c r="Q379" s="120" t="s">
        <v>1250</v>
      </c>
      <c r="R379" s="121" t="s">
        <v>1621</v>
      </c>
      <c r="S379" s="122" t="s">
        <v>625</v>
      </c>
      <c r="T379" s="123">
        <f ca="1">OFFSET(CÁLCULO!H$15,ROW($T379)-ROW(T$15),0)</f>
        <v>8</v>
      </c>
      <c r="U379" s="124"/>
      <c r="V379" s="125" t="s">
        <v>663</v>
      </c>
      <c r="W379" s="123">
        <f ca="1">IF($C379="S",ROUND(IF(TIPOORCAMENTO="Proposto",ORÇAMENTO.CustoUnitario*(1+$AH379),ORÇAMENTO.PrecoUnitarioLicitado),15-13*$AF$10),0)</f>
        <v>0</v>
      </c>
      <c r="X379" s="126" cm="1">
        <f t="array" aca="1" ref="X379" ca="1">IF($C379="S",IF(OR(Import.TipoArredondamento&lt;&gt;"TransfereGOV",ACOMPANHAMENTO="BM"),VTOTAL1,SUM(OFFSET(CÁLCULO!$AA$15,ROW($X379)-ROW($X$15),1):OFFSET(CÁLCULO!$AL$15,ROW($X379)-ROW($X$15),-1))),IF($C379=0,0,ROUND(SomaAgrup,15-13*$AF$11)))</f>
        <v>0</v>
      </c>
      <c r="Y379" s="127" t="s">
        <v>752</v>
      </c>
      <c r="Z379" t="str">
        <f t="shared" ca="1" si="96"/>
        <v/>
      </c>
      <c r="AA379" s="128">
        <f ca="1">IF($C379="S",IF($Z379="CP",$X379,IF($Z379="RA",(($X379)*QCI!$AA$3),0)),SomaAgrup)</f>
        <v>0</v>
      </c>
      <c r="AB379" s="129">
        <f t="shared" ca="1" si="97"/>
        <v>0</v>
      </c>
      <c r="AC379" s="567" t="str">
        <f ca="1">IF($N379=""," ",
IF(AND($C379&lt;&gt;"S",OR($R379="",$R379="(digite a descrição aqui)")),"DESCRIÇÃO",
IF(AND($C379="S",OR($Q379&lt;&gt;0,$T379&gt;0,$U379&gt;0),$P379=0),"FONTE",
IF(AND($C379="S",$P379&lt;&gt;0,OR($T379&gt;0,$U379&gt;0),$Q379=0),"CÓDIGO",
IF(AND($C379="S",$P379&lt;&gt;0,$Q379&lt;&gt;0,$R379="(Código não identificado nas referências)"),"CÓDIGO N/ID",
IF(AND($C379="S",OR($R379="",$R379="(digite a descrição aqui)"),OR($Q379&lt;&gt;0,$T379&gt;0,$U379&gt;0)),"DESCRIÇÃO",
IF(AND($C379="S",$P379&lt;&gt;0,$Q379&lt;&gt;0,$S379=""),"UNIDADE",
IF(AND($C379="S",$P379&lt;&gt;0,$Q379&lt;&gt;0,$U379=0),"SEM CUSTO",
IF(AND(TIPOORCAMENTO="Licitado",$AL379=0,$AN379&gt;0),"SEM PREÇO",
IF(AND($C379="S",$P379&lt;&gt;0,$Q379&lt;&gt;0,$U379&gt;0,$V379=0),"BDI",
IF(OR(AND(TIPOORCAMENTO="Proposto",$AG379&lt;&gt;"",$AG379&gt;0,ORÇAMENTO.CustoUnitario&gt;$AG379),AND(TIPOORCAMENTO="LICITADO",ORÇAMENTO.PrecoUnitarioLicitado&gt;$AN379)),"ACIMA REF.",
IF(AND($C379="S",$P379&lt;&gt;0,$Q379&lt;&gt;0,$T379=0,$U379&gt;0),"QUANT.",
IF(AND(Import.TipoArredondamento="TransfereGOV",$L379="F",$C379="S",LEN($Q379)&gt;13),"Código &gt;13",
IF(AND(Import.TipoArredondamento="TransfereGOV",$L379="F",$C379&lt;&gt;"S",LEN($R379)&gt;100),"Descrição &gt;100",
IF(AND(Import.TipoArredondamento="TransfereGOV",$L379="F",$C379="S",LEN($R379)&gt;500),"Descrição &gt;500",
IF(AND(Import.TipoArredondamento="TransfereGOV",$L379="F",$C379="S",LEFT(TRIM(UPPER($P379)),6)&lt;&gt;"SINAPI",ISNA(VLOOKUP(TRIM(UPPER($S379)),ListaTgov.Unidades,1,FALSE))),"Unid. Não Disp",
" "))))))))))))))))</f>
        <v>SEM CUSTO</v>
      </c>
      <c r="AD379" t="str">
        <f ca="1">IF(C379&lt;=CRONO.NivelExibicao,MAX($AD$15:OFFSET(AD379,-1,0))+IF($C379&lt;&gt;1,1,MAX(1,COUNTIF(QCI!$A$13:$A$24,OFFSET($E379,-1,0)))),"")</f>
        <v/>
      </c>
      <c r="AE379" s="7" t="str">
        <f ca="1">IF(AND($C379="S",ORÇAMENTO.CodBarra&lt;&gt;""),IF(ORÇAMENTO.Fonte="",ORÇAMENTO.CodBarra,CONCATENATE(ORÇAMENTO.Fonte," ",ORÇAMENTO.CodBarra)))</f>
        <v>Composição 281</v>
      </c>
      <c r="AF379" s="12" t="str">
        <f ca="1">IF(ISERROR(INDIRECT(ORÇAMENTO.BancoRef)),"(abra o arquivo 'Referência "&amp;Excel_BuiltIn_Database&amp;".xlsm)",IF(OR($C379&lt;&gt;"S",ORÇAMENTO.CodBarra=""),"(Sem Código)",IF(ISERROR(MATCH($AE379,INDIRECT(ORÇAMENTO.BancoRef),0)),"(Código não identificado nas referências)",MATCH($AE379,INDIRECT(ORÇAMENTO.BancoRef),0))))</f>
        <v>(abra o arquivo 'Referência 12-2024.xlsm)</v>
      </c>
      <c r="AG379" s="429">
        <f ca="1">ROUND(IF(DESONERACAO="sim",REFERENCIA.Desonerado,REFERENCIA.NaoDesonerado),2)</f>
        <v>0</v>
      </c>
      <c r="AH379" s="430">
        <f t="shared" ca="1" si="98"/>
        <v>0.31190000000000001</v>
      </c>
      <c r="AJ379" s="432">
        <v>8</v>
      </c>
      <c r="AL379" s="440"/>
      <c r="AM379" s="337">
        <f t="shared" ca="1" si="83"/>
        <v>0</v>
      </c>
      <c r="AN379" s="471">
        <f t="shared" ca="1" si="99"/>
        <v>0</v>
      </c>
    </row>
    <row r="380" spans="1:40" x14ac:dyDescent="0.2">
      <c r="A380">
        <f t="shared" si="84"/>
        <v>2</v>
      </c>
      <c r="B380">
        <f t="shared" ca="1" si="85"/>
        <v>2</v>
      </c>
      <c r="C380">
        <f t="shared" ca="1" si="86"/>
        <v>2</v>
      </c>
      <c r="D380">
        <f t="shared" ca="1" si="87"/>
        <v>12</v>
      </c>
      <c r="E380">
        <f ca="1">IF($C380=1,OFFSET(E380,-1,0)+MAX(1,COUNTIF(QCI!$A$13:$A$24,OFFSET(ORÇAMENTO!E380,-1,0))),OFFSET(E380,-1,0))</f>
        <v>1</v>
      </c>
      <c r="F380">
        <f t="shared" ca="1" si="88"/>
        <v>21</v>
      </c>
      <c r="G380">
        <f t="shared" ca="1" si="89"/>
        <v>0</v>
      </c>
      <c r="H380">
        <f t="shared" ca="1" si="90"/>
        <v>0</v>
      </c>
      <c r="I380">
        <f t="shared" ca="1" si="91"/>
        <v>0</v>
      </c>
      <c r="J380">
        <f t="shared" ca="1" si="92"/>
        <v>25</v>
      </c>
      <c r="K380">
        <f ca="1">IF(OR($C380="S",$C380=0),0,MATCH(OFFSET($D380,0,$C380)+IF($C380&lt;&gt;1,1,COUNTIF(QCI!$A$13:$A$24,ORÇAMENTO!E380)),OFFSET($D380,1,$C380,ROW($C$405)-ROW($C380)),0))</f>
        <v>12</v>
      </c>
      <c r="L380" s="115" t="str">
        <f t="shared" ca="1" si="93"/>
        <v>F</v>
      </c>
      <c r="M380" s="116" t="s">
        <v>703</v>
      </c>
      <c r="N380" s="117" t="str">
        <f t="shared" ca="1" si="94"/>
        <v>Nível 2</v>
      </c>
      <c r="O380" s="118" t="str">
        <f t="shared" ca="1" si="95"/>
        <v>1.21.</v>
      </c>
      <c r="P380" s="119" t="s">
        <v>751</v>
      </c>
      <c r="Q380" s="120"/>
      <c r="R380" s="121" t="s">
        <v>1308</v>
      </c>
      <c r="S380" s="122" t="s">
        <v>689</v>
      </c>
      <c r="T380" s="123">
        <f ca="1">OFFSET(CÁLCULO!H$15,ROW($T380)-ROW(T$15),0)</f>
        <v>0</v>
      </c>
      <c r="U380" s="124"/>
      <c r="V380" s="125" t="s">
        <v>663</v>
      </c>
      <c r="W380" s="123">
        <f ca="1">IF($C380="S",ROUND(IF(TIPOORCAMENTO="Proposto",ORÇAMENTO.CustoUnitario*(1+$AH380),ORÇAMENTO.PrecoUnitarioLicitado),15-13*$AF$10),0)</f>
        <v>0</v>
      </c>
      <c r="X380" s="126" cm="1">
        <f t="array" aca="1" ref="X380" ca="1">IF($C380="S",IF(OR(Import.TipoArredondamento&lt;&gt;"TransfereGOV",ACOMPANHAMENTO="BM"),VTOTAL1,SUM(OFFSET(CÁLCULO!$AA$15,ROW($X380)-ROW($X$15),1):OFFSET(CÁLCULO!$AL$15,ROW($X380)-ROW($X$15),-1))),IF($C380=0,0,ROUND(SomaAgrup,15-13*$AF$11)))</f>
        <v>0</v>
      </c>
      <c r="Y380" s="127" t="s">
        <v>752</v>
      </c>
      <c r="Z380" t="str">
        <f t="shared" ca="1" si="96"/>
        <v/>
      </c>
      <c r="AA380" s="128">
        <f ca="1">IF($C380="S",IF($Z380="CP",$X380,IF($Z380="RA",(($X380)*QCI!$AA$3),0)),SomaAgrup)</f>
        <v>0</v>
      </c>
      <c r="AB380" s="129">
        <f t="shared" ca="1" si="97"/>
        <v>0</v>
      </c>
      <c r="AC380" s="567" t="str">
        <f ca="1">IF($N380=""," ",
IF(AND($C380&lt;&gt;"S",OR($R380="",$R380="(digite a descrição aqui)")),"DESCRIÇÃO",
IF(AND($C380="S",OR($Q380&lt;&gt;0,$T380&gt;0,$U380&gt;0),$P380=0),"FONTE",
IF(AND($C380="S",$P380&lt;&gt;0,OR($T380&gt;0,$U380&gt;0),$Q380=0),"CÓDIGO",
IF(AND($C380="S",$P380&lt;&gt;0,$Q380&lt;&gt;0,$R380="(Código não identificado nas referências)"),"CÓDIGO N/ID",
IF(AND($C380="S",OR($R380="",$R380="(digite a descrição aqui)"),OR($Q380&lt;&gt;0,$T380&gt;0,$U380&gt;0)),"DESCRIÇÃO",
IF(AND($C380="S",$P380&lt;&gt;0,$Q380&lt;&gt;0,$S380=""),"UNIDADE",
IF(AND($C380="S",$P380&lt;&gt;0,$Q380&lt;&gt;0,$U380=0),"SEM CUSTO",
IF(AND(TIPOORCAMENTO="Licitado",$AL380=0,$AN380&gt;0),"SEM PREÇO",
IF(AND($C380="S",$P380&lt;&gt;0,$Q380&lt;&gt;0,$U380&gt;0,$V380=0),"BDI",
IF(OR(AND(TIPOORCAMENTO="Proposto",$AG380&lt;&gt;"",$AG380&gt;0,ORÇAMENTO.CustoUnitario&gt;$AG380),AND(TIPOORCAMENTO="LICITADO",ORÇAMENTO.PrecoUnitarioLicitado&gt;$AN380)),"ACIMA REF.",
IF(AND($C380="S",$P380&lt;&gt;0,$Q380&lt;&gt;0,$T380=0,$U380&gt;0),"QUANT.",
IF(AND(Import.TipoArredondamento="TransfereGOV",$L380="F",$C380="S",LEN($Q380)&gt;13),"Código &gt;13",
IF(AND(Import.TipoArredondamento="TransfereGOV",$L380="F",$C380&lt;&gt;"S",LEN($R380)&gt;100),"Descrição &gt;100",
IF(AND(Import.TipoArredondamento="TransfereGOV",$L380="F",$C380="S",LEN($R380)&gt;500),"Descrição &gt;500",
IF(AND(Import.TipoArredondamento="TransfereGOV",$L380="F",$C380="S",LEFT(TRIM(UPPER($P380)),6)&lt;&gt;"SINAPI",ISNA(VLOOKUP(TRIM(UPPER($S380)),ListaTgov.Unidades,1,FALSE))),"Unid. Não Disp",
" "))))))))))))))))</f>
        <v xml:space="preserve"> </v>
      </c>
      <c r="AD380">
        <f ca="1">IF(C380&lt;=CRONO.NivelExibicao,MAX($AD$15:OFFSET(AD380,-1,0))+IF($C380&lt;&gt;1,1,MAX(1,COUNTIF(QCI!$A$13:$A$24,OFFSET($E380,-1,0)))),"")</f>
        <v>22</v>
      </c>
      <c r="AE380" s="7" t="b">
        <f ca="1">IF(AND($C380="S",ORÇAMENTO.CodBarra&lt;&gt;""),IF(ORÇAMENTO.Fonte="",ORÇAMENTO.CodBarra,CONCATENATE(ORÇAMENTO.Fonte," ",ORÇAMENTO.CodBarra)))</f>
        <v>0</v>
      </c>
      <c r="AF380" s="12" t="str">
        <f ca="1">IF(ISERROR(INDIRECT(ORÇAMENTO.BancoRef)),"(abra o arquivo 'Referência "&amp;Excel_BuiltIn_Database&amp;".xlsm)",IF(OR($C380&lt;&gt;"S",ORÇAMENTO.CodBarra=""),"(Sem Código)",IF(ISERROR(MATCH($AE380,INDIRECT(ORÇAMENTO.BancoRef),0)),"(Código não identificado nas referências)",MATCH($AE380,INDIRECT(ORÇAMENTO.BancoRef),0))))</f>
        <v>(abra o arquivo 'Referência 12-2024.xlsm)</v>
      </c>
      <c r="AG380" s="429">
        <f ca="1">ROUND(IF(DESONERACAO="sim",REFERENCIA.Desonerado,REFERENCIA.NaoDesonerado),2)</f>
        <v>0</v>
      </c>
      <c r="AH380" s="430">
        <f t="shared" ca="1" si="98"/>
        <v>0.31190000000000001</v>
      </c>
      <c r="AJ380" s="432"/>
      <c r="AL380" s="440"/>
      <c r="AM380" s="337">
        <f t="shared" ca="1" si="83"/>
        <v>0</v>
      </c>
      <c r="AN380" s="471">
        <f t="shared" ca="1" si="99"/>
        <v>0</v>
      </c>
    </row>
    <row r="381" spans="1:40" ht="25.5" x14ac:dyDescent="0.2">
      <c r="A381" t="str">
        <f t="shared" si="84"/>
        <v>S</v>
      </c>
      <c r="B381">
        <f t="shared" ca="1" si="85"/>
        <v>2</v>
      </c>
      <c r="C381" t="str">
        <f t="shared" ca="1" si="86"/>
        <v>S</v>
      </c>
      <c r="D381">
        <f t="shared" ca="1" si="87"/>
        <v>0</v>
      </c>
      <c r="E381">
        <f ca="1">IF($C381=1,OFFSET(E381,-1,0)+MAX(1,COUNTIF(QCI!$A$13:$A$24,OFFSET(ORÇAMENTO!E381,-1,0))),OFFSET(E381,-1,0))</f>
        <v>1</v>
      </c>
      <c r="F381">
        <f t="shared" ca="1" si="88"/>
        <v>21</v>
      </c>
      <c r="G381">
        <f t="shared" ca="1" si="89"/>
        <v>0</v>
      </c>
      <c r="H381">
        <f t="shared" ca="1" si="90"/>
        <v>0</v>
      </c>
      <c r="I381">
        <f t="shared" ca="1" si="91"/>
        <v>0</v>
      </c>
      <c r="J381">
        <f t="shared" ca="1" si="92"/>
        <v>0</v>
      </c>
      <c r="K381">
        <f ca="1">IF(OR($C381="S",$C381=0),0,MATCH(OFFSET($D381,0,$C381)+IF($C381&lt;&gt;1,1,COUNTIF(QCI!$A$13:$A$24,ORÇAMENTO!E381)),OFFSET($D381,1,$C381,ROW($C$405)-ROW($C381)),0))</f>
        <v>0</v>
      </c>
      <c r="L381" s="115" t="str">
        <f t="shared" ca="1" si="93"/>
        <v/>
      </c>
      <c r="M381" s="116" t="s">
        <v>706</v>
      </c>
      <c r="N381" s="117" t="str">
        <f t="shared" ca="1" si="94"/>
        <v>Serviço</v>
      </c>
      <c r="O381" s="118" t="str">
        <f t="shared" ca="1" si="95"/>
        <v>-</v>
      </c>
      <c r="P381" s="119" t="s">
        <v>1316</v>
      </c>
      <c r="Q381" s="120" t="s">
        <v>1251</v>
      </c>
      <c r="R381" s="121" t="s">
        <v>1622</v>
      </c>
      <c r="S381" s="122" t="s">
        <v>1644</v>
      </c>
      <c r="T381" s="123">
        <f ca="1">OFFSET(CÁLCULO!H$15,ROW($T381)-ROW(T$15),0)</f>
        <v>128.69999999999999</v>
      </c>
      <c r="U381" s="124"/>
      <c r="V381" s="125" t="s">
        <v>663</v>
      </c>
      <c r="W381" s="123">
        <f ca="1">IF($C381="S",ROUND(IF(TIPOORCAMENTO="Proposto",ORÇAMENTO.CustoUnitario*(1+$AH381),ORÇAMENTO.PrecoUnitarioLicitado),15-13*$AF$10),0)</f>
        <v>0</v>
      </c>
      <c r="X381" s="126" cm="1">
        <f t="array" aca="1" ref="X381" ca="1">IF($C381="S",IF(OR(Import.TipoArredondamento&lt;&gt;"TransfereGOV",ACOMPANHAMENTO="BM"),VTOTAL1,SUM(OFFSET(CÁLCULO!$AA$15,ROW($X381)-ROW($X$15),1):OFFSET(CÁLCULO!$AL$15,ROW($X381)-ROW($X$15),-1))),IF($C381=0,0,ROUND(SomaAgrup,15-13*$AF$11)))</f>
        <v>0</v>
      </c>
      <c r="Y381" s="127" t="s">
        <v>752</v>
      </c>
      <c r="Z381" t="str">
        <f t="shared" ca="1" si="96"/>
        <v/>
      </c>
      <c r="AA381" s="128">
        <f ca="1">IF($C381="S",IF($Z381="CP",$X381,IF($Z381="RA",(($X381)*QCI!$AA$3),0)),SomaAgrup)</f>
        <v>0</v>
      </c>
      <c r="AB381" s="129">
        <f t="shared" ca="1" si="97"/>
        <v>0</v>
      </c>
      <c r="AC381" s="567" t="str">
        <f ca="1">IF($N381=""," ",
IF(AND($C381&lt;&gt;"S",OR($R381="",$R381="(digite a descrição aqui)")),"DESCRIÇÃO",
IF(AND($C381="S",OR($Q381&lt;&gt;0,$T381&gt;0,$U381&gt;0),$P381=0),"FONTE",
IF(AND($C381="S",$P381&lt;&gt;0,OR($T381&gt;0,$U381&gt;0),$Q381=0),"CÓDIGO",
IF(AND($C381="S",$P381&lt;&gt;0,$Q381&lt;&gt;0,$R381="(Código não identificado nas referências)"),"CÓDIGO N/ID",
IF(AND($C381="S",OR($R381="",$R381="(digite a descrição aqui)"),OR($Q381&lt;&gt;0,$T381&gt;0,$U381&gt;0)),"DESCRIÇÃO",
IF(AND($C381="S",$P381&lt;&gt;0,$Q381&lt;&gt;0,$S381=""),"UNIDADE",
IF(AND($C381="S",$P381&lt;&gt;0,$Q381&lt;&gt;0,$U381=0),"SEM CUSTO",
IF(AND(TIPOORCAMENTO="Licitado",$AL381=0,$AN381&gt;0),"SEM PREÇO",
IF(AND($C381="S",$P381&lt;&gt;0,$Q381&lt;&gt;0,$U381&gt;0,$V381=0),"BDI",
IF(OR(AND(TIPOORCAMENTO="Proposto",$AG381&lt;&gt;"",$AG381&gt;0,ORÇAMENTO.CustoUnitario&gt;$AG381),AND(TIPOORCAMENTO="LICITADO",ORÇAMENTO.PrecoUnitarioLicitado&gt;$AN381)),"ACIMA REF.",
IF(AND($C381="S",$P381&lt;&gt;0,$Q381&lt;&gt;0,$T381=0,$U381&gt;0),"QUANT.",
IF(AND(Import.TipoArredondamento="TransfereGOV",$L381="F",$C381="S",LEN($Q381)&gt;13),"Código &gt;13",
IF(AND(Import.TipoArredondamento="TransfereGOV",$L381="F",$C381&lt;&gt;"S",LEN($R381)&gt;100),"Descrição &gt;100",
IF(AND(Import.TipoArredondamento="TransfereGOV",$L381="F",$C381="S",LEN($R381)&gt;500),"Descrição &gt;500",
IF(AND(Import.TipoArredondamento="TransfereGOV",$L381="F",$C381="S",LEFT(TRIM(UPPER($P381)),6)&lt;&gt;"SINAPI",ISNA(VLOOKUP(TRIM(UPPER($S381)),ListaTgov.Unidades,1,FALSE))),"Unid. Não Disp",
" "))))))))))))))))</f>
        <v>SEM CUSTO</v>
      </c>
      <c r="AD381" t="str">
        <f ca="1">IF(C381&lt;=CRONO.NivelExibicao,MAX($AD$15:OFFSET(AD381,-1,0))+IF($C381&lt;&gt;1,1,MAX(1,COUNTIF(QCI!$A$13:$A$24,OFFSET($E381,-1,0)))),"")</f>
        <v/>
      </c>
      <c r="AE381" s="7" t="str">
        <f ca="1">IF(AND($C381="S",ORÇAMENTO.CodBarra&lt;&gt;""),IF(ORÇAMENTO.Fonte="",ORÇAMENTO.CodBarra,CONCATENATE(ORÇAMENTO.Fonte," ",ORÇAMENTO.CodBarra)))</f>
        <v>Composiçao 224</v>
      </c>
      <c r="AF381" s="12" t="str">
        <f ca="1">IF(ISERROR(INDIRECT(ORÇAMENTO.BancoRef)),"(abra o arquivo 'Referência "&amp;Excel_BuiltIn_Database&amp;".xlsm)",IF(OR($C381&lt;&gt;"S",ORÇAMENTO.CodBarra=""),"(Sem Código)",IF(ISERROR(MATCH($AE381,INDIRECT(ORÇAMENTO.BancoRef),0)),"(Código não identificado nas referências)",MATCH($AE381,INDIRECT(ORÇAMENTO.BancoRef),0))))</f>
        <v>(abra o arquivo 'Referência 12-2024.xlsm)</v>
      </c>
      <c r="AG381" s="429">
        <f ca="1">ROUND(IF(DESONERACAO="sim",REFERENCIA.Desonerado,REFERENCIA.NaoDesonerado),2)</f>
        <v>0</v>
      </c>
      <c r="AH381" s="430">
        <f t="shared" ca="1" si="98"/>
        <v>0.31190000000000001</v>
      </c>
      <c r="AJ381" s="432">
        <v>128.69999999999999</v>
      </c>
      <c r="AL381" s="440"/>
      <c r="AM381" s="337">
        <f t="shared" ca="1" si="83"/>
        <v>0</v>
      </c>
      <c r="AN381" s="471">
        <f t="shared" ca="1" si="99"/>
        <v>0</v>
      </c>
    </row>
    <row r="382" spans="1:40" ht="25.5" x14ac:dyDescent="0.2">
      <c r="A382" t="str">
        <f t="shared" si="84"/>
        <v>S</v>
      </c>
      <c r="B382">
        <f t="shared" ca="1" si="85"/>
        <v>2</v>
      </c>
      <c r="C382" t="str">
        <f t="shared" ca="1" si="86"/>
        <v>S</v>
      </c>
      <c r="D382">
        <f t="shared" ca="1" si="87"/>
        <v>0</v>
      </c>
      <c r="E382">
        <f ca="1">IF($C382=1,OFFSET(E382,-1,0)+MAX(1,COUNTIF(QCI!$A$13:$A$24,OFFSET(ORÇAMENTO!E382,-1,0))),OFFSET(E382,-1,0))</f>
        <v>1</v>
      </c>
      <c r="F382">
        <f t="shared" ca="1" si="88"/>
        <v>21</v>
      </c>
      <c r="G382">
        <f t="shared" ca="1" si="89"/>
        <v>0</v>
      </c>
      <c r="H382">
        <f t="shared" ca="1" si="90"/>
        <v>0</v>
      </c>
      <c r="I382">
        <f t="shared" ca="1" si="91"/>
        <v>0</v>
      </c>
      <c r="J382">
        <f t="shared" ca="1" si="92"/>
        <v>0</v>
      </c>
      <c r="K382">
        <f ca="1">IF(OR($C382="S",$C382=0),0,MATCH(OFFSET($D382,0,$C382)+IF($C382&lt;&gt;1,1,COUNTIF(QCI!$A$13:$A$24,ORÇAMENTO!E382)),OFFSET($D382,1,$C382,ROW($C$405)-ROW($C382)),0))</f>
        <v>0</v>
      </c>
      <c r="L382" s="115" t="str">
        <f t="shared" ca="1" si="93"/>
        <v/>
      </c>
      <c r="M382" s="116" t="s">
        <v>706</v>
      </c>
      <c r="N382" s="117" t="str">
        <f t="shared" ca="1" si="94"/>
        <v>Serviço</v>
      </c>
      <c r="O382" s="118" t="str">
        <f t="shared" ca="1" si="95"/>
        <v>-</v>
      </c>
      <c r="P382" s="119" t="s">
        <v>1316</v>
      </c>
      <c r="Q382" s="120" t="s">
        <v>1252</v>
      </c>
      <c r="R382" s="121" t="s">
        <v>1623</v>
      </c>
      <c r="S382" s="122" t="s">
        <v>1644</v>
      </c>
      <c r="T382" s="123">
        <f ca="1">OFFSET(CÁLCULO!H$15,ROW($T382)-ROW(T$15),0)</f>
        <v>134.24</v>
      </c>
      <c r="U382" s="124"/>
      <c r="V382" s="125" t="s">
        <v>663</v>
      </c>
      <c r="W382" s="123">
        <f ca="1">IF($C382="S",ROUND(IF(TIPOORCAMENTO="Proposto",ORÇAMENTO.CustoUnitario*(1+$AH382),ORÇAMENTO.PrecoUnitarioLicitado),15-13*$AF$10),0)</f>
        <v>0</v>
      </c>
      <c r="X382" s="126" cm="1">
        <f t="array" aca="1" ref="X382" ca="1">IF($C382="S",IF(OR(Import.TipoArredondamento&lt;&gt;"TransfereGOV",ACOMPANHAMENTO="BM"),VTOTAL1,SUM(OFFSET(CÁLCULO!$AA$15,ROW($X382)-ROW($X$15),1):OFFSET(CÁLCULO!$AL$15,ROW($X382)-ROW($X$15),-1))),IF($C382=0,0,ROUND(SomaAgrup,15-13*$AF$11)))</f>
        <v>0</v>
      </c>
      <c r="Y382" s="127" t="s">
        <v>752</v>
      </c>
      <c r="Z382" t="str">
        <f t="shared" ca="1" si="96"/>
        <v/>
      </c>
      <c r="AA382" s="128">
        <f ca="1">IF($C382="S",IF($Z382="CP",$X382,IF($Z382="RA",(($X382)*QCI!$AA$3),0)),SomaAgrup)</f>
        <v>0</v>
      </c>
      <c r="AB382" s="129">
        <f t="shared" ca="1" si="97"/>
        <v>0</v>
      </c>
      <c r="AC382" s="567" t="str">
        <f ca="1">IF($N382=""," ",
IF(AND($C382&lt;&gt;"S",OR($R382="",$R382="(digite a descrição aqui)")),"DESCRIÇÃO",
IF(AND($C382="S",OR($Q382&lt;&gt;0,$T382&gt;0,$U382&gt;0),$P382=0),"FONTE",
IF(AND($C382="S",$P382&lt;&gt;0,OR($T382&gt;0,$U382&gt;0),$Q382=0),"CÓDIGO",
IF(AND($C382="S",$P382&lt;&gt;0,$Q382&lt;&gt;0,$R382="(Código não identificado nas referências)"),"CÓDIGO N/ID",
IF(AND($C382="S",OR($R382="",$R382="(digite a descrição aqui)"),OR($Q382&lt;&gt;0,$T382&gt;0,$U382&gt;0)),"DESCRIÇÃO",
IF(AND($C382="S",$P382&lt;&gt;0,$Q382&lt;&gt;0,$S382=""),"UNIDADE",
IF(AND($C382="S",$P382&lt;&gt;0,$Q382&lt;&gt;0,$U382=0),"SEM CUSTO",
IF(AND(TIPOORCAMENTO="Licitado",$AL382=0,$AN382&gt;0),"SEM PREÇO",
IF(AND($C382="S",$P382&lt;&gt;0,$Q382&lt;&gt;0,$U382&gt;0,$V382=0),"BDI",
IF(OR(AND(TIPOORCAMENTO="Proposto",$AG382&lt;&gt;"",$AG382&gt;0,ORÇAMENTO.CustoUnitario&gt;$AG382),AND(TIPOORCAMENTO="LICITADO",ORÇAMENTO.PrecoUnitarioLicitado&gt;$AN382)),"ACIMA REF.",
IF(AND($C382="S",$P382&lt;&gt;0,$Q382&lt;&gt;0,$T382=0,$U382&gt;0),"QUANT.",
IF(AND(Import.TipoArredondamento="TransfereGOV",$L382="F",$C382="S",LEN($Q382)&gt;13),"Código &gt;13",
IF(AND(Import.TipoArredondamento="TransfereGOV",$L382="F",$C382&lt;&gt;"S",LEN($R382)&gt;100),"Descrição &gt;100",
IF(AND(Import.TipoArredondamento="TransfereGOV",$L382="F",$C382="S",LEN($R382)&gt;500),"Descrição &gt;500",
IF(AND(Import.TipoArredondamento="TransfereGOV",$L382="F",$C382="S",LEFT(TRIM(UPPER($P382)),6)&lt;&gt;"SINAPI",ISNA(VLOOKUP(TRIM(UPPER($S382)),ListaTgov.Unidades,1,FALSE))),"Unid. Não Disp",
" "))))))))))))))))</f>
        <v>SEM CUSTO</v>
      </c>
      <c r="AD382" t="str">
        <f ca="1">IF(C382&lt;=CRONO.NivelExibicao,MAX($AD$15:OFFSET(AD382,-1,0))+IF($C382&lt;&gt;1,1,MAX(1,COUNTIF(QCI!$A$13:$A$24,OFFSET($E382,-1,0)))),"")</f>
        <v/>
      </c>
      <c r="AE382" s="7" t="str">
        <f ca="1">IF(AND($C382="S",ORÇAMENTO.CodBarra&lt;&gt;""),IF(ORÇAMENTO.Fonte="",ORÇAMENTO.CodBarra,CONCATENATE(ORÇAMENTO.Fonte," ",ORÇAMENTO.CodBarra)))</f>
        <v>Composiçao 225</v>
      </c>
      <c r="AF382" s="12" t="str">
        <f ca="1">IF(ISERROR(INDIRECT(ORÇAMENTO.BancoRef)),"(abra o arquivo 'Referência "&amp;Excel_BuiltIn_Database&amp;".xlsm)",IF(OR($C382&lt;&gt;"S",ORÇAMENTO.CodBarra=""),"(Sem Código)",IF(ISERROR(MATCH($AE382,INDIRECT(ORÇAMENTO.BancoRef),0)),"(Código não identificado nas referências)",MATCH($AE382,INDIRECT(ORÇAMENTO.BancoRef),0))))</f>
        <v>(abra o arquivo 'Referência 12-2024.xlsm)</v>
      </c>
      <c r="AG382" s="429">
        <f ca="1">ROUND(IF(DESONERACAO="sim",REFERENCIA.Desonerado,REFERENCIA.NaoDesonerado),2)</f>
        <v>0</v>
      </c>
      <c r="AH382" s="430">
        <f t="shared" ca="1" si="98"/>
        <v>0.31190000000000001</v>
      </c>
      <c r="AJ382" s="432">
        <v>134.24</v>
      </c>
      <c r="AL382" s="440"/>
      <c r="AM382" s="337">
        <f t="shared" ca="1" si="83"/>
        <v>0</v>
      </c>
      <c r="AN382" s="471">
        <f t="shared" ca="1" si="99"/>
        <v>0</v>
      </c>
    </row>
    <row r="383" spans="1:40" ht="38.25" x14ac:dyDescent="0.2">
      <c r="A383" t="str">
        <f t="shared" si="84"/>
        <v>S</v>
      </c>
      <c r="B383">
        <f t="shared" ca="1" si="85"/>
        <v>2</v>
      </c>
      <c r="C383" t="str">
        <f t="shared" ca="1" si="86"/>
        <v>S</v>
      </c>
      <c r="D383">
        <f t="shared" ca="1" si="87"/>
        <v>0</v>
      </c>
      <c r="E383">
        <f ca="1">IF($C383=1,OFFSET(E383,-1,0)+MAX(1,COUNTIF(QCI!$A$13:$A$24,OFFSET(ORÇAMENTO!E383,-1,0))),OFFSET(E383,-1,0))</f>
        <v>1</v>
      </c>
      <c r="F383">
        <f t="shared" ca="1" si="88"/>
        <v>21</v>
      </c>
      <c r="G383">
        <f t="shared" ca="1" si="89"/>
        <v>0</v>
      </c>
      <c r="H383">
        <f t="shared" ca="1" si="90"/>
        <v>0</v>
      </c>
      <c r="I383">
        <f t="shared" ca="1" si="91"/>
        <v>0</v>
      </c>
      <c r="J383">
        <f t="shared" ca="1" si="92"/>
        <v>0</v>
      </c>
      <c r="K383">
        <f ca="1">IF(OR($C383="S",$C383=0),0,MATCH(OFFSET($D383,0,$C383)+IF($C383&lt;&gt;1,1,COUNTIF(QCI!$A$13:$A$24,ORÇAMENTO!E383)),OFFSET($D383,1,$C383,ROW($C$405)-ROW($C383)),0))</f>
        <v>0</v>
      </c>
      <c r="L383" s="115" t="str">
        <f t="shared" ca="1" si="93"/>
        <v/>
      </c>
      <c r="M383" s="116" t="s">
        <v>706</v>
      </c>
      <c r="N383" s="117" t="str">
        <f t="shared" ca="1" si="94"/>
        <v>Serviço</v>
      </c>
      <c r="O383" s="118" t="str">
        <f t="shared" ca="1" si="95"/>
        <v>-</v>
      </c>
      <c r="P383" s="119" t="s">
        <v>1316</v>
      </c>
      <c r="Q383" s="120" t="s">
        <v>1253</v>
      </c>
      <c r="R383" s="121" t="s">
        <v>1624</v>
      </c>
      <c r="S383" s="122" t="s">
        <v>1644</v>
      </c>
      <c r="T383" s="123">
        <f ca="1">OFFSET(CÁLCULO!H$15,ROW($T383)-ROW(T$15),0)</f>
        <v>53.86</v>
      </c>
      <c r="U383" s="124"/>
      <c r="V383" s="125" t="s">
        <v>663</v>
      </c>
      <c r="W383" s="123">
        <f ca="1">IF($C383="S",ROUND(IF(TIPOORCAMENTO="Proposto",ORÇAMENTO.CustoUnitario*(1+$AH383),ORÇAMENTO.PrecoUnitarioLicitado),15-13*$AF$10),0)</f>
        <v>0</v>
      </c>
      <c r="X383" s="126" cm="1">
        <f t="array" aca="1" ref="X383" ca="1">IF($C383="S",IF(OR(Import.TipoArredondamento&lt;&gt;"TransfereGOV",ACOMPANHAMENTO="BM"),VTOTAL1,SUM(OFFSET(CÁLCULO!$AA$15,ROW($X383)-ROW($X$15),1):OFFSET(CÁLCULO!$AL$15,ROW($X383)-ROW($X$15),-1))),IF($C383=0,0,ROUND(SomaAgrup,15-13*$AF$11)))</f>
        <v>0</v>
      </c>
      <c r="Y383" s="127" t="s">
        <v>752</v>
      </c>
      <c r="Z383" t="str">
        <f t="shared" ca="1" si="96"/>
        <v/>
      </c>
      <c r="AA383" s="128">
        <f ca="1">IF($C383="S",IF($Z383="CP",$X383,IF($Z383="RA",(($X383)*QCI!$AA$3),0)),SomaAgrup)</f>
        <v>0</v>
      </c>
      <c r="AB383" s="129">
        <f t="shared" ca="1" si="97"/>
        <v>0</v>
      </c>
      <c r="AC383" s="567" t="str">
        <f ca="1">IF($N383=""," ",
IF(AND($C383&lt;&gt;"S",OR($R383="",$R383="(digite a descrição aqui)")),"DESCRIÇÃO",
IF(AND($C383="S",OR($Q383&lt;&gt;0,$T383&gt;0,$U383&gt;0),$P383=0),"FONTE",
IF(AND($C383="S",$P383&lt;&gt;0,OR($T383&gt;0,$U383&gt;0),$Q383=0),"CÓDIGO",
IF(AND($C383="S",$P383&lt;&gt;0,$Q383&lt;&gt;0,$R383="(Código não identificado nas referências)"),"CÓDIGO N/ID",
IF(AND($C383="S",OR($R383="",$R383="(digite a descrição aqui)"),OR($Q383&lt;&gt;0,$T383&gt;0,$U383&gt;0)),"DESCRIÇÃO",
IF(AND($C383="S",$P383&lt;&gt;0,$Q383&lt;&gt;0,$S383=""),"UNIDADE",
IF(AND($C383="S",$P383&lt;&gt;0,$Q383&lt;&gt;0,$U383=0),"SEM CUSTO",
IF(AND(TIPOORCAMENTO="Licitado",$AL383=0,$AN383&gt;0),"SEM PREÇO",
IF(AND($C383="S",$P383&lt;&gt;0,$Q383&lt;&gt;0,$U383&gt;0,$V383=0),"BDI",
IF(OR(AND(TIPOORCAMENTO="Proposto",$AG383&lt;&gt;"",$AG383&gt;0,ORÇAMENTO.CustoUnitario&gt;$AG383),AND(TIPOORCAMENTO="LICITADO",ORÇAMENTO.PrecoUnitarioLicitado&gt;$AN383)),"ACIMA REF.",
IF(AND($C383="S",$P383&lt;&gt;0,$Q383&lt;&gt;0,$T383=0,$U383&gt;0),"QUANT.",
IF(AND(Import.TipoArredondamento="TransfereGOV",$L383="F",$C383="S",LEN($Q383)&gt;13),"Código &gt;13",
IF(AND(Import.TipoArredondamento="TransfereGOV",$L383="F",$C383&lt;&gt;"S",LEN($R383)&gt;100),"Descrição &gt;100",
IF(AND(Import.TipoArredondamento="TransfereGOV",$L383="F",$C383="S",LEN($R383)&gt;500),"Descrição &gt;500",
IF(AND(Import.TipoArredondamento="TransfereGOV",$L383="F",$C383="S",LEFT(TRIM(UPPER($P383)),6)&lt;&gt;"SINAPI",ISNA(VLOOKUP(TRIM(UPPER($S383)),ListaTgov.Unidades,1,FALSE))),"Unid. Não Disp",
" "))))))))))))))))</f>
        <v>SEM CUSTO</v>
      </c>
      <c r="AD383" t="str">
        <f ca="1">IF(C383&lt;=CRONO.NivelExibicao,MAX($AD$15:OFFSET(AD383,-1,0))+IF($C383&lt;&gt;1,1,MAX(1,COUNTIF(QCI!$A$13:$A$24,OFFSET($E383,-1,0)))),"")</f>
        <v/>
      </c>
      <c r="AE383" s="7" t="str">
        <f ca="1">IF(AND($C383="S",ORÇAMENTO.CodBarra&lt;&gt;""),IF(ORÇAMENTO.Fonte="",ORÇAMENTO.CodBarra,CONCATENATE(ORÇAMENTO.Fonte," ",ORÇAMENTO.CodBarra)))</f>
        <v>Composiçao 226</v>
      </c>
      <c r="AF383" s="12" t="str">
        <f ca="1">IF(ISERROR(INDIRECT(ORÇAMENTO.BancoRef)),"(abra o arquivo 'Referência "&amp;Excel_BuiltIn_Database&amp;".xlsm)",IF(OR($C383&lt;&gt;"S",ORÇAMENTO.CodBarra=""),"(Sem Código)",IF(ISERROR(MATCH($AE383,INDIRECT(ORÇAMENTO.BancoRef),0)),"(Código não identificado nas referências)",MATCH($AE383,INDIRECT(ORÇAMENTO.BancoRef),0))))</f>
        <v>(abra o arquivo 'Referência 12-2024.xlsm)</v>
      </c>
      <c r="AG383" s="429">
        <f ca="1">ROUND(IF(DESONERACAO="sim",REFERENCIA.Desonerado,REFERENCIA.NaoDesonerado),2)</f>
        <v>0</v>
      </c>
      <c r="AH383" s="430">
        <f t="shared" ca="1" si="98"/>
        <v>0.31190000000000001</v>
      </c>
      <c r="AJ383" s="432">
        <v>53.86</v>
      </c>
      <c r="AL383" s="440"/>
      <c r="AM383" s="337">
        <f t="shared" ca="1" si="83"/>
        <v>0</v>
      </c>
      <c r="AN383" s="471">
        <f t="shared" ca="1" si="99"/>
        <v>0</v>
      </c>
    </row>
    <row r="384" spans="1:40" ht="25.5" x14ac:dyDescent="0.2">
      <c r="A384" t="str">
        <f t="shared" si="84"/>
        <v>S</v>
      </c>
      <c r="B384">
        <f t="shared" ca="1" si="85"/>
        <v>2</v>
      </c>
      <c r="C384" t="str">
        <f t="shared" ca="1" si="86"/>
        <v>S</v>
      </c>
      <c r="D384">
        <f t="shared" ca="1" si="87"/>
        <v>0</v>
      </c>
      <c r="E384">
        <f ca="1">IF($C384=1,OFFSET(E384,-1,0)+MAX(1,COUNTIF(QCI!$A$13:$A$24,OFFSET(ORÇAMENTO!E384,-1,0))),OFFSET(E384,-1,0))</f>
        <v>1</v>
      </c>
      <c r="F384">
        <f t="shared" ca="1" si="88"/>
        <v>21</v>
      </c>
      <c r="G384">
        <f t="shared" ca="1" si="89"/>
        <v>0</v>
      </c>
      <c r="H384">
        <f t="shared" ca="1" si="90"/>
        <v>0</v>
      </c>
      <c r="I384">
        <f t="shared" ca="1" si="91"/>
        <v>0</v>
      </c>
      <c r="J384">
        <f t="shared" ca="1" si="92"/>
        <v>0</v>
      </c>
      <c r="K384">
        <f ca="1">IF(OR($C384="S",$C384=0),0,MATCH(OFFSET($D384,0,$C384)+IF($C384&lt;&gt;1,1,COUNTIF(QCI!$A$13:$A$24,ORÇAMENTO!E384)),OFFSET($D384,1,$C384,ROW($C$405)-ROW($C384)),0))</f>
        <v>0</v>
      </c>
      <c r="L384" s="115" t="str">
        <f t="shared" ca="1" si="93"/>
        <v/>
      </c>
      <c r="M384" s="116" t="s">
        <v>706</v>
      </c>
      <c r="N384" s="117" t="str">
        <f t="shared" ca="1" si="94"/>
        <v>Serviço</v>
      </c>
      <c r="O384" s="118" t="str">
        <f t="shared" ca="1" si="95"/>
        <v>-</v>
      </c>
      <c r="P384" s="119" t="s">
        <v>1316</v>
      </c>
      <c r="Q384" s="120" t="s">
        <v>1254</v>
      </c>
      <c r="R384" s="121" t="s">
        <v>1625</v>
      </c>
      <c r="S384" s="122" t="s">
        <v>1644</v>
      </c>
      <c r="T384" s="123">
        <f ca="1">OFFSET(CÁLCULO!H$15,ROW($T384)-ROW(T$15),0)</f>
        <v>109.04</v>
      </c>
      <c r="U384" s="124"/>
      <c r="V384" s="125" t="s">
        <v>663</v>
      </c>
      <c r="W384" s="123">
        <f ca="1">IF($C384="S",ROUND(IF(TIPOORCAMENTO="Proposto",ORÇAMENTO.CustoUnitario*(1+$AH384),ORÇAMENTO.PrecoUnitarioLicitado),15-13*$AF$10),0)</f>
        <v>0</v>
      </c>
      <c r="X384" s="126" cm="1">
        <f t="array" aca="1" ref="X384" ca="1">IF($C384="S",IF(OR(Import.TipoArredondamento&lt;&gt;"TransfereGOV",ACOMPANHAMENTO="BM"),VTOTAL1,SUM(OFFSET(CÁLCULO!$AA$15,ROW($X384)-ROW($X$15),1):OFFSET(CÁLCULO!$AL$15,ROW($X384)-ROW($X$15),-1))),IF($C384=0,0,ROUND(SomaAgrup,15-13*$AF$11)))</f>
        <v>0</v>
      </c>
      <c r="Y384" s="127" t="s">
        <v>752</v>
      </c>
      <c r="Z384" t="str">
        <f t="shared" ca="1" si="96"/>
        <v/>
      </c>
      <c r="AA384" s="128">
        <f ca="1">IF($C384="S",IF($Z384="CP",$X384,IF($Z384="RA",(($X384)*QCI!$AA$3),0)),SomaAgrup)</f>
        <v>0</v>
      </c>
      <c r="AB384" s="129">
        <f t="shared" ca="1" si="97"/>
        <v>0</v>
      </c>
      <c r="AC384" s="567" t="str">
        <f ca="1">IF($N384=""," ",
IF(AND($C384&lt;&gt;"S",OR($R384="",$R384="(digite a descrição aqui)")),"DESCRIÇÃO",
IF(AND($C384="S",OR($Q384&lt;&gt;0,$T384&gt;0,$U384&gt;0),$P384=0),"FONTE",
IF(AND($C384="S",$P384&lt;&gt;0,OR($T384&gt;0,$U384&gt;0),$Q384=0),"CÓDIGO",
IF(AND($C384="S",$P384&lt;&gt;0,$Q384&lt;&gt;0,$R384="(Código não identificado nas referências)"),"CÓDIGO N/ID",
IF(AND($C384="S",OR($R384="",$R384="(digite a descrição aqui)"),OR($Q384&lt;&gt;0,$T384&gt;0,$U384&gt;0)),"DESCRIÇÃO",
IF(AND($C384="S",$P384&lt;&gt;0,$Q384&lt;&gt;0,$S384=""),"UNIDADE",
IF(AND($C384="S",$P384&lt;&gt;0,$Q384&lt;&gt;0,$U384=0),"SEM CUSTO",
IF(AND(TIPOORCAMENTO="Licitado",$AL384=0,$AN384&gt;0),"SEM PREÇO",
IF(AND($C384="S",$P384&lt;&gt;0,$Q384&lt;&gt;0,$U384&gt;0,$V384=0),"BDI",
IF(OR(AND(TIPOORCAMENTO="Proposto",$AG384&lt;&gt;"",$AG384&gt;0,ORÇAMENTO.CustoUnitario&gt;$AG384),AND(TIPOORCAMENTO="LICITADO",ORÇAMENTO.PrecoUnitarioLicitado&gt;$AN384)),"ACIMA REF.",
IF(AND($C384="S",$P384&lt;&gt;0,$Q384&lt;&gt;0,$T384=0,$U384&gt;0),"QUANT.",
IF(AND(Import.TipoArredondamento="TransfereGOV",$L384="F",$C384="S",LEN($Q384)&gt;13),"Código &gt;13",
IF(AND(Import.TipoArredondamento="TransfereGOV",$L384="F",$C384&lt;&gt;"S",LEN($R384)&gt;100),"Descrição &gt;100",
IF(AND(Import.TipoArredondamento="TransfereGOV",$L384="F",$C384="S",LEN($R384)&gt;500),"Descrição &gt;500",
IF(AND(Import.TipoArredondamento="TransfereGOV",$L384="F",$C384="S",LEFT(TRIM(UPPER($P384)),6)&lt;&gt;"SINAPI",ISNA(VLOOKUP(TRIM(UPPER($S384)),ListaTgov.Unidades,1,FALSE))),"Unid. Não Disp",
" "))))))))))))))))</f>
        <v>SEM CUSTO</v>
      </c>
      <c r="AD384" t="str">
        <f ca="1">IF(C384&lt;=CRONO.NivelExibicao,MAX($AD$15:OFFSET(AD384,-1,0))+IF($C384&lt;&gt;1,1,MAX(1,COUNTIF(QCI!$A$13:$A$24,OFFSET($E384,-1,0)))),"")</f>
        <v/>
      </c>
      <c r="AE384" s="7" t="str">
        <f ca="1">IF(AND($C384="S",ORÇAMENTO.CodBarra&lt;&gt;""),IF(ORÇAMENTO.Fonte="",ORÇAMENTO.CodBarra,CONCATENATE(ORÇAMENTO.Fonte," ",ORÇAMENTO.CodBarra)))</f>
        <v>Composiçao 235</v>
      </c>
      <c r="AF384" s="12" t="str">
        <f ca="1">IF(ISERROR(INDIRECT(ORÇAMENTO.BancoRef)),"(abra o arquivo 'Referência "&amp;Excel_BuiltIn_Database&amp;".xlsm)",IF(OR($C384&lt;&gt;"S",ORÇAMENTO.CodBarra=""),"(Sem Código)",IF(ISERROR(MATCH($AE384,INDIRECT(ORÇAMENTO.BancoRef),0)),"(Código não identificado nas referências)",MATCH($AE384,INDIRECT(ORÇAMENTO.BancoRef),0))))</f>
        <v>(abra o arquivo 'Referência 12-2024.xlsm)</v>
      </c>
      <c r="AG384" s="429">
        <f ca="1">ROUND(IF(DESONERACAO="sim",REFERENCIA.Desonerado,REFERENCIA.NaoDesonerado),2)</f>
        <v>0</v>
      </c>
      <c r="AH384" s="430">
        <f t="shared" ca="1" si="98"/>
        <v>0.31190000000000001</v>
      </c>
      <c r="AJ384" s="432">
        <v>109.04</v>
      </c>
      <c r="AL384" s="440"/>
      <c r="AM384" s="337">
        <f t="shared" ca="1" si="83"/>
        <v>0</v>
      </c>
      <c r="AN384" s="471">
        <f t="shared" ca="1" si="99"/>
        <v>0</v>
      </c>
    </row>
    <row r="385" spans="1:40" ht="25.5" x14ac:dyDescent="0.2">
      <c r="A385" t="str">
        <f t="shared" si="84"/>
        <v>S</v>
      </c>
      <c r="B385">
        <f t="shared" ca="1" si="85"/>
        <v>2</v>
      </c>
      <c r="C385" t="str">
        <f t="shared" ca="1" si="86"/>
        <v>S</v>
      </c>
      <c r="D385">
        <f t="shared" ca="1" si="87"/>
        <v>0</v>
      </c>
      <c r="E385">
        <f ca="1">IF($C385=1,OFFSET(E385,-1,0)+MAX(1,COUNTIF(QCI!$A$13:$A$24,OFFSET(ORÇAMENTO!E385,-1,0))),OFFSET(E385,-1,0))</f>
        <v>1</v>
      </c>
      <c r="F385">
        <f t="shared" ca="1" si="88"/>
        <v>21</v>
      </c>
      <c r="G385">
        <f t="shared" ca="1" si="89"/>
        <v>0</v>
      </c>
      <c r="H385">
        <f t="shared" ca="1" si="90"/>
        <v>0</v>
      </c>
      <c r="I385">
        <f t="shared" ca="1" si="91"/>
        <v>0</v>
      </c>
      <c r="J385">
        <f t="shared" ca="1" si="92"/>
        <v>0</v>
      </c>
      <c r="K385">
        <f ca="1">IF(OR($C385="S",$C385=0),0,MATCH(OFFSET($D385,0,$C385)+IF($C385&lt;&gt;1,1,COUNTIF(QCI!$A$13:$A$24,ORÇAMENTO!E385)),OFFSET($D385,1,$C385,ROW($C$405)-ROW($C385)),0))</f>
        <v>0</v>
      </c>
      <c r="L385" s="115" t="str">
        <f t="shared" ca="1" si="93"/>
        <v/>
      </c>
      <c r="M385" s="116" t="s">
        <v>706</v>
      </c>
      <c r="N385" s="117" t="str">
        <f t="shared" ca="1" si="94"/>
        <v>Serviço</v>
      </c>
      <c r="O385" s="118" t="str">
        <f t="shared" ca="1" si="95"/>
        <v>-</v>
      </c>
      <c r="P385" s="119" t="s">
        <v>1316</v>
      </c>
      <c r="Q385" s="120" t="s">
        <v>1255</v>
      </c>
      <c r="R385" s="121" t="s">
        <v>1626</v>
      </c>
      <c r="S385" s="122" t="s">
        <v>1644</v>
      </c>
      <c r="T385" s="123">
        <f ca="1">OFFSET(CÁLCULO!H$15,ROW($T385)-ROW(T$15),0)</f>
        <v>92.85</v>
      </c>
      <c r="U385" s="124"/>
      <c r="V385" s="125" t="s">
        <v>663</v>
      </c>
      <c r="W385" s="123">
        <f ca="1">IF($C385="S",ROUND(IF(TIPOORCAMENTO="Proposto",ORÇAMENTO.CustoUnitario*(1+$AH385),ORÇAMENTO.PrecoUnitarioLicitado),15-13*$AF$10),0)</f>
        <v>0</v>
      </c>
      <c r="X385" s="126" cm="1">
        <f t="array" aca="1" ref="X385" ca="1">IF($C385="S",IF(OR(Import.TipoArredondamento&lt;&gt;"TransfereGOV",ACOMPANHAMENTO="BM"),VTOTAL1,SUM(OFFSET(CÁLCULO!$AA$15,ROW($X385)-ROW($X$15),1):OFFSET(CÁLCULO!$AL$15,ROW($X385)-ROW($X$15),-1))),IF($C385=0,0,ROUND(SomaAgrup,15-13*$AF$11)))</f>
        <v>0</v>
      </c>
      <c r="Y385" s="127" t="s">
        <v>752</v>
      </c>
      <c r="Z385" t="str">
        <f t="shared" ca="1" si="96"/>
        <v/>
      </c>
      <c r="AA385" s="128">
        <f ca="1">IF($C385="S",IF($Z385="CP",$X385,IF($Z385="RA",(($X385)*QCI!$AA$3),0)),SomaAgrup)</f>
        <v>0</v>
      </c>
      <c r="AB385" s="129">
        <f t="shared" ca="1" si="97"/>
        <v>0</v>
      </c>
      <c r="AC385" s="567" t="str">
        <f ca="1">IF($N385=""," ",
IF(AND($C385&lt;&gt;"S",OR($R385="",$R385="(digite a descrição aqui)")),"DESCRIÇÃO",
IF(AND($C385="S",OR($Q385&lt;&gt;0,$T385&gt;0,$U385&gt;0),$P385=0),"FONTE",
IF(AND($C385="S",$P385&lt;&gt;0,OR($T385&gt;0,$U385&gt;0),$Q385=0),"CÓDIGO",
IF(AND($C385="S",$P385&lt;&gt;0,$Q385&lt;&gt;0,$R385="(Código não identificado nas referências)"),"CÓDIGO N/ID",
IF(AND($C385="S",OR($R385="",$R385="(digite a descrição aqui)"),OR($Q385&lt;&gt;0,$T385&gt;0,$U385&gt;0)),"DESCRIÇÃO",
IF(AND($C385="S",$P385&lt;&gt;0,$Q385&lt;&gt;0,$S385=""),"UNIDADE",
IF(AND($C385="S",$P385&lt;&gt;0,$Q385&lt;&gt;0,$U385=0),"SEM CUSTO",
IF(AND(TIPOORCAMENTO="Licitado",$AL385=0,$AN385&gt;0),"SEM PREÇO",
IF(AND($C385="S",$P385&lt;&gt;0,$Q385&lt;&gt;0,$U385&gt;0,$V385=0),"BDI",
IF(OR(AND(TIPOORCAMENTO="Proposto",$AG385&lt;&gt;"",$AG385&gt;0,ORÇAMENTO.CustoUnitario&gt;$AG385),AND(TIPOORCAMENTO="LICITADO",ORÇAMENTO.PrecoUnitarioLicitado&gt;$AN385)),"ACIMA REF.",
IF(AND($C385="S",$P385&lt;&gt;0,$Q385&lt;&gt;0,$T385=0,$U385&gt;0),"QUANT.",
IF(AND(Import.TipoArredondamento="TransfereGOV",$L385="F",$C385="S",LEN($Q385)&gt;13),"Código &gt;13",
IF(AND(Import.TipoArredondamento="TransfereGOV",$L385="F",$C385&lt;&gt;"S",LEN($R385)&gt;100),"Descrição &gt;100",
IF(AND(Import.TipoArredondamento="TransfereGOV",$L385="F",$C385="S",LEN($R385)&gt;500),"Descrição &gt;500",
IF(AND(Import.TipoArredondamento="TransfereGOV",$L385="F",$C385="S",LEFT(TRIM(UPPER($P385)),6)&lt;&gt;"SINAPI",ISNA(VLOOKUP(TRIM(UPPER($S385)),ListaTgov.Unidades,1,FALSE))),"Unid. Não Disp",
" "))))))))))))))))</f>
        <v>SEM CUSTO</v>
      </c>
      <c r="AD385" t="str">
        <f ca="1">IF(C385&lt;=CRONO.NivelExibicao,MAX($AD$15:OFFSET(AD385,-1,0))+IF($C385&lt;&gt;1,1,MAX(1,COUNTIF(QCI!$A$13:$A$24,OFFSET($E385,-1,0)))),"")</f>
        <v/>
      </c>
      <c r="AE385" s="7" t="str">
        <f ca="1">IF(AND($C385="S",ORÇAMENTO.CodBarra&lt;&gt;""),IF(ORÇAMENTO.Fonte="",ORÇAMENTO.CodBarra,CONCATENATE(ORÇAMENTO.Fonte," ",ORÇAMENTO.CodBarra)))</f>
        <v>Composiçao 227</v>
      </c>
      <c r="AF385" s="12" t="str">
        <f ca="1">IF(ISERROR(INDIRECT(ORÇAMENTO.BancoRef)),"(abra o arquivo 'Referência "&amp;Excel_BuiltIn_Database&amp;".xlsm)",IF(OR($C385&lt;&gt;"S",ORÇAMENTO.CodBarra=""),"(Sem Código)",IF(ISERROR(MATCH($AE385,INDIRECT(ORÇAMENTO.BancoRef),0)),"(Código não identificado nas referências)",MATCH($AE385,INDIRECT(ORÇAMENTO.BancoRef),0))))</f>
        <v>(abra o arquivo 'Referência 12-2024.xlsm)</v>
      </c>
      <c r="AG385" s="429">
        <f ca="1">ROUND(IF(DESONERACAO="sim",REFERENCIA.Desonerado,REFERENCIA.NaoDesonerado),2)</f>
        <v>0</v>
      </c>
      <c r="AH385" s="430">
        <f t="shared" ca="1" si="98"/>
        <v>0.31190000000000001</v>
      </c>
      <c r="AJ385" s="432">
        <v>92.85</v>
      </c>
      <c r="AL385" s="440"/>
      <c r="AM385" s="337">
        <f t="shared" ca="1" si="83"/>
        <v>0</v>
      </c>
      <c r="AN385" s="471">
        <f t="shared" ca="1" si="99"/>
        <v>0</v>
      </c>
    </row>
    <row r="386" spans="1:40" ht="25.5" x14ac:dyDescent="0.2">
      <c r="A386" t="str">
        <f t="shared" si="84"/>
        <v>S</v>
      </c>
      <c r="B386">
        <f t="shared" ca="1" si="85"/>
        <v>2</v>
      </c>
      <c r="C386" t="str">
        <f t="shared" ca="1" si="86"/>
        <v>S</v>
      </c>
      <c r="D386">
        <f t="shared" ca="1" si="87"/>
        <v>0</v>
      </c>
      <c r="E386">
        <f ca="1">IF($C386=1,OFFSET(E386,-1,0)+MAX(1,COUNTIF(QCI!$A$13:$A$24,OFFSET(ORÇAMENTO!E386,-1,0))),OFFSET(E386,-1,0))</f>
        <v>1</v>
      </c>
      <c r="F386">
        <f t="shared" ca="1" si="88"/>
        <v>21</v>
      </c>
      <c r="G386">
        <f t="shared" ca="1" si="89"/>
        <v>0</v>
      </c>
      <c r="H386">
        <f t="shared" ca="1" si="90"/>
        <v>0</v>
      </c>
      <c r="I386">
        <f t="shared" ca="1" si="91"/>
        <v>0</v>
      </c>
      <c r="J386">
        <f t="shared" ca="1" si="92"/>
        <v>0</v>
      </c>
      <c r="K386">
        <f ca="1">IF(OR($C386="S",$C386=0),0,MATCH(OFFSET($D386,0,$C386)+IF($C386&lt;&gt;1,1,COUNTIF(QCI!$A$13:$A$24,ORÇAMENTO!E386)),OFFSET($D386,1,$C386,ROW($C$405)-ROW($C386)),0))</f>
        <v>0</v>
      </c>
      <c r="L386" s="115" t="str">
        <f t="shared" ca="1" si="93"/>
        <v/>
      </c>
      <c r="M386" s="116" t="s">
        <v>706</v>
      </c>
      <c r="N386" s="117" t="str">
        <f t="shared" ca="1" si="94"/>
        <v>Serviço</v>
      </c>
      <c r="O386" s="118" t="str">
        <f t="shared" ca="1" si="95"/>
        <v>-</v>
      </c>
      <c r="P386" s="119" t="s">
        <v>1316</v>
      </c>
      <c r="Q386" s="120" t="s">
        <v>1256</v>
      </c>
      <c r="R386" s="121" t="s">
        <v>1627</v>
      </c>
      <c r="S386" s="122" t="s">
        <v>1644</v>
      </c>
      <c r="T386" s="123">
        <f ca="1">OFFSET(CÁLCULO!H$15,ROW($T386)-ROW(T$15),0)</f>
        <v>104.4</v>
      </c>
      <c r="U386" s="124"/>
      <c r="V386" s="125" t="s">
        <v>663</v>
      </c>
      <c r="W386" s="123">
        <f ca="1">IF($C386="S",ROUND(IF(TIPOORCAMENTO="Proposto",ORÇAMENTO.CustoUnitario*(1+$AH386),ORÇAMENTO.PrecoUnitarioLicitado),15-13*$AF$10),0)</f>
        <v>0</v>
      </c>
      <c r="X386" s="126" cm="1">
        <f t="array" aca="1" ref="X386" ca="1">IF($C386="S",IF(OR(Import.TipoArredondamento&lt;&gt;"TransfereGOV",ACOMPANHAMENTO="BM"),VTOTAL1,SUM(OFFSET(CÁLCULO!$AA$15,ROW($X386)-ROW($X$15),1):OFFSET(CÁLCULO!$AL$15,ROW($X386)-ROW($X$15),-1))),IF($C386=0,0,ROUND(SomaAgrup,15-13*$AF$11)))</f>
        <v>0</v>
      </c>
      <c r="Y386" s="127" t="s">
        <v>752</v>
      </c>
      <c r="Z386" t="str">
        <f t="shared" ca="1" si="96"/>
        <v/>
      </c>
      <c r="AA386" s="128">
        <f ca="1">IF($C386="S",IF($Z386="CP",$X386,IF($Z386="RA",(($X386)*QCI!$AA$3),0)),SomaAgrup)</f>
        <v>0</v>
      </c>
      <c r="AB386" s="129">
        <f t="shared" ca="1" si="97"/>
        <v>0</v>
      </c>
      <c r="AC386" s="567" t="str">
        <f ca="1">IF($N386=""," ",
IF(AND($C386&lt;&gt;"S",OR($R386="",$R386="(digite a descrição aqui)")),"DESCRIÇÃO",
IF(AND($C386="S",OR($Q386&lt;&gt;0,$T386&gt;0,$U386&gt;0),$P386=0),"FONTE",
IF(AND($C386="S",$P386&lt;&gt;0,OR($T386&gt;0,$U386&gt;0),$Q386=0),"CÓDIGO",
IF(AND($C386="S",$P386&lt;&gt;0,$Q386&lt;&gt;0,$R386="(Código não identificado nas referências)"),"CÓDIGO N/ID",
IF(AND($C386="S",OR($R386="",$R386="(digite a descrição aqui)"),OR($Q386&lt;&gt;0,$T386&gt;0,$U386&gt;0)),"DESCRIÇÃO",
IF(AND($C386="S",$P386&lt;&gt;0,$Q386&lt;&gt;0,$S386=""),"UNIDADE",
IF(AND($C386="S",$P386&lt;&gt;0,$Q386&lt;&gt;0,$U386=0),"SEM CUSTO",
IF(AND(TIPOORCAMENTO="Licitado",$AL386=0,$AN386&gt;0),"SEM PREÇO",
IF(AND($C386="S",$P386&lt;&gt;0,$Q386&lt;&gt;0,$U386&gt;0,$V386=0),"BDI",
IF(OR(AND(TIPOORCAMENTO="Proposto",$AG386&lt;&gt;"",$AG386&gt;0,ORÇAMENTO.CustoUnitario&gt;$AG386),AND(TIPOORCAMENTO="LICITADO",ORÇAMENTO.PrecoUnitarioLicitado&gt;$AN386)),"ACIMA REF.",
IF(AND($C386="S",$P386&lt;&gt;0,$Q386&lt;&gt;0,$T386=0,$U386&gt;0),"QUANT.",
IF(AND(Import.TipoArredondamento="TransfereGOV",$L386="F",$C386="S",LEN($Q386)&gt;13),"Código &gt;13",
IF(AND(Import.TipoArredondamento="TransfereGOV",$L386="F",$C386&lt;&gt;"S",LEN($R386)&gt;100),"Descrição &gt;100",
IF(AND(Import.TipoArredondamento="TransfereGOV",$L386="F",$C386="S",LEN($R386)&gt;500),"Descrição &gt;500",
IF(AND(Import.TipoArredondamento="TransfereGOV",$L386="F",$C386="S",LEFT(TRIM(UPPER($P386)),6)&lt;&gt;"SINAPI",ISNA(VLOOKUP(TRIM(UPPER($S386)),ListaTgov.Unidades,1,FALSE))),"Unid. Não Disp",
" "))))))))))))))))</f>
        <v>SEM CUSTO</v>
      </c>
      <c r="AD386" t="str">
        <f ca="1">IF(C386&lt;=CRONO.NivelExibicao,MAX($AD$15:OFFSET(AD386,-1,0))+IF($C386&lt;&gt;1,1,MAX(1,COUNTIF(QCI!$A$13:$A$24,OFFSET($E386,-1,0)))),"")</f>
        <v/>
      </c>
      <c r="AE386" s="7" t="str">
        <f ca="1">IF(AND($C386="S",ORÇAMENTO.CodBarra&lt;&gt;""),IF(ORÇAMENTO.Fonte="",ORÇAMENTO.CodBarra,CONCATENATE(ORÇAMENTO.Fonte," ",ORÇAMENTO.CodBarra)))</f>
        <v>Composiçao 228</v>
      </c>
      <c r="AF386" s="12" t="str">
        <f ca="1">IF(ISERROR(INDIRECT(ORÇAMENTO.BancoRef)),"(abra o arquivo 'Referência "&amp;Excel_BuiltIn_Database&amp;".xlsm)",IF(OR($C386&lt;&gt;"S",ORÇAMENTO.CodBarra=""),"(Sem Código)",IF(ISERROR(MATCH($AE386,INDIRECT(ORÇAMENTO.BancoRef),0)),"(Código não identificado nas referências)",MATCH($AE386,INDIRECT(ORÇAMENTO.BancoRef),0))))</f>
        <v>(abra o arquivo 'Referência 12-2024.xlsm)</v>
      </c>
      <c r="AG386" s="429">
        <f ca="1">ROUND(IF(DESONERACAO="sim",REFERENCIA.Desonerado,REFERENCIA.NaoDesonerado),2)</f>
        <v>0</v>
      </c>
      <c r="AH386" s="430">
        <f t="shared" ca="1" si="98"/>
        <v>0.31190000000000001</v>
      </c>
      <c r="AJ386" s="432">
        <v>104.4</v>
      </c>
      <c r="AL386" s="440"/>
      <c r="AM386" s="337">
        <f t="shared" ca="1" si="83"/>
        <v>0</v>
      </c>
      <c r="AN386" s="471">
        <f t="shared" ca="1" si="99"/>
        <v>0</v>
      </c>
    </row>
    <row r="387" spans="1:40" ht="25.5" x14ac:dyDescent="0.2">
      <c r="A387" t="str">
        <f t="shared" si="84"/>
        <v>S</v>
      </c>
      <c r="B387">
        <f t="shared" ca="1" si="85"/>
        <v>2</v>
      </c>
      <c r="C387" t="str">
        <f t="shared" ca="1" si="86"/>
        <v>S</v>
      </c>
      <c r="D387">
        <f t="shared" ca="1" si="87"/>
        <v>0</v>
      </c>
      <c r="E387">
        <f ca="1">IF($C387=1,OFFSET(E387,-1,0)+MAX(1,COUNTIF(QCI!$A$13:$A$24,OFFSET(ORÇAMENTO!E387,-1,0))),OFFSET(E387,-1,0))</f>
        <v>1</v>
      </c>
      <c r="F387">
        <f t="shared" ca="1" si="88"/>
        <v>21</v>
      </c>
      <c r="G387">
        <f t="shared" ca="1" si="89"/>
        <v>0</v>
      </c>
      <c r="H387">
        <f t="shared" ca="1" si="90"/>
        <v>0</v>
      </c>
      <c r="I387">
        <f t="shared" ca="1" si="91"/>
        <v>0</v>
      </c>
      <c r="J387">
        <f t="shared" ca="1" si="92"/>
        <v>0</v>
      </c>
      <c r="K387">
        <f ca="1">IF(OR($C387="S",$C387=0),0,MATCH(OFFSET($D387,0,$C387)+IF($C387&lt;&gt;1,1,COUNTIF(QCI!$A$13:$A$24,ORÇAMENTO!E387)),OFFSET($D387,1,$C387,ROW($C$405)-ROW($C387)),0))</f>
        <v>0</v>
      </c>
      <c r="L387" s="115" t="str">
        <f t="shared" ca="1" si="93"/>
        <v/>
      </c>
      <c r="M387" s="116" t="s">
        <v>706</v>
      </c>
      <c r="N387" s="117" t="str">
        <f t="shared" ca="1" si="94"/>
        <v>Serviço</v>
      </c>
      <c r="O387" s="118" t="str">
        <f t="shared" ca="1" si="95"/>
        <v>-</v>
      </c>
      <c r="P387" s="119" t="s">
        <v>1316</v>
      </c>
      <c r="Q387" s="120" t="s">
        <v>1257</v>
      </c>
      <c r="R387" s="121" t="s">
        <v>1628</v>
      </c>
      <c r="S387" s="122" t="s">
        <v>1644</v>
      </c>
      <c r="T387" s="123">
        <f ca="1">OFFSET(CÁLCULO!H$15,ROW($T387)-ROW(T$15),0)</f>
        <v>58.59</v>
      </c>
      <c r="U387" s="124"/>
      <c r="V387" s="125" t="s">
        <v>663</v>
      </c>
      <c r="W387" s="123">
        <f ca="1">IF($C387="S",ROUND(IF(TIPOORCAMENTO="Proposto",ORÇAMENTO.CustoUnitario*(1+$AH387),ORÇAMENTO.PrecoUnitarioLicitado),15-13*$AF$10),0)</f>
        <v>0</v>
      </c>
      <c r="X387" s="126" cm="1">
        <f t="array" aca="1" ref="X387" ca="1">IF($C387="S",IF(OR(Import.TipoArredondamento&lt;&gt;"TransfereGOV",ACOMPANHAMENTO="BM"),VTOTAL1,SUM(OFFSET(CÁLCULO!$AA$15,ROW($X387)-ROW($X$15),1):OFFSET(CÁLCULO!$AL$15,ROW($X387)-ROW($X$15),-1))),IF($C387=0,0,ROUND(SomaAgrup,15-13*$AF$11)))</f>
        <v>0</v>
      </c>
      <c r="Y387" s="127" t="s">
        <v>752</v>
      </c>
      <c r="Z387" t="str">
        <f t="shared" ca="1" si="96"/>
        <v/>
      </c>
      <c r="AA387" s="128">
        <f ca="1">IF($C387="S",IF($Z387="CP",$X387,IF($Z387="RA",(($X387)*QCI!$AA$3),0)),SomaAgrup)</f>
        <v>0</v>
      </c>
      <c r="AB387" s="129">
        <f t="shared" ca="1" si="97"/>
        <v>0</v>
      </c>
      <c r="AC387" s="567" t="str">
        <f ca="1">IF($N387=""," ",
IF(AND($C387&lt;&gt;"S",OR($R387="",$R387="(digite a descrição aqui)")),"DESCRIÇÃO",
IF(AND($C387="S",OR($Q387&lt;&gt;0,$T387&gt;0,$U387&gt;0),$P387=0),"FONTE",
IF(AND($C387="S",$P387&lt;&gt;0,OR($T387&gt;0,$U387&gt;0),$Q387=0),"CÓDIGO",
IF(AND($C387="S",$P387&lt;&gt;0,$Q387&lt;&gt;0,$R387="(Código não identificado nas referências)"),"CÓDIGO N/ID",
IF(AND($C387="S",OR($R387="",$R387="(digite a descrição aqui)"),OR($Q387&lt;&gt;0,$T387&gt;0,$U387&gt;0)),"DESCRIÇÃO",
IF(AND($C387="S",$P387&lt;&gt;0,$Q387&lt;&gt;0,$S387=""),"UNIDADE",
IF(AND($C387="S",$P387&lt;&gt;0,$Q387&lt;&gt;0,$U387=0),"SEM CUSTO",
IF(AND(TIPOORCAMENTO="Licitado",$AL387=0,$AN387&gt;0),"SEM PREÇO",
IF(AND($C387="S",$P387&lt;&gt;0,$Q387&lt;&gt;0,$U387&gt;0,$V387=0),"BDI",
IF(OR(AND(TIPOORCAMENTO="Proposto",$AG387&lt;&gt;"",$AG387&gt;0,ORÇAMENTO.CustoUnitario&gt;$AG387),AND(TIPOORCAMENTO="LICITADO",ORÇAMENTO.PrecoUnitarioLicitado&gt;$AN387)),"ACIMA REF.",
IF(AND($C387="S",$P387&lt;&gt;0,$Q387&lt;&gt;0,$T387=0,$U387&gt;0),"QUANT.",
IF(AND(Import.TipoArredondamento="TransfereGOV",$L387="F",$C387="S",LEN($Q387)&gt;13),"Código &gt;13",
IF(AND(Import.TipoArredondamento="TransfereGOV",$L387="F",$C387&lt;&gt;"S",LEN($R387)&gt;100),"Descrição &gt;100",
IF(AND(Import.TipoArredondamento="TransfereGOV",$L387="F",$C387="S",LEN($R387)&gt;500),"Descrição &gt;500",
IF(AND(Import.TipoArredondamento="TransfereGOV",$L387="F",$C387="S",LEFT(TRIM(UPPER($P387)),6)&lt;&gt;"SINAPI",ISNA(VLOOKUP(TRIM(UPPER($S387)),ListaTgov.Unidades,1,FALSE))),"Unid. Não Disp",
" "))))))))))))))))</f>
        <v>SEM CUSTO</v>
      </c>
      <c r="AD387" t="str">
        <f ca="1">IF(C387&lt;=CRONO.NivelExibicao,MAX($AD$15:OFFSET(AD387,-1,0))+IF($C387&lt;&gt;1,1,MAX(1,COUNTIF(QCI!$A$13:$A$24,OFFSET($E387,-1,0)))),"")</f>
        <v/>
      </c>
      <c r="AE387" s="7" t="str">
        <f ca="1">IF(AND($C387="S",ORÇAMENTO.CodBarra&lt;&gt;""),IF(ORÇAMENTO.Fonte="",ORÇAMENTO.CodBarra,CONCATENATE(ORÇAMENTO.Fonte," ",ORÇAMENTO.CodBarra)))</f>
        <v>Composiçao 229</v>
      </c>
      <c r="AF387" s="12" t="str">
        <f ca="1">IF(ISERROR(INDIRECT(ORÇAMENTO.BancoRef)),"(abra o arquivo 'Referência "&amp;Excel_BuiltIn_Database&amp;".xlsm)",IF(OR($C387&lt;&gt;"S",ORÇAMENTO.CodBarra=""),"(Sem Código)",IF(ISERROR(MATCH($AE387,INDIRECT(ORÇAMENTO.BancoRef),0)),"(Código não identificado nas referências)",MATCH($AE387,INDIRECT(ORÇAMENTO.BancoRef),0))))</f>
        <v>(abra o arquivo 'Referência 12-2024.xlsm)</v>
      </c>
      <c r="AG387" s="429">
        <f ca="1">ROUND(IF(DESONERACAO="sim",REFERENCIA.Desonerado,REFERENCIA.NaoDesonerado),2)</f>
        <v>0</v>
      </c>
      <c r="AH387" s="430">
        <f t="shared" ca="1" si="98"/>
        <v>0.31190000000000001</v>
      </c>
      <c r="AJ387" s="432">
        <v>58.59</v>
      </c>
      <c r="AL387" s="440"/>
      <c r="AM387" s="337">
        <f t="shared" ca="1" si="83"/>
        <v>0</v>
      </c>
      <c r="AN387" s="471">
        <f t="shared" ca="1" si="99"/>
        <v>0</v>
      </c>
    </row>
    <row r="388" spans="1:40" ht="38.25" x14ac:dyDescent="0.2">
      <c r="A388" t="str">
        <f t="shared" si="84"/>
        <v>S</v>
      </c>
      <c r="B388">
        <f t="shared" ca="1" si="85"/>
        <v>2</v>
      </c>
      <c r="C388" t="str">
        <f t="shared" ca="1" si="86"/>
        <v>S</v>
      </c>
      <c r="D388">
        <f t="shared" ca="1" si="87"/>
        <v>0</v>
      </c>
      <c r="E388">
        <f ca="1">IF($C388=1,OFFSET(E388,-1,0)+MAX(1,COUNTIF(QCI!$A$13:$A$24,OFFSET(ORÇAMENTO!E388,-1,0))),OFFSET(E388,-1,0))</f>
        <v>1</v>
      </c>
      <c r="F388">
        <f t="shared" ca="1" si="88"/>
        <v>21</v>
      </c>
      <c r="G388">
        <f t="shared" ca="1" si="89"/>
        <v>0</v>
      </c>
      <c r="H388">
        <f t="shared" ca="1" si="90"/>
        <v>0</v>
      </c>
      <c r="I388">
        <f t="shared" ca="1" si="91"/>
        <v>0</v>
      </c>
      <c r="J388">
        <f t="shared" ca="1" si="92"/>
        <v>0</v>
      </c>
      <c r="K388">
        <f ca="1">IF(OR($C388="S",$C388=0),0,MATCH(OFFSET($D388,0,$C388)+IF($C388&lt;&gt;1,1,COUNTIF(QCI!$A$13:$A$24,ORÇAMENTO!E388)),OFFSET($D388,1,$C388,ROW($C$405)-ROW($C388)),0))</f>
        <v>0</v>
      </c>
      <c r="L388" s="115" t="str">
        <f t="shared" ca="1" si="93"/>
        <v/>
      </c>
      <c r="M388" s="116" t="s">
        <v>706</v>
      </c>
      <c r="N388" s="117" t="str">
        <f t="shared" ca="1" si="94"/>
        <v>Serviço</v>
      </c>
      <c r="O388" s="118" t="str">
        <f t="shared" ca="1" si="95"/>
        <v>-</v>
      </c>
      <c r="P388" s="119" t="s">
        <v>1316</v>
      </c>
      <c r="Q388" s="120" t="s">
        <v>1258</v>
      </c>
      <c r="R388" s="121" t="s">
        <v>1629</v>
      </c>
      <c r="S388" s="122" t="s">
        <v>1644</v>
      </c>
      <c r="T388" s="123">
        <f ca="1">OFFSET(CÁLCULO!H$15,ROW($T388)-ROW(T$15),0)</f>
        <v>87.9</v>
      </c>
      <c r="U388" s="124"/>
      <c r="V388" s="125" t="s">
        <v>663</v>
      </c>
      <c r="W388" s="123">
        <f ca="1">IF($C388="S",ROUND(IF(TIPOORCAMENTO="Proposto",ORÇAMENTO.CustoUnitario*(1+$AH388),ORÇAMENTO.PrecoUnitarioLicitado),15-13*$AF$10),0)</f>
        <v>0</v>
      </c>
      <c r="X388" s="126" cm="1">
        <f t="array" aca="1" ref="X388" ca="1">IF($C388="S",IF(OR(Import.TipoArredondamento&lt;&gt;"TransfereGOV",ACOMPANHAMENTO="BM"),VTOTAL1,SUM(OFFSET(CÁLCULO!$AA$15,ROW($X388)-ROW($X$15),1):OFFSET(CÁLCULO!$AL$15,ROW($X388)-ROW($X$15),-1))),IF($C388=0,0,ROUND(SomaAgrup,15-13*$AF$11)))</f>
        <v>0</v>
      </c>
      <c r="Y388" s="127" t="s">
        <v>752</v>
      </c>
      <c r="Z388" t="str">
        <f t="shared" ca="1" si="96"/>
        <v/>
      </c>
      <c r="AA388" s="128">
        <f ca="1">IF($C388="S",IF($Z388="CP",$X388,IF($Z388="RA",(($X388)*QCI!$AA$3),0)),SomaAgrup)</f>
        <v>0</v>
      </c>
      <c r="AB388" s="129">
        <f t="shared" ca="1" si="97"/>
        <v>0</v>
      </c>
      <c r="AC388" s="567" t="str">
        <f ca="1">IF($N388=""," ",
IF(AND($C388&lt;&gt;"S",OR($R388="",$R388="(digite a descrição aqui)")),"DESCRIÇÃO",
IF(AND($C388="S",OR($Q388&lt;&gt;0,$T388&gt;0,$U388&gt;0),$P388=0),"FONTE",
IF(AND($C388="S",$P388&lt;&gt;0,OR($T388&gt;0,$U388&gt;0),$Q388=0),"CÓDIGO",
IF(AND($C388="S",$P388&lt;&gt;0,$Q388&lt;&gt;0,$R388="(Código não identificado nas referências)"),"CÓDIGO N/ID",
IF(AND($C388="S",OR($R388="",$R388="(digite a descrição aqui)"),OR($Q388&lt;&gt;0,$T388&gt;0,$U388&gt;0)),"DESCRIÇÃO",
IF(AND($C388="S",$P388&lt;&gt;0,$Q388&lt;&gt;0,$S388=""),"UNIDADE",
IF(AND($C388="S",$P388&lt;&gt;0,$Q388&lt;&gt;0,$U388=0),"SEM CUSTO",
IF(AND(TIPOORCAMENTO="Licitado",$AL388=0,$AN388&gt;0),"SEM PREÇO",
IF(AND($C388="S",$P388&lt;&gt;0,$Q388&lt;&gt;0,$U388&gt;0,$V388=0),"BDI",
IF(OR(AND(TIPOORCAMENTO="Proposto",$AG388&lt;&gt;"",$AG388&gt;0,ORÇAMENTO.CustoUnitario&gt;$AG388),AND(TIPOORCAMENTO="LICITADO",ORÇAMENTO.PrecoUnitarioLicitado&gt;$AN388)),"ACIMA REF.",
IF(AND($C388="S",$P388&lt;&gt;0,$Q388&lt;&gt;0,$T388=0,$U388&gt;0),"QUANT.",
IF(AND(Import.TipoArredondamento="TransfereGOV",$L388="F",$C388="S",LEN($Q388)&gt;13),"Código &gt;13",
IF(AND(Import.TipoArredondamento="TransfereGOV",$L388="F",$C388&lt;&gt;"S",LEN($R388)&gt;100),"Descrição &gt;100",
IF(AND(Import.TipoArredondamento="TransfereGOV",$L388="F",$C388="S",LEN($R388)&gt;500),"Descrição &gt;500",
IF(AND(Import.TipoArredondamento="TransfereGOV",$L388="F",$C388="S",LEFT(TRIM(UPPER($P388)),6)&lt;&gt;"SINAPI",ISNA(VLOOKUP(TRIM(UPPER($S388)),ListaTgov.Unidades,1,FALSE))),"Unid. Não Disp",
" "))))))))))))))))</f>
        <v>SEM CUSTO</v>
      </c>
      <c r="AD388" t="str">
        <f ca="1">IF(C388&lt;=CRONO.NivelExibicao,MAX($AD$15:OFFSET(AD388,-1,0))+IF($C388&lt;&gt;1,1,MAX(1,COUNTIF(QCI!$A$13:$A$24,OFFSET($E388,-1,0)))),"")</f>
        <v/>
      </c>
      <c r="AE388" s="7" t="str">
        <f ca="1">IF(AND($C388="S",ORÇAMENTO.CodBarra&lt;&gt;""),IF(ORÇAMENTO.Fonte="",ORÇAMENTO.CodBarra,CONCATENATE(ORÇAMENTO.Fonte," ",ORÇAMENTO.CodBarra)))</f>
        <v>Composiçao 231</v>
      </c>
      <c r="AF388" s="12" t="str">
        <f ca="1">IF(ISERROR(INDIRECT(ORÇAMENTO.BancoRef)),"(abra o arquivo 'Referência "&amp;Excel_BuiltIn_Database&amp;".xlsm)",IF(OR($C388&lt;&gt;"S",ORÇAMENTO.CodBarra=""),"(Sem Código)",IF(ISERROR(MATCH($AE388,INDIRECT(ORÇAMENTO.BancoRef),0)),"(Código não identificado nas referências)",MATCH($AE388,INDIRECT(ORÇAMENTO.BancoRef),0))))</f>
        <v>(abra o arquivo 'Referência 12-2024.xlsm)</v>
      </c>
      <c r="AG388" s="429">
        <f ca="1">ROUND(IF(DESONERACAO="sim",REFERENCIA.Desonerado,REFERENCIA.NaoDesonerado),2)</f>
        <v>0</v>
      </c>
      <c r="AH388" s="430">
        <f t="shared" ca="1" si="98"/>
        <v>0.31190000000000001</v>
      </c>
      <c r="AJ388" s="432">
        <v>87.9</v>
      </c>
      <c r="AL388" s="440"/>
      <c r="AM388" s="337">
        <f t="shared" ca="1" si="83"/>
        <v>0</v>
      </c>
      <c r="AN388" s="471">
        <f t="shared" ca="1" si="99"/>
        <v>0</v>
      </c>
    </row>
    <row r="389" spans="1:40" ht="25.5" x14ac:dyDescent="0.2">
      <c r="A389" t="str">
        <f t="shared" si="84"/>
        <v>S</v>
      </c>
      <c r="B389">
        <f t="shared" ca="1" si="85"/>
        <v>2</v>
      </c>
      <c r="C389" t="str">
        <f t="shared" ca="1" si="86"/>
        <v>S</v>
      </c>
      <c r="D389">
        <f t="shared" ca="1" si="87"/>
        <v>0</v>
      </c>
      <c r="E389">
        <f ca="1">IF($C389=1,OFFSET(E389,-1,0)+MAX(1,COUNTIF(QCI!$A$13:$A$24,OFFSET(ORÇAMENTO!E389,-1,0))),OFFSET(E389,-1,0))</f>
        <v>1</v>
      </c>
      <c r="F389">
        <f t="shared" ca="1" si="88"/>
        <v>21</v>
      </c>
      <c r="G389">
        <f t="shared" ca="1" si="89"/>
        <v>0</v>
      </c>
      <c r="H389">
        <f t="shared" ca="1" si="90"/>
        <v>0</v>
      </c>
      <c r="I389">
        <f t="shared" ca="1" si="91"/>
        <v>0</v>
      </c>
      <c r="J389">
        <f t="shared" ca="1" si="92"/>
        <v>0</v>
      </c>
      <c r="K389">
        <f ca="1">IF(OR($C389="S",$C389=0),0,MATCH(OFFSET($D389,0,$C389)+IF($C389&lt;&gt;1,1,COUNTIF(QCI!$A$13:$A$24,ORÇAMENTO!E389)),OFFSET($D389,1,$C389,ROW($C$405)-ROW($C389)),0))</f>
        <v>0</v>
      </c>
      <c r="L389" s="115" t="str">
        <f t="shared" ca="1" si="93"/>
        <v/>
      </c>
      <c r="M389" s="116" t="s">
        <v>706</v>
      </c>
      <c r="N389" s="117" t="str">
        <f t="shared" ca="1" si="94"/>
        <v>Serviço</v>
      </c>
      <c r="O389" s="118" t="str">
        <f t="shared" ca="1" si="95"/>
        <v>-</v>
      </c>
      <c r="P389" s="119" t="s">
        <v>1316</v>
      </c>
      <c r="Q389" s="120" t="s">
        <v>1259</v>
      </c>
      <c r="R389" s="121" t="s">
        <v>1630</v>
      </c>
      <c r="S389" s="122" t="s">
        <v>1644</v>
      </c>
      <c r="T389" s="123">
        <f ca="1">OFFSET(CÁLCULO!H$15,ROW($T389)-ROW(T$15),0)</f>
        <v>66.900000000000006</v>
      </c>
      <c r="U389" s="124"/>
      <c r="V389" s="125" t="s">
        <v>663</v>
      </c>
      <c r="W389" s="123">
        <f ca="1">IF($C389="S",ROUND(IF(TIPOORCAMENTO="Proposto",ORÇAMENTO.CustoUnitario*(1+$AH389),ORÇAMENTO.PrecoUnitarioLicitado),15-13*$AF$10),0)</f>
        <v>0</v>
      </c>
      <c r="X389" s="126" cm="1">
        <f t="array" aca="1" ref="X389" ca="1">IF($C389="S",IF(OR(Import.TipoArredondamento&lt;&gt;"TransfereGOV",ACOMPANHAMENTO="BM"),VTOTAL1,SUM(OFFSET(CÁLCULO!$AA$15,ROW($X389)-ROW($X$15),1):OFFSET(CÁLCULO!$AL$15,ROW($X389)-ROW($X$15),-1))),IF($C389=0,0,ROUND(SomaAgrup,15-13*$AF$11)))</f>
        <v>0</v>
      </c>
      <c r="Y389" s="127" t="s">
        <v>752</v>
      </c>
      <c r="Z389" t="str">
        <f t="shared" ca="1" si="96"/>
        <v/>
      </c>
      <c r="AA389" s="128">
        <f ca="1">IF($C389="S",IF($Z389="CP",$X389,IF($Z389="RA",(($X389)*QCI!$AA$3),0)),SomaAgrup)</f>
        <v>0</v>
      </c>
      <c r="AB389" s="129">
        <f t="shared" ca="1" si="97"/>
        <v>0</v>
      </c>
      <c r="AC389" s="567" t="str">
        <f ca="1">IF($N389=""," ",
IF(AND($C389&lt;&gt;"S",OR($R389="",$R389="(digite a descrição aqui)")),"DESCRIÇÃO",
IF(AND($C389="S",OR($Q389&lt;&gt;0,$T389&gt;0,$U389&gt;0),$P389=0),"FONTE",
IF(AND($C389="S",$P389&lt;&gt;0,OR($T389&gt;0,$U389&gt;0),$Q389=0),"CÓDIGO",
IF(AND($C389="S",$P389&lt;&gt;0,$Q389&lt;&gt;0,$R389="(Código não identificado nas referências)"),"CÓDIGO N/ID",
IF(AND($C389="S",OR($R389="",$R389="(digite a descrição aqui)"),OR($Q389&lt;&gt;0,$T389&gt;0,$U389&gt;0)),"DESCRIÇÃO",
IF(AND($C389="S",$P389&lt;&gt;0,$Q389&lt;&gt;0,$S389=""),"UNIDADE",
IF(AND($C389="S",$P389&lt;&gt;0,$Q389&lt;&gt;0,$U389=0),"SEM CUSTO",
IF(AND(TIPOORCAMENTO="Licitado",$AL389=0,$AN389&gt;0),"SEM PREÇO",
IF(AND($C389="S",$P389&lt;&gt;0,$Q389&lt;&gt;0,$U389&gt;0,$V389=0),"BDI",
IF(OR(AND(TIPOORCAMENTO="Proposto",$AG389&lt;&gt;"",$AG389&gt;0,ORÇAMENTO.CustoUnitario&gt;$AG389),AND(TIPOORCAMENTO="LICITADO",ORÇAMENTO.PrecoUnitarioLicitado&gt;$AN389)),"ACIMA REF.",
IF(AND($C389="S",$P389&lt;&gt;0,$Q389&lt;&gt;0,$T389=0,$U389&gt;0),"QUANT.",
IF(AND(Import.TipoArredondamento="TransfereGOV",$L389="F",$C389="S",LEN($Q389)&gt;13),"Código &gt;13",
IF(AND(Import.TipoArredondamento="TransfereGOV",$L389="F",$C389&lt;&gt;"S",LEN($R389)&gt;100),"Descrição &gt;100",
IF(AND(Import.TipoArredondamento="TransfereGOV",$L389="F",$C389="S",LEN($R389)&gt;500),"Descrição &gt;500",
IF(AND(Import.TipoArredondamento="TransfereGOV",$L389="F",$C389="S",LEFT(TRIM(UPPER($P389)),6)&lt;&gt;"SINAPI",ISNA(VLOOKUP(TRIM(UPPER($S389)),ListaTgov.Unidades,1,FALSE))),"Unid. Não Disp",
" "))))))))))))))))</f>
        <v>SEM CUSTO</v>
      </c>
      <c r="AD389" t="str">
        <f ca="1">IF(C389&lt;=CRONO.NivelExibicao,MAX($AD$15:OFFSET(AD389,-1,0))+IF($C389&lt;&gt;1,1,MAX(1,COUNTIF(QCI!$A$13:$A$24,OFFSET($E389,-1,0)))),"")</f>
        <v/>
      </c>
      <c r="AE389" s="7" t="str">
        <f ca="1">IF(AND($C389="S",ORÇAMENTO.CodBarra&lt;&gt;""),IF(ORÇAMENTO.Fonte="",ORÇAMENTO.CodBarra,CONCATENATE(ORÇAMENTO.Fonte," ",ORÇAMENTO.CodBarra)))</f>
        <v>Composiçao 232</v>
      </c>
      <c r="AF389" s="12" t="str">
        <f ca="1">IF(ISERROR(INDIRECT(ORÇAMENTO.BancoRef)),"(abra o arquivo 'Referência "&amp;Excel_BuiltIn_Database&amp;".xlsm)",IF(OR($C389&lt;&gt;"S",ORÇAMENTO.CodBarra=""),"(Sem Código)",IF(ISERROR(MATCH($AE389,INDIRECT(ORÇAMENTO.BancoRef),0)),"(Código não identificado nas referências)",MATCH($AE389,INDIRECT(ORÇAMENTO.BancoRef),0))))</f>
        <v>(abra o arquivo 'Referência 12-2024.xlsm)</v>
      </c>
      <c r="AG389" s="429">
        <f ca="1">ROUND(IF(DESONERACAO="sim",REFERENCIA.Desonerado,REFERENCIA.NaoDesonerado),2)</f>
        <v>0</v>
      </c>
      <c r="AH389" s="430">
        <f t="shared" ca="1" si="98"/>
        <v>0.31190000000000001</v>
      </c>
      <c r="AJ389" s="432">
        <v>66.900000000000006</v>
      </c>
      <c r="AL389" s="440"/>
      <c r="AM389" s="337">
        <f t="shared" ca="1" si="83"/>
        <v>0</v>
      </c>
      <c r="AN389" s="471">
        <f t="shared" ca="1" si="99"/>
        <v>0</v>
      </c>
    </row>
    <row r="390" spans="1:40" ht="25.5" x14ac:dyDescent="0.2">
      <c r="A390" t="str">
        <f t="shared" si="84"/>
        <v>S</v>
      </c>
      <c r="B390">
        <f t="shared" ca="1" si="85"/>
        <v>2</v>
      </c>
      <c r="C390" t="str">
        <f t="shared" ca="1" si="86"/>
        <v>S</v>
      </c>
      <c r="D390">
        <f t="shared" ca="1" si="87"/>
        <v>0</v>
      </c>
      <c r="E390">
        <f ca="1">IF($C390=1,OFFSET(E390,-1,0)+MAX(1,COUNTIF(QCI!$A$13:$A$24,OFFSET(ORÇAMENTO!E390,-1,0))),OFFSET(E390,-1,0))</f>
        <v>1</v>
      </c>
      <c r="F390">
        <f t="shared" ca="1" si="88"/>
        <v>21</v>
      </c>
      <c r="G390">
        <f t="shared" ca="1" si="89"/>
        <v>0</v>
      </c>
      <c r="H390">
        <f t="shared" ca="1" si="90"/>
        <v>0</v>
      </c>
      <c r="I390">
        <f t="shared" ca="1" si="91"/>
        <v>0</v>
      </c>
      <c r="J390">
        <f t="shared" ca="1" si="92"/>
        <v>0</v>
      </c>
      <c r="K390">
        <f ca="1">IF(OR($C390="S",$C390=0),0,MATCH(OFFSET($D390,0,$C390)+IF($C390&lt;&gt;1,1,COUNTIF(QCI!$A$13:$A$24,ORÇAMENTO!E390)),OFFSET($D390,1,$C390,ROW($C$405)-ROW($C390)),0))</f>
        <v>0</v>
      </c>
      <c r="L390" s="115" t="str">
        <f t="shared" ca="1" si="93"/>
        <v/>
      </c>
      <c r="M390" s="116" t="s">
        <v>706</v>
      </c>
      <c r="N390" s="117" t="str">
        <f t="shared" ca="1" si="94"/>
        <v>Serviço</v>
      </c>
      <c r="O390" s="118" t="str">
        <f t="shared" ca="1" si="95"/>
        <v>-</v>
      </c>
      <c r="P390" s="119" t="s">
        <v>1316</v>
      </c>
      <c r="Q390" s="120" t="s">
        <v>1260</v>
      </c>
      <c r="R390" s="121" t="s">
        <v>1631</v>
      </c>
      <c r="S390" s="122" t="s">
        <v>1644</v>
      </c>
      <c r="T390" s="123">
        <f ca="1">OFFSET(CÁLCULO!H$15,ROW($T390)-ROW(T$15),0)</f>
        <v>69.099999999999994</v>
      </c>
      <c r="U390" s="124"/>
      <c r="V390" s="125" t="s">
        <v>663</v>
      </c>
      <c r="W390" s="123">
        <f ca="1">IF($C390="S",ROUND(IF(TIPOORCAMENTO="Proposto",ORÇAMENTO.CustoUnitario*(1+$AH390),ORÇAMENTO.PrecoUnitarioLicitado),15-13*$AF$10),0)</f>
        <v>0</v>
      </c>
      <c r="X390" s="126" cm="1">
        <f t="array" aca="1" ref="X390" ca="1">IF($C390="S",IF(OR(Import.TipoArredondamento&lt;&gt;"TransfereGOV",ACOMPANHAMENTO="BM"),VTOTAL1,SUM(OFFSET(CÁLCULO!$AA$15,ROW($X390)-ROW($X$15),1):OFFSET(CÁLCULO!$AL$15,ROW($X390)-ROW($X$15),-1))),IF($C390=0,0,ROUND(SomaAgrup,15-13*$AF$11)))</f>
        <v>0</v>
      </c>
      <c r="Y390" s="127" t="s">
        <v>752</v>
      </c>
      <c r="Z390" t="str">
        <f t="shared" ca="1" si="96"/>
        <v/>
      </c>
      <c r="AA390" s="128">
        <f ca="1">IF($C390="S",IF($Z390="CP",$X390,IF($Z390="RA",(($X390)*QCI!$AA$3),0)),SomaAgrup)</f>
        <v>0</v>
      </c>
      <c r="AB390" s="129">
        <f t="shared" ca="1" si="97"/>
        <v>0</v>
      </c>
      <c r="AC390" s="567" t="str">
        <f ca="1">IF($N390=""," ",
IF(AND($C390&lt;&gt;"S",OR($R390="",$R390="(digite a descrição aqui)")),"DESCRIÇÃO",
IF(AND($C390="S",OR($Q390&lt;&gt;0,$T390&gt;0,$U390&gt;0),$P390=0),"FONTE",
IF(AND($C390="S",$P390&lt;&gt;0,OR($T390&gt;0,$U390&gt;0),$Q390=0),"CÓDIGO",
IF(AND($C390="S",$P390&lt;&gt;0,$Q390&lt;&gt;0,$R390="(Código não identificado nas referências)"),"CÓDIGO N/ID",
IF(AND($C390="S",OR($R390="",$R390="(digite a descrição aqui)"),OR($Q390&lt;&gt;0,$T390&gt;0,$U390&gt;0)),"DESCRIÇÃO",
IF(AND($C390="S",$P390&lt;&gt;0,$Q390&lt;&gt;0,$S390=""),"UNIDADE",
IF(AND($C390="S",$P390&lt;&gt;0,$Q390&lt;&gt;0,$U390=0),"SEM CUSTO",
IF(AND(TIPOORCAMENTO="Licitado",$AL390=0,$AN390&gt;0),"SEM PREÇO",
IF(AND($C390="S",$P390&lt;&gt;0,$Q390&lt;&gt;0,$U390&gt;0,$V390=0),"BDI",
IF(OR(AND(TIPOORCAMENTO="Proposto",$AG390&lt;&gt;"",$AG390&gt;0,ORÇAMENTO.CustoUnitario&gt;$AG390),AND(TIPOORCAMENTO="LICITADO",ORÇAMENTO.PrecoUnitarioLicitado&gt;$AN390)),"ACIMA REF.",
IF(AND($C390="S",$P390&lt;&gt;0,$Q390&lt;&gt;0,$T390=0,$U390&gt;0),"QUANT.",
IF(AND(Import.TipoArredondamento="TransfereGOV",$L390="F",$C390="S",LEN($Q390)&gt;13),"Código &gt;13",
IF(AND(Import.TipoArredondamento="TransfereGOV",$L390="F",$C390&lt;&gt;"S",LEN($R390)&gt;100),"Descrição &gt;100",
IF(AND(Import.TipoArredondamento="TransfereGOV",$L390="F",$C390="S",LEN($R390)&gt;500),"Descrição &gt;500",
IF(AND(Import.TipoArredondamento="TransfereGOV",$L390="F",$C390="S",LEFT(TRIM(UPPER($P390)),6)&lt;&gt;"SINAPI",ISNA(VLOOKUP(TRIM(UPPER($S390)),ListaTgov.Unidades,1,FALSE))),"Unid. Não Disp",
" "))))))))))))))))</f>
        <v>SEM CUSTO</v>
      </c>
      <c r="AD390" t="str">
        <f ca="1">IF(C390&lt;=CRONO.NivelExibicao,MAX($AD$15:OFFSET(AD390,-1,0))+IF($C390&lt;&gt;1,1,MAX(1,COUNTIF(QCI!$A$13:$A$24,OFFSET($E390,-1,0)))),"")</f>
        <v/>
      </c>
      <c r="AE390" s="7" t="str">
        <f ca="1">IF(AND($C390="S",ORÇAMENTO.CodBarra&lt;&gt;""),IF(ORÇAMENTO.Fonte="",ORÇAMENTO.CodBarra,CONCATENATE(ORÇAMENTO.Fonte," ",ORÇAMENTO.CodBarra)))</f>
        <v>Composiçao 236</v>
      </c>
      <c r="AF390" s="12" t="str">
        <f ca="1">IF(ISERROR(INDIRECT(ORÇAMENTO.BancoRef)),"(abra o arquivo 'Referência "&amp;Excel_BuiltIn_Database&amp;".xlsm)",IF(OR($C390&lt;&gt;"S",ORÇAMENTO.CodBarra=""),"(Sem Código)",IF(ISERROR(MATCH($AE390,INDIRECT(ORÇAMENTO.BancoRef),0)),"(Código não identificado nas referências)",MATCH($AE390,INDIRECT(ORÇAMENTO.BancoRef),0))))</f>
        <v>(abra o arquivo 'Referência 12-2024.xlsm)</v>
      </c>
      <c r="AG390" s="429">
        <f ca="1">ROUND(IF(DESONERACAO="sim",REFERENCIA.Desonerado,REFERENCIA.NaoDesonerado),2)</f>
        <v>0</v>
      </c>
      <c r="AH390" s="430">
        <f t="shared" ca="1" si="98"/>
        <v>0.31190000000000001</v>
      </c>
      <c r="AJ390" s="432">
        <v>69.099999999999994</v>
      </c>
      <c r="AL390" s="440"/>
      <c r="AM390" s="337">
        <f t="shared" ca="1" si="83"/>
        <v>0</v>
      </c>
      <c r="AN390" s="471">
        <f t="shared" ca="1" si="99"/>
        <v>0</v>
      </c>
    </row>
    <row r="391" spans="1:40" ht="63.75" x14ac:dyDescent="0.2">
      <c r="A391" t="str">
        <f t="shared" si="84"/>
        <v>S</v>
      </c>
      <c r="B391">
        <f t="shared" ca="1" si="85"/>
        <v>2</v>
      </c>
      <c r="C391" t="str">
        <f t="shared" ca="1" si="86"/>
        <v>S</v>
      </c>
      <c r="D391">
        <f t="shared" ca="1" si="87"/>
        <v>0</v>
      </c>
      <c r="E391">
        <f ca="1">IF($C391=1,OFFSET(E391,-1,0)+MAX(1,COUNTIF(QCI!$A$13:$A$24,OFFSET(ORÇAMENTO!E391,-1,0))),OFFSET(E391,-1,0))</f>
        <v>1</v>
      </c>
      <c r="F391">
        <f t="shared" ca="1" si="88"/>
        <v>21</v>
      </c>
      <c r="G391">
        <f t="shared" ca="1" si="89"/>
        <v>0</v>
      </c>
      <c r="H391">
        <f t="shared" ca="1" si="90"/>
        <v>0</v>
      </c>
      <c r="I391">
        <f t="shared" ca="1" si="91"/>
        <v>0</v>
      </c>
      <c r="J391">
        <f t="shared" ca="1" si="92"/>
        <v>0</v>
      </c>
      <c r="K391">
        <f ca="1">IF(OR($C391="S",$C391=0),0,MATCH(OFFSET($D391,0,$C391)+IF($C391&lt;&gt;1,1,COUNTIF(QCI!$A$13:$A$24,ORÇAMENTO!E391)),OFFSET($D391,1,$C391,ROW($C$405)-ROW($C391)),0))</f>
        <v>0</v>
      </c>
      <c r="L391" s="115" t="str">
        <f t="shared" ca="1" si="93"/>
        <v/>
      </c>
      <c r="M391" s="116" t="s">
        <v>706</v>
      </c>
      <c r="N391" s="117" t="str">
        <f t="shared" ca="1" si="94"/>
        <v>Serviço</v>
      </c>
      <c r="O391" s="118" t="str">
        <f t="shared" ca="1" si="95"/>
        <v>-</v>
      </c>
      <c r="P391" s="119" t="s">
        <v>751</v>
      </c>
      <c r="Q391" s="120" t="s">
        <v>1261</v>
      </c>
      <c r="R391" s="121" t="s">
        <v>1632</v>
      </c>
      <c r="S391" s="122" t="s">
        <v>625</v>
      </c>
      <c r="T391" s="123">
        <f ca="1">OFFSET(CÁLCULO!H$15,ROW($T391)-ROW(T$15),0)</f>
        <v>9.69</v>
      </c>
      <c r="U391" s="124"/>
      <c r="V391" s="125" t="s">
        <v>663</v>
      </c>
      <c r="W391" s="123">
        <f ca="1">IF($C391="S",ROUND(IF(TIPOORCAMENTO="Proposto",ORÇAMENTO.CustoUnitario*(1+$AH391),ORÇAMENTO.PrecoUnitarioLicitado),15-13*$AF$10),0)</f>
        <v>0</v>
      </c>
      <c r="X391" s="126" cm="1">
        <f t="array" aca="1" ref="X391" ca="1">IF($C391="S",IF(OR(Import.TipoArredondamento&lt;&gt;"TransfereGOV",ACOMPANHAMENTO="BM"),VTOTAL1,SUM(OFFSET(CÁLCULO!$AA$15,ROW($X391)-ROW($X$15),1):OFFSET(CÁLCULO!$AL$15,ROW($X391)-ROW($X$15),-1))),IF($C391=0,0,ROUND(SomaAgrup,15-13*$AF$11)))</f>
        <v>0</v>
      </c>
      <c r="Y391" s="127" t="s">
        <v>752</v>
      </c>
      <c r="Z391" t="str">
        <f t="shared" ca="1" si="96"/>
        <v/>
      </c>
      <c r="AA391" s="128">
        <f ca="1">IF($C391="S",IF($Z391="CP",$X391,IF($Z391="RA",(($X391)*QCI!$AA$3),0)),SomaAgrup)</f>
        <v>0</v>
      </c>
      <c r="AB391" s="129">
        <f t="shared" ca="1" si="97"/>
        <v>0</v>
      </c>
      <c r="AC391" s="567" t="str">
        <f ca="1">IF($N391=""," ",
IF(AND($C391&lt;&gt;"S",OR($R391="",$R391="(digite a descrição aqui)")),"DESCRIÇÃO",
IF(AND($C391="S",OR($Q391&lt;&gt;0,$T391&gt;0,$U391&gt;0),$P391=0),"FONTE",
IF(AND($C391="S",$P391&lt;&gt;0,OR($T391&gt;0,$U391&gt;0),$Q391=0),"CÓDIGO",
IF(AND($C391="S",$P391&lt;&gt;0,$Q391&lt;&gt;0,$R391="(Código não identificado nas referências)"),"CÓDIGO N/ID",
IF(AND($C391="S",OR($R391="",$R391="(digite a descrição aqui)"),OR($Q391&lt;&gt;0,$T391&gt;0,$U391&gt;0)),"DESCRIÇÃO",
IF(AND($C391="S",$P391&lt;&gt;0,$Q391&lt;&gt;0,$S391=""),"UNIDADE",
IF(AND($C391="S",$P391&lt;&gt;0,$Q391&lt;&gt;0,$U391=0),"SEM CUSTO",
IF(AND(TIPOORCAMENTO="Licitado",$AL391=0,$AN391&gt;0),"SEM PREÇO",
IF(AND($C391="S",$P391&lt;&gt;0,$Q391&lt;&gt;0,$U391&gt;0,$V391=0),"BDI",
IF(OR(AND(TIPOORCAMENTO="Proposto",$AG391&lt;&gt;"",$AG391&gt;0,ORÇAMENTO.CustoUnitario&gt;$AG391),AND(TIPOORCAMENTO="LICITADO",ORÇAMENTO.PrecoUnitarioLicitado&gt;$AN391)),"ACIMA REF.",
IF(AND($C391="S",$P391&lt;&gt;0,$Q391&lt;&gt;0,$T391=0,$U391&gt;0),"QUANT.",
IF(AND(Import.TipoArredondamento="TransfereGOV",$L391="F",$C391="S",LEN($Q391)&gt;13),"Código &gt;13",
IF(AND(Import.TipoArredondamento="TransfereGOV",$L391="F",$C391&lt;&gt;"S",LEN($R391)&gt;100),"Descrição &gt;100",
IF(AND(Import.TipoArredondamento="TransfereGOV",$L391="F",$C391="S",LEN($R391)&gt;500),"Descrição &gt;500",
IF(AND(Import.TipoArredondamento="TransfereGOV",$L391="F",$C391="S",LEFT(TRIM(UPPER($P391)),6)&lt;&gt;"SINAPI",ISNA(VLOOKUP(TRIM(UPPER($S391)),ListaTgov.Unidades,1,FALSE))),"Unid. Não Disp",
" "))))))))))))))))</f>
        <v>SEM CUSTO</v>
      </c>
      <c r="AD391" t="str">
        <f ca="1">IF(C391&lt;=CRONO.NivelExibicao,MAX($AD$15:OFFSET(AD391,-1,0))+IF($C391&lt;&gt;1,1,MAX(1,COUNTIF(QCI!$A$13:$A$24,OFFSET($E391,-1,0)))),"")</f>
        <v/>
      </c>
      <c r="AE391" s="7" t="str">
        <f ca="1">IF(AND($C391="S",ORÇAMENTO.CodBarra&lt;&gt;""),IF(ORÇAMENTO.Fonte="",ORÇAMENTO.CodBarra,CONCATENATE(ORÇAMENTO.Fonte," ",ORÇAMENTO.CodBarra)))</f>
        <v>SINAPI 90082</v>
      </c>
      <c r="AF391" s="12" t="str">
        <f ca="1">IF(ISERROR(INDIRECT(ORÇAMENTO.BancoRef)),"(abra o arquivo 'Referência "&amp;Excel_BuiltIn_Database&amp;".xlsm)",IF(OR($C391&lt;&gt;"S",ORÇAMENTO.CodBarra=""),"(Sem Código)",IF(ISERROR(MATCH($AE391,INDIRECT(ORÇAMENTO.BancoRef),0)),"(Código não identificado nas referências)",MATCH($AE391,INDIRECT(ORÇAMENTO.BancoRef),0))))</f>
        <v>(abra o arquivo 'Referência 12-2024.xlsm)</v>
      </c>
      <c r="AG391" s="429">
        <f ca="1">ROUND(IF(DESONERACAO="sim",REFERENCIA.Desonerado,REFERENCIA.NaoDesonerado),2)</f>
        <v>0</v>
      </c>
      <c r="AH391" s="430">
        <f t="shared" ca="1" si="98"/>
        <v>0.31190000000000001</v>
      </c>
      <c r="AJ391" s="432">
        <v>9.69</v>
      </c>
      <c r="AL391" s="440"/>
      <c r="AM391" s="337">
        <f t="shared" ca="1" si="83"/>
        <v>0</v>
      </c>
      <c r="AN391" s="471">
        <f t="shared" ca="1" si="99"/>
        <v>0</v>
      </c>
    </row>
    <row r="392" spans="1:40" ht="25.5" x14ac:dyDescent="0.2">
      <c r="A392">
        <f t="shared" si="84"/>
        <v>2</v>
      </c>
      <c r="B392">
        <f t="shared" ca="1" si="85"/>
        <v>2</v>
      </c>
      <c r="C392">
        <f t="shared" ca="1" si="86"/>
        <v>2</v>
      </c>
      <c r="D392">
        <f t="shared" ca="1" si="87"/>
        <v>8</v>
      </c>
      <c r="E392">
        <f ca="1">IF($C392=1,OFFSET(E392,-1,0)+MAX(1,COUNTIF(QCI!$A$13:$A$24,OFFSET(ORÇAMENTO!E392,-1,0))),OFFSET(E392,-1,0))</f>
        <v>1</v>
      </c>
      <c r="F392">
        <f t="shared" ca="1" si="88"/>
        <v>22</v>
      </c>
      <c r="G392">
        <f t="shared" ca="1" si="89"/>
        <v>0</v>
      </c>
      <c r="H392">
        <f t="shared" ca="1" si="90"/>
        <v>0</v>
      </c>
      <c r="I392">
        <f t="shared" ca="1" si="91"/>
        <v>0</v>
      </c>
      <c r="J392">
        <f t="shared" ca="1" si="92"/>
        <v>13</v>
      </c>
      <c r="K392">
        <f ca="1">IF(OR($C392="S",$C392=0),0,MATCH(OFFSET($D392,0,$C392)+IF($C392&lt;&gt;1,1,COUNTIF(QCI!$A$13:$A$24,ORÇAMENTO!E392)),OFFSET($D392,1,$C392,ROW($C$405)-ROW($C392)),0))</f>
        <v>8</v>
      </c>
      <c r="L392" s="115" t="str">
        <f t="shared" ca="1" si="93"/>
        <v>F</v>
      </c>
      <c r="M392" s="116" t="s">
        <v>703</v>
      </c>
      <c r="N392" s="117" t="str">
        <f t="shared" ca="1" si="94"/>
        <v>Nível 2</v>
      </c>
      <c r="O392" s="118" t="str">
        <f t="shared" ca="1" si="95"/>
        <v>1.22.</v>
      </c>
      <c r="P392" s="119" t="s">
        <v>751</v>
      </c>
      <c r="Q392" s="120"/>
      <c r="R392" s="121" t="s">
        <v>1309</v>
      </c>
      <c r="S392" s="122" t="s">
        <v>689</v>
      </c>
      <c r="T392" s="123">
        <f ca="1">OFFSET(CÁLCULO!H$15,ROW($T392)-ROW(T$15),0)</f>
        <v>0</v>
      </c>
      <c r="U392" s="124"/>
      <c r="V392" s="125" t="s">
        <v>663</v>
      </c>
      <c r="W392" s="123">
        <f ca="1">IF($C392="S",ROUND(IF(TIPOORCAMENTO="Proposto",ORÇAMENTO.CustoUnitario*(1+$AH392),ORÇAMENTO.PrecoUnitarioLicitado),15-13*$AF$10),0)</f>
        <v>0</v>
      </c>
      <c r="X392" s="126" cm="1">
        <f t="array" aca="1" ref="X392" ca="1">IF($C392="S",IF(OR(Import.TipoArredondamento&lt;&gt;"TransfereGOV",ACOMPANHAMENTO="BM"),VTOTAL1,SUM(OFFSET(CÁLCULO!$AA$15,ROW($X392)-ROW($X$15),1):OFFSET(CÁLCULO!$AL$15,ROW($X392)-ROW($X$15),-1))),IF($C392=0,0,ROUND(SomaAgrup,15-13*$AF$11)))</f>
        <v>0</v>
      </c>
      <c r="Y392" s="127" t="s">
        <v>752</v>
      </c>
      <c r="Z392" t="str">
        <f t="shared" ca="1" si="96"/>
        <v/>
      </c>
      <c r="AA392" s="128">
        <f ca="1">IF($C392="S",IF($Z392="CP",$X392,IF($Z392="RA",(($X392)*QCI!$AA$3),0)),SomaAgrup)</f>
        <v>0</v>
      </c>
      <c r="AB392" s="129">
        <f t="shared" ca="1" si="97"/>
        <v>0</v>
      </c>
      <c r="AC392" s="567" t="str">
        <f ca="1">IF($N392=""," ",
IF(AND($C392&lt;&gt;"S",OR($R392="",$R392="(digite a descrição aqui)")),"DESCRIÇÃO",
IF(AND($C392="S",OR($Q392&lt;&gt;0,$T392&gt;0,$U392&gt;0),$P392=0),"FONTE",
IF(AND($C392="S",$P392&lt;&gt;0,OR($T392&gt;0,$U392&gt;0),$Q392=0),"CÓDIGO",
IF(AND($C392="S",$P392&lt;&gt;0,$Q392&lt;&gt;0,$R392="(Código não identificado nas referências)"),"CÓDIGO N/ID",
IF(AND($C392="S",OR($R392="",$R392="(digite a descrição aqui)"),OR($Q392&lt;&gt;0,$T392&gt;0,$U392&gt;0)),"DESCRIÇÃO",
IF(AND($C392="S",$P392&lt;&gt;0,$Q392&lt;&gt;0,$S392=""),"UNIDADE",
IF(AND($C392="S",$P392&lt;&gt;0,$Q392&lt;&gt;0,$U392=0),"SEM CUSTO",
IF(AND(TIPOORCAMENTO="Licitado",$AL392=0,$AN392&gt;0),"SEM PREÇO",
IF(AND($C392="S",$P392&lt;&gt;0,$Q392&lt;&gt;0,$U392&gt;0,$V392=0),"BDI",
IF(OR(AND(TIPOORCAMENTO="Proposto",$AG392&lt;&gt;"",$AG392&gt;0,ORÇAMENTO.CustoUnitario&gt;$AG392),AND(TIPOORCAMENTO="LICITADO",ORÇAMENTO.PrecoUnitarioLicitado&gt;$AN392)),"ACIMA REF.",
IF(AND($C392="S",$P392&lt;&gt;0,$Q392&lt;&gt;0,$T392=0,$U392&gt;0),"QUANT.",
IF(AND(Import.TipoArredondamento="TransfereGOV",$L392="F",$C392="S",LEN($Q392)&gt;13),"Código &gt;13",
IF(AND(Import.TipoArredondamento="TransfereGOV",$L392="F",$C392&lt;&gt;"S",LEN($R392)&gt;100),"Descrição &gt;100",
IF(AND(Import.TipoArredondamento="TransfereGOV",$L392="F",$C392="S",LEN($R392)&gt;500),"Descrição &gt;500",
IF(AND(Import.TipoArredondamento="TransfereGOV",$L392="F",$C392="S",LEFT(TRIM(UPPER($P392)),6)&lt;&gt;"SINAPI",ISNA(VLOOKUP(TRIM(UPPER($S392)),ListaTgov.Unidades,1,FALSE))),"Unid. Não Disp",
" "))))))))))))))))</f>
        <v xml:space="preserve"> </v>
      </c>
      <c r="AD392">
        <f ca="1">IF(C392&lt;=CRONO.NivelExibicao,MAX($AD$15:OFFSET(AD392,-1,0))+IF($C392&lt;&gt;1,1,MAX(1,COUNTIF(QCI!$A$13:$A$24,OFFSET($E392,-1,0)))),"")</f>
        <v>23</v>
      </c>
      <c r="AE392" s="7" t="b">
        <f ca="1">IF(AND($C392="S",ORÇAMENTO.CodBarra&lt;&gt;""),IF(ORÇAMENTO.Fonte="",ORÇAMENTO.CodBarra,CONCATENATE(ORÇAMENTO.Fonte," ",ORÇAMENTO.CodBarra)))</f>
        <v>0</v>
      </c>
      <c r="AF392" s="12" t="str">
        <f ca="1">IF(ISERROR(INDIRECT(ORÇAMENTO.BancoRef)),"(abra o arquivo 'Referência "&amp;Excel_BuiltIn_Database&amp;".xlsm)",IF(OR($C392&lt;&gt;"S",ORÇAMENTO.CodBarra=""),"(Sem Código)",IF(ISERROR(MATCH($AE392,INDIRECT(ORÇAMENTO.BancoRef),0)),"(Código não identificado nas referências)",MATCH($AE392,INDIRECT(ORÇAMENTO.BancoRef),0))))</f>
        <v>(abra o arquivo 'Referência 12-2024.xlsm)</v>
      </c>
      <c r="AG392" s="429">
        <f ca="1">ROUND(IF(DESONERACAO="sim",REFERENCIA.Desonerado,REFERENCIA.NaoDesonerado),2)</f>
        <v>0</v>
      </c>
      <c r="AH392" s="430">
        <f t="shared" ca="1" si="98"/>
        <v>0.31190000000000001</v>
      </c>
      <c r="AJ392" s="432"/>
      <c r="AL392" s="440"/>
      <c r="AM392" s="337">
        <f t="shared" ca="1" si="83"/>
        <v>0</v>
      </c>
      <c r="AN392" s="471">
        <f t="shared" ca="1" si="99"/>
        <v>0</v>
      </c>
    </row>
    <row r="393" spans="1:40" ht="51" x14ac:dyDescent="0.2">
      <c r="A393" t="str">
        <f t="shared" si="84"/>
        <v>S</v>
      </c>
      <c r="B393">
        <f t="shared" ca="1" si="85"/>
        <v>2</v>
      </c>
      <c r="C393" t="str">
        <f t="shared" ca="1" si="86"/>
        <v>S</v>
      </c>
      <c r="D393">
        <f t="shared" ca="1" si="87"/>
        <v>0</v>
      </c>
      <c r="E393">
        <f ca="1">IF($C393=1,OFFSET(E393,-1,0)+MAX(1,COUNTIF(QCI!$A$13:$A$24,OFFSET(ORÇAMENTO!E393,-1,0))),OFFSET(E393,-1,0))</f>
        <v>1</v>
      </c>
      <c r="F393">
        <f t="shared" ca="1" si="88"/>
        <v>22</v>
      </c>
      <c r="G393">
        <f t="shared" ca="1" si="89"/>
        <v>0</v>
      </c>
      <c r="H393">
        <f t="shared" ca="1" si="90"/>
        <v>0</v>
      </c>
      <c r="I393">
        <f t="shared" ca="1" si="91"/>
        <v>0</v>
      </c>
      <c r="J393">
        <f t="shared" ca="1" si="92"/>
        <v>0</v>
      </c>
      <c r="K393">
        <f ca="1">IF(OR($C393="S",$C393=0),0,MATCH(OFFSET($D393,0,$C393)+IF($C393&lt;&gt;1,1,COUNTIF(QCI!$A$13:$A$24,ORÇAMENTO!E393)),OFFSET($D393,1,$C393,ROW($C$405)-ROW($C393)),0))</f>
        <v>0</v>
      </c>
      <c r="L393" s="115" t="str">
        <f t="shared" ca="1" si="93"/>
        <v/>
      </c>
      <c r="M393" s="116" t="s">
        <v>706</v>
      </c>
      <c r="N393" s="117" t="str">
        <f t="shared" ca="1" si="94"/>
        <v>Serviço</v>
      </c>
      <c r="O393" s="118" t="str">
        <f t="shared" ca="1" si="95"/>
        <v>-</v>
      </c>
      <c r="P393" s="119" t="s">
        <v>751</v>
      </c>
      <c r="Q393" s="120" t="s">
        <v>1262</v>
      </c>
      <c r="R393" s="121" t="s">
        <v>1633</v>
      </c>
      <c r="S393" s="122" t="s">
        <v>416</v>
      </c>
      <c r="T393" s="123">
        <f ca="1">OFFSET(CÁLCULO!H$15,ROW($T393)-ROW(T$15),0)</f>
        <v>210</v>
      </c>
      <c r="U393" s="124"/>
      <c r="V393" s="125" t="s">
        <v>663</v>
      </c>
      <c r="W393" s="123">
        <f ca="1">IF($C393="S",ROUND(IF(TIPOORCAMENTO="Proposto",ORÇAMENTO.CustoUnitario*(1+$AH393),ORÇAMENTO.PrecoUnitarioLicitado),15-13*$AF$10),0)</f>
        <v>0</v>
      </c>
      <c r="X393" s="126" cm="1">
        <f t="array" aca="1" ref="X393" ca="1">IF($C393="S",IF(OR(Import.TipoArredondamento&lt;&gt;"TransfereGOV",ACOMPANHAMENTO="BM"),VTOTAL1,SUM(OFFSET(CÁLCULO!$AA$15,ROW($X393)-ROW($X$15),1):OFFSET(CÁLCULO!$AL$15,ROW($X393)-ROW($X$15),-1))),IF($C393=0,0,ROUND(SomaAgrup,15-13*$AF$11)))</f>
        <v>0</v>
      </c>
      <c r="Y393" s="127" t="s">
        <v>752</v>
      </c>
      <c r="Z393" t="str">
        <f t="shared" ca="1" si="96"/>
        <v/>
      </c>
      <c r="AA393" s="128">
        <f ca="1">IF($C393="S",IF($Z393="CP",$X393,IF($Z393="RA",(($X393)*QCI!$AA$3),0)),SomaAgrup)</f>
        <v>0</v>
      </c>
      <c r="AB393" s="129">
        <f t="shared" ca="1" si="97"/>
        <v>0</v>
      </c>
      <c r="AC393" s="567" t="str">
        <f ca="1">IF($N393=""," ",
IF(AND($C393&lt;&gt;"S",OR($R393="",$R393="(digite a descrição aqui)")),"DESCRIÇÃO",
IF(AND($C393="S",OR($Q393&lt;&gt;0,$T393&gt;0,$U393&gt;0),$P393=0),"FONTE",
IF(AND($C393="S",$P393&lt;&gt;0,OR($T393&gt;0,$U393&gt;0),$Q393=0),"CÓDIGO",
IF(AND($C393="S",$P393&lt;&gt;0,$Q393&lt;&gt;0,$R393="(Código não identificado nas referências)"),"CÓDIGO N/ID",
IF(AND($C393="S",OR($R393="",$R393="(digite a descrição aqui)"),OR($Q393&lt;&gt;0,$T393&gt;0,$U393&gt;0)),"DESCRIÇÃO",
IF(AND($C393="S",$P393&lt;&gt;0,$Q393&lt;&gt;0,$S393=""),"UNIDADE",
IF(AND($C393="S",$P393&lt;&gt;0,$Q393&lt;&gt;0,$U393=0),"SEM CUSTO",
IF(AND(TIPOORCAMENTO="Licitado",$AL393=0,$AN393&gt;0),"SEM PREÇO",
IF(AND($C393="S",$P393&lt;&gt;0,$Q393&lt;&gt;0,$U393&gt;0,$V393=0),"BDI",
IF(OR(AND(TIPOORCAMENTO="Proposto",$AG393&lt;&gt;"",$AG393&gt;0,ORÇAMENTO.CustoUnitario&gt;$AG393),AND(TIPOORCAMENTO="LICITADO",ORÇAMENTO.PrecoUnitarioLicitado&gt;$AN393)),"ACIMA REF.",
IF(AND($C393="S",$P393&lt;&gt;0,$Q393&lt;&gt;0,$T393=0,$U393&gt;0),"QUANT.",
IF(AND(Import.TipoArredondamento="TransfereGOV",$L393="F",$C393="S",LEN($Q393)&gt;13),"Código &gt;13",
IF(AND(Import.TipoArredondamento="TransfereGOV",$L393="F",$C393&lt;&gt;"S",LEN($R393)&gt;100),"Descrição &gt;100",
IF(AND(Import.TipoArredondamento="TransfereGOV",$L393="F",$C393="S",LEN($R393)&gt;500),"Descrição &gt;500",
IF(AND(Import.TipoArredondamento="TransfereGOV",$L393="F",$C393="S",LEFT(TRIM(UPPER($P393)),6)&lt;&gt;"SINAPI",ISNA(VLOOKUP(TRIM(UPPER($S393)),ListaTgov.Unidades,1,FALSE))),"Unid. Não Disp",
" "))))))))))))))))</f>
        <v>SEM CUSTO</v>
      </c>
      <c r="AD393" t="str">
        <f ca="1">IF(C393&lt;=CRONO.NivelExibicao,MAX($AD$15:OFFSET(AD393,-1,0))+IF($C393&lt;&gt;1,1,MAX(1,COUNTIF(QCI!$A$13:$A$24,OFFSET($E393,-1,0)))),"")</f>
        <v/>
      </c>
      <c r="AE393" s="7" t="str">
        <f ca="1">IF(AND($C393="S",ORÇAMENTO.CodBarra&lt;&gt;""),IF(ORÇAMENTO.Fonte="",ORÇAMENTO.CodBarra,CONCATENATE(ORÇAMENTO.Fonte," ",ORÇAMENTO.CodBarra)))</f>
        <v>SINAPI 91635</v>
      </c>
      <c r="AF393" s="12" t="str">
        <f ca="1">IF(ISERROR(INDIRECT(ORÇAMENTO.BancoRef)),"(abra o arquivo 'Referência "&amp;Excel_BuiltIn_Database&amp;".xlsm)",IF(OR($C393&lt;&gt;"S",ORÇAMENTO.CodBarra=""),"(Sem Código)",IF(ISERROR(MATCH($AE393,INDIRECT(ORÇAMENTO.BancoRef),0)),"(Código não identificado nas referências)",MATCH($AE393,INDIRECT(ORÇAMENTO.BancoRef),0))))</f>
        <v>(abra o arquivo 'Referência 12-2024.xlsm)</v>
      </c>
      <c r="AG393" s="429">
        <f ca="1">ROUND(IF(DESONERACAO="sim",REFERENCIA.Desonerado,REFERENCIA.NaoDesonerado),2)</f>
        <v>0</v>
      </c>
      <c r="AH393" s="430">
        <f t="shared" ca="1" si="98"/>
        <v>0.31190000000000001</v>
      </c>
      <c r="AJ393" s="432">
        <v>210</v>
      </c>
      <c r="AL393" s="440"/>
      <c r="AM393" s="337">
        <f t="shared" ca="1" si="83"/>
        <v>0</v>
      </c>
      <c r="AN393" s="471">
        <f t="shared" ca="1" si="99"/>
        <v>0</v>
      </c>
    </row>
    <row r="394" spans="1:40" ht="51" x14ac:dyDescent="0.2">
      <c r="A394" t="str">
        <f t="shared" si="84"/>
        <v>S</v>
      </c>
      <c r="B394">
        <f t="shared" ca="1" si="85"/>
        <v>2</v>
      </c>
      <c r="C394" t="str">
        <f t="shared" ca="1" si="86"/>
        <v>S</v>
      </c>
      <c r="D394">
        <f t="shared" ca="1" si="87"/>
        <v>0</v>
      </c>
      <c r="E394">
        <f ca="1">IF($C394=1,OFFSET(E394,-1,0)+MAX(1,COUNTIF(QCI!$A$13:$A$24,OFFSET(ORÇAMENTO!E394,-1,0))),OFFSET(E394,-1,0))</f>
        <v>1</v>
      </c>
      <c r="F394">
        <f t="shared" ca="1" si="88"/>
        <v>22</v>
      </c>
      <c r="G394">
        <f t="shared" ca="1" si="89"/>
        <v>0</v>
      </c>
      <c r="H394">
        <f t="shared" ca="1" si="90"/>
        <v>0</v>
      </c>
      <c r="I394">
        <f t="shared" ca="1" si="91"/>
        <v>0</v>
      </c>
      <c r="J394">
        <f t="shared" ca="1" si="92"/>
        <v>0</v>
      </c>
      <c r="K394">
        <f ca="1">IF(OR($C394="S",$C394=0),0,MATCH(OFFSET($D394,0,$C394)+IF($C394&lt;&gt;1,1,COUNTIF(QCI!$A$13:$A$24,ORÇAMENTO!E394)),OFFSET($D394,1,$C394,ROW($C$405)-ROW($C394)),0))</f>
        <v>0</v>
      </c>
      <c r="L394" s="115" t="str">
        <f t="shared" ca="1" si="93"/>
        <v/>
      </c>
      <c r="M394" s="116" t="s">
        <v>706</v>
      </c>
      <c r="N394" s="117" t="str">
        <f t="shared" ca="1" si="94"/>
        <v>Serviço</v>
      </c>
      <c r="O394" s="118" t="str">
        <f t="shared" ca="1" si="95"/>
        <v>-</v>
      </c>
      <c r="P394" s="119" t="s">
        <v>751</v>
      </c>
      <c r="Q394" s="120" t="s">
        <v>1263</v>
      </c>
      <c r="R394" s="121" t="s">
        <v>1634</v>
      </c>
      <c r="S394" s="122" t="s">
        <v>417</v>
      </c>
      <c r="T394" s="123">
        <f ca="1">OFFSET(CÁLCULO!H$15,ROW($T394)-ROW(T$15),0)</f>
        <v>210</v>
      </c>
      <c r="U394" s="124"/>
      <c r="V394" s="125" t="s">
        <v>663</v>
      </c>
      <c r="W394" s="123">
        <f ca="1">IF($C394="S",ROUND(IF(TIPOORCAMENTO="Proposto",ORÇAMENTO.CustoUnitario*(1+$AH394),ORÇAMENTO.PrecoUnitarioLicitado),15-13*$AF$10),0)</f>
        <v>0</v>
      </c>
      <c r="X394" s="126" cm="1">
        <f t="array" aca="1" ref="X394" ca="1">IF($C394="S",IF(OR(Import.TipoArredondamento&lt;&gt;"TransfereGOV",ACOMPANHAMENTO="BM"),VTOTAL1,SUM(OFFSET(CÁLCULO!$AA$15,ROW($X394)-ROW($X$15),1):OFFSET(CÁLCULO!$AL$15,ROW($X394)-ROW($X$15),-1))),IF($C394=0,0,ROUND(SomaAgrup,15-13*$AF$11)))</f>
        <v>0</v>
      </c>
      <c r="Y394" s="127" t="s">
        <v>752</v>
      </c>
      <c r="Z394" t="str">
        <f t="shared" ca="1" si="96"/>
        <v/>
      </c>
      <c r="AA394" s="128">
        <f ca="1">IF($C394="S",IF($Z394="CP",$X394,IF($Z394="RA",(($X394)*QCI!$AA$3),0)),SomaAgrup)</f>
        <v>0</v>
      </c>
      <c r="AB394" s="129">
        <f t="shared" ca="1" si="97"/>
        <v>0</v>
      </c>
      <c r="AC394" s="567" t="str">
        <f ca="1">IF($N394=""," ",
IF(AND($C394&lt;&gt;"S",OR($R394="",$R394="(digite a descrição aqui)")),"DESCRIÇÃO",
IF(AND($C394="S",OR($Q394&lt;&gt;0,$T394&gt;0,$U394&gt;0),$P394=0),"FONTE",
IF(AND($C394="S",$P394&lt;&gt;0,OR($T394&gt;0,$U394&gt;0),$Q394=0),"CÓDIGO",
IF(AND($C394="S",$P394&lt;&gt;0,$Q394&lt;&gt;0,$R394="(Código não identificado nas referências)"),"CÓDIGO N/ID",
IF(AND($C394="S",OR($R394="",$R394="(digite a descrição aqui)"),OR($Q394&lt;&gt;0,$T394&gt;0,$U394&gt;0)),"DESCRIÇÃO",
IF(AND($C394="S",$P394&lt;&gt;0,$Q394&lt;&gt;0,$S394=""),"UNIDADE",
IF(AND($C394="S",$P394&lt;&gt;0,$Q394&lt;&gt;0,$U394=0),"SEM CUSTO",
IF(AND(TIPOORCAMENTO="Licitado",$AL394=0,$AN394&gt;0),"SEM PREÇO",
IF(AND($C394="S",$P394&lt;&gt;0,$Q394&lt;&gt;0,$U394&gt;0,$V394=0),"BDI",
IF(OR(AND(TIPOORCAMENTO="Proposto",$AG394&lt;&gt;"",$AG394&gt;0,ORÇAMENTO.CustoUnitario&gt;$AG394),AND(TIPOORCAMENTO="LICITADO",ORÇAMENTO.PrecoUnitarioLicitado&gt;$AN394)),"ACIMA REF.",
IF(AND($C394="S",$P394&lt;&gt;0,$Q394&lt;&gt;0,$T394=0,$U394&gt;0),"QUANT.",
IF(AND(Import.TipoArredondamento="TransfereGOV",$L394="F",$C394="S",LEN($Q394)&gt;13),"Código &gt;13",
IF(AND(Import.TipoArredondamento="TransfereGOV",$L394="F",$C394&lt;&gt;"S",LEN($R394)&gt;100),"Descrição &gt;100",
IF(AND(Import.TipoArredondamento="TransfereGOV",$L394="F",$C394="S",LEN($R394)&gt;500),"Descrição &gt;500",
IF(AND(Import.TipoArredondamento="TransfereGOV",$L394="F",$C394="S",LEFT(TRIM(UPPER($P394)),6)&lt;&gt;"SINAPI",ISNA(VLOOKUP(TRIM(UPPER($S394)),ListaTgov.Unidades,1,FALSE))),"Unid. Não Disp",
" "))))))))))))))))</f>
        <v>SEM CUSTO</v>
      </c>
      <c r="AD394" t="str">
        <f ca="1">IF(C394&lt;=CRONO.NivelExibicao,MAX($AD$15:OFFSET(AD394,-1,0))+IF($C394&lt;&gt;1,1,MAX(1,COUNTIF(QCI!$A$13:$A$24,OFFSET($E394,-1,0)))),"")</f>
        <v/>
      </c>
      <c r="AE394" s="7" t="str">
        <f ca="1">IF(AND($C394="S",ORÇAMENTO.CodBarra&lt;&gt;""),IF(ORÇAMENTO.Fonte="",ORÇAMENTO.CodBarra,CONCATENATE(ORÇAMENTO.Fonte," ",ORÇAMENTO.CodBarra)))</f>
        <v>SINAPI 91634</v>
      </c>
      <c r="AF394" s="12" t="str">
        <f ca="1">IF(ISERROR(INDIRECT(ORÇAMENTO.BancoRef)),"(abra o arquivo 'Referência "&amp;Excel_BuiltIn_Database&amp;".xlsm)",IF(OR($C394&lt;&gt;"S",ORÇAMENTO.CodBarra=""),"(Sem Código)",IF(ISERROR(MATCH($AE394,INDIRECT(ORÇAMENTO.BancoRef),0)),"(Código não identificado nas referências)",MATCH($AE394,INDIRECT(ORÇAMENTO.BancoRef),0))))</f>
        <v>(abra o arquivo 'Referência 12-2024.xlsm)</v>
      </c>
      <c r="AG394" s="429">
        <f ca="1">ROUND(IF(DESONERACAO="sim",REFERENCIA.Desonerado,REFERENCIA.NaoDesonerado),2)</f>
        <v>0</v>
      </c>
      <c r="AH394" s="430">
        <f t="shared" ca="1" si="98"/>
        <v>0.31190000000000001</v>
      </c>
      <c r="AJ394" s="432">
        <v>210</v>
      </c>
      <c r="AL394" s="440"/>
      <c r="AM394" s="337">
        <f t="shared" ca="1" si="83"/>
        <v>0</v>
      </c>
      <c r="AN394" s="471">
        <f t="shared" ca="1" si="99"/>
        <v>0</v>
      </c>
    </row>
    <row r="395" spans="1:40" x14ac:dyDescent="0.2">
      <c r="A395" t="str">
        <f t="shared" si="84"/>
        <v>S</v>
      </c>
      <c r="B395">
        <f t="shared" ca="1" si="85"/>
        <v>2</v>
      </c>
      <c r="C395" t="str">
        <f t="shared" ca="1" si="86"/>
        <v>S</v>
      </c>
      <c r="D395">
        <f t="shared" ca="1" si="87"/>
        <v>0</v>
      </c>
      <c r="E395">
        <f ca="1">IF($C395=1,OFFSET(E395,-1,0)+MAX(1,COUNTIF(QCI!$A$13:$A$24,OFFSET(ORÇAMENTO!E395,-1,0))),OFFSET(E395,-1,0))</f>
        <v>1</v>
      </c>
      <c r="F395">
        <f t="shared" ca="1" si="88"/>
        <v>22</v>
      </c>
      <c r="G395">
        <f t="shared" ca="1" si="89"/>
        <v>0</v>
      </c>
      <c r="H395">
        <f t="shared" ca="1" si="90"/>
        <v>0</v>
      </c>
      <c r="I395">
        <f t="shared" ca="1" si="91"/>
        <v>0</v>
      </c>
      <c r="J395">
        <f t="shared" ca="1" si="92"/>
        <v>0</v>
      </c>
      <c r="K395">
        <f ca="1">IF(OR($C395="S",$C395=0),0,MATCH(OFFSET($D395,0,$C395)+IF($C395&lt;&gt;1,1,COUNTIF(QCI!$A$13:$A$24,ORÇAMENTO!E395)),OFFSET($D395,1,$C395,ROW($C$405)-ROW($C395)),0))</f>
        <v>0</v>
      </c>
      <c r="L395" s="115" t="str">
        <f t="shared" ca="1" si="93"/>
        <v/>
      </c>
      <c r="M395" s="116" t="s">
        <v>706</v>
      </c>
      <c r="N395" s="117" t="str">
        <f t="shared" ca="1" si="94"/>
        <v>Serviço</v>
      </c>
      <c r="O395" s="118" t="str">
        <f t="shared" ca="1" si="95"/>
        <v>-</v>
      </c>
      <c r="P395" s="119" t="s">
        <v>751</v>
      </c>
      <c r="Q395" s="120" t="s">
        <v>1264</v>
      </c>
      <c r="R395" s="121" t="s">
        <v>1635</v>
      </c>
      <c r="S395" s="122" t="s">
        <v>615</v>
      </c>
      <c r="T395" s="123">
        <f ca="1">OFFSET(CÁLCULO!H$15,ROW($T395)-ROW(T$15),0)</f>
        <v>60</v>
      </c>
      <c r="U395" s="124"/>
      <c r="V395" s="125" t="s">
        <v>663</v>
      </c>
      <c r="W395" s="123">
        <f ca="1">IF($C395="S",ROUND(IF(TIPOORCAMENTO="Proposto",ORÇAMENTO.CustoUnitario*(1+$AH395),ORÇAMENTO.PrecoUnitarioLicitado),15-13*$AF$10),0)</f>
        <v>0</v>
      </c>
      <c r="X395" s="126" cm="1">
        <f t="array" aca="1" ref="X395" ca="1">IF($C395="S",IF(OR(Import.TipoArredondamento&lt;&gt;"TransfereGOV",ACOMPANHAMENTO="BM"),VTOTAL1,SUM(OFFSET(CÁLCULO!$AA$15,ROW($X395)-ROW($X$15),1):OFFSET(CÁLCULO!$AL$15,ROW($X395)-ROW($X$15),-1))),IF($C395=0,0,ROUND(SomaAgrup,15-13*$AF$11)))</f>
        <v>0</v>
      </c>
      <c r="Y395" s="127" t="s">
        <v>752</v>
      </c>
      <c r="Z395" t="str">
        <f t="shared" ca="1" si="96"/>
        <v/>
      </c>
      <c r="AA395" s="128">
        <f ca="1">IF($C395="S",IF($Z395="CP",$X395,IF($Z395="RA",(($X395)*QCI!$AA$3),0)),SomaAgrup)</f>
        <v>0</v>
      </c>
      <c r="AB395" s="129">
        <f t="shared" ca="1" si="97"/>
        <v>0</v>
      </c>
      <c r="AC395" s="567" t="str">
        <f ca="1">IF($N395=""," ",
IF(AND($C395&lt;&gt;"S",OR($R395="",$R395="(digite a descrição aqui)")),"DESCRIÇÃO",
IF(AND($C395="S",OR($Q395&lt;&gt;0,$T395&gt;0,$U395&gt;0),$P395=0),"FONTE",
IF(AND($C395="S",$P395&lt;&gt;0,OR($T395&gt;0,$U395&gt;0),$Q395=0),"CÓDIGO",
IF(AND($C395="S",$P395&lt;&gt;0,$Q395&lt;&gt;0,$R395="(Código não identificado nas referências)"),"CÓDIGO N/ID",
IF(AND($C395="S",OR($R395="",$R395="(digite a descrição aqui)"),OR($Q395&lt;&gt;0,$T395&gt;0,$U395&gt;0)),"DESCRIÇÃO",
IF(AND($C395="S",$P395&lt;&gt;0,$Q395&lt;&gt;0,$S395=""),"UNIDADE",
IF(AND($C395="S",$P395&lt;&gt;0,$Q395&lt;&gt;0,$U395=0),"SEM CUSTO",
IF(AND(TIPOORCAMENTO="Licitado",$AL395=0,$AN395&gt;0),"SEM PREÇO",
IF(AND($C395="S",$P395&lt;&gt;0,$Q395&lt;&gt;0,$U395&gt;0,$V395=0),"BDI",
IF(OR(AND(TIPOORCAMENTO="Proposto",$AG395&lt;&gt;"",$AG395&gt;0,ORÇAMENTO.CustoUnitario&gt;$AG395),AND(TIPOORCAMENTO="LICITADO",ORÇAMENTO.PrecoUnitarioLicitado&gt;$AN395)),"ACIMA REF.",
IF(AND($C395="S",$P395&lt;&gt;0,$Q395&lt;&gt;0,$T395=0,$U395&gt;0),"QUANT.",
IF(AND(Import.TipoArredondamento="TransfereGOV",$L395="F",$C395="S",LEN($Q395)&gt;13),"Código &gt;13",
IF(AND(Import.TipoArredondamento="TransfereGOV",$L395="F",$C395&lt;&gt;"S",LEN($R395)&gt;100),"Descrição &gt;100",
IF(AND(Import.TipoArredondamento="TransfereGOV",$L395="F",$C395="S",LEN($R395)&gt;500),"Descrição &gt;500",
IF(AND(Import.TipoArredondamento="TransfereGOV",$L395="F",$C395="S",LEFT(TRIM(UPPER($P395)),6)&lt;&gt;"SINAPI",ISNA(VLOOKUP(TRIM(UPPER($S395)),ListaTgov.Unidades,1,FALSE))),"Unid. Não Disp",
" "))))))))))))))))</f>
        <v>SEM CUSTO</v>
      </c>
      <c r="AD395" t="str">
        <f ca="1">IF(C395&lt;=CRONO.NivelExibicao,MAX($AD$15:OFFSET(AD395,-1,0))+IF($C395&lt;&gt;1,1,MAX(1,COUNTIF(QCI!$A$13:$A$24,OFFSET($E395,-1,0)))),"")</f>
        <v/>
      </c>
      <c r="AE395" s="7" t="str">
        <f ca="1">IF(AND($C395="S",ORÇAMENTO.CodBarra&lt;&gt;""),IF(ORÇAMENTO.Fonte="",ORÇAMENTO.CodBarra,CONCATENATE(ORÇAMENTO.Fonte," ",ORÇAMENTO.CodBarra)))</f>
        <v>SINAPI 88317</v>
      </c>
      <c r="AF395" s="12" t="str">
        <f ca="1">IF(ISERROR(INDIRECT(ORÇAMENTO.BancoRef)),"(abra o arquivo 'Referência "&amp;Excel_BuiltIn_Database&amp;".xlsm)",IF(OR($C395&lt;&gt;"S",ORÇAMENTO.CodBarra=""),"(Sem Código)",IF(ISERROR(MATCH($AE395,INDIRECT(ORÇAMENTO.BancoRef),0)),"(Código não identificado nas referências)",MATCH($AE395,INDIRECT(ORÇAMENTO.BancoRef),0))))</f>
        <v>(abra o arquivo 'Referência 12-2024.xlsm)</v>
      </c>
      <c r="AG395" s="429">
        <f ca="1">ROUND(IF(DESONERACAO="sim",REFERENCIA.Desonerado,REFERENCIA.NaoDesonerado),2)</f>
        <v>0</v>
      </c>
      <c r="AH395" s="430">
        <f t="shared" ca="1" si="98"/>
        <v>0.31190000000000001</v>
      </c>
      <c r="AJ395" s="432">
        <v>60</v>
      </c>
      <c r="AL395" s="440"/>
      <c r="AM395" s="337">
        <f t="shared" ca="1" si="83"/>
        <v>0</v>
      </c>
      <c r="AN395" s="471">
        <f t="shared" ca="1" si="99"/>
        <v>0</v>
      </c>
    </row>
    <row r="396" spans="1:40" ht="63.75" x14ac:dyDescent="0.2">
      <c r="A396" t="str">
        <f t="shared" si="84"/>
        <v>S</v>
      </c>
      <c r="B396">
        <f t="shared" ca="1" si="85"/>
        <v>2</v>
      </c>
      <c r="C396" t="str">
        <f t="shared" ca="1" si="86"/>
        <v>S</v>
      </c>
      <c r="D396">
        <f t="shared" ca="1" si="87"/>
        <v>0</v>
      </c>
      <c r="E396">
        <f ca="1">IF($C396=1,OFFSET(E396,-1,0)+MAX(1,COUNTIF(QCI!$A$13:$A$24,OFFSET(ORÇAMENTO!E396,-1,0))),OFFSET(E396,-1,0))</f>
        <v>1</v>
      </c>
      <c r="F396">
        <f t="shared" ca="1" si="88"/>
        <v>22</v>
      </c>
      <c r="G396">
        <f t="shared" ca="1" si="89"/>
        <v>0</v>
      </c>
      <c r="H396">
        <f t="shared" ca="1" si="90"/>
        <v>0</v>
      </c>
      <c r="I396">
        <f t="shared" ca="1" si="91"/>
        <v>0</v>
      </c>
      <c r="J396">
        <f t="shared" ca="1" si="92"/>
        <v>0</v>
      </c>
      <c r="K396">
        <f ca="1">IF(OR($C396="S",$C396=0),0,MATCH(OFFSET($D396,0,$C396)+IF($C396&lt;&gt;1,1,COUNTIF(QCI!$A$13:$A$24,ORÇAMENTO!E396)),OFFSET($D396,1,$C396,ROW($C$405)-ROW($C396)),0))</f>
        <v>0</v>
      </c>
      <c r="L396" s="115" t="str">
        <f t="shared" ca="1" si="93"/>
        <v/>
      </c>
      <c r="M396" s="116" t="s">
        <v>706</v>
      </c>
      <c r="N396" s="117" t="str">
        <f t="shared" ca="1" si="94"/>
        <v>Serviço</v>
      </c>
      <c r="O396" s="118" t="str">
        <f t="shared" ca="1" si="95"/>
        <v>-</v>
      </c>
      <c r="P396" s="119" t="s">
        <v>1315</v>
      </c>
      <c r="Q396" s="120" t="s">
        <v>1265</v>
      </c>
      <c r="R396" s="121" t="s">
        <v>1636</v>
      </c>
      <c r="S396" s="122" t="s">
        <v>1648</v>
      </c>
      <c r="T396" s="123">
        <f ca="1">OFFSET(CÁLCULO!H$15,ROW($T396)-ROW(T$15),0)</f>
        <v>20</v>
      </c>
      <c r="U396" s="124"/>
      <c r="V396" s="125" t="s">
        <v>663</v>
      </c>
      <c r="W396" s="123">
        <f ca="1">IF($C396="S",ROUND(IF(TIPOORCAMENTO="Proposto",ORÇAMENTO.CustoUnitario*(1+$AH396),ORÇAMENTO.PrecoUnitarioLicitado),15-13*$AF$10),0)</f>
        <v>0</v>
      </c>
      <c r="X396" s="126" cm="1">
        <f t="array" aca="1" ref="X396" ca="1">IF($C396="S",IF(OR(Import.TipoArredondamento&lt;&gt;"TransfereGOV",ACOMPANHAMENTO="BM"),VTOTAL1,SUM(OFFSET(CÁLCULO!$AA$15,ROW($X396)-ROW($X$15),1):OFFSET(CÁLCULO!$AL$15,ROW($X396)-ROW($X$15),-1))),IF($C396=0,0,ROUND(SomaAgrup,15-13*$AF$11)))</f>
        <v>0</v>
      </c>
      <c r="Y396" s="127" t="s">
        <v>752</v>
      </c>
      <c r="Z396" t="str">
        <f t="shared" ca="1" si="96"/>
        <v/>
      </c>
      <c r="AA396" s="128">
        <f ca="1">IF($C396="S",IF($Z396="CP",$X396,IF($Z396="RA",(($X396)*QCI!$AA$3),0)),SomaAgrup)</f>
        <v>0</v>
      </c>
      <c r="AB396" s="129">
        <f t="shared" ca="1" si="97"/>
        <v>0</v>
      </c>
      <c r="AC396" s="567" t="str">
        <f ca="1">IF($N396=""," ",
IF(AND($C396&lt;&gt;"S",OR($R396="",$R396="(digite a descrição aqui)")),"DESCRIÇÃO",
IF(AND($C396="S",OR($Q396&lt;&gt;0,$T396&gt;0,$U396&gt;0),$P396=0),"FONTE",
IF(AND($C396="S",$P396&lt;&gt;0,OR($T396&gt;0,$U396&gt;0),$Q396=0),"CÓDIGO",
IF(AND($C396="S",$P396&lt;&gt;0,$Q396&lt;&gt;0,$R396="(Código não identificado nas referências)"),"CÓDIGO N/ID",
IF(AND($C396="S",OR($R396="",$R396="(digite a descrição aqui)"),OR($Q396&lt;&gt;0,$T396&gt;0,$U396&gt;0)),"DESCRIÇÃO",
IF(AND($C396="S",$P396&lt;&gt;0,$Q396&lt;&gt;0,$S396=""),"UNIDADE",
IF(AND($C396="S",$P396&lt;&gt;0,$Q396&lt;&gt;0,$U396=0),"SEM CUSTO",
IF(AND(TIPOORCAMENTO="Licitado",$AL396=0,$AN396&gt;0),"SEM PREÇO",
IF(AND($C396="S",$P396&lt;&gt;0,$Q396&lt;&gt;0,$U396&gt;0,$V396=0),"BDI",
IF(OR(AND(TIPOORCAMENTO="Proposto",$AG396&lt;&gt;"",$AG396&gt;0,ORÇAMENTO.CustoUnitario&gt;$AG396),AND(TIPOORCAMENTO="LICITADO",ORÇAMENTO.PrecoUnitarioLicitado&gt;$AN396)),"ACIMA REF.",
IF(AND($C396="S",$P396&lt;&gt;0,$Q396&lt;&gt;0,$T396=0,$U396&gt;0),"QUANT.",
IF(AND(Import.TipoArredondamento="TransfereGOV",$L396="F",$C396="S",LEN($Q396)&gt;13),"Código &gt;13",
IF(AND(Import.TipoArredondamento="TransfereGOV",$L396="F",$C396&lt;&gt;"S",LEN($R396)&gt;100),"Descrição &gt;100",
IF(AND(Import.TipoArredondamento="TransfereGOV",$L396="F",$C396="S",LEN($R396)&gt;500),"Descrição &gt;500",
IF(AND(Import.TipoArredondamento="TransfereGOV",$L396="F",$C396="S",LEFT(TRIM(UPPER($P396)),6)&lt;&gt;"SINAPI",ISNA(VLOOKUP(TRIM(UPPER($S396)),ListaTgov.Unidades,1,FALSE))),"Unid. Não Disp",
" "))))))))))))))))</f>
        <v>SEM CUSTO</v>
      </c>
      <c r="AD396" t="str">
        <f ca="1">IF(C396&lt;=CRONO.NivelExibicao,MAX($AD$15:OFFSET(AD396,-1,0))+IF($C396&lt;&gt;1,1,MAX(1,COUNTIF(QCI!$A$13:$A$24,OFFSET($E396,-1,0)))),"")</f>
        <v/>
      </c>
      <c r="AE396" s="7" t="str">
        <f ca="1">IF(AND($C396="S",ORÇAMENTO.CodBarra&lt;&gt;""),IF(ORÇAMENTO.Fonte="",ORÇAMENTO.CodBarra,CONCATENATE(ORÇAMENTO.Fonte," ",ORÇAMENTO.CodBarra)))</f>
        <v>SINAPI-I 20193</v>
      </c>
      <c r="AF396" s="12" t="str">
        <f ca="1">IF(ISERROR(INDIRECT(ORÇAMENTO.BancoRef)),"(abra o arquivo 'Referência "&amp;Excel_BuiltIn_Database&amp;".xlsm)",IF(OR($C396&lt;&gt;"S",ORÇAMENTO.CodBarra=""),"(Sem Código)",IF(ISERROR(MATCH($AE396,INDIRECT(ORÇAMENTO.BancoRef),0)),"(Código não identificado nas referências)",MATCH($AE396,INDIRECT(ORÇAMENTO.BancoRef),0))))</f>
        <v>(abra o arquivo 'Referência 12-2024.xlsm)</v>
      </c>
      <c r="AG396" s="429">
        <f ca="1">ROUND(IF(DESONERACAO="sim",REFERENCIA.Desonerado,REFERENCIA.NaoDesonerado),2)</f>
        <v>0</v>
      </c>
      <c r="AH396" s="430">
        <f t="shared" ca="1" si="98"/>
        <v>0.31190000000000001</v>
      </c>
      <c r="AJ396" s="432">
        <v>20</v>
      </c>
      <c r="AL396" s="440"/>
      <c r="AM396" s="337">
        <f t="shared" ca="1" si="83"/>
        <v>0</v>
      </c>
      <c r="AN396" s="471">
        <f t="shared" ca="1" si="99"/>
        <v>0</v>
      </c>
    </row>
    <row r="397" spans="1:40" ht="25.5" x14ac:dyDescent="0.2">
      <c r="A397" t="str">
        <f t="shared" si="84"/>
        <v>S</v>
      </c>
      <c r="B397">
        <f t="shared" ca="1" si="85"/>
        <v>2</v>
      </c>
      <c r="C397" t="str">
        <f t="shared" ca="1" si="86"/>
        <v>S</v>
      </c>
      <c r="D397">
        <f t="shared" ca="1" si="87"/>
        <v>0</v>
      </c>
      <c r="E397">
        <f ca="1">IF($C397=1,OFFSET(E397,-1,0)+MAX(1,COUNTIF(QCI!$A$13:$A$24,OFFSET(ORÇAMENTO!E397,-1,0))),OFFSET(E397,-1,0))</f>
        <v>1</v>
      </c>
      <c r="F397">
        <f t="shared" ca="1" si="88"/>
        <v>22</v>
      </c>
      <c r="G397">
        <f t="shared" ca="1" si="89"/>
        <v>0</v>
      </c>
      <c r="H397">
        <f t="shared" ca="1" si="90"/>
        <v>0</v>
      </c>
      <c r="I397">
        <f t="shared" ca="1" si="91"/>
        <v>0</v>
      </c>
      <c r="J397">
        <f t="shared" ca="1" si="92"/>
        <v>0</v>
      </c>
      <c r="K397">
        <f ca="1">IF(OR($C397="S",$C397=0),0,MATCH(OFFSET($D397,0,$C397)+IF($C397&lt;&gt;1,1,COUNTIF(QCI!$A$13:$A$24,ORÇAMENTO!E397)),OFFSET($D397,1,$C397,ROW($C$405)-ROW($C397)),0))</f>
        <v>0</v>
      </c>
      <c r="L397" s="115" t="str">
        <f t="shared" ca="1" si="93"/>
        <v/>
      </c>
      <c r="M397" s="116" t="s">
        <v>706</v>
      </c>
      <c r="N397" s="117" t="str">
        <f t="shared" ca="1" si="94"/>
        <v>Serviço</v>
      </c>
      <c r="O397" s="118" t="str">
        <f t="shared" ca="1" si="95"/>
        <v>-</v>
      </c>
      <c r="P397" s="119" t="s">
        <v>751</v>
      </c>
      <c r="Q397" s="120" t="s">
        <v>1266</v>
      </c>
      <c r="R397" s="121" t="s">
        <v>1637</v>
      </c>
      <c r="S397" s="122" t="s">
        <v>625</v>
      </c>
      <c r="T397" s="123">
        <f ca="1">OFFSET(CÁLCULO!H$15,ROW($T397)-ROW(T$15),0)</f>
        <v>20</v>
      </c>
      <c r="U397" s="124"/>
      <c r="V397" s="125" t="s">
        <v>663</v>
      </c>
      <c r="W397" s="123">
        <f ca="1">IF($C397="S",ROUND(IF(TIPOORCAMENTO="Proposto",ORÇAMENTO.CustoUnitario*(1+$AH397),ORÇAMENTO.PrecoUnitarioLicitado),15-13*$AF$10),0)</f>
        <v>0</v>
      </c>
      <c r="X397" s="126" cm="1">
        <f t="array" aca="1" ref="X397" ca="1">IF($C397="S",IF(OR(Import.TipoArredondamento&lt;&gt;"TransfereGOV",ACOMPANHAMENTO="BM"),VTOTAL1,SUM(OFFSET(CÁLCULO!$AA$15,ROW($X397)-ROW($X$15),1):OFFSET(CÁLCULO!$AL$15,ROW($X397)-ROW($X$15),-1))),IF($C397=0,0,ROUND(SomaAgrup,15-13*$AF$11)))</f>
        <v>0</v>
      </c>
      <c r="Y397" s="127" t="s">
        <v>752</v>
      </c>
      <c r="Z397" t="str">
        <f t="shared" ca="1" si="96"/>
        <v/>
      </c>
      <c r="AA397" s="128">
        <f ca="1">IF($C397="S",IF($Z397="CP",$X397,IF($Z397="RA",(($X397)*QCI!$AA$3),0)),SomaAgrup)</f>
        <v>0</v>
      </c>
      <c r="AB397" s="129">
        <f t="shared" ca="1" si="97"/>
        <v>0</v>
      </c>
      <c r="AC397" s="567" t="str">
        <f ca="1">IF($N397=""," ",
IF(AND($C397&lt;&gt;"S",OR($R397="",$R397="(digite a descrição aqui)")),"DESCRIÇÃO",
IF(AND($C397="S",OR($Q397&lt;&gt;0,$T397&gt;0,$U397&gt;0),$P397=0),"FONTE",
IF(AND($C397="S",$P397&lt;&gt;0,OR($T397&gt;0,$U397&gt;0),$Q397=0),"CÓDIGO",
IF(AND($C397="S",$P397&lt;&gt;0,$Q397&lt;&gt;0,$R397="(Código não identificado nas referências)"),"CÓDIGO N/ID",
IF(AND($C397="S",OR($R397="",$R397="(digite a descrição aqui)"),OR($Q397&lt;&gt;0,$T397&gt;0,$U397&gt;0)),"DESCRIÇÃO",
IF(AND($C397="S",$P397&lt;&gt;0,$Q397&lt;&gt;0,$S397=""),"UNIDADE",
IF(AND($C397="S",$P397&lt;&gt;0,$Q397&lt;&gt;0,$U397=0),"SEM CUSTO",
IF(AND(TIPOORCAMENTO="Licitado",$AL397=0,$AN397&gt;0),"SEM PREÇO",
IF(AND($C397="S",$P397&lt;&gt;0,$Q397&lt;&gt;0,$U397&gt;0,$V397=0),"BDI",
IF(OR(AND(TIPOORCAMENTO="Proposto",$AG397&lt;&gt;"",$AG397&gt;0,ORÇAMENTO.CustoUnitario&gt;$AG397),AND(TIPOORCAMENTO="LICITADO",ORÇAMENTO.PrecoUnitarioLicitado&gt;$AN397)),"ACIMA REF.",
IF(AND($C397="S",$P397&lt;&gt;0,$Q397&lt;&gt;0,$T397=0,$U397&gt;0),"QUANT.",
IF(AND(Import.TipoArredondamento="TransfereGOV",$L397="F",$C397="S",LEN($Q397)&gt;13),"Código &gt;13",
IF(AND(Import.TipoArredondamento="TransfereGOV",$L397="F",$C397&lt;&gt;"S",LEN($R397)&gt;100),"Descrição &gt;100",
IF(AND(Import.TipoArredondamento="TransfereGOV",$L397="F",$C397="S",LEN($R397)&gt;500),"Descrição &gt;500",
IF(AND(Import.TipoArredondamento="TransfereGOV",$L397="F",$C397="S",LEFT(TRIM(UPPER($P397)),6)&lt;&gt;"SINAPI",ISNA(VLOOKUP(TRIM(UPPER($S397)),ListaTgov.Unidades,1,FALSE))),"Unid. Não Disp",
" "))))))))))))))))</f>
        <v>SEM CUSTO</v>
      </c>
      <c r="AD397" t="str">
        <f ca="1">IF(C397&lt;=CRONO.NivelExibicao,MAX($AD$15:OFFSET(AD397,-1,0))+IF($C397&lt;&gt;1,1,MAX(1,COUNTIF(QCI!$A$13:$A$24,OFFSET($E397,-1,0)))),"")</f>
        <v/>
      </c>
      <c r="AE397" s="7" t="str">
        <f ca="1">IF(AND($C397="S",ORÇAMENTO.CodBarra&lt;&gt;""),IF(ORÇAMENTO.Fonte="",ORÇAMENTO.CodBarra,CONCATENATE(ORÇAMENTO.Fonte," ",ORÇAMENTO.CodBarra)))</f>
        <v>SINAPI 97065</v>
      </c>
      <c r="AF397" s="12" t="str">
        <f ca="1">IF(ISERROR(INDIRECT(ORÇAMENTO.BancoRef)),"(abra o arquivo 'Referência "&amp;Excel_BuiltIn_Database&amp;".xlsm)",IF(OR($C397&lt;&gt;"S",ORÇAMENTO.CodBarra=""),"(Sem Código)",IF(ISERROR(MATCH($AE397,INDIRECT(ORÇAMENTO.BancoRef),0)),"(Código não identificado nas referências)",MATCH($AE397,INDIRECT(ORÇAMENTO.BancoRef),0))))</f>
        <v>(abra o arquivo 'Referência 12-2024.xlsm)</v>
      </c>
      <c r="AG397" s="429">
        <f ca="1">ROUND(IF(DESONERACAO="sim",REFERENCIA.Desonerado,REFERENCIA.NaoDesonerado),2)</f>
        <v>0</v>
      </c>
      <c r="AH397" s="430">
        <f t="shared" ca="1" si="98"/>
        <v>0.31190000000000001</v>
      </c>
      <c r="AJ397" s="432">
        <v>20</v>
      </c>
      <c r="AL397" s="440"/>
      <c r="AM397" s="337">
        <f t="shared" ref="AM397:AM404" ca="1" si="100">$X397</f>
        <v>0</v>
      </c>
      <c r="AN397" s="471">
        <f t="shared" ca="1" si="99"/>
        <v>0</v>
      </c>
    </row>
    <row r="398" spans="1:40" ht="25.5" x14ac:dyDescent="0.2">
      <c r="A398" t="str">
        <f t="shared" si="84"/>
        <v>S</v>
      </c>
      <c r="B398">
        <f t="shared" ca="1" si="85"/>
        <v>2</v>
      </c>
      <c r="C398" t="str">
        <f t="shared" ca="1" si="86"/>
        <v>S</v>
      </c>
      <c r="D398">
        <f t="shared" ca="1" si="87"/>
        <v>0</v>
      </c>
      <c r="E398">
        <f ca="1">IF($C398=1,OFFSET(E398,-1,0)+MAX(1,COUNTIF(QCI!$A$13:$A$24,OFFSET(ORÇAMENTO!E398,-1,0))),OFFSET(E398,-1,0))</f>
        <v>1</v>
      </c>
      <c r="F398">
        <f t="shared" ca="1" si="88"/>
        <v>22</v>
      </c>
      <c r="G398">
        <f t="shared" ca="1" si="89"/>
        <v>0</v>
      </c>
      <c r="H398">
        <f t="shared" ca="1" si="90"/>
        <v>0</v>
      </c>
      <c r="I398">
        <f t="shared" ca="1" si="91"/>
        <v>0</v>
      </c>
      <c r="J398">
        <f t="shared" ca="1" si="92"/>
        <v>0</v>
      </c>
      <c r="K398">
        <f ca="1">IF(OR($C398="S",$C398=0),0,MATCH(OFFSET($D398,0,$C398)+IF($C398&lt;&gt;1,1,COUNTIF(QCI!$A$13:$A$24,ORÇAMENTO!E398)),OFFSET($D398,1,$C398,ROW($C$405)-ROW($C398)),0))</f>
        <v>0</v>
      </c>
      <c r="L398" s="115" t="str">
        <f t="shared" ca="1" si="93"/>
        <v/>
      </c>
      <c r="M398" s="116" t="s">
        <v>706</v>
      </c>
      <c r="N398" s="117" t="str">
        <f t="shared" ca="1" si="94"/>
        <v>Serviço</v>
      </c>
      <c r="O398" s="118" t="str">
        <f t="shared" ca="1" si="95"/>
        <v>-</v>
      </c>
      <c r="P398" s="119" t="s">
        <v>1315</v>
      </c>
      <c r="Q398" s="120" t="s">
        <v>1267</v>
      </c>
      <c r="R398" s="121" t="s">
        <v>1638</v>
      </c>
      <c r="S398" s="122" t="s">
        <v>1644</v>
      </c>
      <c r="T398" s="123">
        <f ca="1">OFFSET(CÁLCULO!H$15,ROW($T398)-ROW(T$15),0)</f>
        <v>800</v>
      </c>
      <c r="U398" s="124"/>
      <c r="V398" s="125" t="s">
        <v>663</v>
      </c>
      <c r="W398" s="123">
        <f ca="1">IF($C398="S",ROUND(IF(TIPOORCAMENTO="Proposto",ORÇAMENTO.CustoUnitario*(1+$AH398),ORÇAMENTO.PrecoUnitarioLicitado),15-13*$AF$10),0)</f>
        <v>0</v>
      </c>
      <c r="X398" s="126" cm="1">
        <f t="array" aca="1" ref="X398" ca="1">IF($C398="S",IF(OR(Import.TipoArredondamento&lt;&gt;"TransfereGOV",ACOMPANHAMENTO="BM"),VTOTAL1,SUM(OFFSET(CÁLCULO!$AA$15,ROW($X398)-ROW($X$15),1):OFFSET(CÁLCULO!$AL$15,ROW($X398)-ROW($X$15),-1))),IF($C398=0,0,ROUND(SomaAgrup,15-13*$AF$11)))</f>
        <v>0</v>
      </c>
      <c r="Y398" s="127" t="s">
        <v>752</v>
      </c>
      <c r="Z398" t="str">
        <f t="shared" ca="1" si="96"/>
        <v/>
      </c>
      <c r="AA398" s="128">
        <f ca="1">IF($C398="S",IF($Z398="CP",$X398,IF($Z398="RA",(($X398)*QCI!$AA$3),0)),SomaAgrup)</f>
        <v>0</v>
      </c>
      <c r="AB398" s="129">
        <f t="shared" ca="1" si="97"/>
        <v>0</v>
      </c>
      <c r="AC398" s="567" t="str">
        <f ca="1">IF($N398=""," ",
IF(AND($C398&lt;&gt;"S",OR($R398="",$R398="(digite a descrição aqui)")),"DESCRIÇÃO",
IF(AND($C398="S",OR($Q398&lt;&gt;0,$T398&gt;0,$U398&gt;0),$P398=0),"FONTE",
IF(AND($C398="S",$P398&lt;&gt;0,OR($T398&gt;0,$U398&gt;0),$Q398=0),"CÓDIGO",
IF(AND($C398="S",$P398&lt;&gt;0,$Q398&lt;&gt;0,$R398="(Código não identificado nas referências)"),"CÓDIGO N/ID",
IF(AND($C398="S",OR($R398="",$R398="(digite a descrição aqui)"),OR($Q398&lt;&gt;0,$T398&gt;0,$U398&gt;0)),"DESCRIÇÃO",
IF(AND($C398="S",$P398&lt;&gt;0,$Q398&lt;&gt;0,$S398=""),"UNIDADE",
IF(AND($C398="S",$P398&lt;&gt;0,$Q398&lt;&gt;0,$U398=0),"SEM CUSTO",
IF(AND(TIPOORCAMENTO="Licitado",$AL398=0,$AN398&gt;0),"SEM PREÇO",
IF(AND($C398="S",$P398&lt;&gt;0,$Q398&lt;&gt;0,$U398&gt;0,$V398=0),"BDI",
IF(OR(AND(TIPOORCAMENTO="Proposto",$AG398&lt;&gt;"",$AG398&gt;0,ORÇAMENTO.CustoUnitario&gt;$AG398),AND(TIPOORCAMENTO="LICITADO",ORÇAMENTO.PrecoUnitarioLicitado&gt;$AN398)),"ACIMA REF.",
IF(AND($C398="S",$P398&lt;&gt;0,$Q398&lt;&gt;0,$T398=0,$U398&gt;0),"QUANT.",
IF(AND(Import.TipoArredondamento="TransfereGOV",$L398="F",$C398="S",LEN($Q398)&gt;13),"Código &gt;13",
IF(AND(Import.TipoArredondamento="TransfereGOV",$L398="F",$C398&lt;&gt;"S",LEN($R398)&gt;100),"Descrição &gt;100",
IF(AND(Import.TipoArredondamento="TransfereGOV",$L398="F",$C398="S",LEN($R398)&gt;500),"Descrição &gt;500",
IF(AND(Import.TipoArredondamento="TransfereGOV",$L398="F",$C398="S",LEFT(TRIM(UPPER($P398)),6)&lt;&gt;"SINAPI",ISNA(VLOOKUP(TRIM(UPPER($S398)),ListaTgov.Unidades,1,FALSE))),"Unid. Não Disp",
" "))))))))))))))))</f>
        <v>SEM CUSTO</v>
      </c>
      <c r="AD398" t="str">
        <f ca="1">IF(C398&lt;=CRONO.NivelExibicao,MAX($AD$15:OFFSET(AD398,-1,0))+IF($C398&lt;&gt;1,1,MAX(1,COUNTIF(QCI!$A$13:$A$24,OFFSET($E398,-1,0)))),"")</f>
        <v/>
      </c>
      <c r="AE398" s="7" t="str">
        <f ca="1">IF(AND($C398="S",ORÇAMENTO.CodBarra&lt;&gt;""),IF(ORÇAMENTO.Fonte="",ORÇAMENTO.CodBarra,CONCATENATE(ORÇAMENTO.Fonte," ",ORÇAMENTO.CodBarra)))</f>
        <v>SINAPI-I 11964</v>
      </c>
      <c r="AF398" s="12" t="str">
        <f ca="1">IF(ISERROR(INDIRECT(ORÇAMENTO.BancoRef)),"(abra o arquivo 'Referência "&amp;Excel_BuiltIn_Database&amp;".xlsm)",IF(OR($C398&lt;&gt;"S",ORÇAMENTO.CodBarra=""),"(Sem Código)",IF(ISERROR(MATCH($AE398,INDIRECT(ORÇAMENTO.BancoRef),0)),"(Código não identificado nas referências)",MATCH($AE398,INDIRECT(ORÇAMENTO.BancoRef),0))))</f>
        <v>(abra o arquivo 'Referência 12-2024.xlsm)</v>
      </c>
      <c r="AG398" s="429">
        <f ca="1">ROUND(IF(DESONERACAO="sim",REFERENCIA.Desonerado,REFERENCIA.NaoDesonerado),2)</f>
        <v>0</v>
      </c>
      <c r="AH398" s="430">
        <f t="shared" ca="1" si="98"/>
        <v>0.31190000000000001</v>
      </c>
      <c r="AJ398" s="432">
        <v>800</v>
      </c>
      <c r="AL398" s="440"/>
      <c r="AM398" s="337">
        <f t="shared" ca="1" si="100"/>
        <v>0</v>
      </c>
      <c r="AN398" s="471">
        <f t="shared" ca="1" si="99"/>
        <v>0</v>
      </c>
    </row>
    <row r="399" spans="1:40" ht="25.5" x14ac:dyDescent="0.2">
      <c r="A399" t="str">
        <f t="shared" si="84"/>
        <v>S</v>
      </c>
      <c r="B399">
        <f t="shared" ca="1" si="85"/>
        <v>2</v>
      </c>
      <c r="C399" t="str">
        <f t="shared" ca="1" si="86"/>
        <v>S</v>
      </c>
      <c r="D399">
        <f t="shared" ca="1" si="87"/>
        <v>0</v>
      </c>
      <c r="E399">
        <f ca="1">IF($C399=1,OFFSET(E399,-1,0)+MAX(1,COUNTIF(QCI!$A$13:$A$24,OFFSET(ORÇAMENTO!E399,-1,0))),OFFSET(E399,-1,0))</f>
        <v>1</v>
      </c>
      <c r="F399">
        <f t="shared" ca="1" si="88"/>
        <v>22</v>
      </c>
      <c r="G399">
        <f t="shared" ca="1" si="89"/>
        <v>0</v>
      </c>
      <c r="H399">
        <f t="shared" ca="1" si="90"/>
        <v>0</v>
      </c>
      <c r="I399">
        <f t="shared" ca="1" si="91"/>
        <v>0</v>
      </c>
      <c r="J399">
        <f t="shared" ca="1" si="92"/>
        <v>0</v>
      </c>
      <c r="K399">
        <f ca="1">IF(OR($C399="S",$C399=0),0,MATCH(OFFSET($D399,0,$C399)+IF($C399&lt;&gt;1,1,COUNTIF(QCI!$A$13:$A$24,ORÇAMENTO!E399)),OFFSET($D399,1,$C399,ROW($C$405)-ROW($C399)),0))</f>
        <v>0</v>
      </c>
      <c r="L399" s="115" t="str">
        <f t="shared" ca="1" si="93"/>
        <v/>
      </c>
      <c r="M399" s="116" t="s">
        <v>706</v>
      </c>
      <c r="N399" s="117" t="str">
        <f t="shared" ca="1" si="94"/>
        <v>Serviço</v>
      </c>
      <c r="O399" s="118" t="str">
        <f t="shared" ca="1" si="95"/>
        <v>-</v>
      </c>
      <c r="P399" s="119" t="s">
        <v>1315</v>
      </c>
      <c r="Q399" s="120" t="s">
        <v>1268</v>
      </c>
      <c r="R399" s="121" t="s">
        <v>1639</v>
      </c>
      <c r="S399" s="122" t="s">
        <v>1644</v>
      </c>
      <c r="T399" s="123">
        <f ca="1">OFFSET(CÁLCULO!H$15,ROW($T399)-ROW(T$15),0)</f>
        <v>800</v>
      </c>
      <c r="U399" s="124"/>
      <c r="V399" s="125" t="s">
        <v>663</v>
      </c>
      <c r="W399" s="123">
        <f ca="1">IF($C399="S",ROUND(IF(TIPOORCAMENTO="Proposto",ORÇAMENTO.CustoUnitario*(1+$AH399),ORÇAMENTO.PrecoUnitarioLicitado),15-13*$AF$10),0)</f>
        <v>0</v>
      </c>
      <c r="X399" s="126" cm="1">
        <f t="array" aca="1" ref="X399" ca="1">IF($C399="S",IF(OR(Import.TipoArredondamento&lt;&gt;"TransfereGOV",ACOMPANHAMENTO="BM"),VTOTAL1,SUM(OFFSET(CÁLCULO!$AA$15,ROW($X399)-ROW($X$15),1):OFFSET(CÁLCULO!$AL$15,ROW($X399)-ROW($X$15),-1))),IF($C399=0,0,ROUND(SomaAgrup,15-13*$AF$11)))</f>
        <v>0</v>
      </c>
      <c r="Y399" s="127" t="s">
        <v>752</v>
      </c>
      <c r="Z399" t="str">
        <f t="shared" ca="1" si="96"/>
        <v/>
      </c>
      <c r="AA399" s="128">
        <f ca="1">IF($C399="S",IF($Z399="CP",$X399,IF($Z399="RA",(($X399)*QCI!$AA$3),0)),SomaAgrup)</f>
        <v>0</v>
      </c>
      <c r="AB399" s="129">
        <f t="shared" ca="1" si="97"/>
        <v>0</v>
      </c>
      <c r="AC399" s="567" t="str">
        <f ca="1">IF($N399=""," ",
IF(AND($C399&lt;&gt;"S",OR($R399="",$R399="(digite a descrição aqui)")),"DESCRIÇÃO",
IF(AND($C399="S",OR($Q399&lt;&gt;0,$T399&gt;0,$U399&gt;0),$P399=0),"FONTE",
IF(AND($C399="S",$P399&lt;&gt;0,OR($T399&gt;0,$U399&gt;0),$Q399=0),"CÓDIGO",
IF(AND($C399="S",$P399&lt;&gt;0,$Q399&lt;&gt;0,$R399="(Código não identificado nas referências)"),"CÓDIGO N/ID",
IF(AND($C399="S",OR($R399="",$R399="(digite a descrição aqui)"),OR($Q399&lt;&gt;0,$T399&gt;0,$U399&gt;0)),"DESCRIÇÃO",
IF(AND($C399="S",$P399&lt;&gt;0,$Q399&lt;&gt;0,$S399=""),"UNIDADE",
IF(AND($C399="S",$P399&lt;&gt;0,$Q399&lt;&gt;0,$U399=0),"SEM CUSTO",
IF(AND(TIPOORCAMENTO="Licitado",$AL399=0,$AN399&gt;0),"SEM PREÇO",
IF(AND($C399="S",$P399&lt;&gt;0,$Q399&lt;&gt;0,$U399&gt;0,$V399=0),"BDI",
IF(OR(AND(TIPOORCAMENTO="Proposto",$AG399&lt;&gt;"",$AG399&gt;0,ORÇAMENTO.CustoUnitario&gt;$AG399),AND(TIPOORCAMENTO="LICITADO",ORÇAMENTO.PrecoUnitarioLicitado&gt;$AN399)),"ACIMA REF.",
IF(AND($C399="S",$P399&lt;&gt;0,$Q399&lt;&gt;0,$T399=0,$U399&gt;0),"QUANT.",
IF(AND(Import.TipoArredondamento="TransfereGOV",$L399="F",$C399="S",LEN($Q399)&gt;13),"Código &gt;13",
IF(AND(Import.TipoArredondamento="TransfereGOV",$L399="F",$C399&lt;&gt;"S",LEN($R399)&gt;100),"Descrição &gt;100",
IF(AND(Import.TipoArredondamento="TransfereGOV",$L399="F",$C399="S",LEN($R399)&gt;500),"Descrição &gt;500",
IF(AND(Import.TipoArredondamento="TransfereGOV",$L399="F",$C399="S",LEFT(TRIM(UPPER($P399)),6)&lt;&gt;"SINAPI",ISNA(VLOOKUP(TRIM(UPPER($S399)),ListaTgov.Unidades,1,FALSE))),"Unid. Não Disp",
" "))))))))))))))))</f>
        <v>SEM CUSTO</v>
      </c>
      <c r="AD399" t="str">
        <f ca="1">IF(C399&lt;=CRONO.NivelExibicao,MAX($AD$15:OFFSET(AD399,-1,0))+IF($C399&lt;&gt;1,1,MAX(1,COUNTIF(QCI!$A$13:$A$24,OFFSET($E399,-1,0)))),"")</f>
        <v/>
      </c>
      <c r="AE399" s="7" t="str">
        <f ca="1">IF(AND($C399="S",ORÇAMENTO.CodBarra&lt;&gt;""),IF(ORÇAMENTO.Fonte="",ORÇAMENTO.CodBarra,CONCATENATE(ORÇAMENTO.Fonte," ",ORÇAMENTO.CodBarra)))</f>
        <v>SINAPI-I 11948</v>
      </c>
      <c r="AF399" s="12" t="str">
        <f ca="1">IF(ISERROR(INDIRECT(ORÇAMENTO.BancoRef)),"(abra o arquivo 'Referência "&amp;Excel_BuiltIn_Database&amp;".xlsm)",IF(OR($C399&lt;&gt;"S",ORÇAMENTO.CodBarra=""),"(Sem Código)",IF(ISERROR(MATCH($AE399,INDIRECT(ORÇAMENTO.BancoRef),0)),"(Código não identificado nas referências)",MATCH($AE399,INDIRECT(ORÇAMENTO.BancoRef),0))))</f>
        <v>(abra o arquivo 'Referência 12-2024.xlsm)</v>
      </c>
      <c r="AG399" s="429">
        <f ca="1">ROUND(IF(DESONERACAO="sim",REFERENCIA.Desonerado,REFERENCIA.NaoDesonerado),2)</f>
        <v>0</v>
      </c>
      <c r="AH399" s="430">
        <f t="shared" ca="1" si="98"/>
        <v>0.31190000000000001</v>
      </c>
      <c r="AJ399" s="432">
        <v>800</v>
      </c>
      <c r="AL399" s="440"/>
      <c r="AM399" s="337">
        <f t="shared" ca="1" si="100"/>
        <v>0</v>
      </c>
      <c r="AN399" s="471">
        <f t="shared" ca="1" si="99"/>
        <v>0</v>
      </c>
    </row>
    <row r="400" spans="1:40" x14ac:dyDescent="0.2">
      <c r="A400">
        <f t="shared" si="84"/>
        <v>2</v>
      </c>
      <c r="B400">
        <f t="shared" ref="B400:B404" ca="1" si="101">IF(OR(C400="s",C400=0),OFFSET(B400,-1,0),C400)</f>
        <v>2</v>
      </c>
      <c r="C400">
        <f t="shared" ref="C400:C404" ca="1" si="102">IF(OFFSET(C400,-1,0)="L",1,IF(OFFSET(C400,-1,0)=1,2,IF(OR(A400="s",A400=0),"S",IF(AND(OFFSET(C400,-1,0)=2,A400=4),3,IF(AND(OR(OFFSET(C400,-1,0)="s",OFFSET(C400,-1,0)=0),A400&lt;&gt;"s",A400&gt;OFFSET(B400,-1,0)),OFFSET(B400,-1,0),A400)))))</f>
        <v>2</v>
      </c>
      <c r="D400">
        <f t="shared" ref="D400:D404" ca="1" si="103">IF(OR(C400="S",C400=0),0,IF(ISERROR(K400),J400,SMALL(J400:K400,1)))</f>
        <v>3</v>
      </c>
      <c r="E400">
        <f ca="1">IF($C400=1,OFFSET(E400,-1,0)+MAX(1,COUNTIF(QCI!$A$13:$A$24,OFFSET(ORÇAMENTO!E400,-1,0))),OFFSET(E400,-1,0))</f>
        <v>1</v>
      </c>
      <c r="F400">
        <f t="shared" ref="F400:F404" ca="1" si="104">IF($C400=1,0,IF($C400=2,OFFSET(F400,-1,0)+1,OFFSET(F400,-1,0)))</f>
        <v>23</v>
      </c>
      <c r="G400">
        <f t="shared" ref="G400:G404" ca="1" si="105">IF(AND($C400&lt;=2,$C400&lt;&gt;0),0,IF($C400=3,OFFSET(G400,-1,0)+1,OFFSET(G400,-1,0)))</f>
        <v>0</v>
      </c>
      <c r="H400">
        <f t="shared" ref="H400:H404" ca="1" si="106">IF(AND($C400&lt;=3,$C400&lt;&gt;0),0,IF($C400=4,OFFSET(H400,-1,0)+1,OFFSET(H400,-1,0)))</f>
        <v>0</v>
      </c>
      <c r="I400">
        <f t="shared" ref="I400:I404" ca="1" si="107">IF(AND($C400&lt;=4,$C400&lt;&gt;0),0,IF(AND($C400="S",$X400&gt;0),OFFSET(I400,-1,0)+1,OFFSET(I400,-1,0)))</f>
        <v>0</v>
      </c>
      <c r="J400">
        <f t="shared" ref="J400:J404" ca="1" si="108">IF(OR($C400="S",$C400=0),0,MATCH(0,OFFSET($D400,1,$C400,ROW($C$405)-ROW($C400)),0))</f>
        <v>5</v>
      </c>
      <c r="K400">
        <f ca="1">IF(OR($C400="S",$C400=0),0,MATCH(OFFSET($D400,0,$C400)+IF($C400&lt;&gt;1,1,COUNTIF(QCI!$A$13:$A$24,ORÇAMENTO!E400)),OFFSET($D400,1,$C400,ROW($C$405)-ROW($C400)),0))</f>
        <v>3</v>
      </c>
      <c r="L400" s="115" t="str">
        <f t="shared" ref="L400:L404" ca="1" si="109">IF(OR($X400&gt;0,$C400=1,$C400=2,$C400=3,$C400=4),"F","")</f>
        <v>F</v>
      </c>
      <c r="M400" s="116" t="s">
        <v>703</v>
      </c>
      <c r="N400" s="117" t="str">
        <f t="shared" ref="N400:N404" ca="1" si="110">CHOOSE(1+LOG(1+2*(C400=1)+4*(C400=2)+8*(C400=3)+16*(C400=4)+32*(C400="S"),2),"","Meta","Nível 2","Nível 3","Nível 4","Serviço")</f>
        <v>Nível 2</v>
      </c>
      <c r="O400" s="118" t="str">
        <f t="shared" ref="O400:O404" ca="1" si="111">IF(OR($C400=0,$L400=""),"-",CONCATENATE(E400&amp;".",IF(AND($A$5&gt;=2,$C400&gt;=2),F400&amp;".",""),IF(AND($A$5&gt;=3,$C400&gt;=3),G400&amp;".",""),IF(AND($A$5&gt;=4,$C400&gt;=4),H400&amp;".",""),IF($C400="S",I400&amp;".","")))</f>
        <v>1.23.</v>
      </c>
      <c r="P400" s="119" t="s">
        <v>751</v>
      </c>
      <c r="Q400" s="120"/>
      <c r="R400" s="121" t="s">
        <v>1310</v>
      </c>
      <c r="S400" s="122" t="s">
        <v>689</v>
      </c>
      <c r="T400" s="123">
        <f ca="1">OFFSET(CÁLCULO!H$15,ROW($T400)-ROW(T$15),0)</f>
        <v>0</v>
      </c>
      <c r="U400" s="124"/>
      <c r="V400" s="125" t="s">
        <v>663</v>
      </c>
      <c r="W400" s="123">
        <f ca="1">IF($C400="S",ROUND(IF(TIPOORCAMENTO="Proposto",ORÇAMENTO.CustoUnitario*(1+$AH400),ORÇAMENTO.PrecoUnitarioLicitado),15-13*$AF$10),0)</f>
        <v>0</v>
      </c>
      <c r="X400" s="126" cm="1">
        <f t="array" aca="1" ref="X400" ca="1">IF($C400="S",IF(OR(Import.TipoArredondamento&lt;&gt;"TransfereGOV",ACOMPANHAMENTO="BM"),VTOTAL1,SUM(OFFSET(CÁLCULO!$AA$15,ROW($X400)-ROW($X$15),1):OFFSET(CÁLCULO!$AL$15,ROW($X400)-ROW($X$15),-1))),IF($C400=0,0,ROUND(SomaAgrup,15-13*$AF$11)))</f>
        <v>0</v>
      </c>
      <c r="Y400" s="127" t="s">
        <v>752</v>
      </c>
      <c r="Z400" t="str">
        <f t="shared" ref="Z400:Z404" ca="1" si="112">IF(AND($C400="S",$X400&gt;0),IF(ISBLANK($Y400),"RA",LEFT($Y400,2)),"")</f>
        <v/>
      </c>
      <c r="AA400" s="128">
        <f ca="1">IF($C400="S",IF($Z400="CP",$X400,IF($Z400="RA",(($X400)*QCI!$AA$3),0)),SomaAgrup)</f>
        <v>0</v>
      </c>
      <c r="AB400" s="129">
        <f t="shared" ca="1" si="97"/>
        <v>0</v>
      </c>
      <c r="AC400" s="567" t="str">
        <f ca="1">IF($N400=""," ",
IF(AND($C400&lt;&gt;"S",OR($R400="",$R400="(digite a descrição aqui)")),"DESCRIÇÃO",
IF(AND($C400="S",OR($Q400&lt;&gt;0,$T400&gt;0,$U400&gt;0),$P400=0),"FONTE",
IF(AND($C400="S",$P400&lt;&gt;0,OR($T400&gt;0,$U400&gt;0),$Q400=0),"CÓDIGO",
IF(AND($C400="S",$P400&lt;&gt;0,$Q400&lt;&gt;0,$R400="(Código não identificado nas referências)"),"CÓDIGO N/ID",
IF(AND($C400="S",OR($R400="",$R400="(digite a descrição aqui)"),OR($Q400&lt;&gt;0,$T400&gt;0,$U400&gt;0)),"DESCRIÇÃO",
IF(AND($C400="S",$P400&lt;&gt;0,$Q400&lt;&gt;0,$S400=""),"UNIDADE",
IF(AND($C400="S",$P400&lt;&gt;0,$Q400&lt;&gt;0,$U400=0),"SEM CUSTO",
IF(AND(TIPOORCAMENTO="Licitado",$AL400=0,$AN400&gt;0),"SEM PREÇO",
IF(AND($C400="S",$P400&lt;&gt;0,$Q400&lt;&gt;0,$U400&gt;0,$V400=0),"BDI",
IF(OR(AND(TIPOORCAMENTO="Proposto",$AG400&lt;&gt;"",$AG400&gt;0,ORÇAMENTO.CustoUnitario&gt;$AG400),AND(TIPOORCAMENTO="LICITADO",ORÇAMENTO.PrecoUnitarioLicitado&gt;$AN400)),"ACIMA REF.",
IF(AND($C400="S",$P400&lt;&gt;0,$Q400&lt;&gt;0,$T400=0,$U400&gt;0),"QUANT.",
IF(AND(Import.TipoArredondamento="TransfereGOV",$L400="F",$C400="S",LEN($Q400)&gt;13),"Código &gt;13",
IF(AND(Import.TipoArredondamento="TransfereGOV",$L400="F",$C400&lt;&gt;"S",LEN($R400)&gt;100),"Descrição &gt;100",
IF(AND(Import.TipoArredondamento="TransfereGOV",$L400="F",$C400="S",LEN($R400)&gt;500),"Descrição &gt;500",
IF(AND(Import.TipoArredondamento="TransfereGOV",$L400="F",$C400="S",LEFT(TRIM(UPPER($P400)),6)&lt;&gt;"SINAPI",ISNA(VLOOKUP(TRIM(UPPER($S400)),ListaTgov.Unidades,1,FALSE))),"Unid. Não Disp",
" "))))))))))))))))</f>
        <v xml:space="preserve"> </v>
      </c>
      <c r="AD400">
        <f ca="1">IF(C400&lt;=CRONO.NivelExibicao,MAX($AD$15:OFFSET(AD400,-1,0))+IF($C400&lt;&gt;1,1,MAX(1,COUNTIF(QCI!$A$13:$A$24,OFFSET($E400,-1,0)))),"")</f>
        <v>24</v>
      </c>
      <c r="AE400" s="7" t="b">
        <f ca="1">IF(AND($C400="S",ORÇAMENTO.CodBarra&lt;&gt;""),IF(ORÇAMENTO.Fonte="",ORÇAMENTO.CodBarra,CONCATENATE(ORÇAMENTO.Fonte," ",ORÇAMENTO.CodBarra)))</f>
        <v>0</v>
      </c>
      <c r="AF400" s="12" t="str">
        <f ca="1">IF(ISERROR(INDIRECT(ORÇAMENTO.BancoRef)),"(abra o arquivo 'Referência "&amp;Excel_BuiltIn_Database&amp;".xlsm)",IF(OR($C400&lt;&gt;"S",ORÇAMENTO.CodBarra=""),"(Sem Código)",IF(ISERROR(MATCH($AE400,INDIRECT(ORÇAMENTO.BancoRef),0)),"(Código não identificado nas referências)",MATCH($AE400,INDIRECT(ORÇAMENTO.BancoRef),0))))</f>
        <v>(abra o arquivo 'Referência 12-2024.xlsm)</v>
      </c>
      <c r="AG400" s="429">
        <f ca="1">ROUND(IF(DESONERACAO="sim",REFERENCIA.Desonerado,REFERENCIA.NaoDesonerado),2)</f>
        <v>0</v>
      </c>
      <c r="AH400" s="430">
        <f t="shared" ca="1" si="98"/>
        <v>0.31190000000000001</v>
      </c>
      <c r="AJ400" s="432"/>
      <c r="AL400" s="440"/>
      <c r="AM400" s="337">
        <f t="shared" ca="1" si="100"/>
        <v>0</v>
      </c>
      <c r="AN400" s="471">
        <f t="shared" ca="1" si="99"/>
        <v>0</v>
      </c>
    </row>
    <row r="401" spans="1:40" ht="25.5" x14ac:dyDescent="0.2">
      <c r="A401" t="str">
        <f t="shared" si="84"/>
        <v>S</v>
      </c>
      <c r="B401">
        <f t="shared" ca="1" si="101"/>
        <v>2</v>
      </c>
      <c r="C401" t="str">
        <f t="shared" ca="1" si="102"/>
        <v>S</v>
      </c>
      <c r="D401">
        <f t="shared" ca="1" si="103"/>
        <v>0</v>
      </c>
      <c r="E401">
        <f ca="1">IF($C401=1,OFFSET(E401,-1,0)+MAX(1,COUNTIF(QCI!$A$13:$A$24,OFFSET(ORÇAMENTO!E401,-1,0))),OFFSET(E401,-1,0))</f>
        <v>1</v>
      </c>
      <c r="F401">
        <f t="shared" ca="1" si="104"/>
        <v>23</v>
      </c>
      <c r="G401">
        <f t="shared" ca="1" si="105"/>
        <v>0</v>
      </c>
      <c r="H401">
        <f t="shared" ca="1" si="106"/>
        <v>0</v>
      </c>
      <c r="I401">
        <f t="shared" ca="1" si="107"/>
        <v>0</v>
      </c>
      <c r="J401">
        <f t="shared" ca="1" si="108"/>
        <v>0</v>
      </c>
      <c r="K401">
        <f ca="1">IF(OR($C401="S",$C401=0),0,MATCH(OFFSET($D401,0,$C401)+IF($C401&lt;&gt;1,1,COUNTIF(QCI!$A$13:$A$24,ORÇAMENTO!E401)),OFFSET($D401,1,$C401,ROW($C$405)-ROW($C401)),0))</f>
        <v>0</v>
      </c>
      <c r="L401" s="115" t="str">
        <f t="shared" ca="1" si="109"/>
        <v/>
      </c>
      <c r="M401" s="116" t="s">
        <v>706</v>
      </c>
      <c r="N401" s="117" t="str">
        <f t="shared" ca="1" si="110"/>
        <v>Serviço</v>
      </c>
      <c r="O401" s="118" t="str">
        <f t="shared" ca="1" si="111"/>
        <v>-</v>
      </c>
      <c r="P401" s="119" t="s">
        <v>1319</v>
      </c>
      <c r="Q401" s="120" t="s">
        <v>1269</v>
      </c>
      <c r="R401" s="121" t="s">
        <v>1640</v>
      </c>
      <c r="S401" s="122" t="s">
        <v>639</v>
      </c>
      <c r="T401" s="123">
        <f ca="1">OFFSET(CÁLCULO!H$15,ROW($T401)-ROW(T$15),0)</f>
        <v>1</v>
      </c>
      <c r="U401" s="124"/>
      <c r="V401" s="125" t="s">
        <v>663</v>
      </c>
      <c r="W401" s="123">
        <f ca="1">IF($C401="S",ROUND(IF(TIPOORCAMENTO="Proposto",ORÇAMENTO.CustoUnitario*(1+$AH401),ORÇAMENTO.PrecoUnitarioLicitado),15-13*$AF$10),0)</f>
        <v>0</v>
      </c>
      <c r="X401" s="126" cm="1">
        <f t="array" aca="1" ref="X401" ca="1">IF($C401="S",IF(OR(Import.TipoArredondamento&lt;&gt;"TransfereGOV",ACOMPANHAMENTO="BM"),VTOTAL1,SUM(OFFSET(CÁLCULO!$AA$15,ROW($X401)-ROW($X$15),1):OFFSET(CÁLCULO!$AL$15,ROW($X401)-ROW($X$15),-1))),IF($C401=0,0,ROUND(SomaAgrup,15-13*$AF$11)))</f>
        <v>0</v>
      </c>
      <c r="Y401" s="127" t="s">
        <v>752</v>
      </c>
      <c r="Z401" t="str">
        <f t="shared" ca="1" si="112"/>
        <v/>
      </c>
      <c r="AA401" s="128">
        <f ca="1">IF($C401="S",IF($Z401="CP",$X401,IF($Z401="RA",(($X401)*QCI!$AA$3),0)),SomaAgrup)</f>
        <v>0</v>
      </c>
      <c r="AB401" s="129">
        <f t="shared" ca="1" si="97"/>
        <v>0</v>
      </c>
      <c r="AC401" s="567" t="str">
        <f ca="1">IF($N401=""," ",
IF(AND($C401&lt;&gt;"S",OR($R401="",$R401="(digite a descrição aqui)")),"DESCRIÇÃO",
IF(AND($C401="S",OR($Q401&lt;&gt;0,$T401&gt;0,$U401&gt;0),$P401=0),"FONTE",
IF(AND($C401="S",$P401&lt;&gt;0,OR($T401&gt;0,$U401&gt;0),$Q401=0),"CÓDIGO",
IF(AND($C401="S",$P401&lt;&gt;0,$Q401&lt;&gt;0,$R401="(Código não identificado nas referências)"),"CÓDIGO N/ID",
IF(AND($C401="S",OR($R401="",$R401="(digite a descrição aqui)"),OR($Q401&lt;&gt;0,$T401&gt;0,$U401&gt;0)),"DESCRIÇÃO",
IF(AND($C401="S",$P401&lt;&gt;0,$Q401&lt;&gt;0,$S401=""),"UNIDADE",
IF(AND($C401="S",$P401&lt;&gt;0,$Q401&lt;&gt;0,$U401=0),"SEM CUSTO",
IF(AND(TIPOORCAMENTO="Licitado",$AL401=0,$AN401&gt;0),"SEM PREÇO",
IF(AND($C401="S",$P401&lt;&gt;0,$Q401&lt;&gt;0,$U401&gt;0,$V401=0),"BDI",
IF(OR(AND(TIPOORCAMENTO="Proposto",$AG401&lt;&gt;"",$AG401&gt;0,ORÇAMENTO.CustoUnitario&gt;$AG401),AND(TIPOORCAMENTO="LICITADO",ORÇAMENTO.PrecoUnitarioLicitado&gt;$AN401)),"ACIMA REF.",
IF(AND($C401="S",$P401&lt;&gt;0,$Q401&lt;&gt;0,$T401=0,$U401&gt;0),"QUANT.",
IF(AND(Import.TipoArredondamento="TransfereGOV",$L401="F",$C401="S",LEN($Q401)&gt;13),"Código &gt;13",
IF(AND(Import.TipoArredondamento="TransfereGOV",$L401="F",$C401&lt;&gt;"S",LEN($R401)&gt;100),"Descrição &gt;100",
IF(AND(Import.TipoArredondamento="TransfereGOV",$L401="F",$C401="S",LEN($R401)&gt;500),"Descrição &gt;500",
IF(AND(Import.TipoArredondamento="TransfereGOV",$L401="F",$C401="S",LEFT(TRIM(UPPER($P401)),6)&lt;&gt;"SINAPI",ISNA(VLOOKUP(TRIM(UPPER($S401)),ListaTgov.Unidades,1,FALSE))),"Unid. Não Disp",
" "))))))))))))))))</f>
        <v>SEM CUSTO</v>
      </c>
      <c r="AD401" t="str">
        <f ca="1">IF(C401&lt;=CRONO.NivelExibicao,MAX($AD$15:OFFSET(AD401,-1,0))+IF($C401&lt;&gt;1,1,MAX(1,COUNTIF(QCI!$A$13:$A$24,OFFSET($E401,-1,0)))),"")</f>
        <v/>
      </c>
      <c r="AE401" s="7" t="str">
        <f ca="1">IF(AND($C401="S",ORÇAMENTO.CodBarra&lt;&gt;""),IF(ORÇAMENTO.Fonte="",ORÇAMENTO.CodBarra,CONCATENATE(ORÇAMENTO.Fonte," ",ORÇAMENTO.CodBarra)))</f>
        <v>FNDE 78</v>
      </c>
      <c r="AF401" s="12" t="str">
        <f ca="1">IF(ISERROR(INDIRECT(ORÇAMENTO.BancoRef)),"(abra o arquivo 'Referência "&amp;Excel_BuiltIn_Database&amp;".xlsm)",IF(OR($C401&lt;&gt;"S",ORÇAMENTO.CodBarra=""),"(Sem Código)",IF(ISERROR(MATCH($AE401,INDIRECT(ORÇAMENTO.BancoRef),0)),"(Código não identificado nas referências)",MATCH($AE401,INDIRECT(ORÇAMENTO.BancoRef),0))))</f>
        <v>(abra o arquivo 'Referência 12-2024.xlsm)</v>
      </c>
      <c r="AG401" s="429">
        <f ca="1">ROUND(IF(DESONERACAO="sim",REFERENCIA.Desonerado,REFERENCIA.NaoDesonerado),2)</f>
        <v>0</v>
      </c>
      <c r="AH401" s="430">
        <f t="shared" ca="1" si="98"/>
        <v>0.31190000000000001</v>
      </c>
      <c r="AJ401" s="432">
        <v>1</v>
      </c>
      <c r="AL401" s="440"/>
      <c r="AM401" s="337">
        <f t="shared" ca="1" si="100"/>
        <v>0</v>
      </c>
      <c r="AN401" s="471">
        <f t="shared" ca="1" si="99"/>
        <v>0</v>
      </c>
    </row>
    <row r="402" spans="1:40" ht="25.5" x14ac:dyDescent="0.2">
      <c r="A402" t="str">
        <f t="shared" si="84"/>
        <v>S</v>
      </c>
      <c r="B402">
        <f t="shared" ca="1" si="101"/>
        <v>2</v>
      </c>
      <c r="C402" t="str">
        <f t="shared" ca="1" si="102"/>
        <v>S</v>
      </c>
      <c r="D402">
        <f t="shared" ca="1" si="103"/>
        <v>0</v>
      </c>
      <c r="E402">
        <f ca="1">IF($C402=1,OFFSET(E402,-1,0)+MAX(1,COUNTIF(QCI!$A$13:$A$24,OFFSET(ORÇAMENTO!E402,-1,0))),OFFSET(E402,-1,0))</f>
        <v>1</v>
      </c>
      <c r="F402">
        <f t="shared" ca="1" si="104"/>
        <v>23</v>
      </c>
      <c r="G402">
        <f t="shared" ca="1" si="105"/>
        <v>0</v>
      </c>
      <c r="H402">
        <f t="shared" ca="1" si="106"/>
        <v>0</v>
      </c>
      <c r="I402">
        <f t="shared" ca="1" si="107"/>
        <v>0</v>
      </c>
      <c r="J402">
        <f t="shared" ca="1" si="108"/>
        <v>0</v>
      </c>
      <c r="K402">
        <f ca="1">IF(OR($C402="S",$C402=0),0,MATCH(OFFSET($D402,0,$C402)+IF($C402&lt;&gt;1,1,COUNTIF(QCI!$A$13:$A$24,ORÇAMENTO!E402)),OFFSET($D402,1,$C402,ROW($C$405)-ROW($C402)),0))</f>
        <v>0</v>
      </c>
      <c r="L402" s="115" t="str">
        <f t="shared" ca="1" si="109"/>
        <v/>
      </c>
      <c r="M402" s="116" t="s">
        <v>706</v>
      </c>
      <c r="N402" s="117" t="str">
        <f t="shared" ca="1" si="110"/>
        <v>Serviço</v>
      </c>
      <c r="O402" s="118" t="str">
        <f t="shared" ca="1" si="111"/>
        <v>-</v>
      </c>
      <c r="P402" s="119" t="s">
        <v>1319</v>
      </c>
      <c r="Q402" s="120" t="s">
        <v>1270</v>
      </c>
      <c r="R402" s="121" t="s">
        <v>1641</v>
      </c>
      <c r="S402" s="122" t="s">
        <v>639</v>
      </c>
      <c r="T402" s="123">
        <f ca="1">OFFSET(CÁLCULO!H$15,ROW($T402)-ROW(T$15),0)</f>
        <v>1</v>
      </c>
      <c r="U402" s="124"/>
      <c r="V402" s="125" t="s">
        <v>663</v>
      </c>
      <c r="W402" s="123">
        <f ca="1">IF($C402="S",ROUND(IF(TIPOORCAMENTO="Proposto",ORÇAMENTO.CustoUnitario*(1+$AH402),ORÇAMENTO.PrecoUnitarioLicitado),15-13*$AF$10),0)</f>
        <v>0</v>
      </c>
      <c r="X402" s="126" cm="1">
        <f t="array" aca="1" ref="X402" ca="1">IF($C402="S",IF(OR(Import.TipoArredondamento&lt;&gt;"TransfereGOV",ACOMPANHAMENTO="BM"),VTOTAL1,SUM(OFFSET(CÁLCULO!$AA$15,ROW($X402)-ROW($X$15),1):OFFSET(CÁLCULO!$AL$15,ROW($X402)-ROW($X$15),-1))),IF($C402=0,0,ROUND(SomaAgrup,15-13*$AF$11)))</f>
        <v>0</v>
      </c>
      <c r="Y402" s="127" t="s">
        <v>752</v>
      </c>
      <c r="Z402" t="str">
        <f t="shared" ca="1" si="112"/>
        <v/>
      </c>
      <c r="AA402" s="128">
        <f ca="1">IF($C402="S",IF($Z402="CP",$X402,IF($Z402="RA",(($X402)*QCI!$AA$3),0)),SomaAgrup)</f>
        <v>0</v>
      </c>
      <c r="AB402" s="129">
        <f t="shared" ca="1" si="97"/>
        <v>0</v>
      </c>
      <c r="AC402" s="567" t="str">
        <f ca="1">IF($N402=""," ",
IF(AND($C402&lt;&gt;"S",OR($R402="",$R402="(digite a descrição aqui)")),"DESCRIÇÃO",
IF(AND($C402="S",OR($Q402&lt;&gt;0,$T402&gt;0,$U402&gt;0),$P402=0),"FONTE",
IF(AND($C402="S",$P402&lt;&gt;0,OR($T402&gt;0,$U402&gt;0),$Q402=0),"CÓDIGO",
IF(AND($C402="S",$P402&lt;&gt;0,$Q402&lt;&gt;0,$R402="(Código não identificado nas referências)"),"CÓDIGO N/ID",
IF(AND($C402="S",OR($R402="",$R402="(digite a descrição aqui)"),OR($Q402&lt;&gt;0,$T402&gt;0,$U402&gt;0)),"DESCRIÇÃO",
IF(AND($C402="S",$P402&lt;&gt;0,$Q402&lt;&gt;0,$S402=""),"UNIDADE",
IF(AND($C402="S",$P402&lt;&gt;0,$Q402&lt;&gt;0,$U402=0),"SEM CUSTO",
IF(AND(TIPOORCAMENTO="Licitado",$AL402=0,$AN402&gt;0),"SEM PREÇO",
IF(AND($C402="S",$P402&lt;&gt;0,$Q402&lt;&gt;0,$U402&gt;0,$V402=0),"BDI",
IF(OR(AND(TIPOORCAMENTO="Proposto",$AG402&lt;&gt;"",$AG402&gt;0,ORÇAMENTO.CustoUnitario&gt;$AG402),AND(TIPOORCAMENTO="LICITADO",ORÇAMENTO.PrecoUnitarioLicitado&gt;$AN402)),"ACIMA REF.",
IF(AND($C402="S",$P402&lt;&gt;0,$Q402&lt;&gt;0,$T402=0,$U402&gt;0),"QUANT.",
IF(AND(Import.TipoArredondamento="TransfereGOV",$L402="F",$C402="S",LEN($Q402)&gt;13),"Código &gt;13",
IF(AND(Import.TipoArredondamento="TransfereGOV",$L402="F",$C402&lt;&gt;"S",LEN($R402)&gt;100),"Descrição &gt;100",
IF(AND(Import.TipoArredondamento="TransfereGOV",$L402="F",$C402="S",LEN($R402)&gt;500),"Descrição &gt;500",
IF(AND(Import.TipoArredondamento="TransfereGOV",$L402="F",$C402="S",LEFT(TRIM(UPPER($P402)),6)&lt;&gt;"SINAPI",ISNA(VLOOKUP(TRIM(UPPER($S402)),ListaTgov.Unidades,1,FALSE))),"Unid. Não Disp",
" "))))))))))))))))</f>
        <v>SEM CUSTO</v>
      </c>
      <c r="AD402" t="str">
        <f ca="1">IF(C402&lt;=CRONO.NivelExibicao,MAX($AD$15:OFFSET(AD402,-1,0))+IF($C402&lt;&gt;1,1,MAX(1,COUNTIF(QCI!$A$13:$A$24,OFFSET($E402,-1,0)))),"")</f>
        <v/>
      </c>
      <c r="AE402" s="7" t="str">
        <f ca="1">IF(AND($C402="S",ORÇAMENTO.CodBarra&lt;&gt;""),IF(ORÇAMENTO.Fonte="",ORÇAMENTO.CodBarra,CONCATENATE(ORÇAMENTO.Fonte," ",ORÇAMENTO.CodBarra)))</f>
        <v>FNDE 79</v>
      </c>
      <c r="AF402" s="12" t="str">
        <f ca="1">IF(ISERROR(INDIRECT(ORÇAMENTO.BancoRef)),"(abra o arquivo 'Referência "&amp;Excel_BuiltIn_Database&amp;".xlsm)",IF(OR($C402&lt;&gt;"S",ORÇAMENTO.CodBarra=""),"(Sem Código)",IF(ISERROR(MATCH($AE402,INDIRECT(ORÇAMENTO.BancoRef),0)),"(Código não identificado nas referências)",MATCH($AE402,INDIRECT(ORÇAMENTO.BancoRef),0))))</f>
        <v>(abra o arquivo 'Referência 12-2024.xlsm)</v>
      </c>
      <c r="AG402" s="429">
        <f ca="1">ROUND(IF(DESONERACAO="sim",REFERENCIA.Desonerado,REFERENCIA.NaoDesonerado),2)</f>
        <v>0</v>
      </c>
      <c r="AH402" s="430">
        <f t="shared" ca="1" si="98"/>
        <v>0.31190000000000001</v>
      </c>
      <c r="AJ402" s="432">
        <v>1</v>
      </c>
      <c r="AL402" s="440"/>
      <c r="AM402" s="337">
        <f t="shared" ca="1" si="100"/>
        <v>0</v>
      </c>
      <c r="AN402" s="471">
        <f t="shared" ca="1" si="99"/>
        <v>0</v>
      </c>
    </row>
    <row r="403" spans="1:40" x14ac:dyDescent="0.2">
      <c r="A403">
        <f t="shared" si="84"/>
        <v>2</v>
      </c>
      <c r="B403">
        <f t="shared" ca="1" si="101"/>
        <v>2</v>
      </c>
      <c r="C403">
        <f t="shared" ca="1" si="102"/>
        <v>2</v>
      </c>
      <c r="D403">
        <f t="shared" ca="1" si="103"/>
        <v>2</v>
      </c>
      <c r="E403">
        <f ca="1">IF($C403=1,OFFSET(E403,-1,0)+MAX(1,COUNTIF(QCI!$A$13:$A$24,OFFSET(ORÇAMENTO!E403,-1,0))),OFFSET(E403,-1,0))</f>
        <v>1</v>
      </c>
      <c r="F403">
        <f t="shared" ca="1" si="104"/>
        <v>24</v>
      </c>
      <c r="G403">
        <f t="shared" ca="1" si="105"/>
        <v>0</v>
      </c>
      <c r="H403">
        <f t="shared" ca="1" si="106"/>
        <v>0</v>
      </c>
      <c r="I403">
        <f t="shared" ca="1" si="107"/>
        <v>0</v>
      </c>
      <c r="J403">
        <f t="shared" ca="1" si="108"/>
        <v>2</v>
      </c>
      <c r="K403" t="e">
        <f ca="1">IF(OR($C403="S",$C403=0),0,MATCH(OFFSET($D403,0,$C403)+IF($C403&lt;&gt;1,1,COUNTIF(QCI!$A$13:$A$24,ORÇAMENTO!E403)),OFFSET($D403,1,$C403,ROW($C$405)-ROW($C403)),0))</f>
        <v>#N/A</v>
      </c>
      <c r="L403" s="115" t="str">
        <f t="shared" ca="1" si="109"/>
        <v>F</v>
      </c>
      <c r="M403" s="116" t="s">
        <v>703</v>
      </c>
      <c r="N403" s="117" t="str">
        <f t="shared" ca="1" si="110"/>
        <v>Nível 2</v>
      </c>
      <c r="O403" s="118" t="str">
        <f t="shared" ca="1" si="111"/>
        <v>1.24.</v>
      </c>
      <c r="P403" s="119" t="s">
        <v>751</v>
      </c>
      <c r="Q403" s="120"/>
      <c r="R403" s="121" t="s">
        <v>1311</v>
      </c>
      <c r="S403" s="122" t="s">
        <v>689</v>
      </c>
      <c r="T403" s="123">
        <f ca="1">OFFSET(CÁLCULO!H$15,ROW($T403)-ROW(T$15),0)</f>
        <v>0</v>
      </c>
      <c r="U403" s="124"/>
      <c r="V403" s="125" t="s">
        <v>663</v>
      </c>
      <c r="W403" s="123">
        <f ca="1">IF($C403="S",ROUND(IF(TIPOORCAMENTO="Proposto",ORÇAMENTO.CustoUnitario*(1+$AH403),ORÇAMENTO.PrecoUnitarioLicitado),15-13*$AF$10),0)</f>
        <v>0</v>
      </c>
      <c r="X403" s="126" cm="1">
        <f t="array" aca="1" ref="X403" ca="1">IF($C403="S",IF(OR(Import.TipoArredondamento&lt;&gt;"TransfereGOV",ACOMPANHAMENTO="BM"),VTOTAL1,SUM(OFFSET(CÁLCULO!$AA$15,ROW($X403)-ROW($X$15),1):OFFSET(CÁLCULO!$AL$15,ROW($X403)-ROW($X$15),-1))),IF($C403=0,0,ROUND(SomaAgrup,15-13*$AF$11)))</f>
        <v>0</v>
      </c>
      <c r="Y403" s="127" t="s">
        <v>752</v>
      </c>
      <c r="Z403" t="str">
        <f t="shared" ca="1" si="112"/>
        <v/>
      </c>
      <c r="AA403" s="128">
        <f ca="1">IF($C403="S",IF($Z403="CP",$X403,IF($Z403="RA",(($X403)*QCI!$AA$3),0)),SomaAgrup)</f>
        <v>0</v>
      </c>
      <c r="AB403" s="129">
        <f t="shared" ca="1" si="97"/>
        <v>0</v>
      </c>
      <c r="AC403" s="567" t="str">
        <f ca="1">IF($N403=""," ",
IF(AND($C403&lt;&gt;"S",OR($R403="",$R403="(digite a descrição aqui)")),"DESCRIÇÃO",
IF(AND($C403="S",OR($Q403&lt;&gt;0,$T403&gt;0,$U403&gt;0),$P403=0),"FONTE",
IF(AND($C403="S",$P403&lt;&gt;0,OR($T403&gt;0,$U403&gt;0),$Q403=0),"CÓDIGO",
IF(AND($C403="S",$P403&lt;&gt;0,$Q403&lt;&gt;0,$R403="(Código não identificado nas referências)"),"CÓDIGO N/ID",
IF(AND($C403="S",OR($R403="",$R403="(digite a descrição aqui)"),OR($Q403&lt;&gt;0,$T403&gt;0,$U403&gt;0)),"DESCRIÇÃO",
IF(AND($C403="S",$P403&lt;&gt;0,$Q403&lt;&gt;0,$S403=""),"UNIDADE",
IF(AND($C403="S",$P403&lt;&gt;0,$Q403&lt;&gt;0,$U403=0),"SEM CUSTO",
IF(AND(TIPOORCAMENTO="Licitado",$AL403=0,$AN403&gt;0),"SEM PREÇO",
IF(AND($C403="S",$P403&lt;&gt;0,$Q403&lt;&gt;0,$U403&gt;0,$V403=0),"BDI",
IF(OR(AND(TIPOORCAMENTO="Proposto",$AG403&lt;&gt;"",$AG403&gt;0,ORÇAMENTO.CustoUnitario&gt;$AG403),AND(TIPOORCAMENTO="LICITADO",ORÇAMENTO.PrecoUnitarioLicitado&gt;$AN403)),"ACIMA REF.",
IF(AND($C403="S",$P403&lt;&gt;0,$Q403&lt;&gt;0,$T403=0,$U403&gt;0),"QUANT.",
IF(AND(Import.TipoArredondamento="TransfereGOV",$L403="F",$C403="S",LEN($Q403)&gt;13),"Código &gt;13",
IF(AND(Import.TipoArredondamento="TransfereGOV",$L403="F",$C403&lt;&gt;"S",LEN($R403)&gt;100),"Descrição &gt;100",
IF(AND(Import.TipoArredondamento="TransfereGOV",$L403="F",$C403="S",LEN($R403)&gt;500),"Descrição &gt;500",
IF(AND(Import.TipoArredondamento="TransfereGOV",$L403="F",$C403="S",LEFT(TRIM(UPPER($P403)),6)&lt;&gt;"SINAPI",ISNA(VLOOKUP(TRIM(UPPER($S403)),ListaTgov.Unidades,1,FALSE))),"Unid. Não Disp",
" "))))))))))))))))</f>
        <v xml:space="preserve"> </v>
      </c>
      <c r="AD403">
        <f ca="1">IF(C403&lt;=CRONO.NivelExibicao,MAX($AD$15:OFFSET(AD403,-1,0))+IF($C403&lt;&gt;1,1,MAX(1,COUNTIF(QCI!$A$13:$A$24,OFFSET($E403,-1,0)))),"")</f>
        <v>25</v>
      </c>
      <c r="AE403" s="7" t="b">
        <f ca="1">IF(AND($C403="S",ORÇAMENTO.CodBarra&lt;&gt;""),IF(ORÇAMENTO.Fonte="",ORÇAMENTO.CodBarra,CONCATENATE(ORÇAMENTO.Fonte," ",ORÇAMENTO.CodBarra)))</f>
        <v>0</v>
      </c>
      <c r="AF403" s="12" t="str">
        <f ca="1">IF(ISERROR(INDIRECT(ORÇAMENTO.BancoRef)),"(abra o arquivo 'Referência "&amp;Excel_BuiltIn_Database&amp;".xlsm)",IF(OR($C403&lt;&gt;"S",ORÇAMENTO.CodBarra=""),"(Sem Código)",IF(ISERROR(MATCH($AE403,INDIRECT(ORÇAMENTO.BancoRef),0)),"(Código não identificado nas referências)",MATCH($AE403,INDIRECT(ORÇAMENTO.BancoRef),0))))</f>
        <v>(abra o arquivo 'Referência 12-2024.xlsm)</v>
      </c>
      <c r="AG403" s="429">
        <f ca="1">ROUND(IF(DESONERACAO="sim",REFERENCIA.Desonerado,REFERENCIA.NaoDesonerado),2)</f>
        <v>0</v>
      </c>
      <c r="AH403" s="430">
        <f t="shared" ca="1" si="98"/>
        <v>0.31190000000000001</v>
      </c>
      <c r="AJ403" s="432"/>
      <c r="AL403" s="440"/>
      <c r="AM403" s="337">
        <f t="shared" ca="1" si="100"/>
        <v>0</v>
      </c>
      <c r="AN403" s="471">
        <f t="shared" ca="1" si="99"/>
        <v>0</v>
      </c>
    </row>
    <row r="404" spans="1:40" x14ac:dyDescent="0.2">
      <c r="A404" t="str">
        <f t="shared" si="84"/>
        <v>S</v>
      </c>
      <c r="B404">
        <f t="shared" ca="1" si="101"/>
        <v>2</v>
      </c>
      <c r="C404" t="str">
        <f t="shared" ca="1" si="102"/>
        <v>S</v>
      </c>
      <c r="D404">
        <f t="shared" ca="1" si="103"/>
        <v>0</v>
      </c>
      <c r="E404">
        <f ca="1">IF($C404=1,OFFSET(E404,-1,0)+MAX(1,COUNTIF(QCI!$A$13:$A$24,OFFSET(ORÇAMENTO!E404,-1,0))),OFFSET(E404,-1,0))</f>
        <v>1</v>
      </c>
      <c r="F404">
        <f t="shared" ca="1" si="104"/>
        <v>24</v>
      </c>
      <c r="G404">
        <f t="shared" ca="1" si="105"/>
        <v>0</v>
      </c>
      <c r="H404">
        <f t="shared" ca="1" si="106"/>
        <v>0</v>
      </c>
      <c r="I404">
        <f t="shared" ca="1" si="107"/>
        <v>0</v>
      </c>
      <c r="J404">
        <f t="shared" ca="1" si="108"/>
        <v>0</v>
      </c>
      <c r="K404">
        <f ca="1">IF(OR($C404="S",$C404=0),0,MATCH(OFFSET($D404,0,$C404)+IF($C404&lt;&gt;1,1,COUNTIF(QCI!$A$13:$A$24,ORÇAMENTO!E404)),OFFSET($D404,1,$C404,ROW($C$405)-ROW($C404)),0))</f>
        <v>0</v>
      </c>
      <c r="L404" s="115" t="str">
        <f t="shared" ca="1" si="109"/>
        <v/>
      </c>
      <c r="M404" s="116" t="s">
        <v>706</v>
      </c>
      <c r="N404" s="117" t="str">
        <f t="shared" ca="1" si="110"/>
        <v>Serviço</v>
      </c>
      <c r="O404" s="118" t="str">
        <f t="shared" ca="1" si="111"/>
        <v>-</v>
      </c>
      <c r="P404" s="119" t="s">
        <v>751</v>
      </c>
      <c r="Q404" s="120" t="s">
        <v>1167</v>
      </c>
      <c r="R404" s="121" t="s">
        <v>1539</v>
      </c>
      <c r="S404" s="122" t="s">
        <v>615</v>
      </c>
      <c r="T404" s="123">
        <f ca="1">OFFSET(CÁLCULO!H$15,ROW($T404)-ROW(T$15),0)</f>
        <v>160</v>
      </c>
      <c r="U404" s="124"/>
      <c r="V404" s="125" t="s">
        <v>663</v>
      </c>
      <c r="W404" s="123">
        <f ca="1">IF($C404="S",ROUND(IF(TIPOORCAMENTO="Proposto",ORÇAMENTO.CustoUnitario*(1+$AH404),ORÇAMENTO.PrecoUnitarioLicitado),15-13*$AF$10),0)</f>
        <v>0</v>
      </c>
      <c r="X404" s="126" cm="1">
        <f t="array" aca="1" ref="X404" ca="1">IF($C404="S",IF(OR(Import.TipoArredondamento&lt;&gt;"TransfereGOV",ACOMPANHAMENTO="BM"),VTOTAL1,SUM(OFFSET(CÁLCULO!$AA$15,ROW($X404)-ROW($X$15),1):OFFSET(CÁLCULO!$AL$15,ROW($X404)-ROW($X$15),-1))),IF($C404=0,0,ROUND(SomaAgrup,15-13*$AF$11)))</f>
        <v>0</v>
      </c>
      <c r="Y404" s="127" t="s">
        <v>752</v>
      </c>
      <c r="Z404" t="str">
        <f t="shared" ca="1" si="112"/>
        <v/>
      </c>
      <c r="AA404" s="128">
        <f ca="1">IF($C404="S",IF($Z404="CP",$X404,IF($Z404="RA",(($X404)*QCI!$AA$3),0)),SomaAgrup)</f>
        <v>0</v>
      </c>
      <c r="AB404" s="129">
        <f t="shared" ca="1" si="97"/>
        <v>0</v>
      </c>
      <c r="AC404" s="567" t="str">
        <f ca="1">IF($N404=""," ",
IF(AND($C404&lt;&gt;"S",OR($R404="",$R404="(digite a descrição aqui)")),"DESCRIÇÃO",
IF(AND($C404="S",OR($Q404&lt;&gt;0,$T404&gt;0,$U404&gt;0),$P404=0),"FONTE",
IF(AND($C404="S",$P404&lt;&gt;0,OR($T404&gt;0,$U404&gt;0),$Q404=0),"CÓDIGO",
IF(AND($C404="S",$P404&lt;&gt;0,$Q404&lt;&gt;0,$R404="(Código não identificado nas referências)"),"CÓDIGO N/ID",
IF(AND($C404="S",OR($R404="",$R404="(digite a descrição aqui)"),OR($Q404&lt;&gt;0,$T404&gt;0,$U404&gt;0)),"DESCRIÇÃO",
IF(AND($C404="S",$P404&lt;&gt;0,$Q404&lt;&gt;0,$S404=""),"UNIDADE",
IF(AND($C404="S",$P404&lt;&gt;0,$Q404&lt;&gt;0,$U404=0),"SEM CUSTO",
IF(AND(TIPOORCAMENTO="Licitado",$AL404=0,$AN404&gt;0),"SEM PREÇO",
IF(AND($C404="S",$P404&lt;&gt;0,$Q404&lt;&gt;0,$U404&gt;0,$V404=0),"BDI",
IF(OR(AND(TIPOORCAMENTO="Proposto",$AG404&lt;&gt;"",$AG404&gt;0,ORÇAMENTO.CustoUnitario&gt;$AG404),AND(TIPOORCAMENTO="LICITADO",ORÇAMENTO.PrecoUnitarioLicitado&gt;$AN404)),"ACIMA REF.",
IF(AND($C404="S",$P404&lt;&gt;0,$Q404&lt;&gt;0,$T404=0,$U404&gt;0),"QUANT.",
IF(AND(Import.TipoArredondamento="TransfereGOV",$L404="F",$C404="S",LEN($Q404)&gt;13),"Código &gt;13",
IF(AND(Import.TipoArredondamento="TransfereGOV",$L404="F",$C404&lt;&gt;"S",LEN($R404)&gt;100),"Descrição &gt;100",
IF(AND(Import.TipoArredondamento="TransfereGOV",$L404="F",$C404="S",LEN($R404)&gt;500),"Descrição &gt;500",
IF(AND(Import.TipoArredondamento="TransfereGOV",$L404="F",$C404="S",LEFT(TRIM(UPPER($P404)),6)&lt;&gt;"SINAPI",ISNA(VLOOKUP(TRIM(UPPER($S404)),ListaTgov.Unidades,1,FALSE))),"Unid. Não Disp",
" "))))))))))))))))</f>
        <v>SEM CUSTO</v>
      </c>
      <c r="AD404" t="str">
        <f ca="1">IF(C404&lt;=CRONO.NivelExibicao,MAX($AD$15:OFFSET(AD404,-1,0))+IF($C404&lt;&gt;1,1,MAX(1,COUNTIF(QCI!$A$13:$A$24,OFFSET($E404,-1,0)))),"")</f>
        <v/>
      </c>
      <c r="AE404" s="7" t="str">
        <f ca="1">IF(AND($C404="S",ORÇAMENTO.CodBarra&lt;&gt;""),IF(ORÇAMENTO.Fonte="",ORÇAMENTO.CodBarra,CONCATENATE(ORÇAMENTO.Fonte," ",ORÇAMENTO.CodBarra)))</f>
        <v>SINAPI 88316</v>
      </c>
      <c r="AF404" s="12" t="str">
        <f ca="1">IF(ISERROR(INDIRECT(ORÇAMENTO.BancoRef)),"(abra o arquivo 'Referência "&amp;Excel_BuiltIn_Database&amp;".xlsm)",IF(OR($C404&lt;&gt;"S",ORÇAMENTO.CodBarra=""),"(Sem Código)",IF(ISERROR(MATCH($AE404,INDIRECT(ORÇAMENTO.BancoRef),0)),"(Código não identificado nas referências)",MATCH($AE404,INDIRECT(ORÇAMENTO.BancoRef),0))))</f>
        <v>(abra o arquivo 'Referência 12-2024.xlsm)</v>
      </c>
      <c r="AG404" s="429">
        <f ca="1">ROUND(IF(DESONERACAO="sim",REFERENCIA.Desonerado,REFERENCIA.NaoDesonerado),2)</f>
        <v>0</v>
      </c>
      <c r="AH404" s="430">
        <f t="shared" ca="1" si="98"/>
        <v>0.31190000000000001</v>
      </c>
      <c r="AJ404" s="432">
        <v>160</v>
      </c>
      <c r="AL404" s="440"/>
      <c r="AM404" s="337">
        <f t="shared" ca="1" si="100"/>
        <v>0</v>
      </c>
      <c r="AN404" s="471">
        <f t="shared" ca="1" si="99"/>
        <v>0</v>
      </c>
    </row>
    <row r="405" spans="1:40" ht="5.0999999999999996" customHeight="1" x14ac:dyDescent="0.2">
      <c r="A405">
        <v>-1</v>
      </c>
      <c r="C405">
        <v>-1</v>
      </c>
      <c r="E405">
        <v>0</v>
      </c>
      <c r="F405">
        <v>0</v>
      </c>
      <c r="G405">
        <v>0</v>
      </c>
      <c r="H405">
        <v>0</v>
      </c>
      <c r="I405">
        <v>0</v>
      </c>
      <c r="L405" s="115" t="s">
        <v>536</v>
      </c>
      <c r="M405" s="609"/>
      <c r="N405" s="425"/>
      <c r="O405" s="609"/>
      <c r="P405" s="610"/>
      <c r="Q405" s="610"/>
      <c r="R405" s="610"/>
      <c r="S405" s="610"/>
      <c r="T405" s="610"/>
      <c r="U405" s="610"/>
      <c r="V405" s="610"/>
      <c r="W405" s="610"/>
      <c r="X405" s="425"/>
      <c r="Y405" s="425"/>
      <c r="AC405" s="567" t="str">
        <f>IF($N405=""," ",
IF(AND($C405&lt;&gt;"S",OR($R405="",$R405="(digite a descrição aqui)")),"DESCRIÇÃO",
IF(AND($C405="S",OR($Q405&lt;&gt;0,$T405&gt;0,$U405&gt;0),$P405=0),"FONTE",
IF(AND($C405="S",$P405&lt;&gt;0,OR($T405&gt;0,$U405&gt;0),$Q405=0),"CÓDIGO",
IF(AND($C405="S",$P405&lt;&gt;0,$Q405&lt;&gt;0,$R405="(Código não identificado nas referências)"),"CÓDIGO N/ID",
IF(AND($C405="S",OR($R405="",$R405="(digite a descrição aqui)"),OR($Q405&lt;&gt;0,$T405&gt;0,$U405&gt;0)),"DESCRIÇÃO",
IF(AND($C405="S",$P405&lt;&gt;0,$Q405&lt;&gt;0,$S405=""),"UNIDADE",
IF(AND($C405="S",$P405&lt;&gt;0,$Q405&lt;&gt;0,$U405=0),"SEM CUSTO",
IF(AND(TIPOORCAMENTO="Licitado",$AL405=0,$AN405&gt;0),"SEM PREÇO",
IF(AND($C405="S",$P405&lt;&gt;0,$Q405&lt;&gt;0,$U405&gt;0,$V405=0),"BDI",
IF(OR(AND(TIPOORCAMENTO="Proposto",$AG405&lt;&gt;"",$AG405&gt;0,ORÇAMENTO.CustoUnitario&gt;$AG405),AND(TIPOORCAMENTO="LICITADO",ORÇAMENTO.PrecoUnitarioLicitado&gt;$AN405)),"ACIMA REF.",
IF(AND($C405="S",$P405&lt;&gt;0,$Q405&lt;&gt;0,$T405=0,$U405&gt;0),"QUANT.",
IF(AND(Import.TipoArredondamento="TransfereGOV",$L405="F",$C405="S",LEN($Q405)&gt;13),"Código &gt;13",
IF(AND(Import.TipoArredondamento="TransfereGOV",$L405="F",$C405&lt;&gt;"S",LEN($R405)&gt;100),"Descrição &gt;100",
IF(AND(Import.TipoArredondamento="TransfereGOV",$L405="F",$C405="S",LEN($R405)&gt;500),"Descrição &gt;500",
IF(AND(Import.TipoArredondamento="TransfereGOV",$L405="F",$C405="S",LEFT(TRIM(UPPER($P405)),6)&lt;&gt;"SINAPI",ISNA(VLOOKUP(TRIM(UPPER($S405)),ListaTgov.Unidades,1,FALSE))),"Unid. Não Disp",
" "))))))))))))))))</f>
        <v xml:space="preserve"> </v>
      </c>
      <c r="AG405" s="611"/>
      <c r="AH405" s="420"/>
      <c r="AJ405" s="426"/>
      <c r="AL405" s="611"/>
      <c r="AM405" s="612"/>
      <c r="AN405" s="420"/>
    </row>
    <row r="408" spans="1:40" ht="14.25" x14ac:dyDescent="0.2">
      <c r="O408" s="135" t="s">
        <v>754</v>
      </c>
      <c r="Q408" s="706" t="s">
        <v>755</v>
      </c>
      <c r="R408" s="706"/>
      <c r="S408" s="706"/>
      <c r="T408" s="706"/>
      <c r="U408" s="706"/>
      <c r="V408" s="706"/>
      <c r="W408" s="706"/>
      <c r="X408" s="706"/>
    </row>
    <row r="410" spans="1:40" ht="14.25" x14ac:dyDescent="0.2">
      <c r="O410" s="136" t="s">
        <v>690</v>
      </c>
      <c r="X410" s="4"/>
    </row>
    <row r="411" spans="1:40" ht="12.75" customHeight="1" x14ac:dyDescent="0.2">
      <c r="O411" s="707"/>
      <c r="P411" s="707"/>
      <c r="Q411" s="707"/>
      <c r="R411" s="707"/>
      <c r="S411" s="707"/>
      <c r="T411" s="707"/>
      <c r="U411" s="707"/>
      <c r="V411" s="707"/>
      <c r="W411" s="707"/>
      <c r="X411" s="707"/>
    </row>
    <row r="412" spans="1:40" x14ac:dyDescent="0.2">
      <c r="O412" s="707"/>
      <c r="P412" s="707"/>
      <c r="Q412" s="707"/>
      <c r="R412" s="707"/>
      <c r="S412" s="707"/>
      <c r="T412" s="707"/>
      <c r="U412" s="707"/>
      <c r="V412" s="707"/>
      <c r="W412" s="707"/>
      <c r="X412" s="707"/>
    </row>
    <row r="413" spans="1:40" x14ac:dyDescent="0.2">
      <c r="O413" s="707"/>
      <c r="P413" s="707"/>
      <c r="Q413" s="707"/>
      <c r="R413" s="707"/>
      <c r="S413" s="707"/>
      <c r="T413" s="707"/>
      <c r="U413" s="707"/>
      <c r="V413" s="707"/>
      <c r="W413" s="707"/>
      <c r="X413" s="707"/>
    </row>
    <row r="414" spans="1:40" ht="14.25" x14ac:dyDescent="0.2">
      <c r="O414" s="444"/>
      <c r="P414" s="444"/>
      <c r="Q414" s="444"/>
      <c r="R414" s="444"/>
      <c r="S414" s="444"/>
      <c r="T414" s="444"/>
      <c r="U414" s="444"/>
      <c r="V414" s="444"/>
      <c r="W414" s="444"/>
      <c r="X414" s="444"/>
      <c r="Y414" s="444"/>
      <c r="Z414" s="137"/>
      <c r="AA414" s="137"/>
      <c r="AB414" s="137"/>
    </row>
    <row r="415" spans="1:40" ht="15" x14ac:dyDescent="0.25">
      <c r="O415" s="708" t="str">
        <f>IF(AND($AF$7=FALSE,$AF$8=FALSE,$AF$9=FALSE,$AF$10=FALSE,$AF$11=FALSE),"Não foi considerado arredondamento nos valores da planilha.",CONCATENATE("Foi considerado arredondamento de duas casas decimais para ",IF($AF$7=TRUE,"Quantidade; ",""),IF($AF$8=TRUE,"Custo Unitário; ",""),IF($AF$9=TRUE,"BDI; ",""),IF($AF$10=TRUE,"Preço Unitário; ",""),IF($AF$11=TRUE,"Preço Total.","")))</f>
        <v>Foi considerado arredondamento de duas casas decimais para Quantidade; Custo Unitário; BDI; Preço Unitário; Preço Total.</v>
      </c>
      <c r="P415" s="708"/>
      <c r="Q415" s="708"/>
      <c r="R415" s="708"/>
      <c r="S415" s="708"/>
      <c r="T415" s="708"/>
      <c r="U415" s="708"/>
      <c r="V415" s="708"/>
      <c r="W415" s="708"/>
      <c r="X415" s="708"/>
      <c r="Y415" s="138"/>
      <c r="Z415" s="138"/>
      <c r="AA415" s="138"/>
      <c r="AB415" s="138"/>
    </row>
    <row r="416" spans="1:40" ht="15" customHeight="1" x14ac:dyDescent="0.25">
      <c r="O416" s="710" t="s">
        <v>756</v>
      </c>
      <c r="P416" s="710"/>
      <c r="Q416" s="710"/>
      <c r="R416" s="710"/>
      <c r="S416" s="710"/>
      <c r="T416" s="710"/>
      <c r="U416" s="710"/>
      <c r="V416" s="710"/>
      <c r="W416" s="710"/>
      <c r="X416" s="710"/>
      <c r="Y416" s="138"/>
      <c r="Z416" s="138"/>
      <c r="AA416" s="138"/>
      <c r="AB416" s="138"/>
    </row>
    <row r="418" spans="15:23" ht="30" customHeight="1" x14ac:dyDescent="0.2">
      <c r="O418" s="709" t="str">
        <f>Import.Município</f>
        <v>Caçador/SC</v>
      </c>
      <c r="P418" s="709"/>
      <c r="Q418" s="709"/>
      <c r="S418" s="461"/>
      <c r="T418" s="461"/>
      <c r="U418" s="461"/>
      <c r="V418" s="461"/>
      <c r="W418" s="418"/>
    </row>
    <row r="419" spans="15:23" x14ac:dyDescent="0.2">
      <c r="O419" s="9" t="s">
        <v>694</v>
      </c>
      <c r="S419" s="182" t="s">
        <v>697</v>
      </c>
      <c r="T419" s="182"/>
      <c r="U419" s="182"/>
      <c r="V419" s="182"/>
    </row>
    <row r="420" spans="15:23" x14ac:dyDescent="0.2">
      <c r="S420" s="77" t="s">
        <v>240</v>
      </c>
      <c r="T420" s="78">
        <f t="array" ref="T420:T422">Import.RespOrçamento</f>
        <v>0</v>
      </c>
      <c r="V420" s="79"/>
    </row>
    <row r="421" spans="15:23" x14ac:dyDescent="0.2">
      <c r="O421" s="703">
        <f>DADOS!$C$25</f>
        <v>0</v>
      </c>
      <c r="P421" s="703"/>
      <c r="Q421" s="703"/>
      <c r="S421" s="77" t="s">
        <v>243</v>
      </c>
      <c r="T421" s="78">
        <v>0</v>
      </c>
      <c r="U421" s="79"/>
      <c r="V421" s="79"/>
    </row>
    <row r="422" spans="15:23" x14ac:dyDescent="0.2">
      <c r="O422" s="141" t="s">
        <v>695</v>
      </c>
      <c r="P422" s="1"/>
      <c r="Q422" s="1"/>
      <c r="S422" s="77" t="s">
        <v>246</v>
      </c>
      <c r="T422" s="78">
        <v>0</v>
      </c>
      <c r="U422" s="79"/>
      <c r="V422" s="79"/>
    </row>
  </sheetData>
  <sheetProtection algorithmName="SHA-512" hashValue="owNsMR3hZYCIuuRM5oAInmMi06kjA6XAqqvtCOxPJWKO4Ob1vmErIRcSGGVN+zKhrvualCm2w6SZcC+ETPFQnQ==" saltValue="AVtX10Ob9F4eLhuDocCyNQ==" spinCount="100000" sheet="1" objects="1" scenarios="1" autoFilter="0"/>
  <autoFilter ref="L15:L405" xr:uid="{00000000-0001-0000-0400-000000000000}"/>
  <mergeCells count="24">
    <mergeCell ref="AE5:AF5"/>
    <mergeCell ref="O7:P7"/>
    <mergeCell ref="S7:U7"/>
    <mergeCell ref="AL7:AL11"/>
    <mergeCell ref="Y8:Y12"/>
    <mergeCell ref="Z8:Z12"/>
    <mergeCell ref="AA12:AB12"/>
    <mergeCell ref="AJ7:AJ11"/>
    <mergeCell ref="O4:P4"/>
    <mergeCell ref="S4:X4"/>
    <mergeCell ref="O5:P5"/>
    <mergeCell ref="S5:X5"/>
    <mergeCell ref="F8:K8"/>
    <mergeCell ref="L8:L12"/>
    <mergeCell ref="O8:P8"/>
    <mergeCell ref="S8:U8"/>
    <mergeCell ref="F9:K9"/>
    <mergeCell ref="O421:Q421"/>
    <mergeCell ref="O15:R15"/>
    <mergeCell ref="Q408:X408"/>
    <mergeCell ref="O411:X413"/>
    <mergeCell ref="O415:X415"/>
    <mergeCell ref="O418:Q418"/>
    <mergeCell ref="O416:X416"/>
  </mergeCells>
  <phoneticPr fontId="38" type="noConversion"/>
  <conditionalFormatting sqref="M14 M52:M59">
    <cfRule type="cellIs" dxfId="1081" priority="29783" stopIfTrue="1" operator="notEqual">
      <formula>$N14</formula>
    </cfRule>
  </conditionalFormatting>
  <conditionalFormatting sqref="N14:O14 R14 W14 N52:O59 R52:R59 W52:X59">
    <cfRule type="expression" dxfId="1080" priority="29784" stopIfTrue="1">
      <formula>$C14=1</formula>
    </cfRule>
    <cfRule type="expression" dxfId="1079" priority="29785" stopIfTrue="1">
      <formula>OR($C14=0,$C14=2,$C14=3,$C14=4)</formula>
    </cfRule>
  </conditionalFormatting>
  <conditionalFormatting sqref="U14:V14 U52:V59">
    <cfRule type="expression" dxfId="1078" priority="29786" stopIfTrue="1">
      <formula>$C14=1</formula>
    </cfRule>
    <cfRule type="expression" dxfId="1077" priority="29787" stopIfTrue="1">
      <formula>OR($C14=0,$C14=2,$C14=3,$C14=4)</formula>
    </cfRule>
    <cfRule type="expression" dxfId="1076" priority="29788" stopIfTrue="1">
      <formula>AND(TIPOORCAMENTO="Licitado",$C14&lt;&gt;"L",$C14&lt;&gt;-1)</formula>
    </cfRule>
  </conditionalFormatting>
  <conditionalFormatting sqref="P14:Q14 S14:T14 Y14 AG14:AH14 P52:Q59 S52:T59 Y52:Y59 AG52:AH59">
    <cfRule type="expression" dxfId="1075" priority="29789" stopIfTrue="1">
      <formula>$C14=1</formula>
    </cfRule>
    <cfRule type="expression" dxfId="1074" priority="29790" stopIfTrue="1">
      <formula>OR($C14=0,$C14=2,$C14=3,$C14=4)</formula>
    </cfRule>
  </conditionalFormatting>
  <conditionalFormatting sqref="AJ7:AJ405">
    <cfRule type="expression" dxfId="1073" priority="29791" stopIfTrue="1">
      <formula>OR(ACOMPANHAMENTO&lt;&gt;"BM",TIPOORCAMENTO="Licitado")</formula>
    </cfRule>
    <cfRule type="expression" dxfId="1072" priority="29792" stopIfTrue="1">
      <formula>$C7=1</formula>
    </cfRule>
    <cfRule type="expression" dxfId="1071" priority="29793" stopIfTrue="1">
      <formula>OR(AND(ISNUMBER($C7),$C7=0),$C7=2,$C7=3,$C7=4)</formula>
    </cfRule>
  </conditionalFormatting>
  <conditionalFormatting sqref="AL7:AL405">
    <cfRule type="expression" dxfId="1070" priority="29794" stopIfTrue="1">
      <formula>TIPOORCAMENTO="PROPOSTO"</formula>
    </cfRule>
    <cfRule type="expression" dxfId="1069" priority="29795" stopIfTrue="1">
      <formula>$C7=1</formula>
    </cfRule>
    <cfRule type="expression" dxfId="1068" priority="29796" stopIfTrue="1">
      <formula>OR(AND(ISNUMBER($C7),$C7=0),$C7=2,$C7=3,$C7=4)</formula>
    </cfRule>
  </conditionalFormatting>
  <conditionalFormatting sqref="O8:P8">
    <cfRule type="expression" dxfId="1067" priority="29800" stopIfTrue="1">
      <formula>ISERROR(INDIRECT($F$9))</formula>
    </cfRule>
  </conditionalFormatting>
  <conditionalFormatting sqref="S7:V8">
    <cfRule type="expression" dxfId="1066" priority="29801" stopIfTrue="1">
      <formula>TIPOORCAMENTO="Proposto"</formula>
    </cfRule>
  </conditionalFormatting>
  <conditionalFormatting sqref="S9:V9">
    <cfRule type="expression" dxfId="1065" priority="29748" stopIfTrue="1">
      <formula>TIPOORCAMENTO="Proposto"</formula>
    </cfRule>
  </conditionalFormatting>
  <conditionalFormatting sqref="AM7:AN405">
    <cfRule type="expression" dxfId="1064" priority="29797" stopIfTrue="1">
      <formula>TIPOORCAMENTO="PROPOSTO"</formula>
    </cfRule>
    <cfRule type="expression" dxfId="1063" priority="29798" stopIfTrue="1">
      <formula>$C7=1</formula>
    </cfRule>
    <cfRule type="expression" dxfId="1062" priority="29799" stopIfTrue="1">
      <formula>OR(AND(ISNUMBER($C7),$C7=0),$C7=2,$C7=3,$C7=4)</formula>
    </cfRule>
  </conditionalFormatting>
  <conditionalFormatting sqref="R14 R52:R59">
    <cfRule type="beginsWith" dxfId="1061" priority="17093" operator="beginsWith" text="(">
      <formula>LEFT(R14,LEN("("))="("</formula>
    </cfRule>
  </conditionalFormatting>
  <conditionalFormatting sqref="X14">
    <cfRule type="expression" dxfId="1060" priority="15373" stopIfTrue="1">
      <formula>$C14=1</formula>
    </cfRule>
    <cfRule type="expression" dxfId="1059" priority="15374" stopIfTrue="1">
      <formula>OR($C14=0,$C14=2,$C14=3,$C14=4)</formula>
    </cfRule>
  </conditionalFormatting>
  <conditionalFormatting sqref="AC11">
    <cfRule type="cellIs" dxfId="1058" priority="6208" operator="equal">
      <formula>"OK"</formula>
    </cfRule>
  </conditionalFormatting>
  <conditionalFormatting sqref="M16:M24">
    <cfRule type="cellIs" dxfId="1057" priority="488" stopIfTrue="1" operator="notEqual">
      <formula>$N16</formula>
    </cfRule>
  </conditionalFormatting>
  <conditionalFormatting sqref="N16:O24 R16:R24 W16:W24">
    <cfRule type="expression" dxfId="1056" priority="489" stopIfTrue="1">
      <formula>$C16=1</formula>
    </cfRule>
    <cfRule type="expression" dxfId="1055" priority="490" stopIfTrue="1">
      <formula>OR($C16=0,$C16=2,$C16=3,$C16=4)</formula>
    </cfRule>
  </conditionalFormatting>
  <conditionalFormatting sqref="U16:V24">
    <cfRule type="expression" dxfId="1054" priority="491" stopIfTrue="1">
      <formula>$C16=1</formula>
    </cfRule>
    <cfRule type="expression" dxfId="1053" priority="492" stopIfTrue="1">
      <formula>OR($C16=0,$C16=2,$C16=3,$C16=4)</formula>
    </cfRule>
    <cfRule type="expression" dxfId="1052" priority="493" stopIfTrue="1">
      <formula>AND(TIPOORCAMENTO="Licitado",$C16&lt;&gt;"L",$C16&lt;&gt;-1)</formula>
    </cfRule>
  </conditionalFormatting>
  <conditionalFormatting sqref="P16:Q24 S16:T24 Y16:Y24 AG16:AH24">
    <cfRule type="expression" dxfId="1051" priority="494" stopIfTrue="1">
      <formula>$C16=1</formula>
    </cfRule>
    <cfRule type="expression" dxfId="1050" priority="495" stopIfTrue="1">
      <formula>OR($C16=0,$C16=2,$C16=3,$C16=4)</formula>
    </cfRule>
  </conditionalFormatting>
  <conditionalFormatting sqref="R16:R24">
    <cfRule type="beginsWith" dxfId="1049" priority="487" operator="beginsWith" text="(">
      <formula>LEFT(R16,LEN("("))="("</formula>
    </cfRule>
  </conditionalFormatting>
  <conditionalFormatting sqref="X16:X24">
    <cfRule type="expression" dxfId="1048" priority="485" stopIfTrue="1">
      <formula>$C16=1</formula>
    </cfRule>
    <cfRule type="expression" dxfId="1047" priority="486" stopIfTrue="1">
      <formula>OR($C16=0,$C16=2,$C16=3,$C16=4)</formula>
    </cfRule>
  </conditionalFormatting>
  <conditionalFormatting sqref="M25:M33">
    <cfRule type="cellIs" dxfId="1046" priority="477" stopIfTrue="1" operator="notEqual">
      <formula>$N25</formula>
    </cfRule>
  </conditionalFormatting>
  <conditionalFormatting sqref="N25:O33 R25:R33 W25:W33">
    <cfRule type="expression" dxfId="1045" priority="478" stopIfTrue="1">
      <formula>$C25=1</formula>
    </cfRule>
    <cfRule type="expression" dxfId="1044" priority="479" stopIfTrue="1">
      <formula>OR($C25=0,$C25=2,$C25=3,$C25=4)</formula>
    </cfRule>
  </conditionalFormatting>
  <conditionalFormatting sqref="U25:V33">
    <cfRule type="expression" dxfId="1043" priority="480" stopIfTrue="1">
      <formula>$C25=1</formula>
    </cfRule>
    <cfRule type="expression" dxfId="1042" priority="481" stopIfTrue="1">
      <formula>OR($C25=0,$C25=2,$C25=3,$C25=4)</formula>
    </cfRule>
    <cfRule type="expression" dxfId="1041" priority="482" stopIfTrue="1">
      <formula>AND(TIPOORCAMENTO="Licitado",$C25&lt;&gt;"L",$C25&lt;&gt;-1)</formula>
    </cfRule>
  </conditionalFormatting>
  <conditionalFormatting sqref="P25:Q33 S25:T33 Y25:Y33 AG25:AH33">
    <cfRule type="expression" dxfId="1040" priority="483" stopIfTrue="1">
      <formula>$C25=1</formula>
    </cfRule>
    <cfRule type="expression" dxfId="1039" priority="484" stopIfTrue="1">
      <formula>OR($C25=0,$C25=2,$C25=3,$C25=4)</formula>
    </cfRule>
  </conditionalFormatting>
  <conditionalFormatting sqref="R25:R33">
    <cfRule type="beginsWith" dxfId="1038" priority="476" operator="beginsWith" text="(">
      <formula>LEFT(R25,LEN("("))="("</formula>
    </cfRule>
  </conditionalFormatting>
  <conditionalFormatting sqref="X25:X33">
    <cfRule type="expression" dxfId="1037" priority="474" stopIfTrue="1">
      <formula>$C25=1</formula>
    </cfRule>
    <cfRule type="expression" dxfId="1036" priority="475" stopIfTrue="1">
      <formula>OR($C25=0,$C25=2,$C25=3,$C25=4)</formula>
    </cfRule>
  </conditionalFormatting>
  <conditionalFormatting sqref="M34:M42">
    <cfRule type="cellIs" dxfId="1035" priority="466" stopIfTrue="1" operator="notEqual">
      <formula>$N34</formula>
    </cfRule>
  </conditionalFormatting>
  <conditionalFormatting sqref="N34:O42 R34:R42 W34:W42">
    <cfRule type="expression" dxfId="1034" priority="467" stopIfTrue="1">
      <formula>$C34=1</formula>
    </cfRule>
    <cfRule type="expression" dxfId="1033" priority="468" stopIfTrue="1">
      <formula>OR($C34=0,$C34=2,$C34=3,$C34=4)</formula>
    </cfRule>
  </conditionalFormatting>
  <conditionalFormatting sqref="U34:V42">
    <cfRule type="expression" dxfId="1032" priority="469" stopIfTrue="1">
      <formula>$C34=1</formula>
    </cfRule>
    <cfRule type="expression" dxfId="1031" priority="470" stopIfTrue="1">
      <formula>OR($C34=0,$C34=2,$C34=3,$C34=4)</formula>
    </cfRule>
    <cfRule type="expression" dxfId="1030" priority="471" stopIfTrue="1">
      <formula>AND(TIPOORCAMENTO="Licitado",$C34&lt;&gt;"L",$C34&lt;&gt;-1)</formula>
    </cfRule>
  </conditionalFormatting>
  <conditionalFormatting sqref="P34:Q42 S34:T42 Y34:Y42 AG34:AH42">
    <cfRule type="expression" dxfId="1029" priority="472" stopIfTrue="1">
      <formula>$C34=1</formula>
    </cfRule>
    <cfRule type="expression" dxfId="1028" priority="473" stopIfTrue="1">
      <formula>OR($C34=0,$C34=2,$C34=3,$C34=4)</formula>
    </cfRule>
  </conditionalFormatting>
  <conditionalFormatting sqref="R34:R42">
    <cfRule type="beginsWith" dxfId="1027" priority="465" operator="beginsWith" text="(">
      <formula>LEFT(R34,LEN("("))="("</formula>
    </cfRule>
  </conditionalFormatting>
  <conditionalFormatting sqref="X34:X42">
    <cfRule type="expression" dxfId="1026" priority="463" stopIfTrue="1">
      <formula>$C34=1</formula>
    </cfRule>
    <cfRule type="expression" dxfId="1025" priority="464" stopIfTrue="1">
      <formula>OR($C34=0,$C34=2,$C34=3,$C34=4)</formula>
    </cfRule>
  </conditionalFormatting>
  <conditionalFormatting sqref="M43:M51">
    <cfRule type="cellIs" dxfId="1024" priority="455" stopIfTrue="1" operator="notEqual">
      <formula>$N43</formula>
    </cfRule>
  </conditionalFormatting>
  <conditionalFormatting sqref="N43:O51 R43:R51 W43:W51">
    <cfRule type="expression" dxfId="1023" priority="456" stopIfTrue="1">
      <formula>$C43=1</formula>
    </cfRule>
    <cfRule type="expression" dxfId="1022" priority="457" stopIfTrue="1">
      <formula>OR($C43=0,$C43=2,$C43=3,$C43=4)</formula>
    </cfRule>
  </conditionalFormatting>
  <conditionalFormatting sqref="U43:V51">
    <cfRule type="expression" dxfId="1021" priority="458" stopIfTrue="1">
      <formula>$C43=1</formula>
    </cfRule>
    <cfRule type="expression" dxfId="1020" priority="459" stopIfTrue="1">
      <formula>OR($C43=0,$C43=2,$C43=3,$C43=4)</formula>
    </cfRule>
    <cfRule type="expression" dxfId="1019" priority="460" stopIfTrue="1">
      <formula>AND(TIPOORCAMENTO="Licitado",$C43&lt;&gt;"L",$C43&lt;&gt;-1)</formula>
    </cfRule>
  </conditionalFormatting>
  <conditionalFormatting sqref="P43:Q51 S43:T51 Y43:Y51 AG43:AH51">
    <cfRule type="expression" dxfId="1018" priority="461" stopIfTrue="1">
      <formula>$C43=1</formula>
    </cfRule>
    <cfRule type="expression" dxfId="1017" priority="462" stopIfTrue="1">
      <formula>OR($C43=0,$C43=2,$C43=3,$C43=4)</formula>
    </cfRule>
  </conditionalFormatting>
  <conditionalFormatting sqref="R43:R51">
    <cfRule type="beginsWith" dxfId="1016" priority="454" operator="beginsWith" text="(">
      <formula>LEFT(R43,LEN("("))="("</formula>
    </cfRule>
  </conditionalFormatting>
  <conditionalFormatting sqref="X43:X51">
    <cfRule type="expression" dxfId="1015" priority="452" stopIfTrue="1">
      <formula>$C43=1</formula>
    </cfRule>
    <cfRule type="expression" dxfId="1014" priority="453" stopIfTrue="1">
      <formula>OR($C43=0,$C43=2,$C43=3,$C43=4)</formula>
    </cfRule>
  </conditionalFormatting>
  <conditionalFormatting sqref="M60:M68">
    <cfRule type="cellIs" dxfId="1013" priority="433" stopIfTrue="1" operator="notEqual">
      <formula>$N60</formula>
    </cfRule>
  </conditionalFormatting>
  <conditionalFormatting sqref="N60:O68 R60:R68 W60:W68">
    <cfRule type="expression" dxfId="1012" priority="434" stopIfTrue="1">
      <formula>$C60=1</formula>
    </cfRule>
    <cfRule type="expression" dxfId="1011" priority="435" stopIfTrue="1">
      <formula>OR($C60=0,$C60=2,$C60=3,$C60=4)</formula>
    </cfRule>
  </conditionalFormatting>
  <conditionalFormatting sqref="U60:V68">
    <cfRule type="expression" dxfId="1010" priority="436" stopIfTrue="1">
      <formula>$C60=1</formula>
    </cfRule>
    <cfRule type="expression" dxfId="1009" priority="437" stopIfTrue="1">
      <formula>OR($C60=0,$C60=2,$C60=3,$C60=4)</formula>
    </cfRule>
    <cfRule type="expression" dxfId="1008" priority="438" stopIfTrue="1">
      <formula>AND(TIPOORCAMENTO="Licitado",$C60&lt;&gt;"L",$C60&lt;&gt;-1)</formula>
    </cfRule>
  </conditionalFormatting>
  <conditionalFormatting sqref="P60:Q68 S60:T68 Y60:Y68 AG60:AH68">
    <cfRule type="expression" dxfId="1007" priority="439" stopIfTrue="1">
      <formula>$C60=1</formula>
    </cfRule>
    <cfRule type="expression" dxfId="1006" priority="440" stopIfTrue="1">
      <formula>OR($C60=0,$C60=2,$C60=3,$C60=4)</formula>
    </cfRule>
  </conditionalFormatting>
  <conditionalFormatting sqref="R60:R68">
    <cfRule type="beginsWith" dxfId="1005" priority="432" operator="beginsWith" text="(">
      <formula>LEFT(R60,LEN("("))="("</formula>
    </cfRule>
  </conditionalFormatting>
  <conditionalFormatting sqref="X60:X68">
    <cfRule type="expression" dxfId="1004" priority="430" stopIfTrue="1">
      <formula>$C60=1</formula>
    </cfRule>
    <cfRule type="expression" dxfId="1003" priority="431" stopIfTrue="1">
      <formula>OR($C60=0,$C60=2,$C60=3,$C60=4)</formula>
    </cfRule>
  </conditionalFormatting>
  <conditionalFormatting sqref="M69:M77">
    <cfRule type="cellIs" dxfId="1002" priority="422" stopIfTrue="1" operator="notEqual">
      <formula>$N69</formula>
    </cfRule>
  </conditionalFormatting>
  <conditionalFormatting sqref="N69:O77 R69:R77 W69:W77">
    <cfRule type="expression" dxfId="1001" priority="423" stopIfTrue="1">
      <formula>$C69=1</formula>
    </cfRule>
    <cfRule type="expression" dxfId="1000" priority="424" stopIfTrue="1">
      <formula>OR($C69=0,$C69=2,$C69=3,$C69=4)</formula>
    </cfRule>
  </conditionalFormatting>
  <conditionalFormatting sqref="U69:V77">
    <cfRule type="expression" dxfId="999" priority="425" stopIfTrue="1">
      <formula>$C69=1</formula>
    </cfRule>
    <cfRule type="expression" dxfId="998" priority="426" stopIfTrue="1">
      <formula>OR($C69=0,$C69=2,$C69=3,$C69=4)</formula>
    </cfRule>
    <cfRule type="expression" dxfId="997" priority="427" stopIfTrue="1">
      <formula>AND(TIPOORCAMENTO="Licitado",$C69&lt;&gt;"L",$C69&lt;&gt;-1)</formula>
    </cfRule>
  </conditionalFormatting>
  <conditionalFormatting sqref="P69:Q77 S69:T77 Y69:Y77 AG69:AH77">
    <cfRule type="expression" dxfId="996" priority="428" stopIfTrue="1">
      <formula>$C69=1</formula>
    </cfRule>
    <cfRule type="expression" dxfId="995" priority="429" stopIfTrue="1">
      <formula>OR($C69=0,$C69=2,$C69=3,$C69=4)</formula>
    </cfRule>
  </conditionalFormatting>
  <conditionalFormatting sqref="R69:R77">
    <cfRule type="beginsWith" dxfId="994" priority="421" operator="beginsWith" text="(">
      <formula>LEFT(R69,LEN("("))="("</formula>
    </cfRule>
  </conditionalFormatting>
  <conditionalFormatting sqref="X69:X77">
    <cfRule type="expression" dxfId="993" priority="419" stopIfTrue="1">
      <formula>$C69=1</formula>
    </cfRule>
    <cfRule type="expression" dxfId="992" priority="420" stopIfTrue="1">
      <formula>OR($C69=0,$C69=2,$C69=3,$C69=4)</formula>
    </cfRule>
  </conditionalFormatting>
  <conditionalFormatting sqref="M78:M86">
    <cfRule type="cellIs" dxfId="991" priority="411" stopIfTrue="1" operator="notEqual">
      <formula>$N78</formula>
    </cfRule>
  </conditionalFormatting>
  <conditionalFormatting sqref="N78:O86 R78:R86 W78:W86">
    <cfRule type="expression" dxfId="990" priority="412" stopIfTrue="1">
      <formula>$C78=1</formula>
    </cfRule>
    <cfRule type="expression" dxfId="989" priority="413" stopIfTrue="1">
      <formula>OR($C78=0,$C78=2,$C78=3,$C78=4)</formula>
    </cfRule>
  </conditionalFormatting>
  <conditionalFormatting sqref="U78:V86">
    <cfRule type="expression" dxfId="988" priority="414" stopIfTrue="1">
      <formula>$C78=1</formula>
    </cfRule>
    <cfRule type="expression" dxfId="987" priority="415" stopIfTrue="1">
      <formula>OR($C78=0,$C78=2,$C78=3,$C78=4)</formula>
    </cfRule>
    <cfRule type="expression" dxfId="986" priority="416" stopIfTrue="1">
      <formula>AND(TIPOORCAMENTO="Licitado",$C78&lt;&gt;"L",$C78&lt;&gt;-1)</formula>
    </cfRule>
  </conditionalFormatting>
  <conditionalFormatting sqref="P78:Q86 S78:T86 Y78:Y86 AG78:AH86">
    <cfRule type="expression" dxfId="985" priority="417" stopIfTrue="1">
      <formula>$C78=1</formula>
    </cfRule>
    <cfRule type="expression" dxfId="984" priority="418" stopIfTrue="1">
      <formula>OR($C78=0,$C78=2,$C78=3,$C78=4)</formula>
    </cfRule>
  </conditionalFormatting>
  <conditionalFormatting sqref="R78:R86">
    <cfRule type="beginsWith" dxfId="983" priority="410" operator="beginsWith" text="(">
      <formula>LEFT(R78,LEN("("))="("</formula>
    </cfRule>
  </conditionalFormatting>
  <conditionalFormatting sqref="X78:X86">
    <cfRule type="expression" dxfId="982" priority="408" stopIfTrue="1">
      <formula>$C78=1</formula>
    </cfRule>
    <cfRule type="expression" dxfId="981" priority="409" stopIfTrue="1">
      <formula>OR($C78=0,$C78=2,$C78=3,$C78=4)</formula>
    </cfRule>
  </conditionalFormatting>
  <conditionalFormatting sqref="M87:M95">
    <cfRule type="cellIs" dxfId="980" priority="400" stopIfTrue="1" operator="notEqual">
      <formula>$N87</formula>
    </cfRule>
  </conditionalFormatting>
  <conditionalFormatting sqref="N87:O95 R87:R95 W87:W95">
    <cfRule type="expression" dxfId="979" priority="401" stopIfTrue="1">
      <formula>$C87=1</formula>
    </cfRule>
    <cfRule type="expression" dxfId="978" priority="402" stopIfTrue="1">
      <formula>OR($C87=0,$C87=2,$C87=3,$C87=4)</formula>
    </cfRule>
  </conditionalFormatting>
  <conditionalFormatting sqref="U87:V95">
    <cfRule type="expression" dxfId="977" priority="403" stopIfTrue="1">
      <formula>$C87=1</formula>
    </cfRule>
    <cfRule type="expression" dxfId="976" priority="404" stopIfTrue="1">
      <formula>OR($C87=0,$C87=2,$C87=3,$C87=4)</formula>
    </cfRule>
    <cfRule type="expression" dxfId="975" priority="405" stopIfTrue="1">
      <formula>AND(TIPOORCAMENTO="Licitado",$C87&lt;&gt;"L",$C87&lt;&gt;-1)</formula>
    </cfRule>
  </conditionalFormatting>
  <conditionalFormatting sqref="P87:Q95 S87:T95 Y87:Y95 AG87:AH95">
    <cfRule type="expression" dxfId="974" priority="406" stopIfTrue="1">
      <formula>$C87=1</formula>
    </cfRule>
    <cfRule type="expression" dxfId="973" priority="407" stopIfTrue="1">
      <formula>OR($C87=0,$C87=2,$C87=3,$C87=4)</formula>
    </cfRule>
  </conditionalFormatting>
  <conditionalFormatting sqref="R87:R95">
    <cfRule type="beginsWith" dxfId="972" priority="399" operator="beginsWith" text="(">
      <formula>LEFT(R87,LEN("("))="("</formula>
    </cfRule>
  </conditionalFormatting>
  <conditionalFormatting sqref="X87:X95">
    <cfRule type="expression" dxfId="971" priority="397" stopIfTrue="1">
      <formula>$C87=1</formula>
    </cfRule>
    <cfRule type="expression" dxfId="970" priority="398" stopIfTrue="1">
      <formula>OR($C87=0,$C87=2,$C87=3,$C87=4)</formula>
    </cfRule>
  </conditionalFormatting>
  <conditionalFormatting sqref="M96:M104">
    <cfRule type="cellIs" dxfId="969" priority="389" stopIfTrue="1" operator="notEqual">
      <formula>$N96</formula>
    </cfRule>
  </conditionalFormatting>
  <conditionalFormatting sqref="N96:O104 R96:R104 W96:W104">
    <cfRule type="expression" dxfId="968" priority="390" stopIfTrue="1">
      <formula>$C96=1</formula>
    </cfRule>
    <cfRule type="expression" dxfId="967" priority="391" stopIfTrue="1">
      <formula>OR($C96=0,$C96=2,$C96=3,$C96=4)</formula>
    </cfRule>
  </conditionalFormatting>
  <conditionalFormatting sqref="U96:V104">
    <cfRule type="expression" dxfId="966" priority="392" stopIfTrue="1">
      <formula>$C96=1</formula>
    </cfRule>
    <cfRule type="expression" dxfId="965" priority="393" stopIfTrue="1">
      <formula>OR($C96=0,$C96=2,$C96=3,$C96=4)</formula>
    </cfRule>
    <cfRule type="expression" dxfId="964" priority="394" stopIfTrue="1">
      <formula>AND(TIPOORCAMENTO="Licitado",$C96&lt;&gt;"L",$C96&lt;&gt;-1)</formula>
    </cfRule>
  </conditionalFormatting>
  <conditionalFormatting sqref="P96:Q104 S96:T104 Y96:Y104 AG96:AH104">
    <cfRule type="expression" dxfId="963" priority="395" stopIfTrue="1">
      <formula>$C96=1</formula>
    </cfRule>
    <cfRule type="expression" dxfId="962" priority="396" stopIfTrue="1">
      <formula>OR($C96=0,$C96=2,$C96=3,$C96=4)</formula>
    </cfRule>
  </conditionalFormatting>
  <conditionalFormatting sqref="R96:R104">
    <cfRule type="beginsWith" dxfId="961" priority="388" operator="beginsWith" text="(">
      <formula>LEFT(R96,LEN("("))="("</formula>
    </cfRule>
  </conditionalFormatting>
  <conditionalFormatting sqref="X96:X104">
    <cfRule type="expression" dxfId="960" priority="386" stopIfTrue="1">
      <formula>$C96=1</formula>
    </cfRule>
    <cfRule type="expression" dxfId="959" priority="387" stopIfTrue="1">
      <formula>OR($C96=0,$C96=2,$C96=3,$C96=4)</formula>
    </cfRule>
  </conditionalFormatting>
  <conditionalFormatting sqref="M105:M113">
    <cfRule type="cellIs" dxfId="958" priority="378" stopIfTrue="1" operator="notEqual">
      <formula>$N105</formula>
    </cfRule>
  </conditionalFormatting>
  <conditionalFormatting sqref="N105:O113 R105:R113 W105:W113">
    <cfRule type="expression" dxfId="957" priority="379" stopIfTrue="1">
      <formula>$C105=1</formula>
    </cfRule>
    <cfRule type="expression" dxfId="956" priority="380" stopIfTrue="1">
      <formula>OR($C105=0,$C105=2,$C105=3,$C105=4)</formula>
    </cfRule>
  </conditionalFormatting>
  <conditionalFormatting sqref="U105:V113">
    <cfRule type="expression" dxfId="955" priority="381" stopIfTrue="1">
      <formula>$C105=1</formula>
    </cfRule>
    <cfRule type="expression" dxfId="954" priority="382" stopIfTrue="1">
      <formula>OR($C105=0,$C105=2,$C105=3,$C105=4)</formula>
    </cfRule>
    <cfRule type="expression" dxfId="953" priority="383" stopIfTrue="1">
      <formula>AND(TIPOORCAMENTO="Licitado",$C105&lt;&gt;"L",$C105&lt;&gt;-1)</formula>
    </cfRule>
  </conditionalFormatting>
  <conditionalFormatting sqref="P105:Q113 S105:T113 Y105:Y113 AG105:AH113">
    <cfRule type="expression" dxfId="952" priority="384" stopIfTrue="1">
      <formula>$C105=1</formula>
    </cfRule>
    <cfRule type="expression" dxfId="951" priority="385" stopIfTrue="1">
      <formula>OR($C105=0,$C105=2,$C105=3,$C105=4)</formula>
    </cfRule>
  </conditionalFormatting>
  <conditionalFormatting sqref="R105:R113">
    <cfRule type="beginsWith" dxfId="950" priority="377" operator="beginsWith" text="(">
      <formula>LEFT(R105,LEN("("))="("</formula>
    </cfRule>
  </conditionalFormatting>
  <conditionalFormatting sqref="X105:X113">
    <cfRule type="expression" dxfId="949" priority="375" stopIfTrue="1">
      <formula>$C105=1</formula>
    </cfRule>
    <cfRule type="expression" dxfId="948" priority="376" stopIfTrue="1">
      <formula>OR($C105=0,$C105=2,$C105=3,$C105=4)</formula>
    </cfRule>
  </conditionalFormatting>
  <conditionalFormatting sqref="M114:M122">
    <cfRule type="cellIs" dxfId="947" priority="367" stopIfTrue="1" operator="notEqual">
      <formula>$N114</formula>
    </cfRule>
  </conditionalFormatting>
  <conditionalFormatting sqref="N114:O122 R114:R122 W114:W122">
    <cfRule type="expression" dxfId="946" priority="368" stopIfTrue="1">
      <formula>$C114=1</formula>
    </cfRule>
    <cfRule type="expression" dxfId="945" priority="369" stopIfTrue="1">
      <formula>OR($C114=0,$C114=2,$C114=3,$C114=4)</formula>
    </cfRule>
  </conditionalFormatting>
  <conditionalFormatting sqref="U114:V122">
    <cfRule type="expression" dxfId="944" priority="370" stopIfTrue="1">
      <formula>$C114=1</formula>
    </cfRule>
    <cfRule type="expression" dxfId="943" priority="371" stopIfTrue="1">
      <formula>OR($C114=0,$C114=2,$C114=3,$C114=4)</formula>
    </cfRule>
    <cfRule type="expression" dxfId="942" priority="372" stopIfTrue="1">
      <formula>AND(TIPOORCAMENTO="Licitado",$C114&lt;&gt;"L",$C114&lt;&gt;-1)</formula>
    </cfRule>
  </conditionalFormatting>
  <conditionalFormatting sqref="P114:Q122 S114:T122 Y114:Y122 AG114:AH122">
    <cfRule type="expression" dxfId="941" priority="373" stopIfTrue="1">
      <formula>$C114=1</formula>
    </cfRule>
    <cfRule type="expression" dxfId="940" priority="374" stopIfTrue="1">
      <formula>OR($C114=0,$C114=2,$C114=3,$C114=4)</formula>
    </cfRule>
  </conditionalFormatting>
  <conditionalFormatting sqref="R114:R122">
    <cfRule type="beginsWith" dxfId="939" priority="366" operator="beginsWith" text="(">
      <formula>LEFT(R114,LEN("("))="("</formula>
    </cfRule>
  </conditionalFormatting>
  <conditionalFormatting sqref="X114:X122">
    <cfRule type="expression" dxfId="938" priority="364" stopIfTrue="1">
      <formula>$C114=1</formula>
    </cfRule>
    <cfRule type="expression" dxfId="937" priority="365" stopIfTrue="1">
      <formula>OR($C114=0,$C114=2,$C114=3,$C114=4)</formula>
    </cfRule>
  </conditionalFormatting>
  <conditionalFormatting sqref="M123:M131">
    <cfRule type="cellIs" dxfId="936" priority="356" stopIfTrue="1" operator="notEqual">
      <formula>$N123</formula>
    </cfRule>
  </conditionalFormatting>
  <conditionalFormatting sqref="N123:O131 R123:R131 W123:W131">
    <cfRule type="expression" dxfId="935" priority="357" stopIfTrue="1">
      <formula>$C123=1</formula>
    </cfRule>
    <cfRule type="expression" dxfId="934" priority="358" stopIfTrue="1">
      <formula>OR($C123=0,$C123=2,$C123=3,$C123=4)</formula>
    </cfRule>
  </conditionalFormatting>
  <conditionalFormatting sqref="U123:V131">
    <cfRule type="expression" dxfId="933" priority="359" stopIfTrue="1">
      <formula>$C123=1</formula>
    </cfRule>
    <cfRule type="expression" dxfId="932" priority="360" stopIfTrue="1">
      <formula>OR($C123=0,$C123=2,$C123=3,$C123=4)</formula>
    </cfRule>
    <cfRule type="expression" dxfId="931" priority="361" stopIfTrue="1">
      <formula>AND(TIPOORCAMENTO="Licitado",$C123&lt;&gt;"L",$C123&lt;&gt;-1)</formula>
    </cfRule>
  </conditionalFormatting>
  <conditionalFormatting sqref="P123:Q131 S123:T131 Y123:Y131 AG123:AH131">
    <cfRule type="expression" dxfId="930" priority="362" stopIfTrue="1">
      <formula>$C123=1</formula>
    </cfRule>
    <cfRule type="expression" dxfId="929" priority="363" stopIfTrue="1">
      <formula>OR($C123=0,$C123=2,$C123=3,$C123=4)</formula>
    </cfRule>
  </conditionalFormatting>
  <conditionalFormatting sqref="R123:R131">
    <cfRule type="beginsWith" dxfId="928" priority="355" operator="beginsWith" text="(">
      <formula>LEFT(R123,LEN("("))="("</formula>
    </cfRule>
  </conditionalFormatting>
  <conditionalFormatting sqref="X123:X131">
    <cfRule type="expression" dxfId="927" priority="353" stopIfTrue="1">
      <formula>$C123=1</formula>
    </cfRule>
    <cfRule type="expression" dxfId="926" priority="354" stopIfTrue="1">
      <formula>OR($C123=0,$C123=2,$C123=3,$C123=4)</formula>
    </cfRule>
  </conditionalFormatting>
  <conditionalFormatting sqref="M132:M140">
    <cfRule type="cellIs" dxfId="925" priority="345" stopIfTrue="1" operator="notEqual">
      <formula>$N132</formula>
    </cfRule>
  </conditionalFormatting>
  <conditionalFormatting sqref="N132:O140 R132:R140 W132:W140">
    <cfRule type="expression" dxfId="924" priority="346" stopIfTrue="1">
      <formula>$C132=1</formula>
    </cfRule>
    <cfRule type="expression" dxfId="923" priority="347" stopIfTrue="1">
      <formula>OR($C132=0,$C132=2,$C132=3,$C132=4)</formula>
    </cfRule>
  </conditionalFormatting>
  <conditionalFormatting sqref="U132:V140">
    <cfRule type="expression" dxfId="922" priority="348" stopIfTrue="1">
      <formula>$C132=1</formula>
    </cfRule>
    <cfRule type="expression" dxfId="921" priority="349" stopIfTrue="1">
      <formula>OR($C132=0,$C132=2,$C132=3,$C132=4)</formula>
    </cfRule>
    <cfRule type="expression" dxfId="920" priority="350" stopIfTrue="1">
      <formula>AND(TIPOORCAMENTO="Licitado",$C132&lt;&gt;"L",$C132&lt;&gt;-1)</formula>
    </cfRule>
  </conditionalFormatting>
  <conditionalFormatting sqref="P132:Q140 S132:T140 Y132:Y140 AG132:AH140">
    <cfRule type="expression" dxfId="919" priority="351" stopIfTrue="1">
      <formula>$C132=1</formula>
    </cfRule>
    <cfRule type="expression" dxfId="918" priority="352" stopIfTrue="1">
      <formula>OR($C132=0,$C132=2,$C132=3,$C132=4)</formula>
    </cfRule>
  </conditionalFormatting>
  <conditionalFormatting sqref="R132:R140">
    <cfRule type="beginsWith" dxfId="917" priority="344" operator="beginsWith" text="(">
      <formula>LEFT(R132,LEN("("))="("</formula>
    </cfRule>
  </conditionalFormatting>
  <conditionalFormatting sqref="X132:X140">
    <cfRule type="expression" dxfId="916" priority="342" stopIfTrue="1">
      <formula>$C132=1</formula>
    </cfRule>
    <cfRule type="expression" dxfId="915" priority="343" stopIfTrue="1">
      <formula>OR($C132=0,$C132=2,$C132=3,$C132=4)</formula>
    </cfRule>
  </conditionalFormatting>
  <conditionalFormatting sqref="M141:M149">
    <cfRule type="cellIs" dxfId="914" priority="334" stopIfTrue="1" operator="notEqual">
      <formula>$N141</formula>
    </cfRule>
  </conditionalFormatting>
  <conditionalFormatting sqref="N141:O149 R141:R149 W141:W149">
    <cfRule type="expression" dxfId="913" priority="335" stopIfTrue="1">
      <formula>$C141=1</formula>
    </cfRule>
    <cfRule type="expression" dxfId="912" priority="336" stopIfTrue="1">
      <formula>OR($C141=0,$C141=2,$C141=3,$C141=4)</formula>
    </cfRule>
  </conditionalFormatting>
  <conditionalFormatting sqref="U141:V149">
    <cfRule type="expression" dxfId="911" priority="337" stopIfTrue="1">
      <formula>$C141=1</formula>
    </cfRule>
    <cfRule type="expression" dxfId="910" priority="338" stopIfTrue="1">
      <formula>OR($C141=0,$C141=2,$C141=3,$C141=4)</formula>
    </cfRule>
    <cfRule type="expression" dxfId="909" priority="339" stopIfTrue="1">
      <formula>AND(TIPOORCAMENTO="Licitado",$C141&lt;&gt;"L",$C141&lt;&gt;-1)</formula>
    </cfRule>
  </conditionalFormatting>
  <conditionalFormatting sqref="P141:Q149 S141:T149 Y141:Y149 AG141:AH149">
    <cfRule type="expression" dxfId="908" priority="340" stopIfTrue="1">
      <formula>$C141=1</formula>
    </cfRule>
    <cfRule type="expression" dxfId="907" priority="341" stopIfTrue="1">
      <formula>OR($C141=0,$C141=2,$C141=3,$C141=4)</formula>
    </cfRule>
  </conditionalFormatting>
  <conditionalFormatting sqref="R141:R149">
    <cfRule type="beginsWith" dxfId="906" priority="333" operator="beginsWith" text="(">
      <formula>LEFT(R141,LEN("("))="("</formula>
    </cfRule>
  </conditionalFormatting>
  <conditionalFormatting sqref="X141:X149">
    <cfRule type="expression" dxfId="905" priority="331" stopIfTrue="1">
      <formula>$C141=1</formula>
    </cfRule>
    <cfRule type="expression" dxfId="904" priority="332" stopIfTrue="1">
      <formula>OR($C141=0,$C141=2,$C141=3,$C141=4)</formula>
    </cfRule>
  </conditionalFormatting>
  <conditionalFormatting sqref="M150:M158">
    <cfRule type="cellIs" dxfId="903" priority="323" stopIfTrue="1" operator="notEqual">
      <formula>$N150</formula>
    </cfRule>
  </conditionalFormatting>
  <conditionalFormatting sqref="N150:O158 R150:R158 W150:W158">
    <cfRule type="expression" dxfId="902" priority="324" stopIfTrue="1">
      <formula>$C150=1</formula>
    </cfRule>
    <cfRule type="expression" dxfId="901" priority="325" stopIfTrue="1">
      <formula>OR($C150=0,$C150=2,$C150=3,$C150=4)</formula>
    </cfRule>
  </conditionalFormatting>
  <conditionalFormatting sqref="U150:V158">
    <cfRule type="expression" dxfId="900" priority="326" stopIfTrue="1">
      <formula>$C150=1</formula>
    </cfRule>
    <cfRule type="expression" dxfId="899" priority="327" stopIfTrue="1">
      <formula>OR($C150=0,$C150=2,$C150=3,$C150=4)</formula>
    </cfRule>
    <cfRule type="expression" dxfId="898" priority="328" stopIfTrue="1">
      <formula>AND(TIPOORCAMENTO="Licitado",$C150&lt;&gt;"L",$C150&lt;&gt;-1)</formula>
    </cfRule>
  </conditionalFormatting>
  <conditionalFormatting sqref="P150:Q158 S150:T158 Y150:Y158 AG150:AH158">
    <cfRule type="expression" dxfId="897" priority="329" stopIfTrue="1">
      <formula>$C150=1</formula>
    </cfRule>
    <cfRule type="expression" dxfId="896" priority="330" stopIfTrue="1">
      <formula>OR($C150=0,$C150=2,$C150=3,$C150=4)</formula>
    </cfRule>
  </conditionalFormatting>
  <conditionalFormatting sqref="R150:R158">
    <cfRule type="beginsWith" dxfId="895" priority="322" operator="beginsWith" text="(">
      <formula>LEFT(R150,LEN("("))="("</formula>
    </cfRule>
  </conditionalFormatting>
  <conditionalFormatting sqref="X150:X158">
    <cfRule type="expression" dxfId="894" priority="320" stopIfTrue="1">
      <formula>$C150=1</formula>
    </cfRule>
    <cfRule type="expression" dxfId="893" priority="321" stopIfTrue="1">
      <formula>OR($C150=0,$C150=2,$C150=3,$C150=4)</formula>
    </cfRule>
  </conditionalFormatting>
  <conditionalFormatting sqref="M159:M167">
    <cfRule type="cellIs" dxfId="892" priority="312" stopIfTrue="1" operator="notEqual">
      <formula>$N159</formula>
    </cfRule>
  </conditionalFormatting>
  <conditionalFormatting sqref="N159:O167 R159:R167 W159:W167">
    <cfRule type="expression" dxfId="891" priority="313" stopIfTrue="1">
      <formula>$C159=1</formula>
    </cfRule>
    <cfRule type="expression" dxfId="890" priority="314" stopIfTrue="1">
      <formula>OR($C159=0,$C159=2,$C159=3,$C159=4)</formula>
    </cfRule>
  </conditionalFormatting>
  <conditionalFormatting sqref="U159:V167">
    <cfRule type="expression" dxfId="889" priority="315" stopIfTrue="1">
      <formula>$C159=1</formula>
    </cfRule>
    <cfRule type="expression" dxfId="888" priority="316" stopIfTrue="1">
      <formula>OR($C159=0,$C159=2,$C159=3,$C159=4)</formula>
    </cfRule>
    <cfRule type="expression" dxfId="887" priority="317" stopIfTrue="1">
      <formula>AND(TIPOORCAMENTO="Licitado",$C159&lt;&gt;"L",$C159&lt;&gt;-1)</formula>
    </cfRule>
  </conditionalFormatting>
  <conditionalFormatting sqref="P159:Q167 S159:T167 Y159:Y167 AG159:AH167">
    <cfRule type="expression" dxfId="886" priority="318" stopIfTrue="1">
      <formula>$C159=1</formula>
    </cfRule>
    <cfRule type="expression" dxfId="885" priority="319" stopIfTrue="1">
      <formula>OR($C159=0,$C159=2,$C159=3,$C159=4)</formula>
    </cfRule>
  </conditionalFormatting>
  <conditionalFormatting sqref="R159:R167">
    <cfRule type="beginsWith" dxfId="884" priority="311" operator="beginsWith" text="(">
      <formula>LEFT(R159,LEN("("))="("</formula>
    </cfRule>
  </conditionalFormatting>
  <conditionalFormatting sqref="X159:X167">
    <cfRule type="expression" dxfId="883" priority="309" stopIfTrue="1">
      <formula>$C159=1</formula>
    </cfRule>
    <cfRule type="expression" dxfId="882" priority="310" stopIfTrue="1">
      <formula>OR($C159=0,$C159=2,$C159=3,$C159=4)</formula>
    </cfRule>
  </conditionalFormatting>
  <conditionalFormatting sqref="M168:M176">
    <cfRule type="cellIs" dxfId="881" priority="301" stopIfTrue="1" operator="notEqual">
      <formula>$N168</formula>
    </cfRule>
  </conditionalFormatting>
  <conditionalFormatting sqref="N168:O176 R168:R176 W168:W176">
    <cfRule type="expression" dxfId="880" priority="302" stopIfTrue="1">
      <formula>$C168=1</formula>
    </cfRule>
    <cfRule type="expression" dxfId="879" priority="303" stopIfTrue="1">
      <formula>OR($C168=0,$C168=2,$C168=3,$C168=4)</formula>
    </cfRule>
  </conditionalFormatting>
  <conditionalFormatting sqref="U168:V176">
    <cfRule type="expression" dxfId="878" priority="304" stopIfTrue="1">
      <formula>$C168=1</formula>
    </cfRule>
    <cfRule type="expression" dxfId="877" priority="305" stopIfTrue="1">
      <formula>OR($C168=0,$C168=2,$C168=3,$C168=4)</formula>
    </cfRule>
    <cfRule type="expression" dxfId="876" priority="306" stopIfTrue="1">
      <formula>AND(TIPOORCAMENTO="Licitado",$C168&lt;&gt;"L",$C168&lt;&gt;-1)</formula>
    </cfRule>
  </conditionalFormatting>
  <conditionalFormatting sqref="P168:Q176 S168:T176 Y168:Y176 AG168:AH176">
    <cfRule type="expression" dxfId="875" priority="307" stopIfTrue="1">
      <formula>$C168=1</formula>
    </cfRule>
    <cfRule type="expression" dxfId="874" priority="308" stopIfTrue="1">
      <formula>OR($C168=0,$C168=2,$C168=3,$C168=4)</formula>
    </cfRule>
  </conditionalFormatting>
  <conditionalFormatting sqref="R168:R176">
    <cfRule type="beginsWith" dxfId="873" priority="300" operator="beginsWith" text="(">
      <formula>LEFT(R168,LEN("("))="("</formula>
    </cfRule>
  </conditionalFormatting>
  <conditionalFormatting sqref="X168:X176">
    <cfRule type="expression" dxfId="872" priority="298" stopIfTrue="1">
      <formula>$C168=1</formula>
    </cfRule>
    <cfRule type="expression" dxfId="871" priority="299" stopIfTrue="1">
      <formula>OR($C168=0,$C168=2,$C168=3,$C168=4)</formula>
    </cfRule>
  </conditionalFormatting>
  <conditionalFormatting sqref="M177:M185">
    <cfRule type="cellIs" dxfId="870" priority="290" stopIfTrue="1" operator="notEqual">
      <formula>$N177</formula>
    </cfRule>
  </conditionalFormatting>
  <conditionalFormatting sqref="N177:O185 R177:R185 W177:W185">
    <cfRule type="expression" dxfId="869" priority="291" stopIfTrue="1">
      <formula>$C177=1</formula>
    </cfRule>
    <cfRule type="expression" dxfId="868" priority="292" stopIfTrue="1">
      <formula>OR($C177=0,$C177=2,$C177=3,$C177=4)</formula>
    </cfRule>
  </conditionalFormatting>
  <conditionalFormatting sqref="U177:V185">
    <cfRule type="expression" dxfId="867" priority="293" stopIfTrue="1">
      <formula>$C177=1</formula>
    </cfRule>
    <cfRule type="expression" dxfId="866" priority="294" stopIfTrue="1">
      <formula>OR($C177=0,$C177=2,$C177=3,$C177=4)</formula>
    </cfRule>
    <cfRule type="expression" dxfId="865" priority="295" stopIfTrue="1">
      <formula>AND(TIPOORCAMENTO="Licitado",$C177&lt;&gt;"L",$C177&lt;&gt;-1)</formula>
    </cfRule>
  </conditionalFormatting>
  <conditionalFormatting sqref="P177:Q185 S177:T185 Y177:Y185 AG177:AH185">
    <cfRule type="expression" dxfId="864" priority="296" stopIfTrue="1">
      <formula>$C177=1</formula>
    </cfRule>
    <cfRule type="expression" dxfId="863" priority="297" stopIfTrue="1">
      <formula>OR($C177=0,$C177=2,$C177=3,$C177=4)</formula>
    </cfRule>
  </conditionalFormatting>
  <conditionalFormatting sqref="R177:R185">
    <cfRule type="beginsWith" dxfId="862" priority="289" operator="beginsWith" text="(">
      <formula>LEFT(R177,LEN("("))="("</formula>
    </cfRule>
  </conditionalFormatting>
  <conditionalFormatting sqref="X177:X185">
    <cfRule type="expression" dxfId="861" priority="287" stopIfTrue="1">
      <formula>$C177=1</formula>
    </cfRule>
    <cfRule type="expression" dxfId="860" priority="288" stopIfTrue="1">
      <formula>OR($C177=0,$C177=2,$C177=3,$C177=4)</formula>
    </cfRule>
  </conditionalFormatting>
  <conditionalFormatting sqref="M186:M194">
    <cfRule type="cellIs" dxfId="859" priority="279" stopIfTrue="1" operator="notEqual">
      <formula>$N186</formula>
    </cfRule>
  </conditionalFormatting>
  <conditionalFormatting sqref="N186:O194 R186:R194 W186:W194">
    <cfRule type="expression" dxfId="858" priority="280" stopIfTrue="1">
      <formula>$C186=1</formula>
    </cfRule>
    <cfRule type="expression" dxfId="857" priority="281" stopIfTrue="1">
      <formula>OR($C186=0,$C186=2,$C186=3,$C186=4)</formula>
    </cfRule>
  </conditionalFormatting>
  <conditionalFormatting sqref="U186:V194">
    <cfRule type="expression" dxfId="856" priority="282" stopIfTrue="1">
      <formula>$C186=1</formula>
    </cfRule>
    <cfRule type="expression" dxfId="855" priority="283" stopIfTrue="1">
      <formula>OR($C186=0,$C186=2,$C186=3,$C186=4)</formula>
    </cfRule>
    <cfRule type="expression" dxfId="854" priority="284" stopIfTrue="1">
      <formula>AND(TIPOORCAMENTO="Licitado",$C186&lt;&gt;"L",$C186&lt;&gt;-1)</formula>
    </cfRule>
  </conditionalFormatting>
  <conditionalFormatting sqref="P186:Q194 S186:T194 Y186:Y194 AG186:AH194">
    <cfRule type="expression" dxfId="853" priority="285" stopIfTrue="1">
      <formula>$C186=1</formula>
    </cfRule>
    <cfRule type="expression" dxfId="852" priority="286" stopIfTrue="1">
      <formula>OR($C186=0,$C186=2,$C186=3,$C186=4)</formula>
    </cfRule>
  </conditionalFormatting>
  <conditionalFormatting sqref="R186:R194">
    <cfRule type="beginsWith" dxfId="851" priority="278" operator="beginsWith" text="(">
      <formula>LEFT(R186,LEN("("))="("</formula>
    </cfRule>
  </conditionalFormatting>
  <conditionalFormatting sqref="X186:X194">
    <cfRule type="expression" dxfId="850" priority="276" stopIfTrue="1">
      <formula>$C186=1</formula>
    </cfRule>
    <cfRule type="expression" dxfId="849" priority="277" stopIfTrue="1">
      <formula>OR($C186=0,$C186=2,$C186=3,$C186=4)</formula>
    </cfRule>
  </conditionalFormatting>
  <conditionalFormatting sqref="M195:M203">
    <cfRule type="cellIs" dxfId="848" priority="268" stopIfTrue="1" operator="notEqual">
      <formula>$N195</formula>
    </cfRule>
  </conditionalFormatting>
  <conditionalFormatting sqref="N195:O203 R195:R203 W195:W203">
    <cfRule type="expression" dxfId="847" priority="269" stopIfTrue="1">
      <formula>$C195=1</formula>
    </cfRule>
    <cfRule type="expression" dxfId="846" priority="270" stopIfTrue="1">
      <formula>OR($C195=0,$C195=2,$C195=3,$C195=4)</formula>
    </cfRule>
  </conditionalFormatting>
  <conditionalFormatting sqref="U195:V203">
    <cfRule type="expression" dxfId="845" priority="271" stopIfTrue="1">
      <formula>$C195=1</formula>
    </cfRule>
    <cfRule type="expression" dxfId="844" priority="272" stopIfTrue="1">
      <formula>OR($C195=0,$C195=2,$C195=3,$C195=4)</formula>
    </cfRule>
    <cfRule type="expression" dxfId="843" priority="273" stopIfTrue="1">
      <formula>AND(TIPOORCAMENTO="Licitado",$C195&lt;&gt;"L",$C195&lt;&gt;-1)</formula>
    </cfRule>
  </conditionalFormatting>
  <conditionalFormatting sqref="P195:Q203 S195:T203 Y195:Y203 AG195:AH203">
    <cfRule type="expression" dxfId="842" priority="274" stopIfTrue="1">
      <formula>$C195=1</formula>
    </cfRule>
    <cfRule type="expression" dxfId="841" priority="275" stopIfTrue="1">
      <formula>OR($C195=0,$C195=2,$C195=3,$C195=4)</formula>
    </cfRule>
  </conditionalFormatting>
  <conditionalFormatting sqref="R195:R203">
    <cfRule type="beginsWith" dxfId="840" priority="267" operator="beginsWith" text="(">
      <formula>LEFT(R195,LEN("("))="("</formula>
    </cfRule>
  </conditionalFormatting>
  <conditionalFormatting sqref="X195:X203">
    <cfRule type="expression" dxfId="839" priority="265" stopIfTrue="1">
      <formula>$C195=1</formula>
    </cfRule>
    <cfRule type="expression" dxfId="838" priority="266" stopIfTrue="1">
      <formula>OR($C195=0,$C195=2,$C195=3,$C195=4)</formula>
    </cfRule>
  </conditionalFormatting>
  <conditionalFormatting sqref="M204:M212">
    <cfRule type="cellIs" dxfId="837" priority="257" stopIfTrue="1" operator="notEqual">
      <formula>$N204</formula>
    </cfRule>
  </conditionalFormatting>
  <conditionalFormatting sqref="N204:O212 R204:R212 W204:W212">
    <cfRule type="expression" dxfId="836" priority="258" stopIfTrue="1">
      <formula>$C204=1</formula>
    </cfRule>
    <cfRule type="expression" dxfId="835" priority="259" stopIfTrue="1">
      <formula>OR($C204=0,$C204=2,$C204=3,$C204=4)</formula>
    </cfRule>
  </conditionalFormatting>
  <conditionalFormatting sqref="U204:V212">
    <cfRule type="expression" dxfId="834" priority="260" stopIfTrue="1">
      <formula>$C204=1</formula>
    </cfRule>
    <cfRule type="expression" dxfId="833" priority="261" stopIfTrue="1">
      <formula>OR($C204=0,$C204=2,$C204=3,$C204=4)</formula>
    </cfRule>
    <cfRule type="expression" dxfId="832" priority="262" stopIfTrue="1">
      <formula>AND(TIPOORCAMENTO="Licitado",$C204&lt;&gt;"L",$C204&lt;&gt;-1)</formula>
    </cfRule>
  </conditionalFormatting>
  <conditionalFormatting sqref="P204:Q212 S204:T212 Y204:Y212 AG204:AH212">
    <cfRule type="expression" dxfId="831" priority="263" stopIfTrue="1">
      <formula>$C204=1</formula>
    </cfRule>
    <cfRule type="expression" dxfId="830" priority="264" stopIfTrue="1">
      <formula>OR($C204=0,$C204=2,$C204=3,$C204=4)</formula>
    </cfRule>
  </conditionalFormatting>
  <conditionalFormatting sqref="R204:R212">
    <cfRule type="beginsWith" dxfId="829" priority="256" operator="beginsWith" text="(">
      <formula>LEFT(R204,LEN("("))="("</formula>
    </cfRule>
  </conditionalFormatting>
  <conditionalFormatting sqref="X204:X212">
    <cfRule type="expression" dxfId="828" priority="254" stopIfTrue="1">
      <formula>$C204=1</formula>
    </cfRule>
    <cfRule type="expression" dxfId="827" priority="255" stopIfTrue="1">
      <formula>OR($C204=0,$C204=2,$C204=3,$C204=4)</formula>
    </cfRule>
  </conditionalFormatting>
  <conditionalFormatting sqref="M213:M221">
    <cfRule type="cellIs" dxfId="826" priority="246" stopIfTrue="1" operator="notEqual">
      <formula>$N213</formula>
    </cfRule>
  </conditionalFormatting>
  <conditionalFormatting sqref="N213:O221 R213:R221 W213:W221">
    <cfRule type="expression" dxfId="825" priority="247" stopIfTrue="1">
      <formula>$C213=1</formula>
    </cfRule>
    <cfRule type="expression" dxfId="824" priority="248" stopIfTrue="1">
      <formula>OR($C213=0,$C213=2,$C213=3,$C213=4)</formula>
    </cfRule>
  </conditionalFormatting>
  <conditionalFormatting sqref="U213:V221">
    <cfRule type="expression" dxfId="823" priority="249" stopIfTrue="1">
      <formula>$C213=1</formula>
    </cfRule>
    <cfRule type="expression" dxfId="822" priority="250" stopIfTrue="1">
      <formula>OR($C213=0,$C213=2,$C213=3,$C213=4)</formula>
    </cfRule>
    <cfRule type="expression" dxfId="821" priority="251" stopIfTrue="1">
      <formula>AND(TIPOORCAMENTO="Licitado",$C213&lt;&gt;"L",$C213&lt;&gt;-1)</formula>
    </cfRule>
  </conditionalFormatting>
  <conditionalFormatting sqref="P213:Q221 S213:T221 Y213:Y221 AG213:AH221">
    <cfRule type="expression" dxfId="820" priority="252" stopIfTrue="1">
      <formula>$C213=1</formula>
    </cfRule>
    <cfRule type="expression" dxfId="819" priority="253" stopIfTrue="1">
      <formula>OR($C213=0,$C213=2,$C213=3,$C213=4)</formula>
    </cfRule>
  </conditionalFormatting>
  <conditionalFormatting sqref="R213:R221">
    <cfRule type="beginsWith" dxfId="818" priority="245" operator="beginsWith" text="(">
      <formula>LEFT(R213,LEN("("))="("</formula>
    </cfRule>
  </conditionalFormatting>
  <conditionalFormatting sqref="X213:X221">
    <cfRule type="expression" dxfId="817" priority="243" stopIfTrue="1">
      <formula>$C213=1</formula>
    </cfRule>
    <cfRule type="expression" dxfId="816" priority="244" stopIfTrue="1">
      <formula>OR($C213=0,$C213=2,$C213=3,$C213=4)</formula>
    </cfRule>
  </conditionalFormatting>
  <conditionalFormatting sqref="M222:M230">
    <cfRule type="cellIs" dxfId="815" priority="235" stopIfTrue="1" operator="notEqual">
      <formula>$N222</formula>
    </cfRule>
  </conditionalFormatting>
  <conditionalFormatting sqref="N222:O230 R222:R230 W222:W230">
    <cfRule type="expression" dxfId="814" priority="236" stopIfTrue="1">
      <formula>$C222=1</formula>
    </cfRule>
    <cfRule type="expression" dxfId="813" priority="237" stopIfTrue="1">
      <formula>OR($C222=0,$C222=2,$C222=3,$C222=4)</formula>
    </cfRule>
  </conditionalFormatting>
  <conditionalFormatting sqref="U222:V230">
    <cfRule type="expression" dxfId="812" priority="238" stopIfTrue="1">
      <formula>$C222=1</formula>
    </cfRule>
    <cfRule type="expression" dxfId="811" priority="239" stopIfTrue="1">
      <formula>OR($C222=0,$C222=2,$C222=3,$C222=4)</formula>
    </cfRule>
    <cfRule type="expression" dxfId="810" priority="240" stopIfTrue="1">
      <formula>AND(TIPOORCAMENTO="Licitado",$C222&lt;&gt;"L",$C222&lt;&gt;-1)</formula>
    </cfRule>
  </conditionalFormatting>
  <conditionalFormatting sqref="P222:Q230 S222:T230 Y222:Y230 AG222:AH230">
    <cfRule type="expression" dxfId="809" priority="241" stopIfTrue="1">
      <formula>$C222=1</formula>
    </cfRule>
    <cfRule type="expression" dxfId="808" priority="242" stopIfTrue="1">
      <formula>OR($C222=0,$C222=2,$C222=3,$C222=4)</formula>
    </cfRule>
  </conditionalFormatting>
  <conditionalFormatting sqref="R222:R230">
    <cfRule type="beginsWith" dxfId="807" priority="234" operator="beginsWith" text="(">
      <formula>LEFT(R222,LEN("("))="("</formula>
    </cfRule>
  </conditionalFormatting>
  <conditionalFormatting sqref="X222:X230">
    <cfRule type="expression" dxfId="806" priority="232" stopIfTrue="1">
      <formula>$C222=1</formula>
    </cfRule>
    <cfRule type="expression" dxfId="805" priority="233" stopIfTrue="1">
      <formula>OR($C222=0,$C222=2,$C222=3,$C222=4)</formula>
    </cfRule>
  </conditionalFormatting>
  <conditionalFormatting sqref="M231:M239">
    <cfRule type="cellIs" dxfId="804" priority="224" stopIfTrue="1" operator="notEqual">
      <formula>$N231</formula>
    </cfRule>
  </conditionalFormatting>
  <conditionalFormatting sqref="N231:O239 R231:R239 W231:W239">
    <cfRule type="expression" dxfId="803" priority="225" stopIfTrue="1">
      <formula>$C231=1</formula>
    </cfRule>
    <cfRule type="expression" dxfId="802" priority="226" stopIfTrue="1">
      <formula>OR($C231=0,$C231=2,$C231=3,$C231=4)</formula>
    </cfRule>
  </conditionalFormatting>
  <conditionalFormatting sqref="U231:V239">
    <cfRule type="expression" dxfId="801" priority="227" stopIfTrue="1">
      <formula>$C231=1</formula>
    </cfRule>
    <cfRule type="expression" dxfId="800" priority="228" stopIfTrue="1">
      <formula>OR($C231=0,$C231=2,$C231=3,$C231=4)</formula>
    </cfRule>
    <cfRule type="expression" dxfId="799" priority="229" stopIfTrue="1">
      <formula>AND(TIPOORCAMENTO="Licitado",$C231&lt;&gt;"L",$C231&lt;&gt;-1)</formula>
    </cfRule>
  </conditionalFormatting>
  <conditionalFormatting sqref="P231:Q239 S231:T239 Y231:Y239 AG231:AH239">
    <cfRule type="expression" dxfId="798" priority="230" stopIfTrue="1">
      <formula>$C231=1</formula>
    </cfRule>
    <cfRule type="expression" dxfId="797" priority="231" stopIfTrue="1">
      <formula>OR($C231=0,$C231=2,$C231=3,$C231=4)</formula>
    </cfRule>
  </conditionalFormatting>
  <conditionalFormatting sqref="R231:R239">
    <cfRule type="beginsWith" dxfId="796" priority="223" operator="beginsWith" text="(">
      <formula>LEFT(R231,LEN("("))="("</formula>
    </cfRule>
  </conditionalFormatting>
  <conditionalFormatting sqref="X231:X239">
    <cfRule type="expression" dxfId="795" priority="221" stopIfTrue="1">
      <formula>$C231=1</formula>
    </cfRule>
    <cfRule type="expression" dxfId="794" priority="222" stopIfTrue="1">
      <formula>OR($C231=0,$C231=2,$C231=3,$C231=4)</formula>
    </cfRule>
  </conditionalFormatting>
  <conditionalFormatting sqref="M240:M248">
    <cfRule type="cellIs" dxfId="793" priority="213" stopIfTrue="1" operator="notEqual">
      <formula>$N240</formula>
    </cfRule>
  </conditionalFormatting>
  <conditionalFormatting sqref="N240:O248 R240:R248 W240:W248">
    <cfRule type="expression" dxfId="792" priority="214" stopIfTrue="1">
      <formula>$C240=1</formula>
    </cfRule>
    <cfRule type="expression" dxfId="791" priority="215" stopIfTrue="1">
      <formula>OR($C240=0,$C240=2,$C240=3,$C240=4)</formula>
    </cfRule>
  </conditionalFormatting>
  <conditionalFormatting sqref="U240:V248">
    <cfRule type="expression" dxfId="790" priority="216" stopIfTrue="1">
      <formula>$C240=1</formula>
    </cfRule>
    <cfRule type="expression" dxfId="789" priority="217" stopIfTrue="1">
      <formula>OR($C240=0,$C240=2,$C240=3,$C240=4)</formula>
    </cfRule>
    <cfRule type="expression" dxfId="788" priority="218" stopIfTrue="1">
      <formula>AND(TIPOORCAMENTO="Licitado",$C240&lt;&gt;"L",$C240&lt;&gt;-1)</formula>
    </cfRule>
  </conditionalFormatting>
  <conditionalFormatting sqref="P240:Q248 S240:T248 Y240:Y248 AG240:AH248">
    <cfRule type="expression" dxfId="787" priority="219" stopIfTrue="1">
      <formula>$C240=1</formula>
    </cfRule>
    <cfRule type="expression" dxfId="786" priority="220" stopIfTrue="1">
      <formula>OR($C240=0,$C240=2,$C240=3,$C240=4)</formula>
    </cfRule>
  </conditionalFormatting>
  <conditionalFormatting sqref="R240:R248">
    <cfRule type="beginsWith" dxfId="785" priority="212" operator="beginsWith" text="(">
      <formula>LEFT(R240,LEN("("))="("</formula>
    </cfRule>
  </conditionalFormatting>
  <conditionalFormatting sqref="X240:X248">
    <cfRule type="expression" dxfId="784" priority="210" stopIfTrue="1">
      <formula>$C240=1</formula>
    </cfRule>
    <cfRule type="expression" dxfId="783" priority="211" stopIfTrue="1">
      <formula>OR($C240=0,$C240=2,$C240=3,$C240=4)</formula>
    </cfRule>
  </conditionalFormatting>
  <conditionalFormatting sqref="M249:M252 M254:M258">
    <cfRule type="cellIs" dxfId="782" priority="202" stopIfTrue="1" operator="notEqual">
      <formula>$N249</formula>
    </cfRule>
  </conditionalFormatting>
  <conditionalFormatting sqref="N249:O252 R249:R252 W249:W252 W254:W258 R254:R258 N254:O258">
    <cfRule type="expression" dxfId="781" priority="203" stopIfTrue="1">
      <formula>$C249=1</formula>
    </cfRule>
    <cfRule type="expression" dxfId="780" priority="204" stopIfTrue="1">
      <formula>OR($C249=0,$C249=2,$C249=3,$C249=4)</formula>
    </cfRule>
  </conditionalFormatting>
  <conditionalFormatting sqref="U249:V252 U254:V258">
    <cfRule type="expression" dxfId="779" priority="205" stopIfTrue="1">
      <formula>$C249=1</formula>
    </cfRule>
    <cfRule type="expression" dxfId="778" priority="206" stopIfTrue="1">
      <formula>OR($C249=0,$C249=2,$C249=3,$C249=4)</formula>
    </cfRule>
    <cfRule type="expression" dxfId="777" priority="207" stopIfTrue="1">
      <formula>AND(TIPOORCAMENTO="Licitado",$C249&lt;&gt;"L",$C249&lt;&gt;-1)</formula>
    </cfRule>
  </conditionalFormatting>
  <conditionalFormatting sqref="P249:Q252 S249:T252 Y249:Y252 AG249:AH252 AG254:AH258 Y254:Y258 S254:T258 P254:Q258">
    <cfRule type="expression" dxfId="776" priority="208" stopIfTrue="1">
      <formula>$C249=1</formula>
    </cfRule>
    <cfRule type="expression" dxfId="775" priority="209" stopIfTrue="1">
      <formula>OR($C249=0,$C249=2,$C249=3,$C249=4)</formula>
    </cfRule>
  </conditionalFormatting>
  <conditionalFormatting sqref="R249:R252 R254:R258">
    <cfRule type="beginsWith" dxfId="774" priority="201" operator="beginsWith" text="(">
      <formula>LEFT(R249,LEN("("))="("</formula>
    </cfRule>
  </conditionalFormatting>
  <conditionalFormatting sqref="X249:X252 X254:X258">
    <cfRule type="expression" dxfId="773" priority="199" stopIfTrue="1">
      <formula>$C249=1</formula>
    </cfRule>
    <cfRule type="expression" dxfId="772" priority="200" stopIfTrue="1">
      <formula>OR($C249=0,$C249=2,$C249=3,$C249=4)</formula>
    </cfRule>
  </conditionalFormatting>
  <conditionalFormatting sqref="M259:M267">
    <cfRule type="cellIs" dxfId="771" priority="191" stopIfTrue="1" operator="notEqual">
      <formula>$N259</formula>
    </cfRule>
  </conditionalFormatting>
  <conditionalFormatting sqref="N259:O267 R259:R267 W259:W267">
    <cfRule type="expression" dxfId="770" priority="192" stopIfTrue="1">
      <formula>$C259=1</formula>
    </cfRule>
    <cfRule type="expression" dxfId="769" priority="193" stopIfTrue="1">
      <formula>OR($C259=0,$C259=2,$C259=3,$C259=4)</formula>
    </cfRule>
  </conditionalFormatting>
  <conditionalFormatting sqref="U259:V267">
    <cfRule type="expression" dxfId="768" priority="194" stopIfTrue="1">
      <formula>$C259=1</formula>
    </cfRule>
    <cfRule type="expression" dxfId="767" priority="195" stopIfTrue="1">
      <formula>OR($C259=0,$C259=2,$C259=3,$C259=4)</formula>
    </cfRule>
    <cfRule type="expression" dxfId="766" priority="196" stopIfTrue="1">
      <formula>AND(TIPOORCAMENTO="Licitado",$C259&lt;&gt;"L",$C259&lt;&gt;-1)</formula>
    </cfRule>
  </conditionalFormatting>
  <conditionalFormatting sqref="P259:Q267 S259:T267 Y259:Y267 AG259:AH267">
    <cfRule type="expression" dxfId="765" priority="197" stopIfTrue="1">
      <formula>$C259=1</formula>
    </cfRule>
    <cfRule type="expression" dxfId="764" priority="198" stopIfTrue="1">
      <formula>OR($C259=0,$C259=2,$C259=3,$C259=4)</formula>
    </cfRule>
  </conditionalFormatting>
  <conditionalFormatting sqref="R259:R267">
    <cfRule type="beginsWith" dxfId="763" priority="190" operator="beginsWith" text="(">
      <formula>LEFT(R259,LEN("("))="("</formula>
    </cfRule>
  </conditionalFormatting>
  <conditionalFormatting sqref="X259:X267">
    <cfRule type="expression" dxfId="762" priority="188" stopIfTrue="1">
      <formula>$C259=1</formula>
    </cfRule>
    <cfRule type="expression" dxfId="761" priority="189" stopIfTrue="1">
      <formula>OR($C259=0,$C259=2,$C259=3,$C259=4)</formula>
    </cfRule>
  </conditionalFormatting>
  <conditionalFormatting sqref="M268:M276">
    <cfRule type="cellIs" dxfId="760" priority="180" stopIfTrue="1" operator="notEqual">
      <formula>$N268</formula>
    </cfRule>
  </conditionalFormatting>
  <conditionalFormatting sqref="N268:O276 R268:R276 W268:W276">
    <cfRule type="expression" dxfId="759" priority="181" stopIfTrue="1">
      <formula>$C268=1</formula>
    </cfRule>
    <cfRule type="expression" dxfId="758" priority="182" stopIfTrue="1">
      <formula>OR($C268=0,$C268=2,$C268=3,$C268=4)</formula>
    </cfRule>
  </conditionalFormatting>
  <conditionalFormatting sqref="U268:V276">
    <cfRule type="expression" dxfId="757" priority="183" stopIfTrue="1">
      <formula>$C268=1</formula>
    </cfRule>
    <cfRule type="expression" dxfId="756" priority="184" stopIfTrue="1">
      <formula>OR($C268=0,$C268=2,$C268=3,$C268=4)</formula>
    </cfRule>
    <cfRule type="expression" dxfId="755" priority="185" stopIfTrue="1">
      <formula>AND(TIPOORCAMENTO="Licitado",$C268&lt;&gt;"L",$C268&lt;&gt;-1)</formula>
    </cfRule>
  </conditionalFormatting>
  <conditionalFormatting sqref="P268:Q276 S268:T276 Y268:Y276 AG268:AH276">
    <cfRule type="expression" dxfId="754" priority="186" stopIfTrue="1">
      <formula>$C268=1</formula>
    </cfRule>
    <cfRule type="expression" dxfId="753" priority="187" stopIfTrue="1">
      <formula>OR($C268=0,$C268=2,$C268=3,$C268=4)</formula>
    </cfRule>
  </conditionalFormatting>
  <conditionalFormatting sqref="R268:R276">
    <cfRule type="beginsWith" dxfId="752" priority="179" operator="beginsWith" text="(">
      <formula>LEFT(R268,LEN("("))="("</formula>
    </cfRule>
  </conditionalFormatting>
  <conditionalFormatting sqref="X268:X276">
    <cfRule type="expression" dxfId="751" priority="177" stopIfTrue="1">
      <formula>$C268=1</formula>
    </cfRule>
    <cfRule type="expression" dxfId="750" priority="178" stopIfTrue="1">
      <formula>OR($C268=0,$C268=2,$C268=3,$C268=4)</formula>
    </cfRule>
  </conditionalFormatting>
  <conditionalFormatting sqref="M277:M285">
    <cfRule type="cellIs" dxfId="749" priority="169" stopIfTrue="1" operator="notEqual">
      <formula>$N277</formula>
    </cfRule>
  </conditionalFormatting>
  <conditionalFormatting sqref="N277:O285 R277:R285 W277:W285">
    <cfRule type="expression" dxfId="748" priority="170" stopIfTrue="1">
      <formula>$C277=1</formula>
    </cfRule>
    <cfRule type="expression" dxfId="747" priority="171" stopIfTrue="1">
      <formula>OR($C277=0,$C277=2,$C277=3,$C277=4)</formula>
    </cfRule>
  </conditionalFormatting>
  <conditionalFormatting sqref="U277:V285">
    <cfRule type="expression" dxfId="746" priority="172" stopIfTrue="1">
      <formula>$C277=1</formula>
    </cfRule>
    <cfRule type="expression" dxfId="745" priority="173" stopIfTrue="1">
      <formula>OR($C277=0,$C277=2,$C277=3,$C277=4)</formula>
    </cfRule>
    <cfRule type="expression" dxfId="744" priority="174" stopIfTrue="1">
      <formula>AND(TIPOORCAMENTO="Licitado",$C277&lt;&gt;"L",$C277&lt;&gt;-1)</formula>
    </cfRule>
  </conditionalFormatting>
  <conditionalFormatting sqref="P277:Q285 S277:T285 Y277:Y285 AG277:AH285">
    <cfRule type="expression" dxfId="743" priority="175" stopIfTrue="1">
      <formula>$C277=1</formula>
    </cfRule>
    <cfRule type="expression" dxfId="742" priority="176" stopIfTrue="1">
      <formula>OR($C277=0,$C277=2,$C277=3,$C277=4)</formula>
    </cfRule>
  </conditionalFormatting>
  <conditionalFormatting sqref="R277:R285">
    <cfRule type="beginsWith" dxfId="741" priority="168" operator="beginsWith" text="(">
      <formula>LEFT(R277,LEN("("))="("</formula>
    </cfRule>
  </conditionalFormatting>
  <conditionalFormatting sqref="X277:X285">
    <cfRule type="expression" dxfId="740" priority="166" stopIfTrue="1">
      <formula>$C277=1</formula>
    </cfRule>
    <cfRule type="expression" dxfId="739" priority="167" stopIfTrue="1">
      <formula>OR($C277=0,$C277=2,$C277=3,$C277=4)</formula>
    </cfRule>
  </conditionalFormatting>
  <conditionalFormatting sqref="M286:M294">
    <cfRule type="cellIs" dxfId="738" priority="158" stopIfTrue="1" operator="notEqual">
      <formula>$N286</formula>
    </cfRule>
  </conditionalFormatting>
  <conditionalFormatting sqref="N286:O294 R286:R294 W286:W294">
    <cfRule type="expression" dxfId="737" priority="159" stopIfTrue="1">
      <formula>$C286=1</formula>
    </cfRule>
    <cfRule type="expression" dxfId="736" priority="160" stopIfTrue="1">
      <formula>OR($C286=0,$C286=2,$C286=3,$C286=4)</formula>
    </cfRule>
  </conditionalFormatting>
  <conditionalFormatting sqref="U286:V294">
    <cfRule type="expression" dxfId="735" priority="161" stopIfTrue="1">
      <formula>$C286=1</formula>
    </cfRule>
    <cfRule type="expression" dxfId="734" priority="162" stopIfTrue="1">
      <formula>OR($C286=0,$C286=2,$C286=3,$C286=4)</formula>
    </cfRule>
    <cfRule type="expression" dxfId="733" priority="163" stopIfTrue="1">
      <formula>AND(TIPOORCAMENTO="Licitado",$C286&lt;&gt;"L",$C286&lt;&gt;-1)</formula>
    </cfRule>
  </conditionalFormatting>
  <conditionalFormatting sqref="P286:Q294 S286:T294 Y286:Y294 AG286:AH294">
    <cfRule type="expression" dxfId="732" priority="164" stopIfTrue="1">
      <formula>$C286=1</formula>
    </cfRule>
    <cfRule type="expression" dxfId="731" priority="165" stopIfTrue="1">
      <formula>OR($C286=0,$C286=2,$C286=3,$C286=4)</formula>
    </cfRule>
  </conditionalFormatting>
  <conditionalFormatting sqref="R286:R294">
    <cfRule type="beginsWith" dxfId="730" priority="157" operator="beginsWith" text="(">
      <formula>LEFT(R286,LEN("("))="("</formula>
    </cfRule>
  </conditionalFormatting>
  <conditionalFormatting sqref="X286:X294">
    <cfRule type="expression" dxfId="729" priority="155" stopIfTrue="1">
      <formula>$C286=1</formula>
    </cfRule>
    <cfRule type="expression" dxfId="728" priority="156" stopIfTrue="1">
      <formula>OR($C286=0,$C286=2,$C286=3,$C286=4)</formula>
    </cfRule>
  </conditionalFormatting>
  <conditionalFormatting sqref="M295:M303">
    <cfRule type="cellIs" dxfId="727" priority="147" stopIfTrue="1" operator="notEqual">
      <formula>$N295</formula>
    </cfRule>
  </conditionalFormatting>
  <conditionalFormatting sqref="N295:O303 R295:R303 W295:W303">
    <cfRule type="expression" dxfId="726" priority="148" stopIfTrue="1">
      <formula>$C295=1</formula>
    </cfRule>
    <cfRule type="expression" dxfId="725" priority="149" stopIfTrue="1">
      <formula>OR($C295=0,$C295=2,$C295=3,$C295=4)</formula>
    </cfRule>
  </conditionalFormatting>
  <conditionalFormatting sqref="U295:V303">
    <cfRule type="expression" dxfId="724" priority="150" stopIfTrue="1">
      <formula>$C295=1</formula>
    </cfRule>
    <cfRule type="expression" dxfId="723" priority="151" stopIfTrue="1">
      <formula>OR($C295=0,$C295=2,$C295=3,$C295=4)</formula>
    </cfRule>
    <cfRule type="expression" dxfId="722" priority="152" stopIfTrue="1">
      <formula>AND(TIPOORCAMENTO="Licitado",$C295&lt;&gt;"L",$C295&lt;&gt;-1)</formula>
    </cfRule>
  </conditionalFormatting>
  <conditionalFormatting sqref="P295:Q303 S295:T303 Y295:Y303 AG295:AH303">
    <cfRule type="expression" dxfId="721" priority="153" stopIfTrue="1">
      <formula>$C295=1</formula>
    </cfRule>
    <cfRule type="expression" dxfId="720" priority="154" stopIfTrue="1">
      <formula>OR($C295=0,$C295=2,$C295=3,$C295=4)</formula>
    </cfRule>
  </conditionalFormatting>
  <conditionalFormatting sqref="R295:R303">
    <cfRule type="beginsWith" dxfId="719" priority="146" operator="beginsWith" text="(">
      <formula>LEFT(R295,LEN("("))="("</formula>
    </cfRule>
  </conditionalFormatting>
  <conditionalFormatting sqref="X295:X303">
    <cfRule type="expression" dxfId="718" priority="144" stopIfTrue="1">
      <formula>$C295=1</formula>
    </cfRule>
    <cfRule type="expression" dxfId="717" priority="145" stopIfTrue="1">
      <formula>OR($C295=0,$C295=2,$C295=3,$C295=4)</formula>
    </cfRule>
  </conditionalFormatting>
  <conditionalFormatting sqref="M304:M312">
    <cfRule type="cellIs" dxfId="716" priority="136" stopIfTrue="1" operator="notEqual">
      <formula>$N304</formula>
    </cfRule>
  </conditionalFormatting>
  <conditionalFormatting sqref="N304:O312 R304:R312 W304:W312">
    <cfRule type="expression" dxfId="715" priority="137" stopIfTrue="1">
      <formula>$C304=1</formula>
    </cfRule>
    <cfRule type="expression" dxfId="714" priority="138" stopIfTrue="1">
      <formula>OR($C304=0,$C304=2,$C304=3,$C304=4)</formula>
    </cfRule>
  </conditionalFormatting>
  <conditionalFormatting sqref="U304:V312">
    <cfRule type="expression" dxfId="713" priority="139" stopIfTrue="1">
      <formula>$C304=1</formula>
    </cfRule>
    <cfRule type="expression" dxfId="712" priority="140" stopIfTrue="1">
      <formula>OR($C304=0,$C304=2,$C304=3,$C304=4)</formula>
    </cfRule>
    <cfRule type="expression" dxfId="711" priority="141" stopIfTrue="1">
      <formula>AND(TIPOORCAMENTO="Licitado",$C304&lt;&gt;"L",$C304&lt;&gt;-1)</formula>
    </cfRule>
  </conditionalFormatting>
  <conditionalFormatting sqref="P304:Q312 S304:T312 Y304:Y312 AG304:AH312">
    <cfRule type="expression" dxfId="710" priority="142" stopIfTrue="1">
      <formula>$C304=1</formula>
    </cfRule>
    <cfRule type="expression" dxfId="709" priority="143" stopIfTrue="1">
      <formula>OR($C304=0,$C304=2,$C304=3,$C304=4)</formula>
    </cfRule>
  </conditionalFormatting>
  <conditionalFormatting sqref="R304:R312">
    <cfRule type="beginsWith" dxfId="708" priority="135" operator="beginsWith" text="(">
      <formula>LEFT(R304,LEN("("))="("</formula>
    </cfRule>
  </conditionalFormatting>
  <conditionalFormatting sqref="X304:X312">
    <cfRule type="expression" dxfId="707" priority="133" stopIfTrue="1">
      <formula>$C304=1</formula>
    </cfRule>
    <cfRule type="expression" dxfId="706" priority="134" stopIfTrue="1">
      <formula>OR($C304=0,$C304=2,$C304=3,$C304=4)</formula>
    </cfRule>
  </conditionalFormatting>
  <conditionalFormatting sqref="M313:M321">
    <cfRule type="cellIs" dxfId="705" priority="125" stopIfTrue="1" operator="notEqual">
      <formula>$N313</formula>
    </cfRule>
  </conditionalFormatting>
  <conditionalFormatting sqref="N313:O321 R313:R321 W313:W321">
    <cfRule type="expression" dxfId="704" priority="126" stopIfTrue="1">
      <formula>$C313=1</formula>
    </cfRule>
    <cfRule type="expression" dxfId="703" priority="127" stopIfTrue="1">
      <formula>OR($C313=0,$C313=2,$C313=3,$C313=4)</formula>
    </cfRule>
  </conditionalFormatting>
  <conditionalFormatting sqref="U313:V321">
    <cfRule type="expression" dxfId="702" priority="128" stopIfTrue="1">
      <formula>$C313=1</formula>
    </cfRule>
    <cfRule type="expression" dxfId="701" priority="129" stopIfTrue="1">
      <formula>OR($C313=0,$C313=2,$C313=3,$C313=4)</formula>
    </cfRule>
    <cfRule type="expression" dxfId="700" priority="130" stopIfTrue="1">
      <formula>AND(TIPOORCAMENTO="Licitado",$C313&lt;&gt;"L",$C313&lt;&gt;-1)</formula>
    </cfRule>
  </conditionalFormatting>
  <conditionalFormatting sqref="P313:Q321 S313:T321 Y313:Y321 AG313:AH321">
    <cfRule type="expression" dxfId="699" priority="131" stopIfTrue="1">
      <formula>$C313=1</formula>
    </cfRule>
    <cfRule type="expression" dxfId="698" priority="132" stopIfTrue="1">
      <formula>OR($C313=0,$C313=2,$C313=3,$C313=4)</formula>
    </cfRule>
  </conditionalFormatting>
  <conditionalFormatting sqref="R313:R321">
    <cfRule type="beginsWith" dxfId="697" priority="124" operator="beginsWith" text="(">
      <formula>LEFT(R313,LEN("("))="("</formula>
    </cfRule>
  </conditionalFormatting>
  <conditionalFormatting sqref="X313:X321">
    <cfRule type="expression" dxfId="696" priority="122" stopIfTrue="1">
      <formula>$C313=1</formula>
    </cfRule>
    <cfRule type="expression" dxfId="695" priority="123" stopIfTrue="1">
      <formula>OR($C313=0,$C313=2,$C313=3,$C313=4)</formula>
    </cfRule>
  </conditionalFormatting>
  <conditionalFormatting sqref="M322:M330">
    <cfRule type="cellIs" dxfId="694" priority="114" stopIfTrue="1" operator="notEqual">
      <formula>$N322</formula>
    </cfRule>
  </conditionalFormatting>
  <conditionalFormatting sqref="N322:O330 R322:R330 W322:W330">
    <cfRule type="expression" dxfId="693" priority="115" stopIfTrue="1">
      <formula>$C322=1</formula>
    </cfRule>
    <cfRule type="expression" dxfId="692" priority="116" stopIfTrue="1">
      <formula>OR($C322=0,$C322=2,$C322=3,$C322=4)</formula>
    </cfRule>
  </conditionalFormatting>
  <conditionalFormatting sqref="U322:V330">
    <cfRule type="expression" dxfId="691" priority="117" stopIfTrue="1">
      <formula>$C322=1</formula>
    </cfRule>
    <cfRule type="expression" dxfId="690" priority="118" stopIfTrue="1">
      <formula>OR($C322=0,$C322=2,$C322=3,$C322=4)</formula>
    </cfRule>
    <cfRule type="expression" dxfId="689" priority="119" stopIfTrue="1">
      <formula>AND(TIPOORCAMENTO="Licitado",$C322&lt;&gt;"L",$C322&lt;&gt;-1)</formula>
    </cfRule>
  </conditionalFormatting>
  <conditionalFormatting sqref="P322:Q330 S322:T330 Y322:Y330 AG322:AH330">
    <cfRule type="expression" dxfId="688" priority="120" stopIfTrue="1">
      <formula>$C322=1</formula>
    </cfRule>
    <cfRule type="expression" dxfId="687" priority="121" stopIfTrue="1">
      <formula>OR($C322=0,$C322=2,$C322=3,$C322=4)</formula>
    </cfRule>
  </conditionalFormatting>
  <conditionalFormatting sqref="R322:R330">
    <cfRule type="beginsWith" dxfId="686" priority="113" operator="beginsWith" text="(">
      <formula>LEFT(R322,LEN("("))="("</formula>
    </cfRule>
  </conditionalFormatting>
  <conditionalFormatting sqref="X322:X330">
    <cfRule type="expression" dxfId="685" priority="111" stopIfTrue="1">
      <formula>$C322=1</formula>
    </cfRule>
    <cfRule type="expression" dxfId="684" priority="112" stopIfTrue="1">
      <formula>OR($C322=0,$C322=2,$C322=3,$C322=4)</formula>
    </cfRule>
  </conditionalFormatting>
  <conditionalFormatting sqref="M331:M339">
    <cfRule type="cellIs" dxfId="683" priority="103" stopIfTrue="1" operator="notEqual">
      <formula>$N331</formula>
    </cfRule>
  </conditionalFormatting>
  <conditionalFormatting sqref="N331:O339 R331:R339 W331:W339">
    <cfRule type="expression" dxfId="682" priority="104" stopIfTrue="1">
      <formula>$C331=1</formula>
    </cfRule>
    <cfRule type="expression" dxfId="681" priority="105" stopIfTrue="1">
      <formula>OR($C331=0,$C331=2,$C331=3,$C331=4)</formula>
    </cfRule>
  </conditionalFormatting>
  <conditionalFormatting sqref="U331:V339">
    <cfRule type="expression" dxfId="680" priority="106" stopIfTrue="1">
      <formula>$C331=1</formula>
    </cfRule>
    <cfRule type="expression" dxfId="679" priority="107" stopIfTrue="1">
      <formula>OR($C331=0,$C331=2,$C331=3,$C331=4)</formula>
    </cfRule>
    <cfRule type="expression" dxfId="678" priority="108" stopIfTrue="1">
      <formula>AND(TIPOORCAMENTO="Licitado",$C331&lt;&gt;"L",$C331&lt;&gt;-1)</formula>
    </cfRule>
  </conditionalFormatting>
  <conditionalFormatting sqref="P331:Q339 S331:T339 Y331:Y339 AG331:AH339">
    <cfRule type="expression" dxfId="677" priority="109" stopIfTrue="1">
      <formula>$C331=1</formula>
    </cfRule>
    <cfRule type="expression" dxfId="676" priority="110" stopIfTrue="1">
      <formula>OR($C331=0,$C331=2,$C331=3,$C331=4)</formula>
    </cfRule>
  </conditionalFormatting>
  <conditionalFormatting sqref="R331:R339">
    <cfRule type="beginsWith" dxfId="675" priority="102" operator="beginsWith" text="(">
      <formula>LEFT(R331,LEN("("))="("</formula>
    </cfRule>
  </conditionalFormatting>
  <conditionalFormatting sqref="X331:X339">
    <cfRule type="expression" dxfId="674" priority="100" stopIfTrue="1">
      <formula>$C331=1</formula>
    </cfRule>
    <cfRule type="expression" dxfId="673" priority="101" stopIfTrue="1">
      <formula>OR($C331=0,$C331=2,$C331=3,$C331=4)</formula>
    </cfRule>
  </conditionalFormatting>
  <conditionalFormatting sqref="M340:M348">
    <cfRule type="cellIs" dxfId="672" priority="92" stopIfTrue="1" operator="notEqual">
      <formula>$N340</formula>
    </cfRule>
  </conditionalFormatting>
  <conditionalFormatting sqref="N340:O348 R340:R348 W340:W348">
    <cfRule type="expression" dxfId="671" priority="93" stopIfTrue="1">
      <formula>$C340=1</formula>
    </cfRule>
    <cfRule type="expression" dxfId="670" priority="94" stopIfTrue="1">
      <formula>OR($C340=0,$C340=2,$C340=3,$C340=4)</formula>
    </cfRule>
  </conditionalFormatting>
  <conditionalFormatting sqref="U340:V348">
    <cfRule type="expression" dxfId="669" priority="95" stopIfTrue="1">
      <formula>$C340=1</formula>
    </cfRule>
    <cfRule type="expression" dxfId="668" priority="96" stopIfTrue="1">
      <formula>OR($C340=0,$C340=2,$C340=3,$C340=4)</formula>
    </cfRule>
    <cfRule type="expression" dxfId="667" priority="97" stopIfTrue="1">
      <formula>AND(TIPOORCAMENTO="Licitado",$C340&lt;&gt;"L",$C340&lt;&gt;-1)</formula>
    </cfRule>
  </conditionalFormatting>
  <conditionalFormatting sqref="P340:Q348 S340:T348 Y340:Y348 AG340:AH348">
    <cfRule type="expression" dxfId="666" priority="98" stopIfTrue="1">
      <formula>$C340=1</formula>
    </cfRule>
    <cfRule type="expression" dxfId="665" priority="99" stopIfTrue="1">
      <formula>OR($C340=0,$C340=2,$C340=3,$C340=4)</formula>
    </cfRule>
  </conditionalFormatting>
  <conditionalFormatting sqref="R340:R348">
    <cfRule type="beginsWith" dxfId="664" priority="91" operator="beginsWith" text="(">
      <formula>LEFT(R340,LEN("("))="("</formula>
    </cfRule>
  </conditionalFormatting>
  <conditionalFormatting sqref="X340:X348">
    <cfRule type="expression" dxfId="663" priority="89" stopIfTrue="1">
      <formula>$C340=1</formula>
    </cfRule>
    <cfRule type="expression" dxfId="662" priority="90" stopIfTrue="1">
      <formula>OR($C340=0,$C340=2,$C340=3,$C340=4)</formula>
    </cfRule>
  </conditionalFormatting>
  <conditionalFormatting sqref="M349:M357">
    <cfRule type="cellIs" dxfId="661" priority="81" stopIfTrue="1" operator="notEqual">
      <formula>$N349</formula>
    </cfRule>
  </conditionalFormatting>
  <conditionalFormatting sqref="N349:O357 R349:R357 W349:W357">
    <cfRule type="expression" dxfId="660" priority="82" stopIfTrue="1">
      <formula>$C349=1</formula>
    </cfRule>
    <cfRule type="expression" dxfId="659" priority="83" stopIfTrue="1">
      <formula>OR($C349=0,$C349=2,$C349=3,$C349=4)</formula>
    </cfRule>
  </conditionalFormatting>
  <conditionalFormatting sqref="U349:V357">
    <cfRule type="expression" dxfId="658" priority="84" stopIfTrue="1">
      <formula>$C349=1</formula>
    </cfRule>
    <cfRule type="expression" dxfId="657" priority="85" stopIfTrue="1">
      <formula>OR($C349=0,$C349=2,$C349=3,$C349=4)</formula>
    </cfRule>
    <cfRule type="expression" dxfId="656" priority="86" stopIfTrue="1">
      <formula>AND(TIPOORCAMENTO="Licitado",$C349&lt;&gt;"L",$C349&lt;&gt;-1)</formula>
    </cfRule>
  </conditionalFormatting>
  <conditionalFormatting sqref="P349:Q357 S349:T357 Y349:Y357 AG349:AH357">
    <cfRule type="expression" dxfId="655" priority="87" stopIfTrue="1">
      <formula>$C349=1</formula>
    </cfRule>
    <cfRule type="expression" dxfId="654" priority="88" stopIfTrue="1">
      <formula>OR($C349=0,$C349=2,$C349=3,$C349=4)</formula>
    </cfRule>
  </conditionalFormatting>
  <conditionalFormatting sqref="R349:R357">
    <cfRule type="beginsWith" dxfId="653" priority="80" operator="beginsWith" text="(">
      <formula>LEFT(R349,LEN("("))="("</formula>
    </cfRule>
  </conditionalFormatting>
  <conditionalFormatting sqref="X349:X357">
    <cfRule type="expression" dxfId="652" priority="78" stopIfTrue="1">
      <formula>$C349=1</formula>
    </cfRule>
    <cfRule type="expression" dxfId="651" priority="79" stopIfTrue="1">
      <formula>OR($C349=0,$C349=2,$C349=3,$C349=4)</formula>
    </cfRule>
  </conditionalFormatting>
  <conditionalFormatting sqref="M358:M366">
    <cfRule type="cellIs" dxfId="650" priority="70" stopIfTrue="1" operator="notEqual">
      <formula>$N358</formula>
    </cfRule>
  </conditionalFormatting>
  <conditionalFormatting sqref="N358:O366 R358:R366 W358:W366">
    <cfRule type="expression" dxfId="649" priority="71" stopIfTrue="1">
      <formula>$C358=1</formula>
    </cfRule>
    <cfRule type="expression" dxfId="648" priority="72" stopIfTrue="1">
      <formula>OR($C358=0,$C358=2,$C358=3,$C358=4)</formula>
    </cfRule>
  </conditionalFormatting>
  <conditionalFormatting sqref="U358:V366">
    <cfRule type="expression" dxfId="647" priority="73" stopIfTrue="1">
      <formula>$C358=1</formula>
    </cfRule>
    <cfRule type="expression" dxfId="646" priority="74" stopIfTrue="1">
      <formula>OR($C358=0,$C358=2,$C358=3,$C358=4)</formula>
    </cfRule>
    <cfRule type="expression" dxfId="645" priority="75" stopIfTrue="1">
      <formula>AND(TIPOORCAMENTO="Licitado",$C358&lt;&gt;"L",$C358&lt;&gt;-1)</formula>
    </cfRule>
  </conditionalFormatting>
  <conditionalFormatting sqref="P358:Q366 S358:T366 Y358:Y366 AG358:AH366">
    <cfRule type="expression" dxfId="644" priority="76" stopIfTrue="1">
      <formula>$C358=1</formula>
    </cfRule>
    <cfRule type="expression" dxfId="643" priority="77" stopIfTrue="1">
      <formula>OR($C358=0,$C358=2,$C358=3,$C358=4)</formula>
    </cfRule>
  </conditionalFormatting>
  <conditionalFormatting sqref="R358:R366">
    <cfRule type="beginsWith" dxfId="642" priority="69" operator="beginsWith" text="(">
      <formula>LEFT(R358,LEN("("))="("</formula>
    </cfRule>
  </conditionalFormatting>
  <conditionalFormatting sqref="X358:X366">
    <cfRule type="expression" dxfId="641" priority="67" stopIfTrue="1">
      <formula>$C358=1</formula>
    </cfRule>
    <cfRule type="expression" dxfId="640" priority="68" stopIfTrue="1">
      <formula>OR($C358=0,$C358=2,$C358=3,$C358=4)</formula>
    </cfRule>
  </conditionalFormatting>
  <conditionalFormatting sqref="M367:M375">
    <cfRule type="cellIs" dxfId="639" priority="59" stopIfTrue="1" operator="notEqual">
      <formula>$N367</formula>
    </cfRule>
  </conditionalFormatting>
  <conditionalFormatting sqref="N367:O375 R367:R375 W367:W375">
    <cfRule type="expression" dxfId="638" priority="60" stopIfTrue="1">
      <formula>$C367=1</formula>
    </cfRule>
    <cfRule type="expression" dxfId="637" priority="61" stopIfTrue="1">
      <formula>OR($C367=0,$C367=2,$C367=3,$C367=4)</formula>
    </cfRule>
  </conditionalFormatting>
  <conditionalFormatting sqref="U367:V375">
    <cfRule type="expression" dxfId="636" priority="62" stopIfTrue="1">
      <formula>$C367=1</formula>
    </cfRule>
    <cfRule type="expression" dxfId="635" priority="63" stopIfTrue="1">
      <formula>OR($C367=0,$C367=2,$C367=3,$C367=4)</formula>
    </cfRule>
    <cfRule type="expression" dxfId="634" priority="64" stopIfTrue="1">
      <formula>AND(TIPOORCAMENTO="Licitado",$C367&lt;&gt;"L",$C367&lt;&gt;-1)</formula>
    </cfRule>
  </conditionalFormatting>
  <conditionalFormatting sqref="P367:Q375 S367:T375 Y367:Y375 AG367:AH375">
    <cfRule type="expression" dxfId="633" priority="65" stopIfTrue="1">
      <formula>$C367=1</formula>
    </cfRule>
    <cfRule type="expression" dxfId="632" priority="66" stopIfTrue="1">
      <formula>OR($C367=0,$C367=2,$C367=3,$C367=4)</formula>
    </cfRule>
  </conditionalFormatting>
  <conditionalFormatting sqref="R367:R375">
    <cfRule type="beginsWith" dxfId="631" priority="58" operator="beginsWith" text="(">
      <formula>LEFT(R367,LEN("("))="("</formula>
    </cfRule>
  </conditionalFormatting>
  <conditionalFormatting sqref="X367:X375">
    <cfRule type="expression" dxfId="630" priority="56" stopIfTrue="1">
      <formula>$C367=1</formula>
    </cfRule>
    <cfRule type="expression" dxfId="629" priority="57" stopIfTrue="1">
      <formula>OR($C367=0,$C367=2,$C367=3,$C367=4)</formula>
    </cfRule>
  </conditionalFormatting>
  <conditionalFormatting sqref="M376:M384">
    <cfRule type="cellIs" dxfId="628" priority="48" stopIfTrue="1" operator="notEqual">
      <formula>$N376</formula>
    </cfRule>
  </conditionalFormatting>
  <conditionalFormatting sqref="N376:O384 R376:R384 W376:W384">
    <cfRule type="expression" dxfId="627" priority="49" stopIfTrue="1">
      <formula>$C376=1</formula>
    </cfRule>
    <cfRule type="expression" dxfId="626" priority="50" stopIfTrue="1">
      <formula>OR($C376=0,$C376=2,$C376=3,$C376=4)</formula>
    </cfRule>
  </conditionalFormatting>
  <conditionalFormatting sqref="U376:V384">
    <cfRule type="expression" dxfId="625" priority="51" stopIfTrue="1">
      <formula>$C376=1</formula>
    </cfRule>
    <cfRule type="expression" dxfId="624" priority="52" stopIfTrue="1">
      <formula>OR($C376=0,$C376=2,$C376=3,$C376=4)</formula>
    </cfRule>
    <cfRule type="expression" dxfId="623" priority="53" stopIfTrue="1">
      <formula>AND(TIPOORCAMENTO="Licitado",$C376&lt;&gt;"L",$C376&lt;&gt;-1)</formula>
    </cfRule>
  </conditionalFormatting>
  <conditionalFormatting sqref="P376:Q384 S376:T384 Y376:Y384 AG376:AH384">
    <cfRule type="expression" dxfId="622" priority="54" stopIfTrue="1">
      <formula>$C376=1</formula>
    </cfRule>
    <cfRule type="expression" dxfId="621" priority="55" stopIfTrue="1">
      <formula>OR($C376=0,$C376=2,$C376=3,$C376=4)</formula>
    </cfRule>
  </conditionalFormatting>
  <conditionalFormatting sqref="R376:R384">
    <cfRule type="beginsWith" dxfId="620" priority="47" operator="beginsWith" text="(">
      <formula>LEFT(R376,LEN("("))="("</formula>
    </cfRule>
  </conditionalFormatting>
  <conditionalFormatting sqref="X376:X384">
    <cfRule type="expression" dxfId="619" priority="45" stopIfTrue="1">
      <formula>$C376=1</formula>
    </cfRule>
    <cfRule type="expression" dxfId="618" priority="46" stopIfTrue="1">
      <formula>OR($C376=0,$C376=2,$C376=3,$C376=4)</formula>
    </cfRule>
  </conditionalFormatting>
  <conditionalFormatting sqref="M385:M393">
    <cfRule type="cellIs" dxfId="617" priority="37" stopIfTrue="1" operator="notEqual">
      <formula>$N385</formula>
    </cfRule>
  </conditionalFormatting>
  <conditionalFormatting sqref="N385:O393 R385:R393 W385:W393">
    <cfRule type="expression" dxfId="616" priority="38" stopIfTrue="1">
      <formula>$C385=1</formula>
    </cfRule>
    <cfRule type="expression" dxfId="615" priority="39" stopIfTrue="1">
      <formula>OR($C385=0,$C385=2,$C385=3,$C385=4)</formula>
    </cfRule>
  </conditionalFormatting>
  <conditionalFormatting sqref="U385:V393">
    <cfRule type="expression" dxfId="614" priority="40" stopIfTrue="1">
      <formula>$C385=1</formula>
    </cfRule>
    <cfRule type="expression" dxfId="613" priority="41" stopIfTrue="1">
      <formula>OR($C385=0,$C385=2,$C385=3,$C385=4)</formula>
    </cfRule>
    <cfRule type="expression" dxfId="612" priority="42" stopIfTrue="1">
      <formula>AND(TIPOORCAMENTO="Licitado",$C385&lt;&gt;"L",$C385&lt;&gt;-1)</formula>
    </cfRule>
  </conditionalFormatting>
  <conditionalFormatting sqref="P385:Q393 S385:T393 Y385:Y393 AG385:AH393">
    <cfRule type="expression" dxfId="611" priority="43" stopIfTrue="1">
      <formula>$C385=1</formula>
    </cfRule>
    <cfRule type="expression" dxfId="610" priority="44" stopIfTrue="1">
      <formula>OR($C385=0,$C385=2,$C385=3,$C385=4)</formula>
    </cfRule>
  </conditionalFormatting>
  <conditionalFormatting sqref="R385:R393">
    <cfRule type="beginsWith" dxfId="609" priority="36" operator="beginsWith" text="(">
      <formula>LEFT(R385,LEN("("))="("</formula>
    </cfRule>
  </conditionalFormatting>
  <conditionalFormatting sqref="X385:X393">
    <cfRule type="expression" dxfId="608" priority="34" stopIfTrue="1">
      <formula>$C385=1</formula>
    </cfRule>
    <cfRule type="expression" dxfId="607" priority="35" stopIfTrue="1">
      <formula>OR($C385=0,$C385=2,$C385=3,$C385=4)</formula>
    </cfRule>
  </conditionalFormatting>
  <conditionalFormatting sqref="M394:M402">
    <cfRule type="cellIs" dxfId="606" priority="26" stopIfTrue="1" operator="notEqual">
      <formula>$N394</formula>
    </cfRule>
  </conditionalFormatting>
  <conditionalFormatting sqref="N394:O402 R394:R402 W394:W402">
    <cfRule type="expression" dxfId="605" priority="27" stopIfTrue="1">
      <formula>$C394=1</formula>
    </cfRule>
    <cfRule type="expression" dxfId="604" priority="28" stopIfTrue="1">
      <formula>OR($C394=0,$C394=2,$C394=3,$C394=4)</formula>
    </cfRule>
  </conditionalFormatting>
  <conditionalFormatting sqref="U394:V402">
    <cfRule type="expression" dxfId="603" priority="29" stopIfTrue="1">
      <formula>$C394=1</formula>
    </cfRule>
    <cfRule type="expression" dxfId="602" priority="30" stopIfTrue="1">
      <formula>OR($C394=0,$C394=2,$C394=3,$C394=4)</formula>
    </cfRule>
    <cfRule type="expression" dxfId="601" priority="31" stopIfTrue="1">
      <formula>AND(TIPOORCAMENTO="Licitado",$C394&lt;&gt;"L",$C394&lt;&gt;-1)</formula>
    </cfRule>
  </conditionalFormatting>
  <conditionalFormatting sqref="P394:Q402 S394:T402 Y394:Y402 AG394:AH402">
    <cfRule type="expression" dxfId="600" priority="32" stopIfTrue="1">
      <formula>$C394=1</formula>
    </cfRule>
    <cfRule type="expression" dxfId="599" priority="33" stopIfTrue="1">
      <formula>OR($C394=0,$C394=2,$C394=3,$C394=4)</formula>
    </cfRule>
  </conditionalFormatting>
  <conditionalFormatting sqref="R394:R402">
    <cfRule type="beginsWith" dxfId="598" priority="25" operator="beginsWith" text="(">
      <formula>LEFT(R394,LEN("("))="("</formula>
    </cfRule>
  </conditionalFormatting>
  <conditionalFormatting sqref="X394:X402">
    <cfRule type="expression" dxfId="597" priority="23" stopIfTrue="1">
      <formula>$C394=1</formula>
    </cfRule>
    <cfRule type="expression" dxfId="596" priority="24" stopIfTrue="1">
      <formula>OR($C394=0,$C394=2,$C394=3,$C394=4)</formula>
    </cfRule>
  </conditionalFormatting>
  <conditionalFormatting sqref="M403:M404">
    <cfRule type="cellIs" dxfId="595" priority="15" stopIfTrue="1" operator="notEqual">
      <formula>$N403</formula>
    </cfRule>
  </conditionalFormatting>
  <conditionalFormatting sqref="N403:O404 R403:R404 W403:W404">
    <cfRule type="expression" dxfId="594" priority="16" stopIfTrue="1">
      <formula>$C403=1</formula>
    </cfRule>
    <cfRule type="expression" dxfId="593" priority="17" stopIfTrue="1">
      <formula>OR($C403=0,$C403=2,$C403=3,$C403=4)</formula>
    </cfRule>
  </conditionalFormatting>
  <conditionalFormatting sqref="U403:V404">
    <cfRule type="expression" dxfId="592" priority="18" stopIfTrue="1">
      <formula>$C403=1</formula>
    </cfRule>
    <cfRule type="expression" dxfId="591" priority="19" stopIfTrue="1">
      <formula>OR($C403=0,$C403=2,$C403=3,$C403=4)</formula>
    </cfRule>
    <cfRule type="expression" dxfId="590" priority="20" stopIfTrue="1">
      <formula>AND(TIPOORCAMENTO="Licitado",$C403&lt;&gt;"L",$C403&lt;&gt;-1)</formula>
    </cfRule>
  </conditionalFormatting>
  <conditionalFormatting sqref="P403:Q404 S403:T404 Y403:Y404 AG403:AH404">
    <cfRule type="expression" dxfId="589" priority="21" stopIfTrue="1">
      <formula>$C403=1</formula>
    </cfRule>
    <cfRule type="expression" dxfId="588" priority="22" stopIfTrue="1">
      <formula>OR($C403=0,$C403=2,$C403=3,$C403=4)</formula>
    </cfRule>
  </conditionalFormatting>
  <conditionalFormatting sqref="R403:R404">
    <cfRule type="beginsWith" dxfId="587" priority="14" operator="beginsWith" text="(">
      <formula>LEFT(R403,LEN("("))="("</formula>
    </cfRule>
  </conditionalFormatting>
  <conditionalFormatting sqref="X403:X404">
    <cfRule type="expression" dxfId="586" priority="12" stopIfTrue="1">
      <formula>$C403=1</formula>
    </cfRule>
    <cfRule type="expression" dxfId="585" priority="13" stopIfTrue="1">
      <formula>OR($C403=0,$C403=2,$C403=3,$C403=4)</formula>
    </cfRule>
  </conditionalFormatting>
  <conditionalFormatting sqref="M253">
    <cfRule type="cellIs" dxfId="584" priority="4" stopIfTrue="1" operator="notEqual">
      <formula>$N253</formula>
    </cfRule>
  </conditionalFormatting>
  <conditionalFormatting sqref="N253:O253 R253 W253">
    <cfRule type="expression" dxfId="583" priority="5" stopIfTrue="1">
      <formula>$C253=1</formula>
    </cfRule>
    <cfRule type="expression" dxfId="582" priority="6" stopIfTrue="1">
      <formula>OR($C253=0,$C253=2,$C253=3,$C253=4)</formula>
    </cfRule>
  </conditionalFormatting>
  <conditionalFormatting sqref="U253:V253">
    <cfRule type="expression" dxfId="581" priority="7" stopIfTrue="1">
      <formula>$C253=1</formula>
    </cfRule>
    <cfRule type="expression" dxfId="580" priority="8" stopIfTrue="1">
      <formula>OR($C253=0,$C253=2,$C253=3,$C253=4)</formula>
    </cfRule>
    <cfRule type="expression" dxfId="579" priority="9" stopIfTrue="1">
      <formula>AND(TIPOORCAMENTO="Licitado",$C253&lt;&gt;"L",$C253&lt;&gt;-1)</formula>
    </cfRule>
  </conditionalFormatting>
  <conditionalFormatting sqref="P253:Q253 S253:T253 Y253 AG253:AH253">
    <cfRule type="expression" dxfId="578" priority="10" stopIfTrue="1">
      <formula>$C253=1</formula>
    </cfRule>
    <cfRule type="expression" dxfId="577" priority="11" stopIfTrue="1">
      <formula>OR($C253=0,$C253=2,$C253=3,$C253=4)</formula>
    </cfRule>
  </conditionalFormatting>
  <conditionalFormatting sqref="R253">
    <cfRule type="beginsWith" dxfId="576" priority="3" operator="beginsWith" text="(">
      <formula>LEFT(R253,LEN("("))="("</formula>
    </cfRule>
  </conditionalFormatting>
  <conditionalFormatting sqref="X253">
    <cfRule type="expression" dxfId="575" priority="1" stopIfTrue="1">
      <formula>$C253=1</formula>
    </cfRule>
    <cfRule type="expression" dxfId="574" priority="2" stopIfTrue="1">
      <formula>OR($C253=0,$C253=2,$C253=3,$C253=4)</formula>
    </cfRule>
  </conditionalFormatting>
  <dataValidations xWindow="1049" yWindow="580" count="8">
    <dataValidation type="decimal" operator="greaterThan" allowBlank="1" showErrorMessage="1" error="Apenas números decimais maiores que zero." sqref="U14 AL14 AJ14 AL16:AL404 AJ16:AJ404 U16:U404" xr:uid="{00000000-0002-0000-0400-000000000000}">
      <formula1>0</formula1>
      <formula2>0</formula2>
    </dataValidation>
    <dataValidation type="list" allowBlank="1" sqref="P14 P16:P404" xr:uid="{00000000-0002-0000-0400-000001000000}">
      <formula1>"SINAPI,SINAPI-I,SICRO,Composição,Cotação"</formula1>
      <formula2>0</formula2>
    </dataValidation>
    <dataValidation type="list" errorStyle="warning" allowBlank="1" showInputMessage="1" showErrorMessage="1" errorTitle="Aviso BDI" error="Selecione um dos 3 BDI da lista._x000a__x000a_Caso tenha mais de 3 BDI nesta Planilha Orçamentária digite apenas valor percentual." promptTitle="Legenda:" prompt="RA: Rateio proporcional entre Repasse e Contrapartida._x000a_RP: 100% Repasse_x000a_CP: 100% Contrapartida_x000a_OU: 100% Outros." sqref="Y14 Y16:Y404" xr:uid="{00000000-0002-0000-0400-000002000000}">
      <formula1>"RA,RP,CP,OU"</formula1>
      <formula2>0</formula2>
    </dataValidation>
    <dataValidation type="list" showErrorMessage="1" errorTitle="Erro de Entrada" error="Selecione somente os itens da lista." promptTitle="Nível:" prompt="Selecione na lista o nível de itemização da Planilha." sqref="M14 M16:M404" xr:uid="{00000000-0002-0000-0400-000004000000}">
      <formula1>"Meta,Nível 2,Nível 3,Nível 4,Serviço"</formula1>
      <formula2>0</formula2>
    </dataValidation>
    <dataValidation allowBlank="1" showInputMessage="1" showErrorMessage="1" prompt="A entrada de quantidades é feita na coluna AJ se acompanhamento por BM, ou na aba &quot;Memória de Cálculo/PLQ&quot; se acompanhamento por PLE." sqref="T14 T16:T404" xr:uid="{00000000-0002-0000-0400-000005000000}"/>
    <dataValidation allowBlank="1" showInputMessage="1" showErrorMessage="1" prompt="Para Orçamento Proposto, o Preço Unitário é resultado do produto do Custo Unitário pelo BDI._x000a_Para Orçamento Licitado, deve ser preenchido na Coluna AL." sqref="W14 W16:W404" xr:uid="{00000000-0002-0000-0400-000006000000}"/>
    <dataValidation type="list" errorStyle="information" allowBlank="1" showInputMessage="1" prompt="Selecione uma sigla de unidade na lista suspensa." sqref="S14 S16:S404" xr:uid="{C5291EE7-CEB6-4383-A3D0-59315FB79EED}">
      <formula1>ListaTgov.Unidades</formula1>
    </dataValidation>
    <dataValidation type="list" errorStyle="warning" allowBlank="1" showErrorMessage="1" errorTitle="Aviso BDI" error="Selecione um dos 3 BDI da lista._x000a__x000a_Caso tenha mais de 3 BDI nesta Planilha Orçamentária digite apenas valor percentual." sqref="V14 V16:V404" xr:uid="{FEC1A507-6214-4B96-A2C3-3FFAFAF5E673}">
      <mc:AlternateContent xmlns:x12ac="http://schemas.microsoft.com/office/spreadsheetml/2011/1/ac" xmlns:mc="http://schemas.openxmlformats.org/markup-compatibility/2006">
        <mc:Choice Requires="x12ac">
          <x12ac:list>BDI 1, BDI 2, BDI 3," 0,00%"</x12ac:list>
        </mc:Choice>
        <mc:Fallback>
          <formula1>"BDI 1, BDI 2, BDI 3, 0,00%"</formula1>
        </mc:Fallback>
      </mc:AlternateContent>
    </dataValidation>
  </dataValidations>
  <pageMargins left="0.78740157480314998" right="0.78740157480314998" top="0.78740157480314998" bottom="0.78740157480314998" header="0.59055118110236204" footer="0.59055118110236204"/>
  <pageSetup paperSize="9" scale="68" firstPageNumber="0" fitToHeight="0" orientation="landscape" r:id="rId1"/>
  <headerFooter alignWithMargins="0">
    <oddHeader>&amp;C&amp;14I</oddHeader>
    <oddFooter>&amp;LPMv3.11&amp;R&amp;P / &amp;N</oddFooter>
  </headerFooter>
  <colBreaks count="1" manualBreakCount="1">
    <brk id="2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5128" r:id="rId4" name="CaixaArredQuant">
              <controlPr defaultSize="0" print="0" autoFill="0" autoLine="0" autoPict="0">
                <anchor moveWithCells="1" sizeWithCells="1">
                  <from>
                    <xdr:col>19</xdr:col>
                    <xdr:colOff>457200</xdr:colOff>
                    <xdr:row>9</xdr:row>
                    <xdr:rowOff>66675</xdr:rowOff>
                  </from>
                  <to>
                    <xdr:col>19</xdr:col>
                    <xdr:colOff>904875</xdr:colOff>
                    <xdr:row>10</xdr:row>
                    <xdr:rowOff>142875</xdr:rowOff>
                  </to>
                </anchor>
              </controlPr>
            </control>
          </mc:Choice>
        </mc:AlternateContent>
        <mc:AlternateContent xmlns:mc="http://schemas.openxmlformats.org/markup-compatibility/2006">
          <mc:Choice Requires="x14">
            <control shapeId="5129" r:id="rId5" name="CaixaArredCustoUnit">
              <controlPr defaultSize="0" print="0" autoFill="0" autoLine="0" autoPict="0">
                <anchor moveWithCells="1" sizeWithCells="1">
                  <from>
                    <xdr:col>20</xdr:col>
                    <xdr:colOff>447675</xdr:colOff>
                    <xdr:row>9</xdr:row>
                    <xdr:rowOff>66675</xdr:rowOff>
                  </from>
                  <to>
                    <xdr:col>20</xdr:col>
                    <xdr:colOff>876300</xdr:colOff>
                    <xdr:row>10</xdr:row>
                    <xdr:rowOff>142875</xdr:rowOff>
                  </to>
                </anchor>
              </controlPr>
            </control>
          </mc:Choice>
        </mc:AlternateContent>
        <mc:AlternateContent xmlns:mc="http://schemas.openxmlformats.org/markup-compatibility/2006">
          <mc:Choice Requires="x14">
            <control shapeId="5130" r:id="rId6" name="CaixaArredBDI">
              <controlPr defaultSize="0" print="0" autoFill="0" autoLine="0" autoPict="0">
                <anchor moveWithCells="1" sizeWithCells="1">
                  <from>
                    <xdr:col>21</xdr:col>
                    <xdr:colOff>295275</xdr:colOff>
                    <xdr:row>9</xdr:row>
                    <xdr:rowOff>66675</xdr:rowOff>
                  </from>
                  <to>
                    <xdr:col>21</xdr:col>
                    <xdr:colOff>714375</xdr:colOff>
                    <xdr:row>10</xdr:row>
                    <xdr:rowOff>142875</xdr:rowOff>
                  </to>
                </anchor>
              </controlPr>
            </control>
          </mc:Choice>
        </mc:AlternateContent>
        <mc:AlternateContent xmlns:mc="http://schemas.openxmlformats.org/markup-compatibility/2006">
          <mc:Choice Requires="x14">
            <control shapeId="5131" r:id="rId7" name="CaixaArredPrecoUnit">
              <controlPr defaultSize="0" print="0" autoFill="0" autoLine="0" autoPict="0">
                <anchor moveWithCells="1" sizeWithCells="1">
                  <from>
                    <xdr:col>22</xdr:col>
                    <xdr:colOff>371475</xdr:colOff>
                    <xdr:row>9</xdr:row>
                    <xdr:rowOff>66675</xdr:rowOff>
                  </from>
                  <to>
                    <xdr:col>22</xdr:col>
                    <xdr:colOff>790575</xdr:colOff>
                    <xdr:row>10</xdr:row>
                    <xdr:rowOff>142875</xdr:rowOff>
                  </to>
                </anchor>
              </controlPr>
            </control>
          </mc:Choice>
        </mc:AlternateContent>
        <mc:AlternateContent xmlns:mc="http://schemas.openxmlformats.org/markup-compatibility/2006">
          <mc:Choice Requires="x14">
            <control shapeId="5132" r:id="rId8" name="CaixaArredPrecoTotal">
              <controlPr defaultSize="0" print="0" autoFill="0" autoLine="0" autoPict="0">
                <anchor moveWithCells="1" sizeWithCells="1">
                  <from>
                    <xdr:col>23</xdr:col>
                    <xdr:colOff>447675</xdr:colOff>
                    <xdr:row>9</xdr:row>
                    <xdr:rowOff>47625</xdr:rowOff>
                  </from>
                  <to>
                    <xdr:col>23</xdr:col>
                    <xdr:colOff>876300</xdr:colOff>
                    <xdr:row>10</xdr:row>
                    <xdr:rowOff>142875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8">
    <pageSetUpPr fitToPage="1"/>
  </sheetPr>
  <dimension ref="A1:Z72"/>
  <sheetViews>
    <sheetView showGridLines="0" zoomScaleNormal="100" workbookViewId="0">
      <pane xSplit="4" ySplit="14" topLeftCell="E15" activePane="bottomRight" state="frozen"/>
      <selection pane="topRight" activeCell="E2" sqref="E2"/>
      <selection pane="bottomLeft" activeCell="A15" sqref="A15"/>
      <selection pane="bottomRight"/>
    </sheetView>
  </sheetViews>
  <sheetFormatPr defaultRowHeight="12.75" x14ac:dyDescent="0.2"/>
  <cols>
    <col min="1" max="1" width="3.5703125" style="507" customWidth="1"/>
    <col min="2" max="2" width="5.42578125" hidden="1" customWidth="1"/>
    <col min="3" max="3" width="12.5703125" customWidth="1"/>
    <col min="4" max="4" width="50.5703125" customWidth="1"/>
    <col min="5" max="5" width="14.5703125" hidden="1" customWidth="1"/>
    <col min="6" max="6" width="28.5703125" customWidth="1"/>
    <col min="7" max="7" width="14.5703125" hidden="1" customWidth="1"/>
    <col min="8" max="25" width="14.5703125" customWidth="1"/>
    <col min="26" max="26" width="14.5703125" hidden="1" customWidth="1"/>
  </cols>
  <sheetData>
    <row r="1" spans="1:26" hidden="1" x14ac:dyDescent="0.2">
      <c r="A1" s="507" t="str">
        <f t="shared" ref="A1" si="0">IF(D1="","","F")</f>
        <v/>
      </c>
      <c r="B1" t="e">
        <f ca="1">IF(OR(C1=" ",D1=""),"",CONCATENATE(C1,". ",D1))</f>
        <v>#REF!</v>
      </c>
      <c r="C1" s="183" t="e" cm="1">
        <f t="array" aca="1" ref="C1" ca="1">IF(OR(ROW(C1)=ROW(EVENTOS.firstrow)+1,AND(OFFSET(C1,-1,0)&lt;&gt;" ",OFFSET(C1,-1,1)&lt;&gt;"")),OFFSET(C1,-1,0)+1," ")</f>
        <v>#REF!</v>
      </c>
      <c r="D1" s="497"/>
      <c r="E1" s="613" cm="1">
        <f t="array" aca="1" ref="E1" ca="1">IF(AUTOEVENTO="Manual",ROUND(SUMPRODUCT((CÁLCULO!$M$15:$M$405=EVENTOS!$C1)*(OFFSET(CÁLCULO!$AA$15:$AA$405,0,E$13))),2),0)</f>
        <v>0</v>
      </c>
      <c r="F1" s="184">
        <f ca="1">IF(AUTOEVENTO="Manual",ROUND(SUMPRODUCT((CÁLCULO!$M$15:$M$405=EVENTOS!$C1)*(OFFSET(CÁLCULO!$AA$15,0,1):OFFSET(CÁLCULO!$AL$405,0,-1))),2),0)</f>
        <v>0</v>
      </c>
      <c r="G1" s="614" t="str">
        <f ca="1">IF(AND(D1=0,F1&gt;0),"NOME",
 IF(AND(D1&lt;&gt;0,$F$14&gt;0,F1=0),"VALOR",
 IF(AND(Import.TipoArredondamento="TransfereGOV",$A1="F",LEN(D1)&gt;100),"Nome &gt;100","")))</f>
        <v/>
      </c>
      <c r="H1" s="613" cm="1">
        <f t="array" aca="1" ref="H1" ca="1">IF(AUTOEVENTO="Manual",ROUND(SUMPRODUCT((CÁLCULO!$M$15:$M$405=EVENTOS!$C1)*(OFFSET(CÁLCULO!$AA$15:$AA$405,0,H$13))),2),0)</f>
        <v>0</v>
      </c>
      <c r="I1" s="613" cm="1">
        <f t="array" aca="1" ref="I1" ca="1">IF(AUTOEVENTO="Manual",ROUND(SUMPRODUCT((CÁLCULO!$M$15:$M$405=EVENTOS!$C1)*(OFFSET(CÁLCULO!$AA$15:$AA$405,0,I$13))),2),0)</f>
        <v>0</v>
      </c>
      <c r="J1" s="613" cm="1">
        <f t="array" aca="1" ref="J1" ca="1">IF(AUTOEVENTO="Manual",ROUND(SUMPRODUCT((CÁLCULO!$M$15:$M$405=EVENTOS!$C1)*(OFFSET(CÁLCULO!$AA$15:$AA$405,0,J$13))),2),0)</f>
        <v>0</v>
      </c>
      <c r="K1" s="613" cm="1">
        <f t="array" aca="1" ref="K1" ca="1">IF(AUTOEVENTO="Manual",ROUND(SUMPRODUCT((CÁLCULO!$M$15:$M$405=EVENTOS!$C1)*(OFFSET(CÁLCULO!$AA$15:$AA$405,0,K$13))),2),0)</f>
        <v>0</v>
      </c>
      <c r="L1" s="613" cm="1">
        <f t="array" aca="1" ref="L1" ca="1">IF(AUTOEVENTO="Manual",ROUND(SUMPRODUCT((CÁLCULO!$M$15:$M$405=EVENTOS!$C1)*(OFFSET(CÁLCULO!$AA$15:$AA$405,0,L$13))),2),0)</f>
        <v>0</v>
      </c>
      <c r="M1" s="613" cm="1">
        <f t="array" aca="1" ref="M1" ca="1">IF(AUTOEVENTO="Manual",ROUND(SUMPRODUCT((CÁLCULO!$M$15:$M$405=EVENTOS!$C1)*(OFFSET(CÁLCULO!$AA$15:$AA$405,0,M$13))),2),0)</f>
        <v>0</v>
      </c>
      <c r="N1" s="613" cm="1">
        <f t="array" aca="1" ref="N1" ca="1">IF(AUTOEVENTO="Manual",ROUND(SUMPRODUCT((CÁLCULO!$M$15:$M$405=EVENTOS!$C1)*(OFFSET(CÁLCULO!$AA$15:$AA$405,0,N$13))),2),0)</f>
        <v>0</v>
      </c>
      <c r="O1" s="613" cm="1">
        <f t="array" aca="1" ref="O1" ca="1">IF(AUTOEVENTO="Manual",ROUND(SUMPRODUCT((CÁLCULO!$M$15:$M$405=EVENTOS!$C1)*(OFFSET(CÁLCULO!$AA$15:$AA$405,0,O$13))),2),0)</f>
        <v>0</v>
      </c>
      <c r="P1" s="613" cm="1">
        <f t="array" aca="1" ref="P1" ca="1">IF(AUTOEVENTO="Manual",ROUND(SUMPRODUCT((CÁLCULO!$M$15:$M$405=EVENTOS!$C1)*(OFFSET(CÁLCULO!$AA$15:$AA$405,0,P$13))),2),0)</f>
        <v>0</v>
      </c>
      <c r="Q1" s="613" cm="1">
        <f t="array" aca="1" ref="Q1" ca="1">IF(AUTOEVENTO="Manual",ROUND(SUMPRODUCT((CÁLCULO!$M$15:$M$405=EVENTOS!$C1)*(OFFSET(CÁLCULO!$AA$15:$AA$405,0,Q$13))),2),0)</f>
        <v>0</v>
      </c>
      <c r="R1" s="613" cm="1">
        <f t="array" aca="1" ref="R1" ca="1">IF(AUTOEVENTO="Manual",ROUND(SUMPRODUCT((CÁLCULO!$M$15:$M$405=EVENTOS!$C1)*(OFFSET(CÁLCULO!$AA$15:$AA$405,0,R$13))),2),0)</f>
        <v>0</v>
      </c>
      <c r="S1" s="613" cm="1">
        <f t="array" aca="1" ref="S1" ca="1">IF(AUTOEVENTO="Manual",ROUND(SUMPRODUCT((CÁLCULO!$M$15:$M$405=EVENTOS!$C1)*(OFFSET(CÁLCULO!$AA$15:$AA$405,0,S$13))),2),0)</f>
        <v>0</v>
      </c>
      <c r="T1" s="613" cm="1">
        <f t="array" aca="1" ref="T1" ca="1">IF(AUTOEVENTO="Manual",ROUND(SUMPRODUCT((CÁLCULO!$M$15:$M$405=EVENTOS!$C1)*(OFFSET(CÁLCULO!$AA$15:$AA$405,0,T$13))),2),0)</f>
        <v>0</v>
      </c>
      <c r="U1" s="613" cm="1">
        <f t="array" aca="1" ref="U1" ca="1">IF(AUTOEVENTO="Manual",ROUND(SUMPRODUCT((CÁLCULO!$M$15:$M$405=EVENTOS!$C1)*(OFFSET(CÁLCULO!$AA$15:$AA$405,0,U$13))),2),0)</f>
        <v>0</v>
      </c>
      <c r="V1" s="613" cm="1">
        <f t="array" aca="1" ref="V1" ca="1">IF(AUTOEVENTO="Manual",ROUND(SUMPRODUCT((CÁLCULO!$M$15:$M$405=EVENTOS!$C1)*(OFFSET(CÁLCULO!$AA$15:$AA$405,0,V$13))),2),0)</f>
        <v>0</v>
      </c>
      <c r="W1" s="613" cm="1">
        <f t="array" aca="1" ref="W1" ca="1">IF(AUTOEVENTO="Manual",ROUND(SUMPRODUCT((CÁLCULO!$M$15:$M$405=EVENTOS!$C1)*(OFFSET(CÁLCULO!$AA$15:$AA$405,0,W$13))),2),0)</f>
        <v>0</v>
      </c>
      <c r="X1" s="613" cm="1">
        <f t="array" aca="1" ref="X1" ca="1">IF(AUTOEVENTO="Manual",ROUND(SUMPRODUCT((CÁLCULO!$M$15:$M$405=EVENTOS!$C1)*(OFFSET(CÁLCULO!$AA$15:$AA$405,0,X$13))),2),0)</f>
        <v>0</v>
      </c>
      <c r="Y1" s="613" cm="1">
        <f t="array" aca="1" ref="Y1" ca="1">IF(AUTOEVENTO="Manual",ROUND(SUMPRODUCT((CÁLCULO!$M$15:$M$405=EVENTOS!$C1)*(OFFSET(CÁLCULO!$AA$15:$AA$405,0,Y$13))),2),0)</f>
        <v>0</v>
      </c>
    </row>
    <row r="2" spans="1:26" ht="30" customHeight="1" x14ac:dyDescent="0.2">
      <c r="F2" s="82" t="s">
        <v>757</v>
      </c>
      <c r="O2" s="615" t="s">
        <v>758</v>
      </c>
      <c r="Y2" s="615" t="s">
        <v>758</v>
      </c>
    </row>
    <row r="4" spans="1:26" ht="12.75" customHeight="1" x14ac:dyDescent="0.2">
      <c r="C4" s="55" t="s">
        <v>652</v>
      </c>
      <c r="D4" s="97"/>
      <c r="E4" s="77"/>
      <c r="F4" s="209" t="s">
        <v>759</v>
      </c>
      <c r="G4" s="77"/>
      <c r="H4" s="485"/>
      <c r="I4" s="485"/>
      <c r="J4" s="485"/>
      <c r="K4" s="485"/>
      <c r="L4" s="485"/>
      <c r="N4" s="55" t="s">
        <v>650</v>
      </c>
      <c r="O4" s="505" t="s">
        <v>708</v>
      </c>
      <c r="P4" s="209" t="s">
        <v>759</v>
      </c>
      <c r="Q4" s="77"/>
      <c r="R4" s="485"/>
      <c r="S4" s="485"/>
      <c r="T4" s="485"/>
      <c r="U4" s="485"/>
      <c r="V4" s="485"/>
      <c r="X4" s="55" t="s">
        <v>650</v>
      </c>
      <c r="Y4" s="505" t="s">
        <v>708</v>
      </c>
    </row>
    <row r="5" spans="1:26" ht="12.75" customHeight="1" x14ac:dyDescent="0.2">
      <c r="C5" s="506" t="str">
        <f>Import.Proponente</f>
        <v>PREFEITURA MUNICIPAL DE CAÇADOR</v>
      </c>
      <c r="D5" s="504"/>
      <c r="E5" s="504"/>
      <c r="F5" s="725" t="str">
        <f>Import.Apelido</f>
        <v>CMEI Sorgatto</v>
      </c>
      <c r="G5" s="726"/>
      <c r="H5" s="726"/>
      <c r="I5" s="726"/>
      <c r="J5" s="726"/>
      <c r="K5" s="726"/>
      <c r="L5" s="726"/>
      <c r="M5" s="727"/>
      <c r="N5" s="56">
        <f>Import.CR</f>
        <v>0</v>
      </c>
      <c r="O5" s="56" t="str">
        <f>Import.SICONV</f>
        <v>958977</v>
      </c>
      <c r="P5" s="725" t="str">
        <f>Import.Apelido</f>
        <v>CMEI Sorgatto</v>
      </c>
      <c r="Q5" s="726"/>
      <c r="R5" s="726"/>
      <c r="S5" s="726"/>
      <c r="T5" s="726"/>
      <c r="U5" s="726"/>
      <c r="V5" s="726"/>
      <c r="W5" s="727"/>
      <c r="X5" s="56">
        <f>Import.CR</f>
        <v>0</v>
      </c>
      <c r="Y5" s="56" t="str">
        <f>Import.SICONV</f>
        <v>958977</v>
      </c>
      <c r="Z5" t="s">
        <v>753</v>
      </c>
    </row>
    <row r="6" spans="1:26" ht="24.95" customHeight="1" x14ac:dyDescent="0.25">
      <c r="C6" t="s">
        <v>760</v>
      </c>
      <c r="F6" s="522" t="str">
        <f ca="1">IF(AUTOEVENTO="MANUAL",
  IF(COUNTIF($G$15:$G$65,"NOME")&gt;0,"Falta preencher o nome do Título do Evento nº "&amp;INDEX($C$15:$C$65,MATCH("NOME",$G$15:$G$65,0)),
  IF(COUNTIF($G$15:$G$65,"VALOR")&gt;0,"Falta atribuir serviços ao Evento nº "&amp;INDEX($C$15:$C$65,MATCH("VALOR",$G$15:$G$65,0))&amp;". Corrigir a atribuição dos eventos na aba CÁLCULO. Ou excluir linhas dos eventos não utilizados.",
  IF(ROUND($F$14,2)&lt;&gt;ROUND(ORÇAMENTO!$X$15,2),"O valor total dos Eventos é diferente do valor total do Orçamento. Corrigir a atribuição dos eventos na aba CÁLCULO",
  IF(COUNTIF($G$15:$G$65,"Nome &gt;100")&gt;0,"O tamanho do Título do Evento no TransfereGOV é limitado a 100 caracteres. Resuma o nome do Título do Evento nº "&amp;INDEX($C$15:$C$65,MATCH("Nome &gt;100",$G$15:$G$65,0)),"")))),"")</f>
        <v/>
      </c>
    </row>
    <row r="7" spans="1:26" ht="3.95" customHeight="1" thickBot="1" x14ac:dyDescent="0.25"/>
    <row r="8" spans="1:26" ht="16.5" thickBot="1" x14ac:dyDescent="0.3">
      <c r="C8" s="721" t="s">
        <v>940</v>
      </c>
      <c r="D8" s="722"/>
      <c r="F8" s="522" t="str" cm="1">
        <f t="array" ref="F8">IF(ACOMPANHAMENTO="BM","",
 IF(Import.Eventos.Nível="","◄ Selecione a forma de definição dos agrupadores de eventos",
 IF(Import.Eventos.Nível="","◄ Selecione a forma de definição dos agrupadores de eventos","")))</f>
        <v/>
      </c>
    </row>
    <row r="9" spans="1:26" ht="12" customHeight="1" x14ac:dyDescent="0.2"/>
    <row r="10" spans="1:26" ht="33.75" customHeight="1" x14ac:dyDescent="0.2">
      <c r="C10" s="589">
        <f ca="1">COUNTIF($C$15:$C$65,"&gt;0")-1</f>
        <v>0</v>
      </c>
      <c r="D10" t="s">
        <v>753</v>
      </c>
      <c r="E10" s="723">
        <f ca="1">OFFSET(CÁLCULO!$P$12,0,EVENTOS!E$13)</f>
        <v>0</v>
      </c>
      <c r="F10" t="s">
        <v>753</v>
      </c>
      <c r="G10" s="718"/>
      <c r="H10" s="723">
        <f ca="1">OFFSET(CÁLCULO!$P$12,0,EVENTOS!H$13)</f>
        <v>0</v>
      </c>
      <c r="I10" s="723" t="str">
        <f ca="1">OFFSET(CÁLCULO!$P$12,0,EVENTOS!I$13)</f>
        <v>.</v>
      </c>
      <c r="J10" s="723" t="str">
        <f ca="1">OFFSET(CÁLCULO!$P$12,0,EVENTOS!J$13)</f>
        <v>.</v>
      </c>
      <c r="K10" s="718" t="str">
        <f ca="1">OFFSET(CÁLCULO!$P$12,0,EVENTOS!K$13)</f>
        <v>.</v>
      </c>
      <c r="L10" s="718" t="str">
        <f ca="1">OFFSET(CÁLCULO!$P$12,0,EVENTOS!L$13)</f>
        <v>.</v>
      </c>
      <c r="M10" s="718" t="str">
        <f ca="1">OFFSET(CÁLCULO!$P$12,0,EVENTOS!M$13)</f>
        <v>.</v>
      </c>
      <c r="N10" s="718" t="str">
        <f ca="1">OFFSET(CÁLCULO!$P$12,0,EVENTOS!N$13)</f>
        <v>.</v>
      </c>
      <c r="O10" s="718" t="str">
        <f ca="1">OFFSET(CÁLCULO!$P$12,0,EVENTOS!O$13)</f>
        <v>.</v>
      </c>
      <c r="P10" s="718" t="str">
        <f ca="1">OFFSET(CÁLCULO!$P$12,0,EVENTOS!P$13)</f>
        <v>.</v>
      </c>
      <c r="Q10" s="718" t="str">
        <f ca="1">OFFSET(CÁLCULO!$P$12,0,EVENTOS!Q$13)</f>
        <v>.</v>
      </c>
      <c r="R10" s="718" t="str">
        <f ca="1">OFFSET(CÁLCULO!$P$12,0,EVENTOS!R$13)</f>
        <v>.</v>
      </c>
      <c r="S10" s="718" t="str">
        <f ca="1">OFFSET(CÁLCULO!$P$12,0,EVENTOS!S$13)</f>
        <v>.</v>
      </c>
      <c r="T10" s="718" t="str">
        <f ca="1">OFFSET(CÁLCULO!$P$12,0,EVENTOS!T$13)</f>
        <v>.</v>
      </c>
      <c r="U10" s="718" t="str">
        <f ca="1">OFFSET(CÁLCULO!$P$12,0,EVENTOS!U$13)</f>
        <v>.</v>
      </c>
      <c r="V10" s="718" t="str">
        <f ca="1">OFFSET(CÁLCULO!$P$12,0,EVENTOS!V$13)</f>
        <v>.</v>
      </c>
      <c r="W10" s="718" t="str">
        <f ca="1">OFFSET(CÁLCULO!$P$12,0,EVENTOS!W$13)</f>
        <v>.</v>
      </c>
      <c r="X10" s="718" t="str">
        <f ca="1">OFFSET(CÁLCULO!$P$12,0,EVENTOS!X$13)</f>
        <v>.</v>
      </c>
      <c r="Y10" s="718" t="str">
        <f ca="1">OFFSET(CÁLCULO!$P$12,0,EVENTOS!Y$13)</f>
        <v>.</v>
      </c>
    </row>
    <row r="11" spans="1:26" ht="35.1" customHeight="1" x14ac:dyDescent="0.2">
      <c r="A11" s="508" t="s">
        <v>655</v>
      </c>
      <c r="C11" s="724" t="str" cm="1">
        <f t="array" ref="C11">IF(ACOMPANHAMENTO="BM","Foi selecionado na aba 'MENU' o acompanhamento por BM. Não há necessidade de definição de Eventos.",IF(AND(Import.Eventos.Nível&lt;&gt;"Definir Manualmente",Import.Eventos.Nível&lt;&gt;""),"Foi selecionada a forma automática de definição dos agrupadores de eventos.",""))</f>
        <v>Foi selecionado na aba 'MENU' o acompanhamento por BM. Não há necessidade de definição de Eventos.</v>
      </c>
      <c r="D11" s="724"/>
      <c r="E11" s="723"/>
      <c r="F11" s="498"/>
      <c r="G11" s="719"/>
      <c r="H11" s="723"/>
      <c r="I11" s="723"/>
      <c r="J11" s="723"/>
      <c r="K11" s="719"/>
      <c r="L11" s="719"/>
      <c r="M11" s="719"/>
      <c r="N11" s="719"/>
      <c r="O11" s="719"/>
      <c r="P11" s="719"/>
      <c r="Q11" s="719"/>
      <c r="R11" s="719"/>
      <c r="S11" s="719"/>
      <c r="T11" s="719"/>
      <c r="U11" s="719"/>
      <c r="V11" s="719"/>
      <c r="W11" s="719"/>
      <c r="X11" s="719"/>
      <c r="Y11" s="719"/>
    </row>
    <row r="12" spans="1:26" ht="12" customHeight="1" x14ac:dyDescent="0.2">
      <c r="A12" s="509" t="s">
        <v>660</v>
      </c>
      <c r="E12" s="723"/>
      <c r="G12" s="720"/>
      <c r="H12" s="723"/>
      <c r="I12" s="723"/>
      <c r="J12" s="723"/>
      <c r="K12" s="720"/>
      <c r="L12" s="720"/>
      <c r="M12" s="720"/>
      <c r="N12" s="720"/>
      <c r="O12" s="720"/>
      <c r="P12" s="720"/>
      <c r="Q12" s="720"/>
      <c r="R12" s="720"/>
      <c r="S12" s="720"/>
      <c r="T12" s="720"/>
      <c r="U12" s="720"/>
      <c r="V12" s="720"/>
      <c r="W12" s="720"/>
      <c r="X12" s="720"/>
      <c r="Y12" s="720"/>
    </row>
    <row r="13" spans="1:26" ht="15" x14ac:dyDescent="0.25">
      <c r="A13" s="509"/>
      <c r="C13" s="499" t="s">
        <v>761</v>
      </c>
      <c r="D13" s="616" t="s">
        <v>762</v>
      </c>
      <c r="E13" s="617">
        <f ca="1">IF(NOT(ISNUMBER(OFFSET(E13,0,-1))),1,IF(OR(OFFSET(E13,0,-1)=0,OFFSET(E13,0,-1)+1&gt;CÁLCULO.FrentesPreenchidas),0,OFFSET(E13,0,-1)+1))</f>
        <v>1</v>
      </c>
      <c r="F13" s="547" t="s">
        <v>763</v>
      </c>
      <c r="G13" s="496"/>
      <c r="H13" s="617">
        <f t="shared" ref="H13:Y13" ca="1" si="1">IF(NOT(ISNUMBER(OFFSET(H13,0,-1))),1,IF(OR(OFFSET(H13,0,-1)=0,OFFSET(H13,0,-1)+1&gt;CÁLCULO.FrentesPreenchidas),0,OFFSET(H13,0,-1)+1))</f>
        <v>1</v>
      </c>
      <c r="I13" s="617">
        <f t="shared" ca="1" si="1"/>
        <v>0</v>
      </c>
      <c r="J13" s="617">
        <f t="shared" ca="1" si="1"/>
        <v>0</v>
      </c>
      <c r="K13" s="617">
        <f t="shared" ca="1" si="1"/>
        <v>0</v>
      </c>
      <c r="L13" s="617">
        <f t="shared" ca="1" si="1"/>
        <v>0</v>
      </c>
      <c r="M13" s="617">
        <f t="shared" ca="1" si="1"/>
        <v>0</v>
      </c>
      <c r="N13" s="617">
        <f t="shared" ca="1" si="1"/>
        <v>0</v>
      </c>
      <c r="O13" s="617">
        <f t="shared" ca="1" si="1"/>
        <v>0</v>
      </c>
      <c r="P13" s="617">
        <f t="shared" ca="1" si="1"/>
        <v>0</v>
      </c>
      <c r="Q13" s="617">
        <f t="shared" ca="1" si="1"/>
        <v>0</v>
      </c>
      <c r="R13" s="617">
        <f t="shared" ca="1" si="1"/>
        <v>0</v>
      </c>
      <c r="S13" s="617">
        <f t="shared" ca="1" si="1"/>
        <v>0</v>
      </c>
      <c r="T13" s="617">
        <f t="shared" ca="1" si="1"/>
        <v>0</v>
      </c>
      <c r="U13" s="617">
        <f t="shared" ca="1" si="1"/>
        <v>0</v>
      </c>
      <c r="V13" s="617">
        <f t="shared" ca="1" si="1"/>
        <v>0</v>
      </c>
      <c r="W13" s="617">
        <f t="shared" ca="1" si="1"/>
        <v>0</v>
      </c>
      <c r="X13" s="617">
        <f t="shared" ca="1" si="1"/>
        <v>0</v>
      </c>
      <c r="Y13" s="617">
        <f t="shared" ca="1" si="1"/>
        <v>0</v>
      </c>
    </row>
    <row r="14" spans="1:26" ht="15" customHeight="1" x14ac:dyDescent="0.2">
      <c r="A14" s="507" t="s">
        <v>536</v>
      </c>
      <c r="C14" s="543"/>
      <c r="D14" s="544" t="s">
        <v>764</v>
      </c>
      <c r="E14" s="618">
        <f ca="1">SUM(E$15:E$65)</f>
        <v>0</v>
      </c>
      <c r="F14" s="545">
        <f ca="1">SUM(F$15:F$65)</f>
        <v>0</v>
      </c>
      <c r="H14" s="618">
        <f t="shared" ref="H14:Y14" ca="1" si="2">SUM(H$15:H$65)</f>
        <v>0</v>
      </c>
      <c r="I14" s="618">
        <f t="shared" ca="1" si="2"/>
        <v>0</v>
      </c>
      <c r="J14" s="618">
        <f t="shared" ca="1" si="2"/>
        <v>0</v>
      </c>
      <c r="K14" s="618">
        <f t="shared" ca="1" si="2"/>
        <v>0</v>
      </c>
      <c r="L14" s="618">
        <f t="shared" ca="1" si="2"/>
        <v>0</v>
      </c>
      <c r="M14" s="618">
        <f t="shared" ca="1" si="2"/>
        <v>0</v>
      </c>
      <c r="N14" s="618">
        <f t="shared" ca="1" si="2"/>
        <v>0</v>
      </c>
      <c r="O14" s="618">
        <f t="shared" ca="1" si="2"/>
        <v>0</v>
      </c>
      <c r="P14" s="618">
        <f t="shared" ca="1" si="2"/>
        <v>0</v>
      </c>
      <c r="Q14" s="618">
        <f t="shared" ca="1" si="2"/>
        <v>0</v>
      </c>
      <c r="R14" s="618">
        <f t="shared" ca="1" si="2"/>
        <v>0</v>
      </c>
      <c r="S14" s="618">
        <f t="shared" ca="1" si="2"/>
        <v>0</v>
      </c>
      <c r="T14" s="618">
        <f t="shared" ca="1" si="2"/>
        <v>0</v>
      </c>
      <c r="U14" s="618">
        <f t="shared" ca="1" si="2"/>
        <v>0</v>
      </c>
      <c r="V14" s="618">
        <f t="shared" ca="1" si="2"/>
        <v>0</v>
      </c>
      <c r="W14" s="618">
        <f t="shared" ca="1" si="2"/>
        <v>0</v>
      </c>
      <c r="X14" s="618">
        <f t="shared" ca="1" si="2"/>
        <v>0</v>
      </c>
      <c r="Y14" s="618">
        <f t="shared" ca="1" si="2"/>
        <v>0</v>
      </c>
    </row>
    <row r="15" spans="1:26" x14ac:dyDescent="0.2">
      <c r="A15" s="507" t="str">
        <f t="shared" ref="A15:A64" ca="1" si="3">IF(D15="","","F")</f>
        <v/>
      </c>
      <c r="B15" t="str">
        <f ca="1">IF(OR(C15=" ",D15=""),"",CONCATENATE(C15,". ",D15))</f>
        <v/>
      </c>
      <c r="C15" s="548" cm="1">
        <f t="array" aca="1" ref="C15" ca="1">IF(AdmLocal="Automática",1,0)</f>
        <v>0</v>
      </c>
      <c r="D15" s="619" t="str">
        <f ca="1">IF(C15=1,"Administração Local","")</f>
        <v/>
      </c>
      <c r="E15" s="620">
        <f ca="1">IF($F$15=0,0,IF(E13=1,$F$15-SUM($I$15:$Z$15),ROUND(SUM(OFFSET(E15,1,0):OFFSET(E$65,-1,0))/SUM(OFFSET($F15,1,0):OFFSET($F$65,-1,0))*$F$15,2)))</f>
        <v>0</v>
      </c>
      <c r="F15" s="549" cm="1">
        <f t="array" aca="1" ref="F15" ca="1">IF($C$15=0,0,ROUND(SUMPRODUCT((CÁLCULO!$M$15:$M$405=EVENTOS!$C15)*(ORÇAMENTO!$X$15:'ORÇAMENTO'!$X$405)),2))</f>
        <v>0</v>
      </c>
      <c r="G15" s="621"/>
      <c r="H15" s="620">
        <f ca="1">IF($F$15=0,0,IF(H13=1,$F$15-SUM($I$15:$Z$15),ROUND(SUM(OFFSET(H15,1,0):OFFSET(H$65,-1,0))/SUM(OFFSET($F15,1,0):OFFSET($F$65,-1,0))*$F$15,2)))</f>
        <v>0</v>
      </c>
      <c r="I15" s="620">
        <f ca="1">IF($F$15=0,0,IF(I13=1,$F$15-SUM($I$15:$Z$15),ROUND(SUM(OFFSET(I15,1,0):OFFSET(I$65,-1,0))/SUM(OFFSET($F15,1,0):OFFSET($F$65,-1,0))*$F$15,2)))</f>
        <v>0</v>
      </c>
      <c r="J15" s="620">
        <f ca="1">IF($F$15=0,0,IF(J13=1,$F$15-SUM($I$15:$Z$15),ROUND(SUM(OFFSET(J15,1,0):OFFSET(J$65,-1,0))/SUM(OFFSET($F15,1,0):OFFSET($F$65,-1,0))*$F$15,2)))</f>
        <v>0</v>
      </c>
      <c r="K15" s="620">
        <f ca="1">IF($F$15=0,0,IF(K13=1,$F$15-SUM($I$15:$Z$15),ROUND(SUM(OFFSET(K15,1,0):OFFSET(K$65,-1,0))/SUM(OFFSET($F15,1,0):OFFSET($F$65,-1,0))*$F$15,2)))</f>
        <v>0</v>
      </c>
      <c r="L15" s="620">
        <f ca="1">IF($F$15=0,0,IF(L13=1,$F$15-SUM($I$15:$Z$15),ROUND(SUM(OFFSET(L15,1,0):OFFSET(L$65,-1,0))/SUM(OFFSET($F15,1,0):OFFSET($F$65,-1,0))*$F$15,2)))</f>
        <v>0</v>
      </c>
      <c r="M15" s="620">
        <f ca="1">IF($F$15=0,0,IF(M13=1,$F$15-SUM($I$15:$Z$15),ROUND(SUM(OFFSET(M15,1,0):OFFSET(M$65,-1,0))/SUM(OFFSET($F15,1,0):OFFSET($F$65,-1,0))*$F$15,2)))</f>
        <v>0</v>
      </c>
      <c r="N15" s="620">
        <f ca="1">IF($F$15=0,0,IF(N13=1,$F$15-SUM($I$15:$Z$15),ROUND(SUM(OFFSET(N15,1,0):OFFSET(N$65,-1,0))/SUM(OFFSET($F15,1,0):OFFSET($F$65,-1,0))*$F$15,2)))</f>
        <v>0</v>
      </c>
      <c r="O15" s="620">
        <f ca="1">IF($F$15=0,0,IF(O13=1,$F$15-SUM($I$15:$Z$15),ROUND(SUM(OFFSET(O15,1,0):OFFSET(O$65,-1,0))/SUM(OFFSET($F15,1,0):OFFSET($F$65,-1,0))*$F$15,2)))</f>
        <v>0</v>
      </c>
      <c r="P15" s="620">
        <f ca="1">IF($F$15=0,0,IF(P13=1,$F$15-SUM($I$15:$Z$15),ROUND(SUM(OFFSET(P15,1,0):OFFSET(P$65,-1,0))/SUM(OFFSET($F15,1,0):OFFSET($F$65,-1,0))*$F$15,2)))</f>
        <v>0</v>
      </c>
      <c r="Q15" s="620">
        <f ca="1">IF($F$15=0,0,IF(Q13=1,$F$15-SUM($I$15:$Z$15),ROUND(SUM(OFFSET(Q15,1,0):OFFSET(Q$65,-1,0))/SUM(OFFSET($F15,1,0):OFFSET($F$65,-1,0))*$F$15,2)))</f>
        <v>0</v>
      </c>
      <c r="R15" s="620">
        <f ca="1">IF($F$15=0,0,IF(R13=1,$F$15-SUM($I$15:$Z$15),ROUND(SUM(OFFSET(R15,1,0):OFFSET(R$65,-1,0))/SUM(OFFSET($F15,1,0):OFFSET($F$65,-1,0))*$F$15,2)))</f>
        <v>0</v>
      </c>
      <c r="S15" s="620">
        <f ca="1">IF($F$15=0,0,IF(S13=1,$F$15-SUM($I$15:$Z$15),ROUND(SUM(OFFSET(S15,1,0):OFFSET(S$65,-1,0))/SUM(OFFSET($F15,1,0):OFFSET($F$65,-1,0))*$F$15,2)))</f>
        <v>0</v>
      </c>
      <c r="T15" s="620">
        <f ca="1">IF($F$15=0,0,IF(T13=1,$F$15-SUM($I$15:$Z$15),ROUND(SUM(OFFSET(T15,1,0):OFFSET(T$65,-1,0))/SUM(OFFSET($F15,1,0):OFFSET($F$65,-1,0))*$F$15,2)))</f>
        <v>0</v>
      </c>
      <c r="U15" s="620">
        <f ca="1">IF($F$15=0,0,IF(U13=1,$F$15-SUM($I$15:$Z$15),ROUND(SUM(OFFSET(U15,1,0):OFFSET(U$65,-1,0))/SUM(OFFSET($F15,1,0):OFFSET($F$65,-1,0))*$F$15,2)))</f>
        <v>0</v>
      </c>
      <c r="V15" s="620">
        <f ca="1">IF($F$15=0,0,IF(V13=1,$F$15-SUM($I$15:$Z$15),ROUND(SUM(OFFSET(V15,1,0):OFFSET(V$65,-1,0))/SUM(OFFSET($F15,1,0):OFFSET($F$65,-1,0))*$F$15,2)))</f>
        <v>0</v>
      </c>
      <c r="W15" s="620">
        <f ca="1">IF($F$15=0,0,IF(W13=1,$F$15-SUM($I$15:$Z$15),ROUND(SUM(OFFSET(W15,1,0):OFFSET(W$65,-1,0))/SUM(OFFSET($F15,1,0):OFFSET($F$65,-1,0))*$F$15,2)))</f>
        <v>0</v>
      </c>
      <c r="X15" s="620">
        <f ca="1">IF($F$15=0,0,IF(X13=1,$F$15-SUM($I$15:$Z$15),ROUND(SUM(OFFSET(X15,1,0):OFFSET(X$65,-1,0))/SUM(OFFSET($F15,1,0):OFFSET($F$65,-1,0))*$F$15,2)))</f>
        <v>0</v>
      </c>
      <c r="Y15" s="620">
        <f ca="1">IF($F$15=0,0,IF(Y13=1,$F$15-SUM($I$15:$Z$15),ROUND(SUM(OFFSET(Y15,1,0):OFFSET(Y$65,-1,0))/SUM(OFFSET($F15,1,0):OFFSET($F$65,-1,0))*$F$15,2)))</f>
        <v>0</v>
      </c>
    </row>
    <row r="16" spans="1:26" x14ac:dyDescent="0.2">
      <c r="A16" s="507" t="str">
        <f t="shared" si="3"/>
        <v/>
      </c>
      <c r="B16" t="str">
        <f t="shared" ref="B16:B64" ca="1" si="4">IF(OR(C16=" ",D16=""),"",CONCATENATE(C16,". ",D16))</f>
        <v/>
      </c>
      <c r="C16" s="183" cm="1">
        <f t="array" aca="1" ref="C16" ca="1">IF(OR(ROW(C16)=ROW(EVENTOS.firstrow)+1,AND(OFFSET(C16,-1,0)&lt;&gt;" ",OFFSET(C16,-1,1)&lt;&gt;"")),OFFSET(C16,-1,0)+1," ")</f>
        <v>1</v>
      </c>
      <c r="D16" s="497"/>
      <c r="E16" s="613" cm="1">
        <f t="array" aca="1" ref="E16" ca="1">IF(AUTOEVENTO="Manual",ROUND(SUMPRODUCT((CÁLCULO!$M$15:$M$405=EVENTOS!$C16)*(OFFSET(CÁLCULO!$AA$15:$AA$405,0,E$13))),2),0)</f>
        <v>0</v>
      </c>
      <c r="F16" s="184">
        <f ca="1">IF(AUTOEVENTO="Manual",ROUND(SUMPRODUCT((CÁLCULO!$M$15:$M$405=EVENTOS!$C16)*(OFFSET(CÁLCULO!$AA$15,0,1):OFFSET(CÁLCULO!$AL$405,0,-1))),2),0)</f>
        <v>0</v>
      </c>
      <c r="G16" s="614" t="str">
        <f t="shared" ref="G16:G47" ca="1" si="5">IF(AND(D16=0,F16&gt;0),"NOME",
 IF(AND(D16&lt;&gt;0,$F$14&gt;0,F16=0),"VALOR",
 IF(AND(Import.TipoArredondamento="TransfereGOV",$A16="F",LEN(D16)&gt;100),"Nome &gt;100","")))</f>
        <v/>
      </c>
      <c r="H16" s="613" cm="1">
        <f t="array" aca="1" ref="H16" ca="1">IF(AUTOEVENTO="Manual",ROUND(SUMPRODUCT((CÁLCULO!$M$15:$M$405=EVENTOS!$C16)*(OFFSET(CÁLCULO!$AA$15:$AA$405,0,H$13))),2),0)</f>
        <v>0</v>
      </c>
      <c r="I16" s="613" cm="1">
        <f t="array" aca="1" ref="I16" ca="1">IF(AUTOEVENTO="Manual",ROUND(SUMPRODUCT((CÁLCULO!$M$15:$M$405=EVENTOS!$C16)*(OFFSET(CÁLCULO!$AA$15:$AA$405,0,I$13))),2),0)</f>
        <v>0</v>
      </c>
      <c r="J16" s="613" cm="1">
        <f t="array" aca="1" ref="J16" ca="1">IF(AUTOEVENTO="Manual",ROUND(SUMPRODUCT((CÁLCULO!$M$15:$M$405=EVENTOS!$C16)*(OFFSET(CÁLCULO!$AA$15:$AA$405,0,J$13))),2),0)</f>
        <v>0</v>
      </c>
      <c r="K16" s="613" cm="1">
        <f t="array" aca="1" ref="K16" ca="1">IF(AUTOEVENTO="Manual",ROUND(SUMPRODUCT((CÁLCULO!$M$15:$M$405=EVENTOS!$C16)*(OFFSET(CÁLCULO!$AA$15:$AA$405,0,K$13))),2),0)</f>
        <v>0</v>
      </c>
      <c r="L16" s="613" cm="1">
        <f t="array" aca="1" ref="L16" ca="1">IF(AUTOEVENTO="Manual",ROUND(SUMPRODUCT((CÁLCULO!$M$15:$M$405=EVENTOS!$C16)*(OFFSET(CÁLCULO!$AA$15:$AA$405,0,L$13))),2),0)</f>
        <v>0</v>
      </c>
      <c r="M16" s="613" cm="1">
        <f t="array" aca="1" ref="M16" ca="1">IF(AUTOEVENTO="Manual",ROUND(SUMPRODUCT((CÁLCULO!$M$15:$M$405=EVENTOS!$C16)*(OFFSET(CÁLCULO!$AA$15:$AA$405,0,M$13))),2),0)</f>
        <v>0</v>
      </c>
      <c r="N16" s="613" cm="1">
        <f t="array" aca="1" ref="N16" ca="1">IF(AUTOEVENTO="Manual",ROUND(SUMPRODUCT((CÁLCULO!$M$15:$M$405=EVENTOS!$C16)*(OFFSET(CÁLCULO!$AA$15:$AA$405,0,N$13))),2),0)</f>
        <v>0</v>
      </c>
      <c r="O16" s="613" cm="1">
        <f t="array" aca="1" ref="O16" ca="1">IF(AUTOEVENTO="Manual",ROUND(SUMPRODUCT((CÁLCULO!$M$15:$M$405=EVENTOS!$C16)*(OFFSET(CÁLCULO!$AA$15:$AA$405,0,O$13))),2),0)</f>
        <v>0</v>
      </c>
      <c r="P16" s="613" cm="1">
        <f t="array" aca="1" ref="P16" ca="1">IF(AUTOEVENTO="Manual",ROUND(SUMPRODUCT((CÁLCULO!$M$15:$M$405=EVENTOS!$C16)*(OFFSET(CÁLCULO!$AA$15:$AA$405,0,P$13))),2),0)</f>
        <v>0</v>
      </c>
      <c r="Q16" s="613" cm="1">
        <f t="array" aca="1" ref="Q16" ca="1">IF(AUTOEVENTO="Manual",ROUND(SUMPRODUCT((CÁLCULO!$M$15:$M$405=EVENTOS!$C16)*(OFFSET(CÁLCULO!$AA$15:$AA$405,0,Q$13))),2),0)</f>
        <v>0</v>
      </c>
      <c r="R16" s="613" cm="1">
        <f t="array" aca="1" ref="R16" ca="1">IF(AUTOEVENTO="Manual",ROUND(SUMPRODUCT((CÁLCULO!$M$15:$M$405=EVENTOS!$C16)*(OFFSET(CÁLCULO!$AA$15:$AA$405,0,R$13))),2),0)</f>
        <v>0</v>
      </c>
      <c r="S16" s="613" cm="1">
        <f t="array" aca="1" ref="S16" ca="1">IF(AUTOEVENTO="Manual",ROUND(SUMPRODUCT((CÁLCULO!$M$15:$M$405=EVENTOS!$C16)*(OFFSET(CÁLCULO!$AA$15:$AA$405,0,S$13))),2),0)</f>
        <v>0</v>
      </c>
      <c r="T16" s="613" cm="1">
        <f t="array" aca="1" ref="T16" ca="1">IF(AUTOEVENTO="Manual",ROUND(SUMPRODUCT((CÁLCULO!$M$15:$M$405=EVENTOS!$C16)*(OFFSET(CÁLCULO!$AA$15:$AA$405,0,T$13))),2),0)</f>
        <v>0</v>
      </c>
      <c r="U16" s="613" cm="1">
        <f t="array" aca="1" ref="U16" ca="1">IF(AUTOEVENTO="Manual",ROUND(SUMPRODUCT((CÁLCULO!$M$15:$M$405=EVENTOS!$C16)*(OFFSET(CÁLCULO!$AA$15:$AA$405,0,U$13))),2),0)</f>
        <v>0</v>
      </c>
      <c r="V16" s="613" cm="1">
        <f t="array" aca="1" ref="V16" ca="1">IF(AUTOEVENTO="Manual",ROUND(SUMPRODUCT((CÁLCULO!$M$15:$M$405=EVENTOS!$C16)*(OFFSET(CÁLCULO!$AA$15:$AA$405,0,V$13))),2),0)</f>
        <v>0</v>
      </c>
      <c r="W16" s="613" cm="1">
        <f t="array" aca="1" ref="W16" ca="1">IF(AUTOEVENTO="Manual",ROUND(SUMPRODUCT((CÁLCULO!$M$15:$M$405=EVENTOS!$C16)*(OFFSET(CÁLCULO!$AA$15:$AA$405,0,W$13))),2),0)</f>
        <v>0</v>
      </c>
      <c r="X16" s="613" cm="1">
        <f t="array" aca="1" ref="X16" ca="1">IF(AUTOEVENTO="Manual",ROUND(SUMPRODUCT((CÁLCULO!$M$15:$M$405=EVENTOS!$C16)*(OFFSET(CÁLCULO!$AA$15:$AA$405,0,X$13))),2),0)</f>
        <v>0</v>
      </c>
      <c r="Y16" s="613" cm="1">
        <f t="array" aca="1" ref="Y16" ca="1">IF(AUTOEVENTO="Manual",ROUND(SUMPRODUCT((CÁLCULO!$M$15:$M$405=EVENTOS!$C16)*(OFFSET(CÁLCULO!$AA$15:$AA$405,0,Y$13))),2),0)</f>
        <v>0</v>
      </c>
    </row>
    <row r="17" spans="1:25" x14ac:dyDescent="0.2">
      <c r="A17" s="507" t="str">
        <f t="shared" si="3"/>
        <v/>
      </c>
      <c r="B17" t="str">
        <f t="shared" ca="1" si="4"/>
        <v/>
      </c>
      <c r="C17" s="183" t="str" cm="1">
        <f t="array" aca="1" ref="C17" ca="1">IF(OR(ROW(C17)=ROW(EVENTOS.firstrow)+1,AND(OFFSET(C17,-1,0)&lt;&gt;" ",OFFSET(C17,-1,1)&lt;&gt;"")),OFFSET(C17,-1,0)+1," ")</f>
        <v xml:space="preserve"> </v>
      </c>
      <c r="D17" s="497"/>
      <c r="E17" s="613" cm="1">
        <f t="array" aca="1" ref="E17" ca="1">IF(AUTOEVENTO="Manual",ROUND(SUMPRODUCT((CÁLCULO!$M$15:$M$405=EVENTOS!$C17)*(OFFSET(CÁLCULO!$AA$15:$AA$405,0,E$13))),2),0)</f>
        <v>0</v>
      </c>
      <c r="F17" s="184">
        <f ca="1">IF(AUTOEVENTO="Manual",ROUND(SUMPRODUCT((CÁLCULO!$M$15:$M$405=EVENTOS!$C17)*(OFFSET(CÁLCULO!$AA$15,0,1):OFFSET(CÁLCULO!$AL$405,0,-1))),2),0)</f>
        <v>0</v>
      </c>
      <c r="G17" s="614" t="str">
        <f t="shared" ca="1" si="5"/>
        <v/>
      </c>
      <c r="H17" s="613" cm="1">
        <f t="array" aca="1" ref="H17" ca="1">IF(AUTOEVENTO="Manual",ROUND(SUMPRODUCT((CÁLCULO!$M$15:$M$405=EVENTOS!$C17)*(OFFSET(CÁLCULO!$AA$15:$AA$405,0,H$13))),2),0)</f>
        <v>0</v>
      </c>
      <c r="I17" s="613" cm="1">
        <f t="array" aca="1" ref="I17" ca="1">IF(AUTOEVENTO="Manual",ROUND(SUMPRODUCT((CÁLCULO!$M$15:$M$405=EVENTOS!$C17)*(OFFSET(CÁLCULO!$AA$15:$AA$405,0,I$13))),2),0)</f>
        <v>0</v>
      </c>
      <c r="J17" s="613" cm="1">
        <f t="array" aca="1" ref="J17" ca="1">IF(AUTOEVENTO="Manual",ROUND(SUMPRODUCT((CÁLCULO!$M$15:$M$405=EVENTOS!$C17)*(OFFSET(CÁLCULO!$AA$15:$AA$405,0,J$13))),2),0)</f>
        <v>0</v>
      </c>
      <c r="K17" s="613" cm="1">
        <f t="array" aca="1" ref="K17" ca="1">IF(AUTOEVENTO="Manual",ROUND(SUMPRODUCT((CÁLCULO!$M$15:$M$405=EVENTOS!$C17)*(OFFSET(CÁLCULO!$AA$15:$AA$405,0,K$13))),2),0)</f>
        <v>0</v>
      </c>
      <c r="L17" s="613" cm="1">
        <f t="array" aca="1" ref="L17" ca="1">IF(AUTOEVENTO="Manual",ROUND(SUMPRODUCT((CÁLCULO!$M$15:$M$405=EVENTOS!$C17)*(OFFSET(CÁLCULO!$AA$15:$AA$405,0,L$13))),2),0)</f>
        <v>0</v>
      </c>
      <c r="M17" s="613" cm="1">
        <f t="array" aca="1" ref="M17" ca="1">IF(AUTOEVENTO="Manual",ROUND(SUMPRODUCT((CÁLCULO!$M$15:$M$405=EVENTOS!$C17)*(OFFSET(CÁLCULO!$AA$15:$AA$405,0,M$13))),2),0)</f>
        <v>0</v>
      </c>
      <c r="N17" s="613" cm="1">
        <f t="array" aca="1" ref="N17" ca="1">IF(AUTOEVENTO="Manual",ROUND(SUMPRODUCT((CÁLCULO!$M$15:$M$405=EVENTOS!$C17)*(OFFSET(CÁLCULO!$AA$15:$AA$405,0,N$13))),2),0)</f>
        <v>0</v>
      </c>
      <c r="O17" s="613" cm="1">
        <f t="array" aca="1" ref="O17" ca="1">IF(AUTOEVENTO="Manual",ROUND(SUMPRODUCT((CÁLCULO!$M$15:$M$405=EVENTOS!$C17)*(OFFSET(CÁLCULO!$AA$15:$AA$405,0,O$13))),2),0)</f>
        <v>0</v>
      </c>
      <c r="P17" s="613" cm="1">
        <f t="array" aca="1" ref="P17" ca="1">IF(AUTOEVENTO="Manual",ROUND(SUMPRODUCT((CÁLCULO!$M$15:$M$405=EVENTOS!$C17)*(OFFSET(CÁLCULO!$AA$15:$AA$405,0,P$13))),2),0)</f>
        <v>0</v>
      </c>
      <c r="Q17" s="613" cm="1">
        <f t="array" aca="1" ref="Q17" ca="1">IF(AUTOEVENTO="Manual",ROUND(SUMPRODUCT((CÁLCULO!$M$15:$M$405=EVENTOS!$C17)*(OFFSET(CÁLCULO!$AA$15:$AA$405,0,Q$13))),2),0)</f>
        <v>0</v>
      </c>
      <c r="R17" s="613" cm="1">
        <f t="array" aca="1" ref="R17" ca="1">IF(AUTOEVENTO="Manual",ROUND(SUMPRODUCT((CÁLCULO!$M$15:$M$405=EVENTOS!$C17)*(OFFSET(CÁLCULO!$AA$15:$AA$405,0,R$13))),2),0)</f>
        <v>0</v>
      </c>
      <c r="S17" s="613" cm="1">
        <f t="array" aca="1" ref="S17" ca="1">IF(AUTOEVENTO="Manual",ROUND(SUMPRODUCT((CÁLCULO!$M$15:$M$405=EVENTOS!$C17)*(OFFSET(CÁLCULO!$AA$15:$AA$405,0,S$13))),2),0)</f>
        <v>0</v>
      </c>
      <c r="T17" s="613" cm="1">
        <f t="array" aca="1" ref="T17" ca="1">IF(AUTOEVENTO="Manual",ROUND(SUMPRODUCT((CÁLCULO!$M$15:$M$405=EVENTOS!$C17)*(OFFSET(CÁLCULO!$AA$15:$AA$405,0,T$13))),2),0)</f>
        <v>0</v>
      </c>
      <c r="U17" s="613" cm="1">
        <f t="array" aca="1" ref="U17" ca="1">IF(AUTOEVENTO="Manual",ROUND(SUMPRODUCT((CÁLCULO!$M$15:$M$405=EVENTOS!$C17)*(OFFSET(CÁLCULO!$AA$15:$AA$405,0,U$13))),2),0)</f>
        <v>0</v>
      </c>
      <c r="V17" s="613" cm="1">
        <f t="array" aca="1" ref="V17" ca="1">IF(AUTOEVENTO="Manual",ROUND(SUMPRODUCT((CÁLCULO!$M$15:$M$405=EVENTOS!$C17)*(OFFSET(CÁLCULO!$AA$15:$AA$405,0,V$13))),2),0)</f>
        <v>0</v>
      </c>
      <c r="W17" s="613" cm="1">
        <f t="array" aca="1" ref="W17" ca="1">IF(AUTOEVENTO="Manual",ROUND(SUMPRODUCT((CÁLCULO!$M$15:$M$405=EVENTOS!$C17)*(OFFSET(CÁLCULO!$AA$15:$AA$405,0,W$13))),2),0)</f>
        <v>0</v>
      </c>
      <c r="X17" s="613" cm="1">
        <f t="array" aca="1" ref="X17" ca="1">IF(AUTOEVENTO="Manual",ROUND(SUMPRODUCT((CÁLCULO!$M$15:$M$405=EVENTOS!$C17)*(OFFSET(CÁLCULO!$AA$15:$AA$405,0,X$13))),2),0)</f>
        <v>0</v>
      </c>
      <c r="Y17" s="613" cm="1">
        <f t="array" aca="1" ref="Y17" ca="1">IF(AUTOEVENTO="Manual",ROUND(SUMPRODUCT((CÁLCULO!$M$15:$M$405=EVENTOS!$C17)*(OFFSET(CÁLCULO!$AA$15:$AA$405,0,Y$13))),2),0)</f>
        <v>0</v>
      </c>
    </row>
    <row r="18" spans="1:25" x14ac:dyDescent="0.2">
      <c r="A18" s="507" t="str">
        <f t="shared" si="3"/>
        <v/>
      </c>
      <c r="B18" t="str">
        <f t="shared" ca="1" si="4"/>
        <v/>
      </c>
      <c r="C18" s="183" t="str" cm="1">
        <f t="array" aca="1" ref="C18" ca="1">IF(OR(ROW(C18)=ROW(EVENTOS.firstrow)+1,AND(OFFSET(C18,-1,0)&lt;&gt;" ",OFFSET(C18,-1,1)&lt;&gt;"")),OFFSET(C18,-1,0)+1," ")</f>
        <v xml:space="preserve"> </v>
      </c>
      <c r="D18" s="497"/>
      <c r="E18" s="613" cm="1">
        <f t="array" aca="1" ref="E18" ca="1">IF(AUTOEVENTO="Manual",ROUND(SUMPRODUCT((CÁLCULO!$M$15:$M$405=EVENTOS!$C18)*(OFFSET(CÁLCULO!$AA$15:$AA$405,0,E$13))),2),0)</f>
        <v>0</v>
      </c>
      <c r="F18" s="184">
        <f ca="1">IF(AUTOEVENTO="Manual",ROUND(SUMPRODUCT((CÁLCULO!$M$15:$M$405=EVENTOS!$C18)*(OFFSET(CÁLCULO!$AA$15,0,1):OFFSET(CÁLCULO!$AL$405,0,-1))),2),0)</f>
        <v>0</v>
      </c>
      <c r="G18" s="614" t="str">
        <f t="shared" ca="1" si="5"/>
        <v/>
      </c>
      <c r="H18" s="613" cm="1">
        <f t="array" aca="1" ref="H18" ca="1">IF(AUTOEVENTO="Manual",ROUND(SUMPRODUCT((CÁLCULO!$M$15:$M$405=EVENTOS!$C18)*(OFFSET(CÁLCULO!$AA$15:$AA$405,0,H$13))),2),0)</f>
        <v>0</v>
      </c>
      <c r="I18" s="613" cm="1">
        <f t="array" aca="1" ref="I18" ca="1">IF(AUTOEVENTO="Manual",ROUND(SUMPRODUCT((CÁLCULO!$M$15:$M$405=EVENTOS!$C18)*(OFFSET(CÁLCULO!$AA$15:$AA$405,0,I$13))),2),0)</f>
        <v>0</v>
      </c>
      <c r="J18" s="613" cm="1">
        <f t="array" aca="1" ref="J18" ca="1">IF(AUTOEVENTO="Manual",ROUND(SUMPRODUCT((CÁLCULO!$M$15:$M$405=EVENTOS!$C18)*(OFFSET(CÁLCULO!$AA$15:$AA$405,0,J$13))),2),0)</f>
        <v>0</v>
      </c>
      <c r="K18" s="613" cm="1">
        <f t="array" aca="1" ref="K18" ca="1">IF(AUTOEVENTO="Manual",ROUND(SUMPRODUCT((CÁLCULO!$M$15:$M$405=EVENTOS!$C18)*(OFFSET(CÁLCULO!$AA$15:$AA$405,0,K$13))),2),0)</f>
        <v>0</v>
      </c>
      <c r="L18" s="613" cm="1">
        <f t="array" aca="1" ref="L18" ca="1">IF(AUTOEVENTO="Manual",ROUND(SUMPRODUCT((CÁLCULO!$M$15:$M$405=EVENTOS!$C18)*(OFFSET(CÁLCULO!$AA$15:$AA$405,0,L$13))),2),0)</f>
        <v>0</v>
      </c>
      <c r="M18" s="613" cm="1">
        <f t="array" aca="1" ref="M18" ca="1">IF(AUTOEVENTO="Manual",ROUND(SUMPRODUCT((CÁLCULO!$M$15:$M$405=EVENTOS!$C18)*(OFFSET(CÁLCULO!$AA$15:$AA$405,0,M$13))),2),0)</f>
        <v>0</v>
      </c>
      <c r="N18" s="613" cm="1">
        <f t="array" aca="1" ref="N18" ca="1">IF(AUTOEVENTO="Manual",ROUND(SUMPRODUCT((CÁLCULO!$M$15:$M$405=EVENTOS!$C18)*(OFFSET(CÁLCULO!$AA$15:$AA$405,0,N$13))),2),0)</f>
        <v>0</v>
      </c>
      <c r="O18" s="613" cm="1">
        <f t="array" aca="1" ref="O18" ca="1">IF(AUTOEVENTO="Manual",ROUND(SUMPRODUCT((CÁLCULO!$M$15:$M$405=EVENTOS!$C18)*(OFFSET(CÁLCULO!$AA$15:$AA$405,0,O$13))),2),0)</f>
        <v>0</v>
      </c>
      <c r="P18" s="613" cm="1">
        <f t="array" aca="1" ref="P18" ca="1">IF(AUTOEVENTO="Manual",ROUND(SUMPRODUCT((CÁLCULO!$M$15:$M$405=EVENTOS!$C18)*(OFFSET(CÁLCULO!$AA$15:$AA$405,0,P$13))),2),0)</f>
        <v>0</v>
      </c>
      <c r="Q18" s="613" cm="1">
        <f t="array" aca="1" ref="Q18" ca="1">IF(AUTOEVENTO="Manual",ROUND(SUMPRODUCT((CÁLCULO!$M$15:$M$405=EVENTOS!$C18)*(OFFSET(CÁLCULO!$AA$15:$AA$405,0,Q$13))),2),0)</f>
        <v>0</v>
      </c>
      <c r="R18" s="613" cm="1">
        <f t="array" aca="1" ref="R18" ca="1">IF(AUTOEVENTO="Manual",ROUND(SUMPRODUCT((CÁLCULO!$M$15:$M$405=EVENTOS!$C18)*(OFFSET(CÁLCULO!$AA$15:$AA$405,0,R$13))),2),0)</f>
        <v>0</v>
      </c>
      <c r="S18" s="613" cm="1">
        <f t="array" aca="1" ref="S18" ca="1">IF(AUTOEVENTO="Manual",ROUND(SUMPRODUCT((CÁLCULO!$M$15:$M$405=EVENTOS!$C18)*(OFFSET(CÁLCULO!$AA$15:$AA$405,0,S$13))),2),0)</f>
        <v>0</v>
      </c>
      <c r="T18" s="613" cm="1">
        <f t="array" aca="1" ref="T18" ca="1">IF(AUTOEVENTO="Manual",ROUND(SUMPRODUCT((CÁLCULO!$M$15:$M$405=EVENTOS!$C18)*(OFFSET(CÁLCULO!$AA$15:$AA$405,0,T$13))),2),0)</f>
        <v>0</v>
      </c>
      <c r="U18" s="613" cm="1">
        <f t="array" aca="1" ref="U18" ca="1">IF(AUTOEVENTO="Manual",ROUND(SUMPRODUCT((CÁLCULO!$M$15:$M$405=EVENTOS!$C18)*(OFFSET(CÁLCULO!$AA$15:$AA$405,0,U$13))),2),0)</f>
        <v>0</v>
      </c>
      <c r="V18" s="613" cm="1">
        <f t="array" aca="1" ref="V18" ca="1">IF(AUTOEVENTO="Manual",ROUND(SUMPRODUCT((CÁLCULO!$M$15:$M$405=EVENTOS!$C18)*(OFFSET(CÁLCULO!$AA$15:$AA$405,0,V$13))),2),0)</f>
        <v>0</v>
      </c>
      <c r="W18" s="613" cm="1">
        <f t="array" aca="1" ref="W18" ca="1">IF(AUTOEVENTO="Manual",ROUND(SUMPRODUCT((CÁLCULO!$M$15:$M$405=EVENTOS!$C18)*(OFFSET(CÁLCULO!$AA$15:$AA$405,0,W$13))),2),0)</f>
        <v>0</v>
      </c>
      <c r="X18" s="613" cm="1">
        <f t="array" aca="1" ref="X18" ca="1">IF(AUTOEVENTO="Manual",ROUND(SUMPRODUCT((CÁLCULO!$M$15:$M$405=EVENTOS!$C18)*(OFFSET(CÁLCULO!$AA$15:$AA$405,0,X$13))),2),0)</f>
        <v>0</v>
      </c>
      <c r="Y18" s="613" cm="1">
        <f t="array" aca="1" ref="Y18" ca="1">IF(AUTOEVENTO="Manual",ROUND(SUMPRODUCT((CÁLCULO!$M$15:$M$405=EVENTOS!$C18)*(OFFSET(CÁLCULO!$AA$15:$AA$405,0,Y$13))),2),0)</f>
        <v>0</v>
      </c>
    </row>
    <row r="19" spans="1:25" x14ac:dyDescent="0.2">
      <c r="A19" s="507" t="str">
        <f t="shared" si="3"/>
        <v/>
      </c>
      <c r="B19" t="str">
        <f t="shared" ca="1" si="4"/>
        <v/>
      </c>
      <c r="C19" s="183" t="str" cm="1">
        <f t="array" aca="1" ref="C19" ca="1">IF(OR(ROW(C19)=ROW(EVENTOS.firstrow)+1,AND(OFFSET(C19,-1,0)&lt;&gt;" ",OFFSET(C19,-1,1)&lt;&gt;"")),OFFSET(C19,-1,0)+1," ")</f>
        <v xml:space="preserve"> </v>
      </c>
      <c r="D19" s="497"/>
      <c r="E19" s="613" cm="1">
        <f t="array" aca="1" ref="E19" ca="1">IF(AUTOEVENTO="Manual",ROUND(SUMPRODUCT((CÁLCULO!$M$15:$M$405=EVENTOS!$C19)*(OFFSET(CÁLCULO!$AA$15:$AA$405,0,E$13))),2),0)</f>
        <v>0</v>
      </c>
      <c r="F19" s="184">
        <f ca="1">IF(AUTOEVENTO="Manual",ROUND(SUMPRODUCT((CÁLCULO!$M$15:$M$405=EVENTOS!$C19)*(OFFSET(CÁLCULO!$AA$15,0,1):OFFSET(CÁLCULO!$AL$405,0,-1))),2),0)</f>
        <v>0</v>
      </c>
      <c r="G19" s="614" t="str">
        <f t="shared" ca="1" si="5"/>
        <v/>
      </c>
      <c r="H19" s="613" cm="1">
        <f t="array" aca="1" ref="H19" ca="1">IF(AUTOEVENTO="Manual",ROUND(SUMPRODUCT((CÁLCULO!$M$15:$M$405=EVENTOS!$C19)*(OFFSET(CÁLCULO!$AA$15:$AA$405,0,H$13))),2),0)</f>
        <v>0</v>
      </c>
      <c r="I19" s="613" cm="1">
        <f t="array" aca="1" ref="I19" ca="1">IF(AUTOEVENTO="Manual",ROUND(SUMPRODUCT((CÁLCULO!$M$15:$M$405=EVENTOS!$C19)*(OFFSET(CÁLCULO!$AA$15:$AA$405,0,I$13))),2),0)</f>
        <v>0</v>
      </c>
      <c r="J19" s="613" cm="1">
        <f t="array" aca="1" ref="J19" ca="1">IF(AUTOEVENTO="Manual",ROUND(SUMPRODUCT((CÁLCULO!$M$15:$M$405=EVENTOS!$C19)*(OFFSET(CÁLCULO!$AA$15:$AA$405,0,J$13))),2),0)</f>
        <v>0</v>
      </c>
      <c r="K19" s="613" cm="1">
        <f t="array" aca="1" ref="K19" ca="1">IF(AUTOEVENTO="Manual",ROUND(SUMPRODUCT((CÁLCULO!$M$15:$M$405=EVENTOS!$C19)*(OFFSET(CÁLCULO!$AA$15:$AA$405,0,K$13))),2),0)</f>
        <v>0</v>
      </c>
      <c r="L19" s="613" cm="1">
        <f t="array" aca="1" ref="L19" ca="1">IF(AUTOEVENTO="Manual",ROUND(SUMPRODUCT((CÁLCULO!$M$15:$M$405=EVENTOS!$C19)*(OFFSET(CÁLCULO!$AA$15:$AA$405,0,L$13))),2),0)</f>
        <v>0</v>
      </c>
      <c r="M19" s="613" cm="1">
        <f t="array" aca="1" ref="M19" ca="1">IF(AUTOEVENTO="Manual",ROUND(SUMPRODUCT((CÁLCULO!$M$15:$M$405=EVENTOS!$C19)*(OFFSET(CÁLCULO!$AA$15:$AA$405,0,M$13))),2),0)</f>
        <v>0</v>
      </c>
      <c r="N19" s="613" cm="1">
        <f t="array" aca="1" ref="N19" ca="1">IF(AUTOEVENTO="Manual",ROUND(SUMPRODUCT((CÁLCULO!$M$15:$M$405=EVENTOS!$C19)*(OFFSET(CÁLCULO!$AA$15:$AA$405,0,N$13))),2),0)</f>
        <v>0</v>
      </c>
      <c r="O19" s="613" cm="1">
        <f t="array" aca="1" ref="O19" ca="1">IF(AUTOEVENTO="Manual",ROUND(SUMPRODUCT((CÁLCULO!$M$15:$M$405=EVENTOS!$C19)*(OFFSET(CÁLCULO!$AA$15:$AA$405,0,O$13))),2),0)</f>
        <v>0</v>
      </c>
      <c r="P19" s="613" cm="1">
        <f t="array" aca="1" ref="P19" ca="1">IF(AUTOEVENTO="Manual",ROUND(SUMPRODUCT((CÁLCULO!$M$15:$M$405=EVENTOS!$C19)*(OFFSET(CÁLCULO!$AA$15:$AA$405,0,P$13))),2),0)</f>
        <v>0</v>
      </c>
      <c r="Q19" s="613" cm="1">
        <f t="array" aca="1" ref="Q19" ca="1">IF(AUTOEVENTO="Manual",ROUND(SUMPRODUCT((CÁLCULO!$M$15:$M$405=EVENTOS!$C19)*(OFFSET(CÁLCULO!$AA$15:$AA$405,0,Q$13))),2),0)</f>
        <v>0</v>
      </c>
      <c r="R19" s="613" cm="1">
        <f t="array" aca="1" ref="R19" ca="1">IF(AUTOEVENTO="Manual",ROUND(SUMPRODUCT((CÁLCULO!$M$15:$M$405=EVENTOS!$C19)*(OFFSET(CÁLCULO!$AA$15:$AA$405,0,R$13))),2),0)</f>
        <v>0</v>
      </c>
      <c r="S19" s="613" cm="1">
        <f t="array" aca="1" ref="S19" ca="1">IF(AUTOEVENTO="Manual",ROUND(SUMPRODUCT((CÁLCULO!$M$15:$M$405=EVENTOS!$C19)*(OFFSET(CÁLCULO!$AA$15:$AA$405,0,S$13))),2),0)</f>
        <v>0</v>
      </c>
      <c r="T19" s="613" cm="1">
        <f t="array" aca="1" ref="T19" ca="1">IF(AUTOEVENTO="Manual",ROUND(SUMPRODUCT((CÁLCULO!$M$15:$M$405=EVENTOS!$C19)*(OFFSET(CÁLCULO!$AA$15:$AA$405,0,T$13))),2),0)</f>
        <v>0</v>
      </c>
      <c r="U19" s="613" cm="1">
        <f t="array" aca="1" ref="U19" ca="1">IF(AUTOEVENTO="Manual",ROUND(SUMPRODUCT((CÁLCULO!$M$15:$M$405=EVENTOS!$C19)*(OFFSET(CÁLCULO!$AA$15:$AA$405,0,U$13))),2),0)</f>
        <v>0</v>
      </c>
      <c r="V19" s="613" cm="1">
        <f t="array" aca="1" ref="V19" ca="1">IF(AUTOEVENTO="Manual",ROUND(SUMPRODUCT((CÁLCULO!$M$15:$M$405=EVENTOS!$C19)*(OFFSET(CÁLCULO!$AA$15:$AA$405,0,V$13))),2),0)</f>
        <v>0</v>
      </c>
      <c r="W19" s="613" cm="1">
        <f t="array" aca="1" ref="W19" ca="1">IF(AUTOEVENTO="Manual",ROUND(SUMPRODUCT((CÁLCULO!$M$15:$M$405=EVENTOS!$C19)*(OFFSET(CÁLCULO!$AA$15:$AA$405,0,W$13))),2),0)</f>
        <v>0</v>
      </c>
      <c r="X19" s="613" cm="1">
        <f t="array" aca="1" ref="X19" ca="1">IF(AUTOEVENTO="Manual",ROUND(SUMPRODUCT((CÁLCULO!$M$15:$M$405=EVENTOS!$C19)*(OFFSET(CÁLCULO!$AA$15:$AA$405,0,X$13))),2),0)</f>
        <v>0</v>
      </c>
      <c r="Y19" s="613" cm="1">
        <f t="array" aca="1" ref="Y19" ca="1">IF(AUTOEVENTO="Manual",ROUND(SUMPRODUCT((CÁLCULO!$M$15:$M$405=EVENTOS!$C19)*(OFFSET(CÁLCULO!$AA$15:$AA$405,0,Y$13))),2),0)</f>
        <v>0</v>
      </c>
    </row>
    <row r="20" spans="1:25" x14ac:dyDescent="0.2">
      <c r="A20" s="507" t="str">
        <f t="shared" si="3"/>
        <v/>
      </c>
      <c r="B20" t="str">
        <f t="shared" ca="1" si="4"/>
        <v/>
      </c>
      <c r="C20" s="183" t="str" cm="1">
        <f t="array" aca="1" ref="C20" ca="1">IF(OR(ROW(C20)=ROW(EVENTOS.firstrow)+1,AND(OFFSET(C20,-1,0)&lt;&gt;" ",OFFSET(C20,-1,1)&lt;&gt;"")),OFFSET(C20,-1,0)+1," ")</f>
        <v xml:space="preserve"> </v>
      </c>
      <c r="D20" s="497"/>
      <c r="E20" s="613" cm="1">
        <f t="array" aca="1" ref="E20" ca="1">IF(AUTOEVENTO="Manual",ROUND(SUMPRODUCT((CÁLCULO!$M$15:$M$405=EVENTOS!$C20)*(OFFSET(CÁLCULO!$AA$15:$AA$405,0,E$13))),2),0)</f>
        <v>0</v>
      </c>
      <c r="F20" s="184">
        <f ca="1">IF(AUTOEVENTO="Manual",ROUND(SUMPRODUCT((CÁLCULO!$M$15:$M$405=EVENTOS!$C20)*(OFFSET(CÁLCULO!$AA$15,0,1):OFFSET(CÁLCULO!$AL$405,0,-1))),2),0)</f>
        <v>0</v>
      </c>
      <c r="G20" s="614" t="str">
        <f t="shared" ca="1" si="5"/>
        <v/>
      </c>
      <c r="H20" s="613" cm="1">
        <f t="array" aca="1" ref="H20" ca="1">IF(AUTOEVENTO="Manual",ROUND(SUMPRODUCT((CÁLCULO!$M$15:$M$405=EVENTOS!$C20)*(OFFSET(CÁLCULO!$AA$15:$AA$405,0,H$13))),2),0)</f>
        <v>0</v>
      </c>
      <c r="I20" s="613" cm="1">
        <f t="array" aca="1" ref="I20" ca="1">IF(AUTOEVENTO="Manual",ROUND(SUMPRODUCT((CÁLCULO!$M$15:$M$405=EVENTOS!$C20)*(OFFSET(CÁLCULO!$AA$15:$AA$405,0,I$13))),2),0)</f>
        <v>0</v>
      </c>
      <c r="J20" s="613" cm="1">
        <f t="array" aca="1" ref="J20" ca="1">IF(AUTOEVENTO="Manual",ROUND(SUMPRODUCT((CÁLCULO!$M$15:$M$405=EVENTOS!$C20)*(OFFSET(CÁLCULO!$AA$15:$AA$405,0,J$13))),2),0)</f>
        <v>0</v>
      </c>
      <c r="K20" s="613" cm="1">
        <f t="array" aca="1" ref="K20" ca="1">IF(AUTOEVENTO="Manual",ROUND(SUMPRODUCT((CÁLCULO!$M$15:$M$405=EVENTOS!$C20)*(OFFSET(CÁLCULO!$AA$15:$AA$405,0,K$13))),2),0)</f>
        <v>0</v>
      </c>
      <c r="L20" s="613" cm="1">
        <f t="array" aca="1" ref="L20" ca="1">IF(AUTOEVENTO="Manual",ROUND(SUMPRODUCT((CÁLCULO!$M$15:$M$405=EVENTOS!$C20)*(OFFSET(CÁLCULO!$AA$15:$AA$405,0,L$13))),2),0)</f>
        <v>0</v>
      </c>
      <c r="M20" s="613" cm="1">
        <f t="array" aca="1" ref="M20" ca="1">IF(AUTOEVENTO="Manual",ROUND(SUMPRODUCT((CÁLCULO!$M$15:$M$405=EVENTOS!$C20)*(OFFSET(CÁLCULO!$AA$15:$AA$405,0,M$13))),2),0)</f>
        <v>0</v>
      </c>
      <c r="N20" s="613" cm="1">
        <f t="array" aca="1" ref="N20" ca="1">IF(AUTOEVENTO="Manual",ROUND(SUMPRODUCT((CÁLCULO!$M$15:$M$405=EVENTOS!$C20)*(OFFSET(CÁLCULO!$AA$15:$AA$405,0,N$13))),2),0)</f>
        <v>0</v>
      </c>
      <c r="O20" s="613" cm="1">
        <f t="array" aca="1" ref="O20" ca="1">IF(AUTOEVENTO="Manual",ROUND(SUMPRODUCT((CÁLCULO!$M$15:$M$405=EVENTOS!$C20)*(OFFSET(CÁLCULO!$AA$15:$AA$405,0,O$13))),2),0)</f>
        <v>0</v>
      </c>
      <c r="P20" s="613" cm="1">
        <f t="array" aca="1" ref="P20" ca="1">IF(AUTOEVENTO="Manual",ROUND(SUMPRODUCT((CÁLCULO!$M$15:$M$405=EVENTOS!$C20)*(OFFSET(CÁLCULO!$AA$15:$AA$405,0,P$13))),2),0)</f>
        <v>0</v>
      </c>
      <c r="Q20" s="613" cm="1">
        <f t="array" aca="1" ref="Q20" ca="1">IF(AUTOEVENTO="Manual",ROUND(SUMPRODUCT((CÁLCULO!$M$15:$M$405=EVENTOS!$C20)*(OFFSET(CÁLCULO!$AA$15:$AA$405,0,Q$13))),2),0)</f>
        <v>0</v>
      </c>
      <c r="R20" s="613" cm="1">
        <f t="array" aca="1" ref="R20" ca="1">IF(AUTOEVENTO="Manual",ROUND(SUMPRODUCT((CÁLCULO!$M$15:$M$405=EVENTOS!$C20)*(OFFSET(CÁLCULO!$AA$15:$AA$405,0,R$13))),2),0)</f>
        <v>0</v>
      </c>
      <c r="S20" s="613" cm="1">
        <f t="array" aca="1" ref="S20" ca="1">IF(AUTOEVENTO="Manual",ROUND(SUMPRODUCT((CÁLCULO!$M$15:$M$405=EVENTOS!$C20)*(OFFSET(CÁLCULO!$AA$15:$AA$405,0,S$13))),2),0)</f>
        <v>0</v>
      </c>
      <c r="T20" s="613" cm="1">
        <f t="array" aca="1" ref="T20" ca="1">IF(AUTOEVENTO="Manual",ROUND(SUMPRODUCT((CÁLCULO!$M$15:$M$405=EVENTOS!$C20)*(OFFSET(CÁLCULO!$AA$15:$AA$405,0,T$13))),2),0)</f>
        <v>0</v>
      </c>
      <c r="U20" s="613" cm="1">
        <f t="array" aca="1" ref="U20" ca="1">IF(AUTOEVENTO="Manual",ROUND(SUMPRODUCT((CÁLCULO!$M$15:$M$405=EVENTOS!$C20)*(OFFSET(CÁLCULO!$AA$15:$AA$405,0,U$13))),2),0)</f>
        <v>0</v>
      </c>
      <c r="V20" s="613" cm="1">
        <f t="array" aca="1" ref="V20" ca="1">IF(AUTOEVENTO="Manual",ROUND(SUMPRODUCT((CÁLCULO!$M$15:$M$405=EVENTOS!$C20)*(OFFSET(CÁLCULO!$AA$15:$AA$405,0,V$13))),2),0)</f>
        <v>0</v>
      </c>
      <c r="W20" s="613" cm="1">
        <f t="array" aca="1" ref="W20" ca="1">IF(AUTOEVENTO="Manual",ROUND(SUMPRODUCT((CÁLCULO!$M$15:$M$405=EVENTOS!$C20)*(OFFSET(CÁLCULO!$AA$15:$AA$405,0,W$13))),2),0)</f>
        <v>0</v>
      </c>
      <c r="X20" s="613" cm="1">
        <f t="array" aca="1" ref="X20" ca="1">IF(AUTOEVENTO="Manual",ROUND(SUMPRODUCT((CÁLCULO!$M$15:$M$405=EVENTOS!$C20)*(OFFSET(CÁLCULO!$AA$15:$AA$405,0,X$13))),2),0)</f>
        <v>0</v>
      </c>
      <c r="Y20" s="613" cm="1">
        <f t="array" aca="1" ref="Y20" ca="1">IF(AUTOEVENTO="Manual",ROUND(SUMPRODUCT((CÁLCULO!$M$15:$M$405=EVENTOS!$C20)*(OFFSET(CÁLCULO!$AA$15:$AA$405,0,Y$13))),2),0)</f>
        <v>0</v>
      </c>
    </row>
    <row r="21" spans="1:25" x14ac:dyDescent="0.2">
      <c r="A21" s="507" t="str">
        <f t="shared" si="3"/>
        <v/>
      </c>
      <c r="B21" t="str">
        <f t="shared" ca="1" si="4"/>
        <v/>
      </c>
      <c r="C21" s="183" t="str" cm="1">
        <f t="array" aca="1" ref="C21" ca="1">IF(OR(ROW(C21)=ROW(EVENTOS.firstrow)+1,AND(OFFSET(C21,-1,0)&lt;&gt;" ",OFFSET(C21,-1,1)&lt;&gt;"")),OFFSET(C21,-1,0)+1," ")</f>
        <v xml:space="preserve"> </v>
      </c>
      <c r="D21" s="497"/>
      <c r="E21" s="613" cm="1">
        <f t="array" aca="1" ref="E21" ca="1">IF(AUTOEVENTO="Manual",ROUND(SUMPRODUCT((CÁLCULO!$M$15:$M$405=EVENTOS!$C21)*(OFFSET(CÁLCULO!$AA$15:$AA$405,0,E$13))),2),0)</f>
        <v>0</v>
      </c>
      <c r="F21" s="184">
        <f ca="1">IF(AUTOEVENTO="Manual",ROUND(SUMPRODUCT((CÁLCULO!$M$15:$M$405=EVENTOS!$C21)*(OFFSET(CÁLCULO!$AA$15,0,1):OFFSET(CÁLCULO!$AL$405,0,-1))),2),0)</f>
        <v>0</v>
      </c>
      <c r="G21" s="614" t="str">
        <f t="shared" ca="1" si="5"/>
        <v/>
      </c>
      <c r="H21" s="613" cm="1">
        <f t="array" aca="1" ref="H21" ca="1">IF(AUTOEVENTO="Manual",ROUND(SUMPRODUCT((CÁLCULO!$M$15:$M$405=EVENTOS!$C21)*(OFFSET(CÁLCULO!$AA$15:$AA$405,0,H$13))),2),0)</f>
        <v>0</v>
      </c>
      <c r="I21" s="613" cm="1">
        <f t="array" aca="1" ref="I21" ca="1">IF(AUTOEVENTO="Manual",ROUND(SUMPRODUCT((CÁLCULO!$M$15:$M$405=EVENTOS!$C21)*(OFFSET(CÁLCULO!$AA$15:$AA$405,0,I$13))),2),0)</f>
        <v>0</v>
      </c>
      <c r="J21" s="613" cm="1">
        <f t="array" aca="1" ref="J21" ca="1">IF(AUTOEVENTO="Manual",ROUND(SUMPRODUCT((CÁLCULO!$M$15:$M$405=EVENTOS!$C21)*(OFFSET(CÁLCULO!$AA$15:$AA$405,0,J$13))),2),0)</f>
        <v>0</v>
      </c>
      <c r="K21" s="613" cm="1">
        <f t="array" aca="1" ref="K21" ca="1">IF(AUTOEVENTO="Manual",ROUND(SUMPRODUCT((CÁLCULO!$M$15:$M$405=EVENTOS!$C21)*(OFFSET(CÁLCULO!$AA$15:$AA$405,0,K$13))),2),0)</f>
        <v>0</v>
      </c>
      <c r="L21" s="613" cm="1">
        <f t="array" aca="1" ref="L21" ca="1">IF(AUTOEVENTO="Manual",ROUND(SUMPRODUCT((CÁLCULO!$M$15:$M$405=EVENTOS!$C21)*(OFFSET(CÁLCULO!$AA$15:$AA$405,0,L$13))),2),0)</f>
        <v>0</v>
      </c>
      <c r="M21" s="613" cm="1">
        <f t="array" aca="1" ref="M21" ca="1">IF(AUTOEVENTO="Manual",ROUND(SUMPRODUCT((CÁLCULO!$M$15:$M$405=EVENTOS!$C21)*(OFFSET(CÁLCULO!$AA$15:$AA$405,0,M$13))),2),0)</f>
        <v>0</v>
      </c>
      <c r="N21" s="613" cm="1">
        <f t="array" aca="1" ref="N21" ca="1">IF(AUTOEVENTO="Manual",ROUND(SUMPRODUCT((CÁLCULO!$M$15:$M$405=EVENTOS!$C21)*(OFFSET(CÁLCULO!$AA$15:$AA$405,0,N$13))),2),0)</f>
        <v>0</v>
      </c>
      <c r="O21" s="613" cm="1">
        <f t="array" aca="1" ref="O21" ca="1">IF(AUTOEVENTO="Manual",ROUND(SUMPRODUCT((CÁLCULO!$M$15:$M$405=EVENTOS!$C21)*(OFFSET(CÁLCULO!$AA$15:$AA$405,0,O$13))),2),0)</f>
        <v>0</v>
      </c>
      <c r="P21" s="613" cm="1">
        <f t="array" aca="1" ref="P21" ca="1">IF(AUTOEVENTO="Manual",ROUND(SUMPRODUCT((CÁLCULO!$M$15:$M$405=EVENTOS!$C21)*(OFFSET(CÁLCULO!$AA$15:$AA$405,0,P$13))),2),0)</f>
        <v>0</v>
      </c>
      <c r="Q21" s="613" cm="1">
        <f t="array" aca="1" ref="Q21" ca="1">IF(AUTOEVENTO="Manual",ROUND(SUMPRODUCT((CÁLCULO!$M$15:$M$405=EVENTOS!$C21)*(OFFSET(CÁLCULO!$AA$15:$AA$405,0,Q$13))),2),0)</f>
        <v>0</v>
      </c>
      <c r="R21" s="613" cm="1">
        <f t="array" aca="1" ref="R21" ca="1">IF(AUTOEVENTO="Manual",ROUND(SUMPRODUCT((CÁLCULO!$M$15:$M$405=EVENTOS!$C21)*(OFFSET(CÁLCULO!$AA$15:$AA$405,0,R$13))),2),0)</f>
        <v>0</v>
      </c>
      <c r="S21" s="613" cm="1">
        <f t="array" aca="1" ref="S21" ca="1">IF(AUTOEVENTO="Manual",ROUND(SUMPRODUCT((CÁLCULO!$M$15:$M$405=EVENTOS!$C21)*(OFFSET(CÁLCULO!$AA$15:$AA$405,0,S$13))),2),0)</f>
        <v>0</v>
      </c>
      <c r="T21" s="613" cm="1">
        <f t="array" aca="1" ref="T21" ca="1">IF(AUTOEVENTO="Manual",ROUND(SUMPRODUCT((CÁLCULO!$M$15:$M$405=EVENTOS!$C21)*(OFFSET(CÁLCULO!$AA$15:$AA$405,0,T$13))),2),0)</f>
        <v>0</v>
      </c>
      <c r="U21" s="613" cm="1">
        <f t="array" aca="1" ref="U21" ca="1">IF(AUTOEVENTO="Manual",ROUND(SUMPRODUCT((CÁLCULO!$M$15:$M$405=EVENTOS!$C21)*(OFFSET(CÁLCULO!$AA$15:$AA$405,0,U$13))),2),0)</f>
        <v>0</v>
      </c>
      <c r="V21" s="613" cm="1">
        <f t="array" aca="1" ref="V21" ca="1">IF(AUTOEVENTO="Manual",ROUND(SUMPRODUCT((CÁLCULO!$M$15:$M$405=EVENTOS!$C21)*(OFFSET(CÁLCULO!$AA$15:$AA$405,0,V$13))),2),0)</f>
        <v>0</v>
      </c>
      <c r="W21" s="613" cm="1">
        <f t="array" aca="1" ref="W21" ca="1">IF(AUTOEVENTO="Manual",ROUND(SUMPRODUCT((CÁLCULO!$M$15:$M$405=EVENTOS!$C21)*(OFFSET(CÁLCULO!$AA$15:$AA$405,0,W$13))),2),0)</f>
        <v>0</v>
      </c>
      <c r="X21" s="613" cm="1">
        <f t="array" aca="1" ref="X21" ca="1">IF(AUTOEVENTO="Manual",ROUND(SUMPRODUCT((CÁLCULO!$M$15:$M$405=EVENTOS!$C21)*(OFFSET(CÁLCULO!$AA$15:$AA$405,0,X$13))),2),0)</f>
        <v>0</v>
      </c>
      <c r="Y21" s="613" cm="1">
        <f t="array" aca="1" ref="Y21" ca="1">IF(AUTOEVENTO="Manual",ROUND(SUMPRODUCT((CÁLCULO!$M$15:$M$405=EVENTOS!$C21)*(OFFSET(CÁLCULO!$AA$15:$AA$405,0,Y$13))),2),0)</f>
        <v>0</v>
      </c>
    </row>
    <row r="22" spans="1:25" x14ac:dyDescent="0.2">
      <c r="A22" s="507" t="str">
        <f t="shared" si="3"/>
        <v/>
      </c>
      <c r="B22" t="str">
        <f t="shared" ca="1" si="4"/>
        <v/>
      </c>
      <c r="C22" s="183" t="str" cm="1">
        <f t="array" aca="1" ref="C22" ca="1">IF(OR(ROW(C22)=ROW(EVENTOS.firstrow)+1,AND(OFFSET(C22,-1,0)&lt;&gt;" ",OFFSET(C22,-1,1)&lt;&gt;"")),OFFSET(C22,-1,0)+1," ")</f>
        <v xml:space="preserve"> </v>
      </c>
      <c r="D22" s="497"/>
      <c r="E22" s="613" cm="1">
        <f t="array" aca="1" ref="E22" ca="1">IF(AUTOEVENTO="Manual",ROUND(SUMPRODUCT((CÁLCULO!$M$15:$M$405=EVENTOS!$C22)*(OFFSET(CÁLCULO!$AA$15:$AA$405,0,E$13))),2),0)</f>
        <v>0</v>
      </c>
      <c r="F22" s="184">
        <f ca="1">IF(AUTOEVENTO="Manual",ROUND(SUMPRODUCT((CÁLCULO!$M$15:$M$405=EVENTOS!$C22)*(OFFSET(CÁLCULO!$AA$15,0,1):OFFSET(CÁLCULO!$AL$405,0,-1))),2),0)</f>
        <v>0</v>
      </c>
      <c r="G22" s="614" t="str">
        <f t="shared" ca="1" si="5"/>
        <v/>
      </c>
      <c r="H22" s="613" cm="1">
        <f t="array" aca="1" ref="H22" ca="1">IF(AUTOEVENTO="Manual",ROUND(SUMPRODUCT((CÁLCULO!$M$15:$M$405=EVENTOS!$C22)*(OFFSET(CÁLCULO!$AA$15:$AA$405,0,H$13))),2),0)</f>
        <v>0</v>
      </c>
      <c r="I22" s="613" cm="1">
        <f t="array" aca="1" ref="I22" ca="1">IF(AUTOEVENTO="Manual",ROUND(SUMPRODUCT((CÁLCULO!$M$15:$M$405=EVENTOS!$C22)*(OFFSET(CÁLCULO!$AA$15:$AA$405,0,I$13))),2),0)</f>
        <v>0</v>
      </c>
      <c r="J22" s="613" cm="1">
        <f t="array" aca="1" ref="J22" ca="1">IF(AUTOEVENTO="Manual",ROUND(SUMPRODUCT((CÁLCULO!$M$15:$M$405=EVENTOS!$C22)*(OFFSET(CÁLCULO!$AA$15:$AA$405,0,J$13))),2),0)</f>
        <v>0</v>
      </c>
      <c r="K22" s="613" cm="1">
        <f t="array" aca="1" ref="K22" ca="1">IF(AUTOEVENTO="Manual",ROUND(SUMPRODUCT((CÁLCULO!$M$15:$M$405=EVENTOS!$C22)*(OFFSET(CÁLCULO!$AA$15:$AA$405,0,K$13))),2),0)</f>
        <v>0</v>
      </c>
      <c r="L22" s="613" cm="1">
        <f t="array" aca="1" ref="L22" ca="1">IF(AUTOEVENTO="Manual",ROUND(SUMPRODUCT((CÁLCULO!$M$15:$M$405=EVENTOS!$C22)*(OFFSET(CÁLCULO!$AA$15:$AA$405,0,L$13))),2),0)</f>
        <v>0</v>
      </c>
      <c r="M22" s="613" cm="1">
        <f t="array" aca="1" ref="M22" ca="1">IF(AUTOEVENTO="Manual",ROUND(SUMPRODUCT((CÁLCULO!$M$15:$M$405=EVENTOS!$C22)*(OFFSET(CÁLCULO!$AA$15:$AA$405,0,M$13))),2),0)</f>
        <v>0</v>
      </c>
      <c r="N22" s="613" cm="1">
        <f t="array" aca="1" ref="N22" ca="1">IF(AUTOEVENTO="Manual",ROUND(SUMPRODUCT((CÁLCULO!$M$15:$M$405=EVENTOS!$C22)*(OFFSET(CÁLCULO!$AA$15:$AA$405,0,N$13))),2),0)</f>
        <v>0</v>
      </c>
      <c r="O22" s="613" cm="1">
        <f t="array" aca="1" ref="O22" ca="1">IF(AUTOEVENTO="Manual",ROUND(SUMPRODUCT((CÁLCULO!$M$15:$M$405=EVENTOS!$C22)*(OFFSET(CÁLCULO!$AA$15:$AA$405,0,O$13))),2),0)</f>
        <v>0</v>
      </c>
      <c r="P22" s="613" cm="1">
        <f t="array" aca="1" ref="P22" ca="1">IF(AUTOEVENTO="Manual",ROUND(SUMPRODUCT((CÁLCULO!$M$15:$M$405=EVENTOS!$C22)*(OFFSET(CÁLCULO!$AA$15:$AA$405,0,P$13))),2),0)</f>
        <v>0</v>
      </c>
      <c r="Q22" s="613" cm="1">
        <f t="array" aca="1" ref="Q22" ca="1">IF(AUTOEVENTO="Manual",ROUND(SUMPRODUCT((CÁLCULO!$M$15:$M$405=EVENTOS!$C22)*(OFFSET(CÁLCULO!$AA$15:$AA$405,0,Q$13))),2),0)</f>
        <v>0</v>
      </c>
      <c r="R22" s="613" cm="1">
        <f t="array" aca="1" ref="R22" ca="1">IF(AUTOEVENTO="Manual",ROUND(SUMPRODUCT((CÁLCULO!$M$15:$M$405=EVENTOS!$C22)*(OFFSET(CÁLCULO!$AA$15:$AA$405,0,R$13))),2),0)</f>
        <v>0</v>
      </c>
      <c r="S22" s="613" cm="1">
        <f t="array" aca="1" ref="S22" ca="1">IF(AUTOEVENTO="Manual",ROUND(SUMPRODUCT((CÁLCULO!$M$15:$M$405=EVENTOS!$C22)*(OFFSET(CÁLCULO!$AA$15:$AA$405,0,S$13))),2),0)</f>
        <v>0</v>
      </c>
      <c r="T22" s="613" cm="1">
        <f t="array" aca="1" ref="T22" ca="1">IF(AUTOEVENTO="Manual",ROUND(SUMPRODUCT((CÁLCULO!$M$15:$M$405=EVENTOS!$C22)*(OFFSET(CÁLCULO!$AA$15:$AA$405,0,T$13))),2),0)</f>
        <v>0</v>
      </c>
      <c r="U22" s="613" cm="1">
        <f t="array" aca="1" ref="U22" ca="1">IF(AUTOEVENTO="Manual",ROUND(SUMPRODUCT((CÁLCULO!$M$15:$M$405=EVENTOS!$C22)*(OFFSET(CÁLCULO!$AA$15:$AA$405,0,U$13))),2),0)</f>
        <v>0</v>
      </c>
      <c r="V22" s="613" cm="1">
        <f t="array" aca="1" ref="V22" ca="1">IF(AUTOEVENTO="Manual",ROUND(SUMPRODUCT((CÁLCULO!$M$15:$M$405=EVENTOS!$C22)*(OFFSET(CÁLCULO!$AA$15:$AA$405,0,V$13))),2),0)</f>
        <v>0</v>
      </c>
      <c r="W22" s="613" cm="1">
        <f t="array" aca="1" ref="W22" ca="1">IF(AUTOEVENTO="Manual",ROUND(SUMPRODUCT((CÁLCULO!$M$15:$M$405=EVENTOS!$C22)*(OFFSET(CÁLCULO!$AA$15:$AA$405,0,W$13))),2),0)</f>
        <v>0</v>
      </c>
      <c r="X22" s="613" cm="1">
        <f t="array" aca="1" ref="X22" ca="1">IF(AUTOEVENTO="Manual",ROUND(SUMPRODUCT((CÁLCULO!$M$15:$M$405=EVENTOS!$C22)*(OFFSET(CÁLCULO!$AA$15:$AA$405,0,X$13))),2),0)</f>
        <v>0</v>
      </c>
      <c r="Y22" s="613" cm="1">
        <f t="array" aca="1" ref="Y22" ca="1">IF(AUTOEVENTO="Manual",ROUND(SUMPRODUCT((CÁLCULO!$M$15:$M$405=EVENTOS!$C22)*(OFFSET(CÁLCULO!$AA$15:$AA$405,0,Y$13))),2),0)</f>
        <v>0</v>
      </c>
    </row>
    <row r="23" spans="1:25" x14ac:dyDescent="0.2">
      <c r="A23" s="507" t="str">
        <f t="shared" si="3"/>
        <v/>
      </c>
      <c r="B23" t="str">
        <f t="shared" ca="1" si="4"/>
        <v/>
      </c>
      <c r="C23" s="183" t="str" cm="1">
        <f t="array" aca="1" ref="C23" ca="1">IF(OR(ROW(C23)=ROW(EVENTOS.firstrow)+1,AND(OFFSET(C23,-1,0)&lt;&gt;" ",OFFSET(C23,-1,1)&lt;&gt;"")),OFFSET(C23,-1,0)+1," ")</f>
        <v xml:space="preserve"> </v>
      </c>
      <c r="D23" s="497"/>
      <c r="E23" s="613" cm="1">
        <f t="array" aca="1" ref="E23" ca="1">IF(AUTOEVENTO="Manual",ROUND(SUMPRODUCT((CÁLCULO!$M$15:$M$405=EVENTOS!$C23)*(OFFSET(CÁLCULO!$AA$15:$AA$405,0,E$13))),2),0)</f>
        <v>0</v>
      </c>
      <c r="F23" s="184">
        <f ca="1">IF(AUTOEVENTO="Manual",ROUND(SUMPRODUCT((CÁLCULO!$M$15:$M$405=EVENTOS!$C23)*(OFFSET(CÁLCULO!$AA$15,0,1):OFFSET(CÁLCULO!$AL$405,0,-1))),2),0)</f>
        <v>0</v>
      </c>
      <c r="G23" s="614" t="str">
        <f t="shared" ca="1" si="5"/>
        <v/>
      </c>
      <c r="H23" s="613" cm="1">
        <f t="array" aca="1" ref="H23" ca="1">IF(AUTOEVENTO="Manual",ROUND(SUMPRODUCT((CÁLCULO!$M$15:$M$405=EVENTOS!$C23)*(OFFSET(CÁLCULO!$AA$15:$AA$405,0,H$13))),2),0)</f>
        <v>0</v>
      </c>
      <c r="I23" s="613" cm="1">
        <f t="array" aca="1" ref="I23" ca="1">IF(AUTOEVENTO="Manual",ROUND(SUMPRODUCT((CÁLCULO!$M$15:$M$405=EVENTOS!$C23)*(OFFSET(CÁLCULO!$AA$15:$AA$405,0,I$13))),2),0)</f>
        <v>0</v>
      </c>
      <c r="J23" s="613" cm="1">
        <f t="array" aca="1" ref="J23" ca="1">IF(AUTOEVENTO="Manual",ROUND(SUMPRODUCT((CÁLCULO!$M$15:$M$405=EVENTOS!$C23)*(OFFSET(CÁLCULO!$AA$15:$AA$405,0,J$13))),2),0)</f>
        <v>0</v>
      </c>
      <c r="K23" s="613" cm="1">
        <f t="array" aca="1" ref="K23" ca="1">IF(AUTOEVENTO="Manual",ROUND(SUMPRODUCT((CÁLCULO!$M$15:$M$405=EVENTOS!$C23)*(OFFSET(CÁLCULO!$AA$15:$AA$405,0,K$13))),2),0)</f>
        <v>0</v>
      </c>
      <c r="L23" s="613" cm="1">
        <f t="array" aca="1" ref="L23" ca="1">IF(AUTOEVENTO="Manual",ROUND(SUMPRODUCT((CÁLCULO!$M$15:$M$405=EVENTOS!$C23)*(OFFSET(CÁLCULO!$AA$15:$AA$405,0,L$13))),2),0)</f>
        <v>0</v>
      </c>
      <c r="M23" s="613" cm="1">
        <f t="array" aca="1" ref="M23" ca="1">IF(AUTOEVENTO="Manual",ROUND(SUMPRODUCT((CÁLCULO!$M$15:$M$405=EVENTOS!$C23)*(OFFSET(CÁLCULO!$AA$15:$AA$405,0,M$13))),2),0)</f>
        <v>0</v>
      </c>
      <c r="N23" s="613" cm="1">
        <f t="array" aca="1" ref="N23" ca="1">IF(AUTOEVENTO="Manual",ROUND(SUMPRODUCT((CÁLCULO!$M$15:$M$405=EVENTOS!$C23)*(OFFSET(CÁLCULO!$AA$15:$AA$405,0,N$13))),2),0)</f>
        <v>0</v>
      </c>
      <c r="O23" s="613" cm="1">
        <f t="array" aca="1" ref="O23" ca="1">IF(AUTOEVENTO="Manual",ROUND(SUMPRODUCT((CÁLCULO!$M$15:$M$405=EVENTOS!$C23)*(OFFSET(CÁLCULO!$AA$15:$AA$405,0,O$13))),2),0)</f>
        <v>0</v>
      </c>
      <c r="P23" s="613" cm="1">
        <f t="array" aca="1" ref="P23" ca="1">IF(AUTOEVENTO="Manual",ROUND(SUMPRODUCT((CÁLCULO!$M$15:$M$405=EVENTOS!$C23)*(OFFSET(CÁLCULO!$AA$15:$AA$405,0,P$13))),2),0)</f>
        <v>0</v>
      </c>
      <c r="Q23" s="613" cm="1">
        <f t="array" aca="1" ref="Q23" ca="1">IF(AUTOEVENTO="Manual",ROUND(SUMPRODUCT((CÁLCULO!$M$15:$M$405=EVENTOS!$C23)*(OFFSET(CÁLCULO!$AA$15:$AA$405,0,Q$13))),2),0)</f>
        <v>0</v>
      </c>
      <c r="R23" s="613" cm="1">
        <f t="array" aca="1" ref="R23" ca="1">IF(AUTOEVENTO="Manual",ROUND(SUMPRODUCT((CÁLCULO!$M$15:$M$405=EVENTOS!$C23)*(OFFSET(CÁLCULO!$AA$15:$AA$405,0,R$13))),2),0)</f>
        <v>0</v>
      </c>
      <c r="S23" s="613" cm="1">
        <f t="array" aca="1" ref="S23" ca="1">IF(AUTOEVENTO="Manual",ROUND(SUMPRODUCT((CÁLCULO!$M$15:$M$405=EVENTOS!$C23)*(OFFSET(CÁLCULO!$AA$15:$AA$405,0,S$13))),2),0)</f>
        <v>0</v>
      </c>
      <c r="T23" s="613" cm="1">
        <f t="array" aca="1" ref="T23" ca="1">IF(AUTOEVENTO="Manual",ROUND(SUMPRODUCT((CÁLCULO!$M$15:$M$405=EVENTOS!$C23)*(OFFSET(CÁLCULO!$AA$15:$AA$405,0,T$13))),2),0)</f>
        <v>0</v>
      </c>
      <c r="U23" s="613" cm="1">
        <f t="array" aca="1" ref="U23" ca="1">IF(AUTOEVENTO="Manual",ROUND(SUMPRODUCT((CÁLCULO!$M$15:$M$405=EVENTOS!$C23)*(OFFSET(CÁLCULO!$AA$15:$AA$405,0,U$13))),2),0)</f>
        <v>0</v>
      </c>
      <c r="V23" s="613" cm="1">
        <f t="array" aca="1" ref="V23" ca="1">IF(AUTOEVENTO="Manual",ROUND(SUMPRODUCT((CÁLCULO!$M$15:$M$405=EVENTOS!$C23)*(OFFSET(CÁLCULO!$AA$15:$AA$405,0,V$13))),2),0)</f>
        <v>0</v>
      </c>
      <c r="W23" s="613" cm="1">
        <f t="array" aca="1" ref="W23" ca="1">IF(AUTOEVENTO="Manual",ROUND(SUMPRODUCT((CÁLCULO!$M$15:$M$405=EVENTOS!$C23)*(OFFSET(CÁLCULO!$AA$15:$AA$405,0,W$13))),2),0)</f>
        <v>0</v>
      </c>
      <c r="X23" s="613" cm="1">
        <f t="array" aca="1" ref="X23" ca="1">IF(AUTOEVENTO="Manual",ROUND(SUMPRODUCT((CÁLCULO!$M$15:$M$405=EVENTOS!$C23)*(OFFSET(CÁLCULO!$AA$15:$AA$405,0,X$13))),2),0)</f>
        <v>0</v>
      </c>
      <c r="Y23" s="613" cm="1">
        <f t="array" aca="1" ref="Y23" ca="1">IF(AUTOEVENTO="Manual",ROUND(SUMPRODUCT((CÁLCULO!$M$15:$M$405=EVENTOS!$C23)*(OFFSET(CÁLCULO!$AA$15:$AA$405,0,Y$13))),2),0)</f>
        <v>0</v>
      </c>
    </row>
    <row r="24" spans="1:25" x14ac:dyDescent="0.2">
      <c r="A24" s="507" t="str">
        <f t="shared" si="3"/>
        <v/>
      </c>
      <c r="B24" t="str">
        <f t="shared" ca="1" si="4"/>
        <v/>
      </c>
      <c r="C24" s="183" t="str" cm="1">
        <f t="array" aca="1" ref="C24" ca="1">IF(OR(ROW(C24)=ROW(EVENTOS.firstrow)+1,AND(OFFSET(C24,-1,0)&lt;&gt;" ",OFFSET(C24,-1,1)&lt;&gt;"")),OFFSET(C24,-1,0)+1," ")</f>
        <v xml:space="preserve"> </v>
      </c>
      <c r="D24" s="497"/>
      <c r="E24" s="613" cm="1">
        <f t="array" aca="1" ref="E24" ca="1">IF(AUTOEVENTO="Manual",ROUND(SUMPRODUCT((CÁLCULO!$M$15:$M$405=EVENTOS!$C24)*(OFFSET(CÁLCULO!$AA$15:$AA$405,0,E$13))),2),0)</f>
        <v>0</v>
      </c>
      <c r="F24" s="184">
        <f ca="1">IF(AUTOEVENTO="Manual",ROUND(SUMPRODUCT((CÁLCULO!$M$15:$M$405=EVENTOS!$C24)*(OFFSET(CÁLCULO!$AA$15,0,1):OFFSET(CÁLCULO!$AL$405,0,-1))),2),0)</f>
        <v>0</v>
      </c>
      <c r="G24" s="614" t="str">
        <f t="shared" ca="1" si="5"/>
        <v/>
      </c>
      <c r="H24" s="613" cm="1">
        <f t="array" aca="1" ref="H24" ca="1">IF(AUTOEVENTO="Manual",ROUND(SUMPRODUCT((CÁLCULO!$M$15:$M$405=EVENTOS!$C24)*(OFFSET(CÁLCULO!$AA$15:$AA$405,0,H$13))),2),0)</f>
        <v>0</v>
      </c>
      <c r="I24" s="613" cm="1">
        <f t="array" aca="1" ref="I24" ca="1">IF(AUTOEVENTO="Manual",ROUND(SUMPRODUCT((CÁLCULO!$M$15:$M$405=EVENTOS!$C24)*(OFFSET(CÁLCULO!$AA$15:$AA$405,0,I$13))),2),0)</f>
        <v>0</v>
      </c>
      <c r="J24" s="613" cm="1">
        <f t="array" aca="1" ref="J24" ca="1">IF(AUTOEVENTO="Manual",ROUND(SUMPRODUCT((CÁLCULO!$M$15:$M$405=EVENTOS!$C24)*(OFFSET(CÁLCULO!$AA$15:$AA$405,0,J$13))),2),0)</f>
        <v>0</v>
      </c>
      <c r="K24" s="613" cm="1">
        <f t="array" aca="1" ref="K24" ca="1">IF(AUTOEVENTO="Manual",ROUND(SUMPRODUCT((CÁLCULO!$M$15:$M$405=EVENTOS!$C24)*(OFFSET(CÁLCULO!$AA$15:$AA$405,0,K$13))),2),0)</f>
        <v>0</v>
      </c>
      <c r="L24" s="613" cm="1">
        <f t="array" aca="1" ref="L24" ca="1">IF(AUTOEVENTO="Manual",ROUND(SUMPRODUCT((CÁLCULO!$M$15:$M$405=EVENTOS!$C24)*(OFFSET(CÁLCULO!$AA$15:$AA$405,0,L$13))),2),0)</f>
        <v>0</v>
      </c>
      <c r="M24" s="613" cm="1">
        <f t="array" aca="1" ref="M24" ca="1">IF(AUTOEVENTO="Manual",ROUND(SUMPRODUCT((CÁLCULO!$M$15:$M$405=EVENTOS!$C24)*(OFFSET(CÁLCULO!$AA$15:$AA$405,0,M$13))),2),0)</f>
        <v>0</v>
      </c>
      <c r="N24" s="613" cm="1">
        <f t="array" aca="1" ref="N24" ca="1">IF(AUTOEVENTO="Manual",ROUND(SUMPRODUCT((CÁLCULO!$M$15:$M$405=EVENTOS!$C24)*(OFFSET(CÁLCULO!$AA$15:$AA$405,0,N$13))),2),0)</f>
        <v>0</v>
      </c>
      <c r="O24" s="613" cm="1">
        <f t="array" aca="1" ref="O24" ca="1">IF(AUTOEVENTO="Manual",ROUND(SUMPRODUCT((CÁLCULO!$M$15:$M$405=EVENTOS!$C24)*(OFFSET(CÁLCULO!$AA$15:$AA$405,0,O$13))),2),0)</f>
        <v>0</v>
      </c>
      <c r="P24" s="613" cm="1">
        <f t="array" aca="1" ref="P24" ca="1">IF(AUTOEVENTO="Manual",ROUND(SUMPRODUCT((CÁLCULO!$M$15:$M$405=EVENTOS!$C24)*(OFFSET(CÁLCULO!$AA$15:$AA$405,0,P$13))),2),0)</f>
        <v>0</v>
      </c>
      <c r="Q24" s="613" cm="1">
        <f t="array" aca="1" ref="Q24" ca="1">IF(AUTOEVENTO="Manual",ROUND(SUMPRODUCT((CÁLCULO!$M$15:$M$405=EVENTOS!$C24)*(OFFSET(CÁLCULO!$AA$15:$AA$405,0,Q$13))),2),0)</f>
        <v>0</v>
      </c>
      <c r="R24" s="613" cm="1">
        <f t="array" aca="1" ref="R24" ca="1">IF(AUTOEVENTO="Manual",ROUND(SUMPRODUCT((CÁLCULO!$M$15:$M$405=EVENTOS!$C24)*(OFFSET(CÁLCULO!$AA$15:$AA$405,0,R$13))),2),0)</f>
        <v>0</v>
      </c>
      <c r="S24" s="613" cm="1">
        <f t="array" aca="1" ref="S24" ca="1">IF(AUTOEVENTO="Manual",ROUND(SUMPRODUCT((CÁLCULO!$M$15:$M$405=EVENTOS!$C24)*(OFFSET(CÁLCULO!$AA$15:$AA$405,0,S$13))),2),0)</f>
        <v>0</v>
      </c>
      <c r="T24" s="613" cm="1">
        <f t="array" aca="1" ref="T24" ca="1">IF(AUTOEVENTO="Manual",ROUND(SUMPRODUCT((CÁLCULO!$M$15:$M$405=EVENTOS!$C24)*(OFFSET(CÁLCULO!$AA$15:$AA$405,0,T$13))),2),0)</f>
        <v>0</v>
      </c>
      <c r="U24" s="613" cm="1">
        <f t="array" aca="1" ref="U24" ca="1">IF(AUTOEVENTO="Manual",ROUND(SUMPRODUCT((CÁLCULO!$M$15:$M$405=EVENTOS!$C24)*(OFFSET(CÁLCULO!$AA$15:$AA$405,0,U$13))),2),0)</f>
        <v>0</v>
      </c>
      <c r="V24" s="613" cm="1">
        <f t="array" aca="1" ref="V24" ca="1">IF(AUTOEVENTO="Manual",ROUND(SUMPRODUCT((CÁLCULO!$M$15:$M$405=EVENTOS!$C24)*(OFFSET(CÁLCULO!$AA$15:$AA$405,0,V$13))),2),0)</f>
        <v>0</v>
      </c>
      <c r="W24" s="613" cm="1">
        <f t="array" aca="1" ref="W24" ca="1">IF(AUTOEVENTO="Manual",ROUND(SUMPRODUCT((CÁLCULO!$M$15:$M$405=EVENTOS!$C24)*(OFFSET(CÁLCULO!$AA$15:$AA$405,0,W$13))),2),0)</f>
        <v>0</v>
      </c>
      <c r="X24" s="613" cm="1">
        <f t="array" aca="1" ref="X24" ca="1">IF(AUTOEVENTO="Manual",ROUND(SUMPRODUCT((CÁLCULO!$M$15:$M$405=EVENTOS!$C24)*(OFFSET(CÁLCULO!$AA$15:$AA$405,0,X$13))),2),0)</f>
        <v>0</v>
      </c>
      <c r="Y24" s="613" cm="1">
        <f t="array" aca="1" ref="Y24" ca="1">IF(AUTOEVENTO="Manual",ROUND(SUMPRODUCT((CÁLCULO!$M$15:$M$405=EVENTOS!$C24)*(OFFSET(CÁLCULO!$AA$15:$AA$405,0,Y$13))),2),0)</f>
        <v>0</v>
      </c>
    </row>
    <row r="25" spans="1:25" x14ac:dyDescent="0.2">
      <c r="A25" s="507" t="str">
        <f t="shared" si="3"/>
        <v/>
      </c>
      <c r="B25" t="str">
        <f t="shared" ca="1" si="4"/>
        <v/>
      </c>
      <c r="C25" s="183" t="str" cm="1">
        <f t="array" aca="1" ref="C25" ca="1">IF(OR(ROW(C25)=ROW(EVENTOS.firstrow)+1,AND(OFFSET(C25,-1,0)&lt;&gt;" ",OFFSET(C25,-1,1)&lt;&gt;"")),OFFSET(C25,-1,0)+1," ")</f>
        <v xml:space="preserve"> </v>
      </c>
      <c r="D25" s="497"/>
      <c r="E25" s="613" cm="1">
        <f t="array" aca="1" ref="E25" ca="1">IF(AUTOEVENTO="Manual",ROUND(SUMPRODUCT((CÁLCULO!$M$15:$M$405=EVENTOS!$C25)*(OFFSET(CÁLCULO!$AA$15:$AA$405,0,E$13))),2),0)</f>
        <v>0</v>
      </c>
      <c r="F25" s="184">
        <f ca="1">IF(AUTOEVENTO="Manual",ROUND(SUMPRODUCT((CÁLCULO!$M$15:$M$405=EVENTOS!$C25)*(OFFSET(CÁLCULO!$AA$15,0,1):OFFSET(CÁLCULO!$AL$405,0,-1))),2),0)</f>
        <v>0</v>
      </c>
      <c r="G25" s="614" t="str">
        <f t="shared" ca="1" si="5"/>
        <v/>
      </c>
      <c r="H25" s="613" cm="1">
        <f t="array" aca="1" ref="H25" ca="1">IF(AUTOEVENTO="Manual",ROUND(SUMPRODUCT((CÁLCULO!$M$15:$M$405=EVENTOS!$C25)*(OFFSET(CÁLCULO!$AA$15:$AA$405,0,H$13))),2),0)</f>
        <v>0</v>
      </c>
      <c r="I25" s="613" cm="1">
        <f t="array" aca="1" ref="I25" ca="1">IF(AUTOEVENTO="Manual",ROUND(SUMPRODUCT((CÁLCULO!$M$15:$M$405=EVENTOS!$C25)*(OFFSET(CÁLCULO!$AA$15:$AA$405,0,I$13))),2),0)</f>
        <v>0</v>
      </c>
      <c r="J25" s="613" cm="1">
        <f t="array" aca="1" ref="J25" ca="1">IF(AUTOEVENTO="Manual",ROUND(SUMPRODUCT((CÁLCULO!$M$15:$M$405=EVENTOS!$C25)*(OFFSET(CÁLCULO!$AA$15:$AA$405,0,J$13))),2),0)</f>
        <v>0</v>
      </c>
      <c r="K25" s="613" cm="1">
        <f t="array" aca="1" ref="K25" ca="1">IF(AUTOEVENTO="Manual",ROUND(SUMPRODUCT((CÁLCULO!$M$15:$M$405=EVENTOS!$C25)*(OFFSET(CÁLCULO!$AA$15:$AA$405,0,K$13))),2),0)</f>
        <v>0</v>
      </c>
      <c r="L25" s="613" cm="1">
        <f t="array" aca="1" ref="L25" ca="1">IF(AUTOEVENTO="Manual",ROUND(SUMPRODUCT((CÁLCULO!$M$15:$M$405=EVENTOS!$C25)*(OFFSET(CÁLCULO!$AA$15:$AA$405,0,L$13))),2),0)</f>
        <v>0</v>
      </c>
      <c r="M25" s="613" cm="1">
        <f t="array" aca="1" ref="M25" ca="1">IF(AUTOEVENTO="Manual",ROUND(SUMPRODUCT((CÁLCULO!$M$15:$M$405=EVENTOS!$C25)*(OFFSET(CÁLCULO!$AA$15:$AA$405,0,M$13))),2),0)</f>
        <v>0</v>
      </c>
      <c r="N25" s="613" cm="1">
        <f t="array" aca="1" ref="N25" ca="1">IF(AUTOEVENTO="Manual",ROUND(SUMPRODUCT((CÁLCULO!$M$15:$M$405=EVENTOS!$C25)*(OFFSET(CÁLCULO!$AA$15:$AA$405,0,N$13))),2),0)</f>
        <v>0</v>
      </c>
      <c r="O25" s="613" cm="1">
        <f t="array" aca="1" ref="O25" ca="1">IF(AUTOEVENTO="Manual",ROUND(SUMPRODUCT((CÁLCULO!$M$15:$M$405=EVENTOS!$C25)*(OFFSET(CÁLCULO!$AA$15:$AA$405,0,O$13))),2),0)</f>
        <v>0</v>
      </c>
      <c r="P25" s="613" cm="1">
        <f t="array" aca="1" ref="P25" ca="1">IF(AUTOEVENTO="Manual",ROUND(SUMPRODUCT((CÁLCULO!$M$15:$M$405=EVENTOS!$C25)*(OFFSET(CÁLCULO!$AA$15:$AA$405,0,P$13))),2),0)</f>
        <v>0</v>
      </c>
      <c r="Q25" s="613" cm="1">
        <f t="array" aca="1" ref="Q25" ca="1">IF(AUTOEVENTO="Manual",ROUND(SUMPRODUCT((CÁLCULO!$M$15:$M$405=EVENTOS!$C25)*(OFFSET(CÁLCULO!$AA$15:$AA$405,0,Q$13))),2),0)</f>
        <v>0</v>
      </c>
      <c r="R25" s="613" cm="1">
        <f t="array" aca="1" ref="R25" ca="1">IF(AUTOEVENTO="Manual",ROUND(SUMPRODUCT((CÁLCULO!$M$15:$M$405=EVENTOS!$C25)*(OFFSET(CÁLCULO!$AA$15:$AA$405,0,R$13))),2),0)</f>
        <v>0</v>
      </c>
      <c r="S25" s="613" cm="1">
        <f t="array" aca="1" ref="S25" ca="1">IF(AUTOEVENTO="Manual",ROUND(SUMPRODUCT((CÁLCULO!$M$15:$M$405=EVENTOS!$C25)*(OFFSET(CÁLCULO!$AA$15:$AA$405,0,S$13))),2),0)</f>
        <v>0</v>
      </c>
      <c r="T25" s="613" cm="1">
        <f t="array" aca="1" ref="T25" ca="1">IF(AUTOEVENTO="Manual",ROUND(SUMPRODUCT((CÁLCULO!$M$15:$M$405=EVENTOS!$C25)*(OFFSET(CÁLCULO!$AA$15:$AA$405,0,T$13))),2),0)</f>
        <v>0</v>
      </c>
      <c r="U25" s="613" cm="1">
        <f t="array" aca="1" ref="U25" ca="1">IF(AUTOEVENTO="Manual",ROUND(SUMPRODUCT((CÁLCULO!$M$15:$M$405=EVENTOS!$C25)*(OFFSET(CÁLCULO!$AA$15:$AA$405,0,U$13))),2),0)</f>
        <v>0</v>
      </c>
      <c r="V25" s="613" cm="1">
        <f t="array" aca="1" ref="V25" ca="1">IF(AUTOEVENTO="Manual",ROUND(SUMPRODUCT((CÁLCULO!$M$15:$M$405=EVENTOS!$C25)*(OFFSET(CÁLCULO!$AA$15:$AA$405,0,V$13))),2),0)</f>
        <v>0</v>
      </c>
      <c r="W25" s="613" cm="1">
        <f t="array" aca="1" ref="W25" ca="1">IF(AUTOEVENTO="Manual",ROUND(SUMPRODUCT((CÁLCULO!$M$15:$M$405=EVENTOS!$C25)*(OFFSET(CÁLCULO!$AA$15:$AA$405,0,W$13))),2),0)</f>
        <v>0</v>
      </c>
      <c r="X25" s="613" cm="1">
        <f t="array" aca="1" ref="X25" ca="1">IF(AUTOEVENTO="Manual",ROUND(SUMPRODUCT((CÁLCULO!$M$15:$M$405=EVENTOS!$C25)*(OFFSET(CÁLCULO!$AA$15:$AA$405,0,X$13))),2),0)</f>
        <v>0</v>
      </c>
      <c r="Y25" s="613" cm="1">
        <f t="array" aca="1" ref="Y25" ca="1">IF(AUTOEVENTO="Manual",ROUND(SUMPRODUCT((CÁLCULO!$M$15:$M$405=EVENTOS!$C25)*(OFFSET(CÁLCULO!$AA$15:$AA$405,0,Y$13))),2),0)</f>
        <v>0</v>
      </c>
    </row>
    <row r="26" spans="1:25" x14ac:dyDescent="0.2">
      <c r="A26" s="507" t="str">
        <f t="shared" si="3"/>
        <v/>
      </c>
      <c r="B26" t="str">
        <f t="shared" ca="1" si="4"/>
        <v/>
      </c>
      <c r="C26" s="183" t="str" cm="1">
        <f t="array" aca="1" ref="C26" ca="1">IF(OR(ROW(C26)=ROW(EVENTOS.firstrow)+1,AND(OFFSET(C26,-1,0)&lt;&gt;" ",OFFSET(C26,-1,1)&lt;&gt;"")),OFFSET(C26,-1,0)+1," ")</f>
        <v xml:space="preserve"> </v>
      </c>
      <c r="D26" s="497"/>
      <c r="E26" s="613" cm="1">
        <f t="array" aca="1" ref="E26" ca="1">IF(AUTOEVENTO="Manual",ROUND(SUMPRODUCT((CÁLCULO!$M$15:$M$405=EVENTOS!$C26)*(OFFSET(CÁLCULO!$AA$15:$AA$405,0,E$13))),2),0)</f>
        <v>0</v>
      </c>
      <c r="F26" s="184">
        <f ca="1">IF(AUTOEVENTO="Manual",ROUND(SUMPRODUCT((CÁLCULO!$M$15:$M$405=EVENTOS!$C26)*(OFFSET(CÁLCULO!$AA$15,0,1):OFFSET(CÁLCULO!$AL$405,0,-1))),2),0)</f>
        <v>0</v>
      </c>
      <c r="G26" s="614" t="str">
        <f t="shared" ca="1" si="5"/>
        <v/>
      </c>
      <c r="H26" s="613" cm="1">
        <f t="array" aca="1" ref="H26" ca="1">IF(AUTOEVENTO="Manual",ROUND(SUMPRODUCT((CÁLCULO!$M$15:$M$405=EVENTOS!$C26)*(OFFSET(CÁLCULO!$AA$15:$AA$405,0,H$13))),2),0)</f>
        <v>0</v>
      </c>
      <c r="I26" s="613" cm="1">
        <f t="array" aca="1" ref="I26" ca="1">IF(AUTOEVENTO="Manual",ROUND(SUMPRODUCT((CÁLCULO!$M$15:$M$405=EVENTOS!$C26)*(OFFSET(CÁLCULO!$AA$15:$AA$405,0,I$13))),2),0)</f>
        <v>0</v>
      </c>
      <c r="J26" s="613" cm="1">
        <f t="array" aca="1" ref="J26" ca="1">IF(AUTOEVENTO="Manual",ROUND(SUMPRODUCT((CÁLCULO!$M$15:$M$405=EVENTOS!$C26)*(OFFSET(CÁLCULO!$AA$15:$AA$405,0,J$13))),2),0)</f>
        <v>0</v>
      </c>
      <c r="K26" s="613" cm="1">
        <f t="array" aca="1" ref="K26" ca="1">IF(AUTOEVENTO="Manual",ROUND(SUMPRODUCT((CÁLCULO!$M$15:$M$405=EVENTOS!$C26)*(OFFSET(CÁLCULO!$AA$15:$AA$405,0,K$13))),2),0)</f>
        <v>0</v>
      </c>
      <c r="L26" s="613" cm="1">
        <f t="array" aca="1" ref="L26" ca="1">IF(AUTOEVENTO="Manual",ROUND(SUMPRODUCT((CÁLCULO!$M$15:$M$405=EVENTOS!$C26)*(OFFSET(CÁLCULO!$AA$15:$AA$405,0,L$13))),2),0)</f>
        <v>0</v>
      </c>
      <c r="M26" s="613" cm="1">
        <f t="array" aca="1" ref="M26" ca="1">IF(AUTOEVENTO="Manual",ROUND(SUMPRODUCT((CÁLCULO!$M$15:$M$405=EVENTOS!$C26)*(OFFSET(CÁLCULO!$AA$15:$AA$405,0,M$13))),2),0)</f>
        <v>0</v>
      </c>
      <c r="N26" s="613" cm="1">
        <f t="array" aca="1" ref="N26" ca="1">IF(AUTOEVENTO="Manual",ROUND(SUMPRODUCT((CÁLCULO!$M$15:$M$405=EVENTOS!$C26)*(OFFSET(CÁLCULO!$AA$15:$AA$405,0,N$13))),2),0)</f>
        <v>0</v>
      </c>
      <c r="O26" s="613" cm="1">
        <f t="array" aca="1" ref="O26" ca="1">IF(AUTOEVENTO="Manual",ROUND(SUMPRODUCT((CÁLCULO!$M$15:$M$405=EVENTOS!$C26)*(OFFSET(CÁLCULO!$AA$15:$AA$405,0,O$13))),2),0)</f>
        <v>0</v>
      </c>
      <c r="P26" s="613" cm="1">
        <f t="array" aca="1" ref="P26" ca="1">IF(AUTOEVENTO="Manual",ROUND(SUMPRODUCT((CÁLCULO!$M$15:$M$405=EVENTOS!$C26)*(OFFSET(CÁLCULO!$AA$15:$AA$405,0,P$13))),2),0)</f>
        <v>0</v>
      </c>
      <c r="Q26" s="613" cm="1">
        <f t="array" aca="1" ref="Q26" ca="1">IF(AUTOEVENTO="Manual",ROUND(SUMPRODUCT((CÁLCULO!$M$15:$M$405=EVENTOS!$C26)*(OFFSET(CÁLCULO!$AA$15:$AA$405,0,Q$13))),2),0)</f>
        <v>0</v>
      </c>
      <c r="R26" s="613" cm="1">
        <f t="array" aca="1" ref="R26" ca="1">IF(AUTOEVENTO="Manual",ROUND(SUMPRODUCT((CÁLCULO!$M$15:$M$405=EVENTOS!$C26)*(OFFSET(CÁLCULO!$AA$15:$AA$405,0,R$13))),2),0)</f>
        <v>0</v>
      </c>
      <c r="S26" s="613" cm="1">
        <f t="array" aca="1" ref="S26" ca="1">IF(AUTOEVENTO="Manual",ROUND(SUMPRODUCT((CÁLCULO!$M$15:$M$405=EVENTOS!$C26)*(OFFSET(CÁLCULO!$AA$15:$AA$405,0,S$13))),2),0)</f>
        <v>0</v>
      </c>
      <c r="T26" s="613" cm="1">
        <f t="array" aca="1" ref="T26" ca="1">IF(AUTOEVENTO="Manual",ROUND(SUMPRODUCT((CÁLCULO!$M$15:$M$405=EVENTOS!$C26)*(OFFSET(CÁLCULO!$AA$15:$AA$405,0,T$13))),2),0)</f>
        <v>0</v>
      </c>
      <c r="U26" s="613" cm="1">
        <f t="array" aca="1" ref="U26" ca="1">IF(AUTOEVENTO="Manual",ROUND(SUMPRODUCT((CÁLCULO!$M$15:$M$405=EVENTOS!$C26)*(OFFSET(CÁLCULO!$AA$15:$AA$405,0,U$13))),2),0)</f>
        <v>0</v>
      </c>
      <c r="V26" s="613" cm="1">
        <f t="array" aca="1" ref="V26" ca="1">IF(AUTOEVENTO="Manual",ROUND(SUMPRODUCT((CÁLCULO!$M$15:$M$405=EVENTOS!$C26)*(OFFSET(CÁLCULO!$AA$15:$AA$405,0,V$13))),2),0)</f>
        <v>0</v>
      </c>
      <c r="W26" s="613" cm="1">
        <f t="array" aca="1" ref="W26" ca="1">IF(AUTOEVENTO="Manual",ROUND(SUMPRODUCT((CÁLCULO!$M$15:$M$405=EVENTOS!$C26)*(OFFSET(CÁLCULO!$AA$15:$AA$405,0,W$13))),2),0)</f>
        <v>0</v>
      </c>
      <c r="X26" s="613" cm="1">
        <f t="array" aca="1" ref="X26" ca="1">IF(AUTOEVENTO="Manual",ROUND(SUMPRODUCT((CÁLCULO!$M$15:$M$405=EVENTOS!$C26)*(OFFSET(CÁLCULO!$AA$15:$AA$405,0,X$13))),2),0)</f>
        <v>0</v>
      </c>
      <c r="Y26" s="613" cm="1">
        <f t="array" aca="1" ref="Y26" ca="1">IF(AUTOEVENTO="Manual",ROUND(SUMPRODUCT((CÁLCULO!$M$15:$M$405=EVENTOS!$C26)*(OFFSET(CÁLCULO!$AA$15:$AA$405,0,Y$13))),2),0)</f>
        <v>0</v>
      </c>
    </row>
    <row r="27" spans="1:25" x14ac:dyDescent="0.2">
      <c r="A27" s="507" t="str">
        <f t="shared" si="3"/>
        <v/>
      </c>
      <c r="B27" t="str">
        <f t="shared" ca="1" si="4"/>
        <v/>
      </c>
      <c r="C27" s="183" t="str" cm="1">
        <f t="array" aca="1" ref="C27" ca="1">IF(OR(ROW(C27)=ROW(EVENTOS.firstrow)+1,AND(OFFSET(C27,-1,0)&lt;&gt;" ",OFFSET(C27,-1,1)&lt;&gt;"")),OFFSET(C27,-1,0)+1," ")</f>
        <v xml:space="preserve"> </v>
      </c>
      <c r="D27" s="497"/>
      <c r="E27" s="613" cm="1">
        <f t="array" aca="1" ref="E27" ca="1">IF(AUTOEVENTO="Manual",ROUND(SUMPRODUCT((CÁLCULO!$M$15:$M$405=EVENTOS!$C27)*(OFFSET(CÁLCULO!$AA$15:$AA$405,0,E$13))),2),0)</f>
        <v>0</v>
      </c>
      <c r="F27" s="184">
        <f ca="1">IF(AUTOEVENTO="Manual",ROUND(SUMPRODUCT((CÁLCULO!$M$15:$M$405=EVENTOS!$C27)*(OFFSET(CÁLCULO!$AA$15,0,1):OFFSET(CÁLCULO!$AL$405,0,-1))),2),0)</f>
        <v>0</v>
      </c>
      <c r="G27" s="614" t="str">
        <f t="shared" ca="1" si="5"/>
        <v/>
      </c>
      <c r="H27" s="613" cm="1">
        <f t="array" aca="1" ref="H27" ca="1">IF(AUTOEVENTO="Manual",ROUND(SUMPRODUCT((CÁLCULO!$M$15:$M$405=EVENTOS!$C27)*(OFFSET(CÁLCULO!$AA$15:$AA$405,0,H$13))),2),0)</f>
        <v>0</v>
      </c>
      <c r="I27" s="613" cm="1">
        <f t="array" aca="1" ref="I27" ca="1">IF(AUTOEVENTO="Manual",ROUND(SUMPRODUCT((CÁLCULO!$M$15:$M$405=EVENTOS!$C27)*(OFFSET(CÁLCULO!$AA$15:$AA$405,0,I$13))),2),0)</f>
        <v>0</v>
      </c>
      <c r="J27" s="613" cm="1">
        <f t="array" aca="1" ref="J27" ca="1">IF(AUTOEVENTO="Manual",ROUND(SUMPRODUCT((CÁLCULO!$M$15:$M$405=EVENTOS!$C27)*(OFFSET(CÁLCULO!$AA$15:$AA$405,0,J$13))),2),0)</f>
        <v>0</v>
      </c>
      <c r="K27" s="613" cm="1">
        <f t="array" aca="1" ref="K27" ca="1">IF(AUTOEVENTO="Manual",ROUND(SUMPRODUCT((CÁLCULO!$M$15:$M$405=EVENTOS!$C27)*(OFFSET(CÁLCULO!$AA$15:$AA$405,0,K$13))),2),0)</f>
        <v>0</v>
      </c>
      <c r="L27" s="613" cm="1">
        <f t="array" aca="1" ref="L27" ca="1">IF(AUTOEVENTO="Manual",ROUND(SUMPRODUCT((CÁLCULO!$M$15:$M$405=EVENTOS!$C27)*(OFFSET(CÁLCULO!$AA$15:$AA$405,0,L$13))),2),0)</f>
        <v>0</v>
      </c>
      <c r="M27" s="613" cm="1">
        <f t="array" aca="1" ref="M27" ca="1">IF(AUTOEVENTO="Manual",ROUND(SUMPRODUCT((CÁLCULO!$M$15:$M$405=EVENTOS!$C27)*(OFFSET(CÁLCULO!$AA$15:$AA$405,0,M$13))),2),0)</f>
        <v>0</v>
      </c>
      <c r="N27" s="613" cm="1">
        <f t="array" aca="1" ref="N27" ca="1">IF(AUTOEVENTO="Manual",ROUND(SUMPRODUCT((CÁLCULO!$M$15:$M$405=EVENTOS!$C27)*(OFFSET(CÁLCULO!$AA$15:$AA$405,0,N$13))),2),0)</f>
        <v>0</v>
      </c>
      <c r="O27" s="613" cm="1">
        <f t="array" aca="1" ref="O27" ca="1">IF(AUTOEVENTO="Manual",ROUND(SUMPRODUCT((CÁLCULO!$M$15:$M$405=EVENTOS!$C27)*(OFFSET(CÁLCULO!$AA$15:$AA$405,0,O$13))),2),0)</f>
        <v>0</v>
      </c>
      <c r="P27" s="613" cm="1">
        <f t="array" aca="1" ref="P27" ca="1">IF(AUTOEVENTO="Manual",ROUND(SUMPRODUCT((CÁLCULO!$M$15:$M$405=EVENTOS!$C27)*(OFFSET(CÁLCULO!$AA$15:$AA$405,0,P$13))),2),0)</f>
        <v>0</v>
      </c>
      <c r="Q27" s="613" cm="1">
        <f t="array" aca="1" ref="Q27" ca="1">IF(AUTOEVENTO="Manual",ROUND(SUMPRODUCT((CÁLCULO!$M$15:$M$405=EVENTOS!$C27)*(OFFSET(CÁLCULO!$AA$15:$AA$405,0,Q$13))),2),0)</f>
        <v>0</v>
      </c>
      <c r="R27" s="613" cm="1">
        <f t="array" aca="1" ref="R27" ca="1">IF(AUTOEVENTO="Manual",ROUND(SUMPRODUCT((CÁLCULO!$M$15:$M$405=EVENTOS!$C27)*(OFFSET(CÁLCULO!$AA$15:$AA$405,0,R$13))),2),0)</f>
        <v>0</v>
      </c>
      <c r="S27" s="613" cm="1">
        <f t="array" aca="1" ref="S27" ca="1">IF(AUTOEVENTO="Manual",ROUND(SUMPRODUCT((CÁLCULO!$M$15:$M$405=EVENTOS!$C27)*(OFFSET(CÁLCULO!$AA$15:$AA$405,0,S$13))),2),0)</f>
        <v>0</v>
      </c>
      <c r="T27" s="613" cm="1">
        <f t="array" aca="1" ref="T27" ca="1">IF(AUTOEVENTO="Manual",ROUND(SUMPRODUCT((CÁLCULO!$M$15:$M$405=EVENTOS!$C27)*(OFFSET(CÁLCULO!$AA$15:$AA$405,0,T$13))),2),0)</f>
        <v>0</v>
      </c>
      <c r="U27" s="613" cm="1">
        <f t="array" aca="1" ref="U27" ca="1">IF(AUTOEVENTO="Manual",ROUND(SUMPRODUCT((CÁLCULO!$M$15:$M$405=EVENTOS!$C27)*(OFFSET(CÁLCULO!$AA$15:$AA$405,0,U$13))),2),0)</f>
        <v>0</v>
      </c>
      <c r="V27" s="613" cm="1">
        <f t="array" aca="1" ref="V27" ca="1">IF(AUTOEVENTO="Manual",ROUND(SUMPRODUCT((CÁLCULO!$M$15:$M$405=EVENTOS!$C27)*(OFFSET(CÁLCULO!$AA$15:$AA$405,0,V$13))),2),0)</f>
        <v>0</v>
      </c>
      <c r="W27" s="613" cm="1">
        <f t="array" aca="1" ref="W27" ca="1">IF(AUTOEVENTO="Manual",ROUND(SUMPRODUCT((CÁLCULO!$M$15:$M$405=EVENTOS!$C27)*(OFFSET(CÁLCULO!$AA$15:$AA$405,0,W$13))),2),0)</f>
        <v>0</v>
      </c>
      <c r="X27" s="613" cm="1">
        <f t="array" aca="1" ref="X27" ca="1">IF(AUTOEVENTO="Manual",ROUND(SUMPRODUCT((CÁLCULO!$M$15:$M$405=EVENTOS!$C27)*(OFFSET(CÁLCULO!$AA$15:$AA$405,0,X$13))),2),0)</f>
        <v>0</v>
      </c>
      <c r="Y27" s="613" cm="1">
        <f t="array" aca="1" ref="Y27" ca="1">IF(AUTOEVENTO="Manual",ROUND(SUMPRODUCT((CÁLCULO!$M$15:$M$405=EVENTOS!$C27)*(OFFSET(CÁLCULO!$AA$15:$AA$405,0,Y$13))),2),0)</f>
        <v>0</v>
      </c>
    </row>
    <row r="28" spans="1:25" x14ac:dyDescent="0.2">
      <c r="A28" s="507" t="str">
        <f t="shared" si="3"/>
        <v/>
      </c>
      <c r="B28" t="str">
        <f t="shared" ca="1" si="4"/>
        <v/>
      </c>
      <c r="C28" s="183" t="str" cm="1">
        <f t="array" aca="1" ref="C28" ca="1">IF(OR(ROW(C28)=ROW(EVENTOS.firstrow)+1,AND(OFFSET(C28,-1,0)&lt;&gt;" ",OFFSET(C28,-1,1)&lt;&gt;"")),OFFSET(C28,-1,0)+1," ")</f>
        <v xml:space="preserve"> </v>
      </c>
      <c r="D28" s="497"/>
      <c r="E28" s="613" cm="1">
        <f t="array" aca="1" ref="E28" ca="1">IF(AUTOEVENTO="Manual",ROUND(SUMPRODUCT((CÁLCULO!$M$15:$M$405=EVENTOS!$C28)*(OFFSET(CÁLCULO!$AA$15:$AA$405,0,E$13))),2),0)</f>
        <v>0</v>
      </c>
      <c r="F28" s="184">
        <f ca="1">IF(AUTOEVENTO="Manual",ROUND(SUMPRODUCT((CÁLCULO!$M$15:$M$405=EVENTOS!$C28)*(OFFSET(CÁLCULO!$AA$15,0,1):OFFSET(CÁLCULO!$AL$405,0,-1))),2),0)</f>
        <v>0</v>
      </c>
      <c r="G28" s="614" t="str">
        <f t="shared" ca="1" si="5"/>
        <v/>
      </c>
      <c r="H28" s="613" cm="1">
        <f t="array" aca="1" ref="H28" ca="1">IF(AUTOEVENTO="Manual",ROUND(SUMPRODUCT((CÁLCULO!$M$15:$M$405=EVENTOS!$C28)*(OFFSET(CÁLCULO!$AA$15:$AA$405,0,H$13))),2),0)</f>
        <v>0</v>
      </c>
      <c r="I28" s="613" cm="1">
        <f t="array" aca="1" ref="I28" ca="1">IF(AUTOEVENTO="Manual",ROUND(SUMPRODUCT((CÁLCULO!$M$15:$M$405=EVENTOS!$C28)*(OFFSET(CÁLCULO!$AA$15:$AA$405,0,I$13))),2),0)</f>
        <v>0</v>
      </c>
      <c r="J28" s="613" cm="1">
        <f t="array" aca="1" ref="J28" ca="1">IF(AUTOEVENTO="Manual",ROUND(SUMPRODUCT((CÁLCULO!$M$15:$M$405=EVENTOS!$C28)*(OFFSET(CÁLCULO!$AA$15:$AA$405,0,J$13))),2),0)</f>
        <v>0</v>
      </c>
      <c r="K28" s="613" cm="1">
        <f t="array" aca="1" ref="K28" ca="1">IF(AUTOEVENTO="Manual",ROUND(SUMPRODUCT((CÁLCULO!$M$15:$M$405=EVENTOS!$C28)*(OFFSET(CÁLCULO!$AA$15:$AA$405,0,K$13))),2),0)</f>
        <v>0</v>
      </c>
      <c r="L28" s="613" cm="1">
        <f t="array" aca="1" ref="L28" ca="1">IF(AUTOEVENTO="Manual",ROUND(SUMPRODUCT((CÁLCULO!$M$15:$M$405=EVENTOS!$C28)*(OFFSET(CÁLCULO!$AA$15:$AA$405,0,L$13))),2),0)</f>
        <v>0</v>
      </c>
      <c r="M28" s="613" cm="1">
        <f t="array" aca="1" ref="M28" ca="1">IF(AUTOEVENTO="Manual",ROUND(SUMPRODUCT((CÁLCULO!$M$15:$M$405=EVENTOS!$C28)*(OFFSET(CÁLCULO!$AA$15:$AA$405,0,M$13))),2),0)</f>
        <v>0</v>
      </c>
      <c r="N28" s="613" cm="1">
        <f t="array" aca="1" ref="N28" ca="1">IF(AUTOEVENTO="Manual",ROUND(SUMPRODUCT((CÁLCULO!$M$15:$M$405=EVENTOS!$C28)*(OFFSET(CÁLCULO!$AA$15:$AA$405,0,N$13))),2),0)</f>
        <v>0</v>
      </c>
      <c r="O28" s="613" cm="1">
        <f t="array" aca="1" ref="O28" ca="1">IF(AUTOEVENTO="Manual",ROUND(SUMPRODUCT((CÁLCULO!$M$15:$M$405=EVENTOS!$C28)*(OFFSET(CÁLCULO!$AA$15:$AA$405,0,O$13))),2),0)</f>
        <v>0</v>
      </c>
      <c r="P28" s="613" cm="1">
        <f t="array" aca="1" ref="P28" ca="1">IF(AUTOEVENTO="Manual",ROUND(SUMPRODUCT((CÁLCULO!$M$15:$M$405=EVENTOS!$C28)*(OFFSET(CÁLCULO!$AA$15:$AA$405,0,P$13))),2),0)</f>
        <v>0</v>
      </c>
      <c r="Q28" s="613" cm="1">
        <f t="array" aca="1" ref="Q28" ca="1">IF(AUTOEVENTO="Manual",ROUND(SUMPRODUCT((CÁLCULO!$M$15:$M$405=EVENTOS!$C28)*(OFFSET(CÁLCULO!$AA$15:$AA$405,0,Q$13))),2),0)</f>
        <v>0</v>
      </c>
      <c r="R28" s="613" cm="1">
        <f t="array" aca="1" ref="R28" ca="1">IF(AUTOEVENTO="Manual",ROUND(SUMPRODUCT((CÁLCULO!$M$15:$M$405=EVENTOS!$C28)*(OFFSET(CÁLCULO!$AA$15:$AA$405,0,R$13))),2),0)</f>
        <v>0</v>
      </c>
      <c r="S28" s="613" cm="1">
        <f t="array" aca="1" ref="S28" ca="1">IF(AUTOEVENTO="Manual",ROUND(SUMPRODUCT((CÁLCULO!$M$15:$M$405=EVENTOS!$C28)*(OFFSET(CÁLCULO!$AA$15:$AA$405,0,S$13))),2),0)</f>
        <v>0</v>
      </c>
      <c r="T28" s="613" cm="1">
        <f t="array" aca="1" ref="T28" ca="1">IF(AUTOEVENTO="Manual",ROUND(SUMPRODUCT((CÁLCULO!$M$15:$M$405=EVENTOS!$C28)*(OFFSET(CÁLCULO!$AA$15:$AA$405,0,T$13))),2),0)</f>
        <v>0</v>
      </c>
      <c r="U28" s="613" cm="1">
        <f t="array" aca="1" ref="U28" ca="1">IF(AUTOEVENTO="Manual",ROUND(SUMPRODUCT((CÁLCULO!$M$15:$M$405=EVENTOS!$C28)*(OFFSET(CÁLCULO!$AA$15:$AA$405,0,U$13))),2),0)</f>
        <v>0</v>
      </c>
      <c r="V28" s="613" cm="1">
        <f t="array" aca="1" ref="V28" ca="1">IF(AUTOEVENTO="Manual",ROUND(SUMPRODUCT((CÁLCULO!$M$15:$M$405=EVENTOS!$C28)*(OFFSET(CÁLCULO!$AA$15:$AA$405,0,V$13))),2),0)</f>
        <v>0</v>
      </c>
      <c r="W28" s="613" cm="1">
        <f t="array" aca="1" ref="W28" ca="1">IF(AUTOEVENTO="Manual",ROUND(SUMPRODUCT((CÁLCULO!$M$15:$M$405=EVENTOS!$C28)*(OFFSET(CÁLCULO!$AA$15:$AA$405,0,W$13))),2),0)</f>
        <v>0</v>
      </c>
      <c r="X28" s="613" cm="1">
        <f t="array" aca="1" ref="X28" ca="1">IF(AUTOEVENTO="Manual",ROUND(SUMPRODUCT((CÁLCULO!$M$15:$M$405=EVENTOS!$C28)*(OFFSET(CÁLCULO!$AA$15:$AA$405,0,X$13))),2),0)</f>
        <v>0</v>
      </c>
      <c r="Y28" s="613" cm="1">
        <f t="array" aca="1" ref="Y28" ca="1">IF(AUTOEVENTO="Manual",ROUND(SUMPRODUCT((CÁLCULO!$M$15:$M$405=EVENTOS!$C28)*(OFFSET(CÁLCULO!$AA$15:$AA$405,0,Y$13))),2),0)</f>
        <v>0</v>
      </c>
    </row>
    <row r="29" spans="1:25" x14ac:dyDescent="0.2">
      <c r="A29" s="507" t="str">
        <f t="shared" si="3"/>
        <v/>
      </c>
      <c r="B29" t="str">
        <f t="shared" ca="1" si="4"/>
        <v/>
      </c>
      <c r="C29" s="183" t="str" cm="1">
        <f t="array" aca="1" ref="C29" ca="1">IF(OR(ROW(C29)=ROW(EVENTOS.firstrow)+1,AND(OFFSET(C29,-1,0)&lt;&gt;" ",OFFSET(C29,-1,1)&lt;&gt;"")),OFFSET(C29,-1,0)+1," ")</f>
        <v xml:space="preserve"> </v>
      </c>
      <c r="D29" s="497"/>
      <c r="E29" s="613" cm="1">
        <f t="array" aca="1" ref="E29" ca="1">IF(AUTOEVENTO="Manual",ROUND(SUMPRODUCT((CÁLCULO!$M$15:$M$405=EVENTOS!$C29)*(OFFSET(CÁLCULO!$AA$15:$AA$405,0,E$13))),2),0)</f>
        <v>0</v>
      </c>
      <c r="F29" s="184">
        <f ca="1">IF(AUTOEVENTO="Manual",ROUND(SUMPRODUCT((CÁLCULO!$M$15:$M$405=EVENTOS!$C29)*(OFFSET(CÁLCULO!$AA$15,0,1):OFFSET(CÁLCULO!$AL$405,0,-1))),2),0)</f>
        <v>0</v>
      </c>
      <c r="G29" s="614" t="str">
        <f t="shared" ca="1" si="5"/>
        <v/>
      </c>
      <c r="H29" s="613" cm="1">
        <f t="array" aca="1" ref="H29" ca="1">IF(AUTOEVENTO="Manual",ROUND(SUMPRODUCT((CÁLCULO!$M$15:$M$405=EVENTOS!$C29)*(OFFSET(CÁLCULO!$AA$15:$AA$405,0,H$13))),2),0)</f>
        <v>0</v>
      </c>
      <c r="I29" s="613" cm="1">
        <f t="array" aca="1" ref="I29" ca="1">IF(AUTOEVENTO="Manual",ROUND(SUMPRODUCT((CÁLCULO!$M$15:$M$405=EVENTOS!$C29)*(OFFSET(CÁLCULO!$AA$15:$AA$405,0,I$13))),2),0)</f>
        <v>0</v>
      </c>
      <c r="J29" s="613" cm="1">
        <f t="array" aca="1" ref="J29" ca="1">IF(AUTOEVENTO="Manual",ROUND(SUMPRODUCT((CÁLCULO!$M$15:$M$405=EVENTOS!$C29)*(OFFSET(CÁLCULO!$AA$15:$AA$405,0,J$13))),2),0)</f>
        <v>0</v>
      </c>
      <c r="K29" s="613" cm="1">
        <f t="array" aca="1" ref="K29" ca="1">IF(AUTOEVENTO="Manual",ROUND(SUMPRODUCT((CÁLCULO!$M$15:$M$405=EVENTOS!$C29)*(OFFSET(CÁLCULO!$AA$15:$AA$405,0,K$13))),2),0)</f>
        <v>0</v>
      </c>
      <c r="L29" s="613" cm="1">
        <f t="array" aca="1" ref="L29" ca="1">IF(AUTOEVENTO="Manual",ROUND(SUMPRODUCT((CÁLCULO!$M$15:$M$405=EVENTOS!$C29)*(OFFSET(CÁLCULO!$AA$15:$AA$405,0,L$13))),2),0)</f>
        <v>0</v>
      </c>
      <c r="M29" s="613" cm="1">
        <f t="array" aca="1" ref="M29" ca="1">IF(AUTOEVENTO="Manual",ROUND(SUMPRODUCT((CÁLCULO!$M$15:$M$405=EVENTOS!$C29)*(OFFSET(CÁLCULO!$AA$15:$AA$405,0,M$13))),2),0)</f>
        <v>0</v>
      </c>
      <c r="N29" s="613" cm="1">
        <f t="array" aca="1" ref="N29" ca="1">IF(AUTOEVENTO="Manual",ROUND(SUMPRODUCT((CÁLCULO!$M$15:$M$405=EVENTOS!$C29)*(OFFSET(CÁLCULO!$AA$15:$AA$405,0,N$13))),2),0)</f>
        <v>0</v>
      </c>
      <c r="O29" s="613" cm="1">
        <f t="array" aca="1" ref="O29" ca="1">IF(AUTOEVENTO="Manual",ROUND(SUMPRODUCT((CÁLCULO!$M$15:$M$405=EVENTOS!$C29)*(OFFSET(CÁLCULO!$AA$15:$AA$405,0,O$13))),2),0)</f>
        <v>0</v>
      </c>
      <c r="P29" s="613" cm="1">
        <f t="array" aca="1" ref="P29" ca="1">IF(AUTOEVENTO="Manual",ROUND(SUMPRODUCT((CÁLCULO!$M$15:$M$405=EVENTOS!$C29)*(OFFSET(CÁLCULO!$AA$15:$AA$405,0,P$13))),2),0)</f>
        <v>0</v>
      </c>
      <c r="Q29" s="613" cm="1">
        <f t="array" aca="1" ref="Q29" ca="1">IF(AUTOEVENTO="Manual",ROUND(SUMPRODUCT((CÁLCULO!$M$15:$M$405=EVENTOS!$C29)*(OFFSET(CÁLCULO!$AA$15:$AA$405,0,Q$13))),2),0)</f>
        <v>0</v>
      </c>
      <c r="R29" s="613" cm="1">
        <f t="array" aca="1" ref="R29" ca="1">IF(AUTOEVENTO="Manual",ROUND(SUMPRODUCT((CÁLCULO!$M$15:$M$405=EVENTOS!$C29)*(OFFSET(CÁLCULO!$AA$15:$AA$405,0,R$13))),2),0)</f>
        <v>0</v>
      </c>
      <c r="S29" s="613" cm="1">
        <f t="array" aca="1" ref="S29" ca="1">IF(AUTOEVENTO="Manual",ROUND(SUMPRODUCT((CÁLCULO!$M$15:$M$405=EVENTOS!$C29)*(OFFSET(CÁLCULO!$AA$15:$AA$405,0,S$13))),2),0)</f>
        <v>0</v>
      </c>
      <c r="T29" s="613" cm="1">
        <f t="array" aca="1" ref="T29" ca="1">IF(AUTOEVENTO="Manual",ROUND(SUMPRODUCT((CÁLCULO!$M$15:$M$405=EVENTOS!$C29)*(OFFSET(CÁLCULO!$AA$15:$AA$405,0,T$13))),2),0)</f>
        <v>0</v>
      </c>
      <c r="U29" s="613" cm="1">
        <f t="array" aca="1" ref="U29" ca="1">IF(AUTOEVENTO="Manual",ROUND(SUMPRODUCT((CÁLCULO!$M$15:$M$405=EVENTOS!$C29)*(OFFSET(CÁLCULO!$AA$15:$AA$405,0,U$13))),2),0)</f>
        <v>0</v>
      </c>
      <c r="V29" s="613" cm="1">
        <f t="array" aca="1" ref="V29" ca="1">IF(AUTOEVENTO="Manual",ROUND(SUMPRODUCT((CÁLCULO!$M$15:$M$405=EVENTOS!$C29)*(OFFSET(CÁLCULO!$AA$15:$AA$405,0,V$13))),2),0)</f>
        <v>0</v>
      </c>
      <c r="W29" s="613" cm="1">
        <f t="array" aca="1" ref="W29" ca="1">IF(AUTOEVENTO="Manual",ROUND(SUMPRODUCT((CÁLCULO!$M$15:$M$405=EVENTOS!$C29)*(OFFSET(CÁLCULO!$AA$15:$AA$405,0,W$13))),2),0)</f>
        <v>0</v>
      </c>
      <c r="X29" s="613" cm="1">
        <f t="array" aca="1" ref="X29" ca="1">IF(AUTOEVENTO="Manual",ROUND(SUMPRODUCT((CÁLCULO!$M$15:$M$405=EVENTOS!$C29)*(OFFSET(CÁLCULO!$AA$15:$AA$405,0,X$13))),2),0)</f>
        <v>0</v>
      </c>
      <c r="Y29" s="613" cm="1">
        <f t="array" aca="1" ref="Y29" ca="1">IF(AUTOEVENTO="Manual",ROUND(SUMPRODUCT((CÁLCULO!$M$15:$M$405=EVENTOS!$C29)*(OFFSET(CÁLCULO!$AA$15:$AA$405,0,Y$13))),2),0)</f>
        <v>0</v>
      </c>
    </row>
    <row r="30" spans="1:25" x14ac:dyDescent="0.2">
      <c r="A30" s="507" t="str">
        <f t="shared" si="3"/>
        <v/>
      </c>
      <c r="B30" t="str">
        <f t="shared" ca="1" si="4"/>
        <v/>
      </c>
      <c r="C30" s="183" t="str" cm="1">
        <f t="array" aca="1" ref="C30" ca="1">IF(OR(ROW(C30)=ROW(EVENTOS.firstrow)+1,AND(OFFSET(C30,-1,0)&lt;&gt;" ",OFFSET(C30,-1,1)&lt;&gt;"")),OFFSET(C30,-1,0)+1," ")</f>
        <v xml:space="preserve"> </v>
      </c>
      <c r="D30" s="497"/>
      <c r="E30" s="613" cm="1">
        <f t="array" aca="1" ref="E30" ca="1">IF(AUTOEVENTO="Manual",ROUND(SUMPRODUCT((CÁLCULO!$M$15:$M$405=EVENTOS!$C30)*(OFFSET(CÁLCULO!$AA$15:$AA$405,0,E$13))),2),0)</f>
        <v>0</v>
      </c>
      <c r="F30" s="184">
        <f ca="1">IF(AUTOEVENTO="Manual",ROUND(SUMPRODUCT((CÁLCULO!$M$15:$M$405=EVENTOS!$C30)*(OFFSET(CÁLCULO!$AA$15,0,1):OFFSET(CÁLCULO!$AL$405,0,-1))),2),0)</f>
        <v>0</v>
      </c>
      <c r="G30" s="614" t="str">
        <f t="shared" ca="1" si="5"/>
        <v/>
      </c>
      <c r="H30" s="613" cm="1">
        <f t="array" aca="1" ref="H30" ca="1">IF(AUTOEVENTO="Manual",ROUND(SUMPRODUCT((CÁLCULO!$M$15:$M$405=EVENTOS!$C30)*(OFFSET(CÁLCULO!$AA$15:$AA$405,0,H$13))),2),0)</f>
        <v>0</v>
      </c>
      <c r="I30" s="613" cm="1">
        <f t="array" aca="1" ref="I30" ca="1">IF(AUTOEVENTO="Manual",ROUND(SUMPRODUCT((CÁLCULO!$M$15:$M$405=EVENTOS!$C30)*(OFFSET(CÁLCULO!$AA$15:$AA$405,0,I$13))),2),0)</f>
        <v>0</v>
      </c>
      <c r="J30" s="613" cm="1">
        <f t="array" aca="1" ref="J30" ca="1">IF(AUTOEVENTO="Manual",ROUND(SUMPRODUCT((CÁLCULO!$M$15:$M$405=EVENTOS!$C30)*(OFFSET(CÁLCULO!$AA$15:$AA$405,0,J$13))),2),0)</f>
        <v>0</v>
      </c>
      <c r="K30" s="613" cm="1">
        <f t="array" aca="1" ref="K30" ca="1">IF(AUTOEVENTO="Manual",ROUND(SUMPRODUCT((CÁLCULO!$M$15:$M$405=EVENTOS!$C30)*(OFFSET(CÁLCULO!$AA$15:$AA$405,0,K$13))),2),0)</f>
        <v>0</v>
      </c>
      <c r="L30" s="613" cm="1">
        <f t="array" aca="1" ref="L30" ca="1">IF(AUTOEVENTO="Manual",ROUND(SUMPRODUCT((CÁLCULO!$M$15:$M$405=EVENTOS!$C30)*(OFFSET(CÁLCULO!$AA$15:$AA$405,0,L$13))),2),0)</f>
        <v>0</v>
      </c>
      <c r="M30" s="613" cm="1">
        <f t="array" aca="1" ref="M30" ca="1">IF(AUTOEVENTO="Manual",ROUND(SUMPRODUCT((CÁLCULO!$M$15:$M$405=EVENTOS!$C30)*(OFFSET(CÁLCULO!$AA$15:$AA$405,0,M$13))),2),0)</f>
        <v>0</v>
      </c>
      <c r="N30" s="613" cm="1">
        <f t="array" aca="1" ref="N30" ca="1">IF(AUTOEVENTO="Manual",ROUND(SUMPRODUCT((CÁLCULO!$M$15:$M$405=EVENTOS!$C30)*(OFFSET(CÁLCULO!$AA$15:$AA$405,0,N$13))),2),0)</f>
        <v>0</v>
      </c>
      <c r="O30" s="613" cm="1">
        <f t="array" aca="1" ref="O30" ca="1">IF(AUTOEVENTO="Manual",ROUND(SUMPRODUCT((CÁLCULO!$M$15:$M$405=EVENTOS!$C30)*(OFFSET(CÁLCULO!$AA$15:$AA$405,0,O$13))),2),0)</f>
        <v>0</v>
      </c>
      <c r="P30" s="613" cm="1">
        <f t="array" aca="1" ref="P30" ca="1">IF(AUTOEVENTO="Manual",ROUND(SUMPRODUCT((CÁLCULO!$M$15:$M$405=EVENTOS!$C30)*(OFFSET(CÁLCULO!$AA$15:$AA$405,0,P$13))),2),0)</f>
        <v>0</v>
      </c>
      <c r="Q30" s="613" cm="1">
        <f t="array" aca="1" ref="Q30" ca="1">IF(AUTOEVENTO="Manual",ROUND(SUMPRODUCT((CÁLCULO!$M$15:$M$405=EVENTOS!$C30)*(OFFSET(CÁLCULO!$AA$15:$AA$405,0,Q$13))),2),0)</f>
        <v>0</v>
      </c>
      <c r="R30" s="613" cm="1">
        <f t="array" aca="1" ref="R30" ca="1">IF(AUTOEVENTO="Manual",ROUND(SUMPRODUCT((CÁLCULO!$M$15:$M$405=EVENTOS!$C30)*(OFFSET(CÁLCULO!$AA$15:$AA$405,0,R$13))),2),0)</f>
        <v>0</v>
      </c>
      <c r="S30" s="613" cm="1">
        <f t="array" aca="1" ref="S30" ca="1">IF(AUTOEVENTO="Manual",ROUND(SUMPRODUCT((CÁLCULO!$M$15:$M$405=EVENTOS!$C30)*(OFFSET(CÁLCULO!$AA$15:$AA$405,0,S$13))),2),0)</f>
        <v>0</v>
      </c>
      <c r="T30" s="613" cm="1">
        <f t="array" aca="1" ref="T30" ca="1">IF(AUTOEVENTO="Manual",ROUND(SUMPRODUCT((CÁLCULO!$M$15:$M$405=EVENTOS!$C30)*(OFFSET(CÁLCULO!$AA$15:$AA$405,0,T$13))),2),0)</f>
        <v>0</v>
      </c>
      <c r="U30" s="613" cm="1">
        <f t="array" aca="1" ref="U30" ca="1">IF(AUTOEVENTO="Manual",ROUND(SUMPRODUCT((CÁLCULO!$M$15:$M$405=EVENTOS!$C30)*(OFFSET(CÁLCULO!$AA$15:$AA$405,0,U$13))),2),0)</f>
        <v>0</v>
      </c>
      <c r="V30" s="613" cm="1">
        <f t="array" aca="1" ref="V30" ca="1">IF(AUTOEVENTO="Manual",ROUND(SUMPRODUCT((CÁLCULO!$M$15:$M$405=EVENTOS!$C30)*(OFFSET(CÁLCULO!$AA$15:$AA$405,0,V$13))),2),0)</f>
        <v>0</v>
      </c>
      <c r="W30" s="613" cm="1">
        <f t="array" aca="1" ref="W30" ca="1">IF(AUTOEVENTO="Manual",ROUND(SUMPRODUCT((CÁLCULO!$M$15:$M$405=EVENTOS!$C30)*(OFFSET(CÁLCULO!$AA$15:$AA$405,0,W$13))),2),0)</f>
        <v>0</v>
      </c>
      <c r="X30" s="613" cm="1">
        <f t="array" aca="1" ref="X30" ca="1">IF(AUTOEVENTO="Manual",ROUND(SUMPRODUCT((CÁLCULO!$M$15:$M$405=EVENTOS!$C30)*(OFFSET(CÁLCULO!$AA$15:$AA$405,0,X$13))),2),0)</f>
        <v>0</v>
      </c>
      <c r="Y30" s="613" cm="1">
        <f t="array" aca="1" ref="Y30" ca="1">IF(AUTOEVENTO="Manual",ROUND(SUMPRODUCT((CÁLCULO!$M$15:$M$405=EVENTOS!$C30)*(OFFSET(CÁLCULO!$AA$15:$AA$405,0,Y$13))),2),0)</f>
        <v>0</v>
      </c>
    </row>
    <row r="31" spans="1:25" x14ac:dyDescent="0.2">
      <c r="A31" s="507" t="str">
        <f t="shared" si="3"/>
        <v/>
      </c>
      <c r="B31" t="str">
        <f t="shared" ca="1" si="4"/>
        <v/>
      </c>
      <c r="C31" s="183" t="str" cm="1">
        <f t="array" aca="1" ref="C31" ca="1">IF(OR(ROW(C31)=ROW(EVENTOS.firstrow)+1,AND(OFFSET(C31,-1,0)&lt;&gt;" ",OFFSET(C31,-1,1)&lt;&gt;"")),OFFSET(C31,-1,0)+1," ")</f>
        <v xml:space="preserve"> </v>
      </c>
      <c r="D31" s="497"/>
      <c r="E31" s="613" cm="1">
        <f t="array" aca="1" ref="E31" ca="1">IF(AUTOEVENTO="Manual",ROUND(SUMPRODUCT((CÁLCULO!$M$15:$M$405=EVENTOS!$C31)*(OFFSET(CÁLCULO!$AA$15:$AA$405,0,E$13))),2),0)</f>
        <v>0</v>
      </c>
      <c r="F31" s="184">
        <f ca="1">IF(AUTOEVENTO="Manual",ROUND(SUMPRODUCT((CÁLCULO!$M$15:$M$405=EVENTOS!$C31)*(OFFSET(CÁLCULO!$AA$15,0,1):OFFSET(CÁLCULO!$AL$405,0,-1))),2),0)</f>
        <v>0</v>
      </c>
      <c r="G31" s="614" t="str">
        <f t="shared" ca="1" si="5"/>
        <v/>
      </c>
      <c r="H31" s="613" cm="1">
        <f t="array" aca="1" ref="H31" ca="1">IF(AUTOEVENTO="Manual",ROUND(SUMPRODUCT((CÁLCULO!$M$15:$M$405=EVENTOS!$C31)*(OFFSET(CÁLCULO!$AA$15:$AA$405,0,H$13))),2),0)</f>
        <v>0</v>
      </c>
      <c r="I31" s="613" cm="1">
        <f t="array" aca="1" ref="I31" ca="1">IF(AUTOEVENTO="Manual",ROUND(SUMPRODUCT((CÁLCULO!$M$15:$M$405=EVENTOS!$C31)*(OFFSET(CÁLCULO!$AA$15:$AA$405,0,I$13))),2),0)</f>
        <v>0</v>
      </c>
      <c r="J31" s="613" cm="1">
        <f t="array" aca="1" ref="J31" ca="1">IF(AUTOEVENTO="Manual",ROUND(SUMPRODUCT((CÁLCULO!$M$15:$M$405=EVENTOS!$C31)*(OFFSET(CÁLCULO!$AA$15:$AA$405,0,J$13))),2),0)</f>
        <v>0</v>
      </c>
      <c r="K31" s="613" cm="1">
        <f t="array" aca="1" ref="K31" ca="1">IF(AUTOEVENTO="Manual",ROUND(SUMPRODUCT((CÁLCULO!$M$15:$M$405=EVENTOS!$C31)*(OFFSET(CÁLCULO!$AA$15:$AA$405,0,K$13))),2),0)</f>
        <v>0</v>
      </c>
      <c r="L31" s="613" cm="1">
        <f t="array" aca="1" ref="L31" ca="1">IF(AUTOEVENTO="Manual",ROUND(SUMPRODUCT((CÁLCULO!$M$15:$M$405=EVENTOS!$C31)*(OFFSET(CÁLCULO!$AA$15:$AA$405,0,L$13))),2),0)</f>
        <v>0</v>
      </c>
      <c r="M31" s="613" cm="1">
        <f t="array" aca="1" ref="M31" ca="1">IF(AUTOEVENTO="Manual",ROUND(SUMPRODUCT((CÁLCULO!$M$15:$M$405=EVENTOS!$C31)*(OFFSET(CÁLCULO!$AA$15:$AA$405,0,M$13))),2),0)</f>
        <v>0</v>
      </c>
      <c r="N31" s="613" cm="1">
        <f t="array" aca="1" ref="N31" ca="1">IF(AUTOEVENTO="Manual",ROUND(SUMPRODUCT((CÁLCULO!$M$15:$M$405=EVENTOS!$C31)*(OFFSET(CÁLCULO!$AA$15:$AA$405,0,N$13))),2),0)</f>
        <v>0</v>
      </c>
      <c r="O31" s="613" cm="1">
        <f t="array" aca="1" ref="O31" ca="1">IF(AUTOEVENTO="Manual",ROUND(SUMPRODUCT((CÁLCULO!$M$15:$M$405=EVENTOS!$C31)*(OFFSET(CÁLCULO!$AA$15:$AA$405,0,O$13))),2),0)</f>
        <v>0</v>
      </c>
      <c r="P31" s="613" cm="1">
        <f t="array" aca="1" ref="P31" ca="1">IF(AUTOEVENTO="Manual",ROUND(SUMPRODUCT((CÁLCULO!$M$15:$M$405=EVENTOS!$C31)*(OFFSET(CÁLCULO!$AA$15:$AA$405,0,P$13))),2),0)</f>
        <v>0</v>
      </c>
      <c r="Q31" s="613" cm="1">
        <f t="array" aca="1" ref="Q31" ca="1">IF(AUTOEVENTO="Manual",ROUND(SUMPRODUCT((CÁLCULO!$M$15:$M$405=EVENTOS!$C31)*(OFFSET(CÁLCULO!$AA$15:$AA$405,0,Q$13))),2),0)</f>
        <v>0</v>
      </c>
      <c r="R31" s="613" cm="1">
        <f t="array" aca="1" ref="R31" ca="1">IF(AUTOEVENTO="Manual",ROUND(SUMPRODUCT((CÁLCULO!$M$15:$M$405=EVENTOS!$C31)*(OFFSET(CÁLCULO!$AA$15:$AA$405,0,R$13))),2),0)</f>
        <v>0</v>
      </c>
      <c r="S31" s="613" cm="1">
        <f t="array" aca="1" ref="S31" ca="1">IF(AUTOEVENTO="Manual",ROUND(SUMPRODUCT((CÁLCULO!$M$15:$M$405=EVENTOS!$C31)*(OFFSET(CÁLCULO!$AA$15:$AA$405,0,S$13))),2),0)</f>
        <v>0</v>
      </c>
      <c r="T31" s="613" cm="1">
        <f t="array" aca="1" ref="T31" ca="1">IF(AUTOEVENTO="Manual",ROUND(SUMPRODUCT((CÁLCULO!$M$15:$M$405=EVENTOS!$C31)*(OFFSET(CÁLCULO!$AA$15:$AA$405,0,T$13))),2),0)</f>
        <v>0</v>
      </c>
      <c r="U31" s="613" cm="1">
        <f t="array" aca="1" ref="U31" ca="1">IF(AUTOEVENTO="Manual",ROUND(SUMPRODUCT((CÁLCULO!$M$15:$M$405=EVENTOS!$C31)*(OFFSET(CÁLCULO!$AA$15:$AA$405,0,U$13))),2),0)</f>
        <v>0</v>
      </c>
      <c r="V31" s="613" cm="1">
        <f t="array" aca="1" ref="V31" ca="1">IF(AUTOEVENTO="Manual",ROUND(SUMPRODUCT((CÁLCULO!$M$15:$M$405=EVENTOS!$C31)*(OFFSET(CÁLCULO!$AA$15:$AA$405,0,V$13))),2),0)</f>
        <v>0</v>
      </c>
      <c r="W31" s="613" cm="1">
        <f t="array" aca="1" ref="W31" ca="1">IF(AUTOEVENTO="Manual",ROUND(SUMPRODUCT((CÁLCULO!$M$15:$M$405=EVENTOS!$C31)*(OFFSET(CÁLCULO!$AA$15:$AA$405,0,W$13))),2),0)</f>
        <v>0</v>
      </c>
      <c r="X31" s="613" cm="1">
        <f t="array" aca="1" ref="X31" ca="1">IF(AUTOEVENTO="Manual",ROUND(SUMPRODUCT((CÁLCULO!$M$15:$M$405=EVENTOS!$C31)*(OFFSET(CÁLCULO!$AA$15:$AA$405,0,X$13))),2),0)</f>
        <v>0</v>
      </c>
      <c r="Y31" s="613" cm="1">
        <f t="array" aca="1" ref="Y31" ca="1">IF(AUTOEVENTO="Manual",ROUND(SUMPRODUCT((CÁLCULO!$M$15:$M$405=EVENTOS!$C31)*(OFFSET(CÁLCULO!$AA$15:$AA$405,0,Y$13))),2),0)</f>
        <v>0</v>
      </c>
    </row>
    <row r="32" spans="1:25" x14ac:dyDescent="0.2">
      <c r="A32" s="507" t="str">
        <f t="shared" si="3"/>
        <v/>
      </c>
      <c r="B32" t="str">
        <f t="shared" ca="1" si="4"/>
        <v/>
      </c>
      <c r="C32" s="183" t="str" cm="1">
        <f t="array" aca="1" ref="C32" ca="1">IF(OR(ROW(C32)=ROW(EVENTOS.firstrow)+1,AND(OFFSET(C32,-1,0)&lt;&gt;" ",OFFSET(C32,-1,1)&lt;&gt;"")),OFFSET(C32,-1,0)+1," ")</f>
        <v xml:space="preserve"> </v>
      </c>
      <c r="D32" s="497"/>
      <c r="E32" s="613" cm="1">
        <f t="array" aca="1" ref="E32" ca="1">IF(AUTOEVENTO="Manual",ROUND(SUMPRODUCT((CÁLCULO!$M$15:$M$405=EVENTOS!$C32)*(OFFSET(CÁLCULO!$AA$15:$AA$405,0,E$13))),2),0)</f>
        <v>0</v>
      </c>
      <c r="F32" s="184">
        <f ca="1">IF(AUTOEVENTO="Manual",ROUND(SUMPRODUCT((CÁLCULO!$M$15:$M$405=EVENTOS!$C32)*(OFFSET(CÁLCULO!$AA$15,0,1):OFFSET(CÁLCULO!$AL$405,0,-1))),2),0)</f>
        <v>0</v>
      </c>
      <c r="G32" s="614" t="str">
        <f t="shared" ca="1" si="5"/>
        <v/>
      </c>
      <c r="H32" s="613" cm="1">
        <f t="array" aca="1" ref="H32" ca="1">IF(AUTOEVENTO="Manual",ROUND(SUMPRODUCT((CÁLCULO!$M$15:$M$405=EVENTOS!$C32)*(OFFSET(CÁLCULO!$AA$15:$AA$405,0,H$13))),2),0)</f>
        <v>0</v>
      </c>
      <c r="I32" s="613" cm="1">
        <f t="array" aca="1" ref="I32" ca="1">IF(AUTOEVENTO="Manual",ROUND(SUMPRODUCT((CÁLCULO!$M$15:$M$405=EVENTOS!$C32)*(OFFSET(CÁLCULO!$AA$15:$AA$405,0,I$13))),2),0)</f>
        <v>0</v>
      </c>
      <c r="J32" s="613" cm="1">
        <f t="array" aca="1" ref="J32" ca="1">IF(AUTOEVENTO="Manual",ROUND(SUMPRODUCT((CÁLCULO!$M$15:$M$405=EVENTOS!$C32)*(OFFSET(CÁLCULO!$AA$15:$AA$405,0,J$13))),2),0)</f>
        <v>0</v>
      </c>
      <c r="K32" s="613" cm="1">
        <f t="array" aca="1" ref="K32" ca="1">IF(AUTOEVENTO="Manual",ROUND(SUMPRODUCT((CÁLCULO!$M$15:$M$405=EVENTOS!$C32)*(OFFSET(CÁLCULO!$AA$15:$AA$405,0,K$13))),2),0)</f>
        <v>0</v>
      </c>
      <c r="L32" s="613" cm="1">
        <f t="array" aca="1" ref="L32" ca="1">IF(AUTOEVENTO="Manual",ROUND(SUMPRODUCT((CÁLCULO!$M$15:$M$405=EVENTOS!$C32)*(OFFSET(CÁLCULO!$AA$15:$AA$405,0,L$13))),2),0)</f>
        <v>0</v>
      </c>
      <c r="M32" s="613" cm="1">
        <f t="array" aca="1" ref="M32" ca="1">IF(AUTOEVENTO="Manual",ROUND(SUMPRODUCT((CÁLCULO!$M$15:$M$405=EVENTOS!$C32)*(OFFSET(CÁLCULO!$AA$15:$AA$405,0,M$13))),2),0)</f>
        <v>0</v>
      </c>
      <c r="N32" s="613" cm="1">
        <f t="array" aca="1" ref="N32" ca="1">IF(AUTOEVENTO="Manual",ROUND(SUMPRODUCT((CÁLCULO!$M$15:$M$405=EVENTOS!$C32)*(OFFSET(CÁLCULO!$AA$15:$AA$405,0,N$13))),2),0)</f>
        <v>0</v>
      </c>
      <c r="O32" s="613" cm="1">
        <f t="array" aca="1" ref="O32" ca="1">IF(AUTOEVENTO="Manual",ROUND(SUMPRODUCT((CÁLCULO!$M$15:$M$405=EVENTOS!$C32)*(OFFSET(CÁLCULO!$AA$15:$AA$405,0,O$13))),2),0)</f>
        <v>0</v>
      </c>
      <c r="P32" s="613" cm="1">
        <f t="array" aca="1" ref="P32" ca="1">IF(AUTOEVENTO="Manual",ROUND(SUMPRODUCT((CÁLCULO!$M$15:$M$405=EVENTOS!$C32)*(OFFSET(CÁLCULO!$AA$15:$AA$405,0,P$13))),2),0)</f>
        <v>0</v>
      </c>
      <c r="Q32" s="613" cm="1">
        <f t="array" aca="1" ref="Q32" ca="1">IF(AUTOEVENTO="Manual",ROUND(SUMPRODUCT((CÁLCULO!$M$15:$M$405=EVENTOS!$C32)*(OFFSET(CÁLCULO!$AA$15:$AA$405,0,Q$13))),2),0)</f>
        <v>0</v>
      </c>
      <c r="R32" s="613" cm="1">
        <f t="array" aca="1" ref="R32" ca="1">IF(AUTOEVENTO="Manual",ROUND(SUMPRODUCT((CÁLCULO!$M$15:$M$405=EVENTOS!$C32)*(OFFSET(CÁLCULO!$AA$15:$AA$405,0,R$13))),2),0)</f>
        <v>0</v>
      </c>
      <c r="S32" s="613" cm="1">
        <f t="array" aca="1" ref="S32" ca="1">IF(AUTOEVENTO="Manual",ROUND(SUMPRODUCT((CÁLCULO!$M$15:$M$405=EVENTOS!$C32)*(OFFSET(CÁLCULO!$AA$15:$AA$405,0,S$13))),2),0)</f>
        <v>0</v>
      </c>
      <c r="T32" s="613" cm="1">
        <f t="array" aca="1" ref="T32" ca="1">IF(AUTOEVENTO="Manual",ROUND(SUMPRODUCT((CÁLCULO!$M$15:$M$405=EVENTOS!$C32)*(OFFSET(CÁLCULO!$AA$15:$AA$405,0,T$13))),2),0)</f>
        <v>0</v>
      </c>
      <c r="U32" s="613" cm="1">
        <f t="array" aca="1" ref="U32" ca="1">IF(AUTOEVENTO="Manual",ROUND(SUMPRODUCT((CÁLCULO!$M$15:$M$405=EVENTOS!$C32)*(OFFSET(CÁLCULO!$AA$15:$AA$405,0,U$13))),2),0)</f>
        <v>0</v>
      </c>
      <c r="V32" s="613" cm="1">
        <f t="array" aca="1" ref="V32" ca="1">IF(AUTOEVENTO="Manual",ROUND(SUMPRODUCT((CÁLCULO!$M$15:$M$405=EVENTOS!$C32)*(OFFSET(CÁLCULO!$AA$15:$AA$405,0,V$13))),2),0)</f>
        <v>0</v>
      </c>
      <c r="W32" s="613" cm="1">
        <f t="array" aca="1" ref="W32" ca="1">IF(AUTOEVENTO="Manual",ROUND(SUMPRODUCT((CÁLCULO!$M$15:$M$405=EVENTOS!$C32)*(OFFSET(CÁLCULO!$AA$15:$AA$405,0,W$13))),2),0)</f>
        <v>0</v>
      </c>
      <c r="X32" s="613" cm="1">
        <f t="array" aca="1" ref="X32" ca="1">IF(AUTOEVENTO="Manual",ROUND(SUMPRODUCT((CÁLCULO!$M$15:$M$405=EVENTOS!$C32)*(OFFSET(CÁLCULO!$AA$15:$AA$405,0,X$13))),2),0)</f>
        <v>0</v>
      </c>
      <c r="Y32" s="613" cm="1">
        <f t="array" aca="1" ref="Y32" ca="1">IF(AUTOEVENTO="Manual",ROUND(SUMPRODUCT((CÁLCULO!$M$15:$M$405=EVENTOS!$C32)*(OFFSET(CÁLCULO!$AA$15:$AA$405,0,Y$13))),2),0)</f>
        <v>0</v>
      </c>
    </row>
    <row r="33" spans="1:25" x14ac:dyDescent="0.2">
      <c r="A33" s="507" t="str">
        <f t="shared" si="3"/>
        <v/>
      </c>
      <c r="B33" t="str">
        <f t="shared" ca="1" si="4"/>
        <v/>
      </c>
      <c r="C33" s="183" t="str" cm="1">
        <f t="array" aca="1" ref="C33" ca="1">IF(OR(ROW(C33)=ROW(EVENTOS.firstrow)+1,AND(OFFSET(C33,-1,0)&lt;&gt;" ",OFFSET(C33,-1,1)&lt;&gt;"")),OFFSET(C33,-1,0)+1," ")</f>
        <v xml:space="preserve"> </v>
      </c>
      <c r="D33" s="497"/>
      <c r="E33" s="613" cm="1">
        <f t="array" aca="1" ref="E33" ca="1">IF(AUTOEVENTO="Manual",ROUND(SUMPRODUCT((CÁLCULO!$M$15:$M$405=EVENTOS!$C33)*(OFFSET(CÁLCULO!$AA$15:$AA$405,0,E$13))),2),0)</f>
        <v>0</v>
      </c>
      <c r="F33" s="184">
        <f ca="1">IF(AUTOEVENTO="Manual",ROUND(SUMPRODUCT((CÁLCULO!$M$15:$M$405=EVENTOS!$C33)*(OFFSET(CÁLCULO!$AA$15,0,1):OFFSET(CÁLCULO!$AL$405,0,-1))),2),0)</f>
        <v>0</v>
      </c>
      <c r="G33" s="614" t="str">
        <f t="shared" ca="1" si="5"/>
        <v/>
      </c>
      <c r="H33" s="613" cm="1">
        <f t="array" aca="1" ref="H33" ca="1">IF(AUTOEVENTO="Manual",ROUND(SUMPRODUCT((CÁLCULO!$M$15:$M$405=EVENTOS!$C33)*(OFFSET(CÁLCULO!$AA$15:$AA$405,0,H$13))),2),0)</f>
        <v>0</v>
      </c>
      <c r="I33" s="613" cm="1">
        <f t="array" aca="1" ref="I33" ca="1">IF(AUTOEVENTO="Manual",ROUND(SUMPRODUCT((CÁLCULO!$M$15:$M$405=EVENTOS!$C33)*(OFFSET(CÁLCULO!$AA$15:$AA$405,0,I$13))),2),0)</f>
        <v>0</v>
      </c>
      <c r="J33" s="613" cm="1">
        <f t="array" aca="1" ref="J33" ca="1">IF(AUTOEVENTO="Manual",ROUND(SUMPRODUCT((CÁLCULO!$M$15:$M$405=EVENTOS!$C33)*(OFFSET(CÁLCULO!$AA$15:$AA$405,0,J$13))),2),0)</f>
        <v>0</v>
      </c>
      <c r="K33" s="613" cm="1">
        <f t="array" aca="1" ref="K33" ca="1">IF(AUTOEVENTO="Manual",ROUND(SUMPRODUCT((CÁLCULO!$M$15:$M$405=EVENTOS!$C33)*(OFFSET(CÁLCULO!$AA$15:$AA$405,0,K$13))),2),0)</f>
        <v>0</v>
      </c>
      <c r="L33" s="613" cm="1">
        <f t="array" aca="1" ref="L33" ca="1">IF(AUTOEVENTO="Manual",ROUND(SUMPRODUCT((CÁLCULO!$M$15:$M$405=EVENTOS!$C33)*(OFFSET(CÁLCULO!$AA$15:$AA$405,0,L$13))),2),0)</f>
        <v>0</v>
      </c>
      <c r="M33" s="613" cm="1">
        <f t="array" aca="1" ref="M33" ca="1">IF(AUTOEVENTO="Manual",ROUND(SUMPRODUCT((CÁLCULO!$M$15:$M$405=EVENTOS!$C33)*(OFFSET(CÁLCULO!$AA$15:$AA$405,0,M$13))),2),0)</f>
        <v>0</v>
      </c>
      <c r="N33" s="613" cm="1">
        <f t="array" aca="1" ref="N33" ca="1">IF(AUTOEVENTO="Manual",ROUND(SUMPRODUCT((CÁLCULO!$M$15:$M$405=EVENTOS!$C33)*(OFFSET(CÁLCULO!$AA$15:$AA$405,0,N$13))),2),0)</f>
        <v>0</v>
      </c>
      <c r="O33" s="613" cm="1">
        <f t="array" aca="1" ref="O33" ca="1">IF(AUTOEVENTO="Manual",ROUND(SUMPRODUCT((CÁLCULO!$M$15:$M$405=EVENTOS!$C33)*(OFFSET(CÁLCULO!$AA$15:$AA$405,0,O$13))),2),0)</f>
        <v>0</v>
      </c>
      <c r="P33" s="613" cm="1">
        <f t="array" aca="1" ref="P33" ca="1">IF(AUTOEVENTO="Manual",ROUND(SUMPRODUCT((CÁLCULO!$M$15:$M$405=EVENTOS!$C33)*(OFFSET(CÁLCULO!$AA$15:$AA$405,0,P$13))),2),0)</f>
        <v>0</v>
      </c>
      <c r="Q33" s="613" cm="1">
        <f t="array" aca="1" ref="Q33" ca="1">IF(AUTOEVENTO="Manual",ROUND(SUMPRODUCT((CÁLCULO!$M$15:$M$405=EVENTOS!$C33)*(OFFSET(CÁLCULO!$AA$15:$AA$405,0,Q$13))),2),0)</f>
        <v>0</v>
      </c>
      <c r="R33" s="613" cm="1">
        <f t="array" aca="1" ref="R33" ca="1">IF(AUTOEVENTO="Manual",ROUND(SUMPRODUCT((CÁLCULO!$M$15:$M$405=EVENTOS!$C33)*(OFFSET(CÁLCULO!$AA$15:$AA$405,0,R$13))),2),0)</f>
        <v>0</v>
      </c>
      <c r="S33" s="613" cm="1">
        <f t="array" aca="1" ref="S33" ca="1">IF(AUTOEVENTO="Manual",ROUND(SUMPRODUCT((CÁLCULO!$M$15:$M$405=EVENTOS!$C33)*(OFFSET(CÁLCULO!$AA$15:$AA$405,0,S$13))),2),0)</f>
        <v>0</v>
      </c>
      <c r="T33" s="613" cm="1">
        <f t="array" aca="1" ref="T33" ca="1">IF(AUTOEVENTO="Manual",ROUND(SUMPRODUCT((CÁLCULO!$M$15:$M$405=EVENTOS!$C33)*(OFFSET(CÁLCULO!$AA$15:$AA$405,0,T$13))),2),0)</f>
        <v>0</v>
      </c>
      <c r="U33" s="613" cm="1">
        <f t="array" aca="1" ref="U33" ca="1">IF(AUTOEVENTO="Manual",ROUND(SUMPRODUCT((CÁLCULO!$M$15:$M$405=EVENTOS!$C33)*(OFFSET(CÁLCULO!$AA$15:$AA$405,0,U$13))),2),0)</f>
        <v>0</v>
      </c>
      <c r="V33" s="613" cm="1">
        <f t="array" aca="1" ref="V33" ca="1">IF(AUTOEVENTO="Manual",ROUND(SUMPRODUCT((CÁLCULO!$M$15:$M$405=EVENTOS!$C33)*(OFFSET(CÁLCULO!$AA$15:$AA$405,0,V$13))),2),0)</f>
        <v>0</v>
      </c>
      <c r="W33" s="613" cm="1">
        <f t="array" aca="1" ref="W33" ca="1">IF(AUTOEVENTO="Manual",ROUND(SUMPRODUCT((CÁLCULO!$M$15:$M$405=EVENTOS!$C33)*(OFFSET(CÁLCULO!$AA$15:$AA$405,0,W$13))),2),0)</f>
        <v>0</v>
      </c>
      <c r="X33" s="613" cm="1">
        <f t="array" aca="1" ref="X33" ca="1">IF(AUTOEVENTO="Manual",ROUND(SUMPRODUCT((CÁLCULO!$M$15:$M$405=EVENTOS!$C33)*(OFFSET(CÁLCULO!$AA$15:$AA$405,0,X$13))),2),0)</f>
        <v>0</v>
      </c>
      <c r="Y33" s="613" cm="1">
        <f t="array" aca="1" ref="Y33" ca="1">IF(AUTOEVENTO="Manual",ROUND(SUMPRODUCT((CÁLCULO!$M$15:$M$405=EVENTOS!$C33)*(OFFSET(CÁLCULO!$AA$15:$AA$405,0,Y$13))),2),0)</f>
        <v>0</v>
      </c>
    </row>
    <row r="34" spans="1:25" x14ac:dyDescent="0.2">
      <c r="A34" s="507" t="str">
        <f t="shared" si="3"/>
        <v/>
      </c>
      <c r="B34" t="str">
        <f t="shared" ca="1" si="4"/>
        <v/>
      </c>
      <c r="C34" s="183" t="str" cm="1">
        <f t="array" aca="1" ref="C34" ca="1">IF(OR(ROW(C34)=ROW(EVENTOS.firstrow)+1,AND(OFFSET(C34,-1,0)&lt;&gt;" ",OFFSET(C34,-1,1)&lt;&gt;"")),OFFSET(C34,-1,0)+1," ")</f>
        <v xml:space="preserve"> </v>
      </c>
      <c r="D34" s="497"/>
      <c r="E34" s="613" cm="1">
        <f t="array" aca="1" ref="E34" ca="1">IF(AUTOEVENTO="Manual",ROUND(SUMPRODUCT((CÁLCULO!$M$15:$M$405=EVENTOS!$C34)*(OFFSET(CÁLCULO!$AA$15:$AA$405,0,E$13))),2),0)</f>
        <v>0</v>
      </c>
      <c r="F34" s="184">
        <f ca="1">IF(AUTOEVENTO="Manual",ROUND(SUMPRODUCT((CÁLCULO!$M$15:$M$405=EVENTOS!$C34)*(OFFSET(CÁLCULO!$AA$15,0,1):OFFSET(CÁLCULO!$AL$405,0,-1))),2),0)</f>
        <v>0</v>
      </c>
      <c r="G34" s="614" t="str">
        <f t="shared" ca="1" si="5"/>
        <v/>
      </c>
      <c r="H34" s="613" cm="1">
        <f t="array" aca="1" ref="H34" ca="1">IF(AUTOEVENTO="Manual",ROUND(SUMPRODUCT((CÁLCULO!$M$15:$M$405=EVENTOS!$C34)*(OFFSET(CÁLCULO!$AA$15:$AA$405,0,H$13))),2),0)</f>
        <v>0</v>
      </c>
      <c r="I34" s="613" cm="1">
        <f t="array" aca="1" ref="I34" ca="1">IF(AUTOEVENTO="Manual",ROUND(SUMPRODUCT((CÁLCULO!$M$15:$M$405=EVENTOS!$C34)*(OFFSET(CÁLCULO!$AA$15:$AA$405,0,I$13))),2),0)</f>
        <v>0</v>
      </c>
      <c r="J34" s="613" cm="1">
        <f t="array" aca="1" ref="J34" ca="1">IF(AUTOEVENTO="Manual",ROUND(SUMPRODUCT((CÁLCULO!$M$15:$M$405=EVENTOS!$C34)*(OFFSET(CÁLCULO!$AA$15:$AA$405,0,J$13))),2),0)</f>
        <v>0</v>
      </c>
      <c r="K34" s="613" cm="1">
        <f t="array" aca="1" ref="K34" ca="1">IF(AUTOEVENTO="Manual",ROUND(SUMPRODUCT((CÁLCULO!$M$15:$M$405=EVENTOS!$C34)*(OFFSET(CÁLCULO!$AA$15:$AA$405,0,K$13))),2),0)</f>
        <v>0</v>
      </c>
      <c r="L34" s="613" cm="1">
        <f t="array" aca="1" ref="L34" ca="1">IF(AUTOEVENTO="Manual",ROUND(SUMPRODUCT((CÁLCULO!$M$15:$M$405=EVENTOS!$C34)*(OFFSET(CÁLCULO!$AA$15:$AA$405,0,L$13))),2),0)</f>
        <v>0</v>
      </c>
      <c r="M34" s="613" cm="1">
        <f t="array" aca="1" ref="M34" ca="1">IF(AUTOEVENTO="Manual",ROUND(SUMPRODUCT((CÁLCULO!$M$15:$M$405=EVENTOS!$C34)*(OFFSET(CÁLCULO!$AA$15:$AA$405,0,M$13))),2),0)</f>
        <v>0</v>
      </c>
      <c r="N34" s="613" cm="1">
        <f t="array" aca="1" ref="N34" ca="1">IF(AUTOEVENTO="Manual",ROUND(SUMPRODUCT((CÁLCULO!$M$15:$M$405=EVENTOS!$C34)*(OFFSET(CÁLCULO!$AA$15:$AA$405,0,N$13))),2),0)</f>
        <v>0</v>
      </c>
      <c r="O34" s="613" cm="1">
        <f t="array" aca="1" ref="O34" ca="1">IF(AUTOEVENTO="Manual",ROUND(SUMPRODUCT((CÁLCULO!$M$15:$M$405=EVENTOS!$C34)*(OFFSET(CÁLCULO!$AA$15:$AA$405,0,O$13))),2),0)</f>
        <v>0</v>
      </c>
      <c r="P34" s="613" cm="1">
        <f t="array" aca="1" ref="P34" ca="1">IF(AUTOEVENTO="Manual",ROUND(SUMPRODUCT((CÁLCULO!$M$15:$M$405=EVENTOS!$C34)*(OFFSET(CÁLCULO!$AA$15:$AA$405,0,P$13))),2),0)</f>
        <v>0</v>
      </c>
      <c r="Q34" s="613" cm="1">
        <f t="array" aca="1" ref="Q34" ca="1">IF(AUTOEVENTO="Manual",ROUND(SUMPRODUCT((CÁLCULO!$M$15:$M$405=EVENTOS!$C34)*(OFFSET(CÁLCULO!$AA$15:$AA$405,0,Q$13))),2),0)</f>
        <v>0</v>
      </c>
      <c r="R34" s="613" cm="1">
        <f t="array" aca="1" ref="R34" ca="1">IF(AUTOEVENTO="Manual",ROUND(SUMPRODUCT((CÁLCULO!$M$15:$M$405=EVENTOS!$C34)*(OFFSET(CÁLCULO!$AA$15:$AA$405,0,R$13))),2),0)</f>
        <v>0</v>
      </c>
      <c r="S34" s="613" cm="1">
        <f t="array" aca="1" ref="S34" ca="1">IF(AUTOEVENTO="Manual",ROUND(SUMPRODUCT((CÁLCULO!$M$15:$M$405=EVENTOS!$C34)*(OFFSET(CÁLCULO!$AA$15:$AA$405,0,S$13))),2),0)</f>
        <v>0</v>
      </c>
      <c r="T34" s="613" cm="1">
        <f t="array" aca="1" ref="T34" ca="1">IF(AUTOEVENTO="Manual",ROUND(SUMPRODUCT((CÁLCULO!$M$15:$M$405=EVENTOS!$C34)*(OFFSET(CÁLCULO!$AA$15:$AA$405,0,T$13))),2),0)</f>
        <v>0</v>
      </c>
      <c r="U34" s="613" cm="1">
        <f t="array" aca="1" ref="U34" ca="1">IF(AUTOEVENTO="Manual",ROUND(SUMPRODUCT((CÁLCULO!$M$15:$M$405=EVENTOS!$C34)*(OFFSET(CÁLCULO!$AA$15:$AA$405,0,U$13))),2),0)</f>
        <v>0</v>
      </c>
      <c r="V34" s="613" cm="1">
        <f t="array" aca="1" ref="V34" ca="1">IF(AUTOEVENTO="Manual",ROUND(SUMPRODUCT((CÁLCULO!$M$15:$M$405=EVENTOS!$C34)*(OFFSET(CÁLCULO!$AA$15:$AA$405,0,V$13))),2),0)</f>
        <v>0</v>
      </c>
      <c r="W34" s="613" cm="1">
        <f t="array" aca="1" ref="W34" ca="1">IF(AUTOEVENTO="Manual",ROUND(SUMPRODUCT((CÁLCULO!$M$15:$M$405=EVENTOS!$C34)*(OFFSET(CÁLCULO!$AA$15:$AA$405,0,W$13))),2),0)</f>
        <v>0</v>
      </c>
      <c r="X34" s="613" cm="1">
        <f t="array" aca="1" ref="X34" ca="1">IF(AUTOEVENTO="Manual",ROUND(SUMPRODUCT((CÁLCULO!$M$15:$M$405=EVENTOS!$C34)*(OFFSET(CÁLCULO!$AA$15:$AA$405,0,X$13))),2),0)</f>
        <v>0</v>
      </c>
      <c r="Y34" s="613" cm="1">
        <f t="array" aca="1" ref="Y34" ca="1">IF(AUTOEVENTO="Manual",ROUND(SUMPRODUCT((CÁLCULO!$M$15:$M$405=EVENTOS!$C34)*(OFFSET(CÁLCULO!$AA$15:$AA$405,0,Y$13))),2),0)</f>
        <v>0</v>
      </c>
    </row>
    <row r="35" spans="1:25" x14ac:dyDescent="0.2">
      <c r="A35" s="507" t="str">
        <f t="shared" si="3"/>
        <v/>
      </c>
      <c r="B35" t="str">
        <f t="shared" ca="1" si="4"/>
        <v/>
      </c>
      <c r="C35" s="183" t="str" cm="1">
        <f t="array" aca="1" ref="C35" ca="1">IF(OR(ROW(C35)=ROW(EVENTOS.firstrow)+1,AND(OFFSET(C35,-1,0)&lt;&gt;" ",OFFSET(C35,-1,1)&lt;&gt;"")),OFFSET(C35,-1,0)+1," ")</f>
        <v xml:space="preserve"> </v>
      </c>
      <c r="D35" s="497"/>
      <c r="E35" s="613" cm="1">
        <f t="array" aca="1" ref="E35" ca="1">IF(AUTOEVENTO="Manual",ROUND(SUMPRODUCT((CÁLCULO!$M$15:$M$405=EVENTOS!$C35)*(OFFSET(CÁLCULO!$AA$15:$AA$405,0,E$13))),2),0)</f>
        <v>0</v>
      </c>
      <c r="F35" s="184">
        <f ca="1">IF(AUTOEVENTO="Manual",ROUND(SUMPRODUCT((CÁLCULO!$M$15:$M$405=EVENTOS!$C35)*(OFFSET(CÁLCULO!$AA$15,0,1):OFFSET(CÁLCULO!$AL$405,0,-1))),2),0)</f>
        <v>0</v>
      </c>
      <c r="G35" s="614" t="str">
        <f t="shared" ca="1" si="5"/>
        <v/>
      </c>
      <c r="H35" s="613" cm="1">
        <f t="array" aca="1" ref="H35" ca="1">IF(AUTOEVENTO="Manual",ROUND(SUMPRODUCT((CÁLCULO!$M$15:$M$405=EVENTOS!$C35)*(OFFSET(CÁLCULO!$AA$15:$AA$405,0,H$13))),2),0)</f>
        <v>0</v>
      </c>
      <c r="I35" s="613" cm="1">
        <f t="array" aca="1" ref="I35" ca="1">IF(AUTOEVENTO="Manual",ROUND(SUMPRODUCT((CÁLCULO!$M$15:$M$405=EVENTOS!$C35)*(OFFSET(CÁLCULO!$AA$15:$AA$405,0,I$13))),2),0)</f>
        <v>0</v>
      </c>
      <c r="J35" s="613" cm="1">
        <f t="array" aca="1" ref="J35" ca="1">IF(AUTOEVENTO="Manual",ROUND(SUMPRODUCT((CÁLCULO!$M$15:$M$405=EVENTOS!$C35)*(OFFSET(CÁLCULO!$AA$15:$AA$405,0,J$13))),2),0)</f>
        <v>0</v>
      </c>
      <c r="K35" s="613" cm="1">
        <f t="array" aca="1" ref="K35" ca="1">IF(AUTOEVENTO="Manual",ROUND(SUMPRODUCT((CÁLCULO!$M$15:$M$405=EVENTOS!$C35)*(OFFSET(CÁLCULO!$AA$15:$AA$405,0,K$13))),2),0)</f>
        <v>0</v>
      </c>
      <c r="L35" s="613" cm="1">
        <f t="array" aca="1" ref="L35" ca="1">IF(AUTOEVENTO="Manual",ROUND(SUMPRODUCT((CÁLCULO!$M$15:$M$405=EVENTOS!$C35)*(OFFSET(CÁLCULO!$AA$15:$AA$405,0,L$13))),2),0)</f>
        <v>0</v>
      </c>
      <c r="M35" s="613" cm="1">
        <f t="array" aca="1" ref="M35" ca="1">IF(AUTOEVENTO="Manual",ROUND(SUMPRODUCT((CÁLCULO!$M$15:$M$405=EVENTOS!$C35)*(OFFSET(CÁLCULO!$AA$15:$AA$405,0,M$13))),2),0)</f>
        <v>0</v>
      </c>
      <c r="N35" s="613" cm="1">
        <f t="array" aca="1" ref="N35" ca="1">IF(AUTOEVENTO="Manual",ROUND(SUMPRODUCT((CÁLCULO!$M$15:$M$405=EVENTOS!$C35)*(OFFSET(CÁLCULO!$AA$15:$AA$405,0,N$13))),2),0)</f>
        <v>0</v>
      </c>
      <c r="O35" s="613" cm="1">
        <f t="array" aca="1" ref="O35" ca="1">IF(AUTOEVENTO="Manual",ROUND(SUMPRODUCT((CÁLCULO!$M$15:$M$405=EVENTOS!$C35)*(OFFSET(CÁLCULO!$AA$15:$AA$405,0,O$13))),2),0)</f>
        <v>0</v>
      </c>
      <c r="P35" s="613" cm="1">
        <f t="array" aca="1" ref="P35" ca="1">IF(AUTOEVENTO="Manual",ROUND(SUMPRODUCT((CÁLCULO!$M$15:$M$405=EVENTOS!$C35)*(OFFSET(CÁLCULO!$AA$15:$AA$405,0,P$13))),2),0)</f>
        <v>0</v>
      </c>
      <c r="Q35" s="613" cm="1">
        <f t="array" aca="1" ref="Q35" ca="1">IF(AUTOEVENTO="Manual",ROUND(SUMPRODUCT((CÁLCULO!$M$15:$M$405=EVENTOS!$C35)*(OFFSET(CÁLCULO!$AA$15:$AA$405,0,Q$13))),2),0)</f>
        <v>0</v>
      </c>
      <c r="R35" s="613" cm="1">
        <f t="array" aca="1" ref="R35" ca="1">IF(AUTOEVENTO="Manual",ROUND(SUMPRODUCT((CÁLCULO!$M$15:$M$405=EVENTOS!$C35)*(OFFSET(CÁLCULO!$AA$15:$AA$405,0,R$13))),2),0)</f>
        <v>0</v>
      </c>
      <c r="S35" s="613" cm="1">
        <f t="array" aca="1" ref="S35" ca="1">IF(AUTOEVENTO="Manual",ROUND(SUMPRODUCT((CÁLCULO!$M$15:$M$405=EVENTOS!$C35)*(OFFSET(CÁLCULO!$AA$15:$AA$405,0,S$13))),2),0)</f>
        <v>0</v>
      </c>
      <c r="T35" s="613" cm="1">
        <f t="array" aca="1" ref="T35" ca="1">IF(AUTOEVENTO="Manual",ROUND(SUMPRODUCT((CÁLCULO!$M$15:$M$405=EVENTOS!$C35)*(OFFSET(CÁLCULO!$AA$15:$AA$405,0,T$13))),2),0)</f>
        <v>0</v>
      </c>
      <c r="U35" s="613" cm="1">
        <f t="array" aca="1" ref="U35" ca="1">IF(AUTOEVENTO="Manual",ROUND(SUMPRODUCT((CÁLCULO!$M$15:$M$405=EVENTOS!$C35)*(OFFSET(CÁLCULO!$AA$15:$AA$405,0,U$13))),2),0)</f>
        <v>0</v>
      </c>
      <c r="V35" s="613" cm="1">
        <f t="array" aca="1" ref="V35" ca="1">IF(AUTOEVENTO="Manual",ROUND(SUMPRODUCT((CÁLCULO!$M$15:$M$405=EVENTOS!$C35)*(OFFSET(CÁLCULO!$AA$15:$AA$405,0,V$13))),2),0)</f>
        <v>0</v>
      </c>
      <c r="W35" s="613" cm="1">
        <f t="array" aca="1" ref="W35" ca="1">IF(AUTOEVENTO="Manual",ROUND(SUMPRODUCT((CÁLCULO!$M$15:$M$405=EVENTOS!$C35)*(OFFSET(CÁLCULO!$AA$15:$AA$405,0,W$13))),2),0)</f>
        <v>0</v>
      </c>
      <c r="X35" s="613" cm="1">
        <f t="array" aca="1" ref="X35" ca="1">IF(AUTOEVENTO="Manual",ROUND(SUMPRODUCT((CÁLCULO!$M$15:$M$405=EVENTOS!$C35)*(OFFSET(CÁLCULO!$AA$15:$AA$405,0,X$13))),2),0)</f>
        <v>0</v>
      </c>
      <c r="Y35" s="613" cm="1">
        <f t="array" aca="1" ref="Y35" ca="1">IF(AUTOEVENTO="Manual",ROUND(SUMPRODUCT((CÁLCULO!$M$15:$M$405=EVENTOS!$C35)*(OFFSET(CÁLCULO!$AA$15:$AA$405,0,Y$13))),2),0)</f>
        <v>0</v>
      </c>
    </row>
    <row r="36" spans="1:25" x14ac:dyDescent="0.2">
      <c r="A36" s="507" t="str">
        <f t="shared" si="3"/>
        <v/>
      </c>
      <c r="B36" t="str">
        <f t="shared" ca="1" si="4"/>
        <v/>
      </c>
      <c r="C36" s="183" t="str" cm="1">
        <f t="array" aca="1" ref="C36" ca="1">IF(OR(ROW(C36)=ROW(EVENTOS.firstrow)+1,AND(OFFSET(C36,-1,0)&lt;&gt;" ",OFFSET(C36,-1,1)&lt;&gt;"")),OFFSET(C36,-1,0)+1," ")</f>
        <v xml:space="preserve"> </v>
      </c>
      <c r="D36" s="497"/>
      <c r="E36" s="613" cm="1">
        <f t="array" aca="1" ref="E36" ca="1">IF(AUTOEVENTO="Manual",ROUND(SUMPRODUCT((CÁLCULO!$M$15:$M$405=EVENTOS!$C36)*(OFFSET(CÁLCULO!$AA$15:$AA$405,0,E$13))),2),0)</f>
        <v>0</v>
      </c>
      <c r="F36" s="184">
        <f ca="1">IF(AUTOEVENTO="Manual",ROUND(SUMPRODUCT((CÁLCULO!$M$15:$M$405=EVENTOS!$C36)*(OFFSET(CÁLCULO!$AA$15,0,1):OFFSET(CÁLCULO!$AL$405,0,-1))),2),0)</f>
        <v>0</v>
      </c>
      <c r="G36" s="614" t="str">
        <f t="shared" ca="1" si="5"/>
        <v/>
      </c>
      <c r="H36" s="613" cm="1">
        <f t="array" aca="1" ref="H36" ca="1">IF(AUTOEVENTO="Manual",ROUND(SUMPRODUCT((CÁLCULO!$M$15:$M$405=EVENTOS!$C36)*(OFFSET(CÁLCULO!$AA$15:$AA$405,0,H$13))),2),0)</f>
        <v>0</v>
      </c>
      <c r="I36" s="613" cm="1">
        <f t="array" aca="1" ref="I36" ca="1">IF(AUTOEVENTO="Manual",ROUND(SUMPRODUCT((CÁLCULO!$M$15:$M$405=EVENTOS!$C36)*(OFFSET(CÁLCULO!$AA$15:$AA$405,0,I$13))),2),0)</f>
        <v>0</v>
      </c>
      <c r="J36" s="613" cm="1">
        <f t="array" aca="1" ref="J36" ca="1">IF(AUTOEVENTO="Manual",ROUND(SUMPRODUCT((CÁLCULO!$M$15:$M$405=EVENTOS!$C36)*(OFFSET(CÁLCULO!$AA$15:$AA$405,0,J$13))),2),0)</f>
        <v>0</v>
      </c>
      <c r="K36" s="613" cm="1">
        <f t="array" aca="1" ref="K36" ca="1">IF(AUTOEVENTO="Manual",ROUND(SUMPRODUCT((CÁLCULO!$M$15:$M$405=EVENTOS!$C36)*(OFFSET(CÁLCULO!$AA$15:$AA$405,0,K$13))),2),0)</f>
        <v>0</v>
      </c>
      <c r="L36" s="613" cm="1">
        <f t="array" aca="1" ref="L36" ca="1">IF(AUTOEVENTO="Manual",ROUND(SUMPRODUCT((CÁLCULO!$M$15:$M$405=EVENTOS!$C36)*(OFFSET(CÁLCULO!$AA$15:$AA$405,0,L$13))),2),0)</f>
        <v>0</v>
      </c>
      <c r="M36" s="613" cm="1">
        <f t="array" aca="1" ref="M36" ca="1">IF(AUTOEVENTO="Manual",ROUND(SUMPRODUCT((CÁLCULO!$M$15:$M$405=EVENTOS!$C36)*(OFFSET(CÁLCULO!$AA$15:$AA$405,0,M$13))),2),0)</f>
        <v>0</v>
      </c>
      <c r="N36" s="613" cm="1">
        <f t="array" aca="1" ref="N36" ca="1">IF(AUTOEVENTO="Manual",ROUND(SUMPRODUCT((CÁLCULO!$M$15:$M$405=EVENTOS!$C36)*(OFFSET(CÁLCULO!$AA$15:$AA$405,0,N$13))),2),0)</f>
        <v>0</v>
      </c>
      <c r="O36" s="613" cm="1">
        <f t="array" aca="1" ref="O36" ca="1">IF(AUTOEVENTO="Manual",ROUND(SUMPRODUCT((CÁLCULO!$M$15:$M$405=EVENTOS!$C36)*(OFFSET(CÁLCULO!$AA$15:$AA$405,0,O$13))),2),0)</f>
        <v>0</v>
      </c>
      <c r="P36" s="613" cm="1">
        <f t="array" aca="1" ref="P36" ca="1">IF(AUTOEVENTO="Manual",ROUND(SUMPRODUCT((CÁLCULO!$M$15:$M$405=EVENTOS!$C36)*(OFFSET(CÁLCULO!$AA$15:$AA$405,0,P$13))),2),0)</f>
        <v>0</v>
      </c>
      <c r="Q36" s="613" cm="1">
        <f t="array" aca="1" ref="Q36" ca="1">IF(AUTOEVENTO="Manual",ROUND(SUMPRODUCT((CÁLCULO!$M$15:$M$405=EVENTOS!$C36)*(OFFSET(CÁLCULO!$AA$15:$AA$405,0,Q$13))),2),0)</f>
        <v>0</v>
      </c>
      <c r="R36" s="613" cm="1">
        <f t="array" aca="1" ref="R36" ca="1">IF(AUTOEVENTO="Manual",ROUND(SUMPRODUCT((CÁLCULO!$M$15:$M$405=EVENTOS!$C36)*(OFFSET(CÁLCULO!$AA$15:$AA$405,0,R$13))),2),0)</f>
        <v>0</v>
      </c>
      <c r="S36" s="613" cm="1">
        <f t="array" aca="1" ref="S36" ca="1">IF(AUTOEVENTO="Manual",ROUND(SUMPRODUCT((CÁLCULO!$M$15:$M$405=EVENTOS!$C36)*(OFFSET(CÁLCULO!$AA$15:$AA$405,0,S$13))),2),0)</f>
        <v>0</v>
      </c>
      <c r="T36" s="613" cm="1">
        <f t="array" aca="1" ref="T36" ca="1">IF(AUTOEVENTO="Manual",ROUND(SUMPRODUCT((CÁLCULO!$M$15:$M$405=EVENTOS!$C36)*(OFFSET(CÁLCULO!$AA$15:$AA$405,0,T$13))),2),0)</f>
        <v>0</v>
      </c>
      <c r="U36" s="613" cm="1">
        <f t="array" aca="1" ref="U36" ca="1">IF(AUTOEVENTO="Manual",ROUND(SUMPRODUCT((CÁLCULO!$M$15:$M$405=EVENTOS!$C36)*(OFFSET(CÁLCULO!$AA$15:$AA$405,0,U$13))),2),0)</f>
        <v>0</v>
      </c>
      <c r="V36" s="613" cm="1">
        <f t="array" aca="1" ref="V36" ca="1">IF(AUTOEVENTO="Manual",ROUND(SUMPRODUCT((CÁLCULO!$M$15:$M$405=EVENTOS!$C36)*(OFFSET(CÁLCULO!$AA$15:$AA$405,0,V$13))),2),0)</f>
        <v>0</v>
      </c>
      <c r="W36" s="613" cm="1">
        <f t="array" aca="1" ref="W36" ca="1">IF(AUTOEVENTO="Manual",ROUND(SUMPRODUCT((CÁLCULO!$M$15:$M$405=EVENTOS!$C36)*(OFFSET(CÁLCULO!$AA$15:$AA$405,0,W$13))),2),0)</f>
        <v>0</v>
      </c>
      <c r="X36" s="613" cm="1">
        <f t="array" aca="1" ref="X36" ca="1">IF(AUTOEVENTO="Manual",ROUND(SUMPRODUCT((CÁLCULO!$M$15:$M$405=EVENTOS!$C36)*(OFFSET(CÁLCULO!$AA$15:$AA$405,0,X$13))),2),0)</f>
        <v>0</v>
      </c>
      <c r="Y36" s="613" cm="1">
        <f t="array" aca="1" ref="Y36" ca="1">IF(AUTOEVENTO="Manual",ROUND(SUMPRODUCT((CÁLCULO!$M$15:$M$405=EVENTOS!$C36)*(OFFSET(CÁLCULO!$AA$15:$AA$405,0,Y$13))),2),0)</f>
        <v>0</v>
      </c>
    </row>
    <row r="37" spans="1:25" x14ac:dyDescent="0.2">
      <c r="A37" s="507" t="str">
        <f t="shared" si="3"/>
        <v/>
      </c>
      <c r="B37" t="str">
        <f t="shared" ca="1" si="4"/>
        <v/>
      </c>
      <c r="C37" s="183" t="str" cm="1">
        <f t="array" aca="1" ref="C37" ca="1">IF(OR(ROW(C37)=ROW(EVENTOS.firstrow)+1,AND(OFFSET(C37,-1,0)&lt;&gt;" ",OFFSET(C37,-1,1)&lt;&gt;"")),OFFSET(C37,-1,0)+1," ")</f>
        <v xml:space="preserve"> </v>
      </c>
      <c r="D37" s="497"/>
      <c r="E37" s="613" cm="1">
        <f t="array" aca="1" ref="E37" ca="1">IF(AUTOEVENTO="Manual",ROUND(SUMPRODUCT((CÁLCULO!$M$15:$M$405=EVENTOS!$C37)*(OFFSET(CÁLCULO!$AA$15:$AA$405,0,E$13))),2),0)</f>
        <v>0</v>
      </c>
      <c r="F37" s="184">
        <f ca="1">IF(AUTOEVENTO="Manual",ROUND(SUMPRODUCT((CÁLCULO!$M$15:$M$405=EVENTOS!$C37)*(OFFSET(CÁLCULO!$AA$15,0,1):OFFSET(CÁLCULO!$AL$405,0,-1))),2),0)</f>
        <v>0</v>
      </c>
      <c r="G37" s="614" t="str">
        <f t="shared" ca="1" si="5"/>
        <v/>
      </c>
      <c r="H37" s="613" cm="1">
        <f t="array" aca="1" ref="H37" ca="1">IF(AUTOEVENTO="Manual",ROUND(SUMPRODUCT((CÁLCULO!$M$15:$M$405=EVENTOS!$C37)*(OFFSET(CÁLCULO!$AA$15:$AA$405,0,H$13))),2),0)</f>
        <v>0</v>
      </c>
      <c r="I37" s="613" cm="1">
        <f t="array" aca="1" ref="I37" ca="1">IF(AUTOEVENTO="Manual",ROUND(SUMPRODUCT((CÁLCULO!$M$15:$M$405=EVENTOS!$C37)*(OFFSET(CÁLCULO!$AA$15:$AA$405,0,I$13))),2),0)</f>
        <v>0</v>
      </c>
      <c r="J37" s="613" cm="1">
        <f t="array" aca="1" ref="J37" ca="1">IF(AUTOEVENTO="Manual",ROUND(SUMPRODUCT((CÁLCULO!$M$15:$M$405=EVENTOS!$C37)*(OFFSET(CÁLCULO!$AA$15:$AA$405,0,J$13))),2),0)</f>
        <v>0</v>
      </c>
      <c r="K37" s="613" cm="1">
        <f t="array" aca="1" ref="K37" ca="1">IF(AUTOEVENTO="Manual",ROUND(SUMPRODUCT((CÁLCULO!$M$15:$M$405=EVENTOS!$C37)*(OFFSET(CÁLCULO!$AA$15:$AA$405,0,K$13))),2),0)</f>
        <v>0</v>
      </c>
      <c r="L37" s="613" cm="1">
        <f t="array" aca="1" ref="L37" ca="1">IF(AUTOEVENTO="Manual",ROUND(SUMPRODUCT((CÁLCULO!$M$15:$M$405=EVENTOS!$C37)*(OFFSET(CÁLCULO!$AA$15:$AA$405,0,L$13))),2),0)</f>
        <v>0</v>
      </c>
      <c r="M37" s="613" cm="1">
        <f t="array" aca="1" ref="M37" ca="1">IF(AUTOEVENTO="Manual",ROUND(SUMPRODUCT((CÁLCULO!$M$15:$M$405=EVENTOS!$C37)*(OFFSET(CÁLCULO!$AA$15:$AA$405,0,M$13))),2),0)</f>
        <v>0</v>
      </c>
      <c r="N37" s="613" cm="1">
        <f t="array" aca="1" ref="N37" ca="1">IF(AUTOEVENTO="Manual",ROUND(SUMPRODUCT((CÁLCULO!$M$15:$M$405=EVENTOS!$C37)*(OFFSET(CÁLCULO!$AA$15:$AA$405,0,N$13))),2),0)</f>
        <v>0</v>
      </c>
      <c r="O37" s="613" cm="1">
        <f t="array" aca="1" ref="O37" ca="1">IF(AUTOEVENTO="Manual",ROUND(SUMPRODUCT((CÁLCULO!$M$15:$M$405=EVENTOS!$C37)*(OFFSET(CÁLCULO!$AA$15:$AA$405,0,O$13))),2),0)</f>
        <v>0</v>
      </c>
      <c r="P37" s="613" cm="1">
        <f t="array" aca="1" ref="P37" ca="1">IF(AUTOEVENTO="Manual",ROUND(SUMPRODUCT((CÁLCULO!$M$15:$M$405=EVENTOS!$C37)*(OFFSET(CÁLCULO!$AA$15:$AA$405,0,P$13))),2),0)</f>
        <v>0</v>
      </c>
      <c r="Q37" s="613" cm="1">
        <f t="array" aca="1" ref="Q37" ca="1">IF(AUTOEVENTO="Manual",ROUND(SUMPRODUCT((CÁLCULO!$M$15:$M$405=EVENTOS!$C37)*(OFFSET(CÁLCULO!$AA$15:$AA$405,0,Q$13))),2),0)</f>
        <v>0</v>
      </c>
      <c r="R37" s="613" cm="1">
        <f t="array" aca="1" ref="R37" ca="1">IF(AUTOEVENTO="Manual",ROUND(SUMPRODUCT((CÁLCULO!$M$15:$M$405=EVENTOS!$C37)*(OFFSET(CÁLCULO!$AA$15:$AA$405,0,R$13))),2),0)</f>
        <v>0</v>
      </c>
      <c r="S37" s="613" cm="1">
        <f t="array" aca="1" ref="S37" ca="1">IF(AUTOEVENTO="Manual",ROUND(SUMPRODUCT((CÁLCULO!$M$15:$M$405=EVENTOS!$C37)*(OFFSET(CÁLCULO!$AA$15:$AA$405,0,S$13))),2),0)</f>
        <v>0</v>
      </c>
      <c r="T37" s="613" cm="1">
        <f t="array" aca="1" ref="T37" ca="1">IF(AUTOEVENTO="Manual",ROUND(SUMPRODUCT((CÁLCULO!$M$15:$M$405=EVENTOS!$C37)*(OFFSET(CÁLCULO!$AA$15:$AA$405,0,T$13))),2),0)</f>
        <v>0</v>
      </c>
      <c r="U37" s="613" cm="1">
        <f t="array" aca="1" ref="U37" ca="1">IF(AUTOEVENTO="Manual",ROUND(SUMPRODUCT((CÁLCULO!$M$15:$M$405=EVENTOS!$C37)*(OFFSET(CÁLCULO!$AA$15:$AA$405,0,U$13))),2),0)</f>
        <v>0</v>
      </c>
      <c r="V37" s="613" cm="1">
        <f t="array" aca="1" ref="V37" ca="1">IF(AUTOEVENTO="Manual",ROUND(SUMPRODUCT((CÁLCULO!$M$15:$M$405=EVENTOS!$C37)*(OFFSET(CÁLCULO!$AA$15:$AA$405,0,V$13))),2),0)</f>
        <v>0</v>
      </c>
      <c r="W37" s="613" cm="1">
        <f t="array" aca="1" ref="W37" ca="1">IF(AUTOEVENTO="Manual",ROUND(SUMPRODUCT((CÁLCULO!$M$15:$M$405=EVENTOS!$C37)*(OFFSET(CÁLCULO!$AA$15:$AA$405,0,W$13))),2),0)</f>
        <v>0</v>
      </c>
      <c r="X37" s="613" cm="1">
        <f t="array" aca="1" ref="X37" ca="1">IF(AUTOEVENTO="Manual",ROUND(SUMPRODUCT((CÁLCULO!$M$15:$M$405=EVENTOS!$C37)*(OFFSET(CÁLCULO!$AA$15:$AA$405,0,X$13))),2),0)</f>
        <v>0</v>
      </c>
      <c r="Y37" s="613" cm="1">
        <f t="array" aca="1" ref="Y37" ca="1">IF(AUTOEVENTO="Manual",ROUND(SUMPRODUCT((CÁLCULO!$M$15:$M$405=EVENTOS!$C37)*(OFFSET(CÁLCULO!$AA$15:$AA$405,0,Y$13))),2),0)</f>
        <v>0</v>
      </c>
    </row>
    <row r="38" spans="1:25" x14ac:dyDescent="0.2">
      <c r="A38" s="507" t="str">
        <f t="shared" si="3"/>
        <v/>
      </c>
      <c r="B38" t="str">
        <f t="shared" ca="1" si="4"/>
        <v/>
      </c>
      <c r="C38" s="183" t="str" cm="1">
        <f t="array" aca="1" ref="C38" ca="1">IF(OR(ROW(C38)=ROW(EVENTOS.firstrow)+1,AND(OFFSET(C38,-1,0)&lt;&gt;" ",OFFSET(C38,-1,1)&lt;&gt;"")),OFFSET(C38,-1,0)+1," ")</f>
        <v xml:space="preserve"> </v>
      </c>
      <c r="D38" s="497"/>
      <c r="E38" s="613" cm="1">
        <f t="array" aca="1" ref="E38" ca="1">IF(AUTOEVENTO="Manual",ROUND(SUMPRODUCT((CÁLCULO!$M$15:$M$405=EVENTOS!$C38)*(OFFSET(CÁLCULO!$AA$15:$AA$405,0,E$13))),2),0)</f>
        <v>0</v>
      </c>
      <c r="F38" s="184">
        <f ca="1">IF(AUTOEVENTO="Manual",ROUND(SUMPRODUCT((CÁLCULO!$M$15:$M$405=EVENTOS!$C38)*(OFFSET(CÁLCULO!$AA$15,0,1):OFFSET(CÁLCULO!$AL$405,0,-1))),2),0)</f>
        <v>0</v>
      </c>
      <c r="G38" s="614" t="str">
        <f t="shared" ca="1" si="5"/>
        <v/>
      </c>
      <c r="H38" s="613" cm="1">
        <f t="array" aca="1" ref="H38" ca="1">IF(AUTOEVENTO="Manual",ROUND(SUMPRODUCT((CÁLCULO!$M$15:$M$405=EVENTOS!$C38)*(OFFSET(CÁLCULO!$AA$15:$AA$405,0,H$13))),2),0)</f>
        <v>0</v>
      </c>
      <c r="I38" s="613" cm="1">
        <f t="array" aca="1" ref="I38" ca="1">IF(AUTOEVENTO="Manual",ROUND(SUMPRODUCT((CÁLCULO!$M$15:$M$405=EVENTOS!$C38)*(OFFSET(CÁLCULO!$AA$15:$AA$405,0,I$13))),2),0)</f>
        <v>0</v>
      </c>
      <c r="J38" s="613" cm="1">
        <f t="array" aca="1" ref="J38" ca="1">IF(AUTOEVENTO="Manual",ROUND(SUMPRODUCT((CÁLCULO!$M$15:$M$405=EVENTOS!$C38)*(OFFSET(CÁLCULO!$AA$15:$AA$405,0,J$13))),2),0)</f>
        <v>0</v>
      </c>
      <c r="K38" s="613" cm="1">
        <f t="array" aca="1" ref="K38" ca="1">IF(AUTOEVENTO="Manual",ROUND(SUMPRODUCT((CÁLCULO!$M$15:$M$405=EVENTOS!$C38)*(OFFSET(CÁLCULO!$AA$15:$AA$405,0,K$13))),2),0)</f>
        <v>0</v>
      </c>
      <c r="L38" s="613" cm="1">
        <f t="array" aca="1" ref="L38" ca="1">IF(AUTOEVENTO="Manual",ROUND(SUMPRODUCT((CÁLCULO!$M$15:$M$405=EVENTOS!$C38)*(OFFSET(CÁLCULO!$AA$15:$AA$405,0,L$13))),2),0)</f>
        <v>0</v>
      </c>
      <c r="M38" s="613" cm="1">
        <f t="array" aca="1" ref="M38" ca="1">IF(AUTOEVENTO="Manual",ROUND(SUMPRODUCT((CÁLCULO!$M$15:$M$405=EVENTOS!$C38)*(OFFSET(CÁLCULO!$AA$15:$AA$405,0,M$13))),2),0)</f>
        <v>0</v>
      </c>
      <c r="N38" s="613" cm="1">
        <f t="array" aca="1" ref="N38" ca="1">IF(AUTOEVENTO="Manual",ROUND(SUMPRODUCT((CÁLCULO!$M$15:$M$405=EVENTOS!$C38)*(OFFSET(CÁLCULO!$AA$15:$AA$405,0,N$13))),2),0)</f>
        <v>0</v>
      </c>
      <c r="O38" s="613" cm="1">
        <f t="array" aca="1" ref="O38" ca="1">IF(AUTOEVENTO="Manual",ROUND(SUMPRODUCT((CÁLCULO!$M$15:$M$405=EVENTOS!$C38)*(OFFSET(CÁLCULO!$AA$15:$AA$405,0,O$13))),2),0)</f>
        <v>0</v>
      </c>
      <c r="P38" s="613" cm="1">
        <f t="array" aca="1" ref="P38" ca="1">IF(AUTOEVENTO="Manual",ROUND(SUMPRODUCT((CÁLCULO!$M$15:$M$405=EVENTOS!$C38)*(OFFSET(CÁLCULO!$AA$15:$AA$405,0,P$13))),2),0)</f>
        <v>0</v>
      </c>
      <c r="Q38" s="613" cm="1">
        <f t="array" aca="1" ref="Q38" ca="1">IF(AUTOEVENTO="Manual",ROUND(SUMPRODUCT((CÁLCULO!$M$15:$M$405=EVENTOS!$C38)*(OFFSET(CÁLCULO!$AA$15:$AA$405,0,Q$13))),2),0)</f>
        <v>0</v>
      </c>
      <c r="R38" s="613" cm="1">
        <f t="array" aca="1" ref="R38" ca="1">IF(AUTOEVENTO="Manual",ROUND(SUMPRODUCT((CÁLCULO!$M$15:$M$405=EVENTOS!$C38)*(OFFSET(CÁLCULO!$AA$15:$AA$405,0,R$13))),2),0)</f>
        <v>0</v>
      </c>
      <c r="S38" s="613" cm="1">
        <f t="array" aca="1" ref="S38" ca="1">IF(AUTOEVENTO="Manual",ROUND(SUMPRODUCT((CÁLCULO!$M$15:$M$405=EVENTOS!$C38)*(OFFSET(CÁLCULO!$AA$15:$AA$405,0,S$13))),2),0)</f>
        <v>0</v>
      </c>
      <c r="T38" s="613" cm="1">
        <f t="array" aca="1" ref="T38" ca="1">IF(AUTOEVENTO="Manual",ROUND(SUMPRODUCT((CÁLCULO!$M$15:$M$405=EVENTOS!$C38)*(OFFSET(CÁLCULO!$AA$15:$AA$405,0,T$13))),2),0)</f>
        <v>0</v>
      </c>
      <c r="U38" s="613" cm="1">
        <f t="array" aca="1" ref="U38" ca="1">IF(AUTOEVENTO="Manual",ROUND(SUMPRODUCT((CÁLCULO!$M$15:$M$405=EVENTOS!$C38)*(OFFSET(CÁLCULO!$AA$15:$AA$405,0,U$13))),2),0)</f>
        <v>0</v>
      </c>
      <c r="V38" s="613" cm="1">
        <f t="array" aca="1" ref="V38" ca="1">IF(AUTOEVENTO="Manual",ROUND(SUMPRODUCT((CÁLCULO!$M$15:$M$405=EVENTOS!$C38)*(OFFSET(CÁLCULO!$AA$15:$AA$405,0,V$13))),2),0)</f>
        <v>0</v>
      </c>
      <c r="W38" s="613" cm="1">
        <f t="array" aca="1" ref="W38" ca="1">IF(AUTOEVENTO="Manual",ROUND(SUMPRODUCT((CÁLCULO!$M$15:$M$405=EVENTOS!$C38)*(OFFSET(CÁLCULO!$AA$15:$AA$405,0,W$13))),2),0)</f>
        <v>0</v>
      </c>
      <c r="X38" s="613" cm="1">
        <f t="array" aca="1" ref="X38" ca="1">IF(AUTOEVENTO="Manual",ROUND(SUMPRODUCT((CÁLCULO!$M$15:$M$405=EVENTOS!$C38)*(OFFSET(CÁLCULO!$AA$15:$AA$405,0,X$13))),2),0)</f>
        <v>0</v>
      </c>
      <c r="Y38" s="613" cm="1">
        <f t="array" aca="1" ref="Y38" ca="1">IF(AUTOEVENTO="Manual",ROUND(SUMPRODUCT((CÁLCULO!$M$15:$M$405=EVENTOS!$C38)*(OFFSET(CÁLCULO!$AA$15:$AA$405,0,Y$13))),2),0)</f>
        <v>0</v>
      </c>
    </row>
    <row r="39" spans="1:25" x14ac:dyDescent="0.2">
      <c r="A39" s="507" t="str">
        <f t="shared" si="3"/>
        <v/>
      </c>
      <c r="B39" t="str">
        <f t="shared" ca="1" si="4"/>
        <v/>
      </c>
      <c r="C39" s="183" t="str" cm="1">
        <f t="array" aca="1" ref="C39" ca="1">IF(OR(ROW(C39)=ROW(EVENTOS.firstrow)+1,AND(OFFSET(C39,-1,0)&lt;&gt;" ",OFFSET(C39,-1,1)&lt;&gt;"")),OFFSET(C39,-1,0)+1," ")</f>
        <v xml:space="preserve"> </v>
      </c>
      <c r="D39" s="497"/>
      <c r="E39" s="613" cm="1">
        <f t="array" aca="1" ref="E39" ca="1">IF(AUTOEVENTO="Manual",ROUND(SUMPRODUCT((CÁLCULO!$M$15:$M$405=EVENTOS!$C39)*(OFFSET(CÁLCULO!$AA$15:$AA$405,0,E$13))),2),0)</f>
        <v>0</v>
      </c>
      <c r="F39" s="184">
        <f ca="1">IF(AUTOEVENTO="Manual",ROUND(SUMPRODUCT((CÁLCULO!$M$15:$M$405=EVENTOS!$C39)*(OFFSET(CÁLCULO!$AA$15,0,1):OFFSET(CÁLCULO!$AL$405,0,-1))),2),0)</f>
        <v>0</v>
      </c>
      <c r="G39" s="614" t="str">
        <f t="shared" ca="1" si="5"/>
        <v/>
      </c>
      <c r="H39" s="613" cm="1">
        <f t="array" aca="1" ref="H39" ca="1">IF(AUTOEVENTO="Manual",ROUND(SUMPRODUCT((CÁLCULO!$M$15:$M$405=EVENTOS!$C39)*(OFFSET(CÁLCULO!$AA$15:$AA$405,0,H$13))),2),0)</f>
        <v>0</v>
      </c>
      <c r="I39" s="613" cm="1">
        <f t="array" aca="1" ref="I39" ca="1">IF(AUTOEVENTO="Manual",ROUND(SUMPRODUCT((CÁLCULO!$M$15:$M$405=EVENTOS!$C39)*(OFFSET(CÁLCULO!$AA$15:$AA$405,0,I$13))),2),0)</f>
        <v>0</v>
      </c>
      <c r="J39" s="613" cm="1">
        <f t="array" aca="1" ref="J39" ca="1">IF(AUTOEVENTO="Manual",ROUND(SUMPRODUCT((CÁLCULO!$M$15:$M$405=EVENTOS!$C39)*(OFFSET(CÁLCULO!$AA$15:$AA$405,0,J$13))),2),0)</f>
        <v>0</v>
      </c>
      <c r="K39" s="613" cm="1">
        <f t="array" aca="1" ref="K39" ca="1">IF(AUTOEVENTO="Manual",ROUND(SUMPRODUCT((CÁLCULO!$M$15:$M$405=EVENTOS!$C39)*(OFFSET(CÁLCULO!$AA$15:$AA$405,0,K$13))),2),0)</f>
        <v>0</v>
      </c>
      <c r="L39" s="613" cm="1">
        <f t="array" aca="1" ref="L39" ca="1">IF(AUTOEVENTO="Manual",ROUND(SUMPRODUCT((CÁLCULO!$M$15:$M$405=EVENTOS!$C39)*(OFFSET(CÁLCULO!$AA$15:$AA$405,0,L$13))),2),0)</f>
        <v>0</v>
      </c>
      <c r="M39" s="613" cm="1">
        <f t="array" aca="1" ref="M39" ca="1">IF(AUTOEVENTO="Manual",ROUND(SUMPRODUCT((CÁLCULO!$M$15:$M$405=EVENTOS!$C39)*(OFFSET(CÁLCULO!$AA$15:$AA$405,0,M$13))),2),0)</f>
        <v>0</v>
      </c>
      <c r="N39" s="613" cm="1">
        <f t="array" aca="1" ref="N39" ca="1">IF(AUTOEVENTO="Manual",ROUND(SUMPRODUCT((CÁLCULO!$M$15:$M$405=EVENTOS!$C39)*(OFFSET(CÁLCULO!$AA$15:$AA$405,0,N$13))),2),0)</f>
        <v>0</v>
      </c>
      <c r="O39" s="613" cm="1">
        <f t="array" aca="1" ref="O39" ca="1">IF(AUTOEVENTO="Manual",ROUND(SUMPRODUCT((CÁLCULO!$M$15:$M$405=EVENTOS!$C39)*(OFFSET(CÁLCULO!$AA$15:$AA$405,0,O$13))),2),0)</f>
        <v>0</v>
      </c>
      <c r="P39" s="613" cm="1">
        <f t="array" aca="1" ref="P39" ca="1">IF(AUTOEVENTO="Manual",ROUND(SUMPRODUCT((CÁLCULO!$M$15:$M$405=EVENTOS!$C39)*(OFFSET(CÁLCULO!$AA$15:$AA$405,0,P$13))),2),0)</f>
        <v>0</v>
      </c>
      <c r="Q39" s="613" cm="1">
        <f t="array" aca="1" ref="Q39" ca="1">IF(AUTOEVENTO="Manual",ROUND(SUMPRODUCT((CÁLCULO!$M$15:$M$405=EVENTOS!$C39)*(OFFSET(CÁLCULO!$AA$15:$AA$405,0,Q$13))),2),0)</f>
        <v>0</v>
      </c>
      <c r="R39" s="613" cm="1">
        <f t="array" aca="1" ref="R39" ca="1">IF(AUTOEVENTO="Manual",ROUND(SUMPRODUCT((CÁLCULO!$M$15:$M$405=EVENTOS!$C39)*(OFFSET(CÁLCULO!$AA$15:$AA$405,0,R$13))),2),0)</f>
        <v>0</v>
      </c>
      <c r="S39" s="613" cm="1">
        <f t="array" aca="1" ref="S39" ca="1">IF(AUTOEVENTO="Manual",ROUND(SUMPRODUCT((CÁLCULO!$M$15:$M$405=EVENTOS!$C39)*(OFFSET(CÁLCULO!$AA$15:$AA$405,0,S$13))),2),0)</f>
        <v>0</v>
      </c>
      <c r="T39" s="613" cm="1">
        <f t="array" aca="1" ref="T39" ca="1">IF(AUTOEVENTO="Manual",ROUND(SUMPRODUCT((CÁLCULO!$M$15:$M$405=EVENTOS!$C39)*(OFFSET(CÁLCULO!$AA$15:$AA$405,0,T$13))),2),0)</f>
        <v>0</v>
      </c>
      <c r="U39" s="613" cm="1">
        <f t="array" aca="1" ref="U39" ca="1">IF(AUTOEVENTO="Manual",ROUND(SUMPRODUCT((CÁLCULO!$M$15:$M$405=EVENTOS!$C39)*(OFFSET(CÁLCULO!$AA$15:$AA$405,0,U$13))),2),0)</f>
        <v>0</v>
      </c>
      <c r="V39" s="613" cm="1">
        <f t="array" aca="1" ref="V39" ca="1">IF(AUTOEVENTO="Manual",ROUND(SUMPRODUCT((CÁLCULO!$M$15:$M$405=EVENTOS!$C39)*(OFFSET(CÁLCULO!$AA$15:$AA$405,0,V$13))),2),0)</f>
        <v>0</v>
      </c>
      <c r="W39" s="613" cm="1">
        <f t="array" aca="1" ref="W39" ca="1">IF(AUTOEVENTO="Manual",ROUND(SUMPRODUCT((CÁLCULO!$M$15:$M$405=EVENTOS!$C39)*(OFFSET(CÁLCULO!$AA$15:$AA$405,0,W$13))),2),0)</f>
        <v>0</v>
      </c>
      <c r="X39" s="613" cm="1">
        <f t="array" aca="1" ref="X39" ca="1">IF(AUTOEVENTO="Manual",ROUND(SUMPRODUCT((CÁLCULO!$M$15:$M$405=EVENTOS!$C39)*(OFFSET(CÁLCULO!$AA$15:$AA$405,0,X$13))),2),0)</f>
        <v>0</v>
      </c>
      <c r="Y39" s="613" cm="1">
        <f t="array" aca="1" ref="Y39" ca="1">IF(AUTOEVENTO="Manual",ROUND(SUMPRODUCT((CÁLCULO!$M$15:$M$405=EVENTOS!$C39)*(OFFSET(CÁLCULO!$AA$15:$AA$405,0,Y$13))),2),0)</f>
        <v>0</v>
      </c>
    </row>
    <row r="40" spans="1:25" x14ac:dyDescent="0.2">
      <c r="A40" s="507" t="str">
        <f t="shared" si="3"/>
        <v/>
      </c>
      <c r="B40" t="str">
        <f t="shared" ca="1" si="4"/>
        <v/>
      </c>
      <c r="C40" s="183" t="str" cm="1">
        <f t="array" aca="1" ref="C40" ca="1">IF(OR(ROW(C40)=ROW(EVENTOS.firstrow)+1,AND(OFFSET(C40,-1,0)&lt;&gt;" ",OFFSET(C40,-1,1)&lt;&gt;"")),OFFSET(C40,-1,0)+1," ")</f>
        <v xml:space="preserve"> </v>
      </c>
      <c r="D40" s="497"/>
      <c r="E40" s="613" cm="1">
        <f t="array" aca="1" ref="E40" ca="1">IF(AUTOEVENTO="Manual",ROUND(SUMPRODUCT((CÁLCULO!$M$15:$M$405=EVENTOS!$C40)*(OFFSET(CÁLCULO!$AA$15:$AA$405,0,E$13))),2),0)</f>
        <v>0</v>
      </c>
      <c r="F40" s="184">
        <f ca="1">IF(AUTOEVENTO="Manual",ROUND(SUMPRODUCT((CÁLCULO!$M$15:$M$405=EVENTOS!$C40)*(OFFSET(CÁLCULO!$AA$15,0,1):OFFSET(CÁLCULO!$AL$405,0,-1))),2),0)</f>
        <v>0</v>
      </c>
      <c r="G40" s="614" t="str">
        <f t="shared" ca="1" si="5"/>
        <v/>
      </c>
      <c r="H40" s="613" cm="1">
        <f t="array" aca="1" ref="H40" ca="1">IF(AUTOEVENTO="Manual",ROUND(SUMPRODUCT((CÁLCULO!$M$15:$M$405=EVENTOS!$C40)*(OFFSET(CÁLCULO!$AA$15:$AA$405,0,H$13))),2),0)</f>
        <v>0</v>
      </c>
      <c r="I40" s="613" cm="1">
        <f t="array" aca="1" ref="I40" ca="1">IF(AUTOEVENTO="Manual",ROUND(SUMPRODUCT((CÁLCULO!$M$15:$M$405=EVENTOS!$C40)*(OFFSET(CÁLCULO!$AA$15:$AA$405,0,I$13))),2),0)</f>
        <v>0</v>
      </c>
      <c r="J40" s="613" cm="1">
        <f t="array" aca="1" ref="J40" ca="1">IF(AUTOEVENTO="Manual",ROUND(SUMPRODUCT((CÁLCULO!$M$15:$M$405=EVENTOS!$C40)*(OFFSET(CÁLCULO!$AA$15:$AA$405,0,J$13))),2),0)</f>
        <v>0</v>
      </c>
      <c r="K40" s="613" cm="1">
        <f t="array" aca="1" ref="K40" ca="1">IF(AUTOEVENTO="Manual",ROUND(SUMPRODUCT((CÁLCULO!$M$15:$M$405=EVENTOS!$C40)*(OFFSET(CÁLCULO!$AA$15:$AA$405,0,K$13))),2),0)</f>
        <v>0</v>
      </c>
      <c r="L40" s="613" cm="1">
        <f t="array" aca="1" ref="L40" ca="1">IF(AUTOEVENTO="Manual",ROUND(SUMPRODUCT((CÁLCULO!$M$15:$M$405=EVENTOS!$C40)*(OFFSET(CÁLCULO!$AA$15:$AA$405,0,L$13))),2),0)</f>
        <v>0</v>
      </c>
      <c r="M40" s="613" cm="1">
        <f t="array" aca="1" ref="M40" ca="1">IF(AUTOEVENTO="Manual",ROUND(SUMPRODUCT((CÁLCULO!$M$15:$M$405=EVENTOS!$C40)*(OFFSET(CÁLCULO!$AA$15:$AA$405,0,M$13))),2),0)</f>
        <v>0</v>
      </c>
      <c r="N40" s="613" cm="1">
        <f t="array" aca="1" ref="N40" ca="1">IF(AUTOEVENTO="Manual",ROUND(SUMPRODUCT((CÁLCULO!$M$15:$M$405=EVENTOS!$C40)*(OFFSET(CÁLCULO!$AA$15:$AA$405,0,N$13))),2),0)</f>
        <v>0</v>
      </c>
      <c r="O40" s="613" cm="1">
        <f t="array" aca="1" ref="O40" ca="1">IF(AUTOEVENTO="Manual",ROUND(SUMPRODUCT((CÁLCULO!$M$15:$M$405=EVENTOS!$C40)*(OFFSET(CÁLCULO!$AA$15:$AA$405,0,O$13))),2),0)</f>
        <v>0</v>
      </c>
      <c r="P40" s="613" cm="1">
        <f t="array" aca="1" ref="P40" ca="1">IF(AUTOEVENTO="Manual",ROUND(SUMPRODUCT((CÁLCULO!$M$15:$M$405=EVENTOS!$C40)*(OFFSET(CÁLCULO!$AA$15:$AA$405,0,P$13))),2),0)</f>
        <v>0</v>
      </c>
      <c r="Q40" s="613" cm="1">
        <f t="array" aca="1" ref="Q40" ca="1">IF(AUTOEVENTO="Manual",ROUND(SUMPRODUCT((CÁLCULO!$M$15:$M$405=EVENTOS!$C40)*(OFFSET(CÁLCULO!$AA$15:$AA$405,0,Q$13))),2),0)</f>
        <v>0</v>
      </c>
      <c r="R40" s="613" cm="1">
        <f t="array" aca="1" ref="R40" ca="1">IF(AUTOEVENTO="Manual",ROUND(SUMPRODUCT((CÁLCULO!$M$15:$M$405=EVENTOS!$C40)*(OFFSET(CÁLCULO!$AA$15:$AA$405,0,R$13))),2),0)</f>
        <v>0</v>
      </c>
      <c r="S40" s="613" cm="1">
        <f t="array" aca="1" ref="S40" ca="1">IF(AUTOEVENTO="Manual",ROUND(SUMPRODUCT((CÁLCULO!$M$15:$M$405=EVENTOS!$C40)*(OFFSET(CÁLCULO!$AA$15:$AA$405,0,S$13))),2),0)</f>
        <v>0</v>
      </c>
      <c r="T40" s="613" cm="1">
        <f t="array" aca="1" ref="T40" ca="1">IF(AUTOEVENTO="Manual",ROUND(SUMPRODUCT((CÁLCULO!$M$15:$M$405=EVENTOS!$C40)*(OFFSET(CÁLCULO!$AA$15:$AA$405,0,T$13))),2),0)</f>
        <v>0</v>
      </c>
      <c r="U40" s="613" cm="1">
        <f t="array" aca="1" ref="U40" ca="1">IF(AUTOEVENTO="Manual",ROUND(SUMPRODUCT((CÁLCULO!$M$15:$M$405=EVENTOS!$C40)*(OFFSET(CÁLCULO!$AA$15:$AA$405,0,U$13))),2),0)</f>
        <v>0</v>
      </c>
      <c r="V40" s="613" cm="1">
        <f t="array" aca="1" ref="V40" ca="1">IF(AUTOEVENTO="Manual",ROUND(SUMPRODUCT((CÁLCULO!$M$15:$M$405=EVENTOS!$C40)*(OFFSET(CÁLCULO!$AA$15:$AA$405,0,V$13))),2),0)</f>
        <v>0</v>
      </c>
      <c r="W40" s="613" cm="1">
        <f t="array" aca="1" ref="W40" ca="1">IF(AUTOEVENTO="Manual",ROUND(SUMPRODUCT((CÁLCULO!$M$15:$M$405=EVENTOS!$C40)*(OFFSET(CÁLCULO!$AA$15:$AA$405,0,W$13))),2),0)</f>
        <v>0</v>
      </c>
      <c r="X40" s="613" cm="1">
        <f t="array" aca="1" ref="X40" ca="1">IF(AUTOEVENTO="Manual",ROUND(SUMPRODUCT((CÁLCULO!$M$15:$M$405=EVENTOS!$C40)*(OFFSET(CÁLCULO!$AA$15:$AA$405,0,X$13))),2),0)</f>
        <v>0</v>
      </c>
      <c r="Y40" s="613" cm="1">
        <f t="array" aca="1" ref="Y40" ca="1">IF(AUTOEVENTO="Manual",ROUND(SUMPRODUCT((CÁLCULO!$M$15:$M$405=EVENTOS!$C40)*(OFFSET(CÁLCULO!$AA$15:$AA$405,0,Y$13))),2),0)</f>
        <v>0</v>
      </c>
    </row>
    <row r="41" spans="1:25" x14ac:dyDescent="0.2">
      <c r="A41" s="507" t="str">
        <f t="shared" si="3"/>
        <v/>
      </c>
      <c r="B41" t="str">
        <f t="shared" ca="1" si="4"/>
        <v/>
      </c>
      <c r="C41" s="183" t="str" cm="1">
        <f t="array" aca="1" ref="C41" ca="1">IF(OR(ROW(C41)=ROW(EVENTOS.firstrow)+1,AND(OFFSET(C41,-1,0)&lt;&gt;" ",OFFSET(C41,-1,1)&lt;&gt;"")),OFFSET(C41,-1,0)+1," ")</f>
        <v xml:space="preserve"> </v>
      </c>
      <c r="D41" s="497"/>
      <c r="E41" s="613" cm="1">
        <f t="array" aca="1" ref="E41" ca="1">IF(AUTOEVENTO="Manual",ROUND(SUMPRODUCT((CÁLCULO!$M$15:$M$405=EVENTOS!$C41)*(OFFSET(CÁLCULO!$AA$15:$AA$405,0,E$13))),2),0)</f>
        <v>0</v>
      </c>
      <c r="F41" s="184">
        <f ca="1">IF(AUTOEVENTO="Manual",ROUND(SUMPRODUCT((CÁLCULO!$M$15:$M$405=EVENTOS!$C41)*(OFFSET(CÁLCULO!$AA$15,0,1):OFFSET(CÁLCULO!$AL$405,0,-1))),2),0)</f>
        <v>0</v>
      </c>
      <c r="G41" s="614" t="str">
        <f t="shared" ca="1" si="5"/>
        <v/>
      </c>
      <c r="H41" s="613" cm="1">
        <f t="array" aca="1" ref="H41" ca="1">IF(AUTOEVENTO="Manual",ROUND(SUMPRODUCT((CÁLCULO!$M$15:$M$405=EVENTOS!$C41)*(OFFSET(CÁLCULO!$AA$15:$AA$405,0,H$13))),2),0)</f>
        <v>0</v>
      </c>
      <c r="I41" s="613" cm="1">
        <f t="array" aca="1" ref="I41" ca="1">IF(AUTOEVENTO="Manual",ROUND(SUMPRODUCT((CÁLCULO!$M$15:$M$405=EVENTOS!$C41)*(OFFSET(CÁLCULO!$AA$15:$AA$405,0,I$13))),2),0)</f>
        <v>0</v>
      </c>
      <c r="J41" s="613" cm="1">
        <f t="array" aca="1" ref="J41" ca="1">IF(AUTOEVENTO="Manual",ROUND(SUMPRODUCT((CÁLCULO!$M$15:$M$405=EVENTOS!$C41)*(OFFSET(CÁLCULO!$AA$15:$AA$405,0,J$13))),2),0)</f>
        <v>0</v>
      </c>
      <c r="K41" s="613" cm="1">
        <f t="array" aca="1" ref="K41" ca="1">IF(AUTOEVENTO="Manual",ROUND(SUMPRODUCT((CÁLCULO!$M$15:$M$405=EVENTOS!$C41)*(OFFSET(CÁLCULO!$AA$15:$AA$405,0,K$13))),2),0)</f>
        <v>0</v>
      </c>
      <c r="L41" s="613" cm="1">
        <f t="array" aca="1" ref="L41" ca="1">IF(AUTOEVENTO="Manual",ROUND(SUMPRODUCT((CÁLCULO!$M$15:$M$405=EVENTOS!$C41)*(OFFSET(CÁLCULO!$AA$15:$AA$405,0,L$13))),2),0)</f>
        <v>0</v>
      </c>
      <c r="M41" s="613" cm="1">
        <f t="array" aca="1" ref="M41" ca="1">IF(AUTOEVENTO="Manual",ROUND(SUMPRODUCT((CÁLCULO!$M$15:$M$405=EVENTOS!$C41)*(OFFSET(CÁLCULO!$AA$15:$AA$405,0,M$13))),2),0)</f>
        <v>0</v>
      </c>
      <c r="N41" s="613" cm="1">
        <f t="array" aca="1" ref="N41" ca="1">IF(AUTOEVENTO="Manual",ROUND(SUMPRODUCT((CÁLCULO!$M$15:$M$405=EVENTOS!$C41)*(OFFSET(CÁLCULO!$AA$15:$AA$405,0,N$13))),2),0)</f>
        <v>0</v>
      </c>
      <c r="O41" s="613" cm="1">
        <f t="array" aca="1" ref="O41" ca="1">IF(AUTOEVENTO="Manual",ROUND(SUMPRODUCT((CÁLCULO!$M$15:$M$405=EVENTOS!$C41)*(OFFSET(CÁLCULO!$AA$15:$AA$405,0,O$13))),2),0)</f>
        <v>0</v>
      </c>
      <c r="P41" s="613" cm="1">
        <f t="array" aca="1" ref="P41" ca="1">IF(AUTOEVENTO="Manual",ROUND(SUMPRODUCT((CÁLCULO!$M$15:$M$405=EVENTOS!$C41)*(OFFSET(CÁLCULO!$AA$15:$AA$405,0,P$13))),2),0)</f>
        <v>0</v>
      </c>
      <c r="Q41" s="613" cm="1">
        <f t="array" aca="1" ref="Q41" ca="1">IF(AUTOEVENTO="Manual",ROUND(SUMPRODUCT((CÁLCULO!$M$15:$M$405=EVENTOS!$C41)*(OFFSET(CÁLCULO!$AA$15:$AA$405,0,Q$13))),2),0)</f>
        <v>0</v>
      </c>
      <c r="R41" s="613" cm="1">
        <f t="array" aca="1" ref="R41" ca="1">IF(AUTOEVENTO="Manual",ROUND(SUMPRODUCT((CÁLCULO!$M$15:$M$405=EVENTOS!$C41)*(OFFSET(CÁLCULO!$AA$15:$AA$405,0,R$13))),2),0)</f>
        <v>0</v>
      </c>
      <c r="S41" s="613" cm="1">
        <f t="array" aca="1" ref="S41" ca="1">IF(AUTOEVENTO="Manual",ROUND(SUMPRODUCT((CÁLCULO!$M$15:$M$405=EVENTOS!$C41)*(OFFSET(CÁLCULO!$AA$15:$AA$405,0,S$13))),2),0)</f>
        <v>0</v>
      </c>
      <c r="T41" s="613" cm="1">
        <f t="array" aca="1" ref="T41" ca="1">IF(AUTOEVENTO="Manual",ROUND(SUMPRODUCT((CÁLCULO!$M$15:$M$405=EVENTOS!$C41)*(OFFSET(CÁLCULO!$AA$15:$AA$405,0,T$13))),2),0)</f>
        <v>0</v>
      </c>
      <c r="U41" s="613" cm="1">
        <f t="array" aca="1" ref="U41" ca="1">IF(AUTOEVENTO="Manual",ROUND(SUMPRODUCT((CÁLCULO!$M$15:$M$405=EVENTOS!$C41)*(OFFSET(CÁLCULO!$AA$15:$AA$405,0,U$13))),2),0)</f>
        <v>0</v>
      </c>
      <c r="V41" s="613" cm="1">
        <f t="array" aca="1" ref="V41" ca="1">IF(AUTOEVENTO="Manual",ROUND(SUMPRODUCT((CÁLCULO!$M$15:$M$405=EVENTOS!$C41)*(OFFSET(CÁLCULO!$AA$15:$AA$405,0,V$13))),2),0)</f>
        <v>0</v>
      </c>
      <c r="W41" s="613" cm="1">
        <f t="array" aca="1" ref="W41" ca="1">IF(AUTOEVENTO="Manual",ROUND(SUMPRODUCT((CÁLCULO!$M$15:$M$405=EVENTOS!$C41)*(OFFSET(CÁLCULO!$AA$15:$AA$405,0,W$13))),2),0)</f>
        <v>0</v>
      </c>
      <c r="X41" s="613" cm="1">
        <f t="array" aca="1" ref="X41" ca="1">IF(AUTOEVENTO="Manual",ROUND(SUMPRODUCT((CÁLCULO!$M$15:$M$405=EVENTOS!$C41)*(OFFSET(CÁLCULO!$AA$15:$AA$405,0,X$13))),2),0)</f>
        <v>0</v>
      </c>
      <c r="Y41" s="613" cm="1">
        <f t="array" aca="1" ref="Y41" ca="1">IF(AUTOEVENTO="Manual",ROUND(SUMPRODUCT((CÁLCULO!$M$15:$M$405=EVENTOS!$C41)*(OFFSET(CÁLCULO!$AA$15:$AA$405,0,Y$13))),2),0)</f>
        <v>0</v>
      </c>
    </row>
    <row r="42" spans="1:25" x14ac:dyDescent="0.2">
      <c r="A42" s="507" t="str">
        <f t="shared" si="3"/>
        <v/>
      </c>
      <c r="B42" t="str">
        <f t="shared" ca="1" si="4"/>
        <v/>
      </c>
      <c r="C42" s="183" t="str" cm="1">
        <f t="array" aca="1" ref="C42" ca="1">IF(OR(ROW(C42)=ROW(EVENTOS.firstrow)+1,AND(OFFSET(C42,-1,0)&lt;&gt;" ",OFFSET(C42,-1,1)&lt;&gt;"")),OFFSET(C42,-1,0)+1," ")</f>
        <v xml:space="preserve"> </v>
      </c>
      <c r="D42" s="497"/>
      <c r="E42" s="613" cm="1">
        <f t="array" aca="1" ref="E42" ca="1">IF(AUTOEVENTO="Manual",ROUND(SUMPRODUCT((CÁLCULO!$M$15:$M$405=EVENTOS!$C42)*(OFFSET(CÁLCULO!$AA$15:$AA$405,0,E$13))),2),0)</f>
        <v>0</v>
      </c>
      <c r="F42" s="184">
        <f ca="1">IF(AUTOEVENTO="Manual",ROUND(SUMPRODUCT((CÁLCULO!$M$15:$M$405=EVENTOS!$C42)*(OFFSET(CÁLCULO!$AA$15,0,1):OFFSET(CÁLCULO!$AL$405,0,-1))),2),0)</f>
        <v>0</v>
      </c>
      <c r="G42" s="614" t="str">
        <f t="shared" ca="1" si="5"/>
        <v/>
      </c>
      <c r="H42" s="613" cm="1">
        <f t="array" aca="1" ref="H42" ca="1">IF(AUTOEVENTO="Manual",ROUND(SUMPRODUCT((CÁLCULO!$M$15:$M$405=EVENTOS!$C42)*(OFFSET(CÁLCULO!$AA$15:$AA$405,0,H$13))),2),0)</f>
        <v>0</v>
      </c>
      <c r="I42" s="613" cm="1">
        <f t="array" aca="1" ref="I42" ca="1">IF(AUTOEVENTO="Manual",ROUND(SUMPRODUCT((CÁLCULO!$M$15:$M$405=EVENTOS!$C42)*(OFFSET(CÁLCULO!$AA$15:$AA$405,0,I$13))),2),0)</f>
        <v>0</v>
      </c>
      <c r="J42" s="613" cm="1">
        <f t="array" aca="1" ref="J42" ca="1">IF(AUTOEVENTO="Manual",ROUND(SUMPRODUCT((CÁLCULO!$M$15:$M$405=EVENTOS!$C42)*(OFFSET(CÁLCULO!$AA$15:$AA$405,0,J$13))),2),0)</f>
        <v>0</v>
      </c>
      <c r="K42" s="613" cm="1">
        <f t="array" aca="1" ref="K42" ca="1">IF(AUTOEVENTO="Manual",ROUND(SUMPRODUCT((CÁLCULO!$M$15:$M$405=EVENTOS!$C42)*(OFFSET(CÁLCULO!$AA$15:$AA$405,0,K$13))),2),0)</f>
        <v>0</v>
      </c>
      <c r="L42" s="613" cm="1">
        <f t="array" aca="1" ref="L42" ca="1">IF(AUTOEVENTO="Manual",ROUND(SUMPRODUCT((CÁLCULO!$M$15:$M$405=EVENTOS!$C42)*(OFFSET(CÁLCULO!$AA$15:$AA$405,0,L$13))),2),0)</f>
        <v>0</v>
      </c>
      <c r="M42" s="613" cm="1">
        <f t="array" aca="1" ref="M42" ca="1">IF(AUTOEVENTO="Manual",ROUND(SUMPRODUCT((CÁLCULO!$M$15:$M$405=EVENTOS!$C42)*(OFFSET(CÁLCULO!$AA$15:$AA$405,0,M$13))),2),0)</f>
        <v>0</v>
      </c>
      <c r="N42" s="613" cm="1">
        <f t="array" aca="1" ref="N42" ca="1">IF(AUTOEVENTO="Manual",ROUND(SUMPRODUCT((CÁLCULO!$M$15:$M$405=EVENTOS!$C42)*(OFFSET(CÁLCULO!$AA$15:$AA$405,0,N$13))),2),0)</f>
        <v>0</v>
      </c>
      <c r="O42" s="613" cm="1">
        <f t="array" aca="1" ref="O42" ca="1">IF(AUTOEVENTO="Manual",ROUND(SUMPRODUCT((CÁLCULO!$M$15:$M$405=EVENTOS!$C42)*(OFFSET(CÁLCULO!$AA$15:$AA$405,0,O$13))),2),0)</f>
        <v>0</v>
      </c>
      <c r="P42" s="613" cm="1">
        <f t="array" aca="1" ref="P42" ca="1">IF(AUTOEVENTO="Manual",ROUND(SUMPRODUCT((CÁLCULO!$M$15:$M$405=EVENTOS!$C42)*(OFFSET(CÁLCULO!$AA$15:$AA$405,0,P$13))),2),0)</f>
        <v>0</v>
      </c>
      <c r="Q42" s="613" cm="1">
        <f t="array" aca="1" ref="Q42" ca="1">IF(AUTOEVENTO="Manual",ROUND(SUMPRODUCT((CÁLCULO!$M$15:$M$405=EVENTOS!$C42)*(OFFSET(CÁLCULO!$AA$15:$AA$405,0,Q$13))),2),0)</f>
        <v>0</v>
      </c>
      <c r="R42" s="613" cm="1">
        <f t="array" aca="1" ref="R42" ca="1">IF(AUTOEVENTO="Manual",ROUND(SUMPRODUCT((CÁLCULO!$M$15:$M$405=EVENTOS!$C42)*(OFFSET(CÁLCULO!$AA$15:$AA$405,0,R$13))),2),0)</f>
        <v>0</v>
      </c>
      <c r="S42" s="613" cm="1">
        <f t="array" aca="1" ref="S42" ca="1">IF(AUTOEVENTO="Manual",ROUND(SUMPRODUCT((CÁLCULO!$M$15:$M$405=EVENTOS!$C42)*(OFFSET(CÁLCULO!$AA$15:$AA$405,0,S$13))),2),0)</f>
        <v>0</v>
      </c>
      <c r="T42" s="613" cm="1">
        <f t="array" aca="1" ref="T42" ca="1">IF(AUTOEVENTO="Manual",ROUND(SUMPRODUCT((CÁLCULO!$M$15:$M$405=EVENTOS!$C42)*(OFFSET(CÁLCULO!$AA$15:$AA$405,0,T$13))),2),0)</f>
        <v>0</v>
      </c>
      <c r="U42" s="613" cm="1">
        <f t="array" aca="1" ref="U42" ca="1">IF(AUTOEVENTO="Manual",ROUND(SUMPRODUCT((CÁLCULO!$M$15:$M$405=EVENTOS!$C42)*(OFFSET(CÁLCULO!$AA$15:$AA$405,0,U$13))),2),0)</f>
        <v>0</v>
      </c>
      <c r="V42" s="613" cm="1">
        <f t="array" aca="1" ref="V42" ca="1">IF(AUTOEVENTO="Manual",ROUND(SUMPRODUCT((CÁLCULO!$M$15:$M$405=EVENTOS!$C42)*(OFFSET(CÁLCULO!$AA$15:$AA$405,0,V$13))),2),0)</f>
        <v>0</v>
      </c>
      <c r="W42" s="613" cm="1">
        <f t="array" aca="1" ref="W42" ca="1">IF(AUTOEVENTO="Manual",ROUND(SUMPRODUCT((CÁLCULO!$M$15:$M$405=EVENTOS!$C42)*(OFFSET(CÁLCULO!$AA$15:$AA$405,0,W$13))),2),0)</f>
        <v>0</v>
      </c>
      <c r="X42" s="613" cm="1">
        <f t="array" aca="1" ref="X42" ca="1">IF(AUTOEVENTO="Manual",ROUND(SUMPRODUCT((CÁLCULO!$M$15:$M$405=EVENTOS!$C42)*(OFFSET(CÁLCULO!$AA$15:$AA$405,0,X$13))),2),0)</f>
        <v>0</v>
      </c>
      <c r="Y42" s="613" cm="1">
        <f t="array" aca="1" ref="Y42" ca="1">IF(AUTOEVENTO="Manual",ROUND(SUMPRODUCT((CÁLCULO!$M$15:$M$405=EVENTOS!$C42)*(OFFSET(CÁLCULO!$AA$15:$AA$405,0,Y$13))),2),0)</f>
        <v>0</v>
      </c>
    </row>
    <row r="43" spans="1:25" x14ac:dyDescent="0.2">
      <c r="A43" s="507" t="str">
        <f t="shared" si="3"/>
        <v/>
      </c>
      <c r="B43" t="str">
        <f t="shared" ca="1" si="4"/>
        <v/>
      </c>
      <c r="C43" s="183" t="str" cm="1">
        <f t="array" aca="1" ref="C43" ca="1">IF(OR(ROW(C43)=ROW(EVENTOS.firstrow)+1,AND(OFFSET(C43,-1,0)&lt;&gt;" ",OFFSET(C43,-1,1)&lt;&gt;"")),OFFSET(C43,-1,0)+1," ")</f>
        <v xml:space="preserve"> </v>
      </c>
      <c r="D43" s="497"/>
      <c r="E43" s="613" cm="1">
        <f t="array" aca="1" ref="E43" ca="1">IF(AUTOEVENTO="Manual",ROUND(SUMPRODUCT((CÁLCULO!$M$15:$M$405=EVENTOS!$C43)*(OFFSET(CÁLCULO!$AA$15:$AA$405,0,E$13))),2),0)</f>
        <v>0</v>
      </c>
      <c r="F43" s="184">
        <f ca="1">IF(AUTOEVENTO="Manual",ROUND(SUMPRODUCT((CÁLCULO!$M$15:$M$405=EVENTOS!$C43)*(OFFSET(CÁLCULO!$AA$15,0,1):OFFSET(CÁLCULO!$AL$405,0,-1))),2),0)</f>
        <v>0</v>
      </c>
      <c r="G43" s="614" t="str">
        <f t="shared" ca="1" si="5"/>
        <v/>
      </c>
      <c r="H43" s="613" cm="1">
        <f t="array" aca="1" ref="H43" ca="1">IF(AUTOEVENTO="Manual",ROUND(SUMPRODUCT((CÁLCULO!$M$15:$M$405=EVENTOS!$C43)*(OFFSET(CÁLCULO!$AA$15:$AA$405,0,H$13))),2),0)</f>
        <v>0</v>
      </c>
      <c r="I43" s="613" cm="1">
        <f t="array" aca="1" ref="I43" ca="1">IF(AUTOEVENTO="Manual",ROUND(SUMPRODUCT((CÁLCULO!$M$15:$M$405=EVENTOS!$C43)*(OFFSET(CÁLCULO!$AA$15:$AA$405,0,I$13))),2),0)</f>
        <v>0</v>
      </c>
      <c r="J43" s="613" cm="1">
        <f t="array" aca="1" ref="J43" ca="1">IF(AUTOEVENTO="Manual",ROUND(SUMPRODUCT((CÁLCULO!$M$15:$M$405=EVENTOS!$C43)*(OFFSET(CÁLCULO!$AA$15:$AA$405,0,J$13))),2),0)</f>
        <v>0</v>
      </c>
      <c r="K43" s="613" cm="1">
        <f t="array" aca="1" ref="K43" ca="1">IF(AUTOEVENTO="Manual",ROUND(SUMPRODUCT((CÁLCULO!$M$15:$M$405=EVENTOS!$C43)*(OFFSET(CÁLCULO!$AA$15:$AA$405,0,K$13))),2),0)</f>
        <v>0</v>
      </c>
      <c r="L43" s="613" cm="1">
        <f t="array" aca="1" ref="L43" ca="1">IF(AUTOEVENTO="Manual",ROUND(SUMPRODUCT((CÁLCULO!$M$15:$M$405=EVENTOS!$C43)*(OFFSET(CÁLCULO!$AA$15:$AA$405,0,L$13))),2),0)</f>
        <v>0</v>
      </c>
      <c r="M43" s="613" cm="1">
        <f t="array" aca="1" ref="M43" ca="1">IF(AUTOEVENTO="Manual",ROUND(SUMPRODUCT((CÁLCULO!$M$15:$M$405=EVENTOS!$C43)*(OFFSET(CÁLCULO!$AA$15:$AA$405,0,M$13))),2),0)</f>
        <v>0</v>
      </c>
      <c r="N43" s="613" cm="1">
        <f t="array" aca="1" ref="N43" ca="1">IF(AUTOEVENTO="Manual",ROUND(SUMPRODUCT((CÁLCULO!$M$15:$M$405=EVENTOS!$C43)*(OFFSET(CÁLCULO!$AA$15:$AA$405,0,N$13))),2),0)</f>
        <v>0</v>
      </c>
      <c r="O43" s="613" cm="1">
        <f t="array" aca="1" ref="O43" ca="1">IF(AUTOEVENTO="Manual",ROUND(SUMPRODUCT((CÁLCULO!$M$15:$M$405=EVENTOS!$C43)*(OFFSET(CÁLCULO!$AA$15:$AA$405,0,O$13))),2),0)</f>
        <v>0</v>
      </c>
      <c r="P43" s="613" cm="1">
        <f t="array" aca="1" ref="P43" ca="1">IF(AUTOEVENTO="Manual",ROUND(SUMPRODUCT((CÁLCULO!$M$15:$M$405=EVENTOS!$C43)*(OFFSET(CÁLCULO!$AA$15:$AA$405,0,P$13))),2),0)</f>
        <v>0</v>
      </c>
      <c r="Q43" s="613" cm="1">
        <f t="array" aca="1" ref="Q43" ca="1">IF(AUTOEVENTO="Manual",ROUND(SUMPRODUCT((CÁLCULO!$M$15:$M$405=EVENTOS!$C43)*(OFFSET(CÁLCULO!$AA$15:$AA$405,0,Q$13))),2),0)</f>
        <v>0</v>
      </c>
      <c r="R43" s="613" cm="1">
        <f t="array" aca="1" ref="R43" ca="1">IF(AUTOEVENTO="Manual",ROUND(SUMPRODUCT((CÁLCULO!$M$15:$M$405=EVENTOS!$C43)*(OFFSET(CÁLCULO!$AA$15:$AA$405,0,R$13))),2),0)</f>
        <v>0</v>
      </c>
      <c r="S43" s="613" cm="1">
        <f t="array" aca="1" ref="S43" ca="1">IF(AUTOEVENTO="Manual",ROUND(SUMPRODUCT((CÁLCULO!$M$15:$M$405=EVENTOS!$C43)*(OFFSET(CÁLCULO!$AA$15:$AA$405,0,S$13))),2),0)</f>
        <v>0</v>
      </c>
      <c r="T43" s="613" cm="1">
        <f t="array" aca="1" ref="T43" ca="1">IF(AUTOEVENTO="Manual",ROUND(SUMPRODUCT((CÁLCULO!$M$15:$M$405=EVENTOS!$C43)*(OFFSET(CÁLCULO!$AA$15:$AA$405,0,T$13))),2),0)</f>
        <v>0</v>
      </c>
      <c r="U43" s="613" cm="1">
        <f t="array" aca="1" ref="U43" ca="1">IF(AUTOEVENTO="Manual",ROUND(SUMPRODUCT((CÁLCULO!$M$15:$M$405=EVENTOS!$C43)*(OFFSET(CÁLCULO!$AA$15:$AA$405,0,U$13))),2),0)</f>
        <v>0</v>
      </c>
      <c r="V43" s="613" cm="1">
        <f t="array" aca="1" ref="V43" ca="1">IF(AUTOEVENTO="Manual",ROUND(SUMPRODUCT((CÁLCULO!$M$15:$M$405=EVENTOS!$C43)*(OFFSET(CÁLCULO!$AA$15:$AA$405,0,V$13))),2),0)</f>
        <v>0</v>
      </c>
      <c r="W43" s="613" cm="1">
        <f t="array" aca="1" ref="W43" ca="1">IF(AUTOEVENTO="Manual",ROUND(SUMPRODUCT((CÁLCULO!$M$15:$M$405=EVENTOS!$C43)*(OFFSET(CÁLCULO!$AA$15:$AA$405,0,W$13))),2),0)</f>
        <v>0</v>
      </c>
      <c r="X43" s="613" cm="1">
        <f t="array" aca="1" ref="X43" ca="1">IF(AUTOEVENTO="Manual",ROUND(SUMPRODUCT((CÁLCULO!$M$15:$M$405=EVENTOS!$C43)*(OFFSET(CÁLCULO!$AA$15:$AA$405,0,X$13))),2),0)</f>
        <v>0</v>
      </c>
      <c r="Y43" s="613" cm="1">
        <f t="array" aca="1" ref="Y43" ca="1">IF(AUTOEVENTO="Manual",ROUND(SUMPRODUCT((CÁLCULO!$M$15:$M$405=EVENTOS!$C43)*(OFFSET(CÁLCULO!$AA$15:$AA$405,0,Y$13))),2),0)</f>
        <v>0</v>
      </c>
    </row>
    <row r="44" spans="1:25" x14ac:dyDescent="0.2">
      <c r="A44" s="507" t="str">
        <f t="shared" si="3"/>
        <v/>
      </c>
      <c r="B44" t="str">
        <f t="shared" ca="1" si="4"/>
        <v/>
      </c>
      <c r="C44" s="183" t="str" cm="1">
        <f t="array" aca="1" ref="C44" ca="1">IF(OR(ROW(C44)=ROW(EVENTOS.firstrow)+1,AND(OFFSET(C44,-1,0)&lt;&gt;" ",OFFSET(C44,-1,1)&lt;&gt;"")),OFFSET(C44,-1,0)+1," ")</f>
        <v xml:space="preserve"> </v>
      </c>
      <c r="D44" s="497"/>
      <c r="E44" s="613" cm="1">
        <f t="array" aca="1" ref="E44" ca="1">IF(AUTOEVENTO="Manual",ROUND(SUMPRODUCT((CÁLCULO!$M$15:$M$405=EVENTOS!$C44)*(OFFSET(CÁLCULO!$AA$15:$AA$405,0,E$13))),2),0)</f>
        <v>0</v>
      </c>
      <c r="F44" s="184">
        <f ca="1">IF(AUTOEVENTO="Manual",ROUND(SUMPRODUCT((CÁLCULO!$M$15:$M$405=EVENTOS!$C44)*(OFFSET(CÁLCULO!$AA$15,0,1):OFFSET(CÁLCULO!$AL$405,0,-1))),2),0)</f>
        <v>0</v>
      </c>
      <c r="G44" s="614" t="str">
        <f t="shared" ca="1" si="5"/>
        <v/>
      </c>
      <c r="H44" s="613" cm="1">
        <f t="array" aca="1" ref="H44" ca="1">IF(AUTOEVENTO="Manual",ROUND(SUMPRODUCT((CÁLCULO!$M$15:$M$405=EVENTOS!$C44)*(OFFSET(CÁLCULO!$AA$15:$AA$405,0,H$13))),2),0)</f>
        <v>0</v>
      </c>
      <c r="I44" s="613" cm="1">
        <f t="array" aca="1" ref="I44" ca="1">IF(AUTOEVENTO="Manual",ROUND(SUMPRODUCT((CÁLCULO!$M$15:$M$405=EVENTOS!$C44)*(OFFSET(CÁLCULO!$AA$15:$AA$405,0,I$13))),2),0)</f>
        <v>0</v>
      </c>
      <c r="J44" s="613" cm="1">
        <f t="array" aca="1" ref="J44" ca="1">IF(AUTOEVENTO="Manual",ROUND(SUMPRODUCT((CÁLCULO!$M$15:$M$405=EVENTOS!$C44)*(OFFSET(CÁLCULO!$AA$15:$AA$405,0,J$13))),2),0)</f>
        <v>0</v>
      </c>
      <c r="K44" s="613" cm="1">
        <f t="array" aca="1" ref="K44" ca="1">IF(AUTOEVENTO="Manual",ROUND(SUMPRODUCT((CÁLCULO!$M$15:$M$405=EVENTOS!$C44)*(OFFSET(CÁLCULO!$AA$15:$AA$405,0,K$13))),2),0)</f>
        <v>0</v>
      </c>
      <c r="L44" s="613" cm="1">
        <f t="array" aca="1" ref="L44" ca="1">IF(AUTOEVENTO="Manual",ROUND(SUMPRODUCT((CÁLCULO!$M$15:$M$405=EVENTOS!$C44)*(OFFSET(CÁLCULO!$AA$15:$AA$405,0,L$13))),2),0)</f>
        <v>0</v>
      </c>
      <c r="M44" s="613" cm="1">
        <f t="array" aca="1" ref="M44" ca="1">IF(AUTOEVENTO="Manual",ROUND(SUMPRODUCT((CÁLCULO!$M$15:$M$405=EVENTOS!$C44)*(OFFSET(CÁLCULO!$AA$15:$AA$405,0,M$13))),2),0)</f>
        <v>0</v>
      </c>
      <c r="N44" s="613" cm="1">
        <f t="array" aca="1" ref="N44" ca="1">IF(AUTOEVENTO="Manual",ROUND(SUMPRODUCT((CÁLCULO!$M$15:$M$405=EVENTOS!$C44)*(OFFSET(CÁLCULO!$AA$15:$AA$405,0,N$13))),2),0)</f>
        <v>0</v>
      </c>
      <c r="O44" s="613" cm="1">
        <f t="array" aca="1" ref="O44" ca="1">IF(AUTOEVENTO="Manual",ROUND(SUMPRODUCT((CÁLCULO!$M$15:$M$405=EVENTOS!$C44)*(OFFSET(CÁLCULO!$AA$15:$AA$405,0,O$13))),2),0)</f>
        <v>0</v>
      </c>
      <c r="P44" s="613" cm="1">
        <f t="array" aca="1" ref="P44" ca="1">IF(AUTOEVENTO="Manual",ROUND(SUMPRODUCT((CÁLCULO!$M$15:$M$405=EVENTOS!$C44)*(OFFSET(CÁLCULO!$AA$15:$AA$405,0,P$13))),2),0)</f>
        <v>0</v>
      </c>
      <c r="Q44" s="613" cm="1">
        <f t="array" aca="1" ref="Q44" ca="1">IF(AUTOEVENTO="Manual",ROUND(SUMPRODUCT((CÁLCULO!$M$15:$M$405=EVENTOS!$C44)*(OFFSET(CÁLCULO!$AA$15:$AA$405,0,Q$13))),2),0)</f>
        <v>0</v>
      </c>
      <c r="R44" s="613" cm="1">
        <f t="array" aca="1" ref="R44" ca="1">IF(AUTOEVENTO="Manual",ROUND(SUMPRODUCT((CÁLCULO!$M$15:$M$405=EVENTOS!$C44)*(OFFSET(CÁLCULO!$AA$15:$AA$405,0,R$13))),2),0)</f>
        <v>0</v>
      </c>
      <c r="S44" s="613" cm="1">
        <f t="array" aca="1" ref="S44" ca="1">IF(AUTOEVENTO="Manual",ROUND(SUMPRODUCT((CÁLCULO!$M$15:$M$405=EVENTOS!$C44)*(OFFSET(CÁLCULO!$AA$15:$AA$405,0,S$13))),2),0)</f>
        <v>0</v>
      </c>
      <c r="T44" s="613" cm="1">
        <f t="array" aca="1" ref="T44" ca="1">IF(AUTOEVENTO="Manual",ROUND(SUMPRODUCT((CÁLCULO!$M$15:$M$405=EVENTOS!$C44)*(OFFSET(CÁLCULO!$AA$15:$AA$405,0,T$13))),2),0)</f>
        <v>0</v>
      </c>
      <c r="U44" s="613" cm="1">
        <f t="array" aca="1" ref="U44" ca="1">IF(AUTOEVENTO="Manual",ROUND(SUMPRODUCT((CÁLCULO!$M$15:$M$405=EVENTOS!$C44)*(OFFSET(CÁLCULO!$AA$15:$AA$405,0,U$13))),2),0)</f>
        <v>0</v>
      </c>
      <c r="V44" s="613" cm="1">
        <f t="array" aca="1" ref="V44" ca="1">IF(AUTOEVENTO="Manual",ROUND(SUMPRODUCT((CÁLCULO!$M$15:$M$405=EVENTOS!$C44)*(OFFSET(CÁLCULO!$AA$15:$AA$405,0,V$13))),2),0)</f>
        <v>0</v>
      </c>
      <c r="W44" s="613" cm="1">
        <f t="array" aca="1" ref="W44" ca="1">IF(AUTOEVENTO="Manual",ROUND(SUMPRODUCT((CÁLCULO!$M$15:$M$405=EVENTOS!$C44)*(OFFSET(CÁLCULO!$AA$15:$AA$405,0,W$13))),2),0)</f>
        <v>0</v>
      </c>
      <c r="X44" s="613" cm="1">
        <f t="array" aca="1" ref="X44" ca="1">IF(AUTOEVENTO="Manual",ROUND(SUMPRODUCT((CÁLCULO!$M$15:$M$405=EVENTOS!$C44)*(OFFSET(CÁLCULO!$AA$15:$AA$405,0,X$13))),2),0)</f>
        <v>0</v>
      </c>
      <c r="Y44" s="613" cm="1">
        <f t="array" aca="1" ref="Y44" ca="1">IF(AUTOEVENTO="Manual",ROUND(SUMPRODUCT((CÁLCULO!$M$15:$M$405=EVENTOS!$C44)*(OFFSET(CÁLCULO!$AA$15:$AA$405,0,Y$13))),2),0)</f>
        <v>0</v>
      </c>
    </row>
    <row r="45" spans="1:25" x14ac:dyDescent="0.2">
      <c r="A45" s="507" t="str">
        <f t="shared" si="3"/>
        <v/>
      </c>
      <c r="B45" t="str">
        <f t="shared" ca="1" si="4"/>
        <v/>
      </c>
      <c r="C45" s="183" t="str" cm="1">
        <f t="array" aca="1" ref="C45" ca="1">IF(OR(ROW(C45)=ROW(EVENTOS.firstrow)+1,AND(OFFSET(C45,-1,0)&lt;&gt;" ",OFFSET(C45,-1,1)&lt;&gt;"")),OFFSET(C45,-1,0)+1," ")</f>
        <v xml:space="preserve"> </v>
      </c>
      <c r="D45" s="497"/>
      <c r="E45" s="613" cm="1">
        <f t="array" aca="1" ref="E45" ca="1">IF(AUTOEVENTO="Manual",ROUND(SUMPRODUCT((CÁLCULO!$M$15:$M$405=EVENTOS!$C45)*(OFFSET(CÁLCULO!$AA$15:$AA$405,0,E$13))),2),0)</f>
        <v>0</v>
      </c>
      <c r="F45" s="184">
        <f ca="1">IF(AUTOEVENTO="Manual",ROUND(SUMPRODUCT((CÁLCULO!$M$15:$M$405=EVENTOS!$C45)*(OFFSET(CÁLCULO!$AA$15,0,1):OFFSET(CÁLCULO!$AL$405,0,-1))),2),0)</f>
        <v>0</v>
      </c>
      <c r="G45" s="614" t="str">
        <f t="shared" ca="1" si="5"/>
        <v/>
      </c>
      <c r="H45" s="613" cm="1">
        <f t="array" aca="1" ref="H45" ca="1">IF(AUTOEVENTO="Manual",ROUND(SUMPRODUCT((CÁLCULO!$M$15:$M$405=EVENTOS!$C45)*(OFFSET(CÁLCULO!$AA$15:$AA$405,0,H$13))),2),0)</f>
        <v>0</v>
      </c>
      <c r="I45" s="613" cm="1">
        <f t="array" aca="1" ref="I45" ca="1">IF(AUTOEVENTO="Manual",ROUND(SUMPRODUCT((CÁLCULO!$M$15:$M$405=EVENTOS!$C45)*(OFFSET(CÁLCULO!$AA$15:$AA$405,0,I$13))),2),0)</f>
        <v>0</v>
      </c>
      <c r="J45" s="613" cm="1">
        <f t="array" aca="1" ref="J45" ca="1">IF(AUTOEVENTO="Manual",ROUND(SUMPRODUCT((CÁLCULO!$M$15:$M$405=EVENTOS!$C45)*(OFFSET(CÁLCULO!$AA$15:$AA$405,0,J$13))),2),0)</f>
        <v>0</v>
      </c>
      <c r="K45" s="613" cm="1">
        <f t="array" aca="1" ref="K45" ca="1">IF(AUTOEVENTO="Manual",ROUND(SUMPRODUCT((CÁLCULO!$M$15:$M$405=EVENTOS!$C45)*(OFFSET(CÁLCULO!$AA$15:$AA$405,0,K$13))),2),0)</f>
        <v>0</v>
      </c>
      <c r="L45" s="613" cm="1">
        <f t="array" aca="1" ref="L45" ca="1">IF(AUTOEVENTO="Manual",ROUND(SUMPRODUCT((CÁLCULO!$M$15:$M$405=EVENTOS!$C45)*(OFFSET(CÁLCULO!$AA$15:$AA$405,0,L$13))),2),0)</f>
        <v>0</v>
      </c>
      <c r="M45" s="613" cm="1">
        <f t="array" aca="1" ref="M45" ca="1">IF(AUTOEVENTO="Manual",ROUND(SUMPRODUCT((CÁLCULO!$M$15:$M$405=EVENTOS!$C45)*(OFFSET(CÁLCULO!$AA$15:$AA$405,0,M$13))),2),0)</f>
        <v>0</v>
      </c>
      <c r="N45" s="613" cm="1">
        <f t="array" aca="1" ref="N45" ca="1">IF(AUTOEVENTO="Manual",ROUND(SUMPRODUCT((CÁLCULO!$M$15:$M$405=EVENTOS!$C45)*(OFFSET(CÁLCULO!$AA$15:$AA$405,0,N$13))),2),0)</f>
        <v>0</v>
      </c>
      <c r="O45" s="613" cm="1">
        <f t="array" aca="1" ref="O45" ca="1">IF(AUTOEVENTO="Manual",ROUND(SUMPRODUCT((CÁLCULO!$M$15:$M$405=EVENTOS!$C45)*(OFFSET(CÁLCULO!$AA$15:$AA$405,0,O$13))),2),0)</f>
        <v>0</v>
      </c>
      <c r="P45" s="613" cm="1">
        <f t="array" aca="1" ref="P45" ca="1">IF(AUTOEVENTO="Manual",ROUND(SUMPRODUCT((CÁLCULO!$M$15:$M$405=EVENTOS!$C45)*(OFFSET(CÁLCULO!$AA$15:$AA$405,0,P$13))),2),0)</f>
        <v>0</v>
      </c>
      <c r="Q45" s="613" cm="1">
        <f t="array" aca="1" ref="Q45" ca="1">IF(AUTOEVENTO="Manual",ROUND(SUMPRODUCT((CÁLCULO!$M$15:$M$405=EVENTOS!$C45)*(OFFSET(CÁLCULO!$AA$15:$AA$405,0,Q$13))),2),0)</f>
        <v>0</v>
      </c>
      <c r="R45" s="613" cm="1">
        <f t="array" aca="1" ref="R45" ca="1">IF(AUTOEVENTO="Manual",ROUND(SUMPRODUCT((CÁLCULO!$M$15:$M$405=EVENTOS!$C45)*(OFFSET(CÁLCULO!$AA$15:$AA$405,0,R$13))),2),0)</f>
        <v>0</v>
      </c>
      <c r="S45" s="613" cm="1">
        <f t="array" aca="1" ref="S45" ca="1">IF(AUTOEVENTO="Manual",ROUND(SUMPRODUCT((CÁLCULO!$M$15:$M$405=EVENTOS!$C45)*(OFFSET(CÁLCULO!$AA$15:$AA$405,0,S$13))),2),0)</f>
        <v>0</v>
      </c>
      <c r="T45" s="613" cm="1">
        <f t="array" aca="1" ref="T45" ca="1">IF(AUTOEVENTO="Manual",ROUND(SUMPRODUCT((CÁLCULO!$M$15:$M$405=EVENTOS!$C45)*(OFFSET(CÁLCULO!$AA$15:$AA$405,0,T$13))),2),0)</f>
        <v>0</v>
      </c>
      <c r="U45" s="613" cm="1">
        <f t="array" aca="1" ref="U45" ca="1">IF(AUTOEVENTO="Manual",ROUND(SUMPRODUCT((CÁLCULO!$M$15:$M$405=EVENTOS!$C45)*(OFFSET(CÁLCULO!$AA$15:$AA$405,0,U$13))),2),0)</f>
        <v>0</v>
      </c>
      <c r="V45" s="613" cm="1">
        <f t="array" aca="1" ref="V45" ca="1">IF(AUTOEVENTO="Manual",ROUND(SUMPRODUCT((CÁLCULO!$M$15:$M$405=EVENTOS!$C45)*(OFFSET(CÁLCULO!$AA$15:$AA$405,0,V$13))),2),0)</f>
        <v>0</v>
      </c>
      <c r="W45" s="613" cm="1">
        <f t="array" aca="1" ref="W45" ca="1">IF(AUTOEVENTO="Manual",ROUND(SUMPRODUCT((CÁLCULO!$M$15:$M$405=EVENTOS!$C45)*(OFFSET(CÁLCULO!$AA$15:$AA$405,0,W$13))),2),0)</f>
        <v>0</v>
      </c>
      <c r="X45" s="613" cm="1">
        <f t="array" aca="1" ref="X45" ca="1">IF(AUTOEVENTO="Manual",ROUND(SUMPRODUCT((CÁLCULO!$M$15:$M$405=EVENTOS!$C45)*(OFFSET(CÁLCULO!$AA$15:$AA$405,0,X$13))),2),0)</f>
        <v>0</v>
      </c>
      <c r="Y45" s="613" cm="1">
        <f t="array" aca="1" ref="Y45" ca="1">IF(AUTOEVENTO="Manual",ROUND(SUMPRODUCT((CÁLCULO!$M$15:$M$405=EVENTOS!$C45)*(OFFSET(CÁLCULO!$AA$15:$AA$405,0,Y$13))),2),0)</f>
        <v>0</v>
      </c>
    </row>
    <row r="46" spans="1:25" x14ac:dyDescent="0.2">
      <c r="A46" s="507" t="str">
        <f t="shared" si="3"/>
        <v/>
      </c>
      <c r="B46" t="str">
        <f t="shared" ca="1" si="4"/>
        <v/>
      </c>
      <c r="C46" s="183" t="str" cm="1">
        <f t="array" aca="1" ref="C46" ca="1">IF(OR(ROW(C46)=ROW(EVENTOS.firstrow)+1,AND(OFFSET(C46,-1,0)&lt;&gt;" ",OFFSET(C46,-1,1)&lt;&gt;"")),OFFSET(C46,-1,0)+1," ")</f>
        <v xml:space="preserve"> </v>
      </c>
      <c r="D46" s="497"/>
      <c r="E46" s="613" cm="1">
        <f t="array" aca="1" ref="E46" ca="1">IF(AUTOEVENTO="Manual",ROUND(SUMPRODUCT((CÁLCULO!$M$15:$M$405=EVENTOS!$C46)*(OFFSET(CÁLCULO!$AA$15:$AA$405,0,E$13))),2),0)</f>
        <v>0</v>
      </c>
      <c r="F46" s="184">
        <f ca="1">IF(AUTOEVENTO="Manual",ROUND(SUMPRODUCT((CÁLCULO!$M$15:$M$405=EVENTOS!$C46)*(OFFSET(CÁLCULO!$AA$15,0,1):OFFSET(CÁLCULO!$AL$405,0,-1))),2),0)</f>
        <v>0</v>
      </c>
      <c r="G46" s="614" t="str">
        <f t="shared" ca="1" si="5"/>
        <v/>
      </c>
      <c r="H46" s="613" cm="1">
        <f t="array" aca="1" ref="H46" ca="1">IF(AUTOEVENTO="Manual",ROUND(SUMPRODUCT((CÁLCULO!$M$15:$M$405=EVENTOS!$C46)*(OFFSET(CÁLCULO!$AA$15:$AA$405,0,H$13))),2),0)</f>
        <v>0</v>
      </c>
      <c r="I46" s="613" cm="1">
        <f t="array" aca="1" ref="I46" ca="1">IF(AUTOEVENTO="Manual",ROUND(SUMPRODUCT((CÁLCULO!$M$15:$M$405=EVENTOS!$C46)*(OFFSET(CÁLCULO!$AA$15:$AA$405,0,I$13))),2),0)</f>
        <v>0</v>
      </c>
      <c r="J46" s="613" cm="1">
        <f t="array" aca="1" ref="J46" ca="1">IF(AUTOEVENTO="Manual",ROUND(SUMPRODUCT((CÁLCULO!$M$15:$M$405=EVENTOS!$C46)*(OFFSET(CÁLCULO!$AA$15:$AA$405,0,J$13))),2),0)</f>
        <v>0</v>
      </c>
      <c r="K46" s="613" cm="1">
        <f t="array" aca="1" ref="K46" ca="1">IF(AUTOEVENTO="Manual",ROUND(SUMPRODUCT((CÁLCULO!$M$15:$M$405=EVENTOS!$C46)*(OFFSET(CÁLCULO!$AA$15:$AA$405,0,K$13))),2),0)</f>
        <v>0</v>
      </c>
      <c r="L46" s="613" cm="1">
        <f t="array" aca="1" ref="L46" ca="1">IF(AUTOEVENTO="Manual",ROUND(SUMPRODUCT((CÁLCULO!$M$15:$M$405=EVENTOS!$C46)*(OFFSET(CÁLCULO!$AA$15:$AA$405,0,L$13))),2),0)</f>
        <v>0</v>
      </c>
      <c r="M46" s="613" cm="1">
        <f t="array" aca="1" ref="M46" ca="1">IF(AUTOEVENTO="Manual",ROUND(SUMPRODUCT((CÁLCULO!$M$15:$M$405=EVENTOS!$C46)*(OFFSET(CÁLCULO!$AA$15:$AA$405,0,M$13))),2),0)</f>
        <v>0</v>
      </c>
      <c r="N46" s="613" cm="1">
        <f t="array" aca="1" ref="N46" ca="1">IF(AUTOEVENTO="Manual",ROUND(SUMPRODUCT((CÁLCULO!$M$15:$M$405=EVENTOS!$C46)*(OFFSET(CÁLCULO!$AA$15:$AA$405,0,N$13))),2),0)</f>
        <v>0</v>
      </c>
      <c r="O46" s="613" cm="1">
        <f t="array" aca="1" ref="O46" ca="1">IF(AUTOEVENTO="Manual",ROUND(SUMPRODUCT((CÁLCULO!$M$15:$M$405=EVENTOS!$C46)*(OFFSET(CÁLCULO!$AA$15:$AA$405,0,O$13))),2),0)</f>
        <v>0</v>
      </c>
      <c r="P46" s="613" cm="1">
        <f t="array" aca="1" ref="P46" ca="1">IF(AUTOEVENTO="Manual",ROUND(SUMPRODUCT((CÁLCULO!$M$15:$M$405=EVENTOS!$C46)*(OFFSET(CÁLCULO!$AA$15:$AA$405,0,P$13))),2),0)</f>
        <v>0</v>
      </c>
      <c r="Q46" s="613" cm="1">
        <f t="array" aca="1" ref="Q46" ca="1">IF(AUTOEVENTO="Manual",ROUND(SUMPRODUCT((CÁLCULO!$M$15:$M$405=EVENTOS!$C46)*(OFFSET(CÁLCULO!$AA$15:$AA$405,0,Q$13))),2),0)</f>
        <v>0</v>
      </c>
      <c r="R46" s="613" cm="1">
        <f t="array" aca="1" ref="R46" ca="1">IF(AUTOEVENTO="Manual",ROUND(SUMPRODUCT((CÁLCULO!$M$15:$M$405=EVENTOS!$C46)*(OFFSET(CÁLCULO!$AA$15:$AA$405,0,R$13))),2),0)</f>
        <v>0</v>
      </c>
      <c r="S46" s="613" cm="1">
        <f t="array" aca="1" ref="S46" ca="1">IF(AUTOEVENTO="Manual",ROUND(SUMPRODUCT((CÁLCULO!$M$15:$M$405=EVENTOS!$C46)*(OFFSET(CÁLCULO!$AA$15:$AA$405,0,S$13))),2),0)</f>
        <v>0</v>
      </c>
      <c r="T46" s="613" cm="1">
        <f t="array" aca="1" ref="T46" ca="1">IF(AUTOEVENTO="Manual",ROUND(SUMPRODUCT((CÁLCULO!$M$15:$M$405=EVENTOS!$C46)*(OFFSET(CÁLCULO!$AA$15:$AA$405,0,T$13))),2),0)</f>
        <v>0</v>
      </c>
      <c r="U46" s="613" cm="1">
        <f t="array" aca="1" ref="U46" ca="1">IF(AUTOEVENTO="Manual",ROUND(SUMPRODUCT((CÁLCULO!$M$15:$M$405=EVENTOS!$C46)*(OFFSET(CÁLCULO!$AA$15:$AA$405,0,U$13))),2),0)</f>
        <v>0</v>
      </c>
      <c r="V46" s="613" cm="1">
        <f t="array" aca="1" ref="V46" ca="1">IF(AUTOEVENTO="Manual",ROUND(SUMPRODUCT((CÁLCULO!$M$15:$M$405=EVENTOS!$C46)*(OFFSET(CÁLCULO!$AA$15:$AA$405,0,V$13))),2),0)</f>
        <v>0</v>
      </c>
      <c r="W46" s="613" cm="1">
        <f t="array" aca="1" ref="W46" ca="1">IF(AUTOEVENTO="Manual",ROUND(SUMPRODUCT((CÁLCULO!$M$15:$M$405=EVENTOS!$C46)*(OFFSET(CÁLCULO!$AA$15:$AA$405,0,W$13))),2),0)</f>
        <v>0</v>
      </c>
      <c r="X46" s="613" cm="1">
        <f t="array" aca="1" ref="X46" ca="1">IF(AUTOEVENTO="Manual",ROUND(SUMPRODUCT((CÁLCULO!$M$15:$M$405=EVENTOS!$C46)*(OFFSET(CÁLCULO!$AA$15:$AA$405,0,X$13))),2),0)</f>
        <v>0</v>
      </c>
      <c r="Y46" s="613" cm="1">
        <f t="array" aca="1" ref="Y46" ca="1">IF(AUTOEVENTO="Manual",ROUND(SUMPRODUCT((CÁLCULO!$M$15:$M$405=EVENTOS!$C46)*(OFFSET(CÁLCULO!$AA$15:$AA$405,0,Y$13))),2),0)</f>
        <v>0</v>
      </c>
    </row>
    <row r="47" spans="1:25" x14ac:dyDescent="0.2">
      <c r="A47" s="507" t="str">
        <f t="shared" si="3"/>
        <v/>
      </c>
      <c r="B47" t="str">
        <f t="shared" ca="1" si="4"/>
        <v/>
      </c>
      <c r="C47" s="183" t="str" cm="1">
        <f t="array" aca="1" ref="C47" ca="1">IF(OR(ROW(C47)=ROW(EVENTOS.firstrow)+1,AND(OFFSET(C47,-1,0)&lt;&gt;" ",OFFSET(C47,-1,1)&lt;&gt;"")),OFFSET(C47,-1,0)+1," ")</f>
        <v xml:space="preserve"> </v>
      </c>
      <c r="D47" s="497"/>
      <c r="E47" s="613" cm="1">
        <f t="array" aca="1" ref="E47" ca="1">IF(AUTOEVENTO="Manual",ROUND(SUMPRODUCT((CÁLCULO!$M$15:$M$405=EVENTOS!$C47)*(OFFSET(CÁLCULO!$AA$15:$AA$405,0,E$13))),2),0)</f>
        <v>0</v>
      </c>
      <c r="F47" s="184">
        <f ca="1">IF(AUTOEVENTO="Manual",ROUND(SUMPRODUCT((CÁLCULO!$M$15:$M$405=EVENTOS!$C47)*(OFFSET(CÁLCULO!$AA$15,0,1):OFFSET(CÁLCULO!$AL$405,0,-1))),2),0)</f>
        <v>0</v>
      </c>
      <c r="G47" s="614" t="str">
        <f t="shared" ca="1" si="5"/>
        <v/>
      </c>
      <c r="H47" s="613" cm="1">
        <f t="array" aca="1" ref="H47" ca="1">IF(AUTOEVENTO="Manual",ROUND(SUMPRODUCT((CÁLCULO!$M$15:$M$405=EVENTOS!$C47)*(OFFSET(CÁLCULO!$AA$15:$AA$405,0,H$13))),2),0)</f>
        <v>0</v>
      </c>
      <c r="I47" s="613" cm="1">
        <f t="array" aca="1" ref="I47" ca="1">IF(AUTOEVENTO="Manual",ROUND(SUMPRODUCT((CÁLCULO!$M$15:$M$405=EVENTOS!$C47)*(OFFSET(CÁLCULO!$AA$15:$AA$405,0,I$13))),2),0)</f>
        <v>0</v>
      </c>
      <c r="J47" s="613" cm="1">
        <f t="array" aca="1" ref="J47" ca="1">IF(AUTOEVENTO="Manual",ROUND(SUMPRODUCT((CÁLCULO!$M$15:$M$405=EVENTOS!$C47)*(OFFSET(CÁLCULO!$AA$15:$AA$405,0,J$13))),2),0)</f>
        <v>0</v>
      </c>
      <c r="K47" s="613" cm="1">
        <f t="array" aca="1" ref="K47" ca="1">IF(AUTOEVENTO="Manual",ROUND(SUMPRODUCT((CÁLCULO!$M$15:$M$405=EVENTOS!$C47)*(OFFSET(CÁLCULO!$AA$15:$AA$405,0,K$13))),2),0)</f>
        <v>0</v>
      </c>
      <c r="L47" s="613" cm="1">
        <f t="array" aca="1" ref="L47" ca="1">IF(AUTOEVENTO="Manual",ROUND(SUMPRODUCT((CÁLCULO!$M$15:$M$405=EVENTOS!$C47)*(OFFSET(CÁLCULO!$AA$15:$AA$405,0,L$13))),2),0)</f>
        <v>0</v>
      </c>
      <c r="M47" s="613" cm="1">
        <f t="array" aca="1" ref="M47" ca="1">IF(AUTOEVENTO="Manual",ROUND(SUMPRODUCT((CÁLCULO!$M$15:$M$405=EVENTOS!$C47)*(OFFSET(CÁLCULO!$AA$15:$AA$405,0,M$13))),2),0)</f>
        <v>0</v>
      </c>
      <c r="N47" s="613" cm="1">
        <f t="array" aca="1" ref="N47" ca="1">IF(AUTOEVENTO="Manual",ROUND(SUMPRODUCT((CÁLCULO!$M$15:$M$405=EVENTOS!$C47)*(OFFSET(CÁLCULO!$AA$15:$AA$405,0,N$13))),2),0)</f>
        <v>0</v>
      </c>
      <c r="O47" s="613" cm="1">
        <f t="array" aca="1" ref="O47" ca="1">IF(AUTOEVENTO="Manual",ROUND(SUMPRODUCT((CÁLCULO!$M$15:$M$405=EVENTOS!$C47)*(OFFSET(CÁLCULO!$AA$15:$AA$405,0,O$13))),2),0)</f>
        <v>0</v>
      </c>
      <c r="P47" s="613" cm="1">
        <f t="array" aca="1" ref="P47" ca="1">IF(AUTOEVENTO="Manual",ROUND(SUMPRODUCT((CÁLCULO!$M$15:$M$405=EVENTOS!$C47)*(OFFSET(CÁLCULO!$AA$15:$AA$405,0,P$13))),2),0)</f>
        <v>0</v>
      </c>
      <c r="Q47" s="613" cm="1">
        <f t="array" aca="1" ref="Q47" ca="1">IF(AUTOEVENTO="Manual",ROUND(SUMPRODUCT((CÁLCULO!$M$15:$M$405=EVENTOS!$C47)*(OFFSET(CÁLCULO!$AA$15:$AA$405,0,Q$13))),2),0)</f>
        <v>0</v>
      </c>
      <c r="R47" s="613" cm="1">
        <f t="array" aca="1" ref="R47" ca="1">IF(AUTOEVENTO="Manual",ROUND(SUMPRODUCT((CÁLCULO!$M$15:$M$405=EVENTOS!$C47)*(OFFSET(CÁLCULO!$AA$15:$AA$405,0,R$13))),2),0)</f>
        <v>0</v>
      </c>
      <c r="S47" s="613" cm="1">
        <f t="array" aca="1" ref="S47" ca="1">IF(AUTOEVENTO="Manual",ROUND(SUMPRODUCT((CÁLCULO!$M$15:$M$405=EVENTOS!$C47)*(OFFSET(CÁLCULO!$AA$15:$AA$405,0,S$13))),2),0)</f>
        <v>0</v>
      </c>
      <c r="T47" s="613" cm="1">
        <f t="array" aca="1" ref="T47" ca="1">IF(AUTOEVENTO="Manual",ROUND(SUMPRODUCT((CÁLCULO!$M$15:$M$405=EVENTOS!$C47)*(OFFSET(CÁLCULO!$AA$15:$AA$405,0,T$13))),2),0)</f>
        <v>0</v>
      </c>
      <c r="U47" s="613" cm="1">
        <f t="array" aca="1" ref="U47" ca="1">IF(AUTOEVENTO="Manual",ROUND(SUMPRODUCT((CÁLCULO!$M$15:$M$405=EVENTOS!$C47)*(OFFSET(CÁLCULO!$AA$15:$AA$405,0,U$13))),2),0)</f>
        <v>0</v>
      </c>
      <c r="V47" s="613" cm="1">
        <f t="array" aca="1" ref="V47" ca="1">IF(AUTOEVENTO="Manual",ROUND(SUMPRODUCT((CÁLCULO!$M$15:$M$405=EVENTOS!$C47)*(OFFSET(CÁLCULO!$AA$15:$AA$405,0,V$13))),2),0)</f>
        <v>0</v>
      </c>
      <c r="W47" s="613" cm="1">
        <f t="array" aca="1" ref="W47" ca="1">IF(AUTOEVENTO="Manual",ROUND(SUMPRODUCT((CÁLCULO!$M$15:$M$405=EVENTOS!$C47)*(OFFSET(CÁLCULO!$AA$15:$AA$405,0,W$13))),2),0)</f>
        <v>0</v>
      </c>
      <c r="X47" s="613" cm="1">
        <f t="array" aca="1" ref="X47" ca="1">IF(AUTOEVENTO="Manual",ROUND(SUMPRODUCT((CÁLCULO!$M$15:$M$405=EVENTOS!$C47)*(OFFSET(CÁLCULO!$AA$15:$AA$405,0,X$13))),2),0)</f>
        <v>0</v>
      </c>
      <c r="Y47" s="613" cm="1">
        <f t="array" aca="1" ref="Y47" ca="1">IF(AUTOEVENTO="Manual",ROUND(SUMPRODUCT((CÁLCULO!$M$15:$M$405=EVENTOS!$C47)*(OFFSET(CÁLCULO!$AA$15:$AA$405,0,Y$13))),2),0)</f>
        <v>0</v>
      </c>
    </row>
    <row r="48" spans="1:25" x14ac:dyDescent="0.2">
      <c r="A48" s="507" t="str">
        <f t="shared" si="3"/>
        <v/>
      </c>
      <c r="B48" t="str">
        <f t="shared" ca="1" si="4"/>
        <v/>
      </c>
      <c r="C48" s="183" t="str" cm="1">
        <f t="array" aca="1" ref="C48" ca="1">IF(OR(ROW(C48)=ROW(EVENTOS.firstrow)+1,AND(OFFSET(C48,-1,0)&lt;&gt;" ",OFFSET(C48,-1,1)&lt;&gt;"")),OFFSET(C48,-1,0)+1," ")</f>
        <v xml:space="preserve"> </v>
      </c>
      <c r="D48" s="497"/>
      <c r="E48" s="613" cm="1">
        <f t="array" aca="1" ref="E48" ca="1">IF(AUTOEVENTO="Manual",ROUND(SUMPRODUCT((CÁLCULO!$M$15:$M$405=EVENTOS!$C48)*(OFFSET(CÁLCULO!$AA$15:$AA$405,0,E$13))),2),0)</f>
        <v>0</v>
      </c>
      <c r="F48" s="184">
        <f ca="1">IF(AUTOEVENTO="Manual",ROUND(SUMPRODUCT((CÁLCULO!$M$15:$M$405=EVENTOS!$C48)*(OFFSET(CÁLCULO!$AA$15,0,1):OFFSET(CÁLCULO!$AL$405,0,-1))),2),0)</f>
        <v>0</v>
      </c>
      <c r="G48" s="614" t="str">
        <f t="shared" ref="G48:G64" ca="1" si="6">IF(AND(D48=0,F48&gt;0),"NOME",
 IF(AND(D48&lt;&gt;0,$F$14&gt;0,F48=0),"VALOR",
 IF(AND(Import.TipoArredondamento="TransfereGOV",$A48="F",LEN(D48)&gt;100),"Nome &gt;100","")))</f>
        <v/>
      </c>
      <c r="H48" s="613" cm="1">
        <f t="array" aca="1" ref="H48" ca="1">IF(AUTOEVENTO="Manual",ROUND(SUMPRODUCT((CÁLCULO!$M$15:$M$405=EVENTOS!$C48)*(OFFSET(CÁLCULO!$AA$15:$AA$405,0,H$13))),2),0)</f>
        <v>0</v>
      </c>
      <c r="I48" s="613" cm="1">
        <f t="array" aca="1" ref="I48" ca="1">IF(AUTOEVENTO="Manual",ROUND(SUMPRODUCT((CÁLCULO!$M$15:$M$405=EVENTOS!$C48)*(OFFSET(CÁLCULO!$AA$15:$AA$405,0,I$13))),2),0)</f>
        <v>0</v>
      </c>
      <c r="J48" s="613" cm="1">
        <f t="array" aca="1" ref="J48" ca="1">IF(AUTOEVENTO="Manual",ROUND(SUMPRODUCT((CÁLCULO!$M$15:$M$405=EVENTOS!$C48)*(OFFSET(CÁLCULO!$AA$15:$AA$405,0,J$13))),2),0)</f>
        <v>0</v>
      </c>
      <c r="K48" s="613" cm="1">
        <f t="array" aca="1" ref="K48" ca="1">IF(AUTOEVENTO="Manual",ROUND(SUMPRODUCT((CÁLCULO!$M$15:$M$405=EVENTOS!$C48)*(OFFSET(CÁLCULO!$AA$15:$AA$405,0,K$13))),2),0)</f>
        <v>0</v>
      </c>
      <c r="L48" s="613" cm="1">
        <f t="array" aca="1" ref="L48" ca="1">IF(AUTOEVENTO="Manual",ROUND(SUMPRODUCT((CÁLCULO!$M$15:$M$405=EVENTOS!$C48)*(OFFSET(CÁLCULO!$AA$15:$AA$405,0,L$13))),2),0)</f>
        <v>0</v>
      </c>
      <c r="M48" s="613" cm="1">
        <f t="array" aca="1" ref="M48" ca="1">IF(AUTOEVENTO="Manual",ROUND(SUMPRODUCT((CÁLCULO!$M$15:$M$405=EVENTOS!$C48)*(OFFSET(CÁLCULO!$AA$15:$AA$405,0,M$13))),2),0)</f>
        <v>0</v>
      </c>
      <c r="N48" s="613" cm="1">
        <f t="array" aca="1" ref="N48" ca="1">IF(AUTOEVENTO="Manual",ROUND(SUMPRODUCT((CÁLCULO!$M$15:$M$405=EVENTOS!$C48)*(OFFSET(CÁLCULO!$AA$15:$AA$405,0,N$13))),2),0)</f>
        <v>0</v>
      </c>
      <c r="O48" s="613" cm="1">
        <f t="array" aca="1" ref="O48" ca="1">IF(AUTOEVENTO="Manual",ROUND(SUMPRODUCT((CÁLCULO!$M$15:$M$405=EVENTOS!$C48)*(OFFSET(CÁLCULO!$AA$15:$AA$405,0,O$13))),2),0)</f>
        <v>0</v>
      </c>
      <c r="P48" s="613" cm="1">
        <f t="array" aca="1" ref="P48" ca="1">IF(AUTOEVENTO="Manual",ROUND(SUMPRODUCT((CÁLCULO!$M$15:$M$405=EVENTOS!$C48)*(OFFSET(CÁLCULO!$AA$15:$AA$405,0,P$13))),2),0)</f>
        <v>0</v>
      </c>
      <c r="Q48" s="613" cm="1">
        <f t="array" aca="1" ref="Q48" ca="1">IF(AUTOEVENTO="Manual",ROUND(SUMPRODUCT((CÁLCULO!$M$15:$M$405=EVENTOS!$C48)*(OFFSET(CÁLCULO!$AA$15:$AA$405,0,Q$13))),2),0)</f>
        <v>0</v>
      </c>
      <c r="R48" s="613" cm="1">
        <f t="array" aca="1" ref="R48" ca="1">IF(AUTOEVENTO="Manual",ROUND(SUMPRODUCT((CÁLCULO!$M$15:$M$405=EVENTOS!$C48)*(OFFSET(CÁLCULO!$AA$15:$AA$405,0,R$13))),2),0)</f>
        <v>0</v>
      </c>
      <c r="S48" s="613" cm="1">
        <f t="array" aca="1" ref="S48" ca="1">IF(AUTOEVENTO="Manual",ROUND(SUMPRODUCT((CÁLCULO!$M$15:$M$405=EVENTOS!$C48)*(OFFSET(CÁLCULO!$AA$15:$AA$405,0,S$13))),2),0)</f>
        <v>0</v>
      </c>
      <c r="T48" s="613" cm="1">
        <f t="array" aca="1" ref="T48" ca="1">IF(AUTOEVENTO="Manual",ROUND(SUMPRODUCT((CÁLCULO!$M$15:$M$405=EVENTOS!$C48)*(OFFSET(CÁLCULO!$AA$15:$AA$405,0,T$13))),2),0)</f>
        <v>0</v>
      </c>
      <c r="U48" s="613" cm="1">
        <f t="array" aca="1" ref="U48" ca="1">IF(AUTOEVENTO="Manual",ROUND(SUMPRODUCT((CÁLCULO!$M$15:$M$405=EVENTOS!$C48)*(OFFSET(CÁLCULO!$AA$15:$AA$405,0,U$13))),2),0)</f>
        <v>0</v>
      </c>
      <c r="V48" s="613" cm="1">
        <f t="array" aca="1" ref="V48" ca="1">IF(AUTOEVENTO="Manual",ROUND(SUMPRODUCT((CÁLCULO!$M$15:$M$405=EVENTOS!$C48)*(OFFSET(CÁLCULO!$AA$15:$AA$405,0,V$13))),2),0)</f>
        <v>0</v>
      </c>
      <c r="W48" s="613" cm="1">
        <f t="array" aca="1" ref="W48" ca="1">IF(AUTOEVENTO="Manual",ROUND(SUMPRODUCT((CÁLCULO!$M$15:$M$405=EVENTOS!$C48)*(OFFSET(CÁLCULO!$AA$15:$AA$405,0,W$13))),2),0)</f>
        <v>0</v>
      </c>
      <c r="X48" s="613" cm="1">
        <f t="array" aca="1" ref="X48" ca="1">IF(AUTOEVENTO="Manual",ROUND(SUMPRODUCT((CÁLCULO!$M$15:$M$405=EVENTOS!$C48)*(OFFSET(CÁLCULO!$AA$15:$AA$405,0,X$13))),2),0)</f>
        <v>0</v>
      </c>
      <c r="Y48" s="613" cm="1">
        <f t="array" aca="1" ref="Y48" ca="1">IF(AUTOEVENTO="Manual",ROUND(SUMPRODUCT((CÁLCULO!$M$15:$M$405=EVENTOS!$C48)*(OFFSET(CÁLCULO!$AA$15:$AA$405,0,Y$13))),2),0)</f>
        <v>0</v>
      </c>
    </row>
    <row r="49" spans="1:25" x14ac:dyDescent="0.2">
      <c r="A49" s="507" t="str">
        <f t="shared" si="3"/>
        <v/>
      </c>
      <c r="B49" t="str">
        <f t="shared" ca="1" si="4"/>
        <v/>
      </c>
      <c r="C49" s="183" t="str" cm="1">
        <f t="array" aca="1" ref="C49" ca="1">IF(OR(ROW(C49)=ROW(EVENTOS.firstrow)+1,AND(OFFSET(C49,-1,0)&lt;&gt;" ",OFFSET(C49,-1,1)&lt;&gt;"")),OFFSET(C49,-1,0)+1," ")</f>
        <v xml:space="preserve"> </v>
      </c>
      <c r="D49" s="497"/>
      <c r="E49" s="613" cm="1">
        <f t="array" aca="1" ref="E49" ca="1">IF(AUTOEVENTO="Manual",ROUND(SUMPRODUCT((CÁLCULO!$M$15:$M$405=EVENTOS!$C49)*(OFFSET(CÁLCULO!$AA$15:$AA$405,0,E$13))),2),0)</f>
        <v>0</v>
      </c>
      <c r="F49" s="184">
        <f ca="1">IF(AUTOEVENTO="Manual",ROUND(SUMPRODUCT((CÁLCULO!$M$15:$M$405=EVENTOS!$C49)*(OFFSET(CÁLCULO!$AA$15,0,1):OFFSET(CÁLCULO!$AL$405,0,-1))),2),0)</f>
        <v>0</v>
      </c>
      <c r="G49" s="614" t="str">
        <f t="shared" ca="1" si="6"/>
        <v/>
      </c>
      <c r="H49" s="613" cm="1">
        <f t="array" aca="1" ref="H49" ca="1">IF(AUTOEVENTO="Manual",ROUND(SUMPRODUCT((CÁLCULO!$M$15:$M$405=EVENTOS!$C49)*(OFFSET(CÁLCULO!$AA$15:$AA$405,0,H$13))),2),0)</f>
        <v>0</v>
      </c>
      <c r="I49" s="613" cm="1">
        <f t="array" aca="1" ref="I49" ca="1">IF(AUTOEVENTO="Manual",ROUND(SUMPRODUCT((CÁLCULO!$M$15:$M$405=EVENTOS!$C49)*(OFFSET(CÁLCULO!$AA$15:$AA$405,0,I$13))),2),0)</f>
        <v>0</v>
      </c>
      <c r="J49" s="613" cm="1">
        <f t="array" aca="1" ref="J49" ca="1">IF(AUTOEVENTO="Manual",ROUND(SUMPRODUCT((CÁLCULO!$M$15:$M$405=EVENTOS!$C49)*(OFFSET(CÁLCULO!$AA$15:$AA$405,0,J$13))),2),0)</f>
        <v>0</v>
      </c>
      <c r="K49" s="613" cm="1">
        <f t="array" aca="1" ref="K49" ca="1">IF(AUTOEVENTO="Manual",ROUND(SUMPRODUCT((CÁLCULO!$M$15:$M$405=EVENTOS!$C49)*(OFFSET(CÁLCULO!$AA$15:$AA$405,0,K$13))),2),0)</f>
        <v>0</v>
      </c>
      <c r="L49" s="613" cm="1">
        <f t="array" aca="1" ref="L49" ca="1">IF(AUTOEVENTO="Manual",ROUND(SUMPRODUCT((CÁLCULO!$M$15:$M$405=EVENTOS!$C49)*(OFFSET(CÁLCULO!$AA$15:$AA$405,0,L$13))),2),0)</f>
        <v>0</v>
      </c>
      <c r="M49" s="613" cm="1">
        <f t="array" aca="1" ref="M49" ca="1">IF(AUTOEVENTO="Manual",ROUND(SUMPRODUCT((CÁLCULO!$M$15:$M$405=EVENTOS!$C49)*(OFFSET(CÁLCULO!$AA$15:$AA$405,0,M$13))),2),0)</f>
        <v>0</v>
      </c>
      <c r="N49" s="613" cm="1">
        <f t="array" aca="1" ref="N49" ca="1">IF(AUTOEVENTO="Manual",ROUND(SUMPRODUCT((CÁLCULO!$M$15:$M$405=EVENTOS!$C49)*(OFFSET(CÁLCULO!$AA$15:$AA$405,0,N$13))),2),0)</f>
        <v>0</v>
      </c>
      <c r="O49" s="613" cm="1">
        <f t="array" aca="1" ref="O49" ca="1">IF(AUTOEVENTO="Manual",ROUND(SUMPRODUCT((CÁLCULO!$M$15:$M$405=EVENTOS!$C49)*(OFFSET(CÁLCULO!$AA$15:$AA$405,0,O$13))),2),0)</f>
        <v>0</v>
      </c>
      <c r="P49" s="613" cm="1">
        <f t="array" aca="1" ref="P49" ca="1">IF(AUTOEVENTO="Manual",ROUND(SUMPRODUCT((CÁLCULO!$M$15:$M$405=EVENTOS!$C49)*(OFFSET(CÁLCULO!$AA$15:$AA$405,0,P$13))),2),0)</f>
        <v>0</v>
      </c>
      <c r="Q49" s="613" cm="1">
        <f t="array" aca="1" ref="Q49" ca="1">IF(AUTOEVENTO="Manual",ROUND(SUMPRODUCT((CÁLCULO!$M$15:$M$405=EVENTOS!$C49)*(OFFSET(CÁLCULO!$AA$15:$AA$405,0,Q$13))),2),0)</f>
        <v>0</v>
      </c>
      <c r="R49" s="613" cm="1">
        <f t="array" aca="1" ref="R49" ca="1">IF(AUTOEVENTO="Manual",ROUND(SUMPRODUCT((CÁLCULO!$M$15:$M$405=EVENTOS!$C49)*(OFFSET(CÁLCULO!$AA$15:$AA$405,0,R$13))),2),0)</f>
        <v>0</v>
      </c>
      <c r="S49" s="613" cm="1">
        <f t="array" aca="1" ref="S49" ca="1">IF(AUTOEVENTO="Manual",ROUND(SUMPRODUCT((CÁLCULO!$M$15:$M$405=EVENTOS!$C49)*(OFFSET(CÁLCULO!$AA$15:$AA$405,0,S$13))),2),0)</f>
        <v>0</v>
      </c>
      <c r="T49" s="613" cm="1">
        <f t="array" aca="1" ref="T49" ca="1">IF(AUTOEVENTO="Manual",ROUND(SUMPRODUCT((CÁLCULO!$M$15:$M$405=EVENTOS!$C49)*(OFFSET(CÁLCULO!$AA$15:$AA$405,0,T$13))),2),0)</f>
        <v>0</v>
      </c>
      <c r="U49" s="613" cm="1">
        <f t="array" aca="1" ref="U49" ca="1">IF(AUTOEVENTO="Manual",ROUND(SUMPRODUCT((CÁLCULO!$M$15:$M$405=EVENTOS!$C49)*(OFFSET(CÁLCULO!$AA$15:$AA$405,0,U$13))),2),0)</f>
        <v>0</v>
      </c>
      <c r="V49" s="613" cm="1">
        <f t="array" aca="1" ref="V49" ca="1">IF(AUTOEVENTO="Manual",ROUND(SUMPRODUCT((CÁLCULO!$M$15:$M$405=EVENTOS!$C49)*(OFFSET(CÁLCULO!$AA$15:$AA$405,0,V$13))),2),0)</f>
        <v>0</v>
      </c>
      <c r="W49" s="613" cm="1">
        <f t="array" aca="1" ref="W49" ca="1">IF(AUTOEVENTO="Manual",ROUND(SUMPRODUCT((CÁLCULO!$M$15:$M$405=EVENTOS!$C49)*(OFFSET(CÁLCULO!$AA$15:$AA$405,0,W$13))),2),0)</f>
        <v>0</v>
      </c>
      <c r="X49" s="613" cm="1">
        <f t="array" aca="1" ref="X49" ca="1">IF(AUTOEVENTO="Manual",ROUND(SUMPRODUCT((CÁLCULO!$M$15:$M$405=EVENTOS!$C49)*(OFFSET(CÁLCULO!$AA$15:$AA$405,0,X$13))),2),0)</f>
        <v>0</v>
      </c>
      <c r="Y49" s="613" cm="1">
        <f t="array" aca="1" ref="Y49" ca="1">IF(AUTOEVENTO="Manual",ROUND(SUMPRODUCT((CÁLCULO!$M$15:$M$405=EVENTOS!$C49)*(OFFSET(CÁLCULO!$AA$15:$AA$405,0,Y$13))),2),0)</f>
        <v>0</v>
      </c>
    </row>
    <row r="50" spans="1:25" x14ac:dyDescent="0.2">
      <c r="A50" s="507" t="str">
        <f t="shared" si="3"/>
        <v/>
      </c>
      <c r="B50" t="str">
        <f t="shared" ca="1" si="4"/>
        <v/>
      </c>
      <c r="C50" s="183" t="str" cm="1">
        <f t="array" aca="1" ref="C50" ca="1">IF(OR(ROW(C50)=ROW(EVENTOS.firstrow)+1,AND(OFFSET(C50,-1,0)&lt;&gt;" ",OFFSET(C50,-1,1)&lt;&gt;"")),OFFSET(C50,-1,0)+1," ")</f>
        <v xml:space="preserve"> </v>
      </c>
      <c r="D50" s="497"/>
      <c r="E50" s="613" cm="1">
        <f t="array" aca="1" ref="E50" ca="1">IF(AUTOEVENTO="Manual",ROUND(SUMPRODUCT((CÁLCULO!$M$15:$M$405=EVENTOS!$C50)*(OFFSET(CÁLCULO!$AA$15:$AA$405,0,E$13))),2),0)</f>
        <v>0</v>
      </c>
      <c r="F50" s="184">
        <f ca="1">IF(AUTOEVENTO="Manual",ROUND(SUMPRODUCT((CÁLCULO!$M$15:$M$405=EVENTOS!$C50)*(OFFSET(CÁLCULO!$AA$15,0,1):OFFSET(CÁLCULO!$AL$405,0,-1))),2),0)</f>
        <v>0</v>
      </c>
      <c r="G50" s="614" t="str">
        <f t="shared" ca="1" si="6"/>
        <v/>
      </c>
      <c r="H50" s="613" cm="1">
        <f t="array" aca="1" ref="H50" ca="1">IF(AUTOEVENTO="Manual",ROUND(SUMPRODUCT((CÁLCULO!$M$15:$M$405=EVENTOS!$C50)*(OFFSET(CÁLCULO!$AA$15:$AA$405,0,H$13))),2),0)</f>
        <v>0</v>
      </c>
      <c r="I50" s="613" cm="1">
        <f t="array" aca="1" ref="I50" ca="1">IF(AUTOEVENTO="Manual",ROUND(SUMPRODUCT((CÁLCULO!$M$15:$M$405=EVENTOS!$C50)*(OFFSET(CÁLCULO!$AA$15:$AA$405,0,I$13))),2),0)</f>
        <v>0</v>
      </c>
      <c r="J50" s="613" cm="1">
        <f t="array" aca="1" ref="J50" ca="1">IF(AUTOEVENTO="Manual",ROUND(SUMPRODUCT((CÁLCULO!$M$15:$M$405=EVENTOS!$C50)*(OFFSET(CÁLCULO!$AA$15:$AA$405,0,J$13))),2),0)</f>
        <v>0</v>
      </c>
      <c r="K50" s="613" cm="1">
        <f t="array" aca="1" ref="K50" ca="1">IF(AUTOEVENTO="Manual",ROUND(SUMPRODUCT((CÁLCULO!$M$15:$M$405=EVENTOS!$C50)*(OFFSET(CÁLCULO!$AA$15:$AA$405,0,K$13))),2),0)</f>
        <v>0</v>
      </c>
      <c r="L50" s="613" cm="1">
        <f t="array" aca="1" ref="L50" ca="1">IF(AUTOEVENTO="Manual",ROUND(SUMPRODUCT((CÁLCULO!$M$15:$M$405=EVENTOS!$C50)*(OFFSET(CÁLCULO!$AA$15:$AA$405,0,L$13))),2),0)</f>
        <v>0</v>
      </c>
      <c r="M50" s="613" cm="1">
        <f t="array" aca="1" ref="M50" ca="1">IF(AUTOEVENTO="Manual",ROUND(SUMPRODUCT((CÁLCULO!$M$15:$M$405=EVENTOS!$C50)*(OFFSET(CÁLCULO!$AA$15:$AA$405,0,M$13))),2),0)</f>
        <v>0</v>
      </c>
      <c r="N50" s="613" cm="1">
        <f t="array" aca="1" ref="N50" ca="1">IF(AUTOEVENTO="Manual",ROUND(SUMPRODUCT((CÁLCULO!$M$15:$M$405=EVENTOS!$C50)*(OFFSET(CÁLCULO!$AA$15:$AA$405,0,N$13))),2),0)</f>
        <v>0</v>
      </c>
      <c r="O50" s="613" cm="1">
        <f t="array" aca="1" ref="O50" ca="1">IF(AUTOEVENTO="Manual",ROUND(SUMPRODUCT((CÁLCULO!$M$15:$M$405=EVENTOS!$C50)*(OFFSET(CÁLCULO!$AA$15:$AA$405,0,O$13))),2),0)</f>
        <v>0</v>
      </c>
      <c r="P50" s="613" cm="1">
        <f t="array" aca="1" ref="P50" ca="1">IF(AUTOEVENTO="Manual",ROUND(SUMPRODUCT((CÁLCULO!$M$15:$M$405=EVENTOS!$C50)*(OFFSET(CÁLCULO!$AA$15:$AA$405,0,P$13))),2),0)</f>
        <v>0</v>
      </c>
      <c r="Q50" s="613" cm="1">
        <f t="array" aca="1" ref="Q50" ca="1">IF(AUTOEVENTO="Manual",ROUND(SUMPRODUCT((CÁLCULO!$M$15:$M$405=EVENTOS!$C50)*(OFFSET(CÁLCULO!$AA$15:$AA$405,0,Q$13))),2),0)</f>
        <v>0</v>
      </c>
      <c r="R50" s="613" cm="1">
        <f t="array" aca="1" ref="R50" ca="1">IF(AUTOEVENTO="Manual",ROUND(SUMPRODUCT((CÁLCULO!$M$15:$M$405=EVENTOS!$C50)*(OFFSET(CÁLCULO!$AA$15:$AA$405,0,R$13))),2),0)</f>
        <v>0</v>
      </c>
      <c r="S50" s="613" cm="1">
        <f t="array" aca="1" ref="S50" ca="1">IF(AUTOEVENTO="Manual",ROUND(SUMPRODUCT((CÁLCULO!$M$15:$M$405=EVENTOS!$C50)*(OFFSET(CÁLCULO!$AA$15:$AA$405,0,S$13))),2),0)</f>
        <v>0</v>
      </c>
      <c r="T50" s="613" cm="1">
        <f t="array" aca="1" ref="T50" ca="1">IF(AUTOEVENTO="Manual",ROUND(SUMPRODUCT((CÁLCULO!$M$15:$M$405=EVENTOS!$C50)*(OFFSET(CÁLCULO!$AA$15:$AA$405,0,T$13))),2),0)</f>
        <v>0</v>
      </c>
      <c r="U50" s="613" cm="1">
        <f t="array" aca="1" ref="U50" ca="1">IF(AUTOEVENTO="Manual",ROUND(SUMPRODUCT((CÁLCULO!$M$15:$M$405=EVENTOS!$C50)*(OFFSET(CÁLCULO!$AA$15:$AA$405,0,U$13))),2),0)</f>
        <v>0</v>
      </c>
      <c r="V50" s="613" cm="1">
        <f t="array" aca="1" ref="V50" ca="1">IF(AUTOEVENTO="Manual",ROUND(SUMPRODUCT((CÁLCULO!$M$15:$M$405=EVENTOS!$C50)*(OFFSET(CÁLCULO!$AA$15:$AA$405,0,V$13))),2),0)</f>
        <v>0</v>
      </c>
      <c r="W50" s="613" cm="1">
        <f t="array" aca="1" ref="W50" ca="1">IF(AUTOEVENTO="Manual",ROUND(SUMPRODUCT((CÁLCULO!$M$15:$M$405=EVENTOS!$C50)*(OFFSET(CÁLCULO!$AA$15:$AA$405,0,W$13))),2),0)</f>
        <v>0</v>
      </c>
      <c r="X50" s="613" cm="1">
        <f t="array" aca="1" ref="X50" ca="1">IF(AUTOEVENTO="Manual",ROUND(SUMPRODUCT((CÁLCULO!$M$15:$M$405=EVENTOS!$C50)*(OFFSET(CÁLCULO!$AA$15:$AA$405,0,X$13))),2),0)</f>
        <v>0</v>
      </c>
      <c r="Y50" s="613" cm="1">
        <f t="array" aca="1" ref="Y50" ca="1">IF(AUTOEVENTO="Manual",ROUND(SUMPRODUCT((CÁLCULO!$M$15:$M$405=EVENTOS!$C50)*(OFFSET(CÁLCULO!$AA$15:$AA$405,0,Y$13))),2),0)</f>
        <v>0</v>
      </c>
    </row>
    <row r="51" spans="1:25" x14ac:dyDescent="0.2">
      <c r="A51" s="507" t="str">
        <f t="shared" si="3"/>
        <v/>
      </c>
      <c r="B51" t="str">
        <f t="shared" ca="1" si="4"/>
        <v/>
      </c>
      <c r="C51" s="183" t="str" cm="1">
        <f t="array" aca="1" ref="C51" ca="1">IF(OR(ROW(C51)=ROW(EVENTOS.firstrow)+1,AND(OFFSET(C51,-1,0)&lt;&gt;" ",OFFSET(C51,-1,1)&lt;&gt;"")),OFFSET(C51,-1,0)+1," ")</f>
        <v xml:space="preserve"> </v>
      </c>
      <c r="D51" s="497"/>
      <c r="E51" s="613" cm="1">
        <f t="array" aca="1" ref="E51" ca="1">IF(AUTOEVENTO="Manual",ROUND(SUMPRODUCT((CÁLCULO!$M$15:$M$405=EVENTOS!$C51)*(OFFSET(CÁLCULO!$AA$15:$AA$405,0,E$13))),2),0)</f>
        <v>0</v>
      </c>
      <c r="F51" s="184">
        <f ca="1">IF(AUTOEVENTO="Manual",ROUND(SUMPRODUCT((CÁLCULO!$M$15:$M$405=EVENTOS!$C51)*(OFFSET(CÁLCULO!$AA$15,0,1):OFFSET(CÁLCULO!$AL$405,0,-1))),2),0)</f>
        <v>0</v>
      </c>
      <c r="G51" s="614" t="str">
        <f t="shared" ca="1" si="6"/>
        <v/>
      </c>
      <c r="H51" s="613" cm="1">
        <f t="array" aca="1" ref="H51" ca="1">IF(AUTOEVENTO="Manual",ROUND(SUMPRODUCT((CÁLCULO!$M$15:$M$405=EVENTOS!$C51)*(OFFSET(CÁLCULO!$AA$15:$AA$405,0,H$13))),2),0)</f>
        <v>0</v>
      </c>
      <c r="I51" s="613" cm="1">
        <f t="array" aca="1" ref="I51" ca="1">IF(AUTOEVENTO="Manual",ROUND(SUMPRODUCT((CÁLCULO!$M$15:$M$405=EVENTOS!$C51)*(OFFSET(CÁLCULO!$AA$15:$AA$405,0,I$13))),2),0)</f>
        <v>0</v>
      </c>
      <c r="J51" s="613" cm="1">
        <f t="array" aca="1" ref="J51" ca="1">IF(AUTOEVENTO="Manual",ROUND(SUMPRODUCT((CÁLCULO!$M$15:$M$405=EVENTOS!$C51)*(OFFSET(CÁLCULO!$AA$15:$AA$405,0,J$13))),2),0)</f>
        <v>0</v>
      </c>
      <c r="K51" s="613" cm="1">
        <f t="array" aca="1" ref="K51" ca="1">IF(AUTOEVENTO="Manual",ROUND(SUMPRODUCT((CÁLCULO!$M$15:$M$405=EVENTOS!$C51)*(OFFSET(CÁLCULO!$AA$15:$AA$405,0,K$13))),2),0)</f>
        <v>0</v>
      </c>
      <c r="L51" s="613" cm="1">
        <f t="array" aca="1" ref="L51" ca="1">IF(AUTOEVENTO="Manual",ROUND(SUMPRODUCT((CÁLCULO!$M$15:$M$405=EVENTOS!$C51)*(OFFSET(CÁLCULO!$AA$15:$AA$405,0,L$13))),2),0)</f>
        <v>0</v>
      </c>
      <c r="M51" s="613" cm="1">
        <f t="array" aca="1" ref="M51" ca="1">IF(AUTOEVENTO="Manual",ROUND(SUMPRODUCT((CÁLCULO!$M$15:$M$405=EVENTOS!$C51)*(OFFSET(CÁLCULO!$AA$15:$AA$405,0,M$13))),2),0)</f>
        <v>0</v>
      </c>
      <c r="N51" s="613" cm="1">
        <f t="array" aca="1" ref="N51" ca="1">IF(AUTOEVENTO="Manual",ROUND(SUMPRODUCT((CÁLCULO!$M$15:$M$405=EVENTOS!$C51)*(OFFSET(CÁLCULO!$AA$15:$AA$405,0,N$13))),2),0)</f>
        <v>0</v>
      </c>
      <c r="O51" s="613" cm="1">
        <f t="array" aca="1" ref="O51" ca="1">IF(AUTOEVENTO="Manual",ROUND(SUMPRODUCT((CÁLCULO!$M$15:$M$405=EVENTOS!$C51)*(OFFSET(CÁLCULO!$AA$15:$AA$405,0,O$13))),2),0)</f>
        <v>0</v>
      </c>
      <c r="P51" s="613" cm="1">
        <f t="array" aca="1" ref="P51" ca="1">IF(AUTOEVENTO="Manual",ROUND(SUMPRODUCT((CÁLCULO!$M$15:$M$405=EVENTOS!$C51)*(OFFSET(CÁLCULO!$AA$15:$AA$405,0,P$13))),2),0)</f>
        <v>0</v>
      </c>
      <c r="Q51" s="613" cm="1">
        <f t="array" aca="1" ref="Q51" ca="1">IF(AUTOEVENTO="Manual",ROUND(SUMPRODUCT((CÁLCULO!$M$15:$M$405=EVENTOS!$C51)*(OFFSET(CÁLCULO!$AA$15:$AA$405,0,Q$13))),2),0)</f>
        <v>0</v>
      </c>
      <c r="R51" s="613" cm="1">
        <f t="array" aca="1" ref="R51" ca="1">IF(AUTOEVENTO="Manual",ROUND(SUMPRODUCT((CÁLCULO!$M$15:$M$405=EVENTOS!$C51)*(OFFSET(CÁLCULO!$AA$15:$AA$405,0,R$13))),2),0)</f>
        <v>0</v>
      </c>
      <c r="S51" s="613" cm="1">
        <f t="array" aca="1" ref="S51" ca="1">IF(AUTOEVENTO="Manual",ROUND(SUMPRODUCT((CÁLCULO!$M$15:$M$405=EVENTOS!$C51)*(OFFSET(CÁLCULO!$AA$15:$AA$405,0,S$13))),2),0)</f>
        <v>0</v>
      </c>
      <c r="T51" s="613" cm="1">
        <f t="array" aca="1" ref="T51" ca="1">IF(AUTOEVENTO="Manual",ROUND(SUMPRODUCT((CÁLCULO!$M$15:$M$405=EVENTOS!$C51)*(OFFSET(CÁLCULO!$AA$15:$AA$405,0,T$13))),2),0)</f>
        <v>0</v>
      </c>
      <c r="U51" s="613" cm="1">
        <f t="array" aca="1" ref="U51" ca="1">IF(AUTOEVENTO="Manual",ROUND(SUMPRODUCT((CÁLCULO!$M$15:$M$405=EVENTOS!$C51)*(OFFSET(CÁLCULO!$AA$15:$AA$405,0,U$13))),2),0)</f>
        <v>0</v>
      </c>
      <c r="V51" s="613" cm="1">
        <f t="array" aca="1" ref="V51" ca="1">IF(AUTOEVENTO="Manual",ROUND(SUMPRODUCT((CÁLCULO!$M$15:$M$405=EVENTOS!$C51)*(OFFSET(CÁLCULO!$AA$15:$AA$405,0,V$13))),2),0)</f>
        <v>0</v>
      </c>
      <c r="W51" s="613" cm="1">
        <f t="array" aca="1" ref="W51" ca="1">IF(AUTOEVENTO="Manual",ROUND(SUMPRODUCT((CÁLCULO!$M$15:$M$405=EVENTOS!$C51)*(OFFSET(CÁLCULO!$AA$15:$AA$405,0,W$13))),2),0)</f>
        <v>0</v>
      </c>
      <c r="X51" s="613" cm="1">
        <f t="array" aca="1" ref="X51" ca="1">IF(AUTOEVENTO="Manual",ROUND(SUMPRODUCT((CÁLCULO!$M$15:$M$405=EVENTOS!$C51)*(OFFSET(CÁLCULO!$AA$15:$AA$405,0,X$13))),2),0)</f>
        <v>0</v>
      </c>
      <c r="Y51" s="613" cm="1">
        <f t="array" aca="1" ref="Y51" ca="1">IF(AUTOEVENTO="Manual",ROUND(SUMPRODUCT((CÁLCULO!$M$15:$M$405=EVENTOS!$C51)*(OFFSET(CÁLCULO!$AA$15:$AA$405,0,Y$13))),2),0)</f>
        <v>0</v>
      </c>
    </row>
    <row r="52" spans="1:25" x14ac:dyDescent="0.2">
      <c r="A52" s="507" t="str">
        <f t="shared" si="3"/>
        <v/>
      </c>
      <c r="B52" t="str">
        <f t="shared" ca="1" si="4"/>
        <v/>
      </c>
      <c r="C52" s="183" t="str" cm="1">
        <f t="array" aca="1" ref="C52" ca="1">IF(OR(ROW(C52)=ROW(EVENTOS.firstrow)+1,AND(OFFSET(C52,-1,0)&lt;&gt;" ",OFFSET(C52,-1,1)&lt;&gt;"")),OFFSET(C52,-1,0)+1," ")</f>
        <v xml:space="preserve"> </v>
      </c>
      <c r="D52" s="497"/>
      <c r="E52" s="613" cm="1">
        <f t="array" aca="1" ref="E52" ca="1">IF(AUTOEVENTO="Manual",ROUND(SUMPRODUCT((CÁLCULO!$M$15:$M$405=EVENTOS!$C52)*(OFFSET(CÁLCULO!$AA$15:$AA$405,0,E$13))),2),0)</f>
        <v>0</v>
      </c>
      <c r="F52" s="184">
        <f ca="1">IF(AUTOEVENTO="Manual",ROUND(SUMPRODUCT((CÁLCULO!$M$15:$M$405=EVENTOS!$C52)*(OFFSET(CÁLCULO!$AA$15,0,1):OFFSET(CÁLCULO!$AL$405,0,-1))),2),0)</f>
        <v>0</v>
      </c>
      <c r="G52" s="614" t="str">
        <f t="shared" ca="1" si="6"/>
        <v/>
      </c>
      <c r="H52" s="613" cm="1">
        <f t="array" aca="1" ref="H52" ca="1">IF(AUTOEVENTO="Manual",ROUND(SUMPRODUCT((CÁLCULO!$M$15:$M$405=EVENTOS!$C52)*(OFFSET(CÁLCULO!$AA$15:$AA$405,0,H$13))),2),0)</f>
        <v>0</v>
      </c>
      <c r="I52" s="613" cm="1">
        <f t="array" aca="1" ref="I52" ca="1">IF(AUTOEVENTO="Manual",ROUND(SUMPRODUCT((CÁLCULO!$M$15:$M$405=EVENTOS!$C52)*(OFFSET(CÁLCULO!$AA$15:$AA$405,0,I$13))),2),0)</f>
        <v>0</v>
      </c>
      <c r="J52" s="613" cm="1">
        <f t="array" aca="1" ref="J52" ca="1">IF(AUTOEVENTO="Manual",ROUND(SUMPRODUCT((CÁLCULO!$M$15:$M$405=EVENTOS!$C52)*(OFFSET(CÁLCULO!$AA$15:$AA$405,0,J$13))),2),0)</f>
        <v>0</v>
      </c>
      <c r="K52" s="613" cm="1">
        <f t="array" aca="1" ref="K52" ca="1">IF(AUTOEVENTO="Manual",ROUND(SUMPRODUCT((CÁLCULO!$M$15:$M$405=EVENTOS!$C52)*(OFFSET(CÁLCULO!$AA$15:$AA$405,0,K$13))),2),0)</f>
        <v>0</v>
      </c>
      <c r="L52" s="613" cm="1">
        <f t="array" aca="1" ref="L52" ca="1">IF(AUTOEVENTO="Manual",ROUND(SUMPRODUCT((CÁLCULO!$M$15:$M$405=EVENTOS!$C52)*(OFFSET(CÁLCULO!$AA$15:$AA$405,0,L$13))),2),0)</f>
        <v>0</v>
      </c>
      <c r="M52" s="613" cm="1">
        <f t="array" aca="1" ref="M52" ca="1">IF(AUTOEVENTO="Manual",ROUND(SUMPRODUCT((CÁLCULO!$M$15:$M$405=EVENTOS!$C52)*(OFFSET(CÁLCULO!$AA$15:$AA$405,0,M$13))),2),0)</f>
        <v>0</v>
      </c>
      <c r="N52" s="613" cm="1">
        <f t="array" aca="1" ref="N52" ca="1">IF(AUTOEVENTO="Manual",ROUND(SUMPRODUCT((CÁLCULO!$M$15:$M$405=EVENTOS!$C52)*(OFFSET(CÁLCULO!$AA$15:$AA$405,0,N$13))),2),0)</f>
        <v>0</v>
      </c>
      <c r="O52" s="613" cm="1">
        <f t="array" aca="1" ref="O52" ca="1">IF(AUTOEVENTO="Manual",ROUND(SUMPRODUCT((CÁLCULO!$M$15:$M$405=EVENTOS!$C52)*(OFFSET(CÁLCULO!$AA$15:$AA$405,0,O$13))),2),0)</f>
        <v>0</v>
      </c>
      <c r="P52" s="613" cm="1">
        <f t="array" aca="1" ref="P52" ca="1">IF(AUTOEVENTO="Manual",ROUND(SUMPRODUCT((CÁLCULO!$M$15:$M$405=EVENTOS!$C52)*(OFFSET(CÁLCULO!$AA$15:$AA$405,0,P$13))),2),0)</f>
        <v>0</v>
      </c>
      <c r="Q52" s="613" cm="1">
        <f t="array" aca="1" ref="Q52" ca="1">IF(AUTOEVENTO="Manual",ROUND(SUMPRODUCT((CÁLCULO!$M$15:$M$405=EVENTOS!$C52)*(OFFSET(CÁLCULO!$AA$15:$AA$405,0,Q$13))),2),0)</f>
        <v>0</v>
      </c>
      <c r="R52" s="613" cm="1">
        <f t="array" aca="1" ref="R52" ca="1">IF(AUTOEVENTO="Manual",ROUND(SUMPRODUCT((CÁLCULO!$M$15:$M$405=EVENTOS!$C52)*(OFFSET(CÁLCULO!$AA$15:$AA$405,0,R$13))),2),0)</f>
        <v>0</v>
      </c>
      <c r="S52" s="613" cm="1">
        <f t="array" aca="1" ref="S52" ca="1">IF(AUTOEVENTO="Manual",ROUND(SUMPRODUCT((CÁLCULO!$M$15:$M$405=EVENTOS!$C52)*(OFFSET(CÁLCULO!$AA$15:$AA$405,0,S$13))),2),0)</f>
        <v>0</v>
      </c>
      <c r="T52" s="613" cm="1">
        <f t="array" aca="1" ref="T52" ca="1">IF(AUTOEVENTO="Manual",ROUND(SUMPRODUCT((CÁLCULO!$M$15:$M$405=EVENTOS!$C52)*(OFFSET(CÁLCULO!$AA$15:$AA$405,0,T$13))),2),0)</f>
        <v>0</v>
      </c>
      <c r="U52" s="613" cm="1">
        <f t="array" aca="1" ref="U52" ca="1">IF(AUTOEVENTO="Manual",ROUND(SUMPRODUCT((CÁLCULO!$M$15:$M$405=EVENTOS!$C52)*(OFFSET(CÁLCULO!$AA$15:$AA$405,0,U$13))),2),0)</f>
        <v>0</v>
      </c>
      <c r="V52" s="613" cm="1">
        <f t="array" aca="1" ref="V52" ca="1">IF(AUTOEVENTO="Manual",ROUND(SUMPRODUCT((CÁLCULO!$M$15:$M$405=EVENTOS!$C52)*(OFFSET(CÁLCULO!$AA$15:$AA$405,0,V$13))),2),0)</f>
        <v>0</v>
      </c>
      <c r="W52" s="613" cm="1">
        <f t="array" aca="1" ref="W52" ca="1">IF(AUTOEVENTO="Manual",ROUND(SUMPRODUCT((CÁLCULO!$M$15:$M$405=EVENTOS!$C52)*(OFFSET(CÁLCULO!$AA$15:$AA$405,0,W$13))),2),0)</f>
        <v>0</v>
      </c>
      <c r="X52" s="613" cm="1">
        <f t="array" aca="1" ref="X52" ca="1">IF(AUTOEVENTO="Manual",ROUND(SUMPRODUCT((CÁLCULO!$M$15:$M$405=EVENTOS!$C52)*(OFFSET(CÁLCULO!$AA$15:$AA$405,0,X$13))),2),0)</f>
        <v>0</v>
      </c>
      <c r="Y52" s="613" cm="1">
        <f t="array" aca="1" ref="Y52" ca="1">IF(AUTOEVENTO="Manual",ROUND(SUMPRODUCT((CÁLCULO!$M$15:$M$405=EVENTOS!$C52)*(OFFSET(CÁLCULO!$AA$15:$AA$405,0,Y$13))),2),0)</f>
        <v>0</v>
      </c>
    </row>
    <row r="53" spans="1:25" x14ac:dyDescent="0.2">
      <c r="A53" s="507" t="str">
        <f t="shared" si="3"/>
        <v/>
      </c>
      <c r="B53" t="str">
        <f t="shared" ca="1" si="4"/>
        <v/>
      </c>
      <c r="C53" s="183" t="str" cm="1">
        <f t="array" aca="1" ref="C53" ca="1">IF(OR(ROW(C53)=ROW(EVENTOS.firstrow)+1,AND(OFFSET(C53,-1,0)&lt;&gt;" ",OFFSET(C53,-1,1)&lt;&gt;"")),OFFSET(C53,-1,0)+1," ")</f>
        <v xml:space="preserve"> </v>
      </c>
      <c r="D53" s="497"/>
      <c r="E53" s="613" cm="1">
        <f t="array" aca="1" ref="E53" ca="1">IF(AUTOEVENTO="Manual",ROUND(SUMPRODUCT((CÁLCULO!$M$15:$M$405=EVENTOS!$C53)*(OFFSET(CÁLCULO!$AA$15:$AA$405,0,E$13))),2),0)</f>
        <v>0</v>
      </c>
      <c r="F53" s="184">
        <f ca="1">IF(AUTOEVENTO="Manual",ROUND(SUMPRODUCT((CÁLCULO!$M$15:$M$405=EVENTOS!$C53)*(OFFSET(CÁLCULO!$AA$15,0,1):OFFSET(CÁLCULO!$AL$405,0,-1))),2),0)</f>
        <v>0</v>
      </c>
      <c r="G53" s="614" t="str">
        <f t="shared" ca="1" si="6"/>
        <v/>
      </c>
      <c r="H53" s="613" cm="1">
        <f t="array" aca="1" ref="H53" ca="1">IF(AUTOEVENTO="Manual",ROUND(SUMPRODUCT((CÁLCULO!$M$15:$M$405=EVENTOS!$C53)*(OFFSET(CÁLCULO!$AA$15:$AA$405,0,H$13))),2),0)</f>
        <v>0</v>
      </c>
      <c r="I53" s="613" cm="1">
        <f t="array" aca="1" ref="I53" ca="1">IF(AUTOEVENTO="Manual",ROUND(SUMPRODUCT((CÁLCULO!$M$15:$M$405=EVENTOS!$C53)*(OFFSET(CÁLCULO!$AA$15:$AA$405,0,I$13))),2),0)</f>
        <v>0</v>
      </c>
      <c r="J53" s="613" cm="1">
        <f t="array" aca="1" ref="J53" ca="1">IF(AUTOEVENTO="Manual",ROUND(SUMPRODUCT((CÁLCULO!$M$15:$M$405=EVENTOS!$C53)*(OFFSET(CÁLCULO!$AA$15:$AA$405,0,J$13))),2),0)</f>
        <v>0</v>
      </c>
      <c r="K53" s="613" cm="1">
        <f t="array" aca="1" ref="K53" ca="1">IF(AUTOEVENTO="Manual",ROUND(SUMPRODUCT((CÁLCULO!$M$15:$M$405=EVENTOS!$C53)*(OFFSET(CÁLCULO!$AA$15:$AA$405,0,K$13))),2),0)</f>
        <v>0</v>
      </c>
      <c r="L53" s="613" cm="1">
        <f t="array" aca="1" ref="L53" ca="1">IF(AUTOEVENTO="Manual",ROUND(SUMPRODUCT((CÁLCULO!$M$15:$M$405=EVENTOS!$C53)*(OFFSET(CÁLCULO!$AA$15:$AA$405,0,L$13))),2),0)</f>
        <v>0</v>
      </c>
      <c r="M53" s="613" cm="1">
        <f t="array" aca="1" ref="M53" ca="1">IF(AUTOEVENTO="Manual",ROUND(SUMPRODUCT((CÁLCULO!$M$15:$M$405=EVENTOS!$C53)*(OFFSET(CÁLCULO!$AA$15:$AA$405,0,M$13))),2),0)</f>
        <v>0</v>
      </c>
      <c r="N53" s="613" cm="1">
        <f t="array" aca="1" ref="N53" ca="1">IF(AUTOEVENTO="Manual",ROUND(SUMPRODUCT((CÁLCULO!$M$15:$M$405=EVENTOS!$C53)*(OFFSET(CÁLCULO!$AA$15:$AA$405,0,N$13))),2),0)</f>
        <v>0</v>
      </c>
      <c r="O53" s="613" cm="1">
        <f t="array" aca="1" ref="O53" ca="1">IF(AUTOEVENTO="Manual",ROUND(SUMPRODUCT((CÁLCULO!$M$15:$M$405=EVENTOS!$C53)*(OFFSET(CÁLCULO!$AA$15:$AA$405,0,O$13))),2),0)</f>
        <v>0</v>
      </c>
      <c r="P53" s="613" cm="1">
        <f t="array" aca="1" ref="P53" ca="1">IF(AUTOEVENTO="Manual",ROUND(SUMPRODUCT((CÁLCULO!$M$15:$M$405=EVENTOS!$C53)*(OFFSET(CÁLCULO!$AA$15:$AA$405,0,P$13))),2),0)</f>
        <v>0</v>
      </c>
      <c r="Q53" s="613" cm="1">
        <f t="array" aca="1" ref="Q53" ca="1">IF(AUTOEVENTO="Manual",ROUND(SUMPRODUCT((CÁLCULO!$M$15:$M$405=EVENTOS!$C53)*(OFFSET(CÁLCULO!$AA$15:$AA$405,0,Q$13))),2),0)</f>
        <v>0</v>
      </c>
      <c r="R53" s="613" cm="1">
        <f t="array" aca="1" ref="R53" ca="1">IF(AUTOEVENTO="Manual",ROUND(SUMPRODUCT((CÁLCULO!$M$15:$M$405=EVENTOS!$C53)*(OFFSET(CÁLCULO!$AA$15:$AA$405,0,R$13))),2),0)</f>
        <v>0</v>
      </c>
      <c r="S53" s="613" cm="1">
        <f t="array" aca="1" ref="S53" ca="1">IF(AUTOEVENTO="Manual",ROUND(SUMPRODUCT((CÁLCULO!$M$15:$M$405=EVENTOS!$C53)*(OFFSET(CÁLCULO!$AA$15:$AA$405,0,S$13))),2),0)</f>
        <v>0</v>
      </c>
      <c r="T53" s="613" cm="1">
        <f t="array" aca="1" ref="T53" ca="1">IF(AUTOEVENTO="Manual",ROUND(SUMPRODUCT((CÁLCULO!$M$15:$M$405=EVENTOS!$C53)*(OFFSET(CÁLCULO!$AA$15:$AA$405,0,T$13))),2),0)</f>
        <v>0</v>
      </c>
      <c r="U53" s="613" cm="1">
        <f t="array" aca="1" ref="U53" ca="1">IF(AUTOEVENTO="Manual",ROUND(SUMPRODUCT((CÁLCULO!$M$15:$M$405=EVENTOS!$C53)*(OFFSET(CÁLCULO!$AA$15:$AA$405,0,U$13))),2),0)</f>
        <v>0</v>
      </c>
      <c r="V53" s="613" cm="1">
        <f t="array" aca="1" ref="V53" ca="1">IF(AUTOEVENTO="Manual",ROUND(SUMPRODUCT((CÁLCULO!$M$15:$M$405=EVENTOS!$C53)*(OFFSET(CÁLCULO!$AA$15:$AA$405,0,V$13))),2),0)</f>
        <v>0</v>
      </c>
      <c r="W53" s="613" cm="1">
        <f t="array" aca="1" ref="W53" ca="1">IF(AUTOEVENTO="Manual",ROUND(SUMPRODUCT((CÁLCULO!$M$15:$M$405=EVENTOS!$C53)*(OFFSET(CÁLCULO!$AA$15:$AA$405,0,W$13))),2),0)</f>
        <v>0</v>
      </c>
      <c r="X53" s="613" cm="1">
        <f t="array" aca="1" ref="X53" ca="1">IF(AUTOEVENTO="Manual",ROUND(SUMPRODUCT((CÁLCULO!$M$15:$M$405=EVENTOS!$C53)*(OFFSET(CÁLCULO!$AA$15:$AA$405,0,X$13))),2),0)</f>
        <v>0</v>
      </c>
      <c r="Y53" s="613" cm="1">
        <f t="array" aca="1" ref="Y53" ca="1">IF(AUTOEVENTO="Manual",ROUND(SUMPRODUCT((CÁLCULO!$M$15:$M$405=EVENTOS!$C53)*(OFFSET(CÁLCULO!$AA$15:$AA$405,0,Y$13))),2),0)</f>
        <v>0</v>
      </c>
    </row>
    <row r="54" spans="1:25" x14ac:dyDescent="0.2">
      <c r="A54" s="507" t="str">
        <f t="shared" si="3"/>
        <v/>
      </c>
      <c r="B54" t="str">
        <f t="shared" ca="1" si="4"/>
        <v/>
      </c>
      <c r="C54" s="183" t="str" cm="1">
        <f t="array" aca="1" ref="C54" ca="1">IF(OR(ROW(C54)=ROW(EVENTOS.firstrow)+1,AND(OFFSET(C54,-1,0)&lt;&gt;" ",OFFSET(C54,-1,1)&lt;&gt;"")),OFFSET(C54,-1,0)+1," ")</f>
        <v xml:space="preserve"> </v>
      </c>
      <c r="D54" s="497"/>
      <c r="E54" s="613" cm="1">
        <f t="array" aca="1" ref="E54" ca="1">IF(AUTOEVENTO="Manual",ROUND(SUMPRODUCT((CÁLCULO!$M$15:$M$405=EVENTOS!$C54)*(OFFSET(CÁLCULO!$AA$15:$AA$405,0,E$13))),2),0)</f>
        <v>0</v>
      </c>
      <c r="F54" s="184">
        <f ca="1">IF(AUTOEVENTO="Manual",ROUND(SUMPRODUCT((CÁLCULO!$M$15:$M$405=EVENTOS!$C54)*(OFFSET(CÁLCULO!$AA$15,0,1):OFFSET(CÁLCULO!$AL$405,0,-1))),2),0)</f>
        <v>0</v>
      </c>
      <c r="G54" s="614" t="str">
        <f t="shared" ca="1" si="6"/>
        <v/>
      </c>
      <c r="H54" s="613" cm="1">
        <f t="array" aca="1" ref="H54" ca="1">IF(AUTOEVENTO="Manual",ROUND(SUMPRODUCT((CÁLCULO!$M$15:$M$405=EVENTOS!$C54)*(OFFSET(CÁLCULO!$AA$15:$AA$405,0,H$13))),2),0)</f>
        <v>0</v>
      </c>
      <c r="I54" s="613" cm="1">
        <f t="array" aca="1" ref="I54" ca="1">IF(AUTOEVENTO="Manual",ROUND(SUMPRODUCT((CÁLCULO!$M$15:$M$405=EVENTOS!$C54)*(OFFSET(CÁLCULO!$AA$15:$AA$405,0,I$13))),2),0)</f>
        <v>0</v>
      </c>
      <c r="J54" s="613" cm="1">
        <f t="array" aca="1" ref="J54" ca="1">IF(AUTOEVENTO="Manual",ROUND(SUMPRODUCT((CÁLCULO!$M$15:$M$405=EVENTOS!$C54)*(OFFSET(CÁLCULO!$AA$15:$AA$405,0,J$13))),2),0)</f>
        <v>0</v>
      </c>
      <c r="K54" s="613" cm="1">
        <f t="array" aca="1" ref="K54" ca="1">IF(AUTOEVENTO="Manual",ROUND(SUMPRODUCT((CÁLCULO!$M$15:$M$405=EVENTOS!$C54)*(OFFSET(CÁLCULO!$AA$15:$AA$405,0,K$13))),2),0)</f>
        <v>0</v>
      </c>
      <c r="L54" s="613" cm="1">
        <f t="array" aca="1" ref="L54" ca="1">IF(AUTOEVENTO="Manual",ROUND(SUMPRODUCT((CÁLCULO!$M$15:$M$405=EVENTOS!$C54)*(OFFSET(CÁLCULO!$AA$15:$AA$405,0,L$13))),2),0)</f>
        <v>0</v>
      </c>
      <c r="M54" s="613" cm="1">
        <f t="array" aca="1" ref="M54" ca="1">IF(AUTOEVENTO="Manual",ROUND(SUMPRODUCT((CÁLCULO!$M$15:$M$405=EVENTOS!$C54)*(OFFSET(CÁLCULO!$AA$15:$AA$405,0,M$13))),2),0)</f>
        <v>0</v>
      </c>
      <c r="N54" s="613" cm="1">
        <f t="array" aca="1" ref="N54" ca="1">IF(AUTOEVENTO="Manual",ROUND(SUMPRODUCT((CÁLCULO!$M$15:$M$405=EVENTOS!$C54)*(OFFSET(CÁLCULO!$AA$15:$AA$405,0,N$13))),2),0)</f>
        <v>0</v>
      </c>
      <c r="O54" s="613" cm="1">
        <f t="array" aca="1" ref="O54" ca="1">IF(AUTOEVENTO="Manual",ROUND(SUMPRODUCT((CÁLCULO!$M$15:$M$405=EVENTOS!$C54)*(OFFSET(CÁLCULO!$AA$15:$AA$405,0,O$13))),2),0)</f>
        <v>0</v>
      </c>
      <c r="P54" s="613" cm="1">
        <f t="array" aca="1" ref="P54" ca="1">IF(AUTOEVENTO="Manual",ROUND(SUMPRODUCT((CÁLCULO!$M$15:$M$405=EVENTOS!$C54)*(OFFSET(CÁLCULO!$AA$15:$AA$405,0,P$13))),2),0)</f>
        <v>0</v>
      </c>
      <c r="Q54" s="613" cm="1">
        <f t="array" aca="1" ref="Q54" ca="1">IF(AUTOEVENTO="Manual",ROUND(SUMPRODUCT((CÁLCULO!$M$15:$M$405=EVENTOS!$C54)*(OFFSET(CÁLCULO!$AA$15:$AA$405,0,Q$13))),2),0)</f>
        <v>0</v>
      </c>
      <c r="R54" s="613" cm="1">
        <f t="array" aca="1" ref="R54" ca="1">IF(AUTOEVENTO="Manual",ROUND(SUMPRODUCT((CÁLCULO!$M$15:$M$405=EVENTOS!$C54)*(OFFSET(CÁLCULO!$AA$15:$AA$405,0,R$13))),2),0)</f>
        <v>0</v>
      </c>
      <c r="S54" s="613" cm="1">
        <f t="array" aca="1" ref="S54" ca="1">IF(AUTOEVENTO="Manual",ROUND(SUMPRODUCT((CÁLCULO!$M$15:$M$405=EVENTOS!$C54)*(OFFSET(CÁLCULO!$AA$15:$AA$405,0,S$13))),2),0)</f>
        <v>0</v>
      </c>
      <c r="T54" s="613" cm="1">
        <f t="array" aca="1" ref="T54" ca="1">IF(AUTOEVENTO="Manual",ROUND(SUMPRODUCT((CÁLCULO!$M$15:$M$405=EVENTOS!$C54)*(OFFSET(CÁLCULO!$AA$15:$AA$405,0,T$13))),2),0)</f>
        <v>0</v>
      </c>
      <c r="U54" s="613" cm="1">
        <f t="array" aca="1" ref="U54" ca="1">IF(AUTOEVENTO="Manual",ROUND(SUMPRODUCT((CÁLCULO!$M$15:$M$405=EVENTOS!$C54)*(OFFSET(CÁLCULO!$AA$15:$AA$405,0,U$13))),2),0)</f>
        <v>0</v>
      </c>
      <c r="V54" s="613" cm="1">
        <f t="array" aca="1" ref="V54" ca="1">IF(AUTOEVENTO="Manual",ROUND(SUMPRODUCT((CÁLCULO!$M$15:$M$405=EVENTOS!$C54)*(OFFSET(CÁLCULO!$AA$15:$AA$405,0,V$13))),2),0)</f>
        <v>0</v>
      </c>
      <c r="W54" s="613" cm="1">
        <f t="array" aca="1" ref="W54" ca="1">IF(AUTOEVENTO="Manual",ROUND(SUMPRODUCT((CÁLCULO!$M$15:$M$405=EVENTOS!$C54)*(OFFSET(CÁLCULO!$AA$15:$AA$405,0,W$13))),2),0)</f>
        <v>0</v>
      </c>
      <c r="X54" s="613" cm="1">
        <f t="array" aca="1" ref="X54" ca="1">IF(AUTOEVENTO="Manual",ROUND(SUMPRODUCT((CÁLCULO!$M$15:$M$405=EVENTOS!$C54)*(OFFSET(CÁLCULO!$AA$15:$AA$405,0,X$13))),2),0)</f>
        <v>0</v>
      </c>
      <c r="Y54" s="613" cm="1">
        <f t="array" aca="1" ref="Y54" ca="1">IF(AUTOEVENTO="Manual",ROUND(SUMPRODUCT((CÁLCULO!$M$15:$M$405=EVENTOS!$C54)*(OFFSET(CÁLCULO!$AA$15:$AA$405,0,Y$13))),2),0)</f>
        <v>0</v>
      </c>
    </row>
    <row r="55" spans="1:25" x14ac:dyDescent="0.2">
      <c r="A55" s="507" t="str">
        <f t="shared" si="3"/>
        <v/>
      </c>
      <c r="B55" t="str">
        <f t="shared" ca="1" si="4"/>
        <v/>
      </c>
      <c r="C55" s="183" t="str" cm="1">
        <f t="array" aca="1" ref="C55" ca="1">IF(OR(ROW(C55)=ROW(EVENTOS.firstrow)+1,AND(OFFSET(C55,-1,0)&lt;&gt;" ",OFFSET(C55,-1,1)&lt;&gt;"")),OFFSET(C55,-1,0)+1," ")</f>
        <v xml:space="preserve"> </v>
      </c>
      <c r="D55" s="497"/>
      <c r="E55" s="613" cm="1">
        <f t="array" aca="1" ref="E55" ca="1">IF(AUTOEVENTO="Manual",ROUND(SUMPRODUCT((CÁLCULO!$M$15:$M$405=EVENTOS!$C55)*(OFFSET(CÁLCULO!$AA$15:$AA$405,0,E$13))),2),0)</f>
        <v>0</v>
      </c>
      <c r="F55" s="184">
        <f ca="1">IF(AUTOEVENTO="Manual",ROUND(SUMPRODUCT((CÁLCULO!$M$15:$M$405=EVENTOS!$C55)*(OFFSET(CÁLCULO!$AA$15,0,1):OFFSET(CÁLCULO!$AL$405,0,-1))),2),0)</f>
        <v>0</v>
      </c>
      <c r="G55" s="614" t="str">
        <f t="shared" ca="1" si="6"/>
        <v/>
      </c>
      <c r="H55" s="613" cm="1">
        <f t="array" aca="1" ref="H55" ca="1">IF(AUTOEVENTO="Manual",ROUND(SUMPRODUCT((CÁLCULO!$M$15:$M$405=EVENTOS!$C55)*(OFFSET(CÁLCULO!$AA$15:$AA$405,0,H$13))),2),0)</f>
        <v>0</v>
      </c>
      <c r="I55" s="613" cm="1">
        <f t="array" aca="1" ref="I55" ca="1">IF(AUTOEVENTO="Manual",ROUND(SUMPRODUCT((CÁLCULO!$M$15:$M$405=EVENTOS!$C55)*(OFFSET(CÁLCULO!$AA$15:$AA$405,0,I$13))),2),0)</f>
        <v>0</v>
      </c>
      <c r="J55" s="613" cm="1">
        <f t="array" aca="1" ref="J55" ca="1">IF(AUTOEVENTO="Manual",ROUND(SUMPRODUCT((CÁLCULO!$M$15:$M$405=EVENTOS!$C55)*(OFFSET(CÁLCULO!$AA$15:$AA$405,0,J$13))),2),0)</f>
        <v>0</v>
      </c>
      <c r="K55" s="613" cm="1">
        <f t="array" aca="1" ref="K55" ca="1">IF(AUTOEVENTO="Manual",ROUND(SUMPRODUCT((CÁLCULO!$M$15:$M$405=EVENTOS!$C55)*(OFFSET(CÁLCULO!$AA$15:$AA$405,0,K$13))),2),0)</f>
        <v>0</v>
      </c>
      <c r="L55" s="613" cm="1">
        <f t="array" aca="1" ref="L55" ca="1">IF(AUTOEVENTO="Manual",ROUND(SUMPRODUCT((CÁLCULO!$M$15:$M$405=EVENTOS!$C55)*(OFFSET(CÁLCULO!$AA$15:$AA$405,0,L$13))),2),0)</f>
        <v>0</v>
      </c>
      <c r="M55" s="613" cm="1">
        <f t="array" aca="1" ref="M55" ca="1">IF(AUTOEVENTO="Manual",ROUND(SUMPRODUCT((CÁLCULO!$M$15:$M$405=EVENTOS!$C55)*(OFFSET(CÁLCULO!$AA$15:$AA$405,0,M$13))),2),0)</f>
        <v>0</v>
      </c>
      <c r="N55" s="613" cm="1">
        <f t="array" aca="1" ref="N55" ca="1">IF(AUTOEVENTO="Manual",ROUND(SUMPRODUCT((CÁLCULO!$M$15:$M$405=EVENTOS!$C55)*(OFFSET(CÁLCULO!$AA$15:$AA$405,0,N$13))),2),0)</f>
        <v>0</v>
      </c>
      <c r="O55" s="613" cm="1">
        <f t="array" aca="1" ref="O55" ca="1">IF(AUTOEVENTO="Manual",ROUND(SUMPRODUCT((CÁLCULO!$M$15:$M$405=EVENTOS!$C55)*(OFFSET(CÁLCULO!$AA$15:$AA$405,0,O$13))),2),0)</f>
        <v>0</v>
      </c>
      <c r="P55" s="613" cm="1">
        <f t="array" aca="1" ref="P55" ca="1">IF(AUTOEVENTO="Manual",ROUND(SUMPRODUCT((CÁLCULO!$M$15:$M$405=EVENTOS!$C55)*(OFFSET(CÁLCULO!$AA$15:$AA$405,0,P$13))),2),0)</f>
        <v>0</v>
      </c>
      <c r="Q55" s="613" cm="1">
        <f t="array" aca="1" ref="Q55" ca="1">IF(AUTOEVENTO="Manual",ROUND(SUMPRODUCT((CÁLCULO!$M$15:$M$405=EVENTOS!$C55)*(OFFSET(CÁLCULO!$AA$15:$AA$405,0,Q$13))),2),0)</f>
        <v>0</v>
      </c>
      <c r="R55" s="613" cm="1">
        <f t="array" aca="1" ref="R55" ca="1">IF(AUTOEVENTO="Manual",ROUND(SUMPRODUCT((CÁLCULO!$M$15:$M$405=EVENTOS!$C55)*(OFFSET(CÁLCULO!$AA$15:$AA$405,0,R$13))),2),0)</f>
        <v>0</v>
      </c>
      <c r="S55" s="613" cm="1">
        <f t="array" aca="1" ref="S55" ca="1">IF(AUTOEVENTO="Manual",ROUND(SUMPRODUCT((CÁLCULO!$M$15:$M$405=EVENTOS!$C55)*(OFFSET(CÁLCULO!$AA$15:$AA$405,0,S$13))),2),0)</f>
        <v>0</v>
      </c>
      <c r="T55" s="613" cm="1">
        <f t="array" aca="1" ref="T55" ca="1">IF(AUTOEVENTO="Manual",ROUND(SUMPRODUCT((CÁLCULO!$M$15:$M$405=EVENTOS!$C55)*(OFFSET(CÁLCULO!$AA$15:$AA$405,0,T$13))),2),0)</f>
        <v>0</v>
      </c>
      <c r="U55" s="613" cm="1">
        <f t="array" aca="1" ref="U55" ca="1">IF(AUTOEVENTO="Manual",ROUND(SUMPRODUCT((CÁLCULO!$M$15:$M$405=EVENTOS!$C55)*(OFFSET(CÁLCULO!$AA$15:$AA$405,0,U$13))),2),0)</f>
        <v>0</v>
      </c>
      <c r="V55" s="613" cm="1">
        <f t="array" aca="1" ref="V55" ca="1">IF(AUTOEVENTO="Manual",ROUND(SUMPRODUCT((CÁLCULO!$M$15:$M$405=EVENTOS!$C55)*(OFFSET(CÁLCULO!$AA$15:$AA$405,0,V$13))),2),0)</f>
        <v>0</v>
      </c>
      <c r="W55" s="613" cm="1">
        <f t="array" aca="1" ref="W55" ca="1">IF(AUTOEVENTO="Manual",ROUND(SUMPRODUCT((CÁLCULO!$M$15:$M$405=EVENTOS!$C55)*(OFFSET(CÁLCULO!$AA$15:$AA$405,0,W$13))),2),0)</f>
        <v>0</v>
      </c>
      <c r="X55" s="613" cm="1">
        <f t="array" aca="1" ref="X55" ca="1">IF(AUTOEVENTO="Manual",ROUND(SUMPRODUCT((CÁLCULO!$M$15:$M$405=EVENTOS!$C55)*(OFFSET(CÁLCULO!$AA$15:$AA$405,0,X$13))),2),0)</f>
        <v>0</v>
      </c>
      <c r="Y55" s="613" cm="1">
        <f t="array" aca="1" ref="Y55" ca="1">IF(AUTOEVENTO="Manual",ROUND(SUMPRODUCT((CÁLCULO!$M$15:$M$405=EVENTOS!$C55)*(OFFSET(CÁLCULO!$AA$15:$AA$405,0,Y$13))),2),0)</f>
        <v>0</v>
      </c>
    </row>
    <row r="56" spans="1:25" x14ac:dyDescent="0.2">
      <c r="A56" s="507" t="str">
        <f t="shared" si="3"/>
        <v/>
      </c>
      <c r="B56" t="str">
        <f t="shared" ca="1" si="4"/>
        <v/>
      </c>
      <c r="C56" s="183" t="str" cm="1">
        <f t="array" aca="1" ref="C56" ca="1">IF(OR(ROW(C56)=ROW(EVENTOS.firstrow)+1,AND(OFFSET(C56,-1,0)&lt;&gt;" ",OFFSET(C56,-1,1)&lt;&gt;"")),OFFSET(C56,-1,0)+1," ")</f>
        <v xml:space="preserve"> </v>
      </c>
      <c r="D56" s="497"/>
      <c r="E56" s="613" cm="1">
        <f t="array" aca="1" ref="E56" ca="1">IF(AUTOEVENTO="Manual",ROUND(SUMPRODUCT((CÁLCULO!$M$15:$M$405=EVENTOS!$C56)*(OFFSET(CÁLCULO!$AA$15:$AA$405,0,E$13))),2),0)</f>
        <v>0</v>
      </c>
      <c r="F56" s="184">
        <f ca="1">IF(AUTOEVENTO="Manual",ROUND(SUMPRODUCT((CÁLCULO!$M$15:$M$405=EVENTOS!$C56)*(OFFSET(CÁLCULO!$AA$15,0,1):OFFSET(CÁLCULO!$AL$405,0,-1))),2),0)</f>
        <v>0</v>
      </c>
      <c r="G56" s="614" t="str">
        <f t="shared" ca="1" si="6"/>
        <v/>
      </c>
      <c r="H56" s="613" cm="1">
        <f t="array" aca="1" ref="H56" ca="1">IF(AUTOEVENTO="Manual",ROUND(SUMPRODUCT((CÁLCULO!$M$15:$M$405=EVENTOS!$C56)*(OFFSET(CÁLCULO!$AA$15:$AA$405,0,H$13))),2),0)</f>
        <v>0</v>
      </c>
      <c r="I56" s="613" cm="1">
        <f t="array" aca="1" ref="I56" ca="1">IF(AUTOEVENTO="Manual",ROUND(SUMPRODUCT((CÁLCULO!$M$15:$M$405=EVENTOS!$C56)*(OFFSET(CÁLCULO!$AA$15:$AA$405,0,I$13))),2),0)</f>
        <v>0</v>
      </c>
      <c r="J56" s="613" cm="1">
        <f t="array" aca="1" ref="J56" ca="1">IF(AUTOEVENTO="Manual",ROUND(SUMPRODUCT((CÁLCULO!$M$15:$M$405=EVENTOS!$C56)*(OFFSET(CÁLCULO!$AA$15:$AA$405,0,J$13))),2),0)</f>
        <v>0</v>
      </c>
      <c r="K56" s="613" cm="1">
        <f t="array" aca="1" ref="K56" ca="1">IF(AUTOEVENTO="Manual",ROUND(SUMPRODUCT((CÁLCULO!$M$15:$M$405=EVENTOS!$C56)*(OFFSET(CÁLCULO!$AA$15:$AA$405,0,K$13))),2),0)</f>
        <v>0</v>
      </c>
      <c r="L56" s="613" cm="1">
        <f t="array" aca="1" ref="L56" ca="1">IF(AUTOEVENTO="Manual",ROUND(SUMPRODUCT((CÁLCULO!$M$15:$M$405=EVENTOS!$C56)*(OFFSET(CÁLCULO!$AA$15:$AA$405,0,L$13))),2),0)</f>
        <v>0</v>
      </c>
      <c r="M56" s="613" cm="1">
        <f t="array" aca="1" ref="M56" ca="1">IF(AUTOEVENTO="Manual",ROUND(SUMPRODUCT((CÁLCULO!$M$15:$M$405=EVENTOS!$C56)*(OFFSET(CÁLCULO!$AA$15:$AA$405,0,M$13))),2),0)</f>
        <v>0</v>
      </c>
      <c r="N56" s="613" cm="1">
        <f t="array" aca="1" ref="N56" ca="1">IF(AUTOEVENTO="Manual",ROUND(SUMPRODUCT((CÁLCULO!$M$15:$M$405=EVENTOS!$C56)*(OFFSET(CÁLCULO!$AA$15:$AA$405,0,N$13))),2),0)</f>
        <v>0</v>
      </c>
      <c r="O56" s="613" cm="1">
        <f t="array" aca="1" ref="O56" ca="1">IF(AUTOEVENTO="Manual",ROUND(SUMPRODUCT((CÁLCULO!$M$15:$M$405=EVENTOS!$C56)*(OFFSET(CÁLCULO!$AA$15:$AA$405,0,O$13))),2),0)</f>
        <v>0</v>
      </c>
      <c r="P56" s="613" cm="1">
        <f t="array" aca="1" ref="P56" ca="1">IF(AUTOEVENTO="Manual",ROUND(SUMPRODUCT((CÁLCULO!$M$15:$M$405=EVENTOS!$C56)*(OFFSET(CÁLCULO!$AA$15:$AA$405,0,P$13))),2),0)</f>
        <v>0</v>
      </c>
      <c r="Q56" s="613" cm="1">
        <f t="array" aca="1" ref="Q56" ca="1">IF(AUTOEVENTO="Manual",ROUND(SUMPRODUCT((CÁLCULO!$M$15:$M$405=EVENTOS!$C56)*(OFFSET(CÁLCULO!$AA$15:$AA$405,0,Q$13))),2),0)</f>
        <v>0</v>
      </c>
      <c r="R56" s="613" cm="1">
        <f t="array" aca="1" ref="R56" ca="1">IF(AUTOEVENTO="Manual",ROUND(SUMPRODUCT((CÁLCULO!$M$15:$M$405=EVENTOS!$C56)*(OFFSET(CÁLCULO!$AA$15:$AA$405,0,R$13))),2),0)</f>
        <v>0</v>
      </c>
      <c r="S56" s="613" cm="1">
        <f t="array" aca="1" ref="S56" ca="1">IF(AUTOEVENTO="Manual",ROUND(SUMPRODUCT((CÁLCULO!$M$15:$M$405=EVENTOS!$C56)*(OFFSET(CÁLCULO!$AA$15:$AA$405,0,S$13))),2),0)</f>
        <v>0</v>
      </c>
      <c r="T56" s="613" cm="1">
        <f t="array" aca="1" ref="T56" ca="1">IF(AUTOEVENTO="Manual",ROUND(SUMPRODUCT((CÁLCULO!$M$15:$M$405=EVENTOS!$C56)*(OFFSET(CÁLCULO!$AA$15:$AA$405,0,T$13))),2),0)</f>
        <v>0</v>
      </c>
      <c r="U56" s="613" cm="1">
        <f t="array" aca="1" ref="U56" ca="1">IF(AUTOEVENTO="Manual",ROUND(SUMPRODUCT((CÁLCULO!$M$15:$M$405=EVENTOS!$C56)*(OFFSET(CÁLCULO!$AA$15:$AA$405,0,U$13))),2),0)</f>
        <v>0</v>
      </c>
      <c r="V56" s="613" cm="1">
        <f t="array" aca="1" ref="V56" ca="1">IF(AUTOEVENTO="Manual",ROUND(SUMPRODUCT((CÁLCULO!$M$15:$M$405=EVENTOS!$C56)*(OFFSET(CÁLCULO!$AA$15:$AA$405,0,V$13))),2),0)</f>
        <v>0</v>
      </c>
      <c r="W56" s="613" cm="1">
        <f t="array" aca="1" ref="W56" ca="1">IF(AUTOEVENTO="Manual",ROUND(SUMPRODUCT((CÁLCULO!$M$15:$M$405=EVENTOS!$C56)*(OFFSET(CÁLCULO!$AA$15:$AA$405,0,W$13))),2),0)</f>
        <v>0</v>
      </c>
      <c r="X56" s="613" cm="1">
        <f t="array" aca="1" ref="X56" ca="1">IF(AUTOEVENTO="Manual",ROUND(SUMPRODUCT((CÁLCULO!$M$15:$M$405=EVENTOS!$C56)*(OFFSET(CÁLCULO!$AA$15:$AA$405,0,X$13))),2),0)</f>
        <v>0</v>
      </c>
      <c r="Y56" s="613" cm="1">
        <f t="array" aca="1" ref="Y56" ca="1">IF(AUTOEVENTO="Manual",ROUND(SUMPRODUCT((CÁLCULO!$M$15:$M$405=EVENTOS!$C56)*(OFFSET(CÁLCULO!$AA$15:$AA$405,0,Y$13))),2),0)</f>
        <v>0</v>
      </c>
    </row>
    <row r="57" spans="1:25" x14ac:dyDescent="0.2">
      <c r="A57" s="507" t="str">
        <f t="shared" si="3"/>
        <v/>
      </c>
      <c r="B57" t="str">
        <f t="shared" ca="1" si="4"/>
        <v/>
      </c>
      <c r="C57" s="183" t="str" cm="1">
        <f t="array" aca="1" ref="C57" ca="1">IF(OR(ROW(C57)=ROW(EVENTOS.firstrow)+1,AND(OFFSET(C57,-1,0)&lt;&gt;" ",OFFSET(C57,-1,1)&lt;&gt;"")),OFFSET(C57,-1,0)+1," ")</f>
        <v xml:space="preserve"> </v>
      </c>
      <c r="D57" s="497"/>
      <c r="E57" s="613" cm="1">
        <f t="array" aca="1" ref="E57" ca="1">IF(AUTOEVENTO="Manual",ROUND(SUMPRODUCT((CÁLCULO!$M$15:$M$405=EVENTOS!$C57)*(OFFSET(CÁLCULO!$AA$15:$AA$405,0,E$13))),2),0)</f>
        <v>0</v>
      </c>
      <c r="F57" s="184">
        <f ca="1">IF(AUTOEVENTO="Manual",ROUND(SUMPRODUCT((CÁLCULO!$M$15:$M$405=EVENTOS!$C57)*(OFFSET(CÁLCULO!$AA$15,0,1):OFFSET(CÁLCULO!$AL$405,0,-1))),2),0)</f>
        <v>0</v>
      </c>
      <c r="G57" s="614" t="str">
        <f t="shared" ca="1" si="6"/>
        <v/>
      </c>
      <c r="H57" s="613" cm="1">
        <f t="array" aca="1" ref="H57" ca="1">IF(AUTOEVENTO="Manual",ROUND(SUMPRODUCT((CÁLCULO!$M$15:$M$405=EVENTOS!$C57)*(OFFSET(CÁLCULO!$AA$15:$AA$405,0,H$13))),2),0)</f>
        <v>0</v>
      </c>
      <c r="I57" s="613" cm="1">
        <f t="array" aca="1" ref="I57" ca="1">IF(AUTOEVENTO="Manual",ROUND(SUMPRODUCT((CÁLCULO!$M$15:$M$405=EVENTOS!$C57)*(OFFSET(CÁLCULO!$AA$15:$AA$405,0,I$13))),2),0)</f>
        <v>0</v>
      </c>
      <c r="J57" s="613" cm="1">
        <f t="array" aca="1" ref="J57" ca="1">IF(AUTOEVENTO="Manual",ROUND(SUMPRODUCT((CÁLCULO!$M$15:$M$405=EVENTOS!$C57)*(OFFSET(CÁLCULO!$AA$15:$AA$405,0,J$13))),2),0)</f>
        <v>0</v>
      </c>
      <c r="K57" s="613" cm="1">
        <f t="array" aca="1" ref="K57" ca="1">IF(AUTOEVENTO="Manual",ROUND(SUMPRODUCT((CÁLCULO!$M$15:$M$405=EVENTOS!$C57)*(OFFSET(CÁLCULO!$AA$15:$AA$405,0,K$13))),2),0)</f>
        <v>0</v>
      </c>
      <c r="L57" s="613" cm="1">
        <f t="array" aca="1" ref="L57" ca="1">IF(AUTOEVENTO="Manual",ROUND(SUMPRODUCT((CÁLCULO!$M$15:$M$405=EVENTOS!$C57)*(OFFSET(CÁLCULO!$AA$15:$AA$405,0,L$13))),2),0)</f>
        <v>0</v>
      </c>
      <c r="M57" s="613" cm="1">
        <f t="array" aca="1" ref="M57" ca="1">IF(AUTOEVENTO="Manual",ROUND(SUMPRODUCT((CÁLCULO!$M$15:$M$405=EVENTOS!$C57)*(OFFSET(CÁLCULO!$AA$15:$AA$405,0,M$13))),2),0)</f>
        <v>0</v>
      </c>
      <c r="N57" s="613" cm="1">
        <f t="array" aca="1" ref="N57" ca="1">IF(AUTOEVENTO="Manual",ROUND(SUMPRODUCT((CÁLCULO!$M$15:$M$405=EVENTOS!$C57)*(OFFSET(CÁLCULO!$AA$15:$AA$405,0,N$13))),2),0)</f>
        <v>0</v>
      </c>
      <c r="O57" s="613" cm="1">
        <f t="array" aca="1" ref="O57" ca="1">IF(AUTOEVENTO="Manual",ROUND(SUMPRODUCT((CÁLCULO!$M$15:$M$405=EVENTOS!$C57)*(OFFSET(CÁLCULO!$AA$15:$AA$405,0,O$13))),2),0)</f>
        <v>0</v>
      </c>
      <c r="P57" s="613" cm="1">
        <f t="array" aca="1" ref="P57" ca="1">IF(AUTOEVENTO="Manual",ROUND(SUMPRODUCT((CÁLCULO!$M$15:$M$405=EVENTOS!$C57)*(OFFSET(CÁLCULO!$AA$15:$AA$405,0,P$13))),2),0)</f>
        <v>0</v>
      </c>
      <c r="Q57" s="613" cm="1">
        <f t="array" aca="1" ref="Q57" ca="1">IF(AUTOEVENTO="Manual",ROUND(SUMPRODUCT((CÁLCULO!$M$15:$M$405=EVENTOS!$C57)*(OFFSET(CÁLCULO!$AA$15:$AA$405,0,Q$13))),2),0)</f>
        <v>0</v>
      </c>
      <c r="R57" s="613" cm="1">
        <f t="array" aca="1" ref="R57" ca="1">IF(AUTOEVENTO="Manual",ROUND(SUMPRODUCT((CÁLCULO!$M$15:$M$405=EVENTOS!$C57)*(OFFSET(CÁLCULO!$AA$15:$AA$405,0,R$13))),2),0)</f>
        <v>0</v>
      </c>
      <c r="S57" s="613" cm="1">
        <f t="array" aca="1" ref="S57" ca="1">IF(AUTOEVENTO="Manual",ROUND(SUMPRODUCT((CÁLCULO!$M$15:$M$405=EVENTOS!$C57)*(OFFSET(CÁLCULO!$AA$15:$AA$405,0,S$13))),2),0)</f>
        <v>0</v>
      </c>
      <c r="T57" s="613" cm="1">
        <f t="array" aca="1" ref="T57" ca="1">IF(AUTOEVENTO="Manual",ROUND(SUMPRODUCT((CÁLCULO!$M$15:$M$405=EVENTOS!$C57)*(OFFSET(CÁLCULO!$AA$15:$AA$405,0,T$13))),2),0)</f>
        <v>0</v>
      </c>
      <c r="U57" s="613" cm="1">
        <f t="array" aca="1" ref="U57" ca="1">IF(AUTOEVENTO="Manual",ROUND(SUMPRODUCT((CÁLCULO!$M$15:$M$405=EVENTOS!$C57)*(OFFSET(CÁLCULO!$AA$15:$AA$405,0,U$13))),2),0)</f>
        <v>0</v>
      </c>
      <c r="V57" s="613" cm="1">
        <f t="array" aca="1" ref="V57" ca="1">IF(AUTOEVENTO="Manual",ROUND(SUMPRODUCT((CÁLCULO!$M$15:$M$405=EVENTOS!$C57)*(OFFSET(CÁLCULO!$AA$15:$AA$405,0,V$13))),2),0)</f>
        <v>0</v>
      </c>
      <c r="W57" s="613" cm="1">
        <f t="array" aca="1" ref="W57" ca="1">IF(AUTOEVENTO="Manual",ROUND(SUMPRODUCT((CÁLCULO!$M$15:$M$405=EVENTOS!$C57)*(OFFSET(CÁLCULO!$AA$15:$AA$405,0,W$13))),2),0)</f>
        <v>0</v>
      </c>
      <c r="X57" s="613" cm="1">
        <f t="array" aca="1" ref="X57" ca="1">IF(AUTOEVENTO="Manual",ROUND(SUMPRODUCT((CÁLCULO!$M$15:$M$405=EVENTOS!$C57)*(OFFSET(CÁLCULO!$AA$15:$AA$405,0,X$13))),2),0)</f>
        <v>0</v>
      </c>
      <c r="Y57" s="613" cm="1">
        <f t="array" aca="1" ref="Y57" ca="1">IF(AUTOEVENTO="Manual",ROUND(SUMPRODUCT((CÁLCULO!$M$15:$M$405=EVENTOS!$C57)*(OFFSET(CÁLCULO!$AA$15:$AA$405,0,Y$13))),2),0)</f>
        <v>0</v>
      </c>
    </row>
    <row r="58" spans="1:25" x14ac:dyDescent="0.2">
      <c r="A58" s="507" t="str">
        <f t="shared" si="3"/>
        <v/>
      </c>
      <c r="B58" t="str">
        <f t="shared" ca="1" si="4"/>
        <v/>
      </c>
      <c r="C58" s="183" t="str" cm="1">
        <f t="array" aca="1" ref="C58" ca="1">IF(OR(ROW(C58)=ROW(EVENTOS.firstrow)+1,AND(OFFSET(C58,-1,0)&lt;&gt;" ",OFFSET(C58,-1,1)&lt;&gt;"")),OFFSET(C58,-1,0)+1," ")</f>
        <v xml:space="preserve"> </v>
      </c>
      <c r="D58" s="497"/>
      <c r="E58" s="613" cm="1">
        <f t="array" aca="1" ref="E58" ca="1">IF(AUTOEVENTO="Manual",ROUND(SUMPRODUCT((CÁLCULO!$M$15:$M$405=EVENTOS!$C58)*(OFFSET(CÁLCULO!$AA$15:$AA$405,0,E$13))),2),0)</f>
        <v>0</v>
      </c>
      <c r="F58" s="184">
        <f ca="1">IF(AUTOEVENTO="Manual",ROUND(SUMPRODUCT((CÁLCULO!$M$15:$M$405=EVENTOS!$C58)*(OFFSET(CÁLCULO!$AA$15,0,1):OFFSET(CÁLCULO!$AL$405,0,-1))),2),0)</f>
        <v>0</v>
      </c>
      <c r="G58" s="614" t="str">
        <f t="shared" ca="1" si="6"/>
        <v/>
      </c>
      <c r="H58" s="613" cm="1">
        <f t="array" aca="1" ref="H58" ca="1">IF(AUTOEVENTO="Manual",ROUND(SUMPRODUCT((CÁLCULO!$M$15:$M$405=EVENTOS!$C58)*(OFFSET(CÁLCULO!$AA$15:$AA$405,0,H$13))),2),0)</f>
        <v>0</v>
      </c>
      <c r="I58" s="613" cm="1">
        <f t="array" aca="1" ref="I58" ca="1">IF(AUTOEVENTO="Manual",ROUND(SUMPRODUCT((CÁLCULO!$M$15:$M$405=EVENTOS!$C58)*(OFFSET(CÁLCULO!$AA$15:$AA$405,0,I$13))),2),0)</f>
        <v>0</v>
      </c>
      <c r="J58" s="613" cm="1">
        <f t="array" aca="1" ref="J58" ca="1">IF(AUTOEVENTO="Manual",ROUND(SUMPRODUCT((CÁLCULO!$M$15:$M$405=EVENTOS!$C58)*(OFFSET(CÁLCULO!$AA$15:$AA$405,0,J$13))),2),0)</f>
        <v>0</v>
      </c>
      <c r="K58" s="613" cm="1">
        <f t="array" aca="1" ref="K58" ca="1">IF(AUTOEVENTO="Manual",ROUND(SUMPRODUCT((CÁLCULO!$M$15:$M$405=EVENTOS!$C58)*(OFFSET(CÁLCULO!$AA$15:$AA$405,0,K$13))),2),0)</f>
        <v>0</v>
      </c>
      <c r="L58" s="613" cm="1">
        <f t="array" aca="1" ref="L58" ca="1">IF(AUTOEVENTO="Manual",ROUND(SUMPRODUCT((CÁLCULO!$M$15:$M$405=EVENTOS!$C58)*(OFFSET(CÁLCULO!$AA$15:$AA$405,0,L$13))),2),0)</f>
        <v>0</v>
      </c>
      <c r="M58" s="613" cm="1">
        <f t="array" aca="1" ref="M58" ca="1">IF(AUTOEVENTO="Manual",ROUND(SUMPRODUCT((CÁLCULO!$M$15:$M$405=EVENTOS!$C58)*(OFFSET(CÁLCULO!$AA$15:$AA$405,0,M$13))),2),0)</f>
        <v>0</v>
      </c>
      <c r="N58" s="613" cm="1">
        <f t="array" aca="1" ref="N58" ca="1">IF(AUTOEVENTO="Manual",ROUND(SUMPRODUCT((CÁLCULO!$M$15:$M$405=EVENTOS!$C58)*(OFFSET(CÁLCULO!$AA$15:$AA$405,0,N$13))),2),0)</f>
        <v>0</v>
      </c>
      <c r="O58" s="613" cm="1">
        <f t="array" aca="1" ref="O58" ca="1">IF(AUTOEVENTO="Manual",ROUND(SUMPRODUCT((CÁLCULO!$M$15:$M$405=EVENTOS!$C58)*(OFFSET(CÁLCULO!$AA$15:$AA$405,0,O$13))),2),0)</f>
        <v>0</v>
      </c>
      <c r="P58" s="613" cm="1">
        <f t="array" aca="1" ref="P58" ca="1">IF(AUTOEVENTO="Manual",ROUND(SUMPRODUCT((CÁLCULO!$M$15:$M$405=EVENTOS!$C58)*(OFFSET(CÁLCULO!$AA$15:$AA$405,0,P$13))),2),0)</f>
        <v>0</v>
      </c>
      <c r="Q58" s="613" cm="1">
        <f t="array" aca="1" ref="Q58" ca="1">IF(AUTOEVENTO="Manual",ROUND(SUMPRODUCT((CÁLCULO!$M$15:$M$405=EVENTOS!$C58)*(OFFSET(CÁLCULO!$AA$15:$AA$405,0,Q$13))),2),0)</f>
        <v>0</v>
      </c>
      <c r="R58" s="613" cm="1">
        <f t="array" aca="1" ref="R58" ca="1">IF(AUTOEVENTO="Manual",ROUND(SUMPRODUCT((CÁLCULO!$M$15:$M$405=EVENTOS!$C58)*(OFFSET(CÁLCULO!$AA$15:$AA$405,0,R$13))),2),0)</f>
        <v>0</v>
      </c>
      <c r="S58" s="613" cm="1">
        <f t="array" aca="1" ref="S58" ca="1">IF(AUTOEVENTO="Manual",ROUND(SUMPRODUCT((CÁLCULO!$M$15:$M$405=EVENTOS!$C58)*(OFFSET(CÁLCULO!$AA$15:$AA$405,0,S$13))),2),0)</f>
        <v>0</v>
      </c>
      <c r="T58" s="613" cm="1">
        <f t="array" aca="1" ref="T58" ca="1">IF(AUTOEVENTO="Manual",ROUND(SUMPRODUCT((CÁLCULO!$M$15:$M$405=EVENTOS!$C58)*(OFFSET(CÁLCULO!$AA$15:$AA$405,0,T$13))),2),0)</f>
        <v>0</v>
      </c>
      <c r="U58" s="613" cm="1">
        <f t="array" aca="1" ref="U58" ca="1">IF(AUTOEVENTO="Manual",ROUND(SUMPRODUCT((CÁLCULO!$M$15:$M$405=EVENTOS!$C58)*(OFFSET(CÁLCULO!$AA$15:$AA$405,0,U$13))),2),0)</f>
        <v>0</v>
      </c>
      <c r="V58" s="613" cm="1">
        <f t="array" aca="1" ref="V58" ca="1">IF(AUTOEVENTO="Manual",ROUND(SUMPRODUCT((CÁLCULO!$M$15:$M$405=EVENTOS!$C58)*(OFFSET(CÁLCULO!$AA$15:$AA$405,0,V$13))),2),0)</f>
        <v>0</v>
      </c>
      <c r="W58" s="613" cm="1">
        <f t="array" aca="1" ref="W58" ca="1">IF(AUTOEVENTO="Manual",ROUND(SUMPRODUCT((CÁLCULO!$M$15:$M$405=EVENTOS!$C58)*(OFFSET(CÁLCULO!$AA$15:$AA$405,0,W$13))),2),0)</f>
        <v>0</v>
      </c>
      <c r="X58" s="613" cm="1">
        <f t="array" aca="1" ref="X58" ca="1">IF(AUTOEVENTO="Manual",ROUND(SUMPRODUCT((CÁLCULO!$M$15:$M$405=EVENTOS!$C58)*(OFFSET(CÁLCULO!$AA$15:$AA$405,0,X$13))),2),0)</f>
        <v>0</v>
      </c>
      <c r="Y58" s="613" cm="1">
        <f t="array" aca="1" ref="Y58" ca="1">IF(AUTOEVENTO="Manual",ROUND(SUMPRODUCT((CÁLCULO!$M$15:$M$405=EVENTOS!$C58)*(OFFSET(CÁLCULO!$AA$15:$AA$405,0,Y$13))),2),0)</f>
        <v>0</v>
      </c>
    </row>
    <row r="59" spans="1:25" x14ac:dyDescent="0.2">
      <c r="A59" s="507" t="str">
        <f t="shared" si="3"/>
        <v/>
      </c>
      <c r="B59" t="str">
        <f t="shared" ca="1" si="4"/>
        <v/>
      </c>
      <c r="C59" s="183" t="str" cm="1">
        <f t="array" aca="1" ref="C59" ca="1">IF(OR(ROW(C59)=ROW(EVENTOS.firstrow)+1,AND(OFFSET(C59,-1,0)&lt;&gt;" ",OFFSET(C59,-1,1)&lt;&gt;"")),OFFSET(C59,-1,0)+1," ")</f>
        <v xml:space="preserve"> </v>
      </c>
      <c r="D59" s="497"/>
      <c r="E59" s="613" cm="1">
        <f t="array" aca="1" ref="E59" ca="1">IF(AUTOEVENTO="Manual",ROUND(SUMPRODUCT((CÁLCULO!$M$15:$M$405=EVENTOS!$C59)*(OFFSET(CÁLCULO!$AA$15:$AA$405,0,E$13))),2),0)</f>
        <v>0</v>
      </c>
      <c r="F59" s="184">
        <f ca="1">IF(AUTOEVENTO="Manual",ROUND(SUMPRODUCT((CÁLCULO!$M$15:$M$405=EVENTOS!$C59)*(OFFSET(CÁLCULO!$AA$15,0,1):OFFSET(CÁLCULO!$AL$405,0,-1))),2),0)</f>
        <v>0</v>
      </c>
      <c r="G59" s="614" t="str">
        <f t="shared" ca="1" si="6"/>
        <v/>
      </c>
      <c r="H59" s="613" cm="1">
        <f t="array" aca="1" ref="H59" ca="1">IF(AUTOEVENTO="Manual",ROUND(SUMPRODUCT((CÁLCULO!$M$15:$M$405=EVENTOS!$C59)*(OFFSET(CÁLCULO!$AA$15:$AA$405,0,H$13))),2),0)</f>
        <v>0</v>
      </c>
      <c r="I59" s="613" cm="1">
        <f t="array" aca="1" ref="I59" ca="1">IF(AUTOEVENTO="Manual",ROUND(SUMPRODUCT((CÁLCULO!$M$15:$M$405=EVENTOS!$C59)*(OFFSET(CÁLCULO!$AA$15:$AA$405,0,I$13))),2),0)</f>
        <v>0</v>
      </c>
      <c r="J59" s="613" cm="1">
        <f t="array" aca="1" ref="J59" ca="1">IF(AUTOEVENTO="Manual",ROUND(SUMPRODUCT((CÁLCULO!$M$15:$M$405=EVENTOS!$C59)*(OFFSET(CÁLCULO!$AA$15:$AA$405,0,J$13))),2),0)</f>
        <v>0</v>
      </c>
      <c r="K59" s="613" cm="1">
        <f t="array" aca="1" ref="K59" ca="1">IF(AUTOEVENTO="Manual",ROUND(SUMPRODUCT((CÁLCULO!$M$15:$M$405=EVENTOS!$C59)*(OFFSET(CÁLCULO!$AA$15:$AA$405,0,K$13))),2),0)</f>
        <v>0</v>
      </c>
      <c r="L59" s="613" cm="1">
        <f t="array" aca="1" ref="L59" ca="1">IF(AUTOEVENTO="Manual",ROUND(SUMPRODUCT((CÁLCULO!$M$15:$M$405=EVENTOS!$C59)*(OFFSET(CÁLCULO!$AA$15:$AA$405,0,L$13))),2),0)</f>
        <v>0</v>
      </c>
      <c r="M59" s="613" cm="1">
        <f t="array" aca="1" ref="M59" ca="1">IF(AUTOEVENTO="Manual",ROUND(SUMPRODUCT((CÁLCULO!$M$15:$M$405=EVENTOS!$C59)*(OFFSET(CÁLCULO!$AA$15:$AA$405,0,M$13))),2),0)</f>
        <v>0</v>
      </c>
      <c r="N59" s="613" cm="1">
        <f t="array" aca="1" ref="N59" ca="1">IF(AUTOEVENTO="Manual",ROUND(SUMPRODUCT((CÁLCULO!$M$15:$M$405=EVENTOS!$C59)*(OFFSET(CÁLCULO!$AA$15:$AA$405,0,N$13))),2),0)</f>
        <v>0</v>
      </c>
      <c r="O59" s="613" cm="1">
        <f t="array" aca="1" ref="O59" ca="1">IF(AUTOEVENTO="Manual",ROUND(SUMPRODUCT((CÁLCULO!$M$15:$M$405=EVENTOS!$C59)*(OFFSET(CÁLCULO!$AA$15:$AA$405,0,O$13))),2),0)</f>
        <v>0</v>
      </c>
      <c r="P59" s="613" cm="1">
        <f t="array" aca="1" ref="P59" ca="1">IF(AUTOEVENTO="Manual",ROUND(SUMPRODUCT((CÁLCULO!$M$15:$M$405=EVENTOS!$C59)*(OFFSET(CÁLCULO!$AA$15:$AA$405,0,P$13))),2),0)</f>
        <v>0</v>
      </c>
      <c r="Q59" s="613" cm="1">
        <f t="array" aca="1" ref="Q59" ca="1">IF(AUTOEVENTO="Manual",ROUND(SUMPRODUCT((CÁLCULO!$M$15:$M$405=EVENTOS!$C59)*(OFFSET(CÁLCULO!$AA$15:$AA$405,0,Q$13))),2),0)</f>
        <v>0</v>
      </c>
      <c r="R59" s="613" cm="1">
        <f t="array" aca="1" ref="R59" ca="1">IF(AUTOEVENTO="Manual",ROUND(SUMPRODUCT((CÁLCULO!$M$15:$M$405=EVENTOS!$C59)*(OFFSET(CÁLCULO!$AA$15:$AA$405,0,R$13))),2),0)</f>
        <v>0</v>
      </c>
      <c r="S59" s="613" cm="1">
        <f t="array" aca="1" ref="S59" ca="1">IF(AUTOEVENTO="Manual",ROUND(SUMPRODUCT((CÁLCULO!$M$15:$M$405=EVENTOS!$C59)*(OFFSET(CÁLCULO!$AA$15:$AA$405,0,S$13))),2),0)</f>
        <v>0</v>
      </c>
      <c r="T59" s="613" cm="1">
        <f t="array" aca="1" ref="T59" ca="1">IF(AUTOEVENTO="Manual",ROUND(SUMPRODUCT((CÁLCULO!$M$15:$M$405=EVENTOS!$C59)*(OFFSET(CÁLCULO!$AA$15:$AA$405,0,T$13))),2),0)</f>
        <v>0</v>
      </c>
      <c r="U59" s="613" cm="1">
        <f t="array" aca="1" ref="U59" ca="1">IF(AUTOEVENTO="Manual",ROUND(SUMPRODUCT((CÁLCULO!$M$15:$M$405=EVENTOS!$C59)*(OFFSET(CÁLCULO!$AA$15:$AA$405,0,U$13))),2),0)</f>
        <v>0</v>
      </c>
      <c r="V59" s="613" cm="1">
        <f t="array" aca="1" ref="V59" ca="1">IF(AUTOEVENTO="Manual",ROUND(SUMPRODUCT((CÁLCULO!$M$15:$M$405=EVENTOS!$C59)*(OFFSET(CÁLCULO!$AA$15:$AA$405,0,V$13))),2),0)</f>
        <v>0</v>
      </c>
      <c r="W59" s="613" cm="1">
        <f t="array" aca="1" ref="W59" ca="1">IF(AUTOEVENTO="Manual",ROUND(SUMPRODUCT((CÁLCULO!$M$15:$M$405=EVENTOS!$C59)*(OFFSET(CÁLCULO!$AA$15:$AA$405,0,W$13))),2),0)</f>
        <v>0</v>
      </c>
      <c r="X59" s="613" cm="1">
        <f t="array" aca="1" ref="X59" ca="1">IF(AUTOEVENTO="Manual",ROUND(SUMPRODUCT((CÁLCULO!$M$15:$M$405=EVENTOS!$C59)*(OFFSET(CÁLCULO!$AA$15:$AA$405,0,X$13))),2),0)</f>
        <v>0</v>
      </c>
      <c r="Y59" s="613" cm="1">
        <f t="array" aca="1" ref="Y59" ca="1">IF(AUTOEVENTO="Manual",ROUND(SUMPRODUCT((CÁLCULO!$M$15:$M$405=EVENTOS!$C59)*(OFFSET(CÁLCULO!$AA$15:$AA$405,0,Y$13))),2),0)</f>
        <v>0</v>
      </c>
    </row>
    <row r="60" spans="1:25" x14ac:dyDescent="0.2">
      <c r="A60" s="507" t="str">
        <f t="shared" si="3"/>
        <v/>
      </c>
      <c r="B60" t="str">
        <f t="shared" ca="1" si="4"/>
        <v/>
      </c>
      <c r="C60" s="183" t="str" cm="1">
        <f t="array" aca="1" ref="C60" ca="1">IF(OR(ROW(C60)=ROW(EVENTOS.firstrow)+1,AND(OFFSET(C60,-1,0)&lt;&gt;" ",OFFSET(C60,-1,1)&lt;&gt;"")),OFFSET(C60,-1,0)+1," ")</f>
        <v xml:space="preserve"> </v>
      </c>
      <c r="D60" s="497"/>
      <c r="E60" s="613" cm="1">
        <f t="array" aca="1" ref="E60" ca="1">IF(AUTOEVENTO="Manual",ROUND(SUMPRODUCT((CÁLCULO!$M$15:$M$405=EVENTOS!$C60)*(OFFSET(CÁLCULO!$AA$15:$AA$405,0,E$13))),2),0)</f>
        <v>0</v>
      </c>
      <c r="F60" s="184">
        <f ca="1">IF(AUTOEVENTO="Manual",ROUND(SUMPRODUCT((CÁLCULO!$M$15:$M$405=EVENTOS!$C60)*(OFFSET(CÁLCULO!$AA$15,0,1):OFFSET(CÁLCULO!$AL$405,0,-1))),2),0)</f>
        <v>0</v>
      </c>
      <c r="G60" s="614" t="str">
        <f t="shared" ca="1" si="6"/>
        <v/>
      </c>
      <c r="H60" s="613" cm="1">
        <f t="array" aca="1" ref="H60" ca="1">IF(AUTOEVENTO="Manual",ROUND(SUMPRODUCT((CÁLCULO!$M$15:$M$405=EVENTOS!$C60)*(OFFSET(CÁLCULO!$AA$15:$AA$405,0,H$13))),2),0)</f>
        <v>0</v>
      </c>
      <c r="I60" s="613" cm="1">
        <f t="array" aca="1" ref="I60" ca="1">IF(AUTOEVENTO="Manual",ROUND(SUMPRODUCT((CÁLCULO!$M$15:$M$405=EVENTOS!$C60)*(OFFSET(CÁLCULO!$AA$15:$AA$405,0,I$13))),2),0)</f>
        <v>0</v>
      </c>
      <c r="J60" s="613" cm="1">
        <f t="array" aca="1" ref="J60" ca="1">IF(AUTOEVENTO="Manual",ROUND(SUMPRODUCT((CÁLCULO!$M$15:$M$405=EVENTOS!$C60)*(OFFSET(CÁLCULO!$AA$15:$AA$405,0,J$13))),2),0)</f>
        <v>0</v>
      </c>
      <c r="K60" s="613" cm="1">
        <f t="array" aca="1" ref="K60" ca="1">IF(AUTOEVENTO="Manual",ROUND(SUMPRODUCT((CÁLCULO!$M$15:$M$405=EVENTOS!$C60)*(OFFSET(CÁLCULO!$AA$15:$AA$405,0,K$13))),2),0)</f>
        <v>0</v>
      </c>
      <c r="L60" s="613" cm="1">
        <f t="array" aca="1" ref="L60" ca="1">IF(AUTOEVENTO="Manual",ROUND(SUMPRODUCT((CÁLCULO!$M$15:$M$405=EVENTOS!$C60)*(OFFSET(CÁLCULO!$AA$15:$AA$405,0,L$13))),2),0)</f>
        <v>0</v>
      </c>
      <c r="M60" s="613" cm="1">
        <f t="array" aca="1" ref="M60" ca="1">IF(AUTOEVENTO="Manual",ROUND(SUMPRODUCT((CÁLCULO!$M$15:$M$405=EVENTOS!$C60)*(OFFSET(CÁLCULO!$AA$15:$AA$405,0,M$13))),2),0)</f>
        <v>0</v>
      </c>
      <c r="N60" s="613" cm="1">
        <f t="array" aca="1" ref="N60" ca="1">IF(AUTOEVENTO="Manual",ROUND(SUMPRODUCT((CÁLCULO!$M$15:$M$405=EVENTOS!$C60)*(OFFSET(CÁLCULO!$AA$15:$AA$405,0,N$13))),2),0)</f>
        <v>0</v>
      </c>
      <c r="O60" s="613" cm="1">
        <f t="array" aca="1" ref="O60" ca="1">IF(AUTOEVENTO="Manual",ROUND(SUMPRODUCT((CÁLCULO!$M$15:$M$405=EVENTOS!$C60)*(OFFSET(CÁLCULO!$AA$15:$AA$405,0,O$13))),2),0)</f>
        <v>0</v>
      </c>
      <c r="P60" s="613" cm="1">
        <f t="array" aca="1" ref="P60" ca="1">IF(AUTOEVENTO="Manual",ROUND(SUMPRODUCT((CÁLCULO!$M$15:$M$405=EVENTOS!$C60)*(OFFSET(CÁLCULO!$AA$15:$AA$405,0,P$13))),2),0)</f>
        <v>0</v>
      </c>
      <c r="Q60" s="613" cm="1">
        <f t="array" aca="1" ref="Q60" ca="1">IF(AUTOEVENTO="Manual",ROUND(SUMPRODUCT((CÁLCULO!$M$15:$M$405=EVENTOS!$C60)*(OFFSET(CÁLCULO!$AA$15:$AA$405,0,Q$13))),2),0)</f>
        <v>0</v>
      </c>
      <c r="R60" s="613" cm="1">
        <f t="array" aca="1" ref="R60" ca="1">IF(AUTOEVENTO="Manual",ROUND(SUMPRODUCT((CÁLCULO!$M$15:$M$405=EVENTOS!$C60)*(OFFSET(CÁLCULO!$AA$15:$AA$405,0,R$13))),2),0)</f>
        <v>0</v>
      </c>
      <c r="S60" s="613" cm="1">
        <f t="array" aca="1" ref="S60" ca="1">IF(AUTOEVENTO="Manual",ROUND(SUMPRODUCT((CÁLCULO!$M$15:$M$405=EVENTOS!$C60)*(OFFSET(CÁLCULO!$AA$15:$AA$405,0,S$13))),2),0)</f>
        <v>0</v>
      </c>
      <c r="T60" s="613" cm="1">
        <f t="array" aca="1" ref="T60" ca="1">IF(AUTOEVENTO="Manual",ROUND(SUMPRODUCT((CÁLCULO!$M$15:$M$405=EVENTOS!$C60)*(OFFSET(CÁLCULO!$AA$15:$AA$405,0,T$13))),2),0)</f>
        <v>0</v>
      </c>
      <c r="U60" s="613" cm="1">
        <f t="array" aca="1" ref="U60" ca="1">IF(AUTOEVENTO="Manual",ROUND(SUMPRODUCT((CÁLCULO!$M$15:$M$405=EVENTOS!$C60)*(OFFSET(CÁLCULO!$AA$15:$AA$405,0,U$13))),2),0)</f>
        <v>0</v>
      </c>
      <c r="V60" s="613" cm="1">
        <f t="array" aca="1" ref="V60" ca="1">IF(AUTOEVENTO="Manual",ROUND(SUMPRODUCT((CÁLCULO!$M$15:$M$405=EVENTOS!$C60)*(OFFSET(CÁLCULO!$AA$15:$AA$405,0,V$13))),2),0)</f>
        <v>0</v>
      </c>
      <c r="W60" s="613" cm="1">
        <f t="array" aca="1" ref="W60" ca="1">IF(AUTOEVENTO="Manual",ROUND(SUMPRODUCT((CÁLCULO!$M$15:$M$405=EVENTOS!$C60)*(OFFSET(CÁLCULO!$AA$15:$AA$405,0,W$13))),2),0)</f>
        <v>0</v>
      </c>
      <c r="X60" s="613" cm="1">
        <f t="array" aca="1" ref="X60" ca="1">IF(AUTOEVENTO="Manual",ROUND(SUMPRODUCT((CÁLCULO!$M$15:$M$405=EVENTOS!$C60)*(OFFSET(CÁLCULO!$AA$15:$AA$405,0,X$13))),2),0)</f>
        <v>0</v>
      </c>
      <c r="Y60" s="613" cm="1">
        <f t="array" aca="1" ref="Y60" ca="1">IF(AUTOEVENTO="Manual",ROUND(SUMPRODUCT((CÁLCULO!$M$15:$M$405=EVENTOS!$C60)*(OFFSET(CÁLCULO!$AA$15:$AA$405,0,Y$13))),2),0)</f>
        <v>0</v>
      </c>
    </row>
    <row r="61" spans="1:25" x14ac:dyDescent="0.2">
      <c r="A61" s="507" t="str">
        <f t="shared" si="3"/>
        <v/>
      </c>
      <c r="B61" t="str">
        <f t="shared" ca="1" si="4"/>
        <v/>
      </c>
      <c r="C61" s="183" t="str" cm="1">
        <f t="array" aca="1" ref="C61" ca="1">IF(OR(ROW(C61)=ROW(EVENTOS.firstrow)+1,AND(OFFSET(C61,-1,0)&lt;&gt;" ",OFFSET(C61,-1,1)&lt;&gt;"")),OFFSET(C61,-1,0)+1," ")</f>
        <v xml:space="preserve"> </v>
      </c>
      <c r="D61" s="497"/>
      <c r="E61" s="613" cm="1">
        <f t="array" aca="1" ref="E61" ca="1">IF(AUTOEVENTO="Manual",ROUND(SUMPRODUCT((CÁLCULO!$M$15:$M$405=EVENTOS!$C61)*(OFFSET(CÁLCULO!$AA$15:$AA$405,0,E$13))),2),0)</f>
        <v>0</v>
      </c>
      <c r="F61" s="184">
        <f ca="1">IF(AUTOEVENTO="Manual",ROUND(SUMPRODUCT((CÁLCULO!$M$15:$M$405=EVENTOS!$C61)*(OFFSET(CÁLCULO!$AA$15,0,1):OFFSET(CÁLCULO!$AL$405,0,-1))),2),0)</f>
        <v>0</v>
      </c>
      <c r="G61" s="614" t="str">
        <f t="shared" ca="1" si="6"/>
        <v/>
      </c>
      <c r="H61" s="613" cm="1">
        <f t="array" aca="1" ref="H61" ca="1">IF(AUTOEVENTO="Manual",ROUND(SUMPRODUCT((CÁLCULO!$M$15:$M$405=EVENTOS!$C61)*(OFFSET(CÁLCULO!$AA$15:$AA$405,0,H$13))),2),0)</f>
        <v>0</v>
      </c>
      <c r="I61" s="613" cm="1">
        <f t="array" aca="1" ref="I61" ca="1">IF(AUTOEVENTO="Manual",ROUND(SUMPRODUCT((CÁLCULO!$M$15:$M$405=EVENTOS!$C61)*(OFFSET(CÁLCULO!$AA$15:$AA$405,0,I$13))),2),0)</f>
        <v>0</v>
      </c>
      <c r="J61" s="613" cm="1">
        <f t="array" aca="1" ref="J61" ca="1">IF(AUTOEVENTO="Manual",ROUND(SUMPRODUCT((CÁLCULO!$M$15:$M$405=EVENTOS!$C61)*(OFFSET(CÁLCULO!$AA$15:$AA$405,0,J$13))),2),0)</f>
        <v>0</v>
      </c>
      <c r="K61" s="613" cm="1">
        <f t="array" aca="1" ref="K61" ca="1">IF(AUTOEVENTO="Manual",ROUND(SUMPRODUCT((CÁLCULO!$M$15:$M$405=EVENTOS!$C61)*(OFFSET(CÁLCULO!$AA$15:$AA$405,0,K$13))),2),0)</f>
        <v>0</v>
      </c>
      <c r="L61" s="613" cm="1">
        <f t="array" aca="1" ref="L61" ca="1">IF(AUTOEVENTO="Manual",ROUND(SUMPRODUCT((CÁLCULO!$M$15:$M$405=EVENTOS!$C61)*(OFFSET(CÁLCULO!$AA$15:$AA$405,0,L$13))),2),0)</f>
        <v>0</v>
      </c>
      <c r="M61" s="613" cm="1">
        <f t="array" aca="1" ref="M61" ca="1">IF(AUTOEVENTO="Manual",ROUND(SUMPRODUCT((CÁLCULO!$M$15:$M$405=EVENTOS!$C61)*(OFFSET(CÁLCULO!$AA$15:$AA$405,0,M$13))),2),0)</f>
        <v>0</v>
      </c>
      <c r="N61" s="613" cm="1">
        <f t="array" aca="1" ref="N61" ca="1">IF(AUTOEVENTO="Manual",ROUND(SUMPRODUCT((CÁLCULO!$M$15:$M$405=EVENTOS!$C61)*(OFFSET(CÁLCULO!$AA$15:$AA$405,0,N$13))),2),0)</f>
        <v>0</v>
      </c>
      <c r="O61" s="613" cm="1">
        <f t="array" aca="1" ref="O61" ca="1">IF(AUTOEVENTO="Manual",ROUND(SUMPRODUCT((CÁLCULO!$M$15:$M$405=EVENTOS!$C61)*(OFFSET(CÁLCULO!$AA$15:$AA$405,0,O$13))),2),0)</f>
        <v>0</v>
      </c>
      <c r="P61" s="613" cm="1">
        <f t="array" aca="1" ref="P61" ca="1">IF(AUTOEVENTO="Manual",ROUND(SUMPRODUCT((CÁLCULO!$M$15:$M$405=EVENTOS!$C61)*(OFFSET(CÁLCULO!$AA$15:$AA$405,0,P$13))),2),0)</f>
        <v>0</v>
      </c>
      <c r="Q61" s="613" cm="1">
        <f t="array" aca="1" ref="Q61" ca="1">IF(AUTOEVENTO="Manual",ROUND(SUMPRODUCT((CÁLCULO!$M$15:$M$405=EVENTOS!$C61)*(OFFSET(CÁLCULO!$AA$15:$AA$405,0,Q$13))),2),0)</f>
        <v>0</v>
      </c>
      <c r="R61" s="613" cm="1">
        <f t="array" aca="1" ref="R61" ca="1">IF(AUTOEVENTO="Manual",ROUND(SUMPRODUCT((CÁLCULO!$M$15:$M$405=EVENTOS!$C61)*(OFFSET(CÁLCULO!$AA$15:$AA$405,0,R$13))),2),0)</f>
        <v>0</v>
      </c>
      <c r="S61" s="613" cm="1">
        <f t="array" aca="1" ref="S61" ca="1">IF(AUTOEVENTO="Manual",ROUND(SUMPRODUCT((CÁLCULO!$M$15:$M$405=EVENTOS!$C61)*(OFFSET(CÁLCULO!$AA$15:$AA$405,0,S$13))),2),0)</f>
        <v>0</v>
      </c>
      <c r="T61" s="613" cm="1">
        <f t="array" aca="1" ref="T61" ca="1">IF(AUTOEVENTO="Manual",ROUND(SUMPRODUCT((CÁLCULO!$M$15:$M$405=EVENTOS!$C61)*(OFFSET(CÁLCULO!$AA$15:$AA$405,0,T$13))),2),0)</f>
        <v>0</v>
      </c>
      <c r="U61" s="613" cm="1">
        <f t="array" aca="1" ref="U61" ca="1">IF(AUTOEVENTO="Manual",ROUND(SUMPRODUCT((CÁLCULO!$M$15:$M$405=EVENTOS!$C61)*(OFFSET(CÁLCULO!$AA$15:$AA$405,0,U$13))),2),0)</f>
        <v>0</v>
      </c>
      <c r="V61" s="613" cm="1">
        <f t="array" aca="1" ref="V61" ca="1">IF(AUTOEVENTO="Manual",ROUND(SUMPRODUCT((CÁLCULO!$M$15:$M$405=EVENTOS!$C61)*(OFFSET(CÁLCULO!$AA$15:$AA$405,0,V$13))),2),0)</f>
        <v>0</v>
      </c>
      <c r="W61" s="613" cm="1">
        <f t="array" aca="1" ref="W61" ca="1">IF(AUTOEVENTO="Manual",ROUND(SUMPRODUCT((CÁLCULO!$M$15:$M$405=EVENTOS!$C61)*(OFFSET(CÁLCULO!$AA$15:$AA$405,0,W$13))),2),0)</f>
        <v>0</v>
      </c>
      <c r="X61" s="613" cm="1">
        <f t="array" aca="1" ref="X61" ca="1">IF(AUTOEVENTO="Manual",ROUND(SUMPRODUCT((CÁLCULO!$M$15:$M$405=EVENTOS!$C61)*(OFFSET(CÁLCULO!$AA$15:$AA$405,0,X$13))),2),0)</f>
        <v>0</v>
      </c>
      <c r="Y61" s="613" cm="1">
        <f t="array" aca="1" ref="Y61" ca="1">IF(AUTOEVENTO="Manual",ROUND(SUMPRODUCT((CÁLCULO!$M$15:$M$405=EVENTOS!$C61)*(OFFSET(CÁLCULO!$AA$15:$AA$405,0,Y$13))),2),0)</f>
        <v>0</v>
      </c>
    </row>
    <row r="62" spans="1:25" x14ac:dyDescent="0.2">
      <c r="A62" s="507" t="str">
        <f t="shared" si="3"/>
        <v/>
      </c>
      <c r="B62" t="str">
        <f t="shared" ca="1" si="4"/>
        <v/>
      </c>
      <c r="C62" s="183" t="str" cm="1">
        <f t="array" aca="1" ref="C62" ca="1">IF(OR(ROW(C62)=ROW(EVENTOS.firstrow)+1,AND(OFFSET(C62,-1,0)&lt;&gt;" ",OFFSET(C62,-1,1)&lt;&gt;"")),OFFSET(C62,-1,0)+1," ")</f>
        <v xml:space="preserve"> </v>
      </c>
      <c r="D62" s="497"/>
      <c r="E62" s="613" cm="1">
        <f t="array" aca="1" ref="E62" ca="1">IF(AUTOEVENTO="Manual",ROUND(SUMPRODUCT((CÁLCULO!$M$15:$M$405=EVENTOS!$C62)*(OFFSET(CÁLCULO!$AA$15:$AA$405,0,E$13))),2),0)</f>
        <v>0</v>
      </c>
      <c r="F62" s="184">
        <f ca="1">IF(AUTOEVENTO="Manual",ROUND(SUMPRODUCT((CÁLCULO!$M$15:$M$405=EVENTOS!$C62)*(OFFSET(CÁLCULO!$AA$15,0,1):OFFSET(CÁLCULO!$AL$405,0,-1))),2),0)</f>
        <v>0</v>
      </c>
      <c r="G62" s="614" t="str">
        <f t="shared" ca="1" si="6"/>
        <v/>
      </c>
      <c r="H62" s="613" cm="1">
        <f t="array" aca="1" ref="H62" ca="1">IF(AUTOEVENTO="Manual",ROUND(SUMPRODUCT((CÁLCULO!$M$15:$M$405=EVENTOS!$C62)*(OFFSET(CÁLCULO!$AA$15:$AA$405,0,H$13))),2),0)</f>
        <v>0</v>
      </c>
      <c r="I62" s="613" cm="1">
        <f t="array" aca="1" ref="I62" ca="1">IF(AUTOEVENTO="Manual",ROUND(SUMPRODUCT((CÁLCULO!$M$15:$M$405=EVENTOS!$C62)*(OFFSET(CÁLCULO!$AA$15:$AA$405,0,I$13))),2),0)</f>
        <v>0</v>
      </c>
      <c r="J62" s="613" cm="1">
        <f t="array" aca="1" ref="J62" ca="1">IF(AUTOEVENTO="Manual",ROUND(SUMPRODUCT((CÁLCULO!$M$15:$M$405=EVENTOS!$C62)*(OFFSET(CÁLCULO!$AA$15:$AA$405,0,J$13))),2),0)</f>
        <v>0</v>
      </c>
      <c r="K62" s="613" cm="1">
        <f t="array" aca="1" ref="K62" ca="1">IF(AUTOEVENTO="Manual",ROUND(SUMPRODUCT((CÁLCULO!$M$15:$M$405=EVENTOS!$C62)*(OFFSET(CÁLCULO!$AA$15:$AA$405,0,K$13))),2),0)</f>
        <v>0</v>
      </c>
      <c r="L62" s="613" cm="1">
        <f t="array" aca="1" ref="L62" ca="1">IF(AUTOEVENTO="Manual",ROUND(SUMPRODUCT((CÁLCULO!$M$15:$M$405=EVENTOS!$C62)*(OFFSET(CÁLCULO!$AA$15:$AA$405,0,L$13))),2),0)</f>
        <v>0</v>
      </c>
      <c r="M62" s="613" cm="1">
        <f t="array" aca="1" ref="M62" ca="1">IF(AUTOEVENTO="Manual",ROUND(SUMPRODUCT((CÁLCULO!$M$15:$M$405=EVENTOS!$C62)*(OFFSET(CÁLCULO!$AA$15:$AA$405,0,M$13))),2),0)</f>
        <v>0</v>
      </c>
      <c r="N62" s="613" cm="1">
        <f t="array" aca="1" ref="N62" ca="1">IF(AUTOEVENTO="Manual",ROUND(SUMPRODUCT((CÁLCULO!$M$15:$M$405=EVENTOS!$C62)*(OFFSET(CÁLCULO!$AA$15:$AA$405,0,N$13))),2),0)</f>
        <v>0</v>
      </c>
      <c r="O62" s="613" cm="1">
        <f t="array" aca="1" ref="O62" ca="1">IF(AUTOEVENTO="Manual",ROUND(SUMPRODUCT((CÁLCULO!$M$15:$M$405=EVENTOS!$C62)*(OFFSET(CÁLCULO!$AA$15:$AA$405,0,O$13))),2),0)</f>
        <v>0</v>
      </c>
      <c r="P62" s="613" cm="1">
        <f t="array" aca="1" ref="P62" ca="1">IF(AUTOEVENTO="Manual",ROUND(SUMPRODUCT((CÁLCULO!$M$15:$M$405=EVENTOS!$C62)*(OFFSET(CÁLCULO!$AA$15:$AA$405,0,P$13))),2),0)</f>
        <v>0</v>
      </c>
      <c r="Q62" s="613" cm="1">
        <f t="array" aca="1" ref="Q62" ca="1">IF(AUTOEVENTO="Manual",ROUND(SUMPRODUCT((CÁLCULO!$M$15:$M$405=EVENTOS!$C62)*(OFFSET(CÁLCULO!$AA$15:$AA$405,0,Q$13))),2),0)</f>
        <v>0</v>
      </c>
      <c r="R62" s="613" cm="1">
        <f t="array" aca="1" ref="R62" ca="1">IF(AUTOEVENTO="Manual",ROUND(SUMPRODUCT((CÁLCULO!$M$15:$M$405=EVENTOS!$C62)*(OFFSET(CÁLCULO!$AA$15:$AA$405,0,R$13))),2),0)</f>
        <v>0</v>
      </c>
      <c r="S62" s="613" cm="1">
        <f t="array" aca="1" ref="S62" ca="1">IF(AUTOEVENTO="Manual",ROUND(SUMPRODUCT((CÁLCULO!$M$15:$M$405=EVENTOS!$C62)*(OFFSET(CÁLCULO!$AA$15:$AA$405,0,S$13))),2),0)</f>
        <v>0</v>
      </c>
      <c r="T62" s="613" cm="1">
        <f t="array" aca="1" ref="T62" ca="1">IF(AUTOEVENTO="Manual",ROUND(SUMPRODUCT((CÁLCULO!$M$15:$M$405=EVENTOS!$C62)*(OFFSET(CÁLCULO!$AA$15:$AA$405,0,T$13))),2),0)</f>
        <v>0</v>
      </c>
      <c r="U62" s="613" cm="1">
        <f t="array" aca="1" ref="U62" ca="1">IF(AUTOEVENTO="Manual",ROUND(SUMPRODUCT((CÁLCULO!$M$15:$M$405=EVENTOS!$C62)*(OFFSET(CÁLCULO!$AA$15:$AA$405,0,U$13))),2),0)</f>
        <v>0</v>
      </c>
      <c r="V62" s="613" cm="1">
        <f t="array" aca="1" ref="V62" ca="1">IF(AUTOEVENTO="Manual",ROUND(SUMPRODUCT((CÁLCULO!$M$15:$M$405=EVENTOS!$C62)*(OFFSET(CÁLCULO!$AA$15:$AA$405,0,V$13))),2),0)</f>
        <v>0</v>
      </c>
      <c r="W62" s="613" cm="1">
        <f t="array" aca="1" ref="W62" ca="1">IF(AUTOEVENTO="Manual",ROUND(SUMPRODUCT((CÁLCULO!$M$15:$M$405=EVENTOS!$C62)*(OFFSET(CÁLCULO!$AA$15:$AA$405,0,W$13))),2),0)</f>
        <v>0</v>
      </c>
      <c r="X62" s="613" cm="1">
        <f t="array" aca="1" ref="X62" ca="1">IF(AUTOEVENTO="Manual",ROUND(SUMPRODUCT((CÁLCULO!$M$15:$M$405=EVENTOS!$C62)*(OFFSET(CÁLCULO!$AA$15:$AA$405,0,X$13))),2),0)</f>
        <v>0</v>
      </c>
      <c r="Y62" s="613" cm="1">
        <f t="array" aca="1" ref="Y62" ca="1">IF(AUTOEVENTO="Manual",ROUND(SUMPRODUCT((CÁLCULO!$M$15:$M$405=EVENTOS!$C62)*(OFFSET(CÁLCULO!$AA$15:$AA$405,0,Y$13))),2),0)</f>
        <v>0</v>
      </c>
    </row>
    <row r="63" spans="1:25" x14ac:dyDescent="0.2">
      <c r="A63" s="507" t="str">
        <f t="shared" si="3"/>
        <v/>
      </c>
      <c r="B63" t="str">
        <f t="shared" ca="1" si="4"/>
        <v/>
      </c>
      <c r="C63" s="183" t="str" cm="1">
        <f t="array" aca="1" ref="C63" ca="1">IF(OR(ROW(C63)=ROW(EVENTOS.firstrow)+1,AND(OFFSET(C63,-1,0)&lt;&gt;" ",OFFSET(C63,-1,1)&lt;&gt;"")),OFFSET(C63,-1,0)+1," ")</f>
        <v xml:space="preserve"> </v>
      </c>
      <c r="D63" s="497"/>
      <c r="E63" s="613" cm="1">
        <f t="array" aca="1" ref="E63" ca="1">IF(AUTOEVENTO="Manual",ROUND(SUMPRODUCT((CÁLCULO!$M$15:$M$405=EVENTOS!$C63)*(OFFSET(CÁLCULO!$AA$15:$AA$405,0,E$13))),2),0)</f>
        <v>0</v>
      </c>
      <c r="F63" s="184">
        <f ca="1">IF(AUTOEVENTO="Manual",ROUND(SUMPRODUCT((CÁLCULO!$M$15:$M$405=EVENTOS!$C63)*(OFFSET(CÁLCULO!$AA$15,0,1):OFFSET(CÁLCULO!$AL$405,0,-1))),2),0)</f>
        <v>0</v>
      </c>
      <c r="G63" s="614" t="str">
        <f t="shared" ca="1" si="6"/>
        <v/>
      </c>
      <c r="H63" s="613" cm="1">
        <f t="array" aca="1" ref="H63" ca="1">IF(AUTOEVENTO="Manual",ROUND(SUMPRODUCT((CÁLCULO!$M$15:$M$405=EVENTOS!$C63)*(OFFSET(CÁLCULO!$AA$15:$AA$405,0,H$13))),2),0)</f>
        <v>0</v>
      </c>
      <c r="I63" s="613" cm="1">
        <f t="array" aca="1" ref="I63" ca="1">IF(AUTOEVENTO="Manual",ROUND(SUMPRODUCT((CÁLCULO!$M$15:$M$405=EVENTOS!$C63)*(OFFSET(CÁLCULO!$AA$15:$AA$405,0,I$13))),2),0)</f>
        <v>0</v>
      </c>
      <c r="J63" s="613" cm="1">
        <f t="array" aca="1" ref="J63" ca="1">IF(AUTOEVENTO="Manual",ROUND(SUMPRODUCT((CÁLCULO!$M$15:$M$405=EVENTOS!$C63)*(OFFSET(CÁLCULO!$AA$15:$AA$405,0,J$13))),2),0)</f>
        <v>0</v>
      </c>
      <c r="K63" s="613" cm="1">
        <f t="array" aca="1" ref="K63" ca="1">IF(AUTOEVENTO="Manual",ROUND(SUMPRODUCT((CÁLCULO!$M$15:$M$405=EVENTOS!$C63)*(OFFSET(CÁLCULO!$AA$15:$AA$405,0,K$13))),2),0)</f>
        <v>0</v>
      </c>
      <c r="L63" s="613" cm="1">
        <f t="array" aca="1" ref="L63" ca="1">IF(AUTOEVENTO="Manual",ROUND(SUMPRODUCT((CÁLCULO!$M$15:$M$405=EVENTOS!$C63)*(OFFSET(CÁLCULO!$AA$15:$AA$405,0,L$13))),2),0)</f>
        <v>0</v>
      </c>
      <c r="M63" s="613" cm="1">
        <f t="array" aca="1" ref="M63" ca="1">IF(AUTOEVENTO="Manual",ROUND(SUMPRODUCT((CÁLCULO!$M$15:$M$405=EVENTOS!$C63)*(OFFSET(CÁLCULO!$AA$15:$AA$405,0,M$13))),2),0)</f>
        <v>0</v>
      </c>
      <c r="N63" s="613" cm="1">
        <f t="array" aca="1" ref="N63" ca="1">IF(AUTOEVENTO="Manual",ROUND(SUMPRODUCT((CÁLCULO!$M$15:$M$405=EVENTOS!$C63)*(OFFSET(CÁLCULO!$AA$15:$AA$405,0,N$13))),2),0)</f>
        <v>0</v>
      </c>
      <c r="O63" s="613" cm="1">
        <f t="array" aca="1" ref="O63" ca="1">IF(AUTOEVENTO="Manual",ROUND(SUMPRODUCT((CÁLCULO!$M$15:$M$405=EVENTOS!$C63)*(OFFSET(CÁLCULO!$AA$15:$AA$405,0,O$13))),2),0)</f>
        <v>0</v>
      </c>
      <c r="P63" s="613" cm="1">
        <f t="array" aca="1" ref="P63" ca="1">IF(AUTOEVENTO="Manual",ROUND(SUMPRODUCT((CÁLCULO!$M$15:$M$405=EVENTOS!$C63)*(OFFSET(CÁLCULO!$AA$15:$AA$405,0,P$13))),2),0)</f>
        <v>0</v>
      </c>
      <c r="Q63" s="613" cm="1">
        <f t="array" aca="1" ref="Q63" ca="1">IF(AUTOEVENTO="Manual",ROUND(SUMPRODUCT((CÁLCULO!$M$15:$M$405=EVENTOS!$C63)*(OFFSET(CÁLCULO!$AA$15:$AA$405,0,Q$13))),2),0)</f>
        <v>0</v>
      </c>
      <c r="R63" s="613" cm="1">
        <f t="array" aca="1" ref="R63" ca="1">IF(AUTOEVENTO="Manual",ROUND(SUMPRODUCT((CÁLCULO!$M$15:$M$405=EVENTOS!$C63)*(OFFSET(CÁLCULO!$AA$15:$AA$405,0,R$13))),2),0)</f>
        <v>0</v>
      </c>
      <c r="S63" s="613" cm="1">
        <f t="array" aca="1" ref="S63" ca="1">IF(AUTOEVENTO="Manual",ROUND(SUMPRODUCT((CÁLCULO!$M$15:$M$405=EVENTOS!$C63)*(OFFSET(CÁLCULO!$AA$15:$AA$405,0,S$13))),2),0)</f>
        <v>0</v>
      </c>
      <c r="T63" s="613" cm="1">
        <f t="array" aca="1" ref="T63" ca="1">IF(AUTOEVENTO="Manual",ROUND(SUMPRODUCT((CÁLCULO!$M$15:$M$405=EVENTOS!$C63)*(OFFSET(CÁLCULO!$AA$15:$AA$405,0,T$13))),2),0)</f>
        <v>0</v>
      </c>
      <c r="U63" s="613" cm="1">
        <f t="array" aca="1" ref="U63" ca="1">IF(AUTOEVENTO="Manual",ROUND(SUMPRODUCT((CÁLCULO!$M$15:$M$405=EVENTOS!$C63)*(OFFSET(CÁLCULO!$AA$15:$AA$405,0,U$13))),2),0)</f>
        <v>0</v>
      </c>
      <c r="V63" s="613" cm="1">
        <f t="array" aca="1" ref="V63" ca="1">IF(AUTOEVENTO="Manual",ROUND(SUMPRODUCT((CÁLCULO!$M$15:$M$405=EVENTOS!$C63)*(OFFSET(CÁLCULO!$AA$15:$AA$405,0,V$13))),2),0)</f>
        <v>0</v>
      </c>
      <c r="W63" s="613" cm="1">
        <f t="array" aca="1" ref="W63" ca="1">IF(AUTOEVENTO="Manual",ROUND(SUMPRODUCT((CÁLCULO!$M$15:$M$405=EVENTOS!$C63)*(OFFSET(CÁLCULO!$AA$15:$AA$405,0,W$13))),2),0)</f>
        <v>0</v>
      </c>
      <c r="X63" s="613" cm="1">
        <f t="array" aca="1" ref="X63" ca="1">IF(AUTOEVENTO="Manual",ROUND(SUMPRODUCT((CÁLCULO!$M$15:$M$405=EVENTOS!$C63)*(OFFSET(CÁLCULO!$AA$15:$AA$405,0,X$13))),2),0)</f>
        <v>0</v>
      </c>
      <c r="Y63" s="613" cm="1">
        <f t="array" aca="1" ref="Y63" ca="1">IF(AUTOEVENTO="Manual",ROUND(SUMPRODUCT((CÁLCULO!$M$15:$M$405=EVENTOS!$C63)*(OFFSET(CÁLCULO!$AA$15:$AA$405,0,Y$13))),2),0)</f>
        <v>0</v>
      </c>
    </row>
    <row r="64" spans="1:25" x14ac:dyDescent="0.2">
      <c r="A64" s="507" t="str">
        <f t="shared" si="3"/>
        <v/>
      </c>
      <c r="B64" t="str">
        <f t="shared" ca="1" si="4"/>
        <v/>
      </c>
      <c r="C64" s="183" t="str" cm="1">
        <f t="array" aca="1" ref="C64" ca="1">IF(OR(ROW(C64)=ROW(EVENTOS.firstrow)+1,AND(OFFSET(C64,-1,0)&lt;&gt;" ",OFFSET(C64,-1,1)&lt;&gt;"")),OFFSET(C64,-1,0)+1," ")</f>
        <v xml:space="preserve"> </v>
      </c>
      <c r="D64" s="497"/>
      <c r="E64" s="613" cm="1">
        <f t="array" aca="1" ref="E64" ca="1">IF(AUTOEVENTO="Manual",ROUND(SUMPRODUCT((CÁLCULO!$M$15:$M$405=EVENTOS!$C64)*(OFFSET(CÁLCULO!$AA$15:$AA$405,0,E$13))),2),0)</f>
        <v>0</v>
      </c>
      <c r="F64" s="184">
        <f ca="1">IF(AUTOEVENTO="Manual",ROUND(SUMPRODUCT((CÁLCULO!$M$15:$M$405=EVENTOS!$C64)*(OFFSET(CÁLCULO!$AA$15,0,1):OFFSET(CÁLCULO!$AL$405,0,-1))),2),0)</f>
        <v>0</v>
      </c>
      <c r="G64" s="614" t="str">
        <f t="shared" ca="1" si="6"/>
        <v/>
      </c>
      <c r="H64" s="613" cm="1">
        <f t="array" aca="1" ref="H64" ca="1">IF(AUTOEVENTO="Manual",ROUND(SUMPRODUCT((CÁLCULO!$M$15:$M$405=EVENTOS!$C64)*(OFFSET(CÁLCULO!$AA$15:$AA$405,0,H$13))),2),0)</f>
        <v>0</v>
      </c>
      <c r="I64" s="613" cm="1">
        <f t="array" aca="1" ref="I64" ca="1">IF(AUTOEVENTO="Manual",ROUND(SUMPRODUCT((CÁLCULO!$M$15:$M$405=EVENTOS!$C64)*(OFFSET(CÁLCULO!$AA$15:$AA$405,0,I$13))),2),0)</f>
        <v>0</v>
      </c>
      <c r="J64" s="613" cm="1">
        <f t="array" aca="1" ref="J64" ca="1">IF(AUTOEVENTO="Manual",ROUND(SUMPRODUCT((CÁLCULO!$M$15:$M$405=EVENTOS!$C64)*(OFFSET(CÁLCULO!$AA$15:$AA$405,0,J$13))),2),0)</f>
        <v>0</v>
      </c>
      <c r="K64" s="613" cm="1">
        <f t="array" aca="1" ref="K64" ca="1">IF(AUTOEVENTO="Manual",ROUND(SUMPRODUCT((CÁLCULO!$M$15:$M$405=EVENTOS!$C64)*(OFFSET(CÁLCULO!$AA$15:$AA$405,0,K$13))),2),0)</f>
        <v>0</v>
      </c>
      <c r="L64" s="613" cm="1">
        <f t="array" aca="1" ref="L64" ca="1">IF(AUTOEVENTO="Manual",ROUND(SUMPRODUCT((CÁLCULO!$M$15:$M$405=EVENTOS!$C64)*(OFFSET(CÁLCULO!$AA$15:$AA$405,0,L$13))),2),0)</f>
        <v>0</v>
      </c>
      <c r="M64" s="613" cm="1">
        <f t="array" aca="1" ref="M64" ca="1">IF(AUTOEVENTO="Manual",ROUND(SUMPRODUCT((CÁLCULO!$M$15:$M$405=EVENTOS!$C64)*(OFFSET(CÁLCULO!$AA$15:$AA$405,0,M$13))),2),0)</f>
        <v>0</v>
      </c>
      <c r="N64" s="613" cm="1">
        <f t="array" aca="1" ref="N64" ca="1">IF(AUTOEVENTO="Manual",ROUND(SUMPRODUCT((CÁLCULO!$M$15:$M$405=EVENTOS!$C64)*(OFFSET(CÁLCULO!$AA$15:$AA$405,0,N$13))),2),0)</f>
        <v>0</v>
      </c>
      <c r="O64" s="613" cm="1">
        <f t="array" aca="1" ref="O64" ca="1">IF(AUTOEVENTO="Manual",ROUND(SUMPRODUCT((CÁLCULO!$M$15:$M$405=EVENTOS!$C64)*(OFFSET(CÁLCULO!$AA$15:$AA$405,0,O$13))),2),0)</f>
        <v>0</v>
      </c>
      <c r="P64" s="613" cm="1">
        <f t="array" aca="1" ref="P64" ca="1">IF(AUTOEVENTO="Manual",ROUND(SUMPRODUCT((CÁLCULO!$M$15:$M$405=EVENTOS!$C64)*(OFFSET(CÁLCULO!$AA$15:$AA$405,0,P$13))),2),0)</f>
        <v>0</v>
      </c>
      <c r="Q64" s="613" cm="1">
        <f t="array" aca="1" ref="Q64" ca="1">IF(AUTOEVENTO="Manual",ROUND(SUMPRODUCT((CÁLCULO!$M$15:$M$405=EVENTOS!$C64)*(OFFSET(CÁLCULO!$AA$15:$AA$405,0,Q$13))),2),0)</f>
        <v>0</v>
      </c>
      <c r="R64" s="613" cm="1">
        <f t="array" aca="1" ref="R64" ca="1">IF(AUTOEVENTO="Manual",ROUND(SUMPRODUCT((CÁLCULO!$M$15:$M$405=EVENTOS!$C64)*(OFFSET(CÁLCULO!$AA$15:$AA$405,0,R$13))),2),0)</f>
        <v>0</v>
      </c>
      <c r="S64" s="613" cm="1">
        <f t="array" aca="1" ref="S64" ca="1">IF(AUTOEVENTO="Manual",ROUND(SUMPRODUCT((CÁLCULO!$M$15:$M$405=EVENTOS!$C64)*(OFFSET(CÁLCULO!$AA$15:$AA$405,0,S$13))),2),0)</f>
        <v>0</v>
      </c>
      <c r="T64" s="613" cm="1">
        <f t="array" aca="1" ref="T64" ca="1">IF(AUTOEVENTO="Manual",ROUND(SUMPRODUCT((CÁLCULO!$M$15:$M$405=EVENTOS!$C64)*(OFFSET(CÁLCULO!$AA$15:$AA$405,0,T$13))),2),0)</f>
        <v>0</v>
      </c>
      <c r="U64" s="613" cm="1">
        <f t="array" aca="1" ref="U64" ca="1">IF(AUTOEVENTO="Manual",ROUND(SUMPRODUCT((CÁLCULO!$M$15:$M$405=EVENTOS!$C64)*(OFFSET(CÁLCULO!$AA$15:$AA$405,0,U$13))),2),0)</f>
        <v>0</v>
      </c>
      <c r="V64" s="613" cm="1">
        <f t="array" aca="1" ref="V64" ca="1">IF(AUTOEVENTO="Manual",ROUND(SUMPRODUCT((CÁLCULO!$M$15:$M$405=EVENTOS!$C64)*(OFFSET(CÁLCULO!$AA$15:$AA$405,0,V$13))),2),0)</f>
        <v>0</v>
      </c>
      <c r="W64" s="613" cm="1">
        <f t="array" aca="1" ref="W64" ca="1">IF(AUTOEVENTO="Manual",ROUND(SUMPRODUCT((CÁLCULO!$M$15:$M$405=EVENTOS!$C64)*(OFFSET(CÁLCULO!$AA$15:$AA$405,0,W$13))),2),0)</f>
        <v>0</v>
      </c>
      <c r="X64" s="613" cm="1">
        <f t="array" aca="1" ref="X64" ca="1">IF(AUTOEVENTO="Manual",ROUND(SUMPRODUCT((CÁLCULO!$M$15:$M$405=EVENTOS!$C64)*(OFFSET(CÁLCULO!$AA$15:$AA$405,0,X$13))),2),0)</f>
        <v>0</v>
      </c>
      <c r="Y64" s="613" cm="1">
        <f t="array" aca="1" ref="Y64" ca="1">IF(AUTOEVENTO="Manual",ROUND(SUMPRODUCT((CÁLCULO!$M$15:$M$405=EVENTOS!$C64)*(OFFSET(CÁLCULO!$AA$15:$AA$405,0,Y$13))),2),0)</f>
        <v>0</v>
      </c>
    </row>
    <row r="65" spans="1:25" ht="5.0999999999999996" customHeight="1" x14ac:dyDescent="0.2">
      <c r="A65" s="507" t="s">
        <v>536</v>
      </c>
      <c r="C65" s="622"/>
      <c r="D65" s="623"/>
      <c r="E65" s="624"/>
      <c r="F65" s="185"/>
      <c r="G65" s="624"/>
      <c r="H65" s="624"/>
      <c r="I65" s="624"/>
      <c r="J65" s="624"/>
      <c r="K65" s="624"/>
      <c r="L65" s="624"/>
      <c r="M65" s="624"/>
      <c r="N65" s="624"/>
      <c r="O65" s="624"/>
      <c r="P65" s="624"/>
      <c r="Q65" s="624"/>
      <c r="R65" s="624"/>
      <c r="S65" s="624"/>
      <c r="T65" s="624"/>
      <c r="U65" s="624"/>
      <c r="V65" s="624"/>
      <c r="W65" s="624"/>
      <c r="X65" s="624"/>
      <c r="Y65" s="624"/>
    </row>
    <row r="66" spans="1:25" x14ac:dyDescent="0.2">
      <c r="A66" s="507" t="s">
        <v>536</v>
      </c>
    </row>
    <row r="67" spans="1:25" x14ac:dyDescent="0.2">
      <c r="A67" s="507" t="s">
        <v>536</v>
      </c>
    </row>
    <row r="68" spans="1:25" ht="15" x14ac:dyDescent="0.2">
      <c r="A68" s="507" t="s">
        <v>536</v>
      </c>
      <c r="D68" s="494" t="str">
        <f>Import.Município</f>
        <v>Caçador/SC</v>
      </c>
      <c r="L68" s="461"/>
      <c r="M68" s="418"/>
      <c r="N68" s="418"/>
      <c r="O68" s="418"/>
      <c r="V68" s="461"/>
      <c r="W68" s="418"/>
      <c r="X68" s="418"/>
      <c r="Y68" s="418"/>
    </row>
    <row r="69" spans="1:25" x14ac:dyDescent="0.2">
      <c r="A69" s="507" t="s">
        <v>536</v>
      </c>
      <c r="D69" s="9" t="s">
        <v>694</v>
      </c>
      <c r="H69" s="546"/>
      <c r="I69" s="546"/>
      <c r="J69" s="546"/>
      <c r="L69" s="182" t="s">
        <v>697</v>
      </c>
      <c r="V69" s="182" t="s">
        <v>697</v>
      </c>
    </row>
    <row r="70" spans="1:25" x14ac:dyDescent="0.2">
      <c r="A70" s="507" t="s">
        <v>536</v>
      </c>
      <c r="H70" s="546"/>
      <c r="I70" s="546"/>
      <c r="J70" s="546"/>
      <c r="L70" s="399" t="str">
        <f t="array" aca="1" ref="L70:L72" ca="1">OFFSET(Import.RespOrçamento,0,-1) &amp; " " &amp; Import.RespOrçamento</f>
        <v xml:space="preserve">Nome: </v>
      </c>
      <c r="V70" s="399" t="str">
        <f t="array" aca="1" ref="V70:V72" ca="1">OFFSET(Import.RespOrçamento,0,-1) &amp; " " &amp; Import.RespOrçamento</f>
        <v xml:space="preserve">Nome: </v>
      </c>
    </row>
    <row r="71" spans="1:25" x14ac:dyDescent="0.2">
      <c r="A71" s="507" t="s">
        <v>536</v>
      </c>
      <c r="D71" s="495">
        <f>DADOS!$C$25</f>
        <v>0</v>
      </c>
      <c r="L71" s="399" t="str">
        <f ca="1"/>
        <v xml:space="preserve">CREA/CAU: </v>
      </c>
      <c r="V71" s="399" t="str">
        <f ca="1"/>
        <v xml:space="preserve">CREA/CAU: </v>
      </c>
    </row>
    <row r="72" spans="1:25" x14ac:dyDescent="0.2">
      <c r="A72" s="507" t="s">
        <v>536</v>
      </c>
      <c r="D72" s="9" t="s">
        <v>695</v>
      </c>
      <c r="L72" s="399" t="str">
        <f ca="1"/>
        <v xml:space="preserve">ART/RRT: </v>
      </c>
      <c r="V72" s="399" t="str">
        <f ca="1"/>
        <v xml:space="preserve">ART/RRT: </v>
      </c>
    </row>
  </sheetData>
  <sheetProtection algorithmName="SHA-512" hashValue="5kkwBbgdDAcgVVHTPjoeZyBfKWgTkSpZcR1E8rwD3PqGDWdI7bdqvExawkPROC5CtaCjsVjKB7bryU5FvFCxKA==" saltValue="fHeqGvj5dLfOSIHJSPpIOg==" spinCount="100000" sheet="1" objects="1" scenarios="1" autoFilter="0"/>
  <autoFilter ref="A13:A72" xr:uid="{00000000-0001-0000-0600-000000000000}"/>
  <mergeCells count="24">
    <mergeCell ref="F5:M5"/>
    <mergeCell ref="P5:W5"/>
    <mergeCell ref="E10:E12"/>
    <mergeCell ref="J10:J12"/>
    <mergeCell ref="K10:K12"/>
    <mergeCell ref="L10:L12"/>
    <mergeCell ref="R10:R12"/>
    <mergeCell ref="G10:G12"/>
    <mergeCell ref="X10:X12"/>
    <mergeCell ref="Y10:Y12"/>
    <mergeCell ref="C8:D8"/>
    <mergeCell ref="P10:P12"/>
    <mergeCell ref="Q10:Q12"/>
    <mergeCell ref="H10:H12"/>
    <mergeCell ref="I10:I12"/>
    <mergeCell ref="M10:M12"/>
    <mergeCell ref="N10:N12"/>
    <mergeCell ref="O10:O12"/>
    <mergeCell ref="S10:S12"/>
    <mergeCell ref="T10:T12"/>
    <mergeCell ref="U10:U12"/>
    <mergeCell ref="V10:V12"/>
    <mergeCell ref="W10:W12"/>
    <mergeCell ref="C11:D11"/>
  </mergeCells>
  <phoneticPr fontId="38" type="noConversion"/>
  <conditionalFormatting sqref="C10:J10 E11:J11 C12:J12 K10:Y12 C13:Y15 C1:Z1 Z10:Z15 C16:Z65">
    <cfRule type="expression" dxfId="573" priority="1" stopIfTrue="1">
      <formula>OR(AUTOEVENTO&lt;&gt;"Manual",ACOMPANHAMENTO="BM",C$10=0,C$13=0,$C1=" ")</formula>
    </cfRule>
  </conditionalFormatting>
  <conditionalFormatting sqref="A15 C15:XFD15">
    <cfRule type="expression" dxfId="572" priority="151">
      <formula>$C$15=0</formula>
    </cfRule>
  </conditionalFormatting>
  <dataValidations count="1">
    <dataValidation type="list" allowBlank="1" showErrorMessage="1" sqref="C8" xr:uid="{00000000-0002-0000-0600-000000000000}">
      <mc:AlternateContent xmlns:x12ac="http://schemas.microsoft.com/office/spreadsheetml/2011/1/ac" xmlns:mc="http://schemas.openxmlformats.org/markup-compatibility/2006">
        <mc:Choice Requires="x12ac">
          <x12ac:list>"Automática, conforme os agrupadores Nível 2 do Orçamento","Automática, conforme os agrupadores Nível 3 do Orçamento","Automática, conforme os agrupadores Nível 4 do Orçamento",Definir Manualmente</x12ac:list>
        </mc:Choice>
        <mc:Fallback>
          <formula1>"Automática, conforme os agrupadores Nível 2 do Orçamento,Automática, conforme os agrupadores Nível 3 do Orçamento,Automática, conforme os agrupadores Nível 4 do Orçamento,Definir Manualmente"</formula1>
        </mc:Fallback>
      </mc:AlternateContent>
      <formula2>0</formula2>
    </dataValidation>
  </dataValidations>
  <pageMargins left="0.78740157480314998" right="0.78740157480314998" top="0.78740157480314998" bottom="0.78740157480314998" header="5.7086614173228396" footer="0.59055118110236204"/>
  <pageSetup paperSize="9" scale="24" firstPageNumber="0" orientation="portrait" horizontalDpi="300" verticalDpi="300" r:id="rId1"/>
  <headerFooter alignWithMargins="0">
    <oddHeader>&amp;L_</oddHeader>
    <oddFooter>&amp;LPMv3.11&amp;R&amp;P / &amp;N</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A1:BH65673"/>
  <sheetViews>
    <sheetView showGridLines="0" zoomScaleNormal="100" zoomScaleSheetLayoutView="90" workbookViewId="0">
      <pane xSplit="8" ySplit="15" topLeftCell="I16" activePane="bottomRight" state="frozen"/>
      <selection pane="topRight" activeCell="I1" sqref="I1"/>
      <selection pane="bottomLeft" activeCell="C16" sqref="C16"/>
      <selection pane="bottomRight"/>
    </sheetView>
  </sheetViews>
  <sheetFormatPr defaultRowHeight="0" customHeight="1" zeroHeight="1" x14ac:dyDescent="0.2"/>
  <cols>
    <col min="1" max="1" width="15.42578125" style="7" hidden="1" customWidth="1"/>
    <col min="2" max="2" width="9.140625" style="7" hidden="1" customWidth="1"/>
    <col min="3" max="3" width="3.5703125" style="7" customWidth="1"/>
    <col min="4" max="4" width="8.5703125" customWidth="1"/>
    <col min="5" max="5" width="12.5703125" customWidth="1"/>
    <col min="6" max="6" width="65.5703125" customWidth="1"/>
    <col min="7" max="7" width="10.5703125" customWidth="1"/>
    <col min="8" max="8" width="14.5703125" customWidth="1"/>
    <col min="9" max="9" width="29.5703125" customWidth="1"/>
    <col min="10" max="10" width="1.5703125" customWidth="1"/>
    <col min="11" max="11" width="4.5703125" customWidth="1"/>
    <col min="12" max="12" width="0.85546875" customWidth="1"/>
    <col min="13" max="13" width="9.140625" style="7" hidden="1" customWidth="1"/>
    <col min="14" max="14" width="31.5703125" customWidth="1"/>
    <col min="15" max="15" width="9.140625" hidden="1" customWidth="1"/>
    <col min="16" max="16" width="1.5703125" customWidth="1"/>
    <col min="17" max="26" width="11.5703125" customWidth="1"/>
    <col min="27" max="59" width="9.140625" hidden="1" customWidth="1"/>
    <col min="60" max="60" width="1.5703125" hidden="1" customWidth="1"/>
  </cols>
  <sheetData>
    <row r="1" spans="1:59" ht="12.75" hidden="1" customHeight="1" x14ac:dyDescent="0.2">
      <c r="M1" s="7">
        <f ca="1">SUM(OFFSET(CÁLCULO!$P$1,0,1):OFFSET(CÁLCULO!$AA$1,0,-1))</f>
        <v>0</v>
      </c>
      <c r="O1" s="625" cm="1">
        <f t="array" ref="O1">IF(OR(ACOMPANHAMENTO="BM",N1=0,O12=""),0,1)</f>
        <v>0</v>
      </c>
      <c r="P1" t="s">
        <v>765</v>
      </c>
      <c r="Q1" s="625" cm="1">
        <f t="array" ref="Q1">IF(OR(ACOMPANHAMENTO="BM",P1=0,Q12=""),0,1)</f>
        <v>0</v>
      </c>
      <c r="R1" s="625" cm="1">
        <f t="array" ref="R1">IF(OR(ACOMPANHAMENTO="BM",Q1=0,R12=""),0,1)</f>
        <v>0</v>
      </c>
      <c r="S1" s="625" cm="1">
        <f t="array" ref="S1">IF(OR(ACOMPANHAMENTO="BM",R1=0,S12=""),0,1)</f>
        <v>0</v>
      </c>
      <c r="T1" s="625" cm="1">
        <f t="array" ref="T1">IF(OR(ACOMPANHAMENTO="BM",S1=0,T12=""),0,1)</f>
        <v>0</v>
      </c>
      <c r="U1" s="625" cm="1">
        <f t="array" ref="U1">IF(OR(ACOMPANHAMENTO="BM",T1=0,U12=""),0,1)</f>
        <v>0</v>
      </c>
      <c r="V1" s="625" cm="1">
        <f t="array" ref="V1">IF(OR(ACOMPANHAMENTO="BM",U1=0,V12=""),0,1)</f>
        <v>0</v>
      </c>
      <c r="W1" s="625" cm="1">
        <f t="array" ref="W1">IF(OR(ACOMPANHAMENTO="BM",V1=0,W12=""),0,1)</f>
        <v>0</v>
      </c>
      <c r="X1" s="625" cm="1">
        <f t="array" ref="X1">IF(OR(ACOMPANHAMENTO="BM",W1=0,X12=""),0,1)</f>
        <v>0</v>
      </c>
      <c r="Y1" s="625" cm="1">
        <f t="array" ref="Y1">IF(OR(ACOMPANHAMENTO="BM",X1=0,Y12=""),0,1)</f>
        <v>0</v>
      </c>
      <c r="Z1" s="625" cm="1">
        <f t="array" ref="Z1">IF(OR(ACOMPANHAMENTO="BM",Y1=0,Z12=""),0,1)</f>
        <v>0</v>
      </c>
      <c r="AB1" t="s">
        <v>766</v>
      </c>
      <c r="AM1" t="s">
        <v>767</v>
      </c>
      <c r="AX1" t="s">
        <v>768</v>
      </c>
    </row>
    <row r="2" spans="1:59" ht="12.75" hidden="1" customHeight="1" x14ac:dyDescent="0.2"/>
    <row r="3" spans="1:59" ht="12.75" hidden="1" customHeight="1" x14ac:dyDescent="0.2"/>
    <row r="4" spans="1:59" ht="12.75" hidden="1" customHeight="1" x14ac:dyDescent="0.2"/>
    <row r="5" spans="1:59" ht="12.75" hidden="1" customHeight="1" x14ac:dyDescent="0.2"/>
    <row r="6" spans="1:59" ht="15.75" customHeight="1" x14ac:dyDescent="0.2">
      <c r="F6" s="728" t="str" cm="1">
        <f t="array" ref="F6">IF(ACOMPANHAMENTO="BM","MEMÓRIA DE CÁLCULO","PLQ - PLANILHA DE LEVANTAMENTO DE QUANTIDADES")</f>
        <v>MEMÓRIA DE CÁLCULO</v>
      </c>
      <c r="G6" s="728"/>
      <c r="H6" s="728"/>
      <c r="I6" s="142"/>
      <c r="K6" s="142"/>
      <c r="L6" s="142"/>
      <c r="M6" s="143"/>
      <c r="N6" s="142"/>
      <c r="P6" s="142"/>
      <c r="Q6" s="671" t="s">
        <v>644</v>
      </c>
      <c r="R6" s="671"/>
      <c r="Y6" s="671" t="s">
        <v>644</v>
      </c>
      <c r="Z6" s="671"/>
    </row>
    <row r="7" spans="1:59" ht="15" customHeight="1" x14ac:dyDescent="0.2">
      <c r="F7" s="729" t="str" cm="1">
        <f t="array" ref="F7">IF(ACOMPANHAMENTO="BM","","Memória de Cálculo")&amp;" - "&amp;import.recurso</f>
        <v xml:space="preserve"> - (SELECIONAR)</v>
      </c>
      <c r="G7" s="729"/>
      <c r="H7" s="729"/>
      <c r="I7" s="144"/>
      <c r="K7" s="144"/>
      <c r="L7" s="144"/>
      <c r="M7" s="145"/>
      <c r="N7" s="144"/>
      <c r="P7" s="144"/>
      <c r="Q7" s="672" t="s">
        <v>647</v>
      </c>
      <c r="R7" s="672"/>
      <c r="Y7" s="672" t="s">
        <v>647</v>
      </c>
      <c r="Z7" s="672"/>
    </row>
    <row r="8" spans="1:59" ht="12.75" customHeight="1" x14ac:dyDescent="0.2">
      <c r="AE8" s="477"/>
    </row>
    <row r="9" spans="1:59" ht="12.75" customHeight="1" x14ac:dyDescent="0.2">
      <c r="E9" s="673" t="s">
        <v>709</v>
      </c>
      <c r="F9" s="673"/>
      <c r="G9" s="673" t="s">
        <v>708</v>
      </c>
      <c r="H9" s="673"/>
      <c r="I9" s="88" t="s">
        <v>650</v>
      </c>
      <c r="K9" s="146" t="s">
        <v>652</v>
      </c>
      <c r="L9" s="147"/>
      <c r="M9" s="147"/>
      <c r="N9" s="147"/>
      <c r="O9" s="147"/>
      <c r="P9" s="147"/>
      <c r="Q9" s="147"/>
      <c r="R9" s="148"/>
      <c r="S9" s="673" t="s">
        <v>650</v>
      </c>
      <c r="T9" s="673"/>
      <c r="U9" s="673" t="s">
        <v>652</v>
      </c>
      <c r="V9" s="673"/>
      <c r="W9" s="673"/>
      <c r="X9" s="673"/>
      <c r="Y9" s="673"/>
      <c r="Z9" s="673"/>
    </row>
    <row r="10" spans="1:59" ht="12.75" customHeight="1" x14ac:dyDescent="0.2">
      <c r="A10" s="594" t="s">
        <v>769</v>
      </c>
      <c r="E10" s="670" t="str">
        <f>Import.Apelido</f>
        <v>CMEI Sorgatto</v>
      </c>
      <c r="F10" s="670"/>
      <c r="G10" s="670" t="str" cm="1">
        <f t="array" ref="G10">Import.TransfereGOV</f>
        <v>958977</v>
      </c>
      <c r="H10" s="670"/>
      <c r="I10" s="91">
        <f>Import.CR</f>
        <v>0</v>
      </c>
      <c r="K10" s="149" t="str">
        <f>Import.Proponente</f>
        <v>PREFEITURA MUNICIPAL DE CAÇADOR</v>
      </c>
      <c r="L10" s="150"/>
      <c r="M10" s="101"/>
      <c r="N10" s="150"/>
      <c r="O10" s="150"/>
      <c r="P10" s="150"/>
      <c r="Q10" s="150"/>
      <c r="R10" s="92"/>
      <c r="S10" s="670">
        <f>Import.CR</f>
        <v>0</v>
      </c>
      <c r="T10" s="670"/>
      <c r="U10" s="670" t="str">
        <f>Import.Proponente</f>
        <v>PREFEITURA MUNICIPAL DE CAÇADOR</v>
      </c>
      <c r="V10" s="670"/>
      <c r="W10" s="670"/>
      <c r="X10" s="670"/>
      <c r="Y10" s="670"/>
      <c r="Z10" s="670"/>
    </row>
    <row r="11" spans="1:59" ht="12.75" customHeight="1" x14ac:dyDescent="0.2">
      <c r="A11" s="451" t="str">
        <f ca="1">IF(AND(Import.TipoArredondamento="Tradicional",AUTOEVENTO="Manual"),"Automática",IF(CRONOPLE!$B$8="","Sem Adm","Manual"))</f>
        <v>Sem Adm</v>
      </c>
      <c r="F11" s="569" t="str">
        <f ca="1">IF(AND(ACOMPANHAMENTO="PLE",CÁLCULO.FrentesPreenchidas=0),"Preencher os nomes das Frentes de Obra",
  IF(COUNTIF($J$15:$J$405,"►")&gt;0,"Não pode haver serviços sem agrupador de eventos",
  IF(COUNTIF($P$11:$AA$11,"▼")&gt;0,"Não pode haver frentes de obra sem quantidades",
  IF(COUNTIF($P$11:$AA$11,"Nome &gt;100")&gt;0,"Nome da frente de obra com mais de 100 caracteres",""))))</f>
        <v/>
      </c>
      <c r="N11" s="575" t="str">
        <f ca="1">IF(OR(COUNTIF($J$15:$J$405,"►")&gt;0,COUNTIF($J$15:$J$405,"►►")&gt;0),"",
IF(COUNTIF($P$11:$AA$11,"▼")&gt;0,"Falta preencher a frente de obra nº " &amp; HLOOKUP("▼",$P$11:$AA$13,3,FALSE),
IF(COUNTIF($P$11:$AA$11,"Nome &gt;100")&gt;0,"Resuma o nome da frente de obra nº " &amp; HLOOKUP("Nome &gt;100",$P$11:$AA$13,3,FALSE),"")))</f>
        <v/>
      </c>
      <c r="O11" s="568" t="e">
        <f ca="1">IF(AND(O1=1,O15=0),"▼",IF(AND(O1=1,LEN(O12)&gt;100),"Nome &gt;100",""))</f>
        <v>#VALUE!</v>
      </c>
      <c r="P11" s="7"/>
      <c r="Q11" s="568" t="str">
        <f ca="1">IF(AND(Q1=1,Q15=0),"▼",IF(AND(Q1=1,LEN(Q12)&gt;100),"Nome &gt;100",""))</f>
        <v/>
      </c>
      <c r="R11" s="568" t="str">
        <f t="shared" ref="R11:Z11" ca="1" si="0">IF(AND(R1=1,R15=0),"▼",IF(AND(R1=1,LEN(R12)&gt;100),"Nome &gt;100",""))</f>
        <v/>
      </c>
      <c r="S11" s="568" t="str">
        <f t="shared" ca="1" si="0"/>
        <v/>
      </c>
      <c r="T11" s="568" t="str">
        <f t="shared" ca="1" si="0"/>
        <v/>
      </c>
      <c r="U11" s="568" t="str">
        <f t="shared" ca="1" si="0"/>
        <v/>
      </c>
      <c r="V11" s="568" t="str">
        <f t="shared" ca="1" si="0"/>
        <v/>
      </c>
      <c r="W11" s="568" t="str">
        <f t="shared" ca="1" si="0"/>
        <v/>
      </c>
      <c r="X11" s="568" t="str">
        <f t="shared" ca="1" si="0"/>
        <v/>
      </c>
      <c r="Y11" s="568" t="str">
        <f t="shared" ca="1" si="0"/>
        <v/>
      </c>
      <c r="Z11" s="568" t="str">
        <f t="shared" ca="1" si="0"/>
        <v/>
      </c>
    </row>
    <row r="12" spans="1:59" ht="69.95" customHeight="1" x14ac:dyDescent="0.2">
      <c r="A12" s="592">
        <f ca="1">IF(OFFSET(EVENTOS!$C$7,1,0)="Automática, conforme os agrupadores Nível 4 do Orçamento",4,IF(OFFSET(EVENTOS!$C$7,1,0)="Automática, conforme os agrupadores Nível 3 do Orçamento",3,IF(OFFSET(EVENTOS!$C$7,1,0)="Definir Manualmente","Manual",2)))</f>
        <v>2</v>
      </c>
      <c r="B12" s="7" t="s">
        <v>770</v>
      </c>
      <c r="C12" s="490" t="s">
        <v>655</v>
      </c>
      <c r="H12" s="151"/>
      <c r="I12" s="578" t="str">
        <f ca="1">IF(COUNTIF($J$15:$J$405,"►")&gt;0,"Falta Definir o Agrupador de Evento na linha "&amp;MATCH("►",$J$15:$J$405,0)+ROW($J$14),
  IF(COUNTIF($J$15:$J$405,"►►")&gt;0,"Falta preencher a quantidade do serviço na linha "&amp;MATCH("►►",$J$15:$J$405,0)+ROW($J$14),
  IF(AND(COUNTIF($P$11:$AA$11,"▼")=0,COUNTIF($J$15:$J$405,"◄")&gt;0),"Falta Preencher o Memorial de Cálculo na linha "&amp;MATCH("◄",$J$15:$J$405,0)+ROW($J$14),"")))</f>
        <v>Falta Preencher o Memorial de Cálculo na linha 18</v>
      </c>
      <c r="J12" s="152" t="s">
        <v>765</v>
      </c>
      <c r="K12" s="153" t="s">
        <v>771</v>
      </c>
      <c r="L12" s="152" t="s">
        <v>765</v>
      </c>
      <c r="M12" s="572" cm="1">
        <f t="array" ref="M12">IF(ACOMPANHAMENTO="BM",0,MAX($M$15:$M$405))</f>
        <v>0</v>
      </c>
      <c r="N12" s="576" t="s">
        <v>772</v>
      </c>
      <c r="O12" s="154"/>
      <c r="P12" s="152" t="s">
        <v>765</v>
      </c>
      <c r="Q12" s="453"/>
      <c r="R12" s="154"/>
      <c r="S12" s="154"/>
      <c r="T12" s="521"/>
      <c r="U12" s="154"/>
      <c r="V12" s="154"/>
      <c r="W12" s="154"/>
      <c r="X12" s="154"/>
      <c r="Y12" s="154"/>
      <c r="Z12" s="155"/>
      <c r="AA12" s="152" t="s">
        <v>765</v>
      </c>
      <c r="AB12" s="156">
        <f ca="1">IF(OFFSET($P$1,0,AB$13)=0,0,OFFSET($P$12,0,AB$13))</f>
        <v>0</v>
      </c>
      <c r="AC12" s="156">
        <f t="shared" ref="AC12:AK12" ca="1" si="1">IF(OFFSET($P$1,0,AC$13)=0,0,OFFSET($P$12,0,AC$13))</f>
        <v>0</v>
      </c>
      <c r="AD12" s="156">
        <f t="shared" ca="1" si="1"/>
        <v>0</v>
      </c>
      <c r="AE12" s="156">
        <f t="shared" ca="1" si="1"/>
        <v>0</v>
      </c>
      <c r="AF12" s="156">
        <f t="shared" ca="1" si="1"/>
        <v>0</v>
      </c>
      <c r="AG12" s="156">
        <f t="shared" ca="1" si="1"/>
        <v>0</v>
      </c>
      <c r="AH12" s="156">
        <f t="shared" ca="1" si="1"/>
        <v>0</v>
      </c>
      <c r="AI12" s="156">
        <f t="shared" ca="1" si="1"/>
        <v>0</v>
      </c>
      <c r="AJ12" s="156">
        <f t="shared" ca="1" si="1"/>
        <v>0</v>
      </c>
      <c r="AK12" s="156">
        <f t="shared" ca="1" si="1"/>
        <v>0</v>
      </c>
      <c r="AM12" s="156">
        <f t="shared" ref="AM12:BG12" ca="1" si="2">IF(OFFSET($P$1,0,AM$13)=0,0,OFFSET($P$12,0,AM$13))</f>
        <v>0</v>
      </c>
      <c r="AN12" s="157">
        <f t="shared" ca="1" si="2"/>
        <v>0</v>
      </c>
      <c r="AO12" s="157">
        <f t="shared" ca="1" si="2"/>
        <v>0</v>
      </c>
      <c r="AP12" s="157">
        <f t="shared" ca="1" si="2"/>
        <v>0</v>
      </c>
      <c r="AQ12" s="157">
        <f t="shared" ca="1" si="2"/>
        <v>0</v>
      </c>
      <c r="AR12" s="157">
        <f t="shared" ca="1" si="2"/>
        <v>0</v>
      </c>
      <c r="AS12" s="157">
        <f t="shared" ca="1" si="2"/>
        <v>0</v>
      </c>
      <c r="AT12" s="157">
        <f t="shared" ca="1" si="2"/>
        <v>0</v>
      </c>
      <c r="AU12" s="157">
        <f t="shared" ca="1" si="2"/>
        <v>0</v>
      </c>
      <c r="AV12" s="158">
        <f t="shared" ca="1" si="2"/>
        <v>0</v>
      </c>
      <c r="AX12" s="156">
        <f t="shared" ca="1" si="2"/>
        <v>0</v>
      </c>
      <c r="AY12" s="157">
        <f t="shared" ca="1" si="2"/>
        <v>0</v>
      </c>
      <c r="AZ12" s="157">
        <f t="shared" ca="1" si="2"/>
        <v>0</v>
      </c>
      <c r="BA12" s="157">
        <f t="shared" ca="1" si="2"/>
        <v>0</v>
      </c>
      <c r="BB12" s="157">
        <f t="shared" ca="1" si="2"/>
        <v>0</v>
      </c>
      <c r="BC12" s="157">
        <f t="shared" ca="1" si="2"/>
        <v>0</v>
      </c>
      <c r="BD12" s="157">
        <f t="shared" ca="1" si="2"/>
        <v>0</v>
      </c>
      <c r="BE12" s="157">
        <f t="shared" ca="1" si="2"/>
        <v>0</v>
      </c>
      <c r="BF12" s="157">
        <f t="shared" ca="1" si="2"/>
        <v>0</v>
      </c>
      <c r="BG12" s="158">
        <f t="shared" ca="1" si="2"/>
        <v>0</v>
      </c>
    </row>
    <row r="13" spans="1:59" ht="12.75" customHeight="1" x14ac:dyDescent="0.2">
      <c r="A13" s="593" t="s">
        <v>773</v>
      </c>
      <c r="B13" s="7" t="s">
        <v>770</v>
      </c>
      <c r="C13" s="491" t="s">
        <v>660</v>
      </c>
      <c r="D13" s="108" t="s">
        <v>734</v>
      </c>
      <c r="E13" s="108" t="s">
        <v>736</v>
      </c>
      <c r="F13" s="108" t="s">
        <v>118</v>
      </c>
      <c r="G13" s="110" t="s">
        <v>739</v>
      </c>
      <c r="H13" s="108" t="s">
        <v>713</v>
      </c>
      <c r="I13" s="108" t="s">
        <v>774</v>
      </c>
      <c r="J13" s="523"/>
      <c r="K13" s="293" t="s">
        <v>775</v>
      </c>
      <c r="L13" s="152"/>
      <c r="M13" s="108" t="s">
        <v>776</v>
      </c>
      <c r="N13" s="108" t="s">
        <v>777</v>
      </c>
      <c r="O13" s="159" t="e">
        <f ca="1">OFFSET(O13,0,-1)+1</f>
        <v>#VALUE!</v>
      </c>
      <c r="Q13" s="160">
        <f t="shared" ref="Q13:Z13" ca="1" si="3">OFFSET(Q13,0,-1)+1</f>
        <v>1</v>
      </c>
      <c r="R13" s="159">
        <f t="shared" ca="1" si="3"/>
        <v>2</v>
      </c>
      <c r="S13" s="159">
        <f t="shared" ca="1" si="3"/>
        <v>3</v>
      </c>
      <c r="T13" s="159">
        <f t="shared" ca="1" si="3"/>
        <v>4</v>
      </c>
      <c r="U13" s="159">
        <f t="shared" ca="1" si="3"/>
        <v>5</v>
      </c>
      <c r="V13" s="159">
        <f t="shared" ca="1" si="3"/>
        <v>6</v>
      </c>
      <c r="W13" s="159">
        <f t="shared" ca="1" si="3"/>
        <v>7</v>
      </c>
      <c r="X13" s="159">
        <f t="shared" ca="1" si="3"/>
        <v>8</v>
      </c>
      <c r="Y13" s="159">
        <f t="shared" ca="1" si="3"/>
        <v>9</v>
      </c>
      <c r="Z13" s="161">
        <f t="shared" ca="1" si="3"/>
        <v>10</v>
      </c>
      <c r="AB13" s="114">
        <f t="shared" ref="AB13:BG13" ca="1" si="4">OFFSET(AB13,0,-1)+1</f>
        <v>1</v>
      </c>
      <c r="AC13" s="162">
        <f t="shared" ca="1" si="4"/>
        <v>2</v>
      </c>
      <c r="AD13" s="162">
        <f t="shared" ca="1" si="4"/>
        <v>3</v>
      </c>
      <c r="AE13" s="162">
        <f t="shared" ca="1" si="4"/>
        <v>4</v>
      </c>
      <c r="AF13" s="162">
        <f t="shared" ca="1" si="4"/>
        <v>5</v>
      </c>
      <c r="AG13" s="162">
        <f t="shared" ca="1" si="4"/>
        <v>6</v>
      </c>
      <c r="AH13" s="162">
        <f t="shared" ca="1" si="4"/>
        <v>7</v>
      </c>
      <c r="AI13" s="162">
        <f t="shared" ca="1" si="4"/>
        <v>8</v>
      </c>
      <c r="AJ13" s="162">
        <f t="shared" ca="1" si="4"/>
        <v>9</v>
      </c>
      <c r="AK13" s="163">
        <f t="shared" ca="1" si="4"/>
        <v>10</v>
      </c>
      <c r="AM13" s="114">
        <f t="shared" ca="1" si="4"/>
        <v>1</v>
      </c>
      <c r="AN13" s="162">
        <f t="shared" ca="1" si="4"/>
        <v>2</v>
      </c>
      <c r="AO13" s="162">
        <f t="shared" ca="1" si="4"/>
        <v>3</v>
      </c>
      <c r="AP13" s="162">
        <f t="shared" ca="1" si="4"/>
        <v>4</v>
      </c>
      <c r="AQ13" s="162">
        <f t="shared" ca="1" si="4"/>
        <v>5</v>
      </c>
      <c r="AR13" s="162">
        <f t="shared" ca="1" si="4"/>
        <v>6</v>
      </c>
      <c r="AS13" s="162">
        <f t="shared" ca="1" si="4"/>
        <v>7</v>
      </c>
      <c r="AT13" s="162">
        <f t="shared" ca="1" si="4"/>
        <v>8</v>
      </c>
      <c r="AU13" s="162">
        <f t="shared" ca="1" si="4"/>
        <v>9</v>
      </c>
      <c r="AV13" s="163">
        <f t="shared" ca="1" si="4"/>
        <v>10</v>
      </c>
      <c r="AX13" s="114">
        <f t="shared" ca="1" si="4"/>
        <v>1</v>
      </c>
      <c r="AY13" s="162">
        <f t="shared" ca="1" si="4"/>
        <v>2</v>
      </c>
      <c r="AZ13" s="162">
        <f t="shared" ca="1" si="4"/>
        <v>3</v>
      </c>
      <c r="BA13" s="162">
        <f t="shared" ca="1" si="4"/>
        <v>4</v>
      </c>
      <c r="BB13" s="162">
        <f t="shared" ca="1" si="4"/>
        <v>5</v>
      </c>
      <c r="BC13" s="162">
        <f t="shared" ca="1" si="4"/>
        <v>6</v>
      </c>
      <c r="BD13" s="162">
        <f t="shared" ca="1" si="4"/>
        <v>7</v>
      </c>
      <c r="BE13" s="162">
        <f t="shared" ca="1" si="4"/>
        <v>8</v>
      </c>
      <c r="BF13" s="162">
        <f t="shared" ca="1" si="4"/>
        <v>9</v>
      </c>
      <c r="BG13" s="163">
        <f t="shared" ca="1" si="4"/>
        <v>10</v>
      </c>
    </row>
    <row r="14" spans="1:59" ht="12.75" hidden="1" x14ac:dyDescent="0.2">
      <c r="A14" s="7" t="str">
        <f ca="1">IF(AUTOEVENTO="Manual",IF(K14&lt;&gt;"",MIN(VALUE(LEFT(K14,FIND(".",K14)-1)),COUNTA(EVENTOS.Lista)),0),IF(OR($B14&gt;AUTOEVENTO,$B14="S",$B14=0),SUBSTITUTE(OFFSET($A14,-1,0),IF($D14="Serviço",".",""),""),ROW(A14)-ROW($A$15)&amp;"."))</f>
        <v>AUTOEVENTO</v>
      </c>
      <c r="B14" s="7" t="str">
        <f ca="1">OFFSET(ORÇAMENTO!C$15,ROW(B14)-ROW(B$15),0)</f>
        <v>S</v>
      </c>
      <c r="C14" s="7" t="str">
        <f ca="1">OFFSET(ORÇAMENTO!L$15,ROW(C14)-ROW(C$15),0)</f>
        <v/>
      </c>
      <c r="D14" s="117" t="str">
        <f ca="1">OFFSET(ORÇAMENTO!N$15,ROW(D14)-ROW(D$15),0)</f>
        <v>Serviço</v>
      </c>
      <c r="E14" s="118" t="str">
        <f ca="1">OFFSET(ORÇAMENTO!O$15,ROW(E14)-ROW(E$15),0)</f>
        <v>-</v>
      </c>
      <c r="F14" s="164" t="str">
        <f ca="1">OFFSET(ORÇAMENTO!R$15,ROW(F14)-ROW(F$15),0)</f>
        <v>(abra o arquivo 'Referência 12-2024.xlsm)</v>
      </c>
      <c r="G14" s="165" t="str">
        <f ca="1">IF($D14&lt;&gt;"Serviço","",OFFSET(ORÇAMENTO!S$15,ROW(G14)-ROW(G$15),0))</f>
        <v>-</v>
      </c>
      <c r="H14" s="123">
        <f ca="1">IF($D14&lt;&gt;"Serviço",0,IF(ACOMPANHAMENTO="BM",ROUND(OFFSET(ORÇAMENTO!AJ$15,ROW(H14)-ROW(H$15),0),15-13*ORÇAMENTO!$AF$7),SUMPRODUCT(($Q$1:$AA$1=1)*ROUND($Q14:$AA14,15-13*ORÇAMENTO!$AF$7))))</f>
        <v>0</v>
      </c>
      <c r="I14" s="469"/>
      <c r="J14" s="577" t="e" cm="1">
        <f t="array" aca="1" ref="J14" ca="1">IF(B14&lt;&gt;"S","",IF(AND(ACOMPANHAMENTO="PLE",AUTOEVENTO="Manual",OR(H14&gt;0,ORÇAMENTO!AC14="QUANT."),OR(K14="",M14=0,N14="")),"►",IF(AND(ACOMPANHAMENTO="PLE",ORÇAMENTO!AC14="QUANT."),"►►",IF(AND(COUNTIF($P$11:$AA$11,"▼")=0,H14&gt;0,I14=""),"◄",""))))</f>
        <v>#VALUE!</v>
      </c>
      <c r="K14" s="626"/>
      <c r="L14" s="166" t="s">
        <v>765</v>
      </c>
      <c r="M14" s="167" t="str">
        <f ca="1">IF($D14&lt;&gt;"Serviço","",
          IF(AUTOEVENTO="manual",$A14,
                IF(ISERROR(MATCH($A14,$A$15:OFFSET($A14,-1,0),0)),MAX($M$15:OFFSET(M14,-1,0))+1,
                      INDEX($M$15:OFFSET(M14,-1,0),MATCH($A14,$A$15:OFFSET($A14,-1,0),0)))))</f>
        <v># Evento</v>
      </c>
      <c r="N14" s="168" t="e">
        <f ca="1">IF($D14&lt;&gt;"Serviço","",
         IF(AUTOEVENTO="Manual",
                IF($A14=0,"&lt;-- defina o número do agrupador",
                       OFFSET(EVENTOS!$D$15,$A14-$A$15,0)),
                OFFSET($F$15,$A14,0)))</f>
        <v>#VALUE!</v>
      </c>
      <c r="O14" s="169"/>
      <c r="Q14" s="169"/>
      <c r="R14" s="170"/>
      <c r="S14" s="170"/>
      <c r="T14" s="170"/>
      <c r="U14" s="170"/>
      <c r="V14" s="170"/>
      <c r="W14" s="170"/>
      <c r="X14" s="170"/>
      <c r="Y14" s="170"/>
      <c r="Z14" s="171"/>
      <c r="AB14" s="454">
        <f ca="1">IF(AND($D14="Serviço",AB$12&lt;&gt;0,$H14&gt;0,OR(AUTOEVENTO&lt;&gt;"manual",$M14&lt;&gt;$A$15)),
        IF(Import.TipoArredondamento&lt;&gt;"TransfereGOV",
              ROUND(OFFSET($P14,0,AB$13),15-13*ORÇAMENTO!$AF$7)/$H14*OFFSET(ORÇAMENTO!$X$15,ROW(AB14)-ROW(AB$15),0),
              ROUND(ROUND(OFFSET($P14,0,AB$13),15-13*ORÇAMENTO!$AF$7)*OFFSET(ORÇAMENTO!$W$15,ROW(AB14)-ROW(AB$15),0),15-13*ORÇAMENTO!$AF$11)),
         0)</f>
        <v>0</v>
      </c>
      <c r="AC14" s="454">
        <f ca="1">IF(AND($D14="Serviço",AC$12&lt;&gt;0,$H14&gt;0,OR(AUTOEVENTO&lt;&gt;"manual",$M14&lt;&gt;$A$15)),
        IF(Import.TipoArredondamento&lt;&gt;"TransfereGOV",
              ROUND(OFFSET($P14,0,AC$13),15-13*ORÇAMENTO!$AF$7)/$H14*OFFSET(ORÇAMENTO!$X$15,ROW(AC14)-ROW(AC$15),0),
              ROUND(ROUND(OFFSET($P14,0,AC$13),15-13*ORÇAMENTO!$AF$7)*OFFSET(ORÇAMENTO!$W$15,ROW(AC14)-ROW(AC$15),0),15-13*ORÇAMENTO!$AF$11)),
         0)</f>
        <v>0</v>
      </c>
      <c r="AD14" s="454">
        <f ca="1">IF(AND($D14="Serviço",AD$12&lt;&gt;0,$H14&gt;0,OR(AUTOEVENTO&lt;&gt;"manual",$M14&lt;&gt;$A$15)),
        IF(Import.TipoArredondamento&lt;&gt;"TransfereGOV",
              ROUND(OFFSET($P14,0,AD$13),15-13*ORÇAMENTO!$AF$7)/$H14*OFFSET(ORÇAMENTO!$X$15,ROW(AD14)-ROW(AD$15),0),
              ROUND(ROUND(OFFSET($P14,0,AD$13),15-13*ORÇAMENTO!$AF$7)*OFFSET(ORÇAMENTO!$W$15,ROW(AD14)-ROW(AD$15),0),15-13*ORÇAMENTO!$AF$11)),
         0)</f>
        <v>0</v>
      </c>
      <c r="AE14" s="454">
        <f ca="1">IF(AND($D14="Serviço",AE$12&lt;&gt;0,$H14&gt;0,OR(AUTOEVENTO&lt;&gt;"manual",$M14&lt;&gt;$A$15)),
        IF(Import.TipoArredondamento&lt;&gt;"TransfereGOV",
              ROUND(OFFSET($P14,0,AE$13),15-13*ORÇAMENTO!$AF$7)/$H14*OFFSET(ORÇAMENTO!$X$15,ROW(AE14)-ROW(AE$15),0),
              ROUND(ROUND(OFFSET($P14,0,AE$13),15-13*ORÇAMENTO!$AF$7)*OFFSET(ORÇAMENTO!$W$15,ROW(AE14)-ROW(AE$15),0),15-13*ORÇAMENTO!$AF$11)),
         0)</f>
        <v>0</v>
      </c>
      <c r="AF14" s="454">
        <f ca="1">IF(AND($D14="Serviço",AF$12&lt;&gt;0,$H14&gt;0,OR(AUTOEVENTO&lt;&gt;"manual",$M14&lt;&gt;$A$15)),
        IF(Import.TipoArredondamento&lt;&gt;"TransfereGOV",
              ROUND(OFFSET($P14,0,AF$13),15-13*ORÇAMENTO!$AF$7)/$H14*OFFSET(ORÇAMENTO!$X$15,ROW(AF14)-ROW(AF$15),0),
              ROUND(ROUND(OFFSET($P14,0,AF$13),15-13*ORÇAMENTO!$AF$7)*OFFSET(ORÇAMENTO!$W$15,ROW(AF14)-ROW(AF$15),0),15-13*ORÇAMENTO!$AF$11)),
         0)</f>
        <v>0</v>
      </c>
      <c r="AG14" s="454">
        <f ca="1">IF(AND($D14="Serviço",AG$12&lt;&gt;0,$H14&gt;0,OR(AUTOEVENTO&lt;&gt;"manual",$M14&lt;&gt;$A$15)),
        IF(Import.TipoArredondamento&lt;&gt;"TransfereGOV",
              ROUND(OFFSET($P14,0,AG$13),15-13*ORÇAMENTO!$AF$7)/$H14*OFFSET(ORÇAMENTO!$X$15,ROW(AG14)-ROW(AG$15),0),
              ROUND(ROUND(OFFSET($P14,0,AG$13),15-13*ORÇAMENTO!$AF$7)*OFFSET(ORÇAMENTO!$W$15,ROW(AG14)-ROW(AG$15),0),15-13*ORÇAMENTO!$AF$11)),
         0)</f>
        <v>0</v>
      </c>
      <c r="AH14" s="454">
        <f ca="1">IF(AND($D14="Serviço",AH$12&lt;&gt;0,$H14&gt;0,OR(AUTOEVENTO&lt;&gt;"manual",$M14&lt;&gt;$A$15)),
        IF(Import.TipoArredondamento&lt;&gt;"TransfereGOV",
              ROUND(OFFSET($P14,0,AH$13),15-13*ORÇAMENTO!$AF$7)/$H14*OFFSET(ORÇAMENTO!$X$15,ROW(AH14)-ROW(AH$15),0),
              ROUND(ROUND(OFFSET($P14,0,AH$13),15-13*ORÇAMENTO!$AF$7)*OFFSET(ORÇAMENTO!$W$15,ROW(AH14)-ROW(AH$15),0),15-13*ORÇAMENTO!$AF$11)),
         0)</f>
        <v>0</v>
      </c>
      <c r="AI14" s="454">
        <f ca="1">IF(AND($D14="Serviço",AI$12&lt;&gt;0,$H14&gt;0,OR(AUTOEVENTO&lt;&gt;"manual",$M14&lt;&gt;$A$15)),
        IF(Import.TipoArredondamento&lt;&gt;"TransfereGOV",
              ROUND(OFFSET($P14,0,AI$13),15-13*ORÇAMENTO!$AF$7)/$H14*OFFSET(ORÇAMENTO!$X$15,ROW(AI14)-ROW(AI$15),0),
              ROUND(ROUND(OFFSET($P14,0,AI$13),15-13*ORÇAMENTO!$AF$7)*OFFSET(ORÇAMENTO!$W$15,ROW(AI14)-ROW(AI$15),0),15-13*ORÇAMENTO!$AF$11)),
         0)</f>
        <v>0</v>
      </c>
      <c r="AJ14" s="454">
        <f ca="1">IF(AND($D14="Serviço",AJ$12&lt;&gt;0,$H14&gt;0,OR(AUTOEVENTO&lt;&gt;"manual",$M14&lt;&gt;$A$15)),
        IF(Import.TipoArredondamento&lt;&gt;"TransfereGOV",
              ROUND(OFFSET($P14,0,AJ$13),15-13*ORÇAMENTO!$AF$7)/$H14*OFFSET(ORÇAMENTO!$X$15,ROW(AJ14)-ROW(AJ$15),0),
              ROUND(ROUND(OFFSET($P14,0,AJ$13),15-13*ORÇAMENTO!$AF$7)*OFFSET(ORÇAMENTO!$W$15,ROW(AJ14)-ROW(AJ$15),0),15-13*ORÇAMENTO!$AF$11)),
         0)</f>
        <v>0</v>
      </c>
      <c r="AK14" s="454">
        <f ca="1">IF(AND($D14="Serviço",AK$12&lt;&gt;0,$H14&gt;0,OR(AUTOEVENTO&lt;&gt;"manual",$M14&lt;&gt;$A$15)),
        IF(Import.TipoArredondamento&lt;&gt;"TransfereGOV",
              ROUND(OFFSET($P14,0,AK$13),15-13*ORÇAMENTO!$AF$7)/$H14*OFFSET(ORÇAMENTO!$X$15,ROW(AK14)-ROW(AK$15),0),
              ROUND(ROUND(OFFSET($P14,0,AK$13),15-13*ORÇAMENTO!$AF$7)*OFFSET(ORÇAMENTO!$W$15,ROW(AK14)-ROW(AK$15),0),15-13*ORÇAMENTO!$AF$11)),
         0)</f>
        <v>0</v>
      </c>
      <c r="AM14" s="172" t="e">
        <f ca="1">IF(OR($D14&lt;&gt;"Serviço",AND(AUTOEVENTO="Manual",$M14=$A$15)),0,
         IF(OFFSET(CRONOPLE!$F$15,$M14-$A$15,AM$13)="",10^12,OFFSET(CRONOPLE!$F$15,$M14-$A$15,AM$13)))</f>
        <v>#VALUE!</v>
      </c>
      <c r="AN14" s="172" t="e">
        <f ca="1">IF(OR($D14&lt;&gt;"Serviço",AND(AUTOEVENTO="Manual",$M14=$A$15)),0,
         IF(OFFSET(CRONOPLE!$F$15,$M14-$A$15,AN$13)="",10^12,OFFSET(CRONOPLE!$F$15,$M14-$A$15,AN$13)))</f>
        <v>#VALUE!</v>
      </c>
      <c r="AO14" s="172" t="e">
        <f ca="1">IF(OR($D14&lt;&gt;"Serviço",AND(AUTOEVENTO="Manual",$M14=$A$15)),0,
         IF(OFFSET(CRONOPLE!$F$15,$M14-$A$15,AO$13)="",10^12,OFFSET(CRONOPLE!$F$15,$M14-$A$15,AO$13)))</f>
        <v>#VALUE!</v>
      </c>
      <c r="AP14" s="172" t="e">
        <f ca="1">IF(OR($D14&lt;&gt;"Serviço",AND(AUTOEVENTO="Manual",$M14=$A$15)),0,
         IF(OFFSET(CRONOPLE!$F$15,$M14-$A$15,AP$13)="",10^12,OFFSET(CRONOPLE!$F$15,$M14-$A$15,AP$13)))</f>
        <v>#VALUE!</v>
      </c>
      <c r="AQ14" s="172" t="e">
        <f ca="1">IF(OR($D14&lt;&gt;"Serviço",AND(AUTOEVENTO="Manual",$M14=$A$15)),0,
         IF(OFFSET(CRONOPLE!$F$15,$M14-$A$15,AQ$13)="",10^12,OFFSET(CRONOPLE!$F$15,$M14-$A$15,AQ$13)))</f>
        <v>#VALUE!</v>
      </c>
      <c r="AR14" s="172" t="e">
        <f ca="1">IF(OR($D14&lt;&gt;"Serviço",AND(AUTOEVENTO="Manual",$M14=$A$15)),0,
         IF(OFFSET(CRONOPLE!$F$15,$M14-$A$15,AR$13)="",10^12,OFFSET(CRONOPLE!$F$15,$M14-$A$15,AR$13)))</f>
        <v>#VALUE!</v>
      </c>
      <c r="AS14" s="172" t="e">
        <f ca="1">IF(OR($D14&lt;&gt;"Serviço",AND(AUTOEVENTO="Manual",$M14=$A$15)),0,
         IF(OFFSET(CRONOPLE!$F$15,$M14-$A$15,AS$13)="",10^12,OFFSET(CRONOPLE!$F$15,$M14-$A$15,AS$13)))</f>
        <v>#VALUE!</v>
      </c>
      <c r="AT14" s="172" t="e">
        <f ca="1">IF(OR($D14&lt;&gt;"Serviço",AND(AUTOEVENTO="Manual",$M14=$A$15)),0,
         IF(OFFSET(CRONOPLE!$F$15,$M14-$A$15,AT$13)="",10^12,OFFSET(CRONOPLE!$F$15,$M14-$A$15,AT$13)))</f>
        <v>#VALUE!</v>
      </c>
      <c r="AU14" s="172" t="e">
        <f ca="1">IF(OR($D14&lt;&gt;"Serviço",AND(AUTOEVENTO="Manual",$M14=$A$15)),0,
         IF(OFFSET(CRONOPLE!$F$15,$M14-$A$15,AU$13)="",10^12,OFFSET(CRONOPLE!$F$15,$M14-$A$15,AU$13)))</f>
        <v>#VALUE!</v>
      </c>
      <c r="AV14" s="172" t="e">
        <f ca="1">IF(OR($D14&lt;&gt;"Serviço",AND(AUTOEVENTO="Manual",$M14=$A$15)),0,
         IF(OFFSET(CRONOPLE!$F$15,$M14-$A$15,AV$13)="",10^12,OFFSET(CRONOPLE!$F$15,$M14-$A$15,AV$13)))</f>
        <v>#VALUE!</v>
      </c>
      <c r="AX14" s="173">
        <f ca="1">IF(OR($D14&lt;&gt;"Serviço",AND(AUTOEVENTO="Manual",$M14=$A$15),$M14&gt;(ROW(PLE.lastrow)-ROW(PLE.firstrow))),0,
           IF(OFFSET(PLE!$G$15,$M14-$A$15,AX$13)="",10^12,OFFSET(PLE!$G$15,$M14-$A$15,AX$13)))</f>
        <v>0</v>
      </c>
      <c r="AY14" s="173">
        <f ca="1">IF(OR($D14&lt;&gt;"Serviço",AND(AUTOEVENTO="Manual",$M14=$A$15),$M14&gt;(ROW(PLE.lastrow)-ROW(PLE.firstrow))),0,
           IF(OFFSET(PLE!$G$15,$M14-$A$15,AY$13)="",10^12,OFFSET(PLE!$G$15,$M14-$A$15,AY$13)))</f>
        <v>0</v>
      </c>
      <c r="AZ14" s="173">
        <f ca="1">IF(OR($D14&lt;&gt;"Serviço",AND(AUTOEVENTO="Manual",$M14=$A$15),$M14&gt;(ROW(PLE.lastrow)-ROW(PLE.firstrow))),0,
           IF(OFFSET(PLE!$G$15,$M14-$A$15,AZ$13)="",10^12,OFFSET(PLE!$G$15,$M14-$A$15,AZ$13)))</f>
        <v>0</v>
      </c>
      <c r="BA14" s="173">
        <f ca="1">IF(OR($D14&lt;&gt;"Serviço",AND(AUTOEVENTO="Manual",$M14=$A$15),$M14&gt;(ROW(PLE.lastrow)-ROW(PLE.firstrow))),0,
           IF(OFFSET(PLE!$G$15,$M14-$A$15,BA$13)="",10^12,OFFSET(PLE!$G$15,$M14-$A$15,BA$13)))</f>
        <v>0</v>
      </c>
      <c r="BB14" s="173">
        <f ca="1">IF(OR($D14&lt;&gt;"Serviço",AND(AUTOEVENTO="Manual",$M14=$A$15),$M14&gt;(ROW(PLE.lastrow)-ROW(PLE.firstrow))),0,
           IF(OFFSET(PLE!$G$15,$M14-$A$15,BB$13)="",10^12,OFFSET(PLE!$G$15,$M14-$A$15,BB$13)))</f>
        <v>0</v>
      </c>
      <c r="BC14" s="173">
        <f ca="1">IF(OR($D14&lt;&gt;"Serviço",AND(AUTOEVENTO="Manual",$M14=$A$15),$M14&gt;(ROW(PLE.lastrow)-ROW(PLE.firstrow))),0,
           IF(OFFSET(PLE!$G$15,$M14-$A$15,BC$13)="",10^12,OFFSET(PLE!$G$15,$M14-$A$15,BC$13)))</f>
        <v>0</v>
      </c>
      <c r="BD14" s="173">
        <f ca="1">IF(OR($D14&lt;&gt;"Serviço",AND(AUTOEVENTO="Manual",$M14=$A$15),$M14&gt;(ROW(PLE.lastrow)-ROW(PLE.firstrow))),0,
           IF(OFFSET(PLE!$G$15,$M14-$A$15,BD$13)="",10^12,OFFSET(PLE!$G$15,$M14-$A$15,BD$13)))</f>
        <v>0</v>
      </c>
      <c r="BE14" s="173">
        <f ca="1">IF(OR($D14&lt;&gt;"Serviço",AND(AUTOEVENTO="Manual",$M14=$A$15),$M14&gt;(ROW(PLE.lastrow)-ROW(PLE.firstrow))),0,
           IF(OFFSET(PLE!$G$15,$M14-$A$15,BE$13)="",10^12,OFFSET(PLE!$G$15,$M14-$A$15,BE$13)))</f>
        <v>0</v>
      </c>
      <c r="BF14" s="173">
        <f ca="1">IF(OR($D14&lt;&gt;"Serviço",AND(AUTOEVENTO="Manual",$M14=$A$15),$M14&gt;(ROW(PLE.lastrow)-ROW(PLE.firstrow))),0,
           IF(OFFSET(PLE!$G$15,$M14-$A$15,BF$13)="",10^12,OFFSET(PLE!$G$15,$M14-$A$15,BF$13)))</f>
        <v>0</v>
      </c>
      <c r="BG14" s="173">
        <f ca="1">IF(OR($D14&lt;&gt;"Serviço",AND(AUTOEVENTO="Manual",$M14=$A$15),$M14&gt;(ROW(PLE.lastrow)-ROW(PLE.firstrow))),0,
           IF(OFFSET(PLE!$G$15,$M14-$A$15,BG$13)="",10^12,OFFSET(PLE!$G$15,$M14-$A$15,BG$13)))</f>
        <v>0</v>
      </c>
    </row>
    <row r="15" spans="1:59" ht="12.75" customHeight="1" x14ac:dyDescent="0.2">
      <c r="A15" s="7" cm="1">
        <f t="array" aca="1" ref="A15" ca="1">IF(AdmLocal="Automática",1,0)</f>
        <v>0</v>
      </c>
      <c r="B15" s="7" t="str">
        <f ca="1">OFFSET(ORÇAMENTO!C$15,ROW(B15)-ROW(B$15),0)</f>
        <v>L</v>
      </c>
      <c r="C15" s="7" t="str">
        <f ca="1">OFFSET(ORÇAMENTO!L$15,ROW(C15)-ROW(C$15),0)</f>
        <v>F</v>
      </c>
      <c r="D15" s="131" t="str">
        <f>IF(TIPOORCAMENTO="LICITADO","CTEF","LOTE")</f>
        <v>LOTE</v>
      </c>
      <c r="E15" s="730">
        <f>Import.DescLote</f>
        <v>0</v>
      </c>
      <c r="F15" s="730"/>
      <c r="G15" s="730"/>
      <c r="H15" s="730"/>
      <c r="I15" s="470"/>
      <c r="J15" s="523"/>
      <c r="K15" s="627"/>
      <c r="L15" s="166" t="s">
        <v>765</v>
      </c>
      <c r="M15" s="570">
        <v>0</v>
      </c>
      <c r="N15" s="174" t="s">
        <v>778</v>
      </c>
      <c r="O15" s="175" t="e">
        <f ca="1">OFFSET($AA$15,0,O$13)</f>
        <v>#VALUE!</v>
      </c>
      <c r="Q15" s="176">
        <f t="shared" ref="Q15:Z15" ca="1" si="5">OFFSET($AA$15,0,Q$13)</f>
        <v>0</v>
      </c>
      <c r="R15" s="175">
        <f t="shared" ca="1" si="5"/>
        <v>0</v>
      </c>
      <c r="S15" s="175">
        <f t="shared" ca="1" si="5"/>
        <v>0</v>
      </c>
      <c r="T15" s="175">
        <f t="shared" ca="1" si="5"/>
        <v>0</v>
      </c>
      <c r="U15" s="175">
        <f t="shared" ca="1" si="5"/>
        <v>0</v>
      </c>
      <c r="V15" s="175">
        <f t="shared" ca="1" si="5"/>
        <v>0</v>
      </c>
      <c r="W15" s="175">
        <f t="shared" ca="1" si="5"/>
        <v>0</v>
      </c>
      <c r="X15" s="175">
        <f t="shared" ca="1" si="5"/>
        <v>0</v>
      </c>
      <c r="Y15" s="175">
        <f t="shared" ca="1" si="5"/>
        <v>0</v>
      </c>
      <c r="Z15" s="177">
        <f t="shared" ca="1" si="5"/>
        <v>0</v>
      </c>
      <c r="AB15" s="178">
        <f ca="1">ROUND(SUM(OFFSET(AB$15,1,0):AB$405),2)</f>
        <v>0</v>
      </c>
      <c r="AC15" s="178">
        <f ca="1">SUM(OFFSET(AC$15,1,0):AC$405)</f>
        <v>0</v>
      </c>
      <c r="AD15" s="178">
        <f ca="1">SUM(OFFSET(AD$15,1,0):AD$405)</f>
        <v>0</v>
      </c>
      <c r="AE15" s="178">
        <f ca="1">SUM(OFFSET(AE$15,1,0):AE$405)</f>
        <v>0</v>
      </c>
      <c r="AF15" s="178">
        <f ca="1">SUM(OFFSET(AF$15,1,0):AF$405)</f>
        <v>0</v>
      </c>
      <c r="AG15" s="178">
        <f ca="1">SUM(OFFSET(AG$15,1,0):AG$405)</f>
        <v>0</v>
      </c>
      <c r="AH15" s="178">
        <f ca="1">SUM(OFFSET(AH$15,1,0):AH$405)</f>
        <v>0</v>
      </c>
      <c r="AI15" s="178">
        <f ca="1">SUM(OFFSET(AI$15,1,0):AI$405)</f>
        <v>0</v>
      </c>
      <c r="AJ15" s="178">
        <f ca="1">SUM(OFFSET(AJ$15,1,0):AJ$405)</f>
        <v>0</v>
      </c>
      <c r="AK15" s="178">
        <f ca="1">SUM(OFFSET(AK$15,1,0):AK$405)</f>
        <v>0</v>
      </c>
      <c r="AM15" s="179">
        <f>10^12</f>
        <v>1000000000000</v>
      </c>
      <c r="AN15" s="179">
        <f t="shared" ref="AN15:AV15" si="6">10^12</f>
        <v>1000000000000</v>
      </c>
      <c r="AO15" s="179">
        <f t="shared" si="6"/>
        <v>1000000000000</v>
      </c>
      <c r="AP15" s="179">
        <f t="shared" si="6"/>
        <v>1000000000000</v>
      </c>
      <c r="AQ15" s="179">
        <f t="shared" si="6"/>
        <v>1000000000000</v>
      </c>
      <c r="AR15" s="179">
        <f t="shared" si="6"/>
        <v>1000000000000</v>
      </c>
      <c r="AS15" s="179">
        <f t="shared" si="6"/>
        <v>1000000000000</v>
      </c>
      <c r="AT15" s="179">
        <f t="shared" si="6"/>
        <v>1000000000000</v>
      </c>
      <c r="AU15" s="179">
        <f t="shared" si="6"/>
        <v>1000000000000</v>
      </c>
      <c r="AV15" s="179">
        <f t="shared" si="6"/>
        <v>1000000000000</v>
      </c>
      <c r="AX15" s="179">
        <f t="shared" ref="AX15:BG15" si="7">10^12</f>
        <v>1000000000000</v>
      </c>
      <c r="AY15" s="179">
        <f t="shared" si="7"/>
        <v>1000000000000</v>
      </c>
      <c r="AZ15" s="179">
        <f t="shared" si="7"/>
        <v>1000000000000</v>
      </c>
      <c r="BA15" s="179">
        <f t="shared" si="7"/>
        <v>1000000000000</v>
      </c>
      <c r="BB15" s="179">
        <f t="shared" si="7"/>
        <v>1000000000000</v>
      </c>
      <c r="BC15" s="179">
        <f t="shared" si="7"/>
        <v>1000000000000</v>
      </c>
      <c r="BD15" s="179">
        <f t="shared" si="7"/>
        <v>1000000000000</v>
      </c>
      <c r="BE15" s="179">
        <f t="shared" si="7"/>
        <v>1000000000000</v>
      </c>
      <c r="BF15" s="179">
        <f t="shared" si="7"/>
        <v>1000000000000</v>
      </c>
      <c r="BG15" s="179">
        <f t="shared" si="7"/>
        <v>1000000000000</v>
      </c>
    </row>
    <row r="16" spans="1:59" ht="12.75" x14ac:dyDescent="0.2">
      <c r="A16" s="7" t="str">
        <f t="shared" ref="A16:A78" ca="1" si="8">IF(AUTOEVENTO="Manual",IF(K16&lt;&gt;"",MIN(VALUE(LEFT(K16,FIND(".",K16)-1)),COUNTA(EVENTOS.Lista)),0),IF(OR($B16&gt;AUTOEVENTO,$B16="S",$B16=0),SUBSTITUTE(OFFSET($A16,-1,0),IF($D16="Serviço",".",""),""),ROW(A16)-ROW($A$15)&amp;"."))</f>
        <v>1.</v>
      </c>
      <c r="B16" s="7">
        <f ca="1">OFFSET(ORÇAMENTO!C$15,ROW(B16)-ROW(B$15),0)</f>
        <v>1</v>
      </c>
      <c r="C16" s="7" t="str">
        <f ca="1">OFFSET(ORÇAMENTO!L$15,ROW(C16)-ROW(C$15),0)</f>
        <v>F</v>
      </c>
      <c r="D16" s="117" t="str">
        <f ca="1">OFFSET(ORÇAMENTO!N$15,ROW(D16)-ROW(D$15),0)</f>
        <v>Meta</v>
      </c>
      <c r="E16" s="118" t="str">
        <f ca="1">OFFSET(ORÇAMENTO!O$15,ROW(E16)-ROW(E$15),0)</f>
        <v>1.</v>
      </c>
      <c r="F16" s="164" t="str">
        <f ca="1">OFFSET(ORÇAMENTO!R$15,ROW(F16)-ROW(F$15),0)</f>
        <v>CMEI SORGATTO</v>
      </c>
      <c r="G16" s="165" t="str">
        <f ca="1">IF($D16&lt;&gt;"Serviço","",OFFSET(ORÇAMENTO!S$15,ROW(G16)-ROW(G$15),0))</f>
        <v/>
      </c>
      <c r="H16" s="123">
        <f ca="1">IF($D16&lt;&gt;"Serviço",0,IF(ACOMPANHAMENTO="BM",ROUND(OFFSET(ORÇAMENTO!AJ$15,ROW(H16)-ROW(H$15),0),15-13*ORÇAMENTO!$AF$7),SUMPRODUCT(($Q$1:$AA$1=1)*ROUND($Q16:$AA16,15-13*ORÇAMENTO!$AF$7))))</f>
        <v>0</v>
      </c>
      <c r="I16" s="469"/>
      <c r="J16" s="577" t="str" cm="1">
        <f t="array" aca="1" ref="J16" ca="1">IF(B16&lt;&gt;"S","",IF(AND(ACOMPANHAMENTO="PLE",AUTOEVENTO="Manual",OR(H16&gt;0,ORÇAMENTO!AC16="QUANT."),OR(K16="",M16=0,N16="")),"►",IF(AND(ACOMPANHAMENTO="PLE",ORÇAMENTO!AC16="QUANT."),"►►",IF(AND(COUNTIF($P$11:$AA$11,"▼")=0,H16&gt;0,I16=""),"◄",""))))</f>
        <v/>
      </c>
      <c r="K16" s="626"/>
      <c r="L16" s="166" t="s">
        <v>765</v>
      </c>
      <c r="M16" s="167" t="str">
        <f ca="1">IF($D16&lt;&gt;"Serviço","",
          IF(AUTOEVENTO="manual",$A16,
                IF(ISERROR(MATCH($A16,$A$15:OFFSET($A16,-1,0),0)),MAX($M$15:OFFSET(M16,-1,0))+1,
                      INDEX($M$15:OFFSET(M16,-1,0),MATCH($A16,$A$15:OFFSET($A16,-1,0),0)))))</f>
        <v/>
      </c>
      <c r="N16" s="168" t="str">
        <f ca="1">IF($D16&lt;&gt;"Serviço","",
         IF(AUTOEVENTO="Manual",
                IF($A16=0,"&lt;-- defina o número do agrupador",
                       OFFSET(EVENTOS!$D$15,$A16-$A$15,0)),
                OFFSET($F$15,$A16,0)))</f>
        <v/>
      </c>
      <c r="O16" s="169"/>
      <c r="Q16" s="169"/>
      <c r="R16" s="170"/>
      <c r="S16" s="170"/>
      <c r="T16" s="170"/>
      <c r="U16" s="170"/>
      <c r="V16" s="170"/>
      <c r="W16" s="170"/>
      <c r="X16" s="170"/>
      <c r="Y16" s="170"/>
      <c r="Z16" s="171"/>
      <c r="AB16" s="454">
        <f ca="1">IF(AND($D16="Serviço",AB$12&lt;&gt;0,$H16&gt;0,OR(AUTOEVENTO&lt;&gt;"manual",$M16&lt;&gt;$A$15)),
        IF(Import.TipoArredondamento&lt;&gt;"TransfereGOV",
              ROUND(OFFSET($P16,0,AB$13),15-13*ORÇAMENTO!$AF$7)/$H16*OFFSET(ORÇAMENTO!$X$15,ROW(AB16)-ROW(AB$15),0),
              ROUND(ROUND(OFFSET($P16,0,AB$13),15-13*ORÇAMENTO!$AF$7)*OFFSET(ORÇAMENTO!$W$15,ROW(AB16)-ROW(AB$15),0),15-13*ORÇAMENTO!$AF$11)),
         0)</f>
        <v>0</v>
      </c>
      <c r="AC16" s="454">
        <f ca="1">IF(AND($D16="Serviço",AC$12&lt;&gt;0,$H16&gt;0,OR(AUTOEVENTO&lt;&gt;"manual",$M16&lt;&gt;$A$15)),
        IF(Import.TipoArredondamento&lt;&gt;"TransfereGOV",
              ROUND(OFFSET($P16,0,AC$13),15-13*ORÇAMENTO!$AF$7)/$H16*OFFSET(ORÇAMENTO!$X$15,ROW(AC16)-ROW(AC$15),0),
              ROUND(ROUND(OFFSET($P16,0,AC$13),15-13*ORÇAMENTO!$AF$7)*OFFSET(ORÇAMENTO!$W$15,ROW(AC16)-ROW(AC$15),0),15-13*ORÇAMENTO!$AF$11)),
         0)</f>
        <v>0</v>
      </c>
      <c r="AD16" s="454">
        <f ca="1">IF(AND($D16="Serviço",AD$12&lt;&gt;0,$H16&gt;0,OR(AUTOEVENTO&lt;&gt;"manual",$M16&lt;&gt;$A$15)),
        IF(Import.TipoArredondamento&lt;&gt;"TransfereGOV",
              ROUND(OFFSET($P16,0,AD$13),15-13*ORÇAMENTO!$AF$7)/$H16*OFFSET(ORÇAMENTO!$X$15,ROW(AD16)-ROW(AD$15),0),
              ROUND(ROUND(OFFSET($P16,0,AD$13),15-13*ORÇAMENTO!$AF$7)*OFFSET(ORÇAMENTO!$W$15,ROW(AD16)-ROW(AD$15),0),15-13*ORÇAMENTO!$AF$11)),
         0)</f>
        <v>0</v>
      </c>
      <c r="AE16" s="454">
        <f ca="1">IF(AND($D16="Serviço",AE$12&lt;&gt;0,$H16&gt;0,OR(AUTOEVENTO&lt;&gt;"manual",$M16&lt;&gt;$A$15)),
        IF(Import.TipoArredondamento&lt;&gt;"TransfereGOV",
              ROUND(OFFSET($P16,0,AE$13),15-13*ORÇAMENTO!$AF$7)/$H16*OFFSET(ORÇAMENTO!$X$15,ROW(AE16)-ROW(AE$15),0),
              ROUND(ROUND(OFFSET($P16,0,AE$13),15-13*ORÇAMENTO!$AF$7)*OFFSET(ORÇAMENTO!$W$15,ROW(AE16)-ROW(AE$15),0),15-13*ORÇAMENTO!$AF$11)),
         0)</f>
        <v>0</v>
      </c>
      <c r="AF16" s="454">
        <f ca="1">IF(AND($D16="Serviço",AF$12&lt;&gt;0,$H16&gt;0,OR(AUTOEVENTO&lt;&gt;"manual",$M16&lt;&gt;$A$15)),
        IF(Import.TipoArredondamento&lt;&gt;"TransfereGOV",
              ROUND(OFFSET($P16,0,AF$13),15-13*ORÇAMENTO!$AF$7)/$H16*OFFSET(ORÇAMENTO!$X$15,ROW(AF16)-ROW(AF$15),0),
              ROUND(ROUND(OFFSET($P16,0,AF$13),15-13*ORÇAMENTO!$AF$7)*OFFSET(ORÇAMENTO!$W$15,ROW(AF16)-ROW(AF$15),0),15-13*ORÇAMENTO!$AF$11)),
         0)</f>
        <v>0</v>
      </c>
      <c r="AG16" s="454">
        <f ca="1">IF(AND($D16="Serviço",AG$12&lt;&gt;0,$H16&gt;0,OR(AUTOEVENTO&lt;&gt;"manual",$M16&lt;&gt;$A$15)),
        IF(Import.TipoArredondamento&lt;&gt;"TransfereGOV",
              ROUND(OFFSET($P16,0,AG$13),15-13*ORÇAMENTO!$AF$7)/$H16*OFFSET(ORÇAMENTO!$X$15,ROW(AG16)-ROW(AG$15),0),
              ROUND(ROUND(OFFSET($P16,0,AG$13),15-13*ORÇAMENTO!$AF$7)*OFFSET(ORÇAMENTO!$W$15,ROW(AG16)-ROW(AG$15),0),15-13*ORÇAMENTO!$AF$11)),
         0)</f>
        <v>0</v>
      </c>
      <c r="AH16" s="454">
        <f ca="1">IF(AND($D16="Serviço",AH$12&lt;&gt;0,$H16&gt;0,OR(AUTOEVENTO&lt;&gt;"manual",$M16&lt;&gt;$A$15)),
        IF(Import.TipoArredondamento&lt;&gt;"TransfereGOV",
              ROUND(OFFSET($P16,0,AH$13),15-13*ORÇAMENTO!$AF$7)/$H16*OFFSET(ORÇAMENTO!$X$15,ROW(AH16)-ROW(AH$15),0),
              ROUND(ROUND(OFFSET($P16,0,AH$13),15-13*ORÇAMENTO!$AF$7)*OFFSET(ORÇAMENTO!$W$15,ROW(AH16)-ROW(AH$15),0),15-13*ORÇAMENTO!$AF$11)),
         0)</f>
        <v>0</v>
      </c>
      <c r="AI16" s="454">
        <f ca="1">IF(AND($D16="Serviço",AI$12&lt;&gt;0,$H16&gt;0,OR(AUTOEVENTO&lt;&gt;"manual",$M16&lt;&gt;$A$15)),
        IF(Import.TipoArredondamento&lt;&gt;"TransfereGOV",
              ROUND(OFFSET($P16,0,AI$13),15-13*ORÇAMENTO!$AF$7)/$H16*OFFSET(ORÇAMENTO!$X$15,ROW(AI16)-ROW(AI$15),0),
              ROUND(ROUND(OFFSET($P16,0,AI$13),15-13*ORÇAMENTO!$AF$7)*OFFSET(ORÇAMENTO!$W$15,ROW(AI16)-ROW(AI$15),0),15-13*ORÇAMENTO!$AF$11)),
         0)</f>
        <v>0</v>
      </c>
      <c r="AJ16" s="454">
        <f ca="1">IF(AND($D16="Serviço",AJ$12&lt;&gt;0,$H16&gt;0,OR(AUTOEVENTO&lt;&gt;"manual",$M16&lt;&gt;$A$15)),
        IF(Import.TipoArredondamento&lt;&gt;"TransfereGOV",
              ROUND(OFFSET($P16,0,AJ$13),15-13*ORÇAMENTO!$AF$7)/$H16*OFFSET(ORÇAMENTO!$X$15,ROW(AJ16)-ROW(AJ$15),0),
              ROUND(ROUND(OFFSET($P16,0,AJ$13),15-13*ORÇAMENTO!$AF$7)*OFFSET(ORÇAMENTO!$W$15,ROW(AJ16)-ROW(AJ$15),0),15-13*ORÇAMENTO!$AF$11)),
         0)</f>
        <v>0</v>
      </c>
      <c r="AK16" s="454">
        <f ca="1">IF(AND($D16="Serviço",AK$12&lt;&gt;0,$H16&gt;0,OR(AUTOEVENTO&lt;&gt;"manual",$M16&lt;&gt;$A$15)),
        IF(Import.TipoArredondamento&lt;&gt;"TransfereGOV",
              ROUND(OFFSET($P16,0,AK$13),15-13*ORÇAMENTO!$AF$7)/$H16*OFFSET(ORÇAMENTO!$X$15,ROW(AK16)-ROW(AK$15),0),
              ROUND(ROUND(OFFSET($P16,0,AK$13),15-13*ORÇAMENTO!$AF$7)*OFFSET(ORÇAMENTO!$W$15,ROW(AK16)-ROW(AK$15),0),15-13*ORÇAMENTO!$AF$11)),
         0)</f>
        <v>0</v>
      </c>
      <c r="AM16" s="172">
        <f ca="1">IF(OR($D16&lt;&gt;"Serviço",AND(AUTOEVENTO="Manual",$M16=$A$15)),0,
         IF(OFFSET(CRONOPLE!$F$15,$M16-$A$15,AM$13)="",10^12,OFFSET(CRONOPLE!$F$15,$M16-$A$15,AM$13)))</f>
        <v>0</v>
      </c>
      <c r="AN16" s="172">
        <f ca="1">IF(OR($D16&lt;&gt;"Serviço",AND(AUTOEVENTO="Manual",$M16=$A$15)),0,
         IF(OFFSET(CRONOPLE!$F$15,$M16-$A$15,AN$13)="",10^12,OFFSET(CRONOPLE!$F$15,$M16-$A$15,AN$13)))</f>
        <v>0</v>
      </c>
      <c r="AO16" s="172">
        <f ca="1">IF(OR($D16&lt;&gt;"Serviço",AND(AUTOEVENTO="Manual",$M16=$A$15)),0,
         IF(OFFSET(CRONOPLE!$F$15,$M16-$A$15,AO$13)="",10^12,OFFSET(CRONOPLE!$F$15,$M16-$A$15,AO$13)))</f>
        <v>0</v>
      </c>
      <c r="AP16" s="172">
        <f ca="1">IF(OR($D16&lt;&gt;"Serviço",AND(AUTOEVENTO="Manual",$M16=$A$15)),0,
         IF(OFFSET(CRONOPLE!$F$15,$M16-$A$15,AP$13)="",10^12,OFFSET(CRONOPLE!$F$15,$M16-$A$15,AP$13)))</f>
        <v>0</v>
      </c>
      <c r="AQ16" s="172">
        <f ca="1">IF(OR($D16&lt;&gt;"Serviço",AND(AUTOEVENTO="Manual",$M16=$A$15)),0,
         IF(OFFSET(CRONOPLE!$F$15,$M16-$A$15,AQ$13)="",10^12,OFFSET(CRONOPLE!$F$15,$M16-$A$15,AQ$13)))</f>
        <v>0</v>
      </c>
      <c r="AR16" s="172">
        <f ca="1">IF(OR($D16&lt;&gt;"Serviço",AND(AUTOEVENTO="Manual",$M16=$A$15)),0,
         IF(OFFSET(CRONOPLE!$F$15,$M16-$A$15,AR$13)="",10^12,OFFSET(CRONOPLE!$F$15,$M16-$A$15,AR$13)))</f>
        <v>0</v>
      </c>
      <c r="AS16" s="172">
        <f ca="1">IF(OR($D16&lt;&gt;"Serviço",AND(AUTOEVENTO="Manual",$M16=$A$15)),0,
         IF(OFFSET(CRONOPLE!$F$15,$M16-$A$15,AS$13)="",10^12,OFFSET(CRONOPLE!$F$15,$M16-$A$15,AS$13)))</f>
        <v>0</v>
      </c>
      <c r="AT16" s="172">
        <f ca="1">IF(OR($D16&lt;&gt;"Serviço",AND(AUTOEVENTO="Manual",$M16=$A$15)),0,
         IF(OFFSET(CRONOPLE!$F$15,$M16-$A$15,AT$13)="",10^12,OFFSET(CRONOPLE!$F$15,$M16-$A$15,AT$13)))</f>
        <v>0</v>
      </c>
      <c r="AU16" s="172">
        <f ca="1">IF(OR($D16&lt;&gt;"Serviço",AND(AUTOEVENTO="Manual",$M16=$A$15)),0,
         IF(OFFSET(CRONOPLE!$F$15,$M16-$A$15,AU$13)="",10^12,OFFSET(CRONOPLE!$F$15,$M16-$A$15,AU$13)))</f>
        <v>0</v>
      </c>
      <c r="AV16" s="172">
        <f ca="1">IF(OR($D16&lt;&gt;"Serviço",AND(AUTOEVENTO="Manual",$M16=$A$15)),0,
         IF(OFFSET(CRONOPLE!$F$15,$M16-$A$15,AV$13)="",10^12,OFFSET(CRONOPLE!$F$15,$M16-$A$15,AV$13)))</f>
        <v>0</v>
      </c>
      <c r="AX16" s="173">
        <f ca="1">IF(OR($D16&lt;&gt;"Serviço",AND(AUTOEVENTO="Manual",$M16=$A$15),$M16&gt;(ROW(PLE.lastrow)-ROW(PLE.firstrow))),0,
           IF(OFFSET(PLE!$G$15,$M16-$A$15,AX$13)="",10^12,OFFSET(PLE!$G$15,$M16-$A$15,AX$13)))</f>
        <v>0</v>
      </c>
      <c r="AY16" s="173">
        <f ca="1">IF(OR($D16&lt;&gt;"Serviço",AND(AUTOEVENTO="Manual",$M16=$A$15),$M16&gt;(ROW(PLE.lastrow)-ROW(PLE.firstrow))),0,
           IF(OFFSET(PLE!$G$15,$M16-$A$15,AY$13)="",10^12,OFFSET(PLE!$G$15,$M16-$A$15,AY$13)))</f>
        <v>0</v>
      </c>
      <c r="AZ16" s="173">
        <f ca="1">IF(OR($D16&lt;&gt;"Serviço",AND(AUTOEVENTO="Manual",$M16=$A$15),$M16&gt;(ROW(PLE.lastrow)-ROW(PLE.firstrow))),0,
           IF(OFFSET(PLE!$G$15,$M16-$A$15,AZ$13)="",10^12,OFFSET(PLE!$G$15,$M16-$A$15,AZ$13)))</f>
        <v>0</v>
      </c>
      <c r="BA16" s="173">
        <f ca="1">IF(OR($D16&lt;&gt;"Serviço",AND(AUTOEVENTO="Manual",$M16=$A$15),$M16&gt;(ROW(PLE.lastrow)-ROW(PLE.firstrow))),0,
           IF(OFFSET(PLE!$G$15,$M16-$A$15,BA$13)="",10^12,OFFSET(PLE!$G$15,$M16-$A$15,BA$13)))</f>
        <v>0</v>
      </c>
      <c r="BB16" s="173">
        <f ca="1">IF(OR($D16&lt;&gt;"Serviço",AND(AUTOEVENTO="Manual",$M16=$A$15),$M16&gt;(ROW(PLE.lastrow)-ROW(PLE.firstrow))),0,
           IF(OFFSET(PLE!$G$15,$M16-$A$15,BB$13)="",10^12,OFFSET(PLE!$G$15,$M16-$A$15,BB$13)))</f>
        <v>0</v>
      </c>
      <c r="BC16" s="173">
        <f ca="1">IF(OR($D16&lt;&gt;"Serviço",AND(AUTOEVENTO="Manual",$M16=$A$15),$M16&gt;(ROW(PLE.lastrow)-ROW(PLE.firstrow))),0,
           IF(OFFSET(PLE!$G$15,$M16-$A$15,BC$13)="",10^12,OFFSET(PLE!$G$15,$M16-$A$15,BC$13)))</f>
        <v>0</v>
      </c>
      <c r="BD16" s="173">
        <f ca="1">IF(OR($D16&lt;&gt;"Serviço",AND(AUTOEVENTO="Manual",$M16=$A$15),$M16&gt;(ROW(PLE.lastrow)-ROW(PLE.firstrow))),0,
           IF(OFFSET(PLE!$G$15,$M16-$A$15,BD$13)="",10^12,OFFSET(PLE!$G$15,$M16-$A$15,BD$13)))</f>
        <v>0</v>
      </c>
      <c r="BE16" s="173">
        <f ca="1">IF(OR($D16&lt;&gt;"Serviço",AND(AUTOEVENTO="Manual",$M16=$A$15),$M16&gt;(ROW(PLE.lastrow)-ROW(PLE.firstrow))),0,
           IF(OFFSET(PLE!$G$15,$M16-$A$15,BE$13)="",10^12,OFFSET(PLE!$G$15,$M16-$A$15,BE$13)))</f>
        <v>0</v>
      </c>
      <c r="BF16" s="173">
        <f ca="1">IF(OR($D16&lt;&gt;"Serviço",AND(AUTOEVENTO="Manual",$M16=$A$15),$M16&gt;(ROW(PLE.lastrow)-ROW(PLE.firstrow))),0,
           IF(OFFSET(PLE!$G$15,$M16-$A$15,BF$13)="",10^12,OFFSET(PLE!$G$15,$M16-$A$15,BF$13)))</f>
        <v>0</v>
      </c>
      <c r="BG16" s="173">
        <f ca="1">IF(OR($D16&lt;&gt;"Serviço",AND(AUTOEVENTO="Manual",$M16=$A$15),$M16&gt;(ROW(PLE.lastrow)-ROW(PLE.firstrow))),0,
           IF(OFFSET(PLE!$G$15,$M16-$A$15,BG$13)="",10^12,OFFSET(PLE!$G$15,$M16-$A$15,BG$13)))</f>
        <v>0</v>
      </c>
    </row>
    <row r="17" spans="1:59" ht="12.75" x14ac:dyDescent="0.2">
      <c r="A17" s="7" t="str">
        <f t="shared" ca="1" si="8"/>
        <v>2.</v>
      </c>
      <c r="B17" s="7">
        <f ca="1">OFFSET(ORÇAMENTO!C$15,ROW(B17)-ROW(B$15),0)</f>
        <v>2</v>
      </c>
      <c r="C17" s="7" t="str">
        <f ca="1">OFFSET(ORÇAMENTO!L$15,ROW(C17)-ROW(C$15),0)</f>
        <v>F</v>
      </c>
      <c r="D17" s="117" t="str">
        <f ca="1">OFFSET(ORÇAMENTO!N$15,ROW(D17)-ROW(D$15),0)</f>
        <v>Nível 2</v>
      </c>
      <c r="E17" s="118" t="str">
        <f ca="1">OFFSET(ORÇAMENTO!O$15,ROW(E17)-ROW(E$15),0)</f>
        <v>1.1.</v>
      </c>
      <c r="F17" s="164" t="str">
        <f ca="1">OFFSET(ORÇAMENTO!R$15,ROW(F17)-ROW(F$15),0)</f>
        <v>ADMINISTRAÇÃO DE OBRA</v>
      </c>
      <c r="G17" s="165" t="str">
        <f ca="1">IF($D17&lt;&gt;"Serviço","",OFFSET(ORÇAMENTO!S$15,ROW(G17)-ROW(G$15),0))</f>
        <v/>
      </c>
      <c r="H17" s="123">
        <f ca="1">IF($D17&lt;&gt;"Serviço",0,IF(ACOMPANHAMENTO="BM",ROUND(OFFSET(ORÇAMENTO!AJ$15,ROW(H17)-ROW(H$15),0),15-13*ORÇAMENTO!$AF$7),SUMPRODUCT(($Q$1:$AA$1=1)*ROUND($Q17:$AA17,15-13*ORÇAMENTO!$AF$7))))</f>
        <v>0</v>
      </c>
      <c r="I17" s="469"/>
      <c r="J17" s="577" t="str" cm="1">
        <f t="array" aca="1" ref="J17" ca="1">IF(B17&lt;&gt;"S","",IF(AND(ACOMPANHAMENTO="PLE",AUTOEVENTO="Manual",OR(H17&gt;0,ORÇAMENTO!AC17="QUANT."),OR(K17="",M17=0,N17="")),"►",IF(AND(ACOMPANHAMENTO="PLE",ORÇAMENTO!AC17="QUANT."),"►►",IF(AND(COUNTIF($P$11:$AA$11,"▼")=0,H17&gt;0,I17=""),"◄",""))))</f>
        <v/>
      </c>
      <c r="K17" s="626"/>
      <c r="L17" s="166" t="s">
        <v>765</v>
      </c>
      <c r="M17" s="167" t="str">
        <f ca="1">IF($D17&lt;&gt;"Serviço","",
          IF(AUTOEVENTO="manual",$A17,
                IF(ISERROR(MATCH($A17,$A$15:OFFSET($A17,-1,0),0)),MAX($M$15:OFFSET(M17,-1,0))+1,
                      INDEX($M$15:OFFSET(M17,-1,0),MATCH($A17,$A$15:OFFSET($A17,-1,0),0)))))</f>
        <v/>
      </c>
      <c r="N17" s="168" t="str">
        <f ca="1">IF($D17&lt;&gt;"Serviço","",
         IF(AUTOEVENTO="Manual",
                IF($A17=0,"&lt;-- defina o número do agrupador",
                       OFFSET(EVENTOS!$D$15,$A17-$A$15,0)),
                OFFSET($F$15,$A17,0)))</f>
        <v/>
      </c>
      <c r="O17" s="169"/>
      <c r="Q17" s="169"/>
      <c r="R17" s="170"/>
      <c r="S17" s="170"/>
      <c r="T17" s="170"/>
      <c r="U17" s="170"/>
      <c r="V17" s="170"/>
      <c r="W17" s="170"/>
      <c r="X17" s="170"/>
      <c r="Y17" s="170"/>
      <c r="Z17" s="171"/>
      <c r="AB17" s="454">
        <f ca="1">IF(AND($D17="Serviço",AB$12&lt;&gt;0,$H17&gt;0,OR(AUTOEVENTO&lt;&gt;"manual",$M17&lt;&gt;$A$15)),
        IF(Import.TipoArredondamento&lt;&gt;"TransfereGOV",
              ROUND(OFFSET($P17,0,AB$13),15-13*ORÇAMENTO!$AF$7)/$H17*OFFSET(ORÇAMENTO!$X$15,ROW(AB17)-ROW(AB$15),0),
              ROUND(ROUND(OFFSET($P17,0,AB$13),15-13*ORÇAMENTO!$AF$7)*OFFSET(ORÇAMENTO!$W$15,ROW(AB17)-ROW(AB$15),0),15-13*ORÇAMENTO!$AF$11)),
         0)</f>
        <v>0</v>
      </c>
      <c r="AC17" s="454">
        <f ca="1">IF(AND($D17="Serviço",AC$12&lt;&gt;0,$H17&gt;0,OR(AUTOEVENTO&lt;&gt;"manual",$M17&lt;&gt;$A$15)),
        IF(Import.TipoArredondamento&lt;&gt;"TransfereGOV",
              ROUND(OFFSET($P17,0,AC$13),15-13*ORÇAMENTO!$AF$7)/$H17*OFFSET(ORÇAMENTO!$X$15,ROW(AC17)-ROW(AC$15),0),
              ROUND(ROUND(OFFSET($P17,0,AC$13),15-13*ORÇAMENTO!$AF$7)*OFFSET(ORÇAMENTO!$W$15,ROW(AC17)-ROW(AC$15),0),15-13*ORÇAMENTO!$AF$11)),
         0)</f>
        <v>0</v>
      </c>
      <c r="AD17" s="454">
        <f ca="1">IF(AND($D17="Serviço",AD$12&lt;&gt;0,$H17&gt;0,OR(AUTOEVENTO&lt;&gt;"manual",$M17&lt;&gt;$A$15)),
        IF(Import.TipoArredondamento&lt;&gt;"TransfereGOV",
              ROUND(OFFSET($P17,0,AD$13),15-13*ORÇAMENTO!$AF$7)/$H17*OFFSET(ORÇAMENTO!$X$15,ROW(AD17)-ROW(AD$15),0),
              ROUND(ROUND(OFFSET($P17,0,AD$13),15-13*ORÇAMENTO!$AF$7)*OFFSET(ORÇAMENTO!$W$15,ROW(AD17)-ROW(AD$15),0),15-13*ORÇAMENTO!$AF$11)),
         0)</f>
        <v>0</v>
      </c>
      <c r="AE17" s="454">
        <f ca="1">IF(AND($D17="Serviço",AE$12&lt;&gt;0,$H17&gt;0,OR(AUTOEVENTO&lt;&gt;"manual",$M17&lt;&gt;$A$15)),
        IF(Import.TipoArredondamento&lt;&gt;"TransfereGOV",
              ROUND(OFFSET($P17,0,AE$13),15-13*ORÇAMENTO!$AF$7)/$H17*OFFSET(ORÇAMENTO!$X$15,ROW(AE17)-ROW(AE$15),0),
              ROUND(ROUND(OFFSET($P17,0,AE$13),15-13*ORÇAMENTO!$AF$7)*OFFSET(ORÇAMENTO!$W$15,ROW(AE17)-ROW(AE$15),0),15-13*ORÇAMENTO!$AF$11)),
         0)</f>
        <v>0</v>
      </c>
      <c r="AF17" s="454">
        <f ca="1">IF(AND($D17="Serviço",AF$12&lt;&gt;0,$H17&gt;0,OR(AUTOEVENTO&lt;&gt;"manual",$M17&lt;&gt;$A$15)),
        IF(Import.TipoArredondamento&lt;&gt;"TransfereGOV",
              ROUND(OFFSET($P17,0,AF$13),15-13*ORÇAMENTO!$AF$7)/$H17*OFFSET(ORÇAMENTO!$X$15,ROW(AF17)-ROW(AF$15),0),
              ROUND(ROUND(OFFSET($P17,0,AF$13),15-13*ORÇAMENTO!$AF$7)*OFFSET(ORÇAMENTO!$W$15,ROW(AF17)-ROW(AF$15),0),15-13*ORÇAMENTO!$AF$11)),
         0)</f>
        <v>0</v>
      </c>
      <c r="AG17" s="454">
        <f ca="1">IF(AND($D17="Serviço",AG$12&lt;&gt;0,$H17&gt;0,OR(AUTOEVENTO&lt;&gt;"manual",$M17&lt;&gt;$A$15)),
        IF(Import.TipoArredondamento&lt;&gt;"TransfereGOV",
              ROUND(OFFSET($P17,0,AG$13),15-13*ORÇAMENTO!$AF$7)/$H17*OFFSET(ORÇAMENTO!$X$15,ROW(AG17)-ROW(AG$15),0),
              ROUND(ROUND(OFFSET($P17,0,AG$13),15-13*ORÇAMENTO!$AF$7)*OFFSET(ORÇAMENTO!$W$15,ROW(AG17)-ROW(AG$15),0),15-13*ORÇAMENTO!$AF$11)),
         0)</f>
        <v>0</v>
      </c>
      <c r="AH17" s="454">
        <f ca="1">IF(AND($D17="Serviço",AH$12&lt;&gt;0,$H17&gt;0,OR(AUTOEVENTO&lt;&gt;"manual",$M17&lt;&gt;$A$15)),
        IF(Import.TipoArredondamento&lt;&gt;"TransfereGOV",
              ROUND(OFFSET($P17,0,AH$13),15-13*ORÇAMENTO!$AF$7)/$H17*OFFSET(ORÇAMENTO!$X$15,ROW(AH17)-ROW(AH$15),0),
              ROUND(ROUND(OFFSET($P17,0,AH$13),15-13*ORÇAMENTO!$AF$7)*OFFSET(ORÇAMENTO!$W$15,ROW(AH17)-ROW(AH$15),0),15-13*ORÇAMENTO!$AF$11)),
         0)</f>
        <v>0</v>
      </c>
      <c r="AI17" s="454">
        <f ca="1">IF(AND($D17="Serviço",AI$12&lt;&gt;0,$H17&gt;0,OR(AUTOEVENTO&lt;&gt;"manual",$M17&lt;&gt;$A$15)),
        IF(Import.TipoArredondamento&lt;&gt;"TransfereGOV",
              ROUND(OFFSET($P17,0,AI$13),15-13*ORÇAMENTO!$AF$7)/$H17*OFFSET(ORÇAMENTO!$X$15,ROW(AI17)-ROW(AI$15),0),
              ROUND(ROUND(OFFSET($P17,0,AI$13),15-13*ORÇAMENTO!$AF$7)*OFFSET(ORÇAMENTO!$W$15,ROW(AI17)-ROW(AI$15),0),15-13*ORÇAMENTO!$AF$11)),
         0)</f>
        <v>0</v>
      </c>
      <c r="AJ17" s="454">
        <f ca="1">IF(AND($D17="Serviço",AJ$12&lt;&gt;0,$H17&gt;0,OR(AUTOEVENTO&lt;&gt;"manual",$M17&lt;&gt;$A$15)),
        IF(Import.TipoArredondamento&lt;&gt;"TransfereGOV",
              ROUND(OFFSET($P17,0,AJ$13),15-13*ORÇAMENTO!$AF$7)/$H17*OFFSET(ORÇAMENTO!$X$15,ROW(AJ17)-ROW(AJ$15),0),
              ROUND(ROUND(OFFSET($P17,0,AJ$13),15-13*ORÇAMENTO!$AF$7)*OFFSET(ORÇAMENTO!$W$15,ROW(AJ17)-ROW(AJ$15),0),15-13*ORÇAMENTO!$AF$11)),
         0)</f>
        <v>0</v>
      </c>
      <c r="AK17" s="454">
        <f ca="1">IF(AND($D17="Serviço",AK$12&lt;&gt;0,$H17&gt;0,OR(AUTOEVENTO&lt;&gt;"manual",$M17&lt;&gt;$A$15)),
        IF(Import.TipoArredondamento&lt;&gt;"TransfereGOV",
              ROUND(OFFSET($P17,0,AK$13),15-13*ORÇAMENTO!$AF$7)/$H17*OFFSET(ORÇAMENTO!$X$15,ROW(AK17)-ROW(AK$15),0),
              ROUND(ROUND(OFFSET($P17,0,AK$13),15-13*ORÇAMENTO!$AF$7)*OFFSET(ORÇAMENTO!$W$15,ROW(AK17)-ROW(AK$15),0),15-13*ORÇAMENTO!$AF$11)),
         0)</f>
        <v>0</v>
      </c>
      <c r="AM17" s="172">
        <f ca="1">IF(OR($D17&lt;&gt;"Serviço",AND(AUTOEVENTO="Manual",$M17=$A$15)),0,
         IF(OFFSET(CRONOPLE!$F$15,$M17-$A$15,AM$13)="",10^12,OFFSET(CRONOPLE!$F$15,$M17-$A$15,AM$13)))</f>
        <v>0</v>
      </c>
      <c r="AN17" s="172">
        <f ca="1">IF(OR($D17&lt;&gt;"Serviço",AND(AUTOEVENTO="Manual",$M17=$A$15)),0,
         IF(OFFSET(CRONOPLE!$F$15,$M17-$A$15,AN$13)="",10^12,OFFSET(CRONOPLE!$F$15,$M17-$A$15,AN$13)))</f>
        <v>0</v>
      </c>
      <c r="AO17" s="172">
        <f ca="1">IF(OR($D17&lt;&gt;"Serviço",AND(AUTOEVENTO="Manual",$M17=$A$15)),0,
         IF(OFFSET(CRONOPLE!$F$15,$M17-$A$15,AO$13)="",10^12,OFFSET(CRONOPLE!$F$15,$M17-$A$15,AO$13)))</f>
        <v>0</v>
      </c>
      <c r="AP17" s="172">
        <f ca="1">IF(OR($D17&lt;&gt;"Serviço",AND(AUTOEVENTO="Manual",$M17=$A$15)),0,
         IF(OFFSET(CRONOPLE!$F$15,$M17-$A$15,AP$13)="",10^12,OFFSET(CRONOPLE!$F$15,$M17-$A$15,AP$13)))</f>
        <v>0</v>
      </c>
      <c r="AQ17" s="172">
        <f ca="1">IF(OR($D17&lt;&gt;"Serviço",AND(AUTOEVENTO="Manual",$M17=$A$15)),0,
         IF(OFFSET(CRONOPLE!$F$15,$M17-$A$15,AQ$13)="",10^12,OFFSET(CRONOPLE!$F$15,$M17-$A$15,AQ$13)))</f>
        <v>0</v>
      </c>
      <c r="AR17" s="172">
        <f ca="1">IF(OR($D17&lt;&gt;"Serviço",AND(AUTOEVENTO="Manual",$M17=$A$15)),0,
         IF(OFFSET(CRONOPLE!$F$15,$M17-$A$15,AR$13)="",10^12,OFFSET(CRONOPLE!$F$15,$M17-$A$15,AR$13)))</f>
        <v>0</v>
      </c>
      <c r="AS17" s="172">
        <f ca="1">IF(OR($D17&lt;&gt;"Serviço",AND(AUTOEVENTO="Manual",$M17=$A$15)),0,
         IF(OFFSET(CRONOPLE!$F$15,$M17-$A$15,AS$13)="",10^12,OFFSET(CRONOPLE!$F$15,$M17-$A$15,AS$13)))</f>
        <v>0</v>
      </c>
      <c r="AT17" s="172">
        <f ca="1">IF(OR($D17&lt;&gt;"Serviço",AND(AUTOEVENTO="Manual",$M17=$A$15)),0,
         IF(OFFSET(CRONOPLE!$F$15,$M17-$A$15,AT$13)="",10^12,OFFSET(CRONOPLE!$F$15,$M17-$A$15,AT$13)))</f>
        <v>0</v>
      </c>
      <c r="AU17" s="172">
        <f ca="1">IF(OR($D17&lt;&gt;"Serviço",AND(AUTOEVENTO="Manual",$M17=$A$15)),0,
         IF(OFFSET(CRONOPLE!$F$15,$M17-$A$15,AU$13)="",10^12,OFFSET(CRONOPLE!$F$15,$M17-$A$15,AU$13)))</f>
        <v>0</v>
      </c>
      <c r="AV17" s="172">
        <f ca="1">IF(OR($D17&lt;&gt;"Serviço",AND(AUTOEVENTO="Manual",$M17=$A$15)),0,
         IF(OFFSET(CRONOPLE!$F$15,$M17-$A$15,AV$13)="",10^12,OFFSET(CRONOPLE!$F$15,$M17-$A$15,AV$13)))</f>
        <v>0</v>
      </c>
      <c r="AX17" s="173">
        <f ca="1">IF(OR($D17&lt;&gt;"Serviço",AND(AUTOEVENTO="Manual",$M17=$A$15),$M17&gt;(ROW(PLE.lastrow)-ROW(PLE.firstrow))),0,
           IF(OFFSET(PLE!$G$15,$M17-$A$15,AX$13)="",10^12,OFFSET(PLE!$G$15,$M17-$A$15,AX$13)))</f>
        <v>0</v>
      </c>
      <c r="AY17" s="173">
        <f ca="1">IF(OR($D17&lt;&gt;"Serviço",AND(AUTOEVENTO="Manual",$M17=$A$15),$M17&gt;(ROW(PLE.lastrow)-ROW(PLE.firstrow))),0,
           IF(OFFSET(PLE!$G$15,$M17-$A$15,AY$13)="",10^12,OFFSET(PLE!$G$15,$M17-$A$15,AY$13)))</f>
        <v>0</v>
      </c>
      <c r="AZ17" s="173">
        <f ca="1">IF(OR($D17&lt;&gt;"Serviço",AND(AUTOEVENTO="Manual",$M17=$A$15),$M17&gt;(ROW(PLE.lastrow)-ROW(PLE.firstrow))),0,
           IF(OFFSET(PLE!$G$15,$M17-$A$15,AZ$13)="",10^12,OFFSET(PLE!$G$15,$M17-$A$15,AZ$13)))</f>
        <v>0</v>
      </c>
      <c r="BA17" s="173">
        <f ca="1">IF(OR($D17&lt;&gt;"Serviço",AND(AUTOEVENTO="Manual",$M17=$A$15),$M17&gt;(ROW(PLE.lastrow)-ROW(PLE.firstrow))),0,
           IF(OFFSET(PLE!$G$15,$M17-$A$15,BA$13)="",10^12,OFFSET(PLE!$G$15,$M17-$A$15,BA$13)))</f>
        <v>0</v>
      </c>
      <c r="BB17" s="173">
        <f ca="1">IF(OR($D17&lt;&gt;"Serviço",AND(AUTOEVENTO="Manual",$M17=$A$15),$M17&gt;(ROW(PLE.lastrow)-ROW(PLE.firstrow))),0,
           IF(OFFSET(PLE!$G$15,$M17-$A$15,BB$13)="",10^12,OFFSET(PLE!$G$15,$M17-$A$15,BB$13)))</f>
        <v>0</v>
      </c>
      <c r="BC17" s="173">
        <f ca="1">IF(OR($D17&lt;&gt;"Serviço",AND(AUTOEVENTO="Manual",$M17=$A$15),$M17&gt;(ROW(PLE.lastrow)-ROW(PLE.firstrow))),0,
           IF(OFFSET(PLE!$G$15,$M17-$A$15,BC$13)="",10^12,OFFSET(PLE!$G$15,$M17-$A$15,BC$13)))</f>
        <v>0</v>
      </c>
      <c r="BD17" s="173">
        <f ca="1">IF(OR($D17&lt;&gt;"Serviço",AND(AUTOEVENTO="Manual",$M17=$A$15),$M17&gt;(ROW(PLE.lastrow)-ROW(PLE.firstrow))),0,
           IF(OFFSET(PLE!$G$15,$M17-$A$15,BD$13)="",10^12,OFFSET(PLE!$G$15,$M17-$A$15,BD$13)))</f>
        <v>0</v>
      </c>
      <c r="BE17" s="173">
        <f ca="1">IF(OR($D17&lt;&gt;"Serviço",AND(AUTOEVENTO="Manual",$M17=$A$15),$M17&gt;(ROW(PLE.lastrow)-ROW(PLE.firstrow))),0,
           IF(OFFSET(PLE!$G$15,$M17-$A$15,BE$13)="",10^12,OFFSET(PLE!$G$15,$M17-$A$15,BE$13)))</f>
        <v>0</v>
      </c>
      <c r="BF17" s="173">
        <f ca="1">IF(OR($D17&lt;&gt;"Serviço",AND(AUTOEVENTO="Manual",$M17=$A$15),$M17&gt;(ROW(PLE.lastrow)-ROW(PLE.firstrow))),0,
           IF(OFFSET(PLE!$G$15,$M17-$A$15,BF$13)="",10^12,OFFSET(PLE!$G$15,$M17-$A$15,BF$13)))</f>
        <v>0</v>
      </c>
      <c r="BG17" s="173">
        <f ca="1">IF(OR($D17&lt;&gt;"Serviço",AND(AUTOEVENTO="Manual",$M17=$A$15),$M17&gt;(ROW(PLE.lastrow)-ROW(PLE.firstrow))),0,
           IF(OFFSET(PLE!$G$15,$M17-$A$15,BG$13)="",10^12,OFFSET(PLE!$G$15,$M17-$A$15,BG$13)))</f>
        <v>0</v>
      </c>
    </row>
    <row r="18" spans="1:59" ht="12.75" x14ac:dyDescent="0.2">
      <c r="A18" s="7" t="str">
        <f t="shared" ca="1" si="8"/>
        <v>2</v>
      </c>
      <c r="B18" s="7" t="str">
        <f ca="1">OFFSET(ORÇAMENTO!C$15,ROW(B18)-ROW(B$15),0)</f>
        <v>S</v>
      </c>
      <c r="C18" s="7" t="str">
        <f ca="1">OFFSET(ORÇAMENTO!L$15,ROW(C18)-ROW(C$15),0)</f>
        <v/>
      </c>
      <c r="D18" s="117" t="str">
        <f ca="1">OFFSET(ORÇAMENTO!N$15,ROW(D18)-ROW(D$15),0)</f>
        <v>Serviço</v>
      </c>
      <c r="E18" s="118" t="str">
        <f ca="1">OFFSET(ORÇAMENTO!O$15,ROW(E18)-ROW(E$15),0)</f>
        <v>-</v>
      </c>
      <c r="F18" s="164" t="str">
        <f ca="1">OFFSET(ORÇAMENTO!R$15,ROW(F18)-ROW(F$15),0)</f>
        <v>MESTRE DE OBRAS COM ENCARGOS COMPLEMENTARES</v>
      </c>
      <c r="G18" s="165" t="str">
        <f ca="1">IF($D18&lt;&gt;"Serviço","",OFFSET(ORÇAMENTO!S$15,ROW(G18)-ROW(G$15),0))</f>
        <v>MES</v>
      </c>
      <c r="H18" s="123">
        <f ca="1">IF($D18&lt;&gt;"Serviço",0,IF(ACOMPANHAMENTO="BM",ROUND(OFFSET(ORÇAMENTO!AJ$15,ROW(H18)-ROW(H$15),0),15-13*ORÇAMENTO!$AF$7),SUMPRODUCT(($Q$1:$AA$1=1)*ROUND($Q18:$AA18,15-13*ORÇAMENTO!$AF$7))))</f>
        <v>6</v>
      </c>
      <c r="I18" s="469"/>
      <c r="J18" s="577" t="str" cm="1">
        <f t="array" aca="1" ref="J18" ca="1">IF(B18&lt;&gt;"S","",IF(AND(ACOMPANHAMENTO="PLE",AUTOEVENTO="Manual",OR(H18&gt;0,ORÇAMENTO!AC18="QUANT."),OR(K18="",M18=0,N18="")),"►",IF(AND(ACOMPANHAMENTO="PLE",ORÇAMENTO!AC18="QUANT."),"►►",IF(AND(COUNTIF($P$11:$AA$11,"▼")=0,H18&gt;0,I18=""),"◄",""))))</f>
        <v>◄</v>
      </c>
      <c r="K18" s="626"/>
      <c r="L18" s="166" t="s">
        <v>765</v>
      </c>
      <c r="M18" s="167">
        <f ca="1">IF($D18&lt;&gt;"Serviço","",
          IF(AUTOEVENTO="manual",$A18,
                IF(ISERROR(MATCH($A18,$A$15:OFFSET($A18,-1,0),0)),MAX($M$15:OFFSET(M18,-1,0))+1,
                      INDEX($M$15:OFFSET(M18,-1,0),MATCH($A18,$A$15:OFFSET($A18,-1,0),0)))))</f>
        <v>1</v>
      </c>
      <c r="N18" s="168" t="str">
        <f ca="1">IF($D18&lt;&gt;"Serviço","",
         IF(AUTOEVENTO="Manual",
                IF($A18=0,"&lt;-- defina o número do agrupador",
                       OFFSET(EVENTOS!$D$15,$A18-$A$15,0)),
                OFFSET($F$15,$A18,0)))</f>
        <v>ADMINISTRAÇÃO DE OBRA</v>
      </c>
      <c r="O18" s="169"/>
      <c r="Q18" s="169"/>
      <c r="R18" s="170"/>
      <c r="S18" s="170"/>
      <c r="T18" s="170"/>
      <c r="U18" s="170"/>
      <c r="V18" s="170"/>
      <c r="W18" s="170"/>
      <c r="X18" s="170"/>
      <c r="Y18" s="170"/>
      <c r="Z18" s="171"/>
      <c r="AB18" s="454">
        <f ca="1">IF(AND($D18="Serviço",AB$12&lt;&gt;0,$H18&gt;0,OR(AUTOEVENTO&lt;&gt;"manual",$M18&lt;&gt;$A$15)),
        IF(Import.TipoArredondamento&lt;&gt;"TransfereGOV",
              ROUND(OFFSET($P18,0,AB$13),15-13*ORÇAMENTO!$AF$7)/$H18*OFFSET(ORÇAMENTO!$X$15,ROW(AB18)-ROW(AB$15),0),
              ROUND(ROUND(OFFSET($P18,0,AB$13),15-13*ORÇAMENTO!$AF$7)*OFFSET(ORÇAMENTO!$W$15,ROW(AB18)-ROW(AB$15),0),15-13*ORÇAMENTO!$AF$11)),
         0)</f>
        <v>0</v>
      </c>
      <c r="AC18" s="454">
        <f ca="1">IF(AND($D18="Serviço",AC$12&lt;&gt;0,$H18&gt;0,OR(AUTOEVENTO&lt;&gt;"manual",$M18&lt;&gt;$A$15)),
        IF(Import.TipoArredondamento&lt;&gt;"TransfereGOV",
              ROUND(OFFSET($P18,0,AC$13),15-13*ORÇAMENTO!$AF$7)/$H18*OFFSET(ORÇAMENTO!$X$15,ROW(AC18)-ROW(AC$15),0),
              ROUND(ROUND(OFFSET($P18,0,AC$13),15-13*ORÇAMENTO!$AF$7)*OFFSET(ORÇAMENTO!$W$15,ROW(AC18)-ROW(AC$15),0),15-13*ORÇAMENTO!$AF$11)),
         0)</f>
        <v>0</v>
      </c>
      <c r="AD18" s="454">
        <f ca="1">IF(AND($D18="Serviço",AD$12&lt;&gt;0,$H18&gt;0,OR(AUTOEVENTO&lt;&gt;"manual",$M18&lt;&gt;$A$15)),
        IF(Import.TipoArredondamento&lt;&gt;"TransfereGOV",
              ROUND(OFFSET($P18,0,AD$13),15-13*ORÇAMENTO!$AF$7)/$H18*OFFSET(ORÇAMENTO!$X$15,ROW(AD18)-ROW(AD$15),0),
              ROUND(ROUND(OFFSET($P18,0,AD$13),15-13*ORÇAMENTO!$AF$7)*OFFSET(ORÇAMENTO!$W$15,ROW(AD18)-ROW(AD$15),0),15-13*ORÇAMENTO!$AF$11)),
         0)</f>
        <v>0</v>
      </c>
      <c r="AE18" s="454">
        <f ca="1">IF(AND($D18="Serviço",AE$12&lt;&gt;0,$H18&gt;0,OR(AUTOEVENTO&lt;&gt;"manual",$M18&lt;&gt;$A$15)),
        IF(Import.TipoArredondamento&lt;&gt;"TransfereGOV",
              ROUND(OFFSET($P18,0,AE$13),15-13*ORÇAMENTO!$AF$7)/$H18*OFFSET(ORÇAMENTO!$X$15,ROW(AE18)-ROW(AE$15),0),
              ROUND(ROUND(OFFSET($P18,0,AE$13),15-13*ORÇAMENTO!$AF$7)*OFFSET(ORÇAMENTO!$W$15,ROW(AE18)-ROW(AE$15),0),15-13*ORÇAMENTO!$AF$11)),
         0)</f>
        <v>0</v>
      </c>
      <c r="AF18" s="454">
        <f ca="1">IF(AND($D18="Serviço",AF$12&lt;&gt;0,$H18&gt;0,OR(AUTOEVENTO&lt;&gt;"manual",$M18&lt;&gt;$A$15)),
        IF(Import.TipoArredondamento&lt;&gt;"TransfereGOV",
              ROUND(OFFSET($P18,0,AF$13),15-13*ORÇAMENTO!$AF$7)/$H18*OFFSET(ORÇAMENTO!$X$15,ROW(AF18)-ROW(AF$15),0),
              ROUND(ROUND(OFFSET($P18,0,AF$13),15-13*ORÇAMENTO!$AF$7)*OFFSET(ORÇAMENTO!$W$15,ROW(AF18)-ROW(AF$15),0),15-13*ORÇAMENTO!$AF$11)),
         0)</f>
        <v>0</v>
      </c>
      <c r="AG18" s="454">
        <f ca="1">IF(AND($D18="Serviço",AG$12&lt;&gt;0,$H18&gt;0,OR(AUTOEVENTO&lt;&gt;"manual",$M18&lt;&gt;$A$15)),
        IF(Import.TipoArredondamento&lt;&gt;"TransfereGOV",
              ROUND(OFFSET($P18,0,AG$13),15-13*ORÇAMENTO!$AF$7)/$H18*OFFSET(ORÇAMENTO!$X$15,ROW(AG18)-ROW(AG$15),0),
              ROUND(ROUND(OFFSET($P18,0,AG$13),15-13*ORÇAMENTO!$AF$7)*OFFSET(ORÇAMENTO!$W$15,ROW(AG18)-ROW(AG$15),0),15-13*ORÇAMENTO!$AF$11)),
         0)</f>
        <v>0</v>
      </c>
      <c r="AH18" s="454">
        <f ca="1">IF(AND($D18="Serviço",AH$12&lt;&gt;0,$H18&gt;0,OR(AUTOEVENTO&lt;&gt;"manual",$M18&lt;&gt;$A$15)),
        IF(Import.TipoArredondamento&lt;&gt;"TransfereGOV",
              ROUND(OFFSET($P18,0,AH$13),15-13*ORÇAMENTO!$AF$7)/$H18*OFFSET(ORÇAMENTO!$X$15,ROW(AH18)-ROW(AH$15),0),
              ROUND(ROUND(OFFSET($P18,0,AH$13),15-13*ORÇAMENTO!$AF$7)*OFFSET(ORÇAMENTO!$W$15,ROW(AH18)-ROW(AH$15),0),15-13*ORÇAMENTO!$AF$11)),
         0)</f>
        <v>0</v>
      </c>
      <c r="AI18" s="454">
        <f ca="1">IF(AND($D18="Serviço",AI$12&lt;&gt;0,$H18&gt;0,OR(AUTOEVENTO&lt;&gt;"manual",$M18&lt;&gt;$A$15)),
        IF(Import.TipoArredondamento&lt;&gt;"TransfereGOV",
              ROUND(OFFSET($P18,0,AI$13),15-13*ORÇAMENTO!$AF$7)/$H18*OFFSET(ORÇAMENTO!$X$15,ROW(AI18)-ROW(AI$15),0),
              ROUND(ROUND(OFFSET($P18,0,AI$13),15-13*ORÇAMENTO!$AF$7)*OFFSET(ORÇAMENTO!$W$15,ROW(AI18)-ROW(AI$15),0),15-13*ORÇAMENTO!$AF$11)),
         0)</f>
        <v>0</v>
      </c>
      <c r="AJ18" s="454">
        <f ca="1">IF(AND($D18="Serviço",AJ$12&lt;&gt;0,$H18&gt;0,OR(AUTOEVENTO&lt;&gt;"manual",$M18&lt;&gt;$A$15)),
        IF(Import.TipoArredondamento&lt;&gt;"TransfereGOV",
              ROUND(OFFSET($P18,0,AJ$13),15-13*ORÇAMENTO!$AF$7)/$H18*OFFSET(ORÇAMENTO!$X$15,ROW(AJ18)-ROW(AJ$15),0),
              ROUND(ROUND(OFFSET($P18,0,AJ$13),15-13*ORÇAMENTO!$AF$7)*OFFSET(ORÇAMENTO!$W$15,ROW(AJ18)-ROW(AJ$15),0),15-13*ORÇAMENTO!$AF$11)),
         0)</f>
        <v>0</v>
      </c>
      <c r="AK18" s="454">
        <f ca="1">IF(AND($D18="Serviço",AK$12&lt;&gt;0,$H18&gt;0,OR(AUTOEVENTO&lt;&gt;"manual",$M18&lt;&gt;$A$15)),
        IF(Import.TipoArredondamento&lt;&gt;"TransfereGOV",
              ROUND(OFFSET($P18,0,AK$13),15-13*ORÇAMENTO!$AF$7)/$H18*OFFSET(ORÇAMENTO!$X$15,ROW(AK18)-ROW(AK$15),0),
              ROUND(ROUND(OFFSET($P18,0,AK$13),15-13*ORÇAMENTO!$AF$7)*OFFSET(ORÇAMENTO!$W$15,ROW(AK18)-ROW(AK$15),0),15-13*ORÇAMENTO!$AF$11)),
         0)</f>
        <v>0</v>
      </c>
      <c r="AM18" s="172">
        <f ca="1">IF(OR($D18&lt;&gt;"Serviço",AND(AUTOEVENTO="Manual",$M18=$A$15)),0,
         IF(OFFSET(CRONOPLE!$F$15,$M18-$A$15,AM$13)="",10^12,OFFSET(CRONOPLE!$F$15,$M18-$A$15,AM$13)))</f>
        <v>1000000000000</v>
      </c>
      <c r="AN18" s="172">
        <f ca="1">IF(OR($D18&lt;&gt;"Serviço",AND(AUTOEVENTO="Manual",$M18=$A$15)),0,
         IF(OFFSET(CRONOPLE!$F$15,$M18-$A$15,AN$13)="",10^12,OFFSET(CRONOPLE!$F$15,$M18-$A$15,AN$13)))</f>
        <v>1000000000000</v>
      </c>
      <c r="AO18" s="172">
        <f ca="1">IF(OR($D18&lt;&gt;"Serviço",AND(AUTOEVENTO="Manual",$M18=$A$15)),0,
         IF(OFFSET(CRONOPLE!$F$15,$M18-$A$15,AO$13)="",10^12,OFFSET(CRONOPLE!$F$15,$M18-$A$15,AO$13)))</f>
        <v>1000000000000</v>
      </c>
      <c r="AP18" s="172">
        <f ca="1">IF(OR($D18&lt;&gt;"Serviço",AND(AUTOEVENTO="Manual",$M18=$A$15)),0,
         IF(OFFSET(CRONOPLE!$F$15,$M18-$A$15,AP$13)="",10^12,OFFSET(CRONOPLE!$F$15,$M18-$A$15,AP$13)))</f>
        <v>1000000000000</v>
      </c>
      <c r="AQ18" s="172">
        <f ca="1">IF(OR($D18&lt;&gt;"Serviço",AND(AUTOEVENTO="Manual",$M18=$A$15)),0,
         IF(OFFSET(CRONOPLE!$F$15,$M18-$A$15,AQ$13)="",10^12,OFFSET(CRONOPLE!$F$15,$M18-$A$15,AQ$13)))</f>
        <v>1000000000000</v>
      </c>
      <c r="AR18" s="172">
        <f ca="1">IF(OR($D18&lt;&gt;"Serviço",AND(AUTOEVENTO="Manual",$M18=$A$15)),0,
         IF(OFFSET(CRONOPLE!$F$15,$M18-$A$15,AR$13)="",10^12,OFFSET(CRONOPLE!$F$15,$M18-$A$15,AR$13)))</f>
        <v>1000000000000</v>
      </c>
      <c r="AS18" s="172">
        <f ca="1">IF(OR($D18&lt;&gt;"Serviço",AND(AUTOEVENTO="Manual",$M18=$A$15)),0,
         IF(OFFSET(CRONOPLE!$F$15,$M18-$A$15,AS$13)="",10^12,OFFSET(CRONOPLE!$F$15,$M18-$A$15,AS$13)))</f>
        <v>1000000000000</v>
      </c>
      <c r="AT18" s="172">
        <f ca="1">IF(OR($D18&lt;&gt;"Serviço",AND(AUTOEVENTO="Manual",$M18=$A$15)),0,
         IF(OFFSET(CRONOPLE!$F$15,$M18-$A$15,AT$13)="",10^12,OFFSET(CRONOPLE!$F$15,$M18-$A$15,AT$13)))</f>
        <v>1000000000000</v>
      </c>
      <c r="AU18" s="172">
        <f ca="1">IF(OR($D18&lt;&gt;"Serviço",AND(AUTOEVENTO="Manual",$M18=$A$15)),0,
         IF(OFFSET(CRONOPLE!$F$15,$M18-$A$15,AU$13)="",10^12,OFFSET(CRONOPLE!$F$15,$M18-$A$15,AU$13)))</f>
        <v>1000000000000</v>
      </c>
      <c r="AV18" s="172">
        <f ca="1">IF(OR($D18&lt;&gt;"Serviço",AND(AUTOEVENTO="Manual",$M18=$A$15)),0,
         IF(OFFSET(CRONOPLE!$F$15,$M18-$A$15,AV$13)="",10^12,OFFSET(CRONOPLE!$F$15,$M18-$A$15,AV$13)))</f>
        <v>1000000000000</v>
      </c>
      <c r="AX18" s="173">
        <f ca="1">IF(OR($D18&lt;&gt;"Serviço",AND(AUTOEVENTO="Manual",$M18=$A$15),$M18&gt;(ROW(PLE.lastrow)-ROW(PLE.firstrow))),0,
           IF(OFFSET(PLE!$G$15,$M18-$A$15,AX$13)="",10^12,OFFSET(PLE!$G$15,$M18-$A$15,AX$13)))</f>
        <v>1000000000000</v>
      </c>
      <c r="AY18" s="173">
        <f ca="1">IF(OR($D18&lt;&gt;"Serviço",AND(AUTOEVENTO="Manual",$M18=$A$15),$M18&gt;(ROW(PLE.lastrow)-ROW(PLE.firstrow))),0,
           IF(OFFSET(PLE!$G$15,$M18-$A$15,AY$13)="",10^12,OFFSET(PLE!$G$15,$M18-$A$15,AY$13)))</f>
        <v>1000000000000</v>
      </c>
      <c r="AZ18" s="173">
        <f ca="1">IF(OR($D18&lt;&gt;"Serviço",AND(AUTOEVENTO="Manual",$M18=$A$15),$M18&gt;(ROW(PLE.lastrow)-ROW(PLE.firstrow))),0,
           IF(OFFSET(PLE!$G$15,$M18-$A$15,AZ$13)="",10^12,OFFSET(PLE!$G$15,$M18-$A$15,AZ$13)))</f>
        <v>1000000000000</v>
      </c>
      <c r="BA18" s="173">
        <f ca="1">IF(OR($D18&lt;&gt;"Serviço",AND(AUTOEVENTO="Manual",$M18=$A$15),$M18&gt;(ROW(PLE.lastrow)-ROW(PLE.firstrow))),0,
           IF(OFFSET(PLE!$G$15,$M18-$A$15,BA$13)="",10^12,OFFSET(PLE!$G$15,$M18-$A$15,BA$13)))</f>
        <v>1000000000000</v>
      </c>
      <c r="BB18" s="173">
        <f ca="1">IF(OR($D18&lt;&gt;"Serviço",AND(AUTOEVENTO="Manual",$M18=$A$15),$M18&gt;(ROW(PLE.lastrow)-ROW(PLE.firstrow))),0,
           IF(OFFSET(PLE!$G$15,$M18-$A$15,BB$13)="",10^12,OFFSET(PLE!$G$15,$M18-$A$15,BB$13)))</f>
        <v>1000000000000</v>
      </c>
      <c r="BC18" s="173">
        <f ca="1">IF(OR($D18&lt;&gt;"Serviço",AND(AUTOEVENTO="Manual",$M18=$A$15),$M18&gt;(ROW(PLE.lastrow)-ROW(PLE.firstrow))),0,
           IF(OFFSET(PLE!$G$15,$M18-$A$15,BC$13)="",10^12,OFFSET(PLE!$G$15,$M18-$A$15,BC$13)))</f>
        <v>1000000000000</v>
      </c>
      <c r="BD18" s="173">
        <f ca="1">IF(OR($D18&lt;&gt;"Serviço",AND(AUTOEVENTO="Manual",$M18=$A$15),$M18&gt;(ROW(PLE.lastrow)-ROW(PLE.firstrow))),0,
           IF(OFFSET(PLE!$G$15,$M18-$A$15,BD$13)="",10^12,OFFSET(PLE!$G$15,$M18-$A$15,BD$13)))</f>
        <v>1000000000000</v>
      </c>
      <c r="BE18" s="173">
        <f ca="1">IF(OR($D18&lt;&gt;"Serviço",AND(AUTOEVENTO="Manual",$M18=$A$15),$M18&gt;(ROW(PLE.lastrow)-ROW(PLE.firstrow))),0,
           IF(OFFSET(PLE!$G$15,$M18-$A$15,BE$13)="",10^12,OFFSET(PLE!$G$15,$M18-$A$15,BE$13)))</f>
        <v>1000000000000</v>
      </c>
      <c r="BF18" s="173">
        <f ca="1">IF(OR($D18&lt;&gt;"Serviço",AND(AUTOEVENTO="Manual",$M18=$A$15),$M18&gt;(ROW(PLE.lastrow)-ROW(PLE.firstrow))),0,
           IF(OFFSET(PLE!$G$15,$M18-$A$15,BF$13)="",10^12,OFFSET(PLE!$G$15,$M18-$A$15,BF$13)))</f>
        <v>1000000000000</v>
      </c>
      <c r="BG18" s="173">
        <f ca="1">IF(OR($D18&lt;&gt;"Serviço",AND(AUTOEVENTO="Manual",$M18=$A$15),$M18&gt;(ROW(PLE.lastrow)-ROW(PLE.firstrow))),0,
           IF(OFFSET(PLE!$G$15,$M18-$A$15,BG$13)="",10^12,OFFSET(PLE!$G$15,$M18-$A$15,BG$13)))</f>
        <v>1000000000000</v>
      </c>
    </row>
    <row r="19" spans="1:59" ht="25.5" x14ac:dyDescent="0.2">
      <c r="A19" s="7" t="str">
        <f t="shared" ca="1" si="8"/>
        <v>2</v>
      </c>
      <c r="B19" s="7" t="str">
        <f ca="1">OFFSET(ORÇAMENTO!C$15,ROW(B19)-ROW(B$15),0)</f>
        <v>S</v>
      </c>
      <c r="C19" s="7" t="str">
        <f ca="1">OFFSET(ORÇAMENTO!L$15,ROW(C19)-ROW(C$15),0)</f>
        <v/>
      </c>
      <c r="D19" s="117" t="str">
        <f ca="1">OFFSET(ORÇAMENTO!N$15,ROW(D19)-ROW(D$15),0)</f>
        <v>Serviço</v>
      </c>
      <c r="E19" s="118" t="str">
        <f ca="1">OFFSET(ORÇAMENTO!O$15,ROW(E19)-ROW(E$15),0)</f>
        <v>-</v>
      </c>
      <c r="F19" s="164" t="str">
        <f ca="1">OFFSET(ORÇAMENTO!R$15,ROW(F19)-ROW(F$15),0)</f>
        <v>ENGENHEIRO CIVIL DE OBRA PLENO COM ENCARGOS COMPLEMENTARES</v>
      </c>
      <c r="G19" s="165" t="str">
        <f ca="1">IF($D19&lt;&gt;"Serviço","",OFFSET(ORÇAMENTO!S$15,ROW(G19)-ROW(G$15),0))</f>
        <v>H</v>
      </c>
      <c r="H19" s="123">
        <f ca="1">IF($D19&lt;&gt;"Serviço",0,IF(ACOMPANHAMENTO="BM",ROUND(OFFSET(ORÇAMENTO!AJ$15,ROW(H19)-ROW(H$15),0),15-13*ORÇAMENTO!$AF$7),SUMPRODUCT(($Q$1:$AA$1=1)*ROUND($Q19:$AA19,15-13*ORÇAMENTO!$AF$7))))</f>
        <v>246</v>
      </c>
      <c r="I19" s="469"/>
      <c r="J19" s="577" t="str" cm="1">
        <f t="array" aca="1" ref="J19" ca="1">IF(B19&lt;&gt;"S","",IF(AND(ACOMPANHAMENTO="PLE",AUTOEVENTO="Manual",OR(H19&gt;0,ORÇAMENTO!AC19="QUANT."),OR(K19="",M19=0,N19="")),"►",IF(AND(ACOMPANHAMENTO="PLE",ORÇAMENTO!AC19="QUANT."),"►►",IF(AND(COUNTIF($P$11:$AA$11,"▼")=0,H19&gt;0,I19=""),"◄",""))))</f>
        <v>◄</v>
      </c>
      <c r="K19" s="626"/>
      <c r="L19" s="166" t="s">
        <v>765</v>
      </c>
      <c r="M19" s="167">
        <f ca="1">IF($D19&lt;&gt;"Serviço","",
          IF(AUTOEVENTO="manual",$A19,
                IF(ISERROR(MATCH($A19,$A$15:OFFSET($A19,-1,0),0)),MAX($M$15:OFFSET(M19,-1,0))+1,
                      INDEX($M$15:OFFSET(M19,-1,0),MATCH($A19,$A$15:OFFSET($A19,-1,0),0)))))</f>
        <v>1</v>
      </c>
      <c r="N19" s="168" t="str">
        <f ca="1">IF($D19&lt;&gt;"Serviço","",
         IF(AUTOEVENTO="Manual",
                IF($A19=0,"&lt;-- defina o número do agrupador",
                       OFFSET(EVENTOS!$D$15,$A19-$A$15,0)),
                OFFSET($F$15,$A19,0)))</f>
        <v>ADMINISTRAÇÃO DE OBRA</v>
      </c>
      <c r="O19" s="169"/>
      <c r="Q19" s="169"/>
      <c r="R19" s="170"/>
      <c r="S19" s="170"/>
      <c r="T19" s="170"/>
      <c r="U19" s="170"/>
      <c r="V19" s="170"/>
      <c r="W19" s="170"/>
      <c r="X19" s="170"/>
      <c r="Y19" s="170"/>
      <c r="Z19" s="171"/>
      <c r="AB19" s="454">
        <f ca="1">IF(AND($D19="Serviço",AB$12&lt;&gt;0,$H19&gt;0,OR(AUTOEVENTO&lt;&gt;"manual",$M19&lt;&gt;$A$15)),
        IF(Import.TipoArredondamento&lt;&gt;"TransfereGOV",
              ROUND(OFFSET($P19,0,AB$13),15-13*ORÇAMENTO!$AF$7)/$H19*OFFSET(ORÇAMENTO!$X$15,ROW(AB19)-ROW(AB$15),0),
              ROUND(ROUND(OFFSET($P19,0,AB$13),15-13*ORÇAMENTO!$AF$7)*OFFSET(ORÇAMENTO!$W$15,ROW(AB19)-ROW(AB$15),0),15-13*ORÇAMENTO!$AF$11)),
         0)</f>
        <v>0</v>
      </c>
      <c r="AC19" s="454">
        <f ca="1">IF(AND($D19="Serviço",AC$12&lt;&gt;0,$H19&gt;0,OR(AUTOEVENTO&lt;&gt;"manual",$M19&lt;&gt;$A$15)),
        IF(Import.TipoArredondamento&lt;&gt;"TransfereGOV",
              ROUND(OFFSET($P19,0,AC$13),15-13*ORÇAMENTO!$AF$7)/$H19*OFFSET(ORÇAMENTO!$X$15,ROW(AC19)-ROW(AC$15),0),
              ROUND(ROUND(OFFSET($P19,0,AC$13),15-13*ORÇAMENTO!$AF$7)*OFFSET(ORÇAMENTO!$W$15,ROW(AC19)-ROW(AC$15),0),15-13*ORÇAMENTO!$AF$11)),
         0)</f>
        <v>0</v>
      </c>
      <c r="AD19" s="454">
        <f ca="1">IF(AND($D19="Serviço",AD$12&lt;&gt;0,$H19&gt;0,OR(AUTOEVENTO&lt;&gt;"manual",$M19&lt;&gt;$A$15)),
        IF(Import.TipoArredondamento&lt;&gt;"TransfereGOV",
              ROUND(OFFSET($P19,0,AD$13),15-13*ORÇAMENTO!$AF$7)/$H19*OFFSET(ORÇAMENTO!$X$15,ROW(AD19)-ROW(AD$15),0),
              ROUND(ROUND(OFFSET($P19,0,AD$13),15-13*ORÇAMENTO!$AF$7)*OFFSET(ORÇAMENTO!$W$15,ROW(AD19)-ROW(AD$15),0),15-13*ORÇAMENTO!$AF$11)),
         0)</f>
        <v>0</v>
      </c>
      <c r="AE19" s="454">
        <f ca="1">IF(AND($D19="Serviço",AE$12&lt;&gt;0,$H19&gt;0,OR(AUTOEVENTO&lt;&gt;"manual",$M19&lt;&gt;$A$15)),
        IF(Import.TipoArredondamento&lt;&gt;"TransfereGOV",
              ROUND(OFFSET($P19,0,AE$13),15-13*ORÇAMENTO!$AF$7)/$H19*OFFSET(ORÇAMENTO!$X$15,ROW(AE19)-ROW(AE$15),0),
              ROUND(ROUND(OFFSET($P19,0,AE$13),15-13*ORÇAMENTO!$AF$7)*OFFSET(ORÇAMENTO!$W$15,ROW(AE19)-ROW(AE$15),0),15-13*ORÇAMENTO!$AF$11)),
         0)</f>
        <v>0</v>
      </c>
      <c r="AF19" s="454">
        <f ca="1">IF(AND($D19="Serviço",AF$12&lt;&gt;0,$H19&gt;0,OR(AUTOEVENTO&lt;&gt;"manual",$M19&lt;&gt;$A$15)),
        IF(Import.TipoArredondamento&lt;&gt;"TransfereGOV",
              ROUND(OFFSET($P19,0,AF$13),15-13*ORÇAMENTO!$AF$7)/$H19*OFFSET(ORÇAMENTO!$X$15,ROW(AF19)-ROW(AF$15),0),
              ROUND(ROUND(OFFSET($P19,0,AF$13),15-13*ORÇAMENTO!$AF$7)*OFFSET(ORÇAMENTO!$W$15,ROW(AF19)-ROW(AF$15),0),15-13*ORÇAMENTO!$AF$11)),
         0)</f>
        <v>0</v>
      </c>
      <c r="AG19" s="454">
        <f ca="1">IF(AND($D19="Serviço",AG$12&lt;&gt;0,$H19&gt;0,OR(AUTOEVENTO&lt;&gt;"manual",$M19&lt;&gt;$A$15)),
        IF(Import.TipoArredondamento&lt;&gt;"TransfereGOV",
              ROUND(OFFSET($P19,0,AG$13),15-13*ORÇAMENTO!$AF$7)/$H19*OFFSET(ORÇAMENTO!$X$15,ROW(AG19)-ROW(AG$15),0),
              ROUND(ROUND(OFFSET($P19,0,AG$13),15-13*ORÇAMENTO!$AF$7)*OFFSET(ORÇAMENTO!$W$15,ROW(AG19)-ROW(AG$15),0),15-13*ORÇAMENTO!$AF$11)),
         0)</f>
        <v>0</v>
      </c>
      <c r="AH19" s="454">
        <f ca="1">IF(AND($D19="Serviço",AH$12&lt;&gt;0,$H19&gt;0,OR(AUTOEVENTO&lt;&gt;"manual",$M19&lt;&gt;$A$15)),
        IF(Import.TipoArredondamento&lt;&gt;"TransfereGOV",
              ROUND(OFFSET($P19,0,AH$13),15-13*ORÇAMENTO!$AF$7)/$H19*OFFSET(ORÇAMENTO!$X$15,ROW(AH19)-ROW(AH$15),0),
              ROUND(ROUND(OFFSET($P19,0,AH$13),15-13*ORÇAMENTO!$AF$7)*OFFSET(ORÇAMENTO!$W$15,ROW(AH19)-ROW(AH$15),0),15-13*ORÇAMENTO!$AF$11)),
         0)</f>
        <v>0</v>
      </c>
      <c r="AI19" s="454">
        <f ca="1">IF(AND($D19="Serviço",AI$12&lt;&gt;0,$H19&gt;0,OR(AUTOEVENTO&lt;&gt;"manual",$M19&lt;&gt;$A$15)),
        IF(Import.TipoArredondamento&lt;&gt;"TransfereGOV",
              ROUND(OFFSET($P19,0,AI$13),15-13*ORÇAMENTO!$AF$7)/$H19*OFFSET(ORÇAMENTO!$X$15,ROW(AI19)-ROW(AI$15),0),
              ROUND(ROUND(OFFSET($P19,0,AI$13),15-13*ORÇAMENTO!$AF$7)*OFFSET(ORÇAMENTO!$W$15,ROW(AI19)-ROW(AI$15),0),15-13*ORÇAMENTO!$AF$11)),
         0)</f>
        <v>0</v>
      </c>
      <c r="AJ19" s="454">
        <f ca="1">IF(AND($D19="Serviço",AJ$12&lt;&gt;0,$H19&gt;0,OR(AUTOEVENTO&lt;&gt;"manual",$M19&lt;&gt;$A$15)),
        IF(Import.TipoArredondamento&lt;&gt;"TransfereGOV",
              ROUND(OFFSET($P19,0,AJ$13),15-13*ORÇAMENTO!$AF$7)/$H19*OFFSET(ORÇAMENTO!$X$15,ROW(AJ19)-ROW(AJ$15),0),
              ROUND(ROUND(OFFSET($P19,0,AJ$13),15-13*ORÇAMENTO!$AF$7)*OFFSET(ORÇAMENTO!$W$15,ROW(AJ19)-ROW(AJ$15),0),15-13*ORÇAMENTO!$AF$11)),
         0)</f>
        <v>0</v>
      </c>
      <c r="AK19" s="454">
        <f ca="1">IF(AND($D19="Serviço",AK$12&lt;&gt;0,$H19&gt;0,OR(AUTOEVENTO&lt;&gt;"manual",$M19&lt;&gt;$A$15)),
        IF(Import.TipoArredondamento&lt;&gt;"TransfereGOV",
              ROUND(OFFSET($P19,0,AK$13),15-13*ORÇAMENTO!$AF$7)/$H19*OFFSET(ORÇAMENTO!$X$15,ROW(AK19)-ROW(AK$15),0),
              ROUND(ROUND(OFFSET($P19,0,AK$13),15-13*ORÇAMENTO!$AF$7)*OFFSET(ORÇAMENTO!$W$15,ROW(AK19)-ROW(AK$15),0),15-13*ORÇAMENTO!$AF$11)),
         0)</f>
        <v>0</v>
      </c>
      <c r="AM19" s="172">
        <f ca="1">IF(OR($D19&lt;&gt;"Serviço",AND(AUTOEVENTO="Manual",$M19=$A$15)),0,
         IF(OFFSET(CRONOPLE!$F$15,$M19-$A$15,AM$13)="",10^12,OFFSET(CRONOPLE!$F$15,$M19-$A$15,AM$13)))</f>
        <v>1000000000000</v>
      </c>
      <c r="AN19" s="172">
        <f ca="1">IF(OR($D19&lt;&gt;"Serviço",AND(AUTOEVENTO="Manual",$M19=$A$15)),0,
         IF(OFFSET(CRONOPLE!$F$15,$M19-$A$15,AN$13)="",10^12,OFFSET(CRONOPLE!$F$15,$M19-$A$15,AN$13)))</f>
        <v>1000000000000</v>
      </c>
      <c r="AO19" s="172">
        <f ca="1">IF(OR($D19&lt;&gt;"Serviço",AND(AUTOEVENTO="Manual",$M19=$A$15)),0,
         IF(OFFSET(CRONOPLE!$F$15,$M19-$A$15,AO$13)="",10^12,OFFSET(CRONOPLE!$F$15,$M19-$A$15,AO$13)))</f>
        <v>1000000000000</v>
      </c>
      <c r="AP19" s="172">
        <f ca="1">IF(OR($D19&lt;&gt;"Serviço",AND(AUTOEVENTO="Manual",$M19=$A$15)),0,
         IF(OFFSET(CRONOPLE!$F$15,$M19-$A$15,AP$13)="",10^12,OFFSET(CRONOPLE!$F$15,$M19-$A$15,AP$13)))</f>
        <v>1000000000000</v>
      </c>
      <c r="AQ19" s="172">
        <f ca="1">IF(OR($D19&lt;&gt;"Serviço",AND(AUTOEVENTO="Manual",$M19=$A$15)),0,
         IF(OFFSET(CRONOPLE!$F$15,$M19-$A$15,AQ$13)="",10^12,OFFSET(CRONOPLE!$F$15,$M19-$A$15,AQ$13)))</f>
        <v>1000000000000</v>
      </c>
      <c r="AR19" s="172">
        <f ca="1">IF(OR($D19&lt;&gt;"Serviço",AND(AUTOEVENTO="Manual",$M19=$A$15)),0,
         IF(OFFSET(CRONOPLE!$F$15,$M19-$A$15,AR$13)="",10^12,OFFSET(CRONOPLE!$F$15,$M19-$A$15,AR$13)))</f>
        <v>1000000000000</v>
      </c>
      <c r="AS19" s="172">
        <f ca="1">IF(OR($D19&lt;&gt;"Serviço",AND(AUTOEVENTO="Manual",$M19=$A$15)),0,
         IF(OFFSET(CRONOPLE!$F$15,$M19-$A$15,AS$13)="",10^12,OFFSET(CRONOPLE!$F$15,$M19-$A$15,AS$13)))</f>
        <v>1000000000000</v>
      </c>
      <c r="AT19" s="172">
        <f ca="1">IF(OR($D19&lt;&gt;"Serviço",AND(AUTOEVENTO="Manual",$M19=$A$15)),0,
         IF(OFFSET(CRONOPLE!$F$15,$M19-$A$15,AT$13)="",10^12,OFFSET(CRONOPLE!$F$15,$M19-$A$15,AT$13)))</f>
        <v>1000000000000</v>
      </c>
      <c r="AU19" s="172">
        <f ca="1">IF(OR($D19&lt;&gt;"Serviço",AND(AUTOEVENTO="Manual",$M19=$A$15)),0,
         IF(OFFSET(CRONOPLE!$F$15,$M19-$A$15,AU$13)="",10^12,OFFSET(CRONOPLE!$F$15,$M19-$A$15,AU$13)))</f>
        <v>1000000000000</v>
      </c>
      <c r="AV19" s="172">
        <f ca="1">IF(OR($D19&lt;&gt;"Serviço",AND(AUTOEVENTO="Manual",$M19=$A$15)),0,
         IF(OFFSET(CRONOPLE!$F$15,$M19-$A$15,AV$13)="",10^12,OFFSET(CRONOPLE!$F$15,$M19-$A$15,AV$13)))</f>
        <v>1000000000000</v>
      </c>
      <c r="AX19" s="173">
        <f ca="1">IF(OR($D19&lt;&gt;"Serviço",AND(AUTOEVENTO="Manual",$M19=$A$15),$M19&gt;(ROW(PLE.lastrow)-ROW(PLE.firstrow))),0,
           IF(OFFSET(PLE!$G$15,$M19-$A$15,AX$13)="",10^12,OFFSET(PLE!$G$15,$M19-$A$15,AX$13)))</f>
        <v>1000000000000</v>
      </c>
      <c r="AY19" s="173">
        <f ca="1">IF(OR($D19&lt;&gt;"Serviço",AND(AUTOEVENTO="Manual",$M19=$A$15),$M19&gt;(ROW(PLE.lastrow)-ROW(PLE.firstrow))),0,
           IF(OFFSET(PLE!$G$15,$M19-$A$15,AY$13)="",10^12,OFFSET(PLE!$G$15,$M19-$A$15,AY$13)))</f>
        <v>1000000000000</v>
      </c>
      <c r="AZ19" s="173">
        <f ca="1">IF(OR($D19&lt;&gt;"Serviço",AND(AUTOEVENTO="Manual",$M19=$A$15),$M19&gt;(ROW(PLE.lastrow)-ROW(PLE.firstrow))),0,
           IF(OFFSET(PLE!$G$15,$M19-$A$15,AZ$13)="",10^12,OFFSET(PLE!$G$15,$M19-$A$15,AZ$13)))</f>
        <v>1000000000000</v>
      </c>
      <c r="BA19" s="173">
        <f ca="1">IF(OR($D19&lt;&gt;"Serviço",AND(AUTOEVENTO="Manual",$M19=$A$15),$M19&gt;(ROW(PLE.lastrow)-ROW(PLE.firstrow))),0,
           IF(OFFSET(PLE!$G$15,$M19-$A$15,BA$13)="",10^12,OFFSET(PLE!$G$15,$M19-$A$15,BA$13)))</f>
        <v>1000000000000</v>
      </c>
      <c r="BB19" s="173">
        <f ca="1">IF(OR($D19&lt;&gt;"Serviço",AND(AUTOEVENTO="Manual",$M19=$A$15),$M19&gt;(ROW(PLE.lastrow)-ROW(PLE.firstrow))),0,
           IF(OFFSET(PLE!$G$15,$M19-$A$15,BB$13)="",10^12,OFFSET(PLE!$G$15,$M19-$A$15,BB$13)))</f>
        <v>1000000000000</v>
      </c>
      <c r="BC19" s="173">
        <f ca="1">IF(OR($D19&lt;&gt;"Serviço",AND(AUTOEVENTO="Manual",$M19=$A$15),$M19&gt;(ROW(PLE.lastrow)-ROW(PLE.firstrow))),0,
           IF(OFFSET(PLE!$G$15,$M19-$A$15,BC$13)="",10^12,OFFSET(PLE!$G$15,$M19-$A$15,BC$13)))</f>
        <v>1000000000000</v>
      </c>
      <c r="BD19" s="173">
        <f ca="1">IF(OR($D19&lt;&gt;"Serviço",AND(AUTOEVENTO="Manual",$M19=$A$15),$M19&gt;(ROW(PLE.lastrow)-ROW(PLE.firstrow))),0,
           IF(OFFSET(PLE!$G$15,$M19-$A$15,BD$13)="",10^12,OFFSET(PLE!$G$15,$M19-$A$15,BD$13)))</f>
        <v>1000000000000</v>
      </c>
      <c r="BE19" s="173">
        <f ca="1">IF(OR($D19&lt;&gt;"Serviço",AND(AUTOEVENTO="Manual",$M19=$A$15),$M19&gt;(ROW(PLE.lastrow)-ROW(PLE.firstrow))),0,
           IF(OFFSET(PLE!$G$15,$M19-$A$15,BE$13)="",10^12,OFFSET(PLE!$G$15,$M19-$A$15,BE$13)))</f>
        <v>1000000000000</v>
      </c>
      <c r="BF19" s="173">
        <f ca="1">IF(OR($D19&lt;&gt;"Serviço",AND(AUTOEVENTO="Manual",$M19=$A$15),$M19&gt;(ROW(PLE.lastrow)-ROW(PLE.firstrow))),0,
           IF(OFFSET(PLE!$G$15,$M19-$A$15,BF$13)="",10^12,OFFSET(PLE!$G$15,$M19-$A$15,BF$13)))</f>
        <v>1000000000000</v>
      </c>
      <c r="BG19" s="173">
        <f ca="1">IF(OR($D19&lt;&gt;"Serviço",AND(AUTOEVENTO="Manual",$M19=$A$15),$M19&gt;(ROW(PLE.lastrow)-ROW(PLE.firstrow))),0,
           IF(OFFSET(PLE!$G$15,$M19-$A$15,BG$13)="",10^12,OFFSET(PLE!$G$15,$M19-$A$15,BG$13)))</f>
        <v>1000000000000</v>
      </c>
    </row>
    <row r="20" spans="1:59" ht="25.5" x14ac:dyDescent="0.2">
      <c r="A20" s="7" t="str">
        <f t="shared" ca="1" si="8"/>
        <v>2</v>
      </c>
      <c r="B20" s="7" t="str">
        <f ca="1">OFFSET(ORÇAMENTO!C$15,ROW(B20)-ROW(B$15),0)</f>
        <v>S</v>
      </c>
      <c r="C20" s="7" t="str">
        <f ca="1">OFFSET(ORÇAMENTO!L$15,ROW(C20)-ROW(C$15),0)</f>
        <v/>
      </c>
      <c r="D20" s="117" t="str">
        <f ca="1">OFFSET(ORÇAMENTO!N$15,ROW(D20)-ROW(D$15),0)</f>
        <v>Serviço</v>
      </c>
      <c r="E20" s="118" t="str">
        <f ca="1">OFFSET(ORÇAMENTO!O$15,ROW(E20)-ROW(E$15),0)</f>
        <v>-</v>
      </c>
      <c r="F20" s="164" t="str">
        <f ca="1">OFFSET(ORÇAMENTO!R$15,ROW(F20)-ROW(F$15),0)</f>
        <v>TÉCNICO EM SEGURANÇA DO TRABALHO COM ENCARGOS COMPLEMENTARES</v>
      </c>
      <c r="G20" s="165" t="str">
        <f ca="1">IF($D20&lt;&gt;"Serviço","",OFFSET(ORÇAMENTO!S$15,ROW(G20)-ROW(G$15),0))</f>
        <v>H</v>
      </c>
      <c r="H20" s="123">
        <f ca="1">IF($D20&lt;&gt;"Serviço",0,IF(ACOMPANHAMENTO="BM",ROUND(OFFSET(ORÇAMENTO!AJ$15,ROW(H20)-ROW(H$15),0),15-13*ORÇAMENTO!$AF$7),SUMPRODUCT(($Q$1:$AA$1=1)*ROUND($Q20:$AA20,15-13*ORÇAMENTO!$AF$7))))</f>
        <v>246</v>
      </c>
      <c r="I20" s="469"/>
      <c r="J20" s="577" t="str" cm="1">
        <f t="array" aca="1" ref="J20" ca="1">IF(B20&lt;&gt;"S","",IF(AND(ACOMPANHAMENTO="PLE",AUTOEVENTO="Manual",OR(H20&gt;0,ORÇAMENTO!AC20="QUANT."),OR(K20="",M20=0,N20="")),"►",IF(AND(ACOMPANHAMENTO="PLE",ORÇAMENTO!AC20="QUANT."),"►►",IF(AND(COUNTIF($P$11:$AA$11,"▼")=0,H20&gt;0,I20=""),"◄",""))))</f>
        <v>◄</v>
      </c>
      <c r="K20" s="626"/>
      <c r="L20" s="166" t="s">
        <v>765</v>
      </c>
      <c r="M20" s="167">
        <f ca="1">IF($D20&lt;&gt;"Serviço","",
          IF(AUTOEVENTO="manual",$A20,
                IF(ISERROR(MATCH($A20,$A$15:OFFSET($A20,-1,0),0)),MAX($M$15:OFFSET(M20,-1,0))+1,
                      INDEX($M$15:OFFSET(M20,-1,0),MATCH($A20,$A$15:OFFSET($A20,-1,0),0)))))</f>
        <v>1</v>
      </c>
      <c r="N20" s="168" t="str">
        <f ca="1">IF($D20&lt;&gt;"Serviço","",
         IF(AUTOEVENTO="Manual",
                IF($A20=0,"&lt;-- defina o número do agrupador",
                       OFFSET(EVENTOS!$D$15,$A20-$A$15,0)),
                OFFSET($F$15,$A20,0)))</f>
        <v>ADMINISTRAÇÃO DE OBRA</v>
      </c>
      <c r="O20" s="169"/>
      <c r="Q20" s="169"/>
      <c r="R20" s="170"/>
      <c r="S20" s="170"/>
      <c r="T20" s="170"/>
      <c r="U20" s="170"/>
      <c r="V20" s="170"/>
      <c r="W20" s="170"/>
      <c r="X20" s="170"/>
      <c r="Y20" s="170"/>
      <c r="Z20" s="171"/>
      <c r="AB20" s="454">
        <f ca="1">IF(AND($D20="Serviço",AB$12&lt;&gt;0,$H20&gt;0,OR(AUTOEVENTO&lt;&gt;"manual",$M20&lt;&gt;$A$15)),
        IF(Import.TipoArredondamento&lt;&gt;"TransfereGOV",
              ROUND(OFFSET($P20,0,AB$13),15-13*ORÇAMENTO!$AF$7)/$H20*OFFSET(ORÇAMENTO!$X$15,ROW(AB20)-ROW(AB$15),0),
              ROUND(ROUND(OFFSET($P20,0,AB$13),15-13*ORÇAMENTO!$AF$7)*OFFSET(ORÇAMENTO!$W$15,ROW(AB20)-ROW(AB$15),0),15-13*ORÇAMENTO!$AF$11)),
         0)</f>
        <v>0</v>
      </c>
      <c r="AC20" s="454">
        <f ca="1">IF(AND($D20="Serviço",AC$12&lt;&gt;0,$H20&gt;0,OR(AUTOEVENTO&lt;&gt;"manual",$M20&lt;&gt;$A$15)),
        IF(Import.TipoArredondamento&lt;&gt;"TransfereGOV",
              ROUND(OFFSET($P20,0,AC$13),15-13*ORÇAMENTO!$AF$7)/$H20*OFFSET(ORÇAMENTO!$X$15,ROW(AC20)-ROW(AC$15),0),
              ROUND(ROUND(OFFSET($P20,0,AC$13),15-13*ORÇAMENTO!$AF$7)*OFFSET(ORÇAMENTO!$W$15,ROW(AC20)-ROW(AC$15),0),15-13*ORÇAMENTO!$AF$11)),
         0)</f>
        <v>0</v>
      </c>
      <c r="AD20" s="454">
        <f ca="1">IF(AND($D20="Serviço",AD$12&lt;&gt;0,$H20&gt;0,OR(AUTOEVENTO&lt;&gt;"manual",$M20&lt;&gt;$A$15)),
        IF(Import.TipoArredondamento&lt;&gt;"TransfereGOV",
              ROUND(OFFSET($P20,0,AD$13),15-13*ORÇAMENTO!$AF$7)/$H20*OFFSET(ORÇAMENTO!$X$15,ROW(AD20)-ROW(AD$15),0),
              ROUND(ROUND(OFFSET($P20,0,AD$13),15-13*ORÇAMENTO!$AF$7)*OFFSET(ORÇAMENTO!$W$15,ROW(AD20)-ROW(AD$15),0),15-13*ORÇAMENTO!$AF$11)),
         0)</f>
        <v>0</v>
      </c>
      <c r="AE20" s="454">
        <f ca="1">IF(AND($D20="Serviço",AE$12&lt;&gt;0,$H20&gt;0,OR(AUTOEVENTO&lt;&gt;"manual",$M20&lt;&gt;$A$15)),
        IF(Import.TipoArredondamento&lt;&gt;"TransfereGOV",
              ROUND(OFFSET($P20,0,AE$13),15-13*ORÇAMENTO!$AF$7)/$H20*OFFSET(ORÇAMENTO!$X$15,ROW(AE20)-ROW(AE$15),0),
              ROUND(ROUND(OFFSET($P20,0,AE$13),15-13*ORÇAMENTO!$AF$7)*OFFSET(ORÇAMENTO!$W$15,ROW(AE20)-ROW(AE$15),0),15-13*ORÇAMENTO!$AF$11)),
         0)</f>
        <v>0</v>
      </c>
      <c r="AF20" s="454">
        <f ca="1">IF(AND($D20="Serviço",AF$12&lt;&gt;0,$H20&gt;0,OR(AUTOEVENTO&lt;&gt;"manual",$M20&lt;&gt;$A$15)),
        IF(Import.TipoArredondamento&lt;&gt;"TransfereGOV",
              ROUND(OFFSET($P20,0,AF$13),15-13*ORÇAMENTO!$AF$7)/$H20*OFFSET(ORÇAMENTO!$X$15,ROW(AF20)-ROW(AF$15),0),
              ROUND(ROUND(OFFSET($P20,0,AF$13),15-13*ORÇAMENTO!$AF$7)*OFFSET(ORÇAMENTO!$W$15,ROW(AF20)-ROW(AF$15),0),15-13*ORÇAMENTO!$AF$11)),
         0)</f>
        <v>0</v>
      </c>
      <c r="AG20" s="454">
        <f ca="1">IF(AND($D20="Serviço",AG$12&lt;&gt;0,$H20&gt;0,OR(AUTOEVENTO&lt;&gt;"manual",$M20&lt;&gt;$A$15)),
        IF(Import.TipoArredondamento&lt;&gt;"TransfereGOV",
              ROUND(OFFSET($P20,0,AG$13),15-13*ORÇAMENTO!$AF$7)/$H20*OFFSET(ORÇAMENTO!$X$15,ROW(AG20)-ROW(AG$15),0),
              ROUND(ROUND(OFFSET($P20,0,AG$13),15-13*ORÇAMENTO!$AF$7)*OFFSET(ORÇAMENTO!$W$15,ROW(AG20)-ROW(AG$15),0),15-13*ORÇAMENTO!$AF$11)),
         0)</f>
        <v>0</v>
      </c>
      <c r="AH20" s="454">
        <f ca="1">IF(AND($D20="Serviço",AH$12&lt;&gt;0,$H20&gt;0,OR(AUTOEVENTO&lt;&gt;"manual",$M20&lt;&gt;$A$15)),
        IF(Import.TipoArredondamento&lt;&gt;"TransfereGOV",
              ROUND(OFFSET($P20,0,AH$13),15-13*ORÇAMENTO!$AF$7)/$H20*OFFSET(ORÇAMENTO!$X$15,ROW(AH20)-ROW(AH$15),0),
              ROUND(ROUND(OFFSET($P20,0,AH$13),15-13*ORÇAMENTO!$AF$7)*OFFSET(ORÇAMENTO!$W$15,ROW(AH20)-ROW(AH$15),0),15-13*ORÇAMENTO!$AF$11)),
         0)</f>
        <v>0</v>
      </c>
      <c r="AI20" s="454">
        <f ca="1">IF(AND($D20="Serviço",AI$12&lt;&gt;0,$H20&gt;0,OR(AUTOEVENTO&lt;&gt;"manual",$M20&lt;&gt;$A$15)),
        IF(Import.TipoArredondamento&lt;&gt;"TransfereGOV",
              ROUND(OFFSET($P20,0,AI$13),15-13*ORÇAMENTO!$AF$7)/$H20*OFFSET(ORÇAMENTO!$X$15,ROW(AI20)-ROW(AI$15),0),
              ROUND(ROUND(OFFSET($P20,0,AI$13),15-13*ORÇAMENTO!$AF$7)*OFFSET(ORÇAMENTO!$W$15,ROW(AI20)-ROW(AI$15),0),15-13*ORÇAMENTO!$AF$11)),
         0)</f>
        <v>0</v>
      </c>
      <c r="AJ20" s="454">
        <f ca="1">IF(AND($D20="Serviço",AJ$12&lt;&gt;0,$H20&gt;0,OR(AUTOEVENTO&lt;&gt;"manual",$M20&lt;&gt;$A$15)),
        IF(Import.TipoArredondamento&lt;&gt;"TransfereGOV",
              ROUND(OFFSET($P20,0,AJ$13),15-13*ORÇAMENTO!$AF$7)/$H20*OFFSET(ORÇAMENTO!$X$15,ROW(AJ20)-ROW(AJ$15),0),
              ROUND(ROUND(OFFSET($P20,0,AJ$13),15-13*ORÇAMENTO!$AF$7)*OFFSET(ORÇAMENTO!$W$15,ROW(AJ20)-ROW(AJ$15),0),15-13*ORÇAMENTO!$AF$11)),
         0)</f>
        <v>0</v>
      </c>
      <c r="AK20" s="454">
        <f ca="1">IF(AND($D20="Serviço",AK$12&lt;&gt;0,$H20&gt;0,OR(AUTOEVENTO&lt;&gt;"manual",$M20&lt;&gt;$A$15)),
        IF(Import.TipoArredondamento&lt;&gt;"TransfereGOV",
              ROUND(OFFSET($P20,0,AK$13),15-13*ORÇAMENTO!$AF$7)/$H20*OFFSET(ORÇAMENTO!$X$15,ROW(AK20)-ROW(AK$15),0),
              ROUND(ROUND(OFFSET($P20,0,AK$13),15-13*ORÇAMENTO!$AF$7)*OFFSET(ORÇAMENTO!$W$15,ROW(AK20)-ROW(AK$15),0),15-13*ORÇAMENTO!$AF$11)),
         0)</f>
        <v>0</v>
      </c>
      <c r="AM20" s="172">
        <f ca="1">IF(OR($D20&lt;&gt;"Serviço",AND(AUTOEVENTO="Manual",$M20=$A$15)),0,
         IF(OFFSET(CRONOPLE!$F$15,$M20-$A$15,AM$13)="",10^12,OFFSET(CRONOPLE!$F$15,$M20-$A$15,AM$13)))</f>
        <v>1000000000000</v>
      </c>
      <c r="AN20" s="172">
        <f ca="1">IF(OR($D20&lt;&gt;"Serviço",AND(AUTOEVENTO="Manual",$M20=$A$15)),0,
         IF(OFFSET(CRONOPLE!$F$15,$M20-$A$15,AN$13)="",10^12,OFFSET(CRONOPLE!$F$15,$M20-$A$15,AN$13)))</f>
        <v>1000000000000</v>
      </c>
      <c r="AO20" s="172">
        <f ca="1">IF(OR($D20&lt;&gt;"Serviço",AND(AUTOEVENTO="Manual",$M20=$A$15)),0,
         IF(OFFSET(CRONOPLE!$F$15,$M20-$A$15,AO$13)="",10^12,OFFSET(CRONOPLE!$F$15,$M20-$A$15,AO$13)))</f>
        <v>1000000000000</v>
      </c>
      <c r="AP20" s="172">
        <f ca="1">IF(OR($D20&lt;&gt;"Serviço",AND(AUTOEVENTO="Manual",$M20=$A$15)),0,
         IF(OFFSET(CRONOPLE!$F$15,$M20-$A$15,AP$13)="",10^12,OFFSET(CRONOPLE!$F$15,$M20-$A$15,AP$13)))</f>
        <v>1000000000000</v>
      </c>
      <c r="AQ20" s="172">
        <f ca="1">IF(OR($D20&lt;&gt;"Serviço",AND(AUTOEVENTO="Manual",$M20=$A$15)),0,
         IF(OFFSET(CRONOPLE!$F$15,$M20-$A$15,AQ$13)="",10^12,OFFSET(CRONOPLE!$F$15,$M20-$A$15,AQ$13)))</f>
        <v>1000000000000</v>
      </c>
      <c r="AR20" s="172">
        <f ca="1">IF(OR($D20&lt;&gt;"Serviço",AND(AUTOEVENTO="Manual",$M20=$A$15)),0,
         IF(OFFSET(CRONOPLE!$F$15,$M20-$A$15,AR$13)="",10^12,OFFSET(CRONOPLE!$F$15,$M20-$A$15,AR$13)))</f>
        <v>1000000000000</v>
      </c>
      <c r="AS20" s="172">
        <f ca="1">IF(OR($D20&lt;&gt;"Serviço",AND(AUTOEVENTO="Manual",$M20=$A$15)),0,
         IF(OFFSET(CRONOPLE!$F$15,$M20-$A$15,AS$13)="",10^12,OFFSET(CRONOPLE!$F$15,$M20-$A$15,AS$13)))</f>
        <v>1000000000000</v>
      </c>
      <c r="AT20" s="172">
        <f ca="1">IF(OR($D20&lt;&gt;"Serviço",AND(AUTOEVENTO="Manual",$M20=$A$15)),0,
         IF(OFFSET(CRONOPLE!$F$15,$M20-$A$15,AT$13)="",10^12,OFFSET(CRONOPLE!$F$15,$M20-$A$15,AT$13)))</f>
        <v>1000000000000</v>
      </c>
      <c r="AU20" s="172">
        <f ca="1">IF(OR($D20&lt;&gt;"Serviço",AND(AUTOEVENTO="Manual",$M20=$A$15)),0,
         IF(OFFSET(CRONOPLE!$F$15,$M20-$A$15,AU$13)="",10^12,OFFSET(CRONOPLE!$F$15,$M20-$A$15,AU$13)))</f>
        <v>1000000000000</v>
      </c>
      <c r="AV20" s="172">
        <f ca="1">IF(OR($D20&lt;&gt;"Serviço",AND(AUTOEVENTO="Manual",$M20=$A$15)),0,
         IF(OFFSET(CRONOPLE!$F$15,$M20-$A$15,AV$13)="",10^12,OFFSET(CRONOPLE!$F$15,$M20-$A$15,AV$13)))</f>
        <v>1000000000000</v>
      </c>
      <c r="AX20" s="173">
        <f ca="1">IF(OR($D20&lt;&gt;"Serviço",AND(AUTOEVENTO="Manual",$M20=$A$15),$M20&gt;(ROW(PLE.lastrow)-ROW(PLE.firstrow))),0,
           IF(OFFSET(PLE!$G$15,$M20-$A$15,AX$13)="",10^12,OFFSET(PLE!$G$15,$M20-$A$15,AX$13)))</f>
        <v>1000000000000</v>
      </c>
      <c r="AY20" s="173">
        <f ca="1">IF(OR($D20&lt;&gt;"Serviço",AND(AUTOEVENTO="Manual",$M20=$A$15),$M20&gt;(ROW(PLE.lastrow)-ROW(PLE.firstrow))),0,
           IF(OFFSET(PLE!$G$15,$M20-$A$15,AY$13)="",10^12,OFFSET(PLE!$G$15,$M20-$A$15,AY$13)))</f>
        <v>1000000000000</v>
      </c>
      <c r="AZ20" s="173">
        <f ca="1">IF(OR($D20&lt;&gt;"Serviço",AND(AUTOEVENTO="Manual",$M20=$A$15),$M20&gt;(ROW(PLE.lastrow)-ROW(PLE.firstrow))),0,
           IF(OFFSET(PLE!$G$15,$M20-$A$15,AZ$13)="",10^12,OFFSET(PLE!$G$15,$M20-$A$15,AZ$13)))</f>
        <v>1000000000000</v>
      </c>
      <c r="BA20" s="173">
        <f ca="1">IF(OR($D20&lt;&gt;"Serviço",AND(AUTOEVENTO="Manual",$M20=$A$15),$M20&gt;(ROW(PLE.lastrow)-ROW(PLE.firstrow))),0,
           IF(OFFSET(PLE!$G$15,$M20-$A$15,BA$13)="",10^12,OFFSET(PLE!$G$15,$M20-$A$15,BA$13)))</f>
        <v>1000000000000</v>
      </c>
      <c r="BB20" s="173">
        <f ca="1">IF(OR($D20&lt;&gt;"Serviço",AND(AUTOEVENTO="Manual",$M20=$A$15),$M20&gt;(ROW(PLE.lastrow)-ROW(PLE.firstrow))),0,
           IF(OFFSET(PLE!$G$15,$M20-$A$15,BB$13)="",10^12,OFFSET(PLE!$G$15,$M20-$A$15,BB$13)))</f>
        <v>1000000000000</v>
      </c>
      <c r="BC20" s="173">
        <f ca="1">IF(OR($D20&lt;&gt;"Serviço",AND(AUTOEVENTO="Manual",$M20=$A$15),$M20&gt;(ROW(PLE.lastrow)-ROW(PLE.firstrow))),0,
           IF(OFFSET(PLE!$G$15,$M20-$A$15,BC$13)="",10^12,OFFSET(PLE!$G$15,$M20-$A$15,BC$13)))</f>
        <v>1000000000000</v>
      </c>
      <c r="BD20" s="173">
        <f ca="1">IF(OR($D20&lt;&gt;"Serviço",AND(AUTOEVENTO="Manual",$M20=$A$15),$M20&gt;(ROW(PLE.lastrow)-ROW(PLE.firstrow))),0,
           IF(OFFSET(PLE!$G$15,$M20-$A$15,BD$13)="",10^12,OFFSET(PLE!$G$15,$M20-$A$15,BD$13)))</f>
        <v>1000000000000</v>
      </c>
      <c r="BE20" s="173">
        <f ca="1">IF(OR($D20&lt;&gt;"Serviço",AND(AUTOEVENTO="Manual",$M20=$A$15),$M20&gt;(ROW(PLE.lastrow)-ROW(PLE.firstrow))),0,
           IF(OFFSET(PLE!$G$15,$M20-$A$15,BE$13)="",10^12,OFFSET(PLE!$G$15,$M20-$A$15,BE$13)))</f>
        <v>1000000000000</v>
      </c>
      <c r="BF20" s="173">
        <f ca="1">IF(OR($D20&lt;&gt;"Serviço",AND(AUTOEVENTO="Manual",$M20=$A$15),$M20&gt;(ROW(PLE.lastrow)-ROW(PLE.firstrow))),0,
           IF(OFFSET(PLE!$G$15,$M20-$A$15,BF$13)="",10^12,OFFSET(PLE!$G$15,$M20-$A$15,BF$13)))</f>
        <v>1000000000000</v>
      </c>
      <c r="BG20" s="173">
        <f ca="1">IF(OR($D20&lt;&gt;"Serviço",AND(AUTOEVENTO="Manual",$M20=$A$15),$M20&gt;(ROW(PLE.lastrow)-ROW(PLE.firstrow))),0,
           IF(OFFSET(PLE!$G$15,$M20-$A$15,BG$13)="",10^12,OFFSET(PLE!$G$15,$M20-$A$15,BG$13)))</f>
        <v>1000000000000</v>
      </c>
    </row>
    <row r="21" spans="1:59" ht="12.75" x14ac:dyDescent="0.2">
      <c r="A21" s="7" t="str">
        <f t="shared" ca="1" si="8"/>
        <v>6.</v>
      </c>
      <c r="B21" s="7">
        <f ca="1">OFFSET(ORÇAMENTO!C$15,ROW(B21)-ROW(B$15),0)</f>
        <v>2</v>
      </c>
      <c r="C21" s="7" t="str">
        <f ca="1">OFFSET(ORÇAMENTO!L$15,ROW(C21)-ROW(C$15),0)</f>
        <v>F</v>
      </c>
      <c r="D21" s="117" t="str">
        <f ca="1">OFFSET(ORÇAMENTO!N$15,ROW(D21)-ROW(D$15),0)</f>
        <v>Nível 2</v>
      </c>
      <c r="E21" s="118" t="str">
        <f ca="1">OFFSET(ORÇAMENTO!O$15,ROW(E21)-ROW(E$15),0)</f>
        <v>1.2.</v>
      </c>
      <c r="F21" s="164" t="str">
        <f ca="1">OFFSET(ORÇAMENTO!R$15,ROW(F21)-ROW(F$15),0)</f>
        <v>SERVIÇOS PRELIMINARES</v>
      </c>
      <c r="G21" s="165" t="str">
        <f ca="1">IF($D21&lt;&gt;"Serviço","",OFFSET(ORÇAMENTO!S$15,ROW(G21)-ROW(G$15),0))</f>
        <v/>
      </c>
      <c r="H21" s="123">
        <f ca="1">IF($D21&lt;&gt;"Serviço",0,IF(ACOMPANHAMENTO="BM",ROUND(OFFSET(ORÇAMENTO!AJ$15,ROW(H21)-ROW(H$15),0),15-13*ORÇAMENTO!$AF$7),SUMPRODUCT(($Q$1:$AA$1=1)*ROUND($Q21:$AA21,15-13*ORÇAMENTO!$AF$7))))</f>
        <v>0</v>
      </c>
      <c r="I21" s="469"/>
      <c r="J21" s="577" t="str" cm="1">
        <f t="array" aca="1" ref="J21" ca="1">IF(B21&lt;&gt;"S","",IF(AND(ACOMPANHAMENTO="PLE",AUTOEVENTO="Manual",OR(H21&gt;0,ORÇAMENTO!AC21="QUANT."),OR(K21="",M21=0,N21="")),"►",IF(AND(ACOMPANHAMENTO="PLE",ORÇAMENTO!AC21="QUANT."),"►►",IF(AND(COUNTIF($P$11:$AA$11,"▼")=0,H21&gt;0,I21=""),"◄",""))))</f>
        <v/>
      </c>
      <c r="K21" s="626"/>
      <c r="L21" s="166" t="s">
        <v>765</v>
      </c>
      <c r="M21" s="167" t="str">
        <f ca="1">IF($D21&lt;&gt;"Serviço","",
          IF(AUTOEVENTO="manual",$A21,
                IF(ISERROR(MATCH($A21,$A$15:OFFSET($A21,-1,0),0)),MAX($M$15:OFFSET(M21,-1,0))+1,
                      INDEX($M$15:OFFSET(M21,-1,0),MATCH($A21,$A$15:OFFSET($A21,-1,0),0)))))</f>
        <v/>
      </c>
      <c r="N21" s="168" t="str">
        <f ca="1">IF($D21&lt;&gt;"Serviço","",
         IF(AUTOEVENTO="Manual",
                IF($A21=0,"&lt;-- defina o número do agrupador",
                       OFFSET(EVENTOS!$D$15,$A21-$A$15,0)),
                OFFSET($F$15,$A21,0)))</f>
        <v/>
      </c>
      <c r="O21" s="169"/>
      <c r="Q21" s="169"/>
      <c r="R21" s="170"/>
      <c r="S21" s="170"/>
      <c r="T21" s="170"/>
      <c r="U21" s="170"/>
      <c r="V21" s="170"/>
      <c r="W21" s="170"/>
      <c r="X21" s="170"/>
      <c r="Y21" s="170"/>
      <c r="Z21" s="171"/>
      <c r="AB21" s="454">
        <f ca="1">IF(AND($D21="Serviço",AB$12&lt;&gt;0,$H21&gt;0,OR(AUTOEVENTO&lt;&gt;"manual",$M21&lt;&gt;$A$15)),
        IF(Import.TipoArredondamento&lt;&gt;"TransfereGOV",
              ROUND(OFFSET($P21,0,AB$13),15-13*ORÇAMENTO!$AF$7)/$H21*OFFSET(ORÇAMENTO!$X$15,ROW(AB21)-ROW(AB$15),0),
              ROUND(ROUND(OFFSET($P21,0,AB$13),15-13*ORÇAMENTO!$AF$7)*OFFSET(ORÇAMENTO!$W$15,ROW(AB21)-ROW(AB$15),0),15-13*ORÇAMENTO!$AF$11)),
         0)</f>
        <v>0</v>
      </c>
      <c r="AC21" s="454">
        <f ca="1">IF(AND($D21="Serviço",AC$12&lt;&gt;0,$H21&gt;0,OR(AUTOEVENTO&lt;&gt;"manual",$M21&lt;&gt;$A$15)),
        IF(Import.TipoArredondamento&lt;&gt;"TransfereGOV",
              ROUND(OFFSET($P21,0,AC$13),15-13*ORÇAMENTO!$AF$7)/$H21*OFFSET(ORÇAMENTO!$X$15,ROW(AC21)-ROW(AC$15),0),
              ROUND(ROUND(OFFSET($P21,0,AC$13),15-13*ORÇAMENTO!$AF$7)*OFFSET(ORÇAMENTO!$W$15,ROW(AC21)-ROW(AC$15),0),15-13*ORÇAMENTO!$AF$11)),
         0)</f>
        <v>0</v>
      </c>
      <c r="AD21" s="454">
        <f ca="1">IF(AND($D21="Serviço",AD$12&lt;&gt;0,$H21&gt;0,OR(AUTOEVENTO&lt;&gt;"manual",$M21&lt;&gt;$A$15)),
        IF(Import.TipoArredondamento&lt;&gt;"TransfereGOV",
              ROUND(OFFSET($P21,0,AD$13),15-13*ORÇAMENTO!$AF$7)/$H21*OFFSET(ORÇAMENTO!$X$15,ROW(AD21)-ROW(AD$15),0),
              ROUND(ROUND(OFFSET($P21,0,AD$13),15-13*ORÇAMENTO!$AF$7)*OFFSET(ORÇAMENTO!$W$15,ROW(AD21)-ROW(AD$15),0),15-13*ORÇAMENTO!$AF$11)),
         0)</f>
        <v>0</v>
      </c>
      <c r="AE21" s="454">
        <f ca="1">IF(AND($D21="Serviço",AE$12&lt;&gt;0,$H21&gt;0,OR(AUTOEVENTO&lt;&gt;"manual",$M21&lt;&gt;$A$15)),
        IF(Import.TipoArredondamento&lt;&gt;"TransfereGOV",
              ROUND(OFFSET($P21,0,AE$13),15-13*ORÇAMENTO!$AF$7)/$H21*OFFSET(ORÇAMENTO!$X$15,ROW(AE21)-ROW(AE$15),0),
              ROUND(ROUND(OFFSET($P21,0,AE$13),15-13*ORÇAMENTO!$AF$7)*OFFSET(ORÇAMENTO!$W$15,ROW(AE21)-ROW(AE$15),0),15-13*ORÇAMENTO!$AF$11)),
         0)</f>
        <v>0</v>
      </c>
      <c r="AF21" s="454">
        <f ca="1">IF(AND($D21="Serviço",AF$12&lt;&gt;0,$H21&gt;0,OR(AUTOEVENTO&lt;&gt;"manual",$M21&lt;&gt;$A$15)),
        IF(Import.TipoArredondamento&lt;&gt;"TransfereGOV",
              ROUND(OFFSET($P21,0,AF$13),15-13*ORÇAMENTO!$AF$7)/$H21*OFFSET(ORÇAMENTO!$X$15,ROW(AF21)-ROW(AF$15),0),
              ROUND(ROUND(OFFSET($P21,0,AF$13),15-13*ORÇAMENTO!$AF$7)*OFFSET(ORÇAMENTO!$W$15,ROW(AF21)-ROW(AF$15),0),15-13*ORÇAMENTO!$AF$11)),
         0)</f>
        <v>0</v>
      </c>
      <c r="AG21" s="454">
        <f ca="1">IF(AND($D21="Serviço",AG$12&lt;&gt;0,$H21&gt;0,OR(AUTOEVENTO&lt;&gt;"manual",$M21&lt;&gt;$A$15)),
        IF(Import.TipoArredondamento&lt;&gt;"TransfereGOV",
              ROUND(OFFSET($P21,0,AG$13),15-13*ORÇAMENTO!$AF$7)/$H21*OFFSET(ORÇAMENTO!$X$15,ROW(AG21)-ROW(AG$15),0),
              ROUND(ROUND(OFFSET($P21,0,AG$13),15-13*ORÇAMENTO!$AF$7)*OFFSET(ORÇAMENTO!$W$15,ROW(AG21)-ROW(AG$15),0),15-13*ORÇAMENTO!$AF$11)),
         0)</f>
        <v>0</v>
      </c>
      <c r="AH21" s="454">
        <f ca="1">IF(AND($D21="Serviço",AH$12&lt;&gt;0,$H21&gt;0,OR(AUTOEVENTO&lt;&gt;"manual",$M21&lt;&gt;$A$15)),
        IF(Import.TipoArredondamento&lt;&gt;"TransfereGOV",
              ROUND(OFFSET($P21,0,AH$13),15-13*ORÇAMENTO!$AF$7)/$H21*OFFSET(ORÇAMENTO!$X$15,ROW(AH21)-ROW(AH$15),0),
              ROUND(ROUND(OFFSET($P21,0,AH$13),15-13*ORÇAMENTO!$AF$7)*OFFSET(ORÇAMENTO!$W$15,ROW(AH21)-ROW(AH$15),0),15-13*ORÇAMENTO!$AF$11)),
         0)</f>
        <v>0</v>
      </c>
      <c r="AI21" s="454">
        <f ca="1">IF(AND($D21="Serviço",AI$12&lt;&gt;0,$H21&gt;0,OR(AUTOEVENTO&lt;&gt;"manual",$M21&lt;&gt;$A$15)),
        IF(Import.TipoArredondamento&lt;&gt;"TransfereGOV",
              ROUND(OFFSET($P21,0,AI$13),15-13*ORÇAMENTO!$AF$7)/$H21*OFFSET(ORÇAMENTO!$X$15,ROW(AI21)-ROW(AI$15),0),
              ROUND(ROUND(OFFSET($P21,0,AI$13),15-13*ORÇAMENTO!$AF$7)*OFFSET(ORÇAMENTO!$W$15,ROW(AI21)-ROW(AI$15),0),15-13*ORÇAMENTO!$AF$11)),
         0)</f>
        <v>0</v>
      </c>
      <c r="AJ21" s="454">
        <f ca="1">IF(AND($D21="Serviço",AJ$12&lt;&gt;0,$H21&gt;0,OR(AUTOEVENTO&lt;&gt;"manual",$M21&lt;&gt;$A$15)),
        IF(Import.TipoArredondamento&lt;&gt;"TransfereGOV",
              ROUND(OFFSET($P21,0,AJ$13),15-13*ORÇAMENTO!$AF$7)/$H21*OFFSET(ORÇAMENTO!$X$15,ROW(AJ21)-ROW(AJ$15),0),
              ROUND(ROUND(OFFSET($P21,0,AJ$13),15-13*ORÇAMENTO!$AF$7)*OFFSET(ORÇAMENTO!$W$15,ROW(AJ21)-ROW(AJ$15),0),15-13*ORÇAMENTO!$AF$11)),
         0)</f>
        <v>0</v>
      </c>
      <c r="AK21" s="454">
        <f ca="1">IF(AND($D21="Serviço",AK$12&lt;&gt;0,$H21&gt;0,OR(AUTOEVENTO&lt;&gt;"manual",$M21&lt;&gt;$A$15)),
        IF(Import.TipoArredondamento&lt;&gt;"TransfereGOV",
              ROUND(OFFSET($P21,0,AK$13),15-13*ORÇAMENTO!$AF$7)/$H21*OFFSET(ORÇAMENTO!$X$15,ROW(AK21)-ROW(AK$15),0),
              ROUND(ROUND(OFFSET($P21,0,AK$13),15-13*ORÇAMENTO!$AF$7)*OFFSET(ORÇAMENTO!$W$15,ROW(AK21)-ROW(AK$15),0),15-13*ORÇAMENTO!$AF$11)),
         0)</f>
        <v>0</v>
      </c>
      <c r="AM21" s="172">
        <f ca="1">IF(OR($D21&lt;&gt;"Serviço",AND(AUTOEVENTO="Manual",$M21=$A$15)),0,
         IF(OFFSET(CRONOPLE!$F$15,$M21-$A$15,AM$13)="",10^12,OFFSET(CRONOPLE!$F$15,$M21-$A$15,AM$13)))</f>
        <v>0</v>
      </c>
      <c r="AN21" s="172">
        <f ca="1">IF(OR($D21&lt;&gt;"Serviço",AND(AUTOEVENTO="Manual",$M21=$A$15)),0,
         IF(OFFSET(CRONOPLE!$F$15,$M21-$A$15,AN$13)="",10^12,OFFSET(CRONOPLE!$F$15,$M21-$A$15,AN$13)))</f>
        <v>0</v>
      </c>
      <c r="AO21" s="172">
        <f ca="1">IF(OR($D21&lt;&gt;"Serviço",AND(AUTOEVENTO="Manual",$M21=$A$15)),0,
         IF(OFFSET(CRONOPLE!$F$15,$M21-$A$15,AO$13)="",10^12,OFFSET(CRONOPLE!$F$15,$M21-$A$15,AO$13)))</f>
        <v>0</v>
      </c>
      <c r="AP21" s="172">
        <f ca="1">IF(OR($D21&lt;&gt;"Serviço",AND(AUTOEVENTO="Manual",$M21=$A$15)),0,
         IF(OFFSET(CRONOPLE!$F$15,$M21-$A$15,AP$13)="",10^12,OFFSET(CRONOPLE!$F$15,$M21-$A$15,AP$13)))</f>
        <v>0</v>
      </c>
      <c r="AQ21" s="172">
        <f ca="1">IF(OR($D21&lt;&gt;"Serviço",AND(AUTOEVENTO="Manual",$M21=$A$15)),0,
         IF(OFFSET(CRONOPLE!$F$15,$M21-$A$15,AQ$13)="",10^12,OFFSET(CRONOPLE!$F$15,$M21-$A$15,AQ$13)))</f>
        <v>0</v>
      </c>
      <c r="AR21" s="172">
        <f ca="1">IF(OR($D21&lt;&gt;"Serviço",AND(AUTOEVENTO="Manual",$M21=$A$15)),0,
         IF(OFFSET(CRONOPLE!$F$15,$M21-$A$15,AR$13)="",10^12,OFFSET(CRONOPLE!$F$15,$M21-$A$15,AR$13)))</f>
        <v>0</v>
      </c>
      <c r="AS21" s="172">
        <f ca="1">IF(OR($D21&lt;&gt;"Serviço",AND(AUTOEVENTO="Manual",$M21=$A$15)),0,
         IF(OFFSET(CRONOPLE!$F$15,$M21-$A$15,AS$13)="",10^12,OFFSET(CRONOPLE!$F$15,$M21-$A$15,AS$13)))</f>
        <v>0</v>
      </c>
      <c r="AT21" s="172">
        <f ca="1">IF(OR($D21&lt;&gt;"Serviço",AND(AUTOEVENTO="Manual",$M21=$A$15)),0,
         IF(OFFSET(CRONOPLE!$F$15,$M21-$A$15,AT$13)="",10^12,OFFSET(CRONOPLE!$F$15,$M21-$A$15,AT$13)))</f>
        <v>0</v>
      </c>
      <c r="AU21" s="172">
        <f ca="1">IF(OR($D21&lt;&gt;"Serviço",AND(AUTOEVENTO="Manual",$M21=$A$15)),0,
         IF(OFFSET(CRONOPLE!$F$15,$M21-$A$15,AU$13)="",10^12,OFFSET(CRONOPLE!$F$15,$M21-$A$15,AU$13)))</f>
        <v>0</v>
      </c>
      <c r="AV21" s="172">
        <f ca="1">IF(OR($D21&lt;&gt;"Serviço",AND(AUTOEVENTO="Manual",$M21=$A$15)),0,
         IF(OFFSET(CRONOPLE!$F$15,$M21-$A$15,AV$13)="",10^12,OFFSET(CRONOPLE!$F$15,$M21-$A$15,AV$13)))</f>
        <v>0</v>
      </c>
      <c r="AX21" s="173">
        <f ca="1">IF(OR($D21&lt;&gt;"Serviço",AND(AUTOEVENTO="Manual",$M21=$A$15),$M21&gt;(ROW(PLE.lastrow)-ROW(PLE.firstrow))),0,
           IF(OFFSET(PLE!$G$15,$M21-$A$15,AX$13)="",10^12,OFFSET(PLE!$G$15,$M21-$A$15,AX$13)))</f>
        <v>0</v>
      </c>
      <c r="AY21" s="173">
        <f ca="1">IF(OR($D21&lt;&gt;"Serviço",AND(AUTOEVENTO="Manual",$M21=$A$15),$M21&gt;(ROW(PLE.lastrow)-ROW(PLE.firstrow))),0,
           IF(OFFSET(PLE!$G$15,$M21-$A$15,AY$13)="",10^12,OFFSET(PLE!$G$15,$M21-$A$15,AY$13)))</f>
        <v>0</v>
      </c>
      <c r="AZ21" s="173">
        <f ca="1">IF(OR($D21&lt;&gt;"Serviço",AND(AUTOEVENTO="Manual",$M21=$A$15),$M21&gt;(ROW(PLE.lastrow)-ROW(PLE.firstrow))),0,
           IF(OFFSET(PLE!$G$15,$M21-$A$15,AZ$13)="",10^12,OFFSET(PLE!$G$15,$M21-$A$15,AZ$13)))</f>
        <v>0</v>
      </c>
      <c r="BA21" s="173">
        <f ca="1">IF(OR($D21&lt;&gt;"Serviço",AND(AUTOEVENTO="Manual",$M21=$A$15),$M21&gt;(ROW(PLE.lastrow)-ROW(PLE.firstrow))),0,
           IF(OFFSET(PLE!$G$15,$M21-$A$15,BA$13)="",10^12,OFFSET(PLE!$G$15,$M21-$A$15,BA$13)))</f>
        <v>0</v>
      </c>
      <c r="BB21" s="173">
        <f ca="1">IF(OR($D21&lt;&gt;"Serviço",AND(AUTOEVENTO="Manual",$M21=$A$15),$M21&gt;(ROW(PLE.lastrow)-ROW(PLE.firstrow))),0,
           IF(OFFSET(PLE!$G$15,$M21-$A$15,BB$13)="",10^12,OFFSET(PLE!$G$15,$M21-$A$15,BB$13)))</f>
        <v>0</v>
      </c>
      <c r="BC21" s="173">
        <f ca="1">IF(OR($D21&lt;&gt;"Serviço",AND(AUTOEVENTO="Manual",$M21=$A$15),$M21&gt;(ROW(PLE.lastrow)-ROW(PLE.firstrow))),0,
           IF(OFFSET(PLE!$G$15,$M21-$A$15,BC$13)="",10^12,OFFSET(PLE!$G$15,$M21-$A$15,BC$13)))</f>
        <v>0</v>
      </c>
      <c r="BD21" s="173">
        <f ca="1">IF(OR($D21&lt;&gt;"Serviço",AND(AUTOEVENTO="Manual",$M21=$A$15),$M21&gt;(ROW(PLE.lastrow)-ROW(PLE.firstrow))),0,
           IF(OFFSET(PLE!$G$15,$M21-$A$15,BD$13)="",10^12,OFFSET(PLE!$G$15,$M21-$A$15,BD$13)))</f>
        <v>0</v>
      </c>
      <c r="BE21" s="173">
        <f ca="1">IF(OR($D21&lt;&gt;"Serviço",AND(AUTOEVENTO="Manual",$M21=$A$15),$M21&gt;(ROW(PLE.lastrow)-ROW(PLE.firstrow))),0,
           IF(OFFSET(PLE!$G$15,$M21-$A$15,BE$13)="",10^12,OFFSET(PLE!$G$15,$M21-$A$15,BE$13)))</f>
        <v>0</v>
      </c>
      <c r="BF21" s="173">
        <f ca="1">IF(OR($D21&lt;&gt;"Serviço",AND(AUTOEVENTO="Manual",$M21=$A$15),$M21&gt;(ROW(PLE.lastrow)-ROW(PLE.firstrow))),0,
           IF(OFFSET(PLE!$G$15,$M21-$A$15,BF$13)="",10^12,OFFSET(PLE!$G$15,$M21-$A$15,BF$13)))</f>
        <v>0</v>
      </c>
      <c r="BG21" s="173">
        <f ca="1">IF(OR($D21&lt;&gt;"Serviço",AND(AUTOEVENTO="Manual",$M21=$A$15),$M21&gt;(ROW(PLE.lastrow)-ROW(PLE.firstrow))),0,
           IF(OFFSET(PLE!$G$15,$M21-$A$15,BG$13)="",10^12,OFFSET(PLE!$G$15,$M21-$A$15,BG$13)))</f>
        <v>0</v>
      </c>
    </row>
    <row r="22" spans="1:59" ht="25.5" x14ac:dyDescent="0.2">
      <c r="A22" s="7" t="str">
        <f t="shared" ca="1" si="8"/>
        <v>6</v>
      </c>
      <c r="B22" s="7" t="str">
        <f ca="1">OFFSET(ORÇAMENTO!C$15,ROW(B22)-ROW(B$15),0)</f>
        <v>S</v>
      </c>
      <c r="C22" s="7" t="str">
        <f ca="1">OFFSET(ORÇAMENTO!L$15,ROW(C22)-ROW(C$15),0)</f>
        <v/>
      </c>
      <c r="D22" s="117" t="str">
        <f ca="1">OFFSET(ORÇAMENTO!N$15,ROW(D22)-ROW(D$15),0)</f>
        <v>Serviço</v>
      </c>
      <c r="E22" s="118" t="str">
        <f ca="1">OFFSET(ORÇAMENTO!O$15,ROW(E22)-ROW(E$15),0)</f>
        <v>-</v>
      </c>
      <c r="F22" s="164" t="str">
        <f ca="1">OFFSET(ORÇAMENTO!R$15,ROW(F22)-ROW(F$15),0)</f>
        <v>FORNECIMENTO E INSTALAÇÃO DE PLACA DE OBRA COM CHAPA GALVANIZADA E ESTRUTURA DE MADEIRA. AF_03/2022_PS</v>
      </c>
      <c r="G22" s="165" t="str">
        <f ca="1">IF($D22&lt;&gt;"Serviço","",OFFSET(ORÇAMENTO!S$15,ROW(G22)-ROW(G$15),0))</f>
        <v>M2</v>
      </c>
      <c r="H22" s="123">
        <f ca="1">IF($D22&lt;&gt;"Serviço",0,IF(ACOMPANHAMENTO="BM",ROUND(OFFSET(ORÇAMENTO!AJ$15,ROW(H22)-ROW(H$15),0),15-13*ORÇAMENTO!$AF$7),SUMPRODUCT(($Q$1:$AA$1=1)*ROUND($Q22:$AA22,15-13*ORÇAMENTO!$AF$7))))</f>
        <v>4.5</v>
      </c>
      <c r="I22" s="469"/>
      <c r="J22" s="577" t="str" cm="1">
        <f t="array" aca="1" ref="J22" ca="1">IF(B22&lt;&gt;"S","",IF(AND(ACOMPANHAMENTO="PLE",AUTOEVENTO="Manual",OR(H22&gt;0,ORÇAMENTO!AC22="QUANT."),OR(K22="",M22=0,N22="")),"►",IF(AND(ACOMPANHAMENTO="PLE",ORÇAMENTO!AC22="QUANT."),"►►",IF(AND(COUNTIF($P$11:$AA$11,"▼")=0,H22&gt;0,I22=""),"◄",""))))</f>
        <v>◄</v>
      </c>
      <c r="K22" s="626"/>
      <c r="L22" s="166" t="s">
        <v>765</v>
      </c>
      <c r="M22" s="167">
        <f ca="1">IF($D22&lt;&gt;"Serviço","",
          IF(AUTOEVENTO="manual",$A22,
                IF(ISERROR(MATCH($A22,$A$15:OFFSET($A22,-1,0),0)),MAX($M$15:OFFSET(M22,-1,0))+1,
                      INDEX($M$15:OFFSET(M22,-1,0),MATCH($A22,$A$15:OFFSET($A22,-1,0),0)))))</f>
        <v>2</v>
      </c>
      <c r="N22" s="168" t="str">
        <f ca="1">IF($D22&lt;&gt;"Serviço","",
         IF(AUTOEVENTO="Manual",
                IF($A22=0,"&lt;-- defina o número do agrupador",
                       OFFSET(EVENTOS!$D$15,$A22-$A$15,0)),
                OFFSET($F$15,$A22,0)))</f>
        <v>SERVIÇOS PRELIMINARES</v>
      </c>
      <c r="O22" s="169"/>
      <c r="Q22" s="169"/>
      <c r="R22" s="170"/>
      <c r="S22" s="170"/>
      <c r="T22" s="170"/>
      <c r="U22" s="170"/>
      <c r="V22" s="170"/>
      <c r="W22" s="170"/>
      <c r="X22" s="170"/>
      <c r="Y22" s="170"/>
      <c r="Z22" s="171"/>
      <c r="AB22" s="454">
        <f ca="1">IF(AND($D22="Serviço",AB$12&lt;&gt;0,$H22&gt;0,OR(AUTOEVENTO&lt;&gt;"manual",$M22&lt;&gt;$A$15)),
        IF(Import.TipoArredondamento&lt;&gt;"TransfereGOV",
              ROUND(OFFSET($P22,0,AB$13),15-13*ORÇAMENTO!$AF$7)/$H22*OFFSET(ORÇAMENTO!$X$15,ROW(AB22)-ROW(AB$15),0),
              ROUND(ROUND(OFFSET($P22,0,AB$13),15-13*ORÇAMENTO!$AF$7)*OFFSET(ORÇAMENTO!$W$15,ROW(AB22)-ROW(AB$15),0),15-13*ORÇAMENTO!$AF$11)),
         0)</f>
        <v>0</v>
      </c>
      <c r="AC22" s="454">
        <f ca="1">IF(AND($D22="Serviço",AC$12&lt;&gt;0,$H22&gt;0,OR(AUTOEVENTO&lt;&gt;"manual",$M22&lt;&gt;$A$15)),
        IF(Import.TipoArredondamento&lt;&gt;"TransfereGOV",
              ROUND(OFFSET($P22,0,AC$13),15-13*ORÇAMENTO!$AF$7)/$H22*OFFSET(ORÇAMENTO!$X$15,ROW(AC22)-ROW(AC$15),0),
              ROUND(ROUND(OFFSET($P22,0,AC$13),15-13*ORÇAMENTO!$AF$7)*OFFSET(ORÇAMENTO!$W$15,ROW(AC22)-ROW(AC$15),0),15-13*ORÇAMENTO!$AF$11)),
         0)</f>
        <v>0</v>
      </c>
      <c r="AD22" s="454">
        <f ca="1">IF(AND($D22="Serviço",AD$12&lt;&gt;0,$H22&gt;0,OR(AUTOEVENTO&lt;&gt;"manual",$M22&lt;&gt;$A$15)),
        IF(Import.TipoArredondamento&lt;&gt;"TransfereGOV",
              ROUND(OFFSET($P22,0,AD$13),15-13*ORÇAMENTO!$AF$7)/$H22*OFFSET(ORÇAMENTO!$X$15,ROW(AD22)-ROW(AD$15),0),
              ROUND(ROUND(OFFSET($P22,0,AD$13),15-13*ORÇAMENTO!$AF$7)*OFFSET(ORÇAMENTO!$W$15,ROW(AD22)-ROW(AD$15),0),15-13*ORÇAMENTO!$AF$11)),
         0)</f>
        <v>0</v>
      </c>
      <c r="AE22" s="454">
        <f ca="1">IF(AND($D22="Serviço",AE$12&lt;&gt;0,$H22&gt;0,OR(AUTOEVENTO&lt;&gt;"manual",$M22&lt;&gt;$A$15)),
        IF(Import.TipoArredondamento&lt;&gt;"TransfereGOV",
              ROUND(OFFSET($P22,0,AE$13),15-13*ORÇAMENTO!$AF$7)/$H22*OFFSET(ORÇAMENTO!$X$15,ROW(AE22)-ROW(AE$15),0),
              ROUND(ROUND(OFFSET($P22,0,AE$13),15-13*ORÇAMENTO!$AF$7)*OFFSET(ORÇAMENTO!$W$15,ROW(AE22)-ROW(AE$15),0),15-13*ORÇAMENTO!$AF$11)),
         0)</f>
        <v>0</v>
      </c>
      <c r="AF22" s="454">
        <f ca="1">IF(AND($D22="Serviço",AF$12&lt;&gt;0,$H22&gt;0,OR(AUTOEVENTO&lt;&gt;"manual",$M22&lt;&gt;$A$15)),
        IF(Import.TipoArredondamento&lt;&gt;"TransfereGOV",
              ROUND(OFFSET($P22,0,AF$13),15-13*ORÇAMENTO!$AF$7)/$H22*OFFSET(ORÇAMENTO!$X$15,ROW(AF22)-ROW(AF$15),0),
              ROUND(ROUND(OFFSET($P22,0,AF$13),15-13*ORÇAMENTO!$AF$7)*OFFSET(ORÇAMENTO!$W$15,ROW(AF22)-ROW(AF$15),0),15-13*ORÇAMENTO!$AF$11)),
         0)</f>
        <v>0</v>
      </c>
      <c r="AG22" s="454">
        <f ca="1">IF(AND($D22="Serviço",AG$12&lt;&gt;0,$H22&gt;0,OR(AUTOEVENTO&lt;&gt;"manual",$M22&lt;&gt;$A$15)),
        IF(Import.TipoArredondamento&lt;&gt;"TransfereGOV",
              ROUND(OFFSET($P22,0,AG$13),15-13*ORÇAMENTO!$AF$7)/$H22*OFFSET(ORÇAMENTO!$X$15,ROW(AG22)-ROW(AG$15),0),
              ROUND(ROUND(OFFSET($P22,0,AG$13),15-13*ORÇAMENTO!$AF$7)*OFFSET(ORÇAMENTO!$W$15,ROW(AG22)-ROW(AG$15),0),15-13*ORÇAMENTO!$AF$11)),
         0)</f>
        <v>0</v>
      </c>
      <c r="AH22" s="454">
        <f ca="1">IF(AND($D22="Serviço",AH$12&lt;&gt;0,$H22&gt;0,OR(AUTOEVENTO&lt;&gt;"manual",$M22&lt;&gt;$A$15)),
        IF(Import.TipoArredondamento&lt;&gt;"TransfereGOV",
              ROUND(OFFSET($P22,0,AH$13),15-13*ORÇAMENTO!$AF$7)/$H22*OFFSET(ORÇAMENTO!$X$15,ROW(AH22)-ROW(AH$15),0),
              ROUND(ROUND(OFFSET($P22,0,AH$13),15-13*ORÇAMENTO!$AF$7)*OFFSET(ORÇAMENTO!$W$15,ROW(AH22)-ROW(AH$15),0),15-13*ORÇAMENTO!$AF$11)),
         0)</f>
        <v>0</v>
      </c>
      <c r="AI22" s="454">
        <f ca="1">IF(AND($D22="Serviço",AI$12&lt;&gt;0,$H22&gt;0,OR(AUTOEVENTO&lt;&gt;"manual",$M22&lt;&gt;$A$15)),
        IF(Import.TipoArredondamento&lt;&gt;"TransfereGOV",
              ROUND(OFFSET($P22,0,AI$13),15-13*ORÇAMENTO!$AF$7)/$H22*OFFSET(ORÇAMENTO!$X$15,ROW(AI22)-ROW(AI$15),0),
              ROUND(ROUND(OFFSET($P22,0,AI$13),15-13*ORÇAMENTO!$AF$7)*OFFSET(ORÇAMENTO!$W$15,ROW(AI22)-ROW(AI$15),0),15-13*ORÇAMENTO!$AF$11)),
         0)</f>
        <v>0</v>
      </c>
      <c r="AJ22" s="454">
        <f ca="1">IF(AND($D22="Serviço",AJ$12&lt;&gt;0,$H22&gt;0,OR(AUTOEVENTO&lt;&gt;"manual",$M22&lt;&gt;$A$15)),
        IF(Import.TipoArredondamento&lt;&gt;"TransfereGOV",
              ROUND(OFFSET($P22,0,AJ$13),15-13*ORÇAMENTO!$AF$7)/$H22*OFFSET(ORÇAMENTO!$X$15,ROW(AJ22)-ROW(AJ$15),0),
              ROUND(ROUND(OFFSET($P22,0,AJ$13),15-13*ORÇAMENTO!$AF$7)*OFFSET(ORÇAMENTO!$W$15,ROW(AJ22)-ROW(AJ$15),0),15-13*ORÇAMENTO!$AF$11)),
         0)</f>
        <v>0</v>
      </c>
      <c r="AK22" s="454">
        <f ca="1">IF(AND($D22="Serviço",AK$12&lt;&gt;0,$H22&gt;0,OR(AUTOEVENTO&lt;&gt;"manual",$M22&lt;&gt;$A$15)),
        IF(Import.TipoArredondamento&lt;&gt;"TransfereGOV",
              ROUND(OFFSET($P22,0,AK$13),15-13*ORÇAMENTO!$AF$7)/$H22*OFFSET(ORÇAMENTO!$X$15,ROW(AK22)-ROW(AK$15),0),
              ROUND(ROUND(OFFSET($P22,0,AK$13),15-13*ORÇAMENTO!$AF$7)*OFFSET(ORÇAMENTO!$W$15,ROW(AK22)-ROW(AK$15),0),15-13*ORÇAMENTO!$AF$11)),
         0)</f>
        <v>0</v>
      </c>
      <c r="AM22" s="172">
        <f ca="1">IF(OR($D22&lt;&gt;"Serviço",AND(AUTOEVENTO="Manual",$M22=$A$15)),0,
         IF(OFFSET(CRONOPLE!$F$15,$M22-$A$15,AM$13)="",10^12,OFFSET(CRONOPLE!$F$15,$M22-$A$15,AM$13)))</f>
        <v>1000000000000</v>
      </c>
      <c r="AN22" s="172">
        <f ca="1">IF(OR($D22&lt;&gt;"Serviço",AND(AUTOEVENTO="Manual",$M22=$A$15)),0,
         IF(OFFSET(CRONOPLE!$F$15,$M22-$A$15,AN$13)="",10^12,OFFSET(CRONOPLE!$F$15,$M22-$A$15,AN$13)))</f>
        <v>1000000000000</v>
      </c>
      <c r="AO22" s="172">
        <f ca="1">IF(OR($D22&lt;&gt;"Serviço",AND(AUTOEVENTO="Manual",$M22=$A$15)),0,
         IF(OFFSET(CRONOPLE!$F$15,$M22-$A$15,AO$13)="",10^12,OFFSET(CRONOPLE!$F$15,$M22-$A$15,AO$13)))</f>
        <v>1000000000000</v>
      </c>
      <c r="AP22" s="172">
        <f ca="1">IF(OR($D22&lt;&gt;"Serviço",AND(AUTOEVENTO="Manual",$M22=$A$15)),0,
         IF(OFFSET(CRONOPLE!$F$15,$M22-$A$15,AP$13)="",10^12,OFFSET(CRONOPLE!$F$15,$M22-$A$15,AP$13)))</f>
        <v>1000000000000</v>
      </c>
      <c r="AQ22" s="172">
        <f ca="1">IF(OR($D22&lt;&gt;"Serviço",AND(AUTOEVENTO="Manual",$M22=$A$15)),0,
         IF(OFFSET(CRONOPLE!$F$15,$M22-$A$15,AQ$13)="",10^12,OFFSET(CRONOPLE!$F$15,$M22-$A$15,AQ$13)))</f>
        <v>1000000000000</v>
      </c>
      <c r="AR22" s="172">
        <f ca="1">IF(OR($D22&lt;&gt;"Serviço",AND(AUTOEVENTO="Manual",$M22=$A$15)),0,
         IF(OFFSET(CRONOPLE!$F$15,$M22-$A$15,AR$13)="",10^12,OFFSET(CRONOPLE!$F$15,$M22-$A$15,AR$13)))</f>
        <v>1000000000000</v>
      </c>
      <c r="AS22" s="172">
        <f ca="1">IF(OR($D22&lt;&gt;"Serviço",AND(AUTOEVENTO="Manual",$M22=$A$15)),0,
         IF(OFFSET(CRONOPLE!$F$15,$M22-$A$15,AS$13)="",10^12,OFFSET(CRONOPLE!$F$15,$M22-$A$15,AS$13)))</f>
        <v>1000000000000</v>
      </c>
      <c r="AT22" s="172">
        <f ca="1">IF(OR($D22&lt;&gt;"Serviço",AND(AUTOEVENTO="Manual",$M22=$A$15)),0,
         IF(OFFSET(CRONOPLE!$F$15,$M22-$A$15,AT$13)="",10^12,OFFSET(CRONOPLE!$F$15,$M22-$A$15,AT$13)))</f>
        <v>1000000000000</v>
      </c>
      <c r="AU22" s="172">
        <f ca="1">IF(OR($D22&lt;&gt;"Serviço",AND(AUTOEVENTO="Manual",$M22=$A$15)),0,
         IF(OFFSET(CRONOPLE!$F$15,$M22-$A$15,AU$13)="",10^12,OFFSET(CRONOPLE!$F$15,$M22-$A$15,AU$13)))</f>
        <v>1000000000000</v>
      </c>
      <c r="AV22" s="172">
        <f ca="1">IF(OR($D22&lt;&gt;"Serviço",AND(AUTOEVENTO="Manual",$M22=$A$15)),0,
         IF(OFFSET(CRONOPLE!$F$15,$M22-$A$15,AV$13)="",10^12,OFFSET(CRONOPLE!$F$15,$M22-$A$15,AV$13)))</f>
        <v>1000000000000</v>
      </c>
      <c r="AX22" s="173">
        <f ca="1">IF(OR($D22&lt;&gt;"Serviço",AND(AUTOEVENTO="Manual",$M22=$A$15),$M22&gt;(ROW(PLE.lastrow)-ROW(PLE.firstrow))),0,
           IF(OFFSET(PLE!$G$15,$M22-$A$15,AX$13)="",10^12,OFFSET(PLE!$G$15,$M22-$A$15,AX$13)))</f>
        <v>1000000000000</v>
      </c>
      <c r="AY22" s="173">
        <f ca="1">IF(OR($D22&lt;&gt;"Serviço",AND(AUTOEVENTO="Manual",$M22=$A$15),$M22&gt;(ROW(PLE.lastrow)-ROW(PLE.firstrow))),0,
           IF(OFFSET(PLE!$G$15,$M22-$A$15,AY$13)="",10^12,OFFSET(PLE!$G$15,$M22-$A$15,AY$13)))</f>
        <v>1000000000000</v>
      </c>
      <c r="AZ22" s="173">
        <f ca="1">IF(OR($D22&lt;&gt;"Serviço",AND(AUTOEVENTO="Manual",$M22=$A$15),$M22&gt;(ROW(PLE.lastrow)-ROW(PLE.firstrow))),0,
           IF(OFFSET(PLE!$G$15,$M22-$A$15,AZ$13)="",10^12,OFFSET(PLE!$G$15,$M22-$A$15,AZ$13)))</f>
        <v>1000000000000</v>
      </c>
      <c r="BA22" s="173">
        <f ca="1">IF(OR($D22&lt;&gt;"Serviço",AND(AUTOEVENTO="Manual",$M22=$A$15),$M22&gt;(ROW(PLE.lastrow)-ROW(PLE.firstrow))),0,
           IF(OFFSET(PLE!$G$15,$M22-$A$15,BA$13)="",10^12,OFFSET(PLE!$G$15,$M22-$A$15,BA$13)))</f>
        <v>1000000000000</v>
      </c>
      <c r="BB22" s="173">
        <f ca="1">IF(OR($D22&lt;&gt;"Serviço",AND(AUTOEVENTO="Manual",$M22=$A$15),$M22&gt;(ROW(PLE.lastrow)-ROW(PLE.firstrow))),0,
           IF(OFFSET(PLE!$G$15,$M22-$A$15,BB$13)="",10^12,OFFSET(PLE!$G$15,$M22-$A$15,BB$13)))</f>
        <v>1000000000000</v>
      </c>
      <c r="BC22" s="173">
        <f ca="1">IF(OR($D22&lt;&gt;"Serviço",AND(AUTOEVENTO="Manual",$M22=$A$15),$M22&gt;(ROW(PLE.lastrow)-ROW(PLE.firstrow))),0,
           IF(OFFSET(PLE!$G$15,$M22-$A$15,BC$13)="",10^12,OFFSET(PLE!$G$15,$M22-$A$15,BC$13)))</f>
        <v>1000000000000</v>
      </c>
      <c r="BD22" s="173">
        <f ca="1">IF(OR($D22&lt;&gt;"Serviço",AND(AUTOEVENTO="Manual",$M22=$A$15),$M22&gt;(ROW(PLE.lastrow)-ROW(PLE.firstrow))),0,
           IF(OFFSET(PLE!$G$15,$M22-$A$15,BD$13)="",10^12,OFFSET(PLE!$G$15,$M22-$A$15,BD$13)))</f>
        <v>1000000000000</v>
      </c>
      <c r="BE22" s="173">
        <f ca="1">IF(OR($D22&lt;&gt;"Serviço",AND(AUTOEVENTO="Manual",$M22=$A$15),$M22&gt;(ROW(PLE.lastrow)-ROW(PLE.firstrow))),0,
           IF(OFFSET(PLE!$G$15,$M22-$A$15,BE$13)="",10^12,OFFSET(PLE!$G$15,$M22-$A$15,BE$13)))</f>
        <v>1000000000000</v>
      </c>
      <c r="BF22" s="173">
        <f ca="1">IF(OR($D22&lt;&gt;"Serviço",AND(AUTOEVENTO="Manual",$M22=$A$15),$M22&gt;(ROW(PLE.lastrow)-ROW(PLE.firstrow))),0,
           IF(OFFSET(PLE!$G$15,$M22-$A$15,BF$13)="",10^12,OFFSET(PLE!$G$15,$M22-$A$15,BF$13)))</f>
        <v>1000000000000</v>
      </c>
      <c r="BG22" s="173">
        <f ca="1">IF(OR($D22&lt;&gt;"Serviço",AND(AUTOEVENTO="Manual",$M22=$A$15),$M22&gt;(ROW(PLE.lastrow)-ROW(PLE.firstrow))),0,
           IF(OFFSET(PLE!$G$15,$M22-$A$15,BG$13)="",10^12,OFFSET(PLE!$G$15,$M22-$A$15,BG$13)))</f>
        <v>1000000000000</v>
      </c>
    </row>
    <row r="23" spans="1:59" ht="38.25" x14ac:dyDescent="0.2">
      <c r="A23" s="7" t="str">
        <f t="shared" ca="1" si="8"/>
        <v>6</v>
      </c>
      <c r="B23" s="7" t="str">
        <f ca="1">OFFSET(ORÇAMENTO!C$15,ROW(B23)-ROW(B$15),0)</f>
        <v>S</v>
      </c>
      <c r="C23" s="7" t="str">
        <f ca="1">OFFSET(ORÇAMENTO!L$15,ROW(C23)-ROW(C$15),0)</f>
        <v/>
      </c>
      <c r="D23" s="117" t="str">
        <f ca="1">OFFSET(ORÇAMENTO!N$15,ROW(D23)-ROW(D$15),0)</f>
        <v>Serviço</v>
      </c>
      <c r="E23" s="118" t="str">
        <f ca="1">OFFSET(ORÇAMENTO!O$15,ROW(E23)-ROW(E$15),0)</f>
        <v>-</v>
      </c>
      <c r="F23" s="164" t="str">
        <f ca="1">OFFSET(ORÇAMENTO!R$15,ROW(F23)-ROW(F$15),0)</f>
        <v>LIMPEZA MECANIZADA DE CAMADA VEGETAL, VEGETAÇÃO E PEQUENAS ÁRVORES (DIÂMETRO DE TRONCO MENOR QUE 0,20 M), COM TRATOR DE ESTEIRAS. AF_03/2024</v>
      </c>
      <c r="G23" s="165" t="str">
        <f ca="1">IF($D23&lt;&gt;"Serviço","",OFFSET(ORÇAMENTO!S$15,ROW(G23)-ROW(G$15),0))</f>
        <v>M2</v>
      </c>
      <c r="H23" s="123">
        <f ca="1">IF($D23&lt;&gt;"Serviço",0,IF(ACOMPANHAMENTO="BM",ROUND(OFFSET(ORÇAMENTO!AJ$15,ROW(H23)-ROW(H$15),0),15-13*ORÇAMENTO!$AF$7),SUMPRODUCT(($Q$1:$AA$1=1)*ROUND($Q23:$AA23,15-13*ORÇAMENTO!$AF$7))))</f>
        <v>3710</v>
      </c>
      <c r="I23" s="469"/>
      <c r="J23" s="577" t="str" cm="1">
        <f t="array" aca="1" ref="J23" ca="1">IF(B23&lt;&gt;"S","",IF(AND(ACOMPANHAMENTO="PLE",AUTOEVENTO="Manual",OR(H23&gt;0,ORÇAMENTO!AC23="QUANT."),OR(K23="",M23=0,N23="")),"►",IF(AND(ACOMPANHAMENTO="PLE",ORÇAMENTO!AC23="QUANT."),"►►",IF(AND(COUNTIF($P$11:$AA$11,"▼")=0,H23&gt;0,I23=""),"◄",""))))</f>
        <v>◄</v>
      </c>
      <c r="K23" s="626"/>
      <c r="L23" s="166" t="s">
        <v>765</v>
      </c>
      <c r="M23" s="167">
        <f ca="1">IF($D23&lt;&gt;"Serviço","",
          IF(AUTOEVENTO="manual",$A23,
                IF(ISERROR(MATCH($A23,$A$15:OFFSET($A23,-1,0),0)),MAX($M$15:OFFSET(M23,-1,0))+1,
                      INDEX($M$15:OFFSET(M23,-1,0),MATCH($A23,$A$15:OFFSET($A23,-1,0),0)))))</f>
        <v>2</v>
      </c>
      <c r="N23" s="168" t="str">
        <f ca="1">IF($D23&lt;&gt;"Serviço","",
         IF(AUTOEVENTO="Manual",
                IF($A23=0,"&lt;-- defina o número do agrupador",
                       OFFSET(EVENTOS!$D$15,$A23-$A$15,0)),
                OFFSET($F$15,$A23,0)))</f>
        <v>SERVIÇOS PRELIMINARES</v>
      </c>
      <c r="O23" s="169"/>
      <c r="Q23" s="169"/>
      <c r="R23" s="170"/>
      <c r="S23" s="170"/>
      <c r="T23" s="170"/>
      <c r="U23" s="170"/>
      <c r="V23" s="170"/>
      <c r="W23" s="170"/>
      <c r="X23" s="170"/>
      <c r="Y23" s="170"/>
      <c r="Z23" s="171"/>
      <c r="AB23" s="454">
        <f ca="1">IF(AND($D23="Serviço",AB$12&lt;&gt;0,$H23&gt;0,OR(AUTOEVENTO&lt;&gt;"manual",$M23&lt;&gt;$A$15)),
        IF(Import.TipoArredondamento&lt;&gt;"TransfereGOV",
              ROUND(OFFSET($P23,0,AB$13),15-13*ORÇAMENTO!$AF$7)/$H23*OFFSET(ORÇAMENTO!$X$15,ROW(AB23)-ROW(AB$15),0),
              ROUND(ROUND(OFFSET($P23,0,AB$13),15-13*ORÇAMENTO!$AF$7)*OFFSET(ORÇAMENTO!$W$15,ROW(AB23)-ROW(AB$15),0),15-13*ORÇAMENTO!$AF$11)),
         0)</f>
        <v>0</v>
      </c>
      <c r="AC23" s="454">
        <f ca="1">IF(AND($D23="Serviço",AC$12&lt;&gt;0,$H23&gt;0,OR(AUTOEVENTO&lt;&gt;"manual",$M23&lt;&gt;$A$15)),
        IF(Import.TipoArredondamento&lt;&gt;"TransfereGOV",
              ROUND(OFFSET($P23,0,AC$13),15-13*ORÇAMENTO!$AF$7)/$H23*OFFSET(ORÇAMENTO!$X$15,ROW(AC23)-ROW(AC$15),0),
              ROUND(ROUND(OFFSET($P23,0,AC$13),15-13*ORÇAMENTO!$AF$7)*OFFSET(ORÇAMENTO!$W$15,ROW(AC23)-ROW(AC$15),0),15-13*ORÇAMENTO!$AF$11)),
         0)</f>
        <v>0</v>
      </c>
      <c r="AD23" s="454">
        <f ca="1">IF(AND($D23="Serviço",AD$12&lt;&gt;0,$H23&gt;0,OR(AUTOEVENTO&lt;&gt;"manual",$M23&lt;&gt;$A$15)),
        IF(Import.TipoArredondamento&lt;&gt;"TransfereGOV",
              ROUND(OFFSET($P23,0,AD$13),15-13*ORÇAMENTO!$AF$7)/$H23*OFFSET(ORÇAMENTO!$X$15,ROW(AD23)-ROW(AD$15),0),
              ROUND(ROUND(OFFSET($P23,0,AD$13),15-13*ORÇAMENTO!$AF$7)*OFFSET(ORÇAMENTO!$W$15,ROW(AD23)-ROW(AD$15),0),15-13*ORÇAMENTO!$AF$11)),
         0)</f>
        <v>0</v>
      </c>
      <c r="AE23" s="454">
        <f ca="1">IF(AND($D23="Serviço",AE$12&lt;&gt;0,$H23&gt;0,OR(AUTOEVENTO&lt;&gt;"manual",$M23&lt;&gt;$A$15)),
        IF(Import.TipoArredondamento&lt;&gt;"TransfereGOV",
              ROUND(OFFSET($P23,0,AE$13),15-13*ORÇAMENTO!$AF$7)/$H23*OFFSET(ORÇAMENTO!$X$15,ROW(AE23)-ROW(AE$15),0),
              ROUND(ROUND(OFFSET($P23,0,AE$13),15-13*ORÇAMENTO!$AF$7)*OFFSET(ORÇAMENTO!$W$15,ROW(AE23)-ROW(AE$15),0),15-13*ORÇAMENTO!$AF$11)),
         0)</f>
        <v>0</v>
      </c>
      <c r="AF23" s="454">
        <f ca="1">IF(AND($D23="Serviço",AF$12&lt;&gt;0,$H23&gt;0,OR(AUTOEVENTO&lt;&gt;"manual",$M23&lt;&gt;$A$15)),
        IF(Import.TipoArredondamento&lt;&gt;"TransfereGOV",
              ROUND(OFFSET($P23,0,AF$13),15-13*ORÇAMENTO!$AF$7)/$H23*OFFSET(ORÇAMENTO!$X$15,ROW(AF23)-ROW(AF$15),0),
              ROUND(ROUND(OFFSET($P23,0,AF$13),15-13*ORÇAMENTO!$AF$7)*OFFSET(ORÇAMENTO!$W$15,ROW(AF23)-ROW(AF$15),0),15-13*ORÇAMENTO!$AF$11)),
         0)</f>
        <v>0</v>
      </c>
      <c r="AG23" s="454">
        <f ca="1">IF(AND($D23="Serviço",AG$12&lt;&gt;0,$H23&gt;0,OR(AUTOEVENTO&lt;&gt;"manual",$M23&lt;&gt;$A$15)),
        IF(Import.TipoArredondamento&lt;&gt;"TransfereGOV",
              ROUND(OFFSET($P23,0,AG$13),15-13*ORÇAMENTO!$AF$7)/$H23*OFFSET(ORÇAMENTO!$X$15,ROW(AG23)-ROW(AG$15),0),
              ROUND(ROUND(OFFSET($P23,0,AG$13),15-13*ORÇAMENTO!$AF$7)*OFFSET(ORÇAMENTO!$W$15,ROW(AG23)-ROW(AG$15),0),15-13*ORÇAMENTO!$AF$11)),
         0)</f>
        <v>0</v>
      </c>
      <c r="AH23" s="454">
        <f ca="1">IF(AND($D23="Serviço",AH$12&lt;&gt;0,$H23&gt;0,OR(AUTOEVENTO&lt;&gt;"manual",$M23&lt;&gt;$A$15)),
        IF(Import.TipoArredondamento&lt;&gt;"TransfereGOV",
              ROUND(OFFSET($P23,0,AH$13),15-13*ORÇAMENTO!$AF$7)/$H23*OFFSET(ORÇAMENTO!$X$15,ROW(AH23)-ROW(AH$15),0),
              ROUND(ROUND(OFFSET($P23,0,AH$13),15-13*ORÇAMENTO!$AF$7)*OFFSET(ORÇAMENTO!$W$15,ROW(AH23)-ROW(AH$15),0),15-13*ORÇAMENTO!$AF$11)),
         0)</f>
        <v>0</v>
      </c>
      <c r="AI23" s="454">
        <f ca="1">IF(AND($D23="Serviço",AI$12&lt;&gt;0,$H23&gt;0,OR(AUTOEVENTO&lt;&gt;"manual",$M23&lt;&gt;$A$15)),
        IF(Import.TipoArredondamento&lt;&gt;"TransfereGOV",
              ROUND(OFFSET($P23,0,AI$13),15-13*ORÇAMENTO!$AF$7)/$H23*OFFSET(ORÇAMENTO!$X$15,ROW(AI23)-ROW(AI$15),0),
              ROUND(ROUND(OFFSET($P23,0,AI$13),15-13*ORÇAMENTO!$AF$7)*OFFSET(ORÇAMENTO!$W$15,ROW(AI23)-ROW(AI$15),0),15-13*ORÇAMENTO!$AF$11)),
         0)</f>
        <v>0</v>
      </c>
      <c r="AJ23" s="454">
        <f ca="1">IF(AND($D23="Serviço",AJ$12&lt;&gt;0,$H23&gt;0,OR(AUTOEVENTO&lt;&gt;"manual",$M23&lt;&gt;$A$15)),
        IF(Import.TipoArredondamento&lt;&gt;"TransfereGOV",
              ROUND(OFFSET($P23,0,AJ$13),15-13*ORÇAMENTO!$AF$7)/$H23*OFFSET(ORÇAMENTO!$X$15,ROW(AJ23)-ROW(AJ$15),0),
              ROUND(ROUND(OFFSET($P23,0,AJ$13),15-13*ORÇAMENTO!$AF$7)*OFFSET(ORÇAMENTO!$W$15,ROW(AJ23)-ROW(AJ$15),0),15-13*ORÇAMENTO!$AF$11)),
         0)</f>
        <v>0</v>
      </c>
      <c r="AK23" s="454">
        <f ca="1">IF(AND($D23="Serviço",AK$12&lt;&gt;0,$H23&gt;0,OR(AUTOEVENTO&lt;&gt;"manual",$M23&lt;&gt;$A$15)),
        IF(Import.TipoArredondamento&lt;&gt;"TransfereGOV",
              ROUND(OFFSET($P23,0,AK$13),15-13*ORÇAMENTO!$AF$7)/$H23*OFFSET(ORÇAMENTO!$X$15,ROW(AK23)-ROW(AK$15),0),
              ROUND(ROUND(OFFSET($P23,0,AK$13),15-13*ORÇAMENTO!$AF$7)*OFFSET(ORÇAMENTO!$W$15,ROW(AK23)-ROW(AK$15),0),15-13*ORÇAMENTO!$AF$11)),
         0)</f>
        <v>0</v>
      </c>
      <c r="AM23" s="172">
        <f ca="1">IF(OR($D23&lt;&gt;"Serviço",AND(AUTOEVENTO="Manual",$M23=$A$15)),0,
         IF(OFFSET(CRONOPLE!$F$15,$M23-$A$15,AM$13)="",10^12,OFFSET(CRONOPLE!$F$15,$M23-$A$15,AM$13)))</f>
        <v>1000000000000</v>
      </c>
      <c r="AN23" s="172">
        <f ca="1">IF(OR($D23&lt;&gt;"Serviço",AND(AUTOEVENTO="Manual",$M23=$A$15)),0,
         IF(OFFSET(CRONOPLE!$F$15,$M23-$A$15,AN$13)="",10^12,OFFSET(CRONOPLE!$F$15,$M23-$A$15,AN$13)))</f>
        <v>1000000000000</v>
      </c>
      <c r="AO23" s="172">
        <f ca="1">IF(OR($D23&lt;&gt;"Serviço",AND(AUTOEVENTO="Manual",$M23=$A$15)),0,
         IF(OFFSET(CRONOPLE!$F$15,$M23-$A$15,AO$13)="",10^12,OFFSET(CRONOPLE!$F$15,$M23-$A$15,AO$13)))</f>
        <v>1000000000000</v>
      </c>
      <c r="AP23" s="172">
        <f ca="1">IF(OR($D23&lt;&gt;"Serviço",AND(AUTOEVENTO="Manual",$M23=$A$15)),0,
         IF(OFFSET(CRONOPLE!$F$15,$M23-$A$15,AP$13)="",10^12,OFFSET(CRONOPLE!$F$15,$M23-$A$15,AP$13)))</f>
        <v>1000000000000</v>
      </c>
      <c r="AQ23" s="172">
        <f ca="1">IF(OR($D23&lt;&gt;"Serviço",AND(AUTOEVENTO="Manual",$M23=$A$15)),0,
         IF(OFFSET(CRONOPLE!$F$15,$M23-$A$15,AQ$13)="",10^12,OFFSET(CRONOPLE!$F$15,$M23-$A$15,AQ$13)))</f>
        <v>1000000000000</v>
      </c>
      <c r="AR23" s="172">
        <f ca="1">IF(OR($D23&lt;&gt;"Serviço",AND(AUTOEVENTO="Manual",$M23=$A$15)),0,
         IF(OFFSET(CRONOPLE!$F$15,$M23-$A$15,AR$13)="",10^12,OFFSET(CRONOPLE!$F$15,$M23-$A$15,AR$13)))</f>
        <v>1000000000000</v>
      </c>
      <c r="AS23" s="172">
        <f ca="1">IF(OR($D23&lt;&gt;"Serviço",AND(AUTOEVENTO="Manual",$M23=$A$15)),0,
         IF(OFFSET(CRONOPLE!$F$15,$M23-$A$15,AS$13)="",10^12,OFFSET(CRONOPLE!$F$15,$M23-$A$15,AS$13)))</f>
        <v>1000000000000</v>
      </c>
      <c r="AT23" s="172">
        <f ca="1">IF(OR($D23&lt;&gt;"Serviço",AND(AUTOEVENTO="Manual",$M23=$A$15)),0,
         IF(OFFSET(CRONOPLE!$F$15,$M23-$A$15,AT$13)="",10^12,OFFSET(CRONOPLE!$F$15,$M23-$A$15,AT$13)))</f>
        <v>1000000000000</v>
      </c>
      <c r="AU23" s="172">
        <f ca="1">IF(OR($D23&lt;&gt;"Serviço",AND(AUTOEVENTO="Manual",$M23=$A$15)),0,
         IF(OFFSET(CRONOPLE!$F$15,$M23-$A$15,AU$13)="",10^12,OFFSET(CRONOPLE!$F$15,$M23-$A$15,AU$13)))</f>
        <v>1000000000000</v>
      </c>
      <c r="AV23" s="172">
        <f ca="1">IF(OR($D23&lt;&gt;"Serviço",AND(AUTOEVENTO="Manual",$M23=$A$15)),0,
         IF(OFFSET(CRONOPLE!$F$15,$M23-$A$15,AV$13)="",10^12,OFFSET(CRONOPLE!$F$15,$M23-$A$15,AV$13)))</f>
        <v>1000000000000</v>
      </c>
      <c r="AX23" s="173">
        <f ca="1">IF(OR($D23&lt;&gt;"Serviço",AND(AUTOEVENTO="Manual",$M23=$A$15),$M23&gt;(ROW(PLE.lastrow)-ROW(PLE.firstrow))),0,
           IF(OFFSET(PLE!$G$15,$M23-$A$15,AX$13)="",10^12,OFFSET(PLE!$G$15,$M23-$A$15,AX$13)))</f>
        <v>1000000000000</v>
      </c>
      <c r="AY23" s="173">
        <f ca="1">IF(OR($D23&lt;&gt;"Serviço",AND(AUTOEVENTO="Manual",$M23=$A$15),$M23&gt;(ROW(PLE.lastrow)-ROW(PLE.firstrow))),0,
           IF(OFFSET(PLE!$G$15,$M23-$A$15,AY$13)="",10^12,OFFSET(PLE!$G$15,$M23-$A$15,AY$13)))</f>
        <v>1000000000000</v>
      </c>
      <c r="AZ23" s="173">
        <f ca="1">IF(OR($D23&lt;&gt;"Serviço",AND(AUTOEVENTO="Manual",$M23=$A$15),$M23&gt;(ROW(PLE.lastrow)-ROW(PLE.firstrow))),0,
           IF(OFFSET(PLE!$G$15,$M23-$A$15,AZ$13)="",10^12,OFFSET(PLE!$G$15,$M23-$A$15,AZ$13)))</f>
        <v>1000000000000</v>
      </c>
      <c r="BA23" s="173">
        <f ca="1">IF(OR($D23&lt;&gt;"Serviço",AND(AUTOEVENTO="Manual",$M23=$A$15),$M23&gt;(ROW(PLE.lastrow)-ROW(PLE.firstrow))),0,
           IF(OFFSET(PLE!$G$15,$M23-$A$15,BA$13)="",10^12,OFFSET(PLE!$G$15,$M23-$A$15,BA$13)))</f>
        <v>1000000000000</v>
      </c>
      <c r="BB23" s="173">
        <f ca="1">IF(OR($D23&lt;&gt;"Serviço",AND(AUTOEVENTO="Manual",$M23=$A$15),$M23&gt;(ROW(PLE.lastrow)-ROW(PLE.firstrow))),0,
           IF(OFFSET(PLE!$G$15,$M23-$A$15,BB$13)="",10^12,OFFSET(PLE!$G$15,$M23-$A$15,BB$13)))</f>
        <v>1000000000000</v>
      </c>
      <c r="BC23" s="173">
        <f ca="1">IF(OR($D23&lt;&gt;"Serviço",AND(AUTOEVENTO="Manual",$M23=$A$15),$M23&gt;(ROW(PLE.lastrow)-ROW(PLE.firstrow))),0,
           IF(OFFSET(PLE!$G$15,$M23-$A$15,BC$13)="",10^12,OFFSET(PLE!$G$15,$M23-$A$15,BC$13)))</f>
        <v>1000000000000</v>
      </c>
      <c r="BD23" s="173">
        <f ca="1">IF(OR($D23&lt;&gt;"Serviço",AND(AUTOEVENTO="Manual",$M23=$A$15),$M23&gt;(ROW(PLE.lastrow)-ROW(PLE.firstrow))),0,
           IF(OFFSET(PLE!$G$15,$M23-$A$15,BD$13)="",10^12,OFFSET(PLE!$G$15,$M23-$A$15,BD$13)))</f>
        <v>1000000000000</v>
      </c>
      <c r="BE23" s="173">
        <f ca="1">IF(OR($D23&lt;&gt;"Serviço",AND(AUTOEVENTO="Manual",$M23=$A$15),$M23&gt;(ROW(PLE.lastrow)-ROW(PLE.firstrow))),0,
           IF(OFFSET(PLE!$G$15,$M23-$A$15,BE$13)="",10^12,OFFSET(PLE!$G$15,$M23-$A$15,BE$13)))</f>
        <v>1000000000000</v>
      </c>
      <c r="BF23" s="173">
        <f ca="1">IF(OR($D23&lt;&gt;"Serviço",AND(AUTOEVENTO="Manual",$M23=$A$15),$M23&gt;(ROW(PLE.lastrow)-ROW(PLE.firstrow))),0,
           IF(OFFSET(PLE!$G$15,$M23-$A$15,BF$13)="",10^12,OFFSET(PLE!$G$15,$M23-$A$15,BF$13)))</f>
        <v>1000000000000</v>
      </c>
      <c r="BG23" s="173">
        <f ca="1">IF(OR($D23&lt;&gt;"Serviço",AND(AUTOEVENTO="Manual",$M23=$A$15),$M23&gt;(ROW(PLE.lastrow)-ROW(PLE.firstrow))),0,
           IF(OFFSET(PLE!$G$15,$M23-$A$15,BG$13)="",10^12,OFFSET(PLE!$G$15,$M23-$A$15,BG$13)))</f>
        <v>1000000000000</v>
      </c>
    </row>
    <row r="24" spans="1:59" ht="12.75" x14ac:dyDescent="0.2">
      <c r="A24" s="7" t="str">
        <f t="shared" ca="1" si="8"/>
        <v>6</v>
      </c>
      <c r="B24" s="7" t="str">
        <f ca="1">OFFSET(ORÇAMENTO!C$15,ROW(B24)-ROW(B$15),0)</f>
        <v>S</v>
      </c>
      <c r="C24" s="7" t="str">
        <f ca="1">OFFSET(ORÇAMENTO!L$15,ROW(C24)-ROW(C$15),0)</f>
        <v/>
      </c>
      <c r="D24" s="117" t="str">
        <f ca="1">OFFSET(ORÇAMENTO!N$15,ROW(D24)-ROW(D$15),0)</f>
        <v>Serviço</v>
      </c>
      <c r="E24" s="118" t="str">
        <f ca="1">OFFSET(ORÇAMENTO!O$15,ROW(E24)-ROW(E$15),0)</f>
        <v>-</v>
      </c>
      <c r="F24" s="164" t="str">
        <f ca="1">OFFSET(ORÇAMENTO!R$15,ROW(F24)-ROW(F$15),0)</f>
        <v>LOCAÇÃO DE CONTAINER PARA ALMOXARIFADO</v>
      </c>
      <c r="G24" s="165" t="str">
        <f ca="1">IF($D24&lt;&gt;"Serviço","",OFFSET(ORÇAMENTO!S$15,ROW(G24)-ROW(G$15),0))</f>
        <v>Mês</v>
      </c>
      <c r="H24" s="123">
        <f ca="1">IF($D24&lt;&gt;"Serviço",0,IF(ACOMPANHAMENTO="BM",ROUND(OFFSET(ORÇAMENTO!AJ$15,ROW(H24)-ROW(H$15),0),15-13*ORÇAMENTO!$AF$7),SUMPRODUCT(($Q$1:$AA$1=1)*ROUND($Q24:$AA24,15-13*ORÇAMENTO!$AF$7))))</f>
        <v>6</v>
      </c>
      <c r="I24" s="469"/>
      <c r="J24" s="577" t="str" cm="1">
        <f t="array" aca="1" ref="J24" ca="1">IF(B24&lt;&gt;"S","",IF(AND(ACOMPANHAMENTO="PLE",AUTOEVENTO="Manual",OR(H24&gt;0,ORÇAMENTO!AC24="QUANT."),OR(K24="",M24=0,N24="")),"►",IF(AND(ACOMPANHAMENTO="PLE",ORÇAMENTO!AC24="QUANT."),"►►",IF(AND(COUNTIF($P$11:$AA$11,"▼")=0,H24&gt;0,I24=""),"◄",""))))</f>
        <v>◄</v>
      </c>
      <c r="K24" s="626"/>
      <c r="L24" s="166" t="s">
        <v>765</v>
      </c>
      <c r="M24" s="167">
        <f ca="1">IF($D24&lt;&gt;"Serviço","",
          IF(AUTOEVENTO="manual",$A24,
                IF(ISERROR(MATCH($A24,$A$15:OFFSET($A24,-1,0),0)),MAX($M$15:OFFSET(M24,-1,0))+1,
                      INDEX($M$15:OFFSET(M24,-1,0),MATCH($A24,$A$15:OFFSET($A24,-1,0),0)))))</f>
        <v>2</v>
      </c>
      <c r="N24" s="168" t="str">
        <f ca="1">IF($D24&lt;&gt;"Serviço","",
         IF(AUTOEVENTO="Manual",
                IF($A24=0,"&lt;-- defina o número do agrupador",
                       OFFSET(EVENTOS!$D$15,$A24-$A$15,0)),
                OFFSET($F$15,$A24,0)))</f>
        <v>SERVIÇOS PRELIMINARES</v>
      </c>
      <c r="O24" s="169"/>
      <c r="Q24" s="169"/>
      <c r="R24" s="170"/>
      <c r="S24" s="170"/>
      <c r="T24" s="170"/>
      <c r="U24" s="170"/>
      <c r="V24" s="170"/>
      <c r="W24" s="170"/>
      <c r="X24" s="170"/>
      <c r="Y24" s="170"/>
      <c r="Z24" s="171"/>
      <c r="AB24" s="454">
        <f ca="1">IF(AND($D24="Serviço",AB$12&lt;&gt;0,$H24&gt;0,OR(AUTOEVENTO&lt;&gt;"manual",$M24&lt;&gt;$A$15)),
        IF(Import.TipoArredondamento&lt;&gt;"TransfereGOV",
              ROUND(OFFSET($P24,0,AB$13),15-13*ORÇAMENTO!$AF$7)/$H24*OFFSET(ORÇAMENTO!$X$15,ROW(AB24)-ROW(AB$15),0),
              ROUND(ROUND(OFFSET($P24,0,AB$13),15-13*ORÇAMENTO!$AF$7)*OFFSET(ORÇAMENTO!$W$15,ROW(AB24)-ROW(AB$15),0),15-13*ORÇAMENTO!$AF$11)),
         0)</f>
        <v>0</v>
      </c>
      <c r="AC24" s="454">
        <f ca="1">IF(AND($D24="Serviço",AC$12&lt;&gt;0,$H24&gt;0,OR(AUTOEVENTO&lt;&gt;"manual",$M24&lt;&gt;$A$15)),
        IF(Import.TipoArredondamento&lt;&gt;"TransfereGOV",
              ROUND(OFFSET($P24,0,AC$13),15-13*ORÇAMENTO!$AF$7)/$H24*OFFSET(ORÇAMENTO!$X$15,ROW(AC24)-ROW(AC$15),0),
              ROUND(ROUND(OFFSET($P24,0,AC$13),15-13*ORÇAMENTO!$AF$7)*OFFSET(ORÇAMENTO!$W$15,ROW(AC24)-ROW(AC$15),0),15-13*ORÇAMENTO!$AF$11)),
         0)</f>
        <v>0</v>
      </c>
      <c r="AD24" s="454">
        <f ca="1">IF(AND($D24="Serviço",AD$12&lt;&gt;0,$H24&gt;0,OR(AUTOEVENTO&lt;&gt;"manual",$M24&lt;&gt;$A$15)),
        IF(Import.TipoArredondamento&lt;&gt;"TransfereGOV",
              ROUND(OFFSET($P24,0,AD$13),15-13*ORÇAMENTO!$AF$7)/$H24*OFFSET(ORÇAMENTO!$X$15,ROW(AD24)-ROW(AD$15),0),
              ROUND(ROUND(OFFSET($P24,0,AD$13),15-13*ORÇAMENTO!$AF$7)*OFFSET(ORÇAMENTO!$W$15,ROW(AD24)-ROW(AD$15),0),15-13*ORÇAMENTO!$AF$11)),
         0)</f>
        <v>0</v>
      </c>
      <c r="AE24" s="454">
        <f ca="1">IF(AND($D24="Serviço",AE$12&lt;&gt;0,$H24&gt;0,OR(AUTOEVENTO&lt;&gt;"manual",$M24&lt;&gt;$A$15)),
        IF(Import.TipoArredondamento&lt;&gt;"TransfereGOV",
              ROUND(OFFSET($P24,0,AE$13),15-13*ORÇAMENTO!$AF$7)/$H24*OFFSET(ORÇAMENTO!$X$15,ROW(AE24)-ROW(AE$15),0),
              ROUND(ROUND(OFFSET($P24,0,AE$13),15-13*ORÇAMENTO!$AF$7)*OFFSET(ORÇAMENTO!$W$15,ROW(AE24)-ROW(AE$15),0),15-13*ORÇAMENTO!$AF$11)),
         0)</f>
        <v>0</v>
      </c>
      <c r="AF24" s="454">
        <f ca="1">IF(AND($D24="Serviço",AF$12&lt;&gt;0,$H24&gt;0,OR(AUTOEVENTO&lt;&gt;"manual",$M24&lt;&gt;$A$15)),
        IF(Import.TipoArredondamento&lt;&gt;"TransfereGOV",
              ROUND(OFFSET($P24,0,AF$13),15-13*ORÇAMENTO!$AF$7)/$H24*OFFSET(ORÇAMENTO!$X$15,ROW(AF24)-ROW(AF$15),0),
              ROUND(ROUND(OFFSET($P24,0,AF$13),15-13*ORÇAMENTO!$AF$7)*OFFSET(ORÇAMENTO!$W$15,ROW(AF24)-ROW(AF$15),0),15-13*ORÇAMENTO!$AF$11)),
         0)</f>
        <v>0</v>
      </c>
      <c r="AG24" s="454">
        <f ca="1">IF(AND($D24="Serviço",AG$12&lt;&gt;0,$H24&gt;0,OR(AUTOEVENTO&lt;&gt;"manual",$M24&lt;&gt;$A$15)),
        IF(Import.TipoArredondamento&lt;&gt;"TransfereGOV",
              ROUND(OFFSET($P24,0,AG$13),15-13*ORÇAMENTO!$AF$7)/$H24*OFFSET(ORÇAMENTO!$X$15,ROW(AG24)-ROW(AG$15),0),
              ROUND(ROUND(OFFSET($P24,0,AG$13),15-13*ORÇAMENTO!$AF$7)*OFFSET(ORÇAMENTO!$W$15,ROW(AG24)-ROW(AG$15),0),15-13*ORÇAMENTO!$AF$11)),
         0)</f>
        <v>0</v>
      </c>
      <c r="AH24" s="454">
        <f ca="1">IF(AND($D24="Serviço",AH$12&lt;&gt;0,$H24&gt;0,OR(AUTOEVENTO&lt;&gt;"manual",$M24&lt;&gt;$A$15)),
        IF(Import.TipoArredondamento&lt;&gt;"TransfereGOV",
              ROUND(OFFSET($P24,0,AH$13),15-13*ORÇAMENTO!$AF$7)/$H24*OFFSET(ORÇAMENTO!$X$15,ROW(AH24)-ROW(AH$15),0),
              ROUND(ROUND(OFFSET($P24,0,AH$13),15-13*ORÇAMENTO!$AF$7)*OFFSET(ORÇAMENTO!$W$15,ROW(AH24)-ROW(AH$15),0),15-13*ORÇAMENTO!$AF$11)),
         0)</f>
        <v>0</v>
      </c>
      <c r="AI24" s="454">
        <f ca="1">IF(AND($D24="Serviço",AI$12&lt;&gt;0,$H24&gt;0,OR(AUTOEVENTO&lt;&gt;"manual",$M24&lt;&gt;$A$15)),
        IF(Import.TipoArredondamento&lt;&gt;"TransfereGOV",
              ROUND(OFFSET($P24,0,AI$13),15-13*ORÇAMENTO!$AF$7)/$H24*OFFSET(ORÇAMENTO!$X$15,ROW(AI24)-ROW(AI$15),0),
              ROUND(ROUND(OFFSET($P24,0,AI$13),15-13*ORÇAMENTO!$AF$7)*OFFSET(ORÇAMENTO!$W$15,ROW(AI24)-ROW(AI$15),0),15-13*ORÇAMENTO!$AF$11)),
         0)</f>
        <v>0</v>
      </c>
      <c r="AJ24" s="454">
        <f ca="1">IF(AND($D24="Serviço",AJ$12&lt;&gt;0,$H24&gt;0,OR(AUTOEVENTO&lt;&gt;"manual",$M24&lt;&gt;$A$15)),
        IF(Import.TipoArredondamento&lt;&gt;"TransfereGOV",
              ROUND(OFFSET($P24,0,AJ$13),15-13*ORÇAMENTO!$AF$7)/$H24*OFFSET(ORÇAMENTO!$X$15,ROW(AJ24)-ROW(AJ$15),0),
              ROUND(ROUND(OFFSET($P24,0,AJ$13),15-13*ORÇAMENTO!$AF$7)*OFFSET(ORÇAMENTO!$W$15,ROW(AJ24)-ROW(AJ$15),0),15-13*ORÇAMENTO!$AF$11)),
         0)</f>
        <v>0</v>
      </c>
      <c r="AK24" s="454">
        <f ca="1">IF(AND($D24="Serviço",AK$12&lt;&gt;0,$H24&gt;0,OR(AUTOEVENTO&lt;&gt;"manual",$M24&lt;&gt;$A$15)),
        IF(Import.TipoArredondamento&lt;&gt;"TransfereGOV",
              ROUND(OFFSET($P24,0,AK$13),15-13*ORÇAMENTO!$AF$7)/$H24*OFFSET(ORÇAMENTO!$X$15,ROW(AK24)-ROW(AK$15),0),
              ROUND(ROUND(OFFSET($P24,0,AK$13),15-13*ORÇAMENTO!$AF$7)*OFFSET(ORÇAMENTO!$W$15,ROW(AK24)-ROW(AK$15),0),15-13*ORÇAMENTO!$AF$11)),
         0)</f>
        <v>0</v>
      </c>
      <c r="AM24" s="172">
        <f ca="1">IF(OR($D24&lt;&gt;"Serviço",AND(AUTOEVENTO="Manual",$M24=$A$15)),0,
         IF(OFFSET(CRONOPLE!$F$15,$M24-$A$15,AM$13)="",10^12,OFFSET(CRONOPLE!$F$15,$M24-$A$15,AM$13)))</f>
        <v>1000000000000</v>
      </c>
      <c r="AN24" s="172">
        <f ca="1">IF(OR($D24&lt;&gt;"Serviço",AND(AUTOEVENTO="Manual",$M24=$A$15)),0,
         IF(OFFSET(CRONOPLE!$F$15,$M24-$A$15,AN$13)="",10^12,OFFSET(CRONOPLE!$F$15,$M24-$A$15,AN$13)))</f>
        <v>1000000000000</v>
      </c>
      <c r="AO24" s="172">
        <f ca="1">IF(OR($D24&lt;&gt;"Serviço",AND(AUTOEVENTO="Manual",$M24=$A$15)),0,
         IF(OFFSET(CRONOPLE!$F$15,$M24-$A$15,AO$13)="",10^12,OFFSET(CRONOPLE!$F$15,$M24-$A$15,AO$13)))</f>
        <v>1000000000000</v>
      </c>
      <c r="AP24" s="172">
        <f ca="1">IF(OR($D24&lt;&gt;"Serviço",AND(AUTOEVENTO="Manual",$M24=$A$15)),0,
         IF(OFFSET(CRONOPLE!$F$15,$M24-$A$15,AP$13)="",10^12,OFFSET(CRONOPLE!$F$15,$M24-$A$15,AP$13)))</f>
        <v>1000000000000</v>
      </c>
      <c r="AQ24" s="172">
        <f ca="1">IF(OR($D24&lt;&gt;"Serviço",AND(AUTOEVENTO="Manual",$M24=$A$15)),0,
         IF(OFFSET(CRONOPLE!$F$15,$M24-$A$15,AQ$13)="",10^12,OFFSET(CRONOPLE!$F$15,$M24-$A$15,AQ$13)))</f>
        <v>1000000000000</v>
      </c>
      <c r="AR24" s="172">
        <f ca="1">IF(OR($D24&lt;&gt;"Serviço",AND(AUTOEVENTO="Manual",$M24=$A$15)),0,
         IF(OFFSET(CRONOPLE!$F$15,$M24-$A$15,AR$13)="",10^12,OFFSET(CRONOPLE!$F$15,$M24-$A$15,AR$13)))</f>
        <v>1000000000000</v>
      </c>
      <c r="AS24" s="172">
        <f ca="1">IF(OR($D24&lt;&gt;"Serviço",AND(AUTOEVENTO="Manual",$M24=$A$15)),0,
         IF(OFFSET(CRONOPLE!$F$15,$M24-$A$15,AS$13)="",10^12,OFFSET(CRONOPLE!$F$15,$M24-$A$15,AS$13)))</f>
        <v>1000000000000</v>
      </c>
      <c r="AT24" s="172">
        <f ca="1">IF(OR($D24&lt;&gt;"Serviço",AND(AUTOEVENTO="Manual",$M24=$A$15)),0,
         IF(OFFSET(CRONOPLE!$F$15,$M24-$A$15,AT$13)="",10^12,OFFSET(CRONOPLE!$F$15,$M24-$A$15,AT$13)))</f>
        <v>1000000000000</v>
      </c>
      <c r="AU24" s="172">
        <f ca="1">IF(OR($D24&lt;&gt;"Serviço",AND(AUTOEVENTO="Manual",$M24=$A$15)),0,
         IF(OFFSET(CRONOPLE!$F$15,$M24-$A$15,AU$13)="",10^12,OFFSET(CRONOPLE!$F$15,$M24-$A$15,AU$13)))</f>
        <v>1000000000000</v>
      </c>
      <c r="AV24" s="172">
        <f ca="1">IF(OR($D24&lt;&gt;"Serviço",AND(AUTOEVENTO="Manual",$M24=$A$15)),0,
         IF(OFFSET(CRONOPLE!$F$15,$M24-$A$15,AV$13)="",10^12,OFFSET(CRONOPLE!$F$15,$M24-$A$15,AV$13)))</f>
        <v>1000000000000</v>
      </c>
      <c r="AX24" s="173">
        <f ca="1">IF(OR($D24&lt;&gt;"Serviço",AND(AUTOEVENTO="Manual",$M24=$A$15),$M24&gt;(ROW(PLE.lastrow)-ROW(PLE.firstrow))),0,
           IF(OFFSET(PLE!$G$15,$M24-$A$15,AX$13)="",10^12,OFFSET(PLE!$G$15,$M24-$A$15,AX$13)))</f>
        <v>1000000000000</v>
      </c>
      <c r="AY24" s="173">
        <f ca="1">IF(OR($D24&lt;&gt;"Serviço",AND(AUTOEVENTO="Manual",$M24=$A$15),$M24&gt;(ROW(PLE.lastrow)-ROW(PLE.firstrow))),0,
           IF(OFFSET(PLE!$G$15,$M24-$A$15,AY$13)="",10^12,OFFSET(PLE!$G$15,$M24-$A$15,AY$13)))</f>
        <v>1000000000000</v>
      </c>
      <c r="AZ24" s="173">
        <f ca="1">IF(OR($D24&lt;&gt;"Serviço",AND(AUTOEVENTO="Manual",$M24=$A$15),$M24&gt;(ROW(PLE.lastrow)-ROW(PLE.firstrow))),0,
           IF(OFFSET(PLE!$G$15,$M24-$A$15,AZ$13)="",10^12,OFFSET(PLE!$G$15,$M24-$A$15,AZ$13)))</f>
        <v>1000000000000</v>
      </c>
      <c r="BA24" s="173">
        <f ca="1">IF(OR($D24&lt;&gt;"Serviço",AND(AUTOEVENTO="Manual",$M24=$A$15),$M24&gt;(ROW(PLE.lastrow)-ROW(PLE.firstrow))),0,
           IF(OFFSET(PLE!$G$15,$M24-$A$15,BA$13)="",10^12,OFFSET(PLE!$G$15,$M24-$A$15,BA$13)))</f>
        <v>1000000000000</v>
      </c>
      <c r="BB24" s="173">
        <f ca="1">IF(OR($D24&lt;&gt;"Serviço",AND(AUTOEVENTO="Manual",$M24=$A$15),$M24&gt;(ROW(PLE.lastrow)-ROW(PLE.firstrow))),0,
           IF(OFFSET(PLE!$G$15,$M24-$A$15,BB$13)="",10^12,OFFSET(PLE!$G$15,$M24-$A$15,BB$13)))</f>
        <v>1000000000000</v>
      </c>
      <c r="BC24" s="173">
        <f ca="1">IF(OR($D24&lt;&gt;"Serviço",AND(AUTOEVENTO="Manual",$M24=$A$15),$M24&gt;(ROW(PLE.lastrow)-ROW(PLE.firstrow))),0,
           IF(OFFSET(PLE!$G$15,$M24-$A$15,BC$13)="",10^12,OFFSET(PLE!$G$15,$M24-$A$15,BC$13)))</f>
        <v>1000000000000</v>
      </c>
      <c r="BD24" s="173">
        <f ca="1">IF(OR($D24&lt;&gt;"Serviço",AND(AUTOEVENTO="Manual",$M24=$A$15),$M24&gt;(ROW(PLE.lastrow)-ROW(PLE.firstrow))),0,
           IF(OFFSET(PLE!$G$15,$M24-$A$15,BD$13)="",10^12,OFFSET(PLE!$G$15,$M24-$A$15,BD$13)))</f>
        <v>1000000000000</v>
      </c>
      <c r="BE24" s="173">
        <f ca="1">IF(OR($D24&lt;&gt;"Serviço",AND(AUTOEVENTO="Manual",$M24=$A$15),$M24&gt;(ROW(PLE.lastrow)-ROW(PLE.firstrow))),0,
           IF(OFFSET(PLE!$G$15,$M24-$A$15,BE$13)="",10^12,OFFSET(PLE!$G$15,$M24-$A$15,BE$13)))</f>
        <v>1000000000000</v>
      </c>
      <c r="BF24" s="173">
        <f ca="1">IF(OR($D24&lt;&gt;"Serviço",AND(AUTOEVENTO="Manual",$M24=$A$15),$M24&gt;(ROW(PLE.lastrow)-ROW(PLE.firstrow))),0,
           IF(OFFSET(PLE!$G$15,$M24-$A$15,BF$13)="",10^12,OFFSET(PLE!$G$15,$M24-$A$15,BF$13)))</f>
        <v>1000000000000</v>
      </c>
      <c r="BG24" s="173">
        <f ca="1">IF(OR($D24&lt;&gt;"Serviço",AND(AUTOEVENTO="Manual",$M24=$A$15),$M24&gt;(ROW(PLE.lastrow)-ROW(PLE.firstrow))),0,
           IF(OFFSET(PLE!$G$15,$M24-$A$15,BG$13)="",10^12,OFFSET(PLE!$G$15,$M24-$A$15,BG$13)))</f>
        <v>1000000000000</v>
      </c>
    </row>
    <row r="25" spans="1:59" ht="12.75" x14ac:dyDescent="0.2">
      <c r="A25" s="7" t="str">
        <f t="shared" ca="1" si="8"/>
        <v>6</v>
      </c>
      <c r="B25" s="7" t="str">
        <f ca="1">OFFSET(ORÇAMENTO!C$15,ROW(B25)-ROW(B$15),0)</f>
        <v>S</v>
      </c>
      <c r="C25" s="7" t="str">
        <f ca="1">OFFSET(ORÇAMENTO!L$15,ROW(C25)-ROW(C$15),0)</f>
        <v/>
      </c>
      <c r="D25" s="117" t="str">
        <f ca="1">OFFSET(ORÇAMENTO!N$15,ROW(D25)-ROW(D$15),0)</f>
        <v>Serviço</v>
      </c>
      <c r="E25" s="118" t="str">
        <f ca="1">OFFSET(ORÇAMENTO!O$15,ROW(E25)-ROW(E$15),0)</f>
        <v>-</v>
      </c>
      <c r="F25" s="164" t="str">
        <f ca="1">OFFSET(ORÇAMENTO!R$15,ROW(F25)-ROW(F$15),0)</f>
        <v>ALMOXARIFE COM ENCARGOS COMPLEMENTARES</v>
      </c>
      <c r="G25" s="165" t="str">
        <f ca="1">IF($D25&lt;&gt;"Serviço","",OFFSET(ORÇAMENTO!S$15,ROW(G25)-ROW(G$15),0))</f>
        <v>MES</v>
      </c>
      <c r="H25" s="123">
        <f ca="1">IF($D25&lt;&gt;"Serviço",0,IF(ACOMPANHAMENTO="BM",ROUND(OFFSET(ORÇAMENTO!AJ$15,ROW(H25)-ROW(H$15),0),15-13*ORÇAMENTO!$AF$7),SUMPRODUCT(($Q$1:$AA$1=1)*ROUND($Q25:$AA25,15-13*ORÇAMENTO!$AF$7))))</f>
        <v>6</v>
      </c>
      <c r="I25" s="469"/>
      <c r="J25" s="577" t="str" cm="1">
        <f t="array" aca="1" ref="J25" ca="1">IF(B25&lt;&gt;"S","",IF(AND(ACOMPANHAMENTO="PLE",AUTOEVENTO="Manual",OR(H25&gt;0,ORÇAMENTO!AC25="QUANT."),OR(K25="",M25=0,N25="")),"►",IF(AND(ACOMPANHAMENTO="PLE",ORÇAMENTO!AC25="QUANT."),"►►",IF(AND(COUNTIF($P$11:$AA$11,"▼")=0,H25&gt;0,I25=""),"◄",""))))</f>
        <v>◄</v>
      </c>
      <c r="K25" s="626"/>
      <c r="L25" s="166" t="s">
        <v>765</v>
      </c>
      <c r="M25" s="167">
        <f ca="1">IF($D25&lt;&gt;"Serviço","",
          IF(AUTOEVENTO="manual",$A25,
                IF(ISERROR(MATCH($A25,$A$15:OFFSET($A25,-1,0),0)),MAX($M$15:OFFSET(M25,-1,0))+1,
                      INDEX($M$15:OFFSET(M25,-1,0),MATCH($A25,$A$15:OFFSET($A25,-1,0),0)))))</f>
        <v>2</v>
      </c>
      <c r="N25" s="168" t="str">
        <f ca="1">IF($D25&lt;&gt;"Serviço","",
         IF(AUTOEVENTO="Manual",
                IF($A25=0,"&lt;-- defina o número do agrupador",
                       OFFSET(EVENTOS!$D$15,$A25-$A$15,0)),
                OFFSET($F$15,$A25,0)))</f>
        <v>SERVIÇOS PRELIMINARES</v>
      </c>
      <c r="O25" s="169"/>
      <c r="Q25" s="169"/>
      <c r="R25" s="170"/>
      <c r="S25" s="170"/>
      <c r="T25" s="170"/>
      <c r="U25" s="170"/>
      <c r="V25" s="170"/>
      <c r="W25" s="170"/>
      <c r="X25" s="170"/>
      <c r="Y25" s="170"/>
      <c r="Z25" s="171"/>
      <c r="AB25" s="454">
        <f ca="1">IF(AND($D25="Serviço",AB$12&lt;&gt;0,$H25&gt;0,OR(AUTOEVENTO&lt;&gt;"manual",$M25&lt;&gt;$A$15)),
        IF(Import.TipoArredondamento&lt;&gt;"TransfereGOV",
              ROUND(OFFSET($P25,0,AB$13),15-13*ORÇAMENTO!$AF$7)/$H25*OFFSET(ORÇAMENTO!$X$15,ROW(AB25)-ROW(AB$15),0),
              ROUND(ROUND(OFFSET($P25,0,AB$13),15-13*ORÇAMENTO!$AF$7)*OFFSET(ORÇAMENTO!$W$15,ROW(AB25)-ROW(AB$15),0),15-13*ORÇAMENTO!$AF$11)),
         0)</f>
        <v>0</v>
      </c>
      <c r="AC25" s="454">
        <f ca="1">IF(AND($D25="Serviço",AC$12&lt;&gt;0,$H25&gt;0,OR(AUTOEVENTO&lt;&gt;"manual",$M25&lt;&gt;$A$15)),
        IF(Import.TipoArredondamento&lt;&gt;"TransfereGOV",
              ROUND(OFFSET($P25,0,AC$13),15-13*ORÇAMENTO!$AF$7)/$H25*OFFSET(ORÇAMENTO!$X$15,ROW(AC25)-ROW(AC$15),0),
              ROUND(ROUND(OFFSET($P25,0,AC$13),15-13*ORÇAMENTO!$AF$7)*OFFSET(ORÇAMENTO!$W$15,ROW(AC25)-ROW(AC$15),0),15-13*ORÇAMENTO!$AF$11)),
         0)</f>
        <v>0</v>
      </c>
      <c r="AD25" s="454">
        <f ca="1">IF(AND($D25="Serviço",AD$12&lt;&gt;0,$H25&gt;0,OR(AUTOEVENTO&lt;&gt;"manual",$M25&lt;&gt;$A$15)),
        IF(Import.TipoArredondamento&lt;&gt;"TransfereGOV",
              ROUND(OFFSET($P25,0,AD$13),15-13*ORÇAMENTO!$AF$7)/$H25*OFFSET(ORÇAMENTO!$X$15,ROW(AD25)-ROW(AD$15),0),
              ROUND(ROUND(OFFSET($P25,0,AD$13),15-13*ORÇAMENTO!$AF$7)*OFFSET(ORÇAMENTO!$W$15,ROW(AD25)-ROW(AD$15),0),15-13*ORÇAMENTO!$AF$11)),
         0)</f>
        <v>0</v>
      </c>
      <c r="AE25" s="454">
        <f ca="1">IF(AND($D25="Serviço",AE$12&lt;&gt;0,$H25&gt;0,OR(AUTOEVENTO&lt;&gt;"manual",$M25&lt;&gt;$A$15)),
        IF(Import.TipoArredondamento&lt;&gt;"TransfereGOV",
              ROUND(OFFSET($P25,0,AE$13),15-13*ORÇAMENTO!$AF$7)/$H25*OFFSET(ORÇAMENTO!$X$15,ROW(AE25)-ROW(AE$15),0),
              ROUND(ROUND(OFFSET($P25,0,AE$13),15-13*ORÇAMENTO!$AF$7)*OFFSET(ORÇAMENTO!$W$15,ROW(AE25)-ROW(AE$15),0),15-13*ORÇAMENTO!$AF$11)),
         0)</f>
        <v>0</v>
      </c>
      <c r="AF25" s="454">
        <f ca="1">IF(AND($D25="Serviço",AF$12&lt;&gt;0,$H25&gt;0,OR(AUTOEVENTO&lt;&gt;"manual",$M25&lt;&gt;$A$15)),
        IF(Import.TipoArredondamento&lt;&gt;"TransfereGOV",
              ROUND(OFFSET($P25,0,AF$13),15-13*ORÇAMENTO!$AF$7)/$H25*OFFSET(ORÇAMENTO!$X$15,ROW(AF25)-ROW(AF$15),0),
              ROUND(ROUND(OFFSET($P25,0,AF$13),15-13*ORÇAMENTO!$AF$7)*OFFSET(ORÇAMENTO!$W$15,ROW(AF25)-ROW(AF$15),0),15-13*ORÇAMENTO!$AF$11)),
         0)</f>
        <v>0</v>
      </c>
      <c r="AG25" s="454">
        <f ca="1">IF(AND($D25="Serviço",AG$12&lt;&gt;0,$H25&gt;0,OR(AUTOEVENTO&lt;&gt;"manual",$M25&lt;&gt;$A$15)),
        IF(Import.TipoArredondamento&lt;&gt;"TransfereGOV",
              ROUND(OFFSET($P25,0,AG$13),15-13*ORÇAMENTO!$AF$7)/$H25*OFFSET(ORÇAMENTO!$X$15,ROW(AG25)-ROW(AG$15),0),
              ROUND(ROUND(OFFSET($P25,0,AG$13),15-13*ORÇAMENTO!$AF$7)*OFFSET(ORÇAMENTO!$W$15,ROW(AG25)-ROW(AG$15),0),15-13*ORÇAMENTO!$AF$11)),
         0)</f>
        <v>0</v>
      </c>
      <c r="AH25" s="454">
        <f ca="1">IF(AND($D25="Serviço",AH$12&lt;&gt;0,$H25&gt;0,OR(AUTOEVENTO&lt;&gt;"manual",$M25&lt;&gt;$A$15)),
        IF(Import.TipoArredondamento&lt;&gt;"TransfereGOV",
              ROUND(OFFSET($P25,0,AH$13),15-13*ORÇAMENTO!$AF$7)/$H25*OFFSET(ORÇAMENTO!$X$15,ROW(AH25)-ROW(AH$15),0),
              ROUND(ROUND(OFFSET($P25,0,AH$13),15-13*ORÇAMENTO!$AF$7)*OFFSET(ORÇAMENTO!$W$15,ROW(AH25)-ROW(AH$15),0),15-13*ORÇAMENTO!$AF$11)),
         0)</f>
        <v>0</v>
      </c>
      <c r="AI25" s="454">
        <f ca="1">IF(AND($D25="Serviço",AI$12&lt;&gt;0,$H25&gt;0,OR(AUTOEVENTO&lt;&gt;"manual",$M25&lt;&gt;$A$15)),
        IF(Import.TipoArredondamento&lt;&gt;"TransfereGOV",
              ROUND(OFFSET($P25,0,AI$13),15-13*ORÇAMENTO!$AF$7)/$H25*OFFSET(ORÇAMENTO!$X$15,ROW(AI25)-ROW(AI$15),0),
              ROUND(ROUND(OFFSET($P25,0,AI$13),15-13*ORÇAMENTO!$AF$7)*OFFSET(ORÇAMENTO!$W$15,ROW(AI25)-ROW(AI$15),0),15-13*ORÇAMENTO!$AF$11)),
         0)</f>
        <v>0</v>
      </c>
      <c r="AJ25" s="454">
        <f ca="1">IF(AND($D25="Serviço",AJ$12&lt;&gt;0,$H25&gt;0,OR(AUTOEVENTO&lt;&gt;"manual",$M25&lt;&gt;$A$15)),
        IF(Import.TipoArredondamento&lt;&gt;"TransfereGOV",
              ROUND(OFFSET($P25,0,AJ$13),15-13*ORÇAMENTO!$AF$7)/$H25*OFFSET(ORÇAMENTO!$X$15,ROW(AJ25)-ROW(AJ$15),0),
              ROUND(ROUND(OFFSET($P25,0,AJ$13),15-13*ORÇAMENTO!$AF$7)*OFFSET(ORÇAMENTO!$W$15,ROW(AJ25)-ROW(AJ$15),0),15-13*ORÇAMENTO!$AF$11)),
         0)</f>
        <v>0</v>
      </c>
      <c r="AK25" s="454">
        <f ca="1">IF(AND($D25="Serviço",AK$12&lt;&gt;0,$H25&gt;0,OR(AUTOEVENTO&lt;&gt;"manual",$M25&lt;&gt;$A$15)),
        IF(Import.TipoArredondamento&lt;&gt;"TransfereGOV",
              ROUND(OFFSET($P25,0,AK$13),15-13*ORÇAMENTO!$AF$7)/$H25*OFFSET(ORÇAMENTO!$X$15,ROW(AK25)-ROW(AK$15),0),
              ROUND(ROUND(OFFSET($P25,0,AK$13),15-13*ORÇAMENTO!$AF$7)*OFFSET(ORÇAMENTO!$W$15,ROW(AK25)-ROW(AK$15),0),15-13*ORÇAMENTO!$AF$11)),
         0)</f>
        <v>0</v>
      </c>
      <c r="AM25" s="172">
        <f ca="1">IF(OR($D25&lt;&gt;"Serviço",AND(AUTOEVENTO="Manual",$M25=$A$15)),0,
         IF(OFFSET(CRONOPLE!$F$15,$M25-$A$15,AM$13)="",10^12,OFFSET(CRONOPLE!$F$15,$M25-$A$15,AM$13)))</f>
        <v>1000000000000</v>
      </c>
      <c r="AN25" s="172">
        <f ca="1">IF(OR($D25&lt;&gt;"Serviço",AND(AUTOEVENTO="Manual",$M25=$A$15)),0,
         IF(OFFSET(CRONOPLE!$F$15,$M25-$A$15,AN$13)="",10^12,OFFSET(CRONOPLE!$F$15,$M25-$A$15,AN$13)))</f>
        <v>1000000000000</v>
      </c>
      <c r="AO25" s="172">
        <f ca="1">IF(OR($D25&lt;&gt;"Serviço",AND(AUTOEVENTO="Manual",$M25=$A$15)),0,
         IF(OFFSET(CRONOPLE!$F$15,$M25-$A$15,AO$13)="",10^12,OFFSET(CRONOPLE!$F$15,$M25-$A$15,AO$13)))</f>
        <v>1000000000000</v>
      </c>
      <c r="AP25" s="172">
        <f ca="1">IF(OR($D25&lt;&gt;"Serviço",AND(AUTOEVENTO="Manual",$M25=$A$15)),0,
         IF(OFFSET(CRONOPLE!$F$15,$M25-$A$15,AP$13)="",10^12,OFFSET(CRONOPLE!$F$15,$M25-$A$15,AP$13)))</f>
        <v>1000000000000</v>
      </c>
      <c r="AQ25" s="172">
        <f ca="1">IF(OR($D25&lt;&gt;"Serviço",AND(AUTOEVENTO="Manual",$M25=$A$15)),0,
         IF(OFFSET(CRONOPLE!$F$15,$M25-$A$15,AQ$13)="",10^12,OFFSET(CRONOPLE!$F$15,$M25-$A$15,AQ$13)))</f>
        <v>1000000000000</v>
      </c>
      <c r="AR25" s="172">
        <f ca="1">IF(OR($D25&lt;&gt;"Serviço",AND(AUTOEVENTO="Manual",$M25=$A$15)),0,
         IF(OFFSET(CRONOPLE!$F$15,$M25-$A$15,AR$13)="",10^12,OFFSET(CRONOPLE!$F$15,$M25-$A$15,AR$13)))</f>
        <v>1000000000000</v>
      </c>
      <c r="AS25" s="172">
        <f ca="1">IF(OR($D25&lt;&gt;"Serviço",AND(AUTOEVENTO="Manual",$M25=$A$15)),0,
         IF(OFFSET(CRONOPLE!$F$15,$M25-$A$15,AS$13)="",10^12,OFFSET(CRONOPLE!$F$15,$M25-$A$15,AS$13)))</f>
        <v>1000000000000</v>
      </c>
      <c r="AT25" s="172">
        <f ca="1">IF(OR($D25&lt;&gt;"Serviço",AND(AUTOEVENTO="Manual",$M25=$A$15)),0,
         IF(OFFSET(CRONOPLE!$F$15,$M25-$A$15,AT$13)="",10^12,OFFSET(CRONOPLE!$F$15,$M25-$A$15,AT$13)))</f>
        <v>1000000000000</v>
      </c>
      <c r="AU25" s="172">
        <f ca="1">IF(OR($D25&lt;&gt;"Serviço",AND(AUTOEVENTO="Manual",$M25=$A$15)),0,
         IF(OFFSET(CRONOPLE!$F$15,$M25-$A$15,AU$13)="",10^12,OFFSET(CRONOPLE!$F$15,$M25-$A$15,AU$13)))</f>
        <v>1000000000000</v>
      </c>
      <c r="AV25" s="172">
        <f ca="1">IF(OR($D25&lt;&gt;"Serviço",AND(AUTOEVENTO="Manual",$M25=$A$15)),0,
         IF(OFFSET(CRONOPLE!$F$15,$M25-$A$15,AV$13)="",10^12,OFFSET(CRONOPLE!$F$15,$M25-$A$15,AV$13)))</f>
        <v>1000000000000</v>
      </c>
      <c r="AX25" s="173">
        <f ca="1">IF(OR($D25&lt;&gt;"Serviço",AND(AUTOEVENTO="Manual",$M25=$A$15),$M25&gt;(ROW(PLE.lastrow)-ROW(PLE.firstrow))),0,
           IF(OFFSET(PLE!$G$15,$M25-$A$15,AX$13)="",10^12,OFFSET(PLE!$G$15,$M25-$A$15,AX$13)))</f>
        <v>1000000000000</v>
      </c>
      <c r="AY25" s="173">
        <f ca="1">IF(OR($D25&lt;&gt;"Serviço",AND(AUTOEVENTO="Manual",$M25=$A$15),$M25&gt;(ROW(PLE.lastrow)-ROW(PLE.firstrow))),0,
           IF(OFFSET(PLE!$G$15,$M25-$A$15,AY$13)="",10^12,OFFSET(PLE!$G$15,$M25-$A$15,AY$13)))</f>
        <v>1000000000000</v>
      </c>
      <c r="AZ25" s="173">
        <f ca="1">IF(OR($D25&lt;&gt;"Serviço",AND(AUTOEVENTO="Manual",$M25=$A$15),$M25&gt;(ROW(PLE.lastrow)-ROW(PLE.firstrow))),0,
           IF(OFFSET(PLE!$G$15,$M25-$A$15,AZ$13)="",10^12,OFFSET(PLE!$G$15,$M25-$A$15,AZ$13)))</f>
        <v>1000000000000</v>
      </c>
      <c r="BA25" s="173">
        <f ca="1">IF(OR($D25&lt;&gt;"Serviço",AND(AUTOEVENTO="Manual",$M25=$A$15),$M25&gt;(ROW(PLE.lastrow)-ROW(PLE.firstrow))),0,
           IF(OFFSET(PLE!$G$15,$M25-$A$15,BA$13)="",10^12,OFFSET(PLE!$G$15,$M25-$A$15,BA$13)))</f>
        <v>1000000000000</v>
      </c>
      <c r="BB25" s="173">
        <f ca="1">IF(OR($D25&lt;&gt;"Serviço",AND(AUTOEVENTO="Manual",$M25=$A$15),$M25&gt;(ROW(PLE.lastrow)-ROW(PLE.firstrow))),0,
           IF(OFFSET(PLE!$G$15,$M25-$A$15,BB$13)="",10^12,OFFSET(PLE!$G$15,$M25-$A$15,BB$13)))</f>
        <v>1000000000000</v>
      </c>
      <c r="BC25" s="173">
        <f ca="1">IF(OR($D25&lt;&gt;"Serviço",AND(AUTOEVENTO="Manual",$M25=$A$15),$M25&gt;(ROW(PLE.lastrow)-ROW(PLE.firstrow))),0,
           IF(OFFSET(PLE!$G$15,$M25-$A$15,BC$13)="",10^12,OFFSET(PLE!$G$15,$M25-$A$15,BC$13)))</f>
        <v>1000000000000</v>
      </c>
      <c r="BD25" s="173">
        <f ca="1">IF(OR($D25&lt;&gt;"Serviço",AND(AUTOEVENTO="Manual",$M25=$A$15),$M25&gt;(ROW(PLE.lastrow)-ROW(PLE.firstrow))),0,
           IF(OFFSET(PLE!$G$15,$M25-$A$15,BD$13)="",10^12,OFFSET(PLE!$G$15,$M25-$A$15,BD$13)))</f>
        <v>1000000000000</v>
      </c>
      <c r="BE25" s="173">
        <f ca="1">IF(OR($D25&lt;&gt;"Serviço",AND(AUTOEVENTO="Manual",$M25=$A$15),$M25&gt;(ROW(PLE.lastrow)-ROW(PLE.firstrow))),0,
           IF(OFFSET(PLE!$G$15,$M25-$A$15,BE$13)="",10^12,OFFSET(PLE!$G$15,$M25-$A$15,BE$13)))</f>
        <v>1000000000000</v>
      </c>
      <c r="BF25" s="173">
        <f ca="1">IF(OR($D25&lt;&gt;"Serviço",AND(AUTOEVENTO="Manual",$M25=$A$15),$M25&gt;(ROW(PLE.lastrow)-ROW(PLE.firstrow))),0,
           IF(OFFSET(PLE!$G$15,$M25-$A$15,BF$13)="",10^12,OFFSET(PLE!$G$15,$M25-$A$15,BF$13)))</f>
        <v>1000000000000</v>
      </c>
      <c r="BG25" s="173">
        <f ca="1">IF(OR($D25&lt;&gt;"Serviço",AND(AUTOEVENTO="Manual",$M25=$A$15),$M25&gt;(ROW(PLE.lastrow)-ROW(PLE.firstrow))),0,
           IF(OFFSET(PLE!$G$15,$M25-$A$15,BG$13)="",10^12,OFFSET(PLE!$G$15,$M25-$A$15,BG$13)))</f>
        <v>1000000000000</v>
      </c>
    </row>
    <row r="26" spans="1:59" ht="12.75" x14ac:dyDescent="0.2">
      <c r="A26" s="7" t="str">
        <f t="shared" ca="1" si="8"/>
        <v>6</v>
      </c>
      <c r="B26" s="7" t="str">
        <f ca="1">OFFSET(ORÇAMENTO!C$15,ROW(B26)-ROW(B$15),0)</f>
        <v>S</v>
      </c>
      <c r="C26" s="7" t="str">
        <f ca="1">OFFSET(ORÇAMENTO!L$15,ROW(C26)-ROW(C$15),0)</f>
        <v/>
      </c>
      <c r="D26" s="117" t="str">
        <f ca="1">OFFSET(ORÇAMENTO!N$15,ROW(D26)-ROW(D$15),0)</f>
        <v>Serviço</v>
      </c>
      <c r="E26" s="118" t="str">
        <f ca="1">OFFSET(ORÇAMENTO!O$15,ROW(E26)-ROW(E$15),0)</f>
        <v>-</v>
      </c>
      <c r="F26" s="164" t="str">
        <f ca="1">OFFSET(ORÇAMENTO!R$15,ROW(F26)-ROW(F$15),0)</f>
        <v>INSTALAÇÃO PROVIS. UNIS. SANIT. C/ 5,00 m²</v>
      </c>
      <c r="G26" s="165" t="str">
        <f ca="1">IF($D26&lt;&gt;"Serviço","",OFFSET(ORÇAMENTO!S$15,ROW(G26)-ROW(G$15),0))</f>
        <v>UN</v>
      </c>
      <c r="H26" s="123">
        <f ca="1">IF($D26&lt;&gt;"Serviço",0,IF(ACOMPANHAMENTO="BM",ROUND(OFFSET(ORÇAMENTO!AJ$15,ROW(H26)-ROW(H$15),0),15-13*ORÇAMENTO!$AF$7),SUMPRODUCT(($Q$1:$AA$1=1)*ROUND($Q26:$AA26,15-13*ORÇAMENTO!$AF$7))))</f>
        <v>2</v>
      </c>
      <c r="I26" s="469"/>
      <c r="J26" s="577" t="str" cm="1">
        <f t="array" aca="1" ref="J26" ca="1">IF(B26&lt;&gt;"S","",IF(AND(ACOMPANHAMENTO="PLE",AUTOEVENTO="Manual",OR(H26&gt;0,ORÇAMENTO!AC26="QUANT."),OR(K26="",M26=0,N26="")),"►",IF(AND(ACOMPANHAMENTO="PLE",ORÇAMENTO!AC26="QUANT."),"►►",IF(AND(COUNTIF($P$11:$AA$11,"▼")=0,H26&gt;0,I26=""),"◄",""))))</f>
        <v>◄</v>
      </c>
      <c r="K26" s="626"/>
      <c r="L26" s="166" t="s">
        <v>765</v>
      </c>
      <c r="M26" s="167">
        <f ca="1">IF($D26&lt;&gt;"Serviço","",
          IF(AUTOEVENTO="manual",$A26,
                IF(ISERROR(MATCH($A26,$A$15:OFFSET($A26,-1,0),0)),MAX($M$15:OFFSET(M26,-1,0))+1,
                      INDEX($M$15:OFFSET(M26,-1,0),MATCH($A26,$A$15:OFFSET($A26,-1,0),0)))))</f>
        <v>2</v>
      </c>
      <c r="N26" s="168" t="str">
        <f ca="1">IF($D26&lt;&gt;"Serviço","",
         IF(AUTOEVENTO="Manual",
                IF($A26=0,"&lt;-- defina o número do agrupador",
                       OFFSET(EVENTOS!$D$15,$A26-$A$15,0)),
                OFFSET($F$15,$A26,0)))</f>
        <v>SERVIÇOS PRELIMINARES</v>
      </c>
      <c r="O26" s="169"/>
      <c r="Q26" s="169"/>
      <c r="R26" s="170"/>
      <c r="S26" s="170"/>
      <c r="T26" s="170"/>
      <c r="U26" s="170"/>
      <c r="V26" s="170"/>
      <c r="W26" s="170"/>
      <c r="X26" s="170"/>
      <c r="Y26" s="170"/>
      <c r="Z26" s="171"/>
      <c r="AB26" s="454">
        <f ca="1">IF(AND($D26="Serviço",AB$12&lt;&gt;0,$H26&gt;0,OR(AUTOEVENTO&lt;&gt;"manual",$M26&lt;&gt;$A$15)),
        IF(Import.TipoArredondamento&lt;&gt;"TransfereGOV",
              ROUND(OFFSET($P26,0,AB$13),15-13*ORÇAMENTO!$AF$7)/$H26*OFFSET(ORÇAMENTO!$X$15,ROW(AB26)-ROW(AB$15),0),
              ROUND(ROUND(OFFSET($P26,0,AB$13),15-13*ORÇAMENTO!$AF$7)*OFFSET(ORÇAMENTO!$W$15,ROW(AB26)-ROW(AB$15),0),15-13*ORÇAMENTO!$AF$11)),
         0)</f>
        <v>0</v>
      </c>
      <c r="AC26" s="454">
        <f ca="1">IF(AND($D26="Serviço",AC$12&lt;&gt;0,$H26&gt;0,OR(AUTOEVENTO&lt;&gt;"manual",$M26&lt;&gt;$A$15)),
        IF(Import.TipoArredondamento&lt;&gt;"TransfereGOV",
              ROUND(OFFSET($P26,0,AC$13),15-13*ORÇAMENTO!$AF$7)/$H26*OFFSET(ORÇAMENTO!$X$15,ROW(AC26)-ROW(AC$15),0),
              ROUND(ROUND(OFFSET($P26,0,AC$13),15-13*ORÇAMENTO!$AF$7)*OFFSET(ORÇAMENTO!$W$15,ROW(AC26)-ROW(AC$15),0),15-13*ORÇAMENTO!$AF$11)),
         0)</f>
        <v>0</v>
      </c>
      <c r="AD26" s="454">
        <f ca="1">IF(AND($D26="Serviço",AD$12&lt;&gt;0,$H26&gt;0,OR(AUTOEVENTO&lt;&gt;"manual",$M26&lt;&gt;$A$15)),
        IF(Import.TipoArredondamento&lt;&gt;"TransfereGOV",
              ROUND(OFFSET($P26,0,AD$13),15-13*ORÇAMENTO!$AF$7)/$H26*OFFSET(ORÇAMENTO!$X$15,ROW(AD26)-ROW(AD$15),0),
              ROUND(ROUND(OFFSET($P26,0,AD$13),15-13*ORÇAMENTO!$AF$7)*OFFSET(ORÇAMENTO!$W$15,ROW(AD26)-ROW(AD$15),0),15-13*ORÇAMENTO!$AF$11)),
         0)</f>
        <v>0</v>
      </c>
      <c r="AE26" s="454">
        <f ca="1">IF(AND($D26="Serviço",AE$12&lt;&gt;0,$H26&gt;0,OR(AUTOEVENTO&lt;&gt;"manual",$M26&lt;&gt;$A$15)),
        IF(Import.TipoArredondamento&lt;&gt;"TransfereGOV",
              ROUND(OFFSET($P26,0,AE$13),15-13*ORÇAMENTO!$AF$7)/$H26*OFFSET(ORÇAMENTO!$X$15,ROW(AE26)-ROW(AE$15),0),
              ROUND(ROUND(OFFSET($P26,0,AE$13),15-13*ORÇAMENTO!$AF$7)*OFFSET(ORÇAMENTO!$W$15,ROW(AE26)-ROW(AE$15),0),15-13*ORÇAMENTO!$AF$11)),
         0)</f>
        <v>0</v>
      </c>
      <c r="AF26" s="454">
        <f ca="1">IF(AND($D26="Serviço",AF$12&lt;&gt;0,$H26&gt;0,OR(AUTOEVENTO&lt;&gt;"manual",$M26&lt;&gt;$A$15)),
        IF(Import.TipoArredondamento&lt;&gt;"TransfereGOV",
              ROUND(OFFSET($P26,0,AF$13),15-13*ORÇAMENTO!$AF$7)/$H26*OFFSET(ORÇAMENTO!$X$15,ROW(AF26)-ROW(AF$15),0),
              ROUND(ROUND(OFFSET($P26,0,AF$13),15-13*ORÇAMENTO!$AF$7)*OFFSET(ORÇAMENTO!$W$15,ROW(AF26)-ROW(AF$15),0),15-13*ORÇAMENTO!$AF$11)),
         0)</f>
        <v>0</v>
      </c>
      <c r="AG26" s="454">
        <f ca="1">IF(AND($D26="Serviço",AG$12&lt;&gt;0,$H26&gt;0,OR(AUTOEVENTO&lt;&gt;"manual",$M26&lt;&gt;$A$15)),
        IF(Import.TipoArredondamento&lt;&gt;"TransfereGOV",
              ROUND(OFFSET($P26,0,AG$13),15-13*ORÇAMENTO!$AF$7)/$H26*OFFSET(ORÇAMENTO!$X$15,ROW(AG26)-ROW(AG$15),0),
              ROUND(ROUND(OFFSET($P26,0,AG$13),15-13*ORÇAMENTO!$AF$7)*OFFSET(ORÇAMENTO!$W$15,ROW(AG26)-ROW(AG$15),0),15-13*ORÇAMENTO!$AF$11)),
         0)</f>
        <v>0</v>
      </c>
      <c r="AH26" s="454">
        <f ca="1">IF(AND($D26="Serviço",AH$12&lt;&gt;0,$H26&gt;0,OR(AUTOEVENTO&lt;&gt;"manual",$M26&lt;&gt;$A$15)),
        IF(Import.TipoArredondamento&lt;&gt;"TransfereGOV",
              ROUND(OFFSET($P26,0,AH$13),15-13*ORÇAMENTO!$AF$7)/$H26*OFFSET(ORÇAMENTO!$X$15,ROW(AH26)-ROW(AH$15),0),
              ROUND(ROUND(OFFSET($P26,0,AH$13),15-13*ORÇAMENTO!$AF$7)*OFFSET(ORÇAMENTO!$W$15,ROW(AH26)-ROW(AH$15),0),15-13*ORÇAMENTO!$AF$11)),
         0)</f>
        <v>0</v>
      </c>
      <c r="AI26" s="454">
        <f ca="1">IF(AND($D26="Serviço",AI$12&lt;&gt;0,$H26&gt;0,OR(AUTOEVENTO&lt;&gt;"manual",$M26&lt;&gt;$A$15)),
        IF(Import.TipoArredondamento&lt;&gt;"TransfereGOV",
              ROUND(OFFSET($P26,0,AI$13),15-13*ORÇAMENTO!$AF$7)/$H26*OFFSET(ORÇAMENTO!$X$15,ROW(AI26)-ROW(AI$15),0),
              ROUND(ROUND(OFFSET($P26,0,AI$13),15-13*ORÇAMENTO!$AF$7)*OFFSET(ORÇAMENTO!$W$15,ROW(AI26)-ROW(AI$15),0),15-13*ORÇAMENTO!$AF$11)),
         0)</f>
        <v>0</v>
      </c>
      <c r="AJ26" s="454">
        <f ca="1">IF(AND($D26="Serviço",AJ$12&lt;&gt;0,$H26&gt;0,OR(AUTOEVENTO&lt;&gt;"manual",$M26&lt;&gt;$A$15)),
        IF(Import.TipoArredondamento&lt;&gt;"TransfereGOV",
              ROUND(OFFSET($P26,0,AJ$13),15-13*ORÇAMENTO!$AF$7)/$H26*OFFSET(ORÇAMENTO!$X$15,ROW(AJ26)-ROW(AJ$15),0),
              ROUND(ROUND(OFFSET($P26,0,AJ$13),15-13*ORÇAMENTO!$AF$7)*OFFSET(ORÇAMENTO!$W$15,ROW(AJ26)-ROW(AJ$15),0),15-13*ORÇAMENTO!$AF$11)),
         0)</f>
        <v>0</v>
      </c>
      <c r="AK26" s="454">
        <f ca="1">IF(AND($D26="Serviço",AK$12&lt;&gt;0,$H26&gt;0,OR(AUTOEVENTO&lt;&gt;"manual",$M26&lt;&gt;$A$15)),
        IF(Import.TipoArredondamento&lt;&gt;"TransfereGOV",
              ROUND(OFFSET($P26,0,AK$13),15-13*ORÇAMENTO!$AF$7)/$H26*OFFSET(ORÇAMENTO!$X$15,ROW(AK26)-ROW(AK$15),0),
              ROUND(ROUND(OFFSET($P26,0,AK$13),15-13*ORÇAMENTO!$AF$7)*OFFSET(ORÇAMENTO!$W$15,ROW(AK26)-ROW(AK$15),0),15-13*ORÇAMENTO!$AF$11)),
         0)</f>
        <v>0</v>
      </c>
      <c r="AM26" s="172">
        <f ca="1">IF(OR($D26&lt;&gt;"Serviço",AND(AUTOEVENTO="Manual",$M26=$A$15)),0,
         IF(OFFSET(CRONOPLE!$F$15,$M26-$A$15,AM$13)="",10^12,OFFSET(CRONOPLE!$F$15,$M26-$A$15,AM$13)))</f>
        <v>1000000000000</v>
      </c>
      <c r="AN26" s="172">
        <f ca="1">IF(OR($D26&lt;&gt;"Serviço",AND(AUTOEVENTO="Manual",$M26=$A$15)),0,
         IF(OFFSET(CRONOPLE!$F$15,$M26-$A$15,AN$13)="",10^12,OFFSET(CRONOPLE!$F$15,$M26-$A$15,AN$13)))</f>
        <v>1000000000000</v>
      </c>
      <c r="AO26" s="172">
        <f ca="1">IF(OR($D26&lt;&gt;"Serviço",AND(AUTOEVENTO="Manual",$M26=$A$15)),0,
         IF(OFFSET(CRONOPLE!$F$15,$M26-$A$15,AO$13)="",10^12,OFFSET(CRONOPLE!$F$15,$M26-$A$15,AO$13)))</f>
        <v>1000000000000</v>
      </c>
      <c r="AP26" s="172">
        <f ca="1">IF(OR($D26&lt;&gt;"Serviço",AND(AUTOEVENTO="Manual",$M26=$A$15)),0,
         IF(OFFSET(CRONOPLE!$F$15,$M26-$A$15,AP$13)="",10^12,OFFSET(CRONOPLE!$F$15,$M26-$A$15,AP$13)))</f>
        <v>1000000000000</v>
      </c>
      <c r="AQ26" s="172">
        <f ca="1">IF(OR($D26&lt;&gt;"Serviço",AND(AUTOEVENTO="Manual",$M26=$A$15)),0,
         IF(OFFSET(CRONOPLE!$F$15,$M26-$A$15,AQ$13)="",10^12,OFFSET(CRONOPLE!$F$15,$M26-$A$15,AQ$13)))</f>
        <v>1000000000000</v>
      </c>
      <c r="AR26" s="172">
        <f ca="1">IF(OR($D26&lt;&gt;"Serviço",AND(AUTOEVENTO="Manual",$M26=$A$15)),0,
         IF(OFFSET(CRONOPLE!$F$15,$M26-$A$15,AR$13)="",10^12,OFFSET(CRONOPLE!$F$15,$M26-$A$15,AR$13)))</f>
        <v>1000000000000</v>
      </c>
      <c r="AS26" s="172">
        <f ca="1">IF(OR($D26&lt;&gt;"Serviço",AND(AUTOEVENTO="Manual",$M26=$A$15)),0,
         IF(OFFSET(CRONOPLE!$F$15,$M26-$A$15,AS$13)="",10^12,OFFSET(CRONOPLE!$F$15,$M26-$A$15,AS$13)))</f>
        <v>1000000000000</v>
      </c>
      <c r="AT26" s="172">
        <f ca="1">IF(OR($D26&lt;&gt;"Serviço",AND(AUTOEVENTO="Manual",$M26=$A$15)),0,
         IF(OFFSET(CRONOPLE!$F$15,$M26-$A$15,AT$13)="",10^12,OFFSET(CRONOPLE!$F$15,$M26-$A$15,AT$13)))</f>
        <v>1000000000000</v>
      </c>
      <c r="AU26" s="172">
        <f ca="1">IF(OR($D26&lt;&gt;"Serviço",AND(AUTOEVENTO="Manual",$M26=$A$15)),0,
         IF(OFFSET(CRONOPLE!$F$15,$M26-$A$15,AU$13)="",10^12,OFFSET(CRONOPLE!$F$15,$M26-$A$15,AU$13)))</f>
        <v>1000000000000</v>
      </c>
      <c r="AV26" s="172">
        <f ca="1">IF(OR($D26&lt;&gt;"Serviço",AND(AUTOEVENTO="Manual",$M26=$A$15)),0,
         IF(OFFSET(CRONOPLE!$F$15,$M26-$A$15,AV$13)="",10^12,OFFSET(CRONOPLE!$F$15,$M26-$A$15,AV$13)))</f>
        <v>1000000000000</v>
      </c>
      <c r="AX26" s="173">
        <f ca="1">IF(OR($D26&lt;&gt;"Serviço",AND(AUTOEVENTO="Manual",$M26=$A$15),$M26&gt;(ROW(PLE.lastrow)-ROW(PLE.firstrow))),0,
           IF(OFFSET(PLE!$G$15,$M26-$A$15,AX$13)="",10^12,OFFSET(PLE!$G$15,$M26-$A$15,AX$13)))</f>
        <v>1000000000000</v>
      </c>
      <c r="AY26" s="173">
        <f ca="1">IF(OR($D26&lt;&gt;"Serviço",AND(AUTOEVENTO="Manual",$M26=$A$15),$M26&gt;(ROW(PLE.lastrow)-ROW(PLE.firstrow))),0,
           IF(OFFSET(PLE!$G$15,$M26-$A$15,AY$13)="",10^12,OFFSET(PLE!$G$15,$M26-$A$15,AY$13)))</f>
        <v>1000000000000</v>
      </c>
      <c r="AZ26" s="173">
        <f ca="1">IF(OR($D26&lt;&gt;"Serviço",AND(AUTOEVENTO="Manual",$M26=$A$15),$M26&gt;(ROW(PLE.lastrow)-ROW(PLE.firstrow))),0,
           IF(OFFSET(PLE!$G$15,$M26-$A$15,AZ$13)="",10^12,OFFSET(PLE!$G$15,$M26-$A$15,AZ$13)))</f>
        <v>1000000000000</v>
      </c>
      <c r="BA26" s="173">
        <f ca="1">IF(OR($D26&lt;&gt;"Serviço",AND(AUTOEVENTO="Manual",$M26=$A$15),$M26&gt;(ROW(PLE.lastrow)-ROW(PLE.firstrow))),0,
           IF(OFFSET(PLE!$G$15,$M26-$A$15,BA$13)="",10^12,OFFSET(PLE!$G$15,$M26-$A$15,BA$13)))</f>
        <v>1000000000000</v>
      </c>
      <c r="BB26" s="173">
        <f ca="1">IF(OR($D26&lt;&gt;"Serviço",AND(AUTOEVENTO="Manual",$M26=$A$15),$M26&gt;(ROW(PLE.lastrow)-ROW(PLE.firstrow))),0,
           IF(OFFSET(PLE!$G$15,$M26-$A$15,BB$13)="",10^12,OFFSET(PLE!$G$15,$M26-$A$15,BB$13)))</f>
        <v>1000000000000</v>
      </c>
      <c r="BC26" s="173">
        <f ca="1">IF(OR($D26&lt;&gt;"Serviço",AND(AUTOEVENTO="Manual",$M26=$A$15),$M26&gt;(ROW(PLE.lastrow)-ROW(PLE.firstrow))),0,
           IF(OFFSET(PLE!$G$15,$M26-$A$15,BC$13)="",10^12,OFFSET(PLE!$G$15,$M26-$A$15,BC$13)))</f>
        <v>1000000000000</v>
      </c>
      <c r="BD26" s="173">
        <f ca="1">IF(OR($D26&lt;&gt;"Serviço",AND(AUTOEVENTO="Manual",$M26=$A$15),$M26&gt;(ROW(PLE.lastrow)-ROW(PLE.firstrow))),0,
           IF(OFFSET(PLE!$G$15,$M26-$A$15,BD$13)="",10^12,OFFSET(PLE!$G$15,$M26-$A$15,BD$13)))</f>
        <v>1000000000000</v>
      </c>
      <c r="BE26" s="173">
        <f ca="1">IF(OR($D26&lt;&gt;"Serviço",AND(AUTOEVENTO="Manual",$M26=$A$15),$M26&gt;(ROW(PLE.lastrow)-ROW(PLE.firstrow))),0,
           IF(OFFSET(PLE!$G$15,$M26-$A$15,BE$13)="",10^12,OFFSET(PLE!$G$15,$M26-$A$15,BE$13)))</f>
        <v>1000000000000</v>
      </c>
      <c r="BF26" s="173">
        <f ca="1">IF(OR($D26&lt;&gt;"Serviço",AND(AUTOEVENTO="Manual",$M26=$A$15),$M26&gt;(ROW(PLE.lastrow)-ROW(PLE.firstrow))),0,
           IF(OFFSET(PLE!$G$15,$M26-$A$15,BF$13)="",10^12,OFFSET(PLE!$G$15,$M26-$A$15,BF$13)))</f>
        <v>1000000000000</v>
      </c>
      <c r="BG26" s="173">
        <f ca="1">IF(OR($D26&lt;&gt;"Serviço",AND(AUTOEVENTO="Manual",$M26=$A$15),$M26&gt;(ROW(PLE.lastrow)-ROW(PLE.firstrow))),0,
           IF(OFFSET(PLE!$G$15,$M26-$A$15,BG$13)="",10^12,OFFSET(PLE!$G$15,$M26-$A$15,BG$13)))</f>
        <v>1000000000000</v>
      </c>
    </row>
    <row r="27" spans="1:59" ht="12.75" x14ac:dyDescent="0.2">
      <c r="A27" s="7" t="str">
        <f t="shared" ca="1" si="8"/>
        <v>6</v>
      </c>
      <c r="B27" s="7" t="str">
        <f ca="1">OFFSET(ORÇAMENTO!C$15,ROW(B27)-ROW(B$15),0)</f>
        <v>S</v>
      </c>
      <c r="C27" s="7" t="str">
        <f ca="1">OFFSET(ORÇAMENTO!L$15,ROW(C27)-ROW(C$15),0)</f>
        <v/>
      </c>
      <c r="D27" s="117" t="str">
        <f ca="1">OFFSET(ORÇAMENTO!N$15,ROW(D27)-ROW(D$15),0)</f>
        <v>Serviço</v>
      </c>
      <c r="E27" s="118" t="str">
        <f ca="1">OFFSET(ORÇAMENTO!O$15,ROW(E27)-ROW(E$15),0)</f>
        <v>-</v>
      </c>
      <c r="F27" s="164" t="str">
        <f ca="1">OFFSET(ORÇAMENTO!R$15,ROW(F27)-ROW(F$15),0)</f>
        <v>TAPUME COM COMPENSADO DE MADEIRA. AF_03/2024</v>
      </c>
      <c r="G27" s="165" t="str">
        <f ca="1">IF($D27&lt;&gt;"Serviço","",OFFSET(ORÇAMENTO!S$15,ROW(G27)-ROW(G$15),0))</f>
        <v>M2</v>
      </c>
      <c r="H27" s="123">
        <f ca="1">IF($D27&lt;&gt;"Serviço",0,IF(ACOMPANHAMENTO="BM",ROUND(OFFSET(ORÇAMENTO!AJ$15,ROW(H27)-ROW(H$15),0),15-13*ORÇAMENTO!$AF$7),SUMPRODUCT(($Q$1:$AA$1=1)*ROUND($Q27:$AA27,15-13*ORÇAMENTO!$AF$7))))</f>
        <v>402.6</v>
      </c>
      <c r="I27" s="469"/>
      <c r="J27" s="577" t="str" cm="1">
        <f t="array" aca="1" ref="J27" ca="1">IF(B27&lt;&gt;"S","",IF(AND(ACOMPANHAMENTO="PLE",AUTOEVENTO="Manual",OR(H27&gt;0,ORÇAMENTO!AC27="QUANT."),OR(K27="",M27=0,N27="")),"►",IF(AND(ACOMPANHAMENTO="PLE",ORÇAMENTO!AC27="QUANT."),"►►",IF(AND(COUNTIF($P$11:$AA$11,"▼")=0,H27&gt;0,I27=""),"◄",""))))</f>
        <v>◄</v>
      </c>
      <c r="K27" s="626"/>
      <c r="L27" s="166" t="s">
        <v>765</v>
      </c>
      <c r="M27" s="167">
        <f ca="1">IF($D27&lt;&gt;"Serviço","",
          IF(AUTOEVENTO="manual",$A27,
                IF(ISERROR(MATCH($A27,$A$15:OFFSET($A27,-1,0),0)),MAX($M$15:OFFSET(M27,-1,0))+1,
                      INDEX($M$15:OFFSET(M27,-1,0),MATCH($A27,$A$15:OFFSET($A27,-1,0),0)))))</f>
        <v>2</v>
      </c>
      <c r="N27" s="168" t="str">
        <f ca="1">IF($D27&lt;&gt;"Serviço","",
         IF(AUTOEVENTO="Manual",
                IF($A27=0,"&lt;-- defina o número do agrupador",
                       OFFSET(EVENTOS!$D$15,$A27-$A$15,0)),
                OFFSET($F$15,$A27,0)))</f>
        <v>SERVIÇOS PRELIMINARES</v>
      </c>
      <c r="O27" s="169"/>
      <c r="Q27" s="169"/>
      <c r="R27" s="170"/>
      <c r="S27" s="170"/>
      <c r="T27" s="170"/>
      <c r="U27" s="170"/>
      <c r="V27" s="170"/>
      <c r="W27" s="170"/>
      <c r="X27" s="170"/>
      <c r="Y27" s="170"/>
      <c r="Z27" s="171"/>
      <c r="AB27" s="454">
        <f ca="1">IF(AND($D27="Serviço",AB$12&lt;&gt;0,$H27&gt;0,OR(AUTOEVENTO&lt;&gt;"manual",$M27&lt;&gt;$A$15)),
        IF(Import.TipoArredondamento&lt;&gt;"TransfereGOV",
              ROUND(OFFSET($P27,0,AB$13),15-13*ORÇAMENTO!$AF$7)/$H27*OFFSET(ORÇAMENTO!$X$15,ROW(AB27)-ROW(AB$15),0),
              ROUND(ROUND(OFFSET($P27,0,AB$13),15-13*ORÇAMENTO!$AF$7)*OFFSET(ORÇAMENTO!$W$15,ROW(AB27)-ROW(AB$15),0),15-13*ORÇAMENTO!$AF$11)),
         0)</f>
        <v>0</v>
      </c>
      <c r="AC27" s="454">
        <f ca="1">IF(AND($D27="Serviço",AC$12&lt;&gt;0,$H27&gt;0,OR(AUTOEVENTO&lt;&gt;"manual",$M27&lt;&gt;$A$15)),
        IF(Import.TipoArredondamento&lt;&gt;"TransfereGOV",
              ROUND(OFFSET($P27,0,AC$13),15-13*ORÇAMENTO!$AF$7)/$H27*OFFSET(ORÇAMENTO!$X$15,ROW(AC27)-ROW(AC$15),0),
              ROUND(ROUND(OFFSET($P27,0,AC$13),15-13*ORÇAMENTO!$AF$7)*OFFSET(ORÇAMENTO!$W$15,ROW(AC27)-ROW(AC$15),0),15-13*ORÇAMENTO!$AF$11)),
         0)</f>
        <v>0</v>
      </c>
      <c r="AD27" s="454">
        <f ca="1">IF(AND($D27="Serviço",AD$12&lt;&gt;0,$H27&gt;0,OR(AUTOEVENTO&lt;&gt;"manual",$M27&lt;&gt;$A$15)),
        IF(Import.TipoArredondamento&lt;&gt;"TransfereGOV",
              ROUND(OFFSET($P27,0,AD$13),15-13*ORÇAMENTO!$AF$7)/$H27*OFFSET(ORÇAMENTO!$X$15,ROW(AD27)-ROW(AD$15),0),
              ROUND(ROUND(OFFSET($P27,0,AD$13),15-13*ORÇAMENTO!$AF$7)*OFFSET(ORÇAMENTO!$W$15,ROW(AD27)-ROW(AD$15),0),15-13*ORÇAMENTO!$AF$11)),
         0)</f>
        <v>0</v>
      </c>
      <c r="AE27" s="454">
        <f ca="1">IF(AND($D27="Serviço",AE$12&lt;&gt;0,$H27&gt;0,OR(AUTOEVENTO&lt;&gt;"manual",$M27&lt;&gt;$A$15)),
        IF(Import.TipoArredondamento&lt;&gt;"TransfereGOV",
              ROUND(OFFSET($P27,0,AE$13),15-13*ORÇAMENTO!$AF$7)/$H27*OFFSET(ORÇAMENTO!$X$15,ROW(AE27)-ROW(AE$15),0),
              ROUND(ROUND(OFFSET($P27,0,AE$13),15-13*ORÇAMENTO!$AF$7)*OFFSET(ORÇAMENTO!$W$15,ROW(AE27)-ROW(AE$15),0),15-13*ORÇAMENTO!$AF$11)),
         0)</f>
        <v>0</v>
      </c>
      <c r="AF27" s="454">
        <f ca="1">IF(AND($D27="Serviço",AF$12&lt;&gt;0,$H27&gt;0,OR(AUTOEVENTO&lt;&gt;"manual",$M27&lt;&gt;$A$15)),
        IF(Import.TipoArredondamento&lt;&gt;"TransfereGOV",
              ROUND(OFFSET($P27,0,AF$13),15-13*ORÇAMENTO!$AF$7)/$H27*OFFSET(ORÇAMENTO!$X$15,ROW(AF27)-ROW(AF$15),0),
              ROUND(ROUND(OFFSET($P27,0,AF$13),15-13*ORÇAMENTO!$AF$7)*OFFSET(ORÇAMENTO!$W$15,ROW(AF27)-ROW(AF$15),0),15-13*ORÇAMENTO!$AF$11)),
         0)</f>
        <v>0</v>
      </c>
      <c r="AG27" s="454">
        <f ca="1">IF(AND($D27="Serviço",AG$12&lt;&gt;0,$H27&gt;0,OR(AUTOEVENTO&lt;&gt;"manual",$M27&lt;&gt;$A$15)),
        IF(Import.TipoArredondamento&lt;&gt;"TransfereGOV",
              ROUND(OFFSET($P27,0,AG$13),15-13*ORÇAMENTO!$AF$7)/$H27*OFFSET(ORÇAMENTO!$X$15,ROW(AG27)-ROW(AG$15),0),
              ROUND(ROUND(OFFSET($P27,0,AG$13),15-13*ORÇAMENTO!$AF$7)*OFFSET(ORÇAMENTO!$W$15,ROW(AG27)-ROW(AG$15),0),15-13*ORÇAMENTO!$AF$11)),
         0)</f>
        <v>0</v>
      </c>
      <c r="AH27" s="454">
        <f ca="1">IF(AND($D27="Serviço",AH$12&lt;&gt;0,$H27&gt;0,OR(AUTOEVENTO&lt;&gt;"manual",$M27&lt;&gt;$A$15)),
        IF(Import.TipoArredondamento&lt;&gt;"TransfereGOV",
              ROUND(OFFSET($P27,0,AH$13),15-13*ORÇAMENTO!$AF$7)/$H27*OFFSET(ORÇAMENTO!$X$15,ROW(AH27)-ROW(AH$15),0),
              ROUND(ROUND(OFFSET($P27,0,AH$13),15-13*ORÇAMENTO!$AF$7)*OFFSET(ORÇAMENTO!$W$15,ROW(AH27)-ROW(AH$15),0),15-13*ORÇAMENTO!$AF$11)),
         0)</f>
        <v>0</v>
      </c>
      <c r="AI27" s="454">
        <f ca="1">IF(AND($D27="Serviço",AI$12&lt;&gt;0,$H27&gt;0,OR(AUTOEVENTO&lt;&gt;"manual",$M27&lt;&gt;$A$15)),
        IF(Import.TipoArredondamento&lt;&gt;"TransfereGOV",
              ROUND(OFFSET($P27,0,AI$13),15-13*ORÇAMENTO!$AF$7)/$H27*OFFSET(ORÇAMENTO!$X$15,ROW(AI27)-ROW(AI$15),0),
              ROUND(ROUND(OFFSET($P27,0,AI$13),15-13*ORÇAMENTO!$AF$7)*OFFSET(ORÇAMENTO!$W$15,ROW(AI27)-ROW(AI$15),0),15-13*ORÇAMENTO!$AF$11)),
         0)</f>
        <v>0</v>
      </c>
      <c r="AJ27" s="454">
        <f ca="1">IF(AND($D27="Serviço",AJ$12&lt;&gt;0,$H27&gt;0,OR(AUTOEVENTO&lt;&gt;"manual",$M27&lt;&gt;$A$15)),
        IF(Import.TipoArredondamento&lt;&gt;"TransfereGOV",
              ROUND(OFFSET($P27,0,AJ$13),15-13*ORÇAMENTO!$AF$7)/$H27*OFFSET(ORÇAMENTO!$X$15,ROW(AJ27)-ROW(AJ$15),0),
              ROUND(ROUND(OFFSET($P27,0,AJ$13),15-13*ORÇAMENTO!$AF$7)*OFFSET(ORÇAMENTO!$W$15,ROW(AJ27)-ROW(AJ$15),0),15-13*ORÇAMENTO!$AF$11)),
         0)</f>
        <v>0</v>
      </c>
      <c r="AK27" s="454">
        <f ca="1">IF(AND($D27="Serviço",AK$12&lt;&gt;0,$H27&gt;0,OR(AUTOEVENTO&lt;&gt;"manual",$M27&lt;&gt;$A$15)),
        IF(Import.TipoArredondamento&lt;&gt;"TransfereGOV",
              ROUND(OFFSET($P27,0,AK$13),15-13*ORÇAMENTO!$AF$7)/$H27*OFFSET(ORÇAMENTO!$X$15,ROW(AK27)-ROW(AK$15),0),
              ROUND(ROUND(OFFSET($P27,0,AK$13),15-13*ORÇAMENTO!$AF$7)*OFFSET(ORÇAMENTO!$W$15,ROW(AK27)-ROW(AK$15),0),15-13*ORÇAMENTO!$AF$11)),
         0)</f>
        <v>0</v>
      </c>
      <c r="AM27" s="172">
        <f ca="1">IF(OR($D27&lt;&gt;"Serviço",AND(AUTOEVENTO="Manual",$M27=$A$15)),0,
         IF(OFFSET(CRONOPLE!$F$15,$M27-$A$15,AM$13)="",10^12,OFFSET(CRONOPLE!$F$15,$M27-$A$15,AM$13)))</f>
        <v>1000000000000</v>
      </c>
      <c r="AN27" s="172">
        <f ca="1">IF(OR($D27&lt;&gt;"Serviço",AND(AUTOEVENTO="Manual",$M27=$A$15)),0,
         IF(OFFSET(CRONOPLE!$F$15,$M27-$A$15,AN$13)="",10^12,OFFSET(CRONOPLE!$F$15,$M27-$A$15,AN$13)))</f>
        <v>1000000000000</v>
      </c>
      <c r="AO27" s="172">
        <f ca="1">IF(OR($D27&lt;&gt;"Serviço",AND(AUTOEVENTO="Manual",$M27=$A$15)),0,
         IF(OFFSET(CRONOPLE!$F$15,$M27-$A$15,AO$13)="",10^12,OFFSET(CRONOPLE!$F$15,$M27-$A$15,AO$13)))</f>
        <v>1000000000000</v>
      </c>
      <c r="AP27" s="172">
        <f ca="1">IF(OR($D27&lt;&gt;"Serviço",AND(AUTOEVENTO="Manual",$M27=$A$15)),0,
         IF(OFFSET(CRONOPLE!$F$15,$M27-$A$15,AP$13)="",10^12,OFFSET(CRONOPLE!$F$15,$M27-$A$15,AP$13)))</f>
        <v>1000000000000</v>
      </c>
      <c r="AQ27" s="172">
        <f ca="1">IF(OR($D27&lt;&gt;"Serviço",AND(AUTOEVENTO="Manual",$M27=$A$15)),0,
         IF(OFFSET(CRONOPLE!$F$15,$M27-$A$15,AQ$13)="",10^12,OFFSET(CRONOPLE!$F$15,$M27-$A$15,AQ$13)))</f>
        <v>1000000000000</v>
      </c>
      <c r="AR27" s="172">
        <f ca="1">IF(OR($D27&lt;&gt;"Serviço",AND(AUTOEVENTO="Manual",$M27=$A$15)),0,
         IF(OFFSET(CRONOPLE!$F$15,$M27-$A$15,AR$13)="",10^12,OFFSET(CRONOPLE!$F$15,$M27-$A$15,AR$13)))</f>
        <v>1000000000000</v>
      </c>
      <c r="AS27" s="172">
        <f ca="1">IF(OR($D27&lt;&gt;"Serviço",AND(AUTOEVENTO="Manual",$M27=$A$15)),0,
         IF(OFFSET(CRONOPLE!$F$15,$M27-$A$15,AS$13)="",10^12,OFFSET(CRONOPLE!$F$15,$M27-$A$15,AS$13)))</f>
        <v>1000000000000</v>
      </c>
      <c r="AT27" s="172">
        <f ca="1">IF(OR($D27&lt;&gt;"Serviço",AND(AUTOEVENTO="Manual",$M27=$A$15)),0,
         IF(OFFSET(CRONOPLE!$F$15,$M27-$A$15,AT$13)="",10^12,OFFSET(CRONOPLE!$F$15,$M27-$A$15,AT$13)))</f>
        <v>1000000000000</v>
      </c>
      <c r="AU27" s="172">
        <f ca="1">IF(OR($D27&lt;&gt;"Serviço",AND(AUTOEVENTO="Manual",$M27=$A$15)),0,
         IF(OFFSET(CRONOPLE!$F$15,$M27-$A$15,AU$13)="",10^12,OFFSET(CRONOPLE!$F$15,$M27-$A$15,AU$13)))</f>
        <v>1000000000000</v>
      </c>
      <c r="AV27" s="172">
        <f ca="1">IF(OR($D27&lt;&gt;"Serviço",AND(AUTOEVENTO="Manual",$M27=$A$15)),0,
         IF(OFFSET(CRONOPLE!$F$15,$M27-$A$15,AV$13)="",10^12,OFFSET(CRONOPLE!$F$15,$M27-$A$15,AV$13)))</f>
        <v>1000000000000</v>
      </c>
      <c r="AX27" s="173">
        <f ca="1">IF(OR($D27&lt;&gt;"Serviço",AND(AUTOEVENTO="Manual",$M27=$A$15),$M27&gt;(ROW(PLE.lastrow)-ROW(PLE.firstrow))),0,
           IF(OFFSET(PLE!$G$15,$M27-$A$15,AX$13)="",10^12,OFFSET(PLE!$G$15,$M27-$A$15,AX$13)))</f>
        <v>1000000000000</v>
      </c>
      <c r="AY27" s="173">
        <f ca="1">IF(OR($D27&lt;&gt;"Serviço",AND(AUTOEVENTO="Manual",$M27=$A$15),$M27&gt;(ROW(PLE.lastrow)-ROW(PLE.firstrow))),0,
           IF(OFFSET(PLE!$G$15,$M27-$A$15,AY$13)="",10^12,OFFSET(PLE!$G$15,$M27-$A$15,AY$13)))</f>
        <v>1000000000000</v>
      </c>
      <c r="AZ27" s="173">
        <f ca="1">IF(OR($D27&lt;&gt;"Serviço",AND(AUTOEVENTO="Manual",$M27=$A$15),$M27&gt;(ROW(PLE.lastrow)-ROW(PLE.firstrow))),0,
           IF(OFFSET(PLE!$G$15,$M27-$A$15,AZ$13)="",10^12,OFFSET(PLE!$G$15,$M27-$A$15,AZ$13)))</f>
        <v>1000000000000</v>
      </c>
      <c r="BA27" s="173">
        <f ca="1">IF(OR($D27&lt;&gt;"Serviço",AND(AUTOEVENTO="Manual",$M27=$A$15),$M27&gt;(ROW(PLE.lastrow)-ROW(PLE.firstrow))),0,
           IF(OFFSET(PLE!$G$15,$M27-$A$15,BA$13)="",10^12,OFFSET(PLE!$G$15,$M27-$A$15,BA$13)))</f>
        <v>1000000000000</v>
      </c>
      <c r="BB27" s="173">
        <f ca="1">IF(OR($D27&lt;&gt;"Serviço",AND(AUTOEVENTO="Manual",$M27=$A$15),$M27&gt;(ROW(PLE.lastrow)-ROW(PLE.firstrow))),0,
           IF(OFFSET(PLE!$G$15,$M27-$A$15,BB$13)="",10^12,OFFSET(PLE!$G$15,$M27-$A$15,BB$13)))</f>
        <v>1000000000000</v>
      </c>
      <c r="BC27" s="173">
        <f ca="1">IF(OR($D27&lt;&gt;"Serviço",AND(AUTOEVENTO="Manual",$M27=$A$15),$M27&gt;(ROW(PLE.lastrow)-ROW(PLE.firstrow))),0,
           IF(OFFSET(PLE!$G$15,$M27-$A$15,BC$13)="",10^12,OFFSET(PLE!$G$15,$M27-$A$15,BC$13)))</f>
        <v>1000000000000</v>
      </c>
      <c r="BD27" s="173">
        <f ca="1">IF(OR($D27&lt;&gt;"Serviço",AND(AUTOEVENTO="Manual",$M27=$A$15),$M27&gt;(ROW(PLE.lastrow)-ROW(PLE.firstrow))),0,
           IF(OFFSET(PLE!$G$15,$M27-$A$15,BD$13)="",10^12,OFFSET(PLE!$G$15,$M27-$A$15,BD$13)))</f>
        <v>1000000000000</v>
      </c>
      <c r="BE27" s="173">
        <f ca="1">IF(OR($D27&lt;&gt;"Serviço",AND(AUTOEVENTO="Manual",$M27=$A$15),$M27&gt;(ROW(PLE.lastrow)-ROW(PLE.firstrow))),0,
           IF(OFFSET(PLE!$G$15,$M27-$A$15,BE$13)="",10^12,OFFSET(PLE!$G$15,$M27-$A$15,BE$13)))</f>
        <v>1000000000000</v>
      </c>
      <c r="BF27" s="173">
        <f ca="1">IF(OR($D27&lt;&gt;"Serviço",AND(AUTOEVENTO="Manual",$M27=$A$15),$M27&gt;(ROW(PLE.lastrow)-ROW(PLE.firstrow))),0,
           IF(OFFSET(PLE!$G$15,$M27-$A$15,BF$13)="",10^12,OFFSET(PLE!$G$15,$M27-$A$15,BF$13)))</f>
        <v>1000000000000</v>
      </c>
      <c r="BG27" s="173">
        <f ca="1">IF(OR($D27&lt;&gt;"Serviço",AND(AUTOEVENTO="Manual",$M27=$A$15),$M27&gt;(ROW(PLE.lastrow)-ROW(PLE.firstrow))),0,
           IF(OFFSET(PLE!$G$15,$M27-$A$15,BG$13)="",10^12,OFFSET(PLE!$G$15,$M27-$A$15,BG$13)))</f>
        <v>1000000000000</v>
      </c>
    </row>
    <row r="28" spans="1:59" ht="12.75" x14ac:dyDescent="0.2">
      <c r="A28" s="7" t="str">
        <f t="shared" ca="1" si="8"/>
        <v>13.</v>
      </c>
      <c r="B28" s="7">
        <f ca="1">OFFSET(ORÇAMENTO!C$15,ROW(B28)-ROW(B$15),0)</f>
        <v>2</v>
      </c>
      <c r="C28" s="7" t="str">
        <f ca="1">OFFSET(ORÇAMENTO!L$15,ROW(C28)-ROW(C$15),0)</f>
        <v>F</v>
      </c>
      <c r="D28" s="117" t="str">
        <f ca="1">OFFSET(ORÇAMENTO!N$15,ROW(D28)-ROW(D$15),0)</f>
        <v>Nível 2</v>
      </c>
      <c r="E28" s="118" t="str">
        <f ca="1">OFFSET(ORÇAMENTO!O$15,ROW(E28)-ROW(E$15),0)</f>
        <v>1.3.</v>
      </c>
      <c r="F28" s="164" t="str">
        <f ca="1">OFFSET(ORÇAMENTO!R$15,ROW(F28)-ROW(F$15),0)</f>
        <v>FUNDAÇÃO</v>
      </c>
      <c r="G28" s="165" t="str">
        <f ca="1">IF($D28&lt;&gt;"Serviço","",OFFSET(ORÇAMENTO!S$15,ROW(G28)-ROW(G$15),0))</f>
        <v/>
      </c>
      <c r="H28" s="123">
        <f ca="1">IF($D28&lt;&gt;"Serviço",0,IF(ACOMPANHAMENTO="BM",ROUND(OFFSET(ORÇAMENTO!AJ$15,ROW(H28)-ROW(H$15),0),15-13*ORÇAMENTO!$AF$7),SUMPRODUCT(($Q$1:$AA$1=1)*ROUND($Q28:$AA28,15-13*ORÇAMENTO!$AF$7))))</f>
        <v>0</v>
      </c>
      <c r="I28" s="469"/>
      <c r="J28" s="577" t="str" cm="1">
        <f t="array" aca="1" ref="J28" ca="1">IF(B28&lt;&gt;"S","",IF(AND(ACOMPANHAMENTO="PLE",AUTOEVENTO="Manual",OR(H28&gt;0,ORÇAMENTO!AC28="QUANT."),OR(K28="",M28=0,N28="")),"►",IF(AND(ACOMPANHAMENTO="PLE",ORÇAMENTO!AC28="QUANT."),"►►",IF(AND(COUNTIF($P$11:$AA$11,"▼")=0,H28&gt;0,I28=""),"◄",""))))</f>
        <v/>
      </c>
      <c r="K28" s="626"/>
      <c r="L28" s="166" t="s">
        <v>765</v>
      </c>
      <c r="M28" s="167" t="str">
        <f ca="1">IF($D28&lt;&gt;"Serviço","",
          IF(AUTOEVENTO="manual",$A28,
                IF(ISERROR(MATCH($A28,$A$15:OFFSET($A28,-1,0),0)),MAX($M$15:OFFSET(M28,-1,0))+1,
                      INDEX($M$15:OFFSET(M28,-1,0),MATCH($A28,$A$15:OFFSET($A28,-1,0),0)))))</f>
        <v/>
      </c>
      <c r="N28" s="168" t="str">
        <f ca="1">IF($D28&lt;&gt;"Serviço","",
         IF(AUTOEVENTO="Manual",
                IF($A28=0,"&lt;-- defina o número do agrupador",
                       OFFSET(EVENTOS!$D$15,$A28-$A$15,0)),
                OFFSET($F$15,$A28,0)))</f>
        <v/>
      </c>
      <c r="O28" s="169"/>
      <c r="Q28" s="169"/>
      <c r="R28" s="170"/>
      <c r="S28" s="170"/>
      <c r="T28" s="170"/>
      <c r="U28" s="170"/>
      <c r="V28" s="170"/>
      <c r="W28" s="170"/>
      <c r="X28" s="170"/>
      <c r="Y28" s="170"/>
      <c r="Z28" s="171"/>
      <c r="AB28" s="454">
        <f ca="1">IF(AND($D28="Serviço",AB$12&lt;&gt;0,$H28&gt;0,OR(AUTOEVENTO&lt;&gt;"manual",$M28&lt;&gt;$A$15)),
        IF(Import.TipoArredondamento&lt;&gt;"TransfereGOV",
              ROUND(OFFSET($P28,0,AB$13),15-13*ORÇAMENTO!$AF$7)/$H28*OFFSET(ORÇAMENTO!$X$15,ROW(AB28)-ROW(AB$15),0),
              ROUND(ROUND(OFFSET($P28,0,AB$13),15-13*ORÇAMENTO!$AF$7)*OFFSET(ORÇAMENTO!$W$15,ROW(AB28)-ROW(AB$15),0),15-13*ORÇAMENTO!$AF$11)),
         0)</f>
        <v>0</v>
      </c>
      <c r="AC28" s="454">
        <f ca="1">IF(AND($D28="Serviço",AC$12&lt;&gt;0,$H28&gt;0,OR(AUTOEVENTO&lt;&gt;"manual",$M28&lt;&gt;$A$15)),
        IF(Import.TipoArredondamento&lt;&gt;"TransfereGOV",
              ROUND(OFFSET($P28,0,AC$13),15-13*ORÇAMENTO!$AF$7)/$H28*OFFSET(ORÇAMENTO!$X$15,ROW(AC28)-ROW(AC$15),0),
              ROUND(ROUND(OFFSET($P28,0,AC$13),15-13*ORÇAMENTO!$AF$7)*OFFSET(ORÇAMENTO!$W$15,ROW(AC28)-ROW(AC$15),0),15-13*ORÇAMENTO!$AF$11)),
         0)</f>
        <v>0</v>
      </c>
      <c r="AD28" s="454">
        <f ca="1">IF(AND($D28="Serviço",AD$12&lt;&gt;0,$H28&gt;0,OR(AUTOEVENTO&lt;&gt;"manual",$M28&lt;&gt;$A$15)),
        IF(Import.TipoArredondamento&lt;&gt;"TransfereGOV",
              ROUND(OFFSET($P28,0,AD$13),15-13*ORÇAMENTO!$AF$7)/$H28*OFFSET(ORÇAMENTO!$X$15,ROW(AD28)-ROW(AD$15),0),
              ROUND(ROUND(OFFSET($P28,0,AD$13),15-13*ORÇAMENTO!$AF$7)*OFFSET(ORÇAMENTO!$W$15,ROW(AD28)-ROW(AD$15),0),15-13*ORÇAMENTO!$AF$11)),
         0)</f>
        <v>0</v>
      </c>
      <c r="AE28" s="454">
        <f ca="1">IF(AND($D28="Serviço",AE$12&lt;&gt;0,$H28&gt;0,OR(AUTOEVENTO&lt;&gt;"manual",$M28&lt;&gt;$A$15)),
        IF(Import.TipoArredondamento&lt;&gt;"TransfereGOV",
              ROUND(OFFSET($P28,0,AE$13),15-13*ORÇAMENTO!$AF$7)/$H28*OFFSET(ORÇAMENTO!$X$15,ROW(AE28)-ROW(AE$15),0),
              ROUND(ROUND(OFFSET($P28,0,AE$13),15-13*ORÇAMENTO!$AF$7)*OFFSET(ORÇAMENTO!$W$15,ROW(AE28)-ROW(AE$15),0),15-13*ORÇAMENTO!$AF$11)),
         0)</f>
        <v>0</v>
      </c>
      <c r="AF28" s="454">
        <f ca="1">IF(AND($D28="Serviço",AF$12&lt;&gt;0,$H28&gt;0,OR(AUTOEVENTO&lt;&gt;"manual",$M28&lt;&gt;$A$15)),
        IF(Import.TipoArredondamento&lt;&gt;"TransfereGOV",
              ROUND(OFFSET($P28,0,AF$13),15-13*ORÇAMENTO!$AF$7)/$H28*OFFSET(ORÇAMENTO!$X$15,ROW(AF28)-ROW(AF$15),0),
              ROUND(ROUND(OFFSET($P28,0,AF$13),15-13*ORÇAMENTO!$AF$7)*OFFSET(ORÇAMENTO!$W$15,ROW(AF28)-ROW(AF$15),0),15-13*ORÇAMENTO!$AF$11)),
         0)</f>
        <v>0</v>
      </c>
      <c r="AG28" s="454">
        <f ca="1">IF(AND($D28="Serviço",AG$12&lt;&gt;0,$H28&gt;0,OR(AUTOEVENTO&lt;&gt;"manual",$M28&lt;&gt;$A$15)),
        IF(Import.TipoArredondamento&lt;&gt;"TransfereGOV",
              ROUND(OFFSET($P28,0,AG$13),15-13*ORÇAMENTO!$AF$7)/$H28*OFFSET(ORÇAMENTO!$X$15,ROW(AG28)-ROW(AG$15),0),
              ROUND(ROUND(OFFSET($P28,0,AG$13),15-13*ORÇAMENTO!$AF$7)*OFFSET(ORÇAMENTO!$W$15,ROW(AG28)-ROW(AG$15),0),15-13*ORÇAMENTO!$AF$11)),
         0)</f>
        <v>0</v>
      </c>
      <c r="AH28" s="454">
        <f ca="1">IF(AND($D28="Serviço",AH$12&lt;&gt;0,$H28&gt;0,OR(AUTOEVENTO&lt;&gt;"manual",$M28&lt;&gt;$A$15)),
        IF(Import.TipoArredondamento&lt;&gt;"TransfereGOV",
              ROUND(OFFSET($P28,0,AH$13),15-13*ORÇAMENTO!$AF$7)/$H28*OFFSET(ORÇAMENTO!$X$15,ROW(AH28)-ROW(AH$15),0),
              ROUND(ROUND(OFFSET($P28,0,AH$13),15-13*ORÇAMENTO!$AF$7)*OFFSET(ORÇAMENTO!$W$15,ROW(AH28)-ROW(AH$15),0),15-13*ORÇAMENTO!$AF$11)),
         0)</f>
        <v>0</v>
      </c>
      <c r="AI28" s="454">
        <f ca="1">IF(AND($D28="Serviço",AI$12&lt;&gt;0,$H28&gt;0,OR(AUTOEVENTO&lt;&gt;"manual",$M28&lt;&gt;$A$15)),
        IF(Import.TipoArredondamento&lt;&gt;"TransfereGOV",
              ROUND(OFFSET($P28,0,AI$13),15-13*ORÇAMENTO!$AF$7)/$H28*OFFSET(ORÇAMENTO!$X$15,ROW(AI28)-ROW(AI$15),0),
              ROUND(ROUND(OFFSET($P28,0,AI$13),15-13*ORÇAMENTO!$AF$7)*OFFSET(ORÇAMENTO!$W$15,ROW(AI28)-ROW(AI$15),0),15-13*ORÇAMENTO!$AF$11)),
         0)</f>
        <v>0</v>
      </c>
      <c r="AJ28" s="454">
        <f ca="1">IF(AND($D28="Serviço",AJ$12&lt;&gt;0,$H28&gt;0,OR(AUTOEVENTO&lt;&gt;"manual",$M28&lt;&gt;$A$15)),
        IF(Import.TipoArredondamento&lt;&gt;"TransfereGOV",
              ROUND(OFFSET($P28,0,AJ$13),15-13*ORÇAMENTO!$AF$7)/$H28*OFFSET(ORÇAMENTO!$X$15,ROW(AJ28)-ROW(AJ$15),0),
              ROUND(ROUND(OFFSET($P28,0,AJ$13),15-13*ORÇAMENTO!$AF$7)*OFFSET(ORÇAMENTO!$W$15,ROW(AJ28)-ROW(AJ$15),0),15-13*ORÇAMENTO!$AF$11)),
         0)</f>
        <v>0</v>
      </c>
      <c r="AK28" s="454">
        <f ca="1">IF(AND($D28="Serviço",AK$12&lt;&gt;0,$H28&gt;0,OR(AUTOEVENTO&lt;&gt;"manual",$M28&lt;&gt;$A$15)),
        IF(Import.TipoArredondamento&lt;&gt;"TransfereGOV",
              ROUND(OFFSET($P28,0,AK$13),15-13*ORÇAMENTO!$AF$7)/$H28*OFFSET(ORÇAMENTO!$X$15,ROW(AK28)-ROW(AK$15),0),
              ROUND(ROUND(OFFSET($P28,0,AK$13),15-13*ORÇAMENTO!$AF$7)*OFFSET(ORÇAMENTO!$W$15,ROW(AK28)-ROW(AK$15),0),15-13*ORÇAMENTO!$AF$11)),
         0)</f>
        <v>0</v>
      </c>
      <c r="AM28" s="172">
        <f ca="1">IF(OR($D28&lt;&gt;"Serviço",AND(AUTOEVENTO="Manual",$M28=$A$15)),0,
         IF(OFFSET(CRONOPLE!$F$15,$M28-$A$15,AM$13)="",10^12,OFFSET(CRONOPLE!$F$15,$M28-$A$15,AM$13)))</f>
        <v>0</v>
      </c>
      <c r="AN28" s="172">
        <f ca="1">IF(OR($D28&lt;&gt;"Serviço",AND(AUTOEVENTO="Manual",$M28=$A$15)),0,
         IF(OFFSET(CRONOPLE!$F$15,$M28-$A$15,AN$13)="",10^12,OFFSET(CRONOPLE!$F$15,$M28-$A$15,AN$13)))</f>
        <v>0</v>
      </c>
      <c r="AO28" s="172">
        <f ca="1">IF(OR($D28&lt;&gt;"Serviço",AND(AUTOEVENTO="Manual",$M28=$A$15)),0,
         IF(OFFSET(CRONOPLE!$F$15,$M28-$A$15,AO$13)="",10^12,OFFSET(CRONOPLE!$F$15,$M28-$A$15,AO$13)))</f>
        <v>0</v>
      </c>
      <c r="AP28" s="172">
        <f ca="1">IF(OR($D28&lt;&gt;"Serviço",AND(AUTOEVENTO="Manual",$M28=$A$15)),0,
         IF(OFFSET(CRONOPLE!$F$15,$M28-$A$15,AP$13)="",10^12,OFFSET(CRONOPLE!$F$15,$M28-$A$15,AP$13)))</f>
        <v>0</v>
      </c>
      <c r="AQ28" s="172">
        <f ca="1">IF(OR($D28&lt;&gt;"Serviço",AND(AUTOEVENTO="Manual",$M28=$A$15)),0,
         IF(OFFSET(CRONOPLE!$F$15,$M28-$A$15,AQ$13)="",10^12,OFFSET(CRONOPLE!$F$15,$M28-$A$15,AQ$13)))</f>
        <v>0</v>
      </c>
      <c r="AR28" s="172">
        <f ca="1">IF(OR($D28&lt;&gt;"Serviço",AND(AUTOEVENTO="Manual",$M28=$A$15)),0,
         IF(OFFSET(CRONOPLE!$F$15,$M28-$A$15,AR$13)="",10^12,OFFSET(CRONOPLE!$F$15,$M28-$A$15,AR$13)))</f>
        <v>0</v>
      </c>
      <c r="AS28" s="172">
        <f ca="1">IF(OR($D28&lt;&gt;"Serviço",AND(AUTOEVENTO="Manual",$M28=$A$15)),0,
         IF(OFFSET(CRONOPLE!$F$15,$M28-$A$15,AS$13)="",10^12,OFFSET(CRONOPLE!$F$15,$M28-$A$15,AS$13)))</f>
        <v>0</v>
      </c>
      <c r="AT28" s="172">
        <f ca="1">IF(OR($D28&lt;&gt;"Serviço",AND(AUTOEVENTO="Manual",$M28=$A$15)),0,
         IF(OFFSET(CRONOPLE!$F$15,$M28-$A$15,AT$13)="",10^12,OFFSET(CRONOPLE!$F$15,$M28-$A$15,AT$13)))</f>
        <v>0</v>
      </c>
      <c r="AU28" s="172">
        <f ca="1">IF(OR($D28&lt;&gt;"Serviço",AND(AUTOEVENTO="Manual",$M28=$A$15)),0,
         IF(OFFSET(CRONOPLE!$F$15,$M28-$A$15,AU$13)="",10^12,OFFSET(CRONOPLE!$F$15,$M28-$A$15,AU$13)))</f>
        <v>0</v>
      </c>
      <c r="AV28" s="172">
        <f ca="1">IF(OR($D28&lt;&gt;"Serviço",AND(AUTOEVENTO="Manual",$M28=$A$15)),0,
         IF(OFFSET(CRONOPLE!$F$15,$M28-$A$15,AV$13)="",10^12,OFFSET(CRONOPLE!$F$15,$M28-$A$15,AV$13)))</f>
        <v>0</v>
      </c>
      <c r="AX28" s="173">
        <f ca="1">IF(OR($D28&lt;&gt;"Serviço",AND(AUTOEVENTO="Manual",$M28=$A$15),$M28&gt;(ROW(PLE.lastrow)-ROW(PLE.firstrow))),0,
           IF(OFFSET(PLE!$G$15,$M28-$A$15,AX$13)="",10^12,OFFSET(PLE!$G$15,$M28-$A$15,AX$13)))</f>
        <v>0</v>
      </c>
      <c r="AY28" s="173">
        <f ca="1">IF(OR($D28&lt;&gt;"Serviço",AND(AUTOEVENTO="Manual",$M28=$A$15),$M28&gt;(ROW(PLE.lastrow)-ROW(PLE.firstrow))),0,
           IF(OFFSET(PLE!$G$15,$M28-$A$15,AY$13)="",10^12,OFFSET(PLE!$G$15,$M28-$A$15,AY$13)))</f>
        <v>0</v>
      </c>
      <c r="AZ28" s="173">
        <f ca="1">IF(OR($D28&lt;&gt;"Serviço",AND(AUTOEVENTO="Manual",$M28=$A$15),$M28&gt;(ROW(PLE.lastrow)-ROW(PLE.firstrow))),0,
           IF(OFFSET(PLE!$G$15,$M28-$A$15,AZ$13)="",10^12,OFFSET(PLE!$G$15,$M28-$A$15,AZ$13)))</f>
        <v>0</v>
      </c>
      <c r="BA28" s="173">
        <f ca="1">IF(OR($D28&lt;&gt;"Serviço",AND(AUTOEVENTO="Manual",$M28=$A$15),$M28&gt;(ROW(PLE.lastrow)-ROW(PLE.firstrow))),0,
           IF(OFFSET(PLE!$G$15,$M28-$A$15,BA$13)="",10^12,OFFSET(PLE!$G$15,$M28-$A$15,BA$13)))</f>
        <v>0</v>
      </c>
      <c r="BB28" s="173">
        <f ca="1">IF(OR($D28&lt;&gt;"Serviço",AND(AUTOEVENTO="Manual",$M28=$A$15),$M28&gt;(ROW(PLE.lastrow)-ROW(PLE.firstrow))),0,
           IF(OFFSET(PLE!$G$15,$M28-$A$15,BB$13)="",10^12,OFFSET(PLE!$G$15,$M28-$A$15,BB$13)))</f>
        <v>0</v>
      </c>
      <c r="BC28" s="173">
        <f ca="1">IF(OR($D28&lt;&gt;"Serviço",AND(AUTOEVENTO="Manual",$M28=$A$15),$M28&gt;(ROW(PLE.lastrow)-ROW(PLE.firstrow))),0,
           IF(OFFSET(PLE!$G$15,$M28-$A$15,BC$13)="",10^12,OFFSET(PLE!$G$15,$M28-$A$15,BC$13)))</f>
        <v>0</v>
      </c>
      <c r="BD28" s="173">
        <f ca="1">IF(OR($D28&lt;&gt;"Serviço",AND(AUTOEVENTO="Manual",$M28=$A$15),$M28&gt;(ROW(PLE.lastrow)-ROW(PLE.firstrow))),0,
           IF(OFFSET(PLE!$G$15,$M28-$A$15,BD$13)="",10^12,OFFSET(PLE!$G$15,$M28-$A$15,BD$13)))</f>
        <v>0</v>
      </c>
      <c r="BE28" s="173">
        <f ca="1">IF(OR($D28&lt;&gt;"Serviço",AND(AUTOEVENTO="Manual",$M28=$A$15),$M28&gt;(ROW(PLE.lastrow)-ROW(PLE.firstrow))),0,
           IF(OFFSET(PLE!$G$15,$M28-$A$15,BE$13)="",10^12,OFFSET(PLE!$G$15,$M28-$A$15,BE$13)))</f>
        <v>0</v>
      </c>
      <c r="BF28" s="173">
        <f ca="1">IF(OR($D28&lt;&gt;"Serviço",AND(AUTOEVENTO="Manual",$M28=$A$15),$M28&gt;(ROW(PLE.lastrow)-ROW(PLE.firstrow))),0,
           IF(OFFSET(PLE!$G$15,$M28-$A$15,BF$13)="",10^12,OFFSET(PLE!$G$15,$M28-$A$15,BF$13)))</f>
        <v>0</v>
      </c>
      <c r="BG28" s="173">
        <f ca="1">IF(OR($D28&lt;&gt;"Serviço",AND(AUTOEVENTO="Manual",$M28=$A$15),$M28&gt;(ROW(PLE.lastrow)-ROW(PLE.firstrow))),0,
           IF(OFFSET(PLE!$G$15,$M28-$A$15,BG$13)="",10^12,OFFSET(PLE!$G$15,$M28-$A$15,BG$13)))</f>
        <v>0</v>
      </c>
    </row>
    <row r="29" spans="1:59" ht="38.25" x14ac:dyDescent="0.2">
      <c r="A29" s="7" t="str">
        <f t="shared" ca="1" si="8"/>
        <v>13</v>
      </c>
      <c r="B29" s="7" t="str">
        <f ca="1">OFFSET(ORÇAMENTO!C$15,ROW(B29)-ROW(B$15),0)</f>
        <v>S</v>
      </c>
      <c r="C29" s="7" t="str">
        <f ca="1">OFFSET(ORÇAMENTO!L$15,ROW(C29)-ROW(C$15),0)</f>
        <v/>
      </c>
      <c r="D29" s="117" t="str">
        <f ca="1">OFFSET(ORÇAMENTO!N$15,ROW(D29)-ROW(D$15),0)</f>
        <v>Serviço</v>
      </c>
      <c r="E29" s="118" t="str">
        <f ca="1">OFFSET(ORÇAMENTO!O$15,ROW(E29)-ROW(E$15),0)</f>
        <v>-</v>
      </c>
      <c r="F29" s="164" t="str">
        <f ca="1">OFFSET(ORÇAMENTO!R$15,ROW(F29)-ROW(F$15),0)</f>
        <v>LOCAÇÃO CONVENCIONAL DE OBRA, UTILIZANDO GABARITO DE TÁBUAS CORRIDAS PONTALETADAS A CADA 2,00M -  2 UTILIZAÇÕES. AF_03/2024</v>
      </c>
      <c r="G29" s="165" t="str">
        <f ca="1">IF($D29&lt;&gt;"Serviço","",OFFSET(ORÇAMENTO!S$15,ROW(G29)-ROW(G$15),0))</f>
        <v>M</v>
      </c>
      <c r="H29" s="123">
        <f ca="1">IF($D29&lt;&gt;"Serviço",0,IF(ACOMPANHAMENTO="BM",ROUND(OFFSET(ORÇAMENTO!AJ$15,ROW(H29)-ROW(H$15),0),15-13*ORÇAMENTO!$AF$7),SUMPRODUCT(($Q$1:$AA$1=1)*ROUND($Q29:$AA29,15-13*ORÇAMENTO!$AF$7))))</f>
        <v>215</v>
      </c>
      <c r="I29" s="469"/>
      <c r="J29" s="577" t="str" cm="1">
        <f t="array" aca="1" ref="J29" ca="1">IF(B29&lt;&gt;"S","",IF(AND(ACOMPANHAMENTO="PLE",AUTOEVENTO="Manual",OR(H29&gt;0,ORÇAMENTO!AC29="QUANT."),OR(K29="",M29=0,N29="")),"►",IF(AND(ACOMPANHAMENTO="PLE",ORÇAMENTO!AC29="QUANT."),"►►",IF(AND(COUNTIF($P$11:$AA$11,"▼")=0,H29&gt;0,I29=""),"◄",""))))</f>
        <v>◄</v>
      </c>
      <c r="K29" s="626"/>
      <c r="L29" s="166" t="s">
        <v>765</v>
      </c>
      <c r="M29" s="167">
        <f ca="1">IF($D29&lt;&gt;"Serviço","",
          IF(AUTOEVENTO="manual",$A29,
                IF(ISERROR(MATCH($A29,$A$15:OFFSET($A29,-1,0),0)),MAX($M$15:OFFSET(M29,-1,0))+1,
                      INDEX($M$15:OFFSET(M29,-1,0),MATCH($A29,$A$15:OFFSET($A29,-1,0),0)))))</f>
        <v>3</v>
      </c>
      <c r="N29" s="168" t="str">
        <f ca="1">IF($D29&lt;&gt;"Serviço","",
         IF(AUTOEVENTO="Manual",
                IF($A29=0,"&lt;-- defina o número do agrupador",
                       OFFSET(EVENTOS!$D$15,$A29-$A$15,0)),
                OFFSET($F$15,$A29,0)))</f>
        <v>FUNDAÇÃO</v>
      </c>
      <c r="O29" s="169"/>
      <c r="Q29" s="169"/>
      <c r="R29" s="170"/>
      <c r="S29" s="170"/>
      <c r="T29" s="170"/>
      <c r="U29" s="170"/>
      <c r="V29" s="170"/>
      <c r="W29" s="170"/>
      <c r="X29" s="170"/>
      <c r="Y29" s="170"/>
      <c r="Z29" s="171"/>
      <c r="AB29" s="454">
        <f ca="1">IF(AND($D29="Serviço",AB$12&lt;&gt;0,$H29&gt;0,OR(AUTOEVENTO&lt;&gt;"manual",$M29&lt;&gt;$A$15)),
        IF(Import.TipoArredondamento&lt;&gt;"TransfereGOV",
              ROUND(OFFSET($P29,0,AB$13),15-13*ORÇAMENTO!$AF$7)/$H29*OFFSET(ORÇAMENTO!$X$15,ROW(AB29)-ROW(AB$15),0),
              ROUND(ROUND(OFFSET($P29,0,AB$13),15-13*ORÇAMENTO!$AF$7)*OFFSET(ORÇAMENTO!$W$15,ROW(AB29)-ROW(AB$15),0),15-13*ORÇAMENTO!$AF$11)),
         0)</f>
        <v>0</v>
      </c>
      <c r="AC29" s="454">
        <f ca="1">IF(AND($D29="Serviço",AC$12&lt;&gt;0,$H29&gt;0,OR(AUTOEVENTO&lt;&gt;"manual",$M29&lt;&gt;$A$15)),
        IF(Import.TipoArredondamento&lt;&gt;"TransfereGOV",
              ROUND(OFFSET($P29,0,AC$13),15-13*ORÇAMENTO!$AF$7)/$H29*OFFSET(ORÇAMENTO!$X$15,ROW(AC29)-ROW(AC$15),0),
              ROUND(ROUND(OFFSET($P29,0,AC$13),15-13*ORÇAMENTO!$AF$7)*OFFSET(ORÇAMENTO!$W$15,ROW(AC29)-ROW(AC$15),0),15-13*ORÇAMENTO!$AF$11)),
         0)</f>
        <v>0</v>
      </c>
      <c r="AD29" s="454">
        <f ca="1">IF(AND($D29="Serviço",AD$12&lt;&gt;0,$H29&gt;0,OR(AUTOEVENTO&lt;&gt;"manual",$M29&lt;&gt;$A$15)),
        IF(Import.TipoArredondamento&lt;&gt;"TransfereGOV",
              ROUND(OFFSET($P29,0,AD$13),15-13*ORÇAMENTO!$AF$7)/$H29*OFFSET(ORÇAMENTO!$X$15,ROW(AD29)-ROW(AD$15),0),
              ROUND(ROUND(OFFSET($P29,0,AD$13),15-13*ORÇAMENTO!$AF$7)*OFFSET(ORÇAMENTO!$W$15,ROW(AD29)-ROW(AD$15),0),15-13*ORÇAMENTO!$AF$11)),
         0)</f>
        <v>0</v>
      </c>
      <c r="AE29" s="454">
        <f ca="1">IF(AND($D29="Serviço",AE$12&lt;&gt;0,$H29&gt;0,OR(AUTOEVENTO&lt;&gt;"manual",$M29&lt;&gt;$A$15)),
        IF(Import.TipoArredondamento&lt;&gt;"TransfereGOV",
              ROUND(OFFSET($P29,0,AE$13),15-13*ORÇAMENTO!$AF$7)/$H29*OFFSET(ORÇAMENTO!$X$15,ROW(AE29)-ROW(AE$15),0),
              ROUND(ROUND(OFFSET($P29,0,AE$13),15-13*ORÇAMENTO!$AF$7)*OFFSET(ORÇAMENTO!$W$15,ROW(AE29)-ROW(AE$15),0),15-13*ORÇAMENTO!$AF$11)),
         0)</f>
        <v>0</v>
      </c>
      <c r="AF29" s="454">
        <f ca="1">IF(AND($D29="Serviço",AF$12&lt;&gt;0,$H29&gt;0,OR(AUTOEVENTO&lt;&gt;"manual",$M29&lt;&gt;$A$15)),
        IF(Import.TipoArredondamento&lt;&gt;"TransfereGOV",
              ROUND(OFFSET($P29,0,AF$13),15-13*ORÇAMENTO!$AF$7)/$H29*OFFSET(ORÇAMENTO!$X$15,ROW(AF29)-ROW(AF$15),0),
              ROUND(ROUND(OFFSET($P29,0,AF$13),15-13*ORÇAMENTO!$AF$7)*OFFSET(ORÇAMENTO!$W$15,ROW(AF29)-ROW(AF$15),0),15-13*ORÇAMENTO!$AF$11)),
         0)</f>
        <v>0</v>
      </c>
      <c r="AG29" s="454">
        <f ca="1">IF(AND($D29="Serviço",AG$12&lt;&gt;0,$H29&gt;0,OR(AUTOEVENTO&lt;&gt;"manual",$M29&lt;&gt;$A$15)),
        IF(Import.TipoArredondamento&lt;&gt;"TransfereGOV",
              ROUND(OFFSET($P29,0,AG$13),15-13*ORÇAMENTO!$AF$7)/$H29*OFFSET(ORÇAMENTO!$X$15,ROW(AG29)-ROW(AG$15),0),
              ROUND(ROUND(OFFSET($P29,0,AG$13),15-13*ORÇAMENTO!$AF$7)*OFFSET(ORÇAMENTO!$W$15,ROW(AG29)-ROW(AG$15),0),15-13*ORÇAMENTO!$AF$11)),
         0)</f>
        <v>0</v>
      </c>
      <c r="AH29" s="454">
        <f ca="1">IF(AND($D29="Serviço",AH$12&lt;&gt;0,$H29&gt;0,OR(AUTOEVENTO&lt;&gt;"manual",$M29&lt;&gt;$A$15)),
        IF(Import.TipoArredondamento&lt;&gt;"TransfereGOV",
              ROUND(OFFSET($P29,0,AH$13),15-13*ORÇAMENTO!$AF$7)/$H29*OFFSET(ORÇAMENTO!$X$15,ROW(AH29)-ROW(AH$15),0),
              ROUND(ROUND(OFFSET($P29,0,AH$13),15-13*ORÇAMENTO!$AF$7)*OFFSET(ORÇAMENTO!$W$15,ROW(AH29)-ROW(AH$15),0),15-13*ORÇAMENTO!$AF$11)),
         0)</f>
        <v>0</v>
      </c>
      <c r="AI29" s="454">
        <f ca="1">IF(AND($D29="Serviço",AI$12&lt;&gt;0,$H29&gt;0,OR(AUTOEVENTO&lt;&gt;"manual",$M29&lt;&gt;$A$15)),
        IF(Import.TipoArredondamento&lt;&gt;"TransfereGOV",
              ROUND(OFFSET($P29,0,AI$13),15-13*ORÇAMENTO!$AF$7)/$H29*OFFSET(ORÇAMENTO!$X$15,ROW(AI29)-ROW(AI$15),0),
              ROUND(ROUND(OFFSET($P29,0,AI$13),15-13*ORÇAMENTO!$AF$7)*OFFSET(ORÇAMENTO!$W$15,ROW(AI29)-ROW(AI$15),0),15-13*ORÇAMENTO!$AF$11)),
         0)</f>
        <v>0</v>
      </c>
      <c r="AJ29" s="454">
        <f ca="1">IF(AND($D29="Serviço",AJ$12&lt;&gt;0,$H29&gt;0,OR(AUTOEVENTO&lt;&gt;"manual",$M29&lt;&gt;$A$15)),
        IF(Import.TipoArredondamento&lt;&gt;"TransfereGOV",
              ROUND(OFFSET($P29,0,AJ$13),15-13*ORÇAMENTO!$AF$7)/$H29*OFFSET(ORÇAMENTO!$X$15,ROW(AJ29)-ROW(AJ$15),0),
              ROUND(ROUND(OFFSET($P29,0,AJ$13),15-13*ORÇAMENTO!$AF$7)*OFFSET(ORÇAMENTO!$W$15,ROW(AJ29)-ROW(AJ$15),0),15-13*ORÇAMENTO!$AF$11)),
         0)</f>
        <v>0</v>
      </c>
      <c r="AK29" s="454">
        <f ca="1">IF(AND($D29="Serviço",AK$12&lt;&gt;0,$H29&gt;0,OR(AUTOEVENTO&lt;&gt;"manual",$M29&lt;&gt;$A$15)),
        IF(Import.TipoArredondamento&lt;&gt;"TransfereGOV",
              ROUND(OFFSET($P29,0,AK$13),15-13*ORÇAMENTO!$AF$7)/$H29*OFFSET(ORÇAMENTO!$X$15,ROW(AK29)-ROW(AK$15),0),
              ROUND(ROUND(OFFSET($P29,0,AK$13),15-13*ORÇAMENTO!$AF$7)*OFFSET(ORÇAMENTO!$W$15,ROW(AK29)-ROW(AK$15),0),15-13*ORÇAMENTO!$AF$11)),
         0)</f>
        <v>0</v>
      </c>
      <c r="AM29" s="172">
        <f ca="1">IF(OR($D29&lt;&gt;"Serviço",AND(AUTOEVENTO="Manual",$M29=$A$15)),0,
         IF(OFFSET(CRONOPLE!$F$15,$M29-$A$15,AM$13)="",10^12,OFFSET(CRONOPLE!$F$15,$M29-$A$15,AM$13)))</f>
        <v>1000000000000</v>
      </c>
      <c r="AN29" s="172">
        <f ca="1">IF(OR($D29&lt;&gt;"Serviço",AND(AUTOEVENTO="Manual",$M29=$A$15)),0,
         IF(OFFSET(CRONOPLE!$F$15,$M29-$A$15,AN$13)="",10^12,OFFSET(CRONOPLE!$F$15,$M29-$A$15,AN$13)))</f>
        <v>1000000000000</v>
      </c>
      <c r="AO29" s="172">
        <f ca="1">IF(OR($D29&lt;&gt;"Serviço",AND(AUTOEVENTO="Manual",$M29=$A$15)),0,
         IF(OFFSET(CRONOPLE!$F$15,$M29-$A$15,AO$13)="",10^12,OFFSET(CRONOPLE!$F$15,$M29-$A$15,AO$13)))</f>
        <v>1000000000000</v>
      </c>
      <c r="AP29" s="172">
        <f ca="1">IF(OR($D29&lt;&gt;"Serviço",AND(AUTOEVENTO="Manual",$M29=$A$15)),0,
         IF(OFFSET(CRONOPLE!$F$15,$M29-$A$15,AP$13)="",10^12,OFFSET(CRONOPLE!$F$15,$M29-$A$15,AP$13)))</f>
        <v>1000000000000</v>
      </c>
      <c r="AQ29" s="172">
        <f ca="1">IF(OR($D29&lt;&gt;"Serviço",AND(AUTOEVENTO="Manual",$M29=$A$15)),0,
         IF(OFFSET(CRONOPLE!$F$15,$M29-$A$15,AQ$13)="",10^12,OFFSET(CRONOPLE!$F$15,$M29-$A$15,AQ$13)))</f>
        <v>1000000000000</v>
      </c>
      <c r="AR29" s="172">
        <f ca="1">IF(OR($D29&lt;&gt;"Serviço",AND(AUTOEVENTO="Manual",$M29=$A$15)),0,
         IF(OFFSET(CRONOPLE!$F$15,$M29-$A$15,AR$13)="",10^12,OFFSET(CRONOPLE!$F$15,$M29-$A$15,AR$13)))</f>
        <v>1000000000000</v>
      </c>
      <c r="AS29" s="172">
        <f ca="1">IF(OR($D29&lt;&gt;"Serviço",AND(AUTOEVENTO="Manual",$M29=$A$15)),0,
         IF(OFFSET(CRONOPLE!$F$15,$M29-$A$15,AS$13)="",10^12,OFFSET(CRONOPLE!$F$15,$M29-$A$15,AS$13)))</f>
        <v>1000000000000</v>
      </c>
      <c r="AT29" s="172">
        <f ca="1">IF(OR($D29&lt;&gt;"Serviço",AND(AUTOEVENTO="Manual",$M29=$A$15)),0,
         IF(OFFSET(CRONOPLE!$F$15,$M29-$A$15,AT$13)="",10^12,OFFSET(CRONOPLE!$F$15,$M29-$A$15,AT$13)))</f>
        <v>1000000000000</v>
      </c>
      <c r="AU29" s="172">
        <f ca="1">IF(OR($D29&lt;&gt;"Serviço",AND(AUTOEVENTO="Manual",$M29=$A$15)),0,
         IF(OFFSET(CRONOPLE!$F$15,$M29-$A$15,AU$13)="",10^12,OFFSET(CRONOPLE!$F$15,$M29-$A$15,AU$13)))</f>
        <v>1000000000000</v>
      </c>
      <c r="AV29" s="172">
        <f ca="1">IF(OR($D29&lt;&gt;"Serviço",AND(AUTOEVENTO="Manual",$M29=$A$15)),0,
         IF(OFFSET(CRONOPLE!$F$15,$M29-$A$15,AV$13)="",10^12,OFFSET(CRONOPLE!$F$15,$M29-$A$15,AV$13)))</f>
        <v>1000000000000</v>
      </c>
      <c r="AX29" s="173">
        <f ca="1">IF(OR($D29&lt;&gt;"Serviço",AND(AUTOEVENTO="Manual",$M29=$A$15),$M29&gt;(ROW(PLE.lastrow)-ROW(PLE.firstrow))),0,
           IF(OFFSET(PLE!$G$15,$M29-$A$15,AX$13)="",10^12,OFFSET(PLE!$G$15,$M29-$A$15,AX$13)))</f>
        <v>1000000000000</v>
      </c>
      <c r="AY29" s="173">
        <f ca="1">IF(OR($D29&lt;&gt;"Serviço",AND(AUTOEVENTO="Manual",$M29=$A$15),$M29&gt;(ROW(PLE.lastrow)-ROW(PLE.firstrow))),0,
           IF(OFFSET(PLE!$G$15,$M29-$A$15,AY$13)="",10^12,OFFSET(PLE!$G$15,$M29-$A$15,AY$13)))</f>
        <v>1000000000000</v>
      </c>
      <c r="AZ29" s="173">
        <f ca="1">IF(OR($D29&lt;&gt;"Serviço",AND(AUTOEVENTO="Manual",$M29=$A$15),$M29&gt;(ROW(PLE.lastrow)-ROW(PLE.firstrow))),0,
           IF(OFFSET(PLE!$G$15,$M29-$A$15,AZ$13)="",10^12,OFFSET(PLE!$G$15,$M29-$A$15,AZ$13)))</f>
        <v>1000000000000</v>
      </c>
      <c r="BA29" s="173">
        <f ca="1">IF(OR($D29&lt;&gt;"Serviço",AND(AUTOEVENTO="Manual",$M29=$A$15),$M29&gt;(ROW(PLE.lastrow)-ROW(PLE.firstrow))),0,
           IF(OFFSET(PLE!$G$15,$M29-$A$15,BA$13)="",10^12,OFFSET(PLE!$G$15,$M29-$A$15,BA$13)))</f>
        <v>1000000000000</v>
      </c>
      <c r="BB29" s="173">
        <f ca="1">IF(OR($D29&lt;&gt;"Serviço",AND(AUTOEVENTO="Manual",$M29=$A$15),$M29&gt;(ROW(PLE.lastrow)-ROW(PLE.firstrow))),0,
           IF(OFFSET(PLE!$G$15,$M29-$A$15,BB$13)="",10^12,OFFSET(PLE!$G$15,$M29-$A$15,BB$13)))</f>
        <v>1000000000000</v>
      </c>
      <c r="BC29" s="173">
        <f ca="1">IF(OR($D29&lt;&gt;"Serviço",AND(AUTOEVENTO="Manual",$M29=$A$15),$M29&gt;(ROW(PLE.lastrow)-ROW(PLE.firstrow))),0,
           IF(OFFSET(PLE!$G$15,$M29-$A$15,BC$13)="",10^12,OFFSET(PLE!$G$15,$M29-$A$15,BC$13)))</f>
        <v>1000000000000</v>
      </c>
      <c r="BD29" s="173">
        <f ca="1">IF(OR($D29&lt;&gt;"Serviço",AND(AUTOEVENTO="Manual",$M29=$A$15),$M29&gt;(ROW(PLE.lastrow)-ROW(PLE.firstrow))),0,
           IF(OFFSET(PLE!$G$15,$M29-$A$15,BD$13)="",10^12,OFFSET(PLE!$G$15,$M29-$A$15,BD$13)))</f>
        <v>1000000000000</v>
      </c>
      <c r="BE29" s="173">
        <f ca="1">IF(OR($D29&lt;&gt;"Serviço",AND(AUTOEVENTO="Manual",$M29=$A$15),$M29&gt;(ROW(PLE.lastrow)-ROW(PLE.firstrow))),0,
           IF(OFFSET(PLE!$G$15,$M29-$A$15,BE$13)="",10^12,OFFSET(PLE!$G$15,$M29-$A$15,BE$13)))</f>
        <v>1000000000000</v>
      </c>
      <c r="BF29" s="173">
        <f ca="1">IF(OR($D29&lt;&gt;"Serviço",AND(AUTOEVENTO="Manual",$M29=$A$15),$M29&gt;(ROW(PLE.lastrow)-ROW(PLE.firstrow))),0,
           IF(OFFSET(PLE!$G$15,$M29-$A$15,BF$13)="",10^12,OFFSET(PLE!$G$15,$M29-$A$15,BF$13)))</f>
        <v>1000000000000</v>
      </c>
      <c r="BG29" s="173">
        <f ca="1">IF(OR($D29&lt;&gt;"Serviço",AND(AUTOEVENTO="Manual",$M29=$A$15),$M29&gt;(ROW(PLE.lastrow)-ROW(PLE.firstrow))),0,
           IF(OFFSET(PLE!$G$15,$M29-$A$15,BG$13)="",10^12,OFFSET(PLE!$G$15,$M29-$A$15,BG$13)))</f>
        <v>1000000000000</v>
      </c>
    </row>
    <row r="30" spans="1:59" ht="25.5" x14ac:dyDescent="0.2">
      <c r="A30" s="7" t="str">
        <f t="shared" ca="1" si="8"/>
        <v>13</v>
      </c>
      <c r="B30" s="7" t="str">
        <f ca="1">OFFSET(ORÇAMENTO!C$15,ROW(B30)-ROW(B$15),0)</f>
        <v>S</v>
      </c>
      <c r="C30" s="7" t="str">
        <f ca="1">OFFSET(ORÇAMENTO!L$15,ROW(C30)-ROW(C$15),0)</f>
        <v/>
      </c>
      <c r="D30" s="117" t="str">
        <f ca="1">OFFSET(ORÇAMENTO!N$15,ROW(D30)-ROW(D$15),0)</f>
        <v>Serviço</v>
      </c>
      <c r="E30" s="118" t="str">
        <f ca="1">OFFSET(ORÇAMENTO!O$15,ROW(E30)-ROW(E$15),0)</f>
        <v>-</v>
      </c>
      <c r="F30" s="164" t="str">
        <f ca="1">OFFSET(ORÇAMENTO!R$15,ROW(F30)-ROW(F$15),0)</f>
        <v>EXECUÇÃO DE RADIER, ESPESSURA DE 15 CM, FCK = 30 MPA, COM USO DE FORMAS EM MADEIRA SERRADA. AF_09/2021</v>
      </c>
      <c r="G30" s="165" t="str">
        <f ca="1">IF($D30&lt;&gt;"Serviço","",OFFSET(ORÇAMENTO!S$15,ROW(G30)-ROW(G$15),0))</f>
        <v>M2</v>
      </c>
      <c r="H30" s="123">
        <f ca="1">IF($D30&lt;&gt;"Serviço",0,IF(ACOMPANHAMENTO="BM",ROUND(OFFSET(ORÇAMENTO!AJ$15,ROW(H30)-ROW(H$15),0),15-13*ORÇAMENTO!$AF$7),SUMPRODUCT(($Q$1:$AA$1=1)*ROUND($Q30:$AA30,15-13*ORÇAMENTO!$AF$7))))</f>
        <v>935.72</v>
      </c>
      <c r="I30" s="469"/>
      <c r="J30" s="577" t="str" cm="1">
        <f t="array" aca="1" ref="J30" ca="1">IF(B30&lt;&gt;"S","",IF(AND(ACOMPANHAMENTO="PLE",AUTOEVENTO="Manual",OR(H30&gt;0,ORÇAMENTO!AC30="QUANT."),OR(K30="",M30=0,N30="")),"►",IF(AND(ACOMPANHAMENTO="PLE",ORÇAMENTO!AC30="QUANT."),"►►",IF(AND(COUNTIF($P$11:$AA$11,"▼")=0,H30&gt;0,I30=""),"◄",""))))</f>
        <v>◄</v>
      </c>
      <c r="K30" s="626"/>
      <c r="L30" s="166" t="s">
        <v>765</v>
      </c>
      <c r="M30" s="167">
        <f ca="1">IF($D30&lt;&gt;"Serviço","",
          IF(AUTOEVENTO="manual",$A30,
                IF(ISERROR(MATCH($A30,$A$15:OFFSET($A30,-1,0),0)),MAX($M$15:OFFSET(M30,-1,0))+1,
                      INDEX($M$15:OFFSET(M30,-1,0),MATCH($A30,$A$15:OFFSET($A30,-1,0),0)))))</f>
        <v>3</v>
      </c>
      <c r="N30" s="168" t="str">
        <f ca="1">IF($D30&lt;&gt;"Serviço","",
         IF(AUTOEVENTO="Manual",
                IF($A30=0,"&lt;-- defina o número do agrupador",
                       OFFSET(EVENTOS!$D$15,$A30-$A$15,0)),
                OFFSET($F$15,$A30,0)))</f>
        <v>FUNDAÇÃO</v>
      </c>
      <c r="O30" s="169"/>
      <c r="Q30" s="169"/>
      <c r="R30" s="170"/>
      <c r="S30" s="170"/>
      <c r="T30" s="170"/>
      <c r="U30" s="170"/>
      <c r="V30" s="170"/>
      <c r="W30" s="170"/>
      <c r="X30" s="170"/>
      <c r="Y30" s="170"/>
      <c r="Z30" s="171"/>
      <c r="AB30" s="454">
        <f ca="1">IF(AND($D30="Serviço",AB$12&lt;&gt;0,$H30&gt;0,OR(AUTOEVENTO&lt;&gt;"manual",$M30&lt;&gt;$A$15)),
        IF(Import.TipoArredondamento&lt;&gt;"TransfereGOV",
              ROUND(OFFSET($P30,0,AB$13),15-13*ORÇAMENTO!$AF$7)/$H30*OFFSET(ORÇAMENTO!$X$15,ROW(AB30)-ROW(AB$15),0),
              ROUND(ROUND(OFFSET($P30,0,AB$13),15-13*ORÇAMENTO!$AF$7)*OFFSET(ORÇAMENTO!$W$15,ROW(AB30)-ROW(AB$15),0),15-13*ORÇAMENTO!$AF$11)),
         0)</f>
        <v>0</v>
      </c>
      <c r="AC30" s="454">
        <f ca="1">IF(AND($D30="Serviço",AC$12&lt;&gt;0,$H30&gt;0,OR(AUTOEVENTO&lt;&gt;"manual",$M30&lt;&gt;$A$15)),
        IF(Import.TipoArredondamento&lt;&gt;"TransfereGOV",
              ROUND(OFFSET($P30,0,AC$13),15-13*ORÇAMENTO!$AF$7)/$H30*OFFSET(ORÇAMENTO!$X$15,ROW(AC30)-ROW(AC$15),0),
              ROUND(ROUND(OFFSET($P30,0,AC$13),15-13*ORÇAMENTO!$AF$7)*OFFSET(ORÇAMENTO!$W$15,ROW(AC30)-ROW(AC$15),0),15-13*ORÇAMENTO!$AF$11)),
         0)</f>
        <v>0</v>
      </c>
      <c r="AD30" s="454">
        <f ca="1">IF(AND($D30="Serviço",AD$12&lt;&gt;0,$H30&gt;0,OR(AUTOEVENTO&lt;&gt;"manual",$M30&lt;&gt;$A$15)),
        IF(Import.TipoArredondamento&lt;&gt;"TransfereGOV",
              ROUND(OFFSET($P30,0,AD$13),15-13*ORÇAMENTO!$AF$7)/$H30*OFFSET(ORÇAMENTO!$X$15,ROW(AD30)-ROW(AD$15),0),
              ROUND(ROUND(OFFSET($P30,0,AD$13),15-13*ORÇAMENTO!$AF$7)*OFFSET(ORÇAMENTO!$W$15,ROW(AD30)-ROW(AD$15),0),15-13*ORÇAMENTO!$AF$11)),
         0)</f>
        <v>0</v>
      </c>
      <c r="AE30" s="454">
        <f ca="1">IF(AND($D30="Serviço",AE$12&lt;&gt;0,$H30&gt;0,OR(AUTOEVENTO&lt;&gt;"manual",$M30&lt;&gt;$A$15)),
        IF(Import.TipoArredondamento&lt;&gt;"TransfereGOV",
              ROUND(OFFSET($P30,0,AE$13),15-13*ORÇAMENTO!$AF$7)/$H30*OFFSET(ORÇAMENTO!$X$15,ROW(AE30)-ROW(AE$15),0),
              ROUND(ROUND(OFFSET($P30,0,AE$13),15-13*ORÇAMENTO!$AF$7)*OFFSET(ORÇAMENTO!$W$15,ROW(AE30)-ROW(AE$15),0),15-13*ORÇAMENTO!$AF$11)),
         0)</f>
        <v>0</v>
      </c>
      <c r="AF30" s="454">
        <f ca="1">IF(AND($D30="Serviço",AF$12&lt;&gt;0,$H30&gt;0,OR(AUTOEVENTO&lt;&gt;"manual",$M30&lt;&gt;$A$15)),
        IF(Import.TipoArredondamento&lt;&gt;"TransfereGOV",
              ROUND(OFFSET($P30,0,AF$13),15-13*ORÇAMENTO!$AF$7)/$H30*OFFSET(ORÇAMENTO!$X$15,ROW(AF30)-ROW(AF$15),0),
              ROUND(ROUND(OFFSET($P30,0,AF$13),15-13*ORÇAMENTO!$AF$7)*OFFSET(ORÇAMENTO!$W$15,ROW(AF30)-ROW(AF$15),0),15-13*ORÇAMENTO!$AF$11)),
         0)</f>
        <v>0</v>
      </c>
      <c r="AG30" s="454">
        <f ca="1">IF(AND($D30="Serviço",AG$12&lt;&gt;0,$H30&gt;0,OR(AUTOEVENTO&lt;&gt;"manual",$M30&lt;&gt;$A$15)),
        IF(Import.TipoArredondamento&lt;&gt;"TransfereGOV",
              ROUND(OFFSET($P30,0,AG$13),15-13*ORÇAMENTO!$AF$7)/$H30*OFFSET(ORÇAMENTO!$X$15,ROW(AG30)-ROW(AG$15),0),
              ROUND(ROUND(OFFSET($P30,0,AG$13),15-13*ORÇAMENTO!$AF$7)*OFFSET(ORÇAMENTO!$W$15,ROW(AG30)-ROW(AG$15),0),15-13*ORÇAMENTO!$AF$11)),
         0)</f>
        <v>0</v>
      </c>
      <c r="AH30" s="454">
        <f ca="1">IF(AND($D30="Serviço",AH$12&lt;&gt;0,$H30&gt;0,OR(AUTOEVENTO&lt;&gt;"manual",$M30&lt;&gt;$A$15)),
        IF(Import.TipoArredondamento&lt;&gt;"TransfereGOV",
              ROUND(OFFSET($P30,0,AH$13),15-13*ORÇAMENTO!$AF$7)/$H30*OFFSET(ORÇAMENTO!$X$15,ROW(AH30)-ROW(AH$15),0),
              ROUND(ROUND(OFFSET($P30,0,AH$13),15-13*ORÇAMENTO!$AF$7)*OFFSET(ORÇAMENTO!$W$15,ROW(AH30)-ROW(AH$15),0),15-13*ORÇAMENTO!$AF$11)),
         0)</f>
        <v>0</v>
      </c>
      <c r="AI30" s="454">
        <f ca="1">IF(AND($D30="Serviço",AI$12&lt;&gt;0,$H30&gt;0,OR(AUTOEVENTO&lt;&gt;"manual",$M30&lt;&gt;$A$15)),
        IF(Import.TipoArredondamento&lt;&gt;"TransfereGOV",
              ROUND(OFFSET($P30,0,AI$13),15-13*ORÇAMENTO!$AF$7)/$H30*OFFSET(ORÇAMENTO!$X$15,ROW(AI30)-ROW(AI$15),0),
              ROUND(ROUND(OFFSET($P30,0,AI$13),15-13*ORÇAMENTO!$AF$7)*OFFSET(ORÇAMENTO!$W$15,ROW(AI30)-ROW(AI$15),0),15-13*ORÇAMENTO!$AF$11)),
         0)</f>
        <v>0</v>
      </c>
      <c r="AJ30" s="454">
        <f ca="1">IF(AND($D30="Serviço",AJ$12&lt;&gt;0,$H30&gt;0,OR(AUTOEVENTO&lt;&gt;"manual",$M30&lt;&gt;$A$15)),
        IF(Import.TipoArredondamento&lt;&gt;"TransfereGOV",
              ROUND(OFFSET($P30,0,AJ$13),15-13*ORÇAMENTO!$AF$7)/$H30*OFFSET(ORÇAMENTO!$X$15,ROW(AJ30)-ROW(AJ$15),0),
              ROUND(ROUND(OFFSET($P30,0,AJ$13),15-13*ORÇAMENTO!$AF$7)*OFFSET(ORÇAMENTO!$W$15,ROW(AJ30)-ROW(AJ$15),0),15-13*ORÇAMENTO!$AF$11)),
         0)</f>
        <v>0</v>
      </c>
      <c r="AK30" s="454">
        <f ca="1">IF(AND($D30="Serviço",AK$12&lt;&gt;0,$H30&gt;0,OR(AUTOEVENTO&lt;&gt;"manual",$M30&lt;&gt;$A$15)),
        IF(Import.TipoArredondamento&lt;&gt;"TransfereGOV",
              ROUND(OFFSET($P30,0,AK$13),15-13*ORÇAMENTO!$AF$7)/$H30*OFFSET(ORÇAMENTO!$X$15,ROW(AK30)-ROW(AK$15),0),
              ROUND(ROUND(OFFSET($P30,0,AK$13),15-13*ORÇAMENTO!$AF$7)*OFFSET(ORÇAMENTO!$W$15,ROW(AK30)-ROW(AK$15),0),15-13*ORÇAMENTO!$AF$11)),
         0)</f>
        <v>0</v>
      </c>
      <c r="AM30" s="172">
        <f ca="1">IF(OR($D30&lt;&gt;"Serviço",AND(AUTOEVENTO="Manual",$M30=$A$15)),0,
         IF(OFFSET(CRONOPLE!$F$15,$M30-$A$15,AM$13)="",10^12,OFFSET(CRONOPLE!$F$15,$M30-$A$15,AM$13)))</f>
        <v>1000000000000</v>
      </c>
      <c r="AN30" s="172">
        <f ca="1">IF(OR($D30&lt;&gt;"Serviço",AND(AUTOEVENTO="Manual",$M30=$A$15)),0,
         IF(OFFSET(CRONOPLE!$F$15,$M30-$A$15,AN$13)="",10^12,OFFSET(CRONOPLE!$F$15,$M30-$A$15,AN$13)))</f>
        <v>1000000000000</v>
      </c>
      <c r="AO30" s="172">
        <f ca="1">IF(OR($D30&lt;&gt;"Serviço",AND(AUTOEVENTO="Manual",$M30=$A$15)),0,
         IF(OFFSET(CRONOPLE!$F$15,$M30-$A$15,AO$13)="",10^12,OFFSET(CRONOPLE!$F$15,$M30-$A$15,AO$13)))</f>
        <v>1000000000000</v>
      </c>
      <c r="AP30" s="172">
        <f ca="1">IF(OR($D30&lt;&gt;"Serviço",AND(AUTOEVENTO="Manual",$M30=$A$15)),0,
         IF(OFFSET(CRONOPLE!$F$15,$M30-$A$15,AP$13)="",10^12,OFFSET(CRONOPLE!$F$15,$M30-$A$15,AP$13)))</f>
        <v>1000000000000</v>
      </c>
      <c r="AQ30" s="172">
        <f ca="1">IF(OR($D30&lt;&gt;"Serviço",AND(AUTOEVENTO="Manual",$M30=$A$15)),0,
         IF(OFFSET(CRONOPLE!$F$15,$M30-$A$15,AQ$13)="",10^12,OFFSET(CRONOPLE!$F$15,$M30-$A$15,AQ$13)))</f>
        <v>1000000000000</v>
      </c>
      <c r="AR30" s="172">
        <f ca="1">IF(OR($D30&lt;&gt;"Serviço",AND(AUTOEVENTO="Manual",$M30=$A$15)),0,
         IF(OFFSET(CRONOPLE!$F$15,$M30-$A$15,AR$13)="",10^12,OFFSET(CRONOPLE!$F$15,$M30-$A$15,AR$13)))</f>
        <v>1000000000000</v>
      </c>
      <c r="AS30" s="172">
        <f ca="1">IF(OR($D30&lt;&gt;"Serviço",AND(AUTOEVENTO="Manual",$M30=$A$15)),0,
         IF(OFFSET(CRONOPLE!$F$15,$M30-$A$15,AS$13)="",10^12,OFFSET(CRONOPLE!$F$15,$M30-$A$15,AS$13)))</f>
        <v>1000000000000</v>
      </c>
      <c r="AT30" s="172">
        <f ca="1">IF(OR($D30&lt;&gt;"Serviço",AND(AUTOEVENTO="Manual",$M30=$A$15)),0,
         IF(OFFSET(CRONOPLE!$F$15,$M30-$A$15,AT$13)="",10^12,OFFSET(CRONOPLE!$F$15,$M30-$A$15,AT$13)))</f>
        <v>1000000000000</v>
      </c>
      <c r="AU30" s="172">
        <f ca="1">IF(OR($D30&lt;&gt;"Serviço",AND(AUTOEVENTO="Manual",$M30=$A$15)),0,
         IF(OFFSET(CRONOPLE!$F$15,$M30-$A$15,AU$13)="",10^12,OFFSET(CRONOPLE!$F$15,$M30-$A$15,AU$13)))</f>
        <v>1000000000000</v>
      </c>
      <c r="AV30" s="172">
        <f ca="1">IF(OR($D30&lt;&gt;"Serviço",AND(AUTOEVENTO="Manual",$M30=$A$15)),0,
         IF(OFFSET(CRONOPLE!$F$15,$M30-$A$15,AV$13)="",10^12,OFFSET(CRONOPLE!$F$15,$M30-$A$15,AV$13)))</f>
        <v>1000000000000</v>
      </c>
      <c r="AX30" s="173">
        <f ca="1">IF(OR($D30&lt;&gt;"Serviço",AND(AUTOEVENTO="Manual",$M30=$A$15),$M30&gt;(ROW(PLE.lastrow)-ROW(PLE.firstrow))),0,
           IF(OFFSET(PLE!$G$15,$M30-$A$15,AX$13)="",10^12,OFFSET(PLE!$G$15,$M30-$A$15,AX$13)))</f>
        <v>1000000000000</v>
      </c>
      <c r="AY30" s="173">
        <f ca="1">IF(OR($D30&lt;&gt;"Serviço",AND(AUTOEVENTO="Manual",$M30=$A$15),$M30&gt;(ROW(PLE.lastrow)-ROW(PLE.firstrow))),0,
           IF(OFFSET(PLE!$G$15,$M30-$A$15,AY$13)="",10^12,OFFSET(PLE!$G$15,$M30-$A$15,AY$13)))</f>
        <v>1000000000000</v>
      </c>
      <c r="AZ30" s="173">
        <f ca="1">IF(OR($D30&lt;&gt;"Serviço",AND(AUTOEVENTO="Manual",$M30=$A$15),$M30&gt;(ROW(PLE.lastrow)-ROW(PLE.firstrow))),0,
           IF(OFFSET(PLE!$G$15,$M30-$A$15,AZ$13)="",10^12,OFFSET(PLE!$G$15,$M30-$A$15,AZ$13)))</f>
        <v>1000000000000</v>
      </c>
      <c r="BA30" s="173">
        <f ca="1">IF(OR($D30&lt;&gt;"Serviço",AND(AUTOEVENTO="Manual",$M30=$A$15),$M30&gt;(ROW(PLE.lastrow)-ROW(PLE.firstrow))),0,
           IF(OFFSET(PLE!$G$15,$M30-$A$15,BA$13)="",10^12,OFFSET(PLE!$G$15,$M30-$A$15,BA$13)))</f>
        <v>1000000000000</v>
      </c>
      <c r="BB30" s="173">
        <f ca="1">IF(OR($D30&lt;&gt;"Serviço",AND(AUTOEVENTO="Manual",$M30=$A$15),$M30&gt;(ROW(PLE.lastrow)-ROW(PLE.firstrow))),0,
           IF(OFFSET(PLE!$G$15,$M30-$A$15,BB$13)="",10^12,OFFSET(PLE!$G$15,$M30-$A$15,BB$13)))</f>
        <v>1000000000000</v>
      </c>
      <c r="BC30" s="173">
        <f ca="1">IF(OR($D30&lt;&gt;"Serviço",AND(AUTOEVENTO="Manual",$M30=$A$15),$M30&gt;(ROW(PLE.lastrow)-ROW(PLE.firstrow))),0,
           IF(OFFSET(PLE!$G$15,$M30-$A$15,BC$13)="",10^12,OFFSET(PLE!$G$15,$M30-$A$15,BC$13)))</f>
        <v>1000000000000</v>
      </c>
      <c r="BD30" s="173">
        <f ca="1">IF(OR($D30&lt;&gt;"Serviço",AND(AUTOEVENTO="Manual",$M30=$A$15),$M30&gt;(ROW(PLE.lastrow)-ROW(PLE.firstrow))),0,
           IF(OFFSET(PLE!$G$15,$M30-$A$15,BD$13)="",10^12,OFFSET(PLE!$G$15,$M30-$A$15,BD$13)))</f>
        <v>1000000000000</v>
      </c>
      <c r="BE30" s="173">
        <f ca="1">IF(OR($D30&lt;&gt;"Serviço",AND(AUTOEVENTO="Manual",$M30=$A$15),$M30&gt;(ROW(PLE.lastrow)-ROW(PLE.firstrow))),0,
           IF(OFFSET(PLE!$G$15,$M30-$A$15,BE$13)="",10^12,OFFSET(PLE!$G$15,$M30-$A$15,BE$13)))</f>
        <v>1000000000000</v>
      </c>
      <c r="BF30" s="173">
        <f ca="1">IF(OR($D30&lt;&gt;"Serviço",AND(AUTOEVENTO="Manual",$M30=$A$15),$M30&gt;(ROW(PLE.lastrow)-ROW(PLE.firstrow))),0,
           IF(OFFSET(PLE!$G$15,$M30-$A$15,BF$13)="",10^12,OFFSET(PLE!$G$15,$M30-$A$15,BF$13)))</f>
        <v>1000000000000</v>
      </c>
      <c r="BG30" s="173">
        <f ca="1">IF(OR($D30&lt;&gt;"Serviço",AND(AUTOEVENTO="Manual",$M30=$A$15),$M30&gt;(ROW(PLE.lastrow)-ROW(PLE.firstrow))),0,
           IF(OFFSET(PLE!$G$15,$M30-$A$15,BG$13)="",10^12,OFFSET(PLE!$G$15,$M30-$A$15,BG$13)))</f>
        <v>1000000000000</v>
      </c>
    </row>
    <row r="31" spans="1:59" ht="25.5" x14ac:dyDescent="0.2">
      <c r="A31" s="7" t="str">
        <f t="shared" ca="1" si="8"/>
        <v>13</v>
      </c>
      <c r="B31" s="7" t="str">
        <f ca="1">OFFSET(ORÇAMENTO!C$15,ROW(B31)-ROW(B$15),0)</f>
        <v>S</v>
      </c>
      <c r="C31" s="7" t="str">
        <f ca="1">OFFSET(ORÇAMENTO!L$15,ROW(C31)-ROW(C$15),0)</f>
        <v/>
      </c>
      <c r="D31" s="117" t="str">
        <f ca="1">OFFSET(ORÇAMENTO!N$15,ROW(D31)-ROW(D$15),0)</f>
        <v>Serviço</v>
      </c>
      <c r="E31" s="118" t="str">
        <f ca="1">OFFSET(ORÇAMENTO!O$15,ROW(E31)-ROW(E$15),0)</f>
        <v>-</v>
      </c>
      <c r="F31" s="164" t="str">
        <f ca="1">OFFSET(ORÇAMENTO!R$15,ROW(F31)-ROW(F$15),0)</f>
        <v>EXECUÇÃO DE RADIER, ESPESSURA DE 25 CM, FCK = 30 MPA, COM USO DE FORMAS EM MADEIRA SERRADA. AF_09/2021</v>
      </c>
      <c r="G31" s="165" t="str">
        <f ca="1">IF($D31&lt;&gt;"Serviço","",OFFSET(ORÇAMENTO!S$15,ROW(G31)-ROW(G$15),0))</f>
        <v>M2</v>
      </c>
      <c r="H31" s="123">
        <f ca="1">IF($D31&lt;&gt;"Serviço",0,IF(ACOMPANHAMENTO="BM",ROUND(OFFSET(ORÇAMENTO!AJ$15,ROW(H31)-ROW(H$15),0),15-13*ORÇAMENTO!$AF$7),SUMPRODUCT(($Q$1:$AA$1=1)*ROUND($Q31:$AA31,15-13*ORÇAMENTO!$AF$7))))</f>
        <v>469.76</v>
      </c>
      <c r="I31" s="469"/>
      <c r="J31" s="577" t="str" cm="1">
        <f t="array" aca="1" ref="J31" ca="1">IF(B31&lt;&gt;"S","",IF(AND(ACOMPANHAMENTO="PLE",AUTOEVENTO="Manual",OR(H31&gt;0,ORÇAMENTO!AC31="QUANT."),OR(K31="",M31=0,N31="")),"►",IF(AND(ACOMPANHAMENTO="PLE",ORÇAMENTO!AC31="QUANT."),"►►",IF(AND(COUNTIF($P$11:$AA$11,"▼")=0,H31&gt;0,I31=""),"◄",""))))</f>
        <v>◄</v>
      </c>
      <c r="K31" s="626"/>
      <c r="L31" s="166" t="s">
        <v>765</v>
      </c>
      <c r="M31" s="167">
        <f ca="1">IF($D31&lt;&gt;"Serviço","",
          IF(AUTOEVENTO="manual",$A31,
                IF(ISERROR(MATCH($A31,$A$15:OFFSET($A31,-1,0),0)),MAX($M$15:OFFSET(M31,-1,0))+1,
                      INDEX($M$15:OFFSET(M31,-1,0),MATCH($A31,$A$15:OFFSET($A31,-1,0),0)))))</f>
        <v>3</v>
      </c>
      <c r="N31" s="168" t="str">
        <f ca="1">IF($D31&lt;&gt;"Serviço","",
         IF(AUTOEVENTO="Manual",
                IF($A31=0,"&lt;-- defina o número do agrupador",
                       OFFSET(EVENTOS!$D$15,$A31-$A$15,0)),
                OFFSET($F$15,$A31,0)))</f>
        <v>FUNDAÇÃO</v>
      </c>
      <c r="O31" s="169"/>
      <c r="Q31" s="169"/>
      <c r="R31" s="170"/>
      <c r="S31" s="170"/>
      <c r="T31" s="170"/>
      <c r="U31" s="170"/>
      <c r="V31" s="170"/>
      <c r="W31" s="170"/>
      <c r="X31" s="170"/>
      <c r="Y31" s="170"/>
      <c r="Z31" s="171"/>
      <c r="AB31" s="454">
        <f ca="1">IF(AND($D31="Serviço",AB$12&lt;&gt;0,$H31&gt;0,OR(AUTOEVENTO&lt;&gt;"manual",$M31&lt;&gt;$A$15)),
        IF(Import.TipoArredondamento&lt;&gt;"TransfereGOV",
              ROUND(OFFSET($P31,0,AB$13),15-13*ORÇAMENTO!$AF$7)/$H31*OFFSET(ORÇAMENTO!$X$15,ROW(AB31)-ROW(AB$15),0),
              ROUND(ROUND(OFFSET($P31,0,AB$13),15-13*ORÇAMENTO!$AF$7)*OFFSET(ORÇAMENTO!$W$15,ROW(AB31)-ROW(AB$15),0),15-13*ORÇAMENTO!$AF$11)),
         0)</f>
        <v>0</v>
      </c>
      <c r="AC31" s="454">
        <f ca="1">IF(AND($D31="Serviço",AC$12&lt;&gt;0,$H31&gt;0,OR(AUTOEVENTO&lt;&gt;"manual",$M31&lt;&gt;$A$15)),
        IF(Import.TipoArredondamento&lt;&gt;"TransfereGOV",
              ROUND(OFFSET($P31,0,AC$13),15-13*ORÇAMENTO!$AF$7)/$H31*OFFSET(ORÇAMENTO!$X$15,ROW(AC31)-ROW(AC$15),0),
              ROUND(ROUND(OFFSET($P31,0,AC$13),15-13*ORÇAMENTO!$AF$7)*OFFSET(ORÇAMENTO!$W$15,ROW(AC31)-ROW(AC$15),0),15-13*ORÇAMENTO!$AF$11)),
         0)</f>
        <v>0</v>
      </c>
      <c r="AD31" s="454">
        <f ca="1">IF(AND($D31="Serviço",AD$12&lt;&gt;0,$H31&gt;0,OR(AUTOEVENTO&lt;&gt;"manual",$M31&lt;&gt;$A$15)),
        IF(Import.TipoArredondamento&lt;&gt;"TransfereGOV",
              ROUND(OFFSET($P31,0,AD$13),15-13*ORÇAMENTO!$AF$7)/$H31*OFFSET(ORÇAMENTO!$X$15,ROW(AD31)-ROW(AD$15),0),
              ROUND(ROUND(OFFSET($P31,0,AD$13),15-13*ORÇAMENTO!$AF$7)*OFFSET(ORÇAMENTO!$W$15,ROW(AD31)-ROW(AD$15),0),15-13*ORÇAMENTO!$AF$11)),
         0)</f>
        <v>0</v>
      </c>
      <c r="AE31" s="454">
        <f ca="1">IF(AND($D31="Serviço",AE$12&lt;&gt;0,$H31&gt;0,OR(AUTOEVENTO&lt;&gt;"manual",$M31&lt;&gt;$A$15)),
        IF(Import.TipoArredondamento&lt;&gt;"TransfereGOV",
              ROUND(OFFSET($P31,0,AE$13),15-13*ORÇAMENTO!$AF$7)/$H31*OFFSET(ORÇAMENTO!$X$15,ROW(AE31)-ROW(AE$15),0),
              ROUND(ROUND(OFFSET($P31,0,AE$13),15-13*ORÇAMENTO!$AF$7)*OFFSET(ORÇAMENTO!$W$15,ROW(AE31)-ROW(AE$15),0),15-13*ORÇAMENTO!$AF$11)),
         0)</f>
        <v>0</v>
      </c>
      <c r="AF31" s="454">
        <f ca="1">IF(AND($D31="Serviço",AF$12&lt;&gt;0,$H31&gt;0,OR(AUTOEVENTO&lt;&gt;"manual",$M31&lt;&gt;$A$15)),
        IF(Import.TipoArredondamento&lt;&gt;"TransfereGOV",
              ROUND(OFFSET($P31,0,AF$13),15-13*ORÇAMENTO!$AF$7)/$H31*OFFSET(ORÇAMENTO!$X$15,ROW(AF31)-ROW(AF$15),0),
              ROUND(ROUND(OFFSET($P31,0,AF$13),15-13*ORÇAMENTO!$AF$7)*OFFSET(ORÇAMENTO!$W$15,ROW(AF31)-ROW(AF$15),0),15-13*ORÇAMENTO!$AF$11)),
         0)</f>
        <v>0</v>
      </c>
      <c r="AG31" s="454">
        <f ca="1">IF(AND($D31="Serviço",AG$12&lt;&gt;0,$H31&gt;0,OR(AUTOEVENTO&lt;&gt;"manual",$M31&lt;&gt;$A$15)),
        IF(Import.TipoArredondamento&lt;&gt;"TransfereGOV",
              ROUND(OFFSET($P31,0,AG$13),15-13*ORÇAMENTO!$AF$7)/$H31*OFFSET(ORÇAMENTO!$X$15,ROW(AG31)-ROW(AG$15),0),
              ROUND(ROUND(OFFSET($P31,0,AG$13),15-13*ORÇAMENTO!$AF$7)*OFFSET(ORÇAMENTO!$W$15,ROW(AG31)-ROW(AG$15),0),15-13*ORÇAMENTO!$AF$11)),
         0)</f>
        <v>0</v>
      </c>
      <c r="AH31" s="454">
        <f ca="1">IF(AND($D31="Serviço",AH$12&lt;&gt;0,$H31&gt;0,OR(AUTOEVENTO&lt;&gt;"manual",$M31&lt;&gt;$A$15)),
        IF(Import.TipoArredondamento&lt;&gt;"TransfereGOV",
              ROUND(OFFSET($P31,0,AH$13),15-13*ORÇAMENTO!$AF$7)/$H31*OFFSET(ORÇAMENTO!$X$15,ROW(AH31)-ROW(AH$15),0),
              ROUND(ROUND(OFFSET($P31,0,AH$13),15-13*ORÇAMENTO!$AF$7)*OFFSET(ORÇAMENTO!$W$15,ROW(AH31)-ROW(AH$15),0),15-13*ORÇAMENTO!$AF$11)),
         0)</f>
        <v>0</v>
      </c>
      <c r="AI31" s="454">
        <f ca="1">IF(AND($D31="Serviço",AI$12&lt;&gt;0,$H31&gt;0,OR(AUTOEVENTO&lt;&gt;"manual",$M31&lt;&gt;$A$15)),
        IF(Import.TipoArredondamento&lt;&gt;"TransfereGOV",
              ROUND(OFFSET($P31,0,AI$13),15-13*ORÇAMENTO!$AF$7)/$H31*OFFSET(ORÇAMENTO!$X$15,ROW(AI31)-ROW(AI$15),0),
              ROUND(ROUND(OFFSET($P31,0,AI$13),15-13*ORÇAMENTO!$AF$7)*OFFSET(ORÇAMENTO!$W$15,ROW(AI31)-ROW(AI$15),0),15-13*ORÇAMENTO!$AF$11)),
         0)</f>
        <v>0</v>
      </c>
      <c r="AJ31" s="454">
        <f ca="1">IF(AND($D31="Serviço",AJ$12&lt;&gt;0,$H31&gt;0,OR(AUTOEVENTO&lt;&gt;"manual",$M31&lt;&gt;$A$15)),
        IF(Import.TipoArredondamento&lt;&gt;"TransfereGOV",
              ROUND(OFFSET($P31,0,AJ$13),15-13*ORÇAMENTO!$AF$7)/$H31*OFFSET(ORÇAMENTO!$X$15,ROW(AJ31)-ROW(AJ$15),0),
              ROUND(ROUND(OFFSET($P31,0,AJ$13),15-13*ORÇAMENTO!$AF$7)*OFFSET(ORÇAMENTO!$W$15,ROW(AJ31)-ROW(AJ$15),0),15-13*ORÇAMENTO!$AF$11)),
         0)</f>
        <v>0</v>
      </c>
      <c r="AK31" s="454">
        <f ca="1">IF(AND($D31="Serviço",AK$12&lt;&gt;0,$H31&gt;0,OR(AUTOEVENTO&lt;&gt;"manual",$M31&lt;&gt;$A$15)),
        IF(Import.TipoArredondamento&lt;&gt;"TransfereGOV",
              ROUND(OFFSET($P31,0,AK$13),15-13*ORÇAMENTO!$AF$7)/$H31*OFFSET(ORÇAMENTO!$X$15,ROW(AK31)-ROW(AK$15),0),
              ROUND(ROUND(OFFSET($P31,0,AK$13),15-13*ORÇAMENTO!$AF$7)*OFFSET(ORÇAMENTO!$W$15,ROW(AK31)-ROW(AK$15),0),15-13*ORÇAMENTO!$AF$11)),
         0)</f>
        <v>0</v>
      </c>
      <c r="AM31" s="172">
        <f ca="1">IF(OR($D31&lt;&gt;"Serviço",AND(AUTOEVENTO="Manual",$M31=$A$15)),0,
         IF(OFFSET(CRONOPLE!$F$15,$M31-$A$15,AM$13)="",10^12,OFFSET(CRONOPLE!$F$15,$M31-$A$15,AM$13)))</f>
        <v>1000000000000</v>
      </c>
      <c r="AN31" s="172">
        <f ca="1">IF(OR($D31&lt;&gt;"Serviço",AND(AUTOEVENTO="Manual",$M31=$A$15)),0,
         IF(OFFSET(CRONOPLE!$F$15,$M31-$A$15,AN$13)="",10^12,OFFSET(CRONOPLE!$F$15,$M31-$A$15,AN$13)))</f>
        <v>1000000000000</v>
      </c>
      <c r="AO31" s="172">
        <f ca="1">IF(OR($D31&lt;&gt;"Serviço",AND(AUTOEVENTO="Manual",$M31=$A$15)),0,
         IF(OFFSET(CRONOPLE!$F$15,$M31-$A$15,AO$13)="",10^12,OFFSET(CRONOPLE!$F$15,$M31-$A$15,AO$13)))</f>
        <v>1000000000000</v>
      </c>
      <c r="AP31" s="172">
        <f ca="1">IF(OR($D31&lt;&gt;"Serviço",AND(AUTOEVENTO="Manual",$M31=$A$15)),0,
         IF(OFFSET(CRONOPLE!$F$15,$M31-$A$15,AP$13)="",10^12,OFFSET(CRONOPLE!$F$15,$M31-$A$15,AP$13)))</f>
        <v>1000000000000</v>
      </c>
      <c r="AQ31" s="172">
        <f ca="1">IF(OR($D31&lt;&gt;"Serviço",AND(AUTOEVENTO="Manual",$M31=$A$15)),0,
         IF(OFFSET(CRONOPLE!$F$15,$M31-$A$15,AQ$13)="",10^12,OFFSET(CRONOPLE!$F$15,$M31-$A$15,AQ$13)))</f>
        <v>1000000000000</v>
      </c>
      <c r="AR31" s="172">
        <f ca="1">IF(OR($D31&lt;&gt;"Serviço",AND(AUTOEVENTO="Manual",$M31=$A$15)),0,
         IF(OFFSET(CRONOPLE!$F$15,$M31-$A$15,AR$13)="",10^12,OFFSET(CRONOPLE!$F$15,$M31-$A$15,AR$13)))</f>
        <v>1000000000000</v>
      </c>
      <c r="AS31" s="172">
        <f ca="1">IF(OR($D31&lt;&gt;"Serviço",AND(AUTOEVENTO="Manual",$M31=$A$15)),0,
         IF(OFFSET(CRONOPLE!$F$15,$M31-$A$15,AS$13)="",10^12,OFFSET(CRONOPLE!$F$15,$M31-$A$15,AS$13)))</f>
        <v>1000000000000</v>
      </c>
      <c r="AT31" s="172">
        <f ca="1">IF(OR($D31&lt;&gt;"Serviço",AND(AUTOEVENTO="Manual",$M31=$A$15)),0,
         IF(OFFSET(CRONOPLE!$F$15,$M31-$A$15,AT$13)="",10^12,OFFSET(CRONOPLE!$F$15,$M31-$A$15,AT$13)))</f>
        <v>1000000000000</v>
      </c>
      <c r="AU31" s="172">
        <f ca="1">IF(OR($D31&lt;&gt;"Serviço",AND(AUTOEVENTO="Manual",$M31=$A$15)),0,
         IF(OFFSET(CRONOPLE!$F$15,$M31-$A$15,AU$13)="",10^12,OFFSET(CRONOPLE!$F$15,$M31-$A$15,AU$13)))</f>
        <v>1000000000000</v>
      </c>
      <c r="AV31" s="172">
        <f ca="1">IF(OR($D31&lt;&gt;"Serviço",AND(AUTOEVENTO="Manual",$M31=$A$15)),0,
         IF(OFFSET(CRONOPLE!$F$15,$M31-$A$15,AV$13)="",10^12,OFFSET(CRONOPLE!$F$15,$M31-$A$15,AV$13)))</f>
        <v>1000000000000</v>
      </c>
      <c r="AX31" s="173">
        <f ca="1">IF(OR($D31&lt;&gt;"Serviço",AND(AUTOEVENTO="Manual",$M31=$A$15),$M31&gt;(ROW(PLE.lastrow)-ROW(PLE.firstrow))),0,
           IF(OFFSET(PLE!$G$15,$M31-$A$15,AX$13)="",10^12,OFFSET(PLE!$G$15,$M31-$A$15,AX$13)))</f>
        <v>1000000000000</v>
      </c>
      <c r="AY31" s="173">
        <f ca="1">IF(OR($D31&lt;&gt;"Serviço",AND(AUTOEVENTO="Manual",$M31=$A$15),$M31&gt;(ROW(PLE.lastrow)-ROW(PLE.firstrow))),0,
           IF(OFFSET(PLE!$G$15,$M31-$A$15,AY$13)="",10^12,OFFSET(PLE!$G$15,$M31-$A$15,AY$13)))</f>
        <v>1000000000000</v>
      </c>
      <c r="AZ31" s="173">
        <f ca="1">IF(OR($D31&lt;&gt;"Serviço",AND(AUTOEVENTO="Manual",$M31=$A$15),$M31&gt;(ROW(PLE.lastrow)-ROW(PLE.firstrow))),0,
           IF(OFFSET(PLE!$G$15,$M31-$A$15,AZ$13)="",10^12,OFFSET(PLE!$G$15,$M31-$A$15,AZ$13)))</f>
        <v>1000000000000</v>
      </c>
      <c r="BA31" s="173">
        <f ca="1">IF(OR($D31&lt;&gt;"Serviço",AND(AUTOEVENTO="Manual",$M31=$A$15),$M31&gt;(ROW(PLE.lastrow)-ROW(PLE.firstrow))),0,
           IF(OFFSET(PLE!$G$15,$M31-$A$15,BA$13)="",10^12,OFFSET(PLE!$G$15,$M31-$A$15,BA$13)))</f>
        <v>1000000000000</v>
      </c>
      <c r="BB31" s="173">
        <f ca="1">IF(OR($D31&lt;&gt;"Serviço",AND(AUTOEVENTO="Manual",$M31=$A$15),$M31&gt;(ROW(PLE.lastrow)-ROW(PLE.firstrow))),0,
           IF(OFFSET(PLE!$G$15,$M31-$A$15,BB$13)="",10^12,OFFSET(PLE!$G$15,$M31-$A$15,BB$13)))</f>
        <v>1000000000000</v>
      </c>
      <c r="BC31" s="173">
        <f ca="1">IF(OR($D31&lt;&gt;"Serviço",AND(AUTOEVENTO="Manual",$M31=$A$15),$M31&gt;(ROW(PLE.lastrow)-ROW(PLE.firstrow))),0,
           IF(OFFSET(PLE!$G$15,$M31-$A$15,BC$13)="",10^12,OFFSET(PLE!$G$15,$M31-$A$15,BC$13)))</f>
        <v>1000000000000</v>
      </c>
      <c r="BD31" s="173">
        <f ca="1">IF(OR($D31&lt;&gt;"Serviço",AND(AUTOEVENTO="Manual",$M31=$A$15),$M31&gt;(ROW(PLE.lastrow)-ROW(PLE.firstrow))),0,
           IF(OFFSET(PLE!$G$15,$M31-$A$15,BD$13)="",10^12,OFFSET(PLE!$G$15,$M31-$A$15,BD$13)))</f>
        <v>1000000000000</v>
      </c>
      <c r="BE31" s="173">
        <f ca="1">IF(OR($D31&lt;&gt;"Serviço",AND(AUTOEVENTO="Manual",$M31=$A$15),$M31&gt;(ROW(PLE.lastrow)-ROW(PLE.firstrow))),0,
           IF(OFFSET(PLE!$G$15,$M31-$A$15,BE$13)="",10^12,OFFSET(PLE!$G$15,$M31-$A$15,BE$13)))</f>
        <v>1000000000000</v>
      </c>
      <c r="BF31" s="173">
        <f ca="1">IF(OR($D31&lt;&gt;"Serviço",AND(AUTOEVENTO="Manual",$M31=$A$15),$M31&gt;(ROW(PLE.lastrow)-ROW(PLE.firstrow))),0,
           IF(OFFSET(PLE!$G$15,$M31-$A$15,BF$13)="",10^12,OFFSET(PLE!$G$15,$M31-$A$15,BF$13)))</f>
        <v>1000000000000</v>
      </c>
      <c r="BG31" s="173">
        <f ca="1">IF(OR($D31&lt;&gt;"Serviço",AND(AUTOEVENTO="Manual",$M31=$A$15),$M31&gt;(ROW(PLE.lastrow)-ROW(PLE.firstrow))),0,
           IF(OFFSET(PLE!$G$15,$M31-$A$15,BG$13)="",10^12,OFFSET(PLE!$G$15,$M31-$A$15,BG$13)))</f>
        <v>1000000000000</v>
      </c>
    </row>
    <row r="32" spans="1:59" ht="25.5" x14ac:dyDescent="0.2">
      <c r="A32" s="7" t="str">
        <f t="shared" ca="1" si="8"/>
        <v>13</v>
      </c>
      <c r="B32" s="7" t="str">
        <f ca="1">OFFSET(ORÇAMENTO!C$15,ROW(B32)-ROW(B$15),0)</f>
        <v>S</v>
      </c>
      <c r="C32" s="7" t="str">
        <f ca="1">OFFSET(ORÇAMENTO!L$15,ROW(C32)-ROW(C$15),0)</f>
        <v/>
      </c>
      <c r="D32" s="117" t="str">
        <f ca="1">OFFSET(ORÇAMENTO!N$15,ROW(D32)-ROW(D$15),0)</f>
        <v>Serviço</v>
      </c>
      <c r="E32" s="118" t="str">
        <f ca="1">OFFSET(ORÇAMENTO!O$15,ROW(E32)-ROW(E$15),0)</f>
        <v>-</v>
      </c>
      <c r="F32" s="164" t="str">
        <f ca="1">OFFSET(ORÇAMENTO!R$15,ROW(F32)-ROW(F$15),0)</f>
        <v xml:space="preserve">TUBO PVC SERIE NORMAL, DN 150 MM, PARA ESGOTO PREDIAL (NBR 5688)                                                                                                                                                                                          </v>
      </c>
      <c r="G32" s="165" t="str">
        <f ca="1">IF($D32&lt;&gt;"Serviço","",OFFSET(ORÇAMENTO!S$15,ROW(G32)-ROW(G$15),0))</f>
        <v xml:space="preserve">M     </v>
      </c>
      <c r="H32" s="123">
        <f ca="1">IF($D32&lt;&gt;"Serviço",0,IF(ACOMPANHAMENTO="BM",ROUND(OFFSET(ORÇAMENTO!AJ$15,ROW(H32)-ROW(H$15),0),15-13*ORÇAMENTO!$AF$7),SUMPRODUCT(($Q$1:$AA$1=1)*ROUND($Q32:$AA32,15-13*ORÇAMENTO!$AF$7))))</f>
        <v>280</v>
      </c>
      <c r="I32" s="469"/>
      <c r="J32" s="577" t="str" cm="1">
        <f t="array" aca="1" ref="J32" ca="1">IF(B32&lt;&gt;"S","",IF(AND(ACOMPANHAMENTO="PLE",AUTOEVENTO="Manual",OR(H32&gt;0,ORÇAMENTO!AC32="QUANT."),OR(K32="",M32=0,N32="")),"►",IF(AND(ACOMPANHAMENTO="PLE",ORÇAMENTO!AC32="QUANT."),"►►",IF(AND(COUNTIF($P$11:$AA$11,"▼")=0,H32&gt;0,I32=""),"◄",""))))</f>
        <v>◄</v>
      </c>
      <c r="K32" s="626"/>
      <c r="L32" s="166" t="s">
        <v>765</v>
      </c>
      <c r="M32" s="167">
        <f ca="1">IF($D32&lt;&gt;"Serviço","",
          IF(AUTOEVENTO="manual",$A32,
                IF(ISERROR(MATCH($A32,$A$15:OFFSET($A32,-1,0),0)),MAX($M$15:OFFSET(M32,-1,0))+1,
                      INDEX($M$15:OFFSET(M32,-1,0),MATCH($A32,$A$15:OFFSET($A32,-1,0),0)))))</f>
        <v>3</v>
      </c>
      <c r="N32" s="168" t="str">
        <f ca="1">IF($D32&lt;&gt;"Serviço","",
         IF(AUTOEVENTO="Manual",
                IF($A32=0,"&lt;-- defina o número do agrupador",
                       OFFSET(EVENTOS!$D$15,$A32-$A$15,0)),
                OFFSET($F$15,$A32,0)))</f>
        <v>FUNDAÇÃO</v>
      </c>
      <c r="O32" s="169"/>
      <c r="Q32" s="169"/>
      <c r="R32" s="170"/>
      <c r="S32" s="170"/>
      <c r="T32" s="170"/>
      <c r="U32" s="170"/>
      <c r="V32" s="170"/>
      <c r="W32" s="170"/>
      <c r="X32" s="170"/>
      <c r="Y32" s="170"/>
      <c r="Z32" s="171"/>
      <c r="AB32" s="454">
        <f ca="1">IF(AND($D32="Serviço",AB$12&lt;&gt;0,$H32&gt;0,OR(AUTOEVENTO&lt;&gt;"manual",$M32&lt;&gt;$A$15)),
        IF(Import.TipoArredondamento&lt;&gt;"TransfereGOV",
              ROUND(OFFSET($P32,0,AB$13),15-13*ORÇAMENTO!$AF$7)/$H32*OFFSET(ORÇAMENTO!$X$15,ROW(AB32)-ROW(AB$15),0),
              ROUND(ROUND(OFFSET($P32,0,AB$13),15-13*ORÇAMENTO!$AF$7)*OFFSET(ORÇAMENTO!$W$15,ROW(AB32)-ROW(AB$15),0),15-13*ORÇAMENTO!$AF$11)),
         0)</f>
        <v>0</v>
      </c>
      <c r="AC32" s="454">
        <f ca="1">IF(AND($D32="Serviço",AC$12&lt;&gt;0,$H32&gt;0,OR(AUTOEVENTO&lt;&gt;"manual",$M32&lt;&gt;$A$15)),
        IF(Import.TipoArredondamento&lt;&gt;"TransfereGOV",
              ROUND(OFFSET($P32,0,AC$13),15-13*ORÇAMENTO!$AF$7)/$H32*OFFSET(ORÇAMENTO!$X$15,ROW(AC32)-ROW(AC$15),0),
              ROUND(ROUND(OFFSET($P32,0,AC$13),15-13*ORÇAMENTO!$AF$7)*OFFSET(ORÇAMENTO!$W$15,ROW(AC32)-ROW(AC$15),0),15-13*ORÇAMENTO!$AF$11)),
         0)</f>
        <v>0</v>
      </c>
      <c r="AD32" s="454">
        <f ca="1">IF(AND($D32="Serviço",AD$12&lt;&gt;0,$H32&gt;0,OR(AUTOEVENTO&lt;&gt;"manual",$M32&lt;&gt;$A$15)),
        IF(Import.TipoArredondamento&lt;&gt;"TransfereGOV",
              ROUND(OFFSET($P32,0,AD$13),15-13*ORÇAMENTO!$AF$7)/$H32*OFFSET(ORÇAMENTO!$X$15,ROW(AD32)-ROW(AD$15),0),
              ROUND(ROUND(OFFSET($P32,0,AD$13),15-13*ORÇAMENTO!$AF$7)*OFFSET(ORÇAMENTO!$W$15,ROW(AD32)-ROW(AD$15),0),15-13*ORÇAMENTO!$AF$11)),
         0)</f>
        <v>0</v>
      </c>
      <c r="AE32" s="454">
        <f ca="1">IF(AND($D32="Serviço",AE$12&lt;&gt;0,$H32&gt;0,OR(AUTOEVENTO&lt;&gt;"manual",$M32&lt;&gt;$A$15)),
        IF(Import.TipoArredondamento&lt;&gt;"TransfereGOV",
              ROUND(OFFSET($P32,0,AE$13),15-13*ORÇAMENTO!$AF$7)/$H32*OFFSET(ORÇAMENTO!$X$15,ROW(AE32)-ROW(AE$15),0),
              ROUND(ROUND(OFFSET($P32,0,AE$13),15-13*ORÇAMENTO!$AF$7)*OFFSET(ORÇAMENTO!$W$15,ROW(AE32)-ROW(AE$15),0),15-13*ORÇAMENTO!$AF$11)),
         0)</f>
        <v>0</v>
      </c>
      <c r="AF32" s="454">
        <f ca="1">IF(AND($D32="Serviço",AF$12&lt;&gt;0,$H32&gt;0,OR(AUTOEVENTO&lt;&gt;"manual",$M32&lt;&gt;$A$15)),
        IF(Import.TipoArredondamento&lt;&gt;"TransfereGOV",
              ROUND(OFFSET($P32,0,AF$13),15-13*ORÇAMENTO!$AF$7)/$H32*OFFSET(ORÇAMENTO!$X$15,ROW(AF32)-ROW(AF$15),0),
              ROUND(ROUND(OFFSET($P32,0,AF$13),15-13*ORÇAMENTO!$AF$7)*OFFSET(ORÇAMENTO!$W$15,ROW(AF32)-ROW(AF$15),0),15-13*ORÇAMENTO!$AF$11)),
         0)</f>
        <v>0</v>
      </c>
      <c r="AG32" s="454">
        <f ca="1">IF(AND($D32="Serviço",AG$12&lt;&gt;0,$H32&gt;0,OR(AUTOEVENTO&lt;&gt;"manual",$M32&lt;&gt;$A$15)),
        IF(Import.TipoArredondamento&lt;&gt;"TransfereGOV",
              ROUND(OFFSET($P32,0,AG$13),15-13*ORÇAMENTO!$AF$7)/$H32*OFFSET(ORÇAMENTO!$X$15,ROW(AG32)-ROW(AG$15),0),
              ROUND(ROUND(OFFSET($P32,0,AG$13),15-13*ORÇAMENTO!$AF$7)*OFFSET(ORÇAMENTO!$W$15,ROW(AG32)-ROW(AG$15),0),15-13*ORÇAMENTO!$AF$11)),
         0)</f>
        <v>0</v>
      </c>
      <c r="AH32" s="454">
        <f ca="1">IF(AND($D32="Serviço",AH$12&lt;&gt;0,$H32&gt;0,OR(AUTOEVENTO&lt;&gt;"manual",$M32&lt;&gt;$A$15)),
        IF(Import.TipoArredondamento&lt;&gt;"TransfereGOV",
              ROUND(OFFSET($P32,0,AH$13),15-13*ORÇAMENTO!$AF$7)/$H32*OFFSET(ORÇAMENTO!$X$15,ROW(AH32)-ROW(AH$15),0),
              ROUND(ROUND(OFFSET($P32,0,AH$13),15-13*ORÇAMENTO!$AF$7)*OFFSET(ORÇAMENTO!$W$15,ROW(AH32)-ROW(AH$15),0),15-13*ORÇAMENTO!$AF$11)),
         0)</f>
        <v>0</v>
      </c>
      <c r="AI32" s="454">
        <f ca="1">IF(AND($D32="Serviço",AI$12&lt;&gt;0,$H32&gt;0,OR(AUTOEVENTO&lt;&gt;"manual",$M32&lt;&gt;$A$15)),
        IF(Import.TipoArredondamento&lt;&gt;"TransfereGOV",
              ROUND(OFFSET($P32,0,AI$13),15-13*ORÇAMENTO!$AF$7)/$H32*OFFSET(ORÇAMENTO!$X$15,ROW(AI32)-ROW(AI$15),0),
              ROUND(ROUND(OFFSET($P32,0,AI$13),15-13*ORÇAMENTO!$AF$7)*OFFSET(ORÇAMENTO!$W$15,ROW(AI32)-ROW(AI$15),0),15-13*ORÇAMENTO!$AF$11)),
         0)</f>
        <v>0</v>
      </c>
      <c r="AJ32" s="454">
        <f ca="1">IF(AND($D32="Serviço",AJ$12&lt;&gt;0,$H32&gt;0,OR(AUTOEVENTO&lt;&gt;"manual",$M32&lt;&gt;$A$15)),
        IF(Import.TipoArredondamento&lt;&gt;"TransfereGOV",
              ROUND(OFFSET($P32,0,AJ$13),15-13*ORÇAMENTO!$AF$7)/$H32*OFFSET(ORÇAMENTO!$X$15,ROW(AJ32)-ROW(AJ$15),0),
              ROUND(ROUND(OFFSET($P32,0,AJ$13),15-13*ORÇAMENTO!$AF$7)*OFFSET(ORÇAMENTO!$W$15,ROW(AJ32)-ROW(AJ$15),0),15-13*ORÇAMENTO!$AF$11)),
         0)</f>
        <v>0</v>
      </c>
      <c r="AK32" s="454">
        <f ca="1">IF(AND($D32="Serviço",AK$12&lt;&gt;0,$H32&gt;0,OR(AUTOEVENTO&lt;&gt;"manual",$M32&lt;&gt;$A$15)),
        IF(Import.TipoArredondamento&lt;&gt;"TransfereGOV",
              ROUND(OFFSET($P32,0,AK$13),15-13*ORÇAMENTO!$AF$7)/$H32*OFFSET(ORÇAMENTO!$X$15,ROW(AK32)-ROW(AK$15),0),
              ROUND(ROUND(OFFSET($P32,0,AK$13),15-13*ORÇAMENTO!$AF$7)*OFFSET(ORÇAMENTO!$W$15,ROW(AK32)-ROW(AK$15),0),15-13*ORÇAMENTO!$AF$11)),
         0)</f>
        <v>0</v>
      </c>
      <c r="AM32" s="172">
        <f ca="1">IF(OR($D32&lt;&gt;"Serviço",AND(AUTOEVENTO="Manual",$M32=$A$15)),0,
         IF(OFFSET(CRONOPLE!$F$15,$M32-$A$15,AM$13)="",10^12,OFFSET(CRONOPLE!$F$15,$M32-$A$15,AM$13)))</f>
        <v>1000000000000</v>
      </c>
      <c r="AN32" s="172">
        <f ca="1">IF(OR($D32&lt;&gt;"Serviço",AND(AUTOEVENTO="Manual",$M32=$A$15)),0,
         IF(OFFSET(CRONOPLE!$F$15,$M32-$A$15,AN$13)="",10^12,OFFSET(CRONOPLE!$F$15,$M32-$A$15,AN$13)))</f>
        <v>1000000000000</v>
      </c>
      <c r="AO32" s="172">
        <f ca="1">IF(OR($D32&lt;&gt;"Serviço",AND(AUTOEVENTO="Manual",$M32=$A$15)),0,
         IF(OFFSET(CRONOPLE!$F$15,$M32-$A$15,AO$13)="",10^12,OFFSET(CRONOPLE!$F$15,$M32-$A$15,AO$13)))</f>
        <v>1000000000000</v>
      </c>
      <c r="AP32" s="172">
        <f ca="1">IF(OR($D32&lt;&gt;"Serviço",AND(AUTOEVENTO="Manual",$M32=$A$15)),0,
         IF(OFFSET(CRONOPLE!$F$15,$M32-$A$15,AP$13)="",10^12,OFFSET(CRONOPLE!$F$15,$M32-$A$15,AP$13)))</f>
        <v>1000000000000</v>
      </c>
      <c r="AQ32" s="172">
        <f ca="1">IF(OR($D32&lt;&gt;"Serviço",AND(AUTOEVENTO="Manual",$M32=$A$15)),0,
         IF(OFFSET(CRONOPLE!$F$15,$M32-$A$15,AQ$13)="",10^12,OFFSET(CRONOPLE!$F$15,$M32-$A$15,AQ$13)))</f>
        <v>1000000000000</v>
      </c>
      <c r="AR32" s="172">
        <f ca="1">IF(OR($D32&lt;&gt;"Serviço",AND(AUTOEVENTO="Manual",$M32=$A$15)),0,
         IF(OFFSET(CRONOPLE!$F$15,$M32-$A$15,AR$13)="",10^12,OFFSET(CRONOPLE!$F$15,$M32-$A$15,AR$13)))</f>
        <v>1000000000000</v>
      </c>
      <c r="AS32" s="172">
        <f ca="1">IF(OR($D32&lt;&gt;"Serviço",AND(AUTOEVENTO="Manual",$M32=$A$15)),0,
         IF(OFFSET(CRONOPLE!$F$15,$M32-$A$15,AS$13)="",10^12,OFFSET(CRONOPLE!$F$15,$M32-$A$15,AS$13)))</f>
        <v>1000000000000</v>
      </c>
      <c r="AT32" s="172">
        <f ca="1">IF(OR($D32&lt;&gt;"Serviço",AND(AUTOEVENTO="Manual",$M32=$A$15)),0,
         IF(OFFSET(CRONOPLE!$F$15,$M32-$A$15,AT$13)="",10^12,OFFSET(CRONOPLE!$F$15,$M32-$A$15,AT$13)))</f>
        <v>1000000000000</v>
      </c>
      <c r="AU32" s="172">
        <f ca="1">IF(OR($D32&lt;&gt;"Serviço",AND(AUTOEVENTO="Manual",$M32=$A$15)),0,
         IF(OFFSET(CRONOPLE!$F$15,$M32-$A$15,AU$13)="",10^12,OFFSET(CRONOPLE!$F$15,$M32-$A$15,AU$13)))</f>
        <v>1000000000000</v>
      </c>
      <c r="AV32" s="172">
        <f ca="1">IF(OR($D32&lt;&gt;"Serviço",AND(AUTOEVENTO="Manual",$M32=$A$15)),0,
         IF(OFFSET(CRONOPLE!$F$15,$M32-$A$15,AV$13)="",10^12,OFFSET(CRONOPLE!$F$15,$M32-$A$15,AV$13)))</f>
        <v>1000000000000</v>
      </c>
      <c r="AX32" s="173">
        <f ca="1">IF(OR($D32&lt;&gt;"Serviço",AND(AUTOEVENTO="Manual",$M32=$A$15),$M32&gt;(ROW(PLE.lastrow)-ROW(PLE.firstrow))),0,
           IF(OFFSET(PLE!$G$15,$M32-$A$15,AX$13)="",10^12,OFFSET(PLE!$G$15,$M32-$A$15,AX$13)))</f>
        <v>1000000000000</v>
      </c>
      <c r="AY32" s="173">
        <f ca="1">IF(OR($D32&lt;&gt;"Serviço",AND(AUTOEVENTO="Manual",$M32=$A$15),$M32&gt;(ROW(PLE.lastrow)-ROW(PLE.firstrow))),0,
           IF(OFFSET(PLE!$G$15,$M32-$A$15,AY$13)="",10^12,OFFSET(PLE!$G$15,$M32-$A$15,AY$13)))</f>
        <v>1000000000000</v>
      </c>
      <c r="AZ32" s="173">
        <f ca="1">IF(OR($D32&lt;&gt;"Serviço",AND(AUTOEVENTO="Manual",$M32=$A$15),$M32&gt;(ROW(PLE.lastrow)-ROW(PLE.firstrow))),0,
           IF(OFFSET(PLE!$G$15,$M32-$A$15,AZ$13)="",10^12,OFFSET(PLE!$G$15,$M32-$A$15,AZ$13)))</f>
        <v>1000000000000</v>
      </c>
      <c r="BA32" s="173">
        <f ca="1">IF(OR($D32&lt;&gt;"Serviço",AND(AUTOEVENTO="Manual",$M32=$A$15),$M32&gt;(ROW(PLE.lastrow)-ROW(PLE.firstrow))),0,
           IF(OFFSET(PLE!$G$15,$M32-$A$15,BA$13)="",10^12,OFFSET(PLE!$G$15,$M32-$A$15,BA$13)))</f>
        <v>1000000000000</v>
      </c>
      <c r="BB32" s="173">
        <f ca="1">IF(OR($D32&lt;&gt;"Serviço",AND(AUTOEVENTO="Manual",$M32=$A$15),$M32&gt;(ROW(PLE.lastrow)-ROW(PLE.firstrow))),0,
           IF(OFFSET(PLE!$G$15,$M32-$A$15,BB$13)="",10^12,OFFSET(PLE!$G$15,$M32-$A$15,BB$13)))</f>
        <v>1000000000000</v>
      </c>
      <c r="BC32" s="173">
        <f ca="1">IF(OR($D32&lt;&gt;"Serviço",AND(AUTOEVENTO="Manual",$M32=$A$15),$M32&gt;(ROW(PLE.lastrow)-ROW(PLE.firstrow))),0,
           IF(OFFSET(PLE!$G$15,$M32-$A$15,BC$13)="",10^12,OFFSET(PLE!$G$15,$M32-$A$15,BC$13)))</f>
        <v>1000000000000</v>
      </c>
      <c r="BD32" s="173">
        <f ca="1">IF(OR($D32&lt;&gt;"Serviço",AND(AUTOEVENTO="Manual",$M32=$A$15),$M32&gt;(ROW(PLE.lastrow)-ROW(PLE.firstrow))),0,
           IF(OFFSET(PLE!$G$15,$M32-$A$15,BD$13)="",10^12,OFFSET(PLE!$G$15,$M32-$A$15,BD$13)))</f>
        <v>1000000000000</v>
      </c>
      <c r="BE32" s="173">
        <f ca="1">IF(OR($D32&lt;&gt;"Serviço",AND(AUTOEVENTO="Manual",$M32=$A$15),$M32&gt;(ROW(PLE.lastrow)-ROW(PLE.firstrow))),0,
           IF(OFFSET(PLE!$G$15,$M32-$A$15,BE$13)="",10^12,OFFSET(PLE!$G$15,$M32-$A$15,BE$13)))</f>
        <v>1000000000000</v>
      </c>
      <c r="BF32" s="173">
        <f ca="1">IF(OR($D32&lt;&gt;"Serviço",AND(AUTOEVENTO="Manual",$M32=$A$15),$M32&gt;(ROW(PLE.lastrow)-ROW(PLE.firstrow))),0,
           IF(OFFSET(PLE!$G$15,$M32-$A$15,BF$13)="",10^12,OFFSET(PLE!$G$15,$M32-$A$15,BF$13)))</f>
        <v>1000000000000</v>
      </c>
      <c r="BG32" s="173">
        <f ca="1">IF(OR($D32&lt;&gt;"Serviço",AND(AUTOEVENTO="Manual",$M32=$A$15),$M32&gt;(ROW(PLE.lastrow)-ROW(PLE.firstrow))),0,
           IF(OFFSET(PLE!$G$15,$M32-$A$15,BG$13)="",10^12,OFFSET(PLE!$G$15,$M32-$A$15,BG$13)))</f>
        <v>1000000000000</v>
      </c>
    </row>
    <row r="33" spans="1:59" ht="12.75" x14ac:dyDescent="0.2">
      <c r="A33" s="7" t="str">
        <f t="shared" ca="1" si="8"/>
        <v>13</v>
      </c>
      <c r="B33" s="7" t="str">
        <f ca="1">OFFSET(ORÇAMENTO!C$15,ROW(B33)-ROW(B$15),0)</f>
        <v>S</v>
      </c>
      <c r="C33" s="7" t="str">
        <f ca="1">OFFSET(ORÇAMENTO!L$15,ROW(C33)-ROW(C$15),0)</f>
        <v/>
      </c>
      <c r="D33" s="117" t="str">
        <f ca="1">OFFSET(ORÇAMENTO!N$15,ROW(D33)-ROW(D$15),0)</f>
        <v>Serviço</v>
      </c>
      <c r="E33" s="118" t="str">
        <f ca="1">OFFSET(ORÇAMENTO!O$15,ROW(E33)-ROW(E$15),0)</f>
        <v>-</v>
      </c>
      <c r="F33" s="164" t="str">
        <f ca="1">OFFSET(ORÇAMENTO!R$15,ROW(F33)-ROW(F$15),0)</f>
        <v>AJUDANTE DE PEDREIRO COM ENCARGOS COMPLEMENTARES</v>
      </c>
      <c r="G33" s="165" t="str">
        <f ca="1">IF($D33&lt;&gt;"Serviço","",OFFSET(ORÇAMENTO!S$15,ROW(G33)-ROW(G$15),0))</f>
        <v>H</v>
      </c>
      <c r="H33" s="123">
        <f ca="1">IF($D33&lt;&gt;"Serviço",0,IF(ACOMPANHAMENTO="BM",ROUND(OFFSET(ORÇAMENTO!AJ$15,ROW(H33)-ROW(H$15),0),15-13*ORÇAMENTO!$AF$7),SUMPRODUCT(($Q$1:$AA$1=1)*ROUND($Q33:$AA33,15-13*ORÇAMENTO!$AF$7))))</f>
        <v>6</v>
      </c>
      <c r="I33" s="469"/>
      <c r="J33" s="577" t="str" cm="1">
        <f t="array" aca="1" ref="J33" ca="1">IF(B33&lt;&gt;"S","",IF(AND(ACOMPANHAMENTO="PLE",AUTOEVENTO="Manual",OR(H33&gt;0,ORÇAMENTO!AC33="QUANT."),OR(K33="",M33=0,N33="")),"►",IF(AND(ACOMPANHAMENTO="PLE",ORÇAMENTO!AC33="QUANT."),"►►",IF(AND(COUNTIF($P$11:$AA$11,"▼")=0,H33&gt;0,I33=""),"◄",""))))</f>
        <v>◄</v>
      </c>
      <c r="K33" s="626"/>
      <c r="L33" s="166" t="s">
        <v>765</v>
      </c>
      <c r="M33" s="167">
        <f ca="1">IF($D33&lt;&gt;"Serviço","",
          IF(AUTOEVENTO="manual",$A33,
                IF(ISERROR(MATCH($A33,$A$15:OFFSET($A33,-1,0),0)),MAX($M$15:OFFSET(M33,-1,0))+1,
                      INDEX($M$15:OFFSET(M33,-1,0),MATCH($A33,$A$15:OFFSET($A33,-1,0),0)))))</f>
        <v>3</v>
      </c>
      <c r="N33" s="168" t="str">
        <f ca="1">IF($D33&lt;&gt;"Serviço","",
         IF(AUTOEVENTO="Manual",
                IF($A33=0,"&lt;-- defina o número do agrupador",
                       OFFSET(EVENTOS!$D$15,$A33-$A$15,0)),
                OFFSET($F$15,$A33,0)))</f>
        <v>FUNDAÇÃO</v>
      </c>
      <c r="O33" s="169"/>
      <c r="Q33" s="169"/>
      <c r="R33" s="170"/>
      <c r="S33" s="170"/>
      <c r="T33" s="170"/>
      <c r="U33" s="170"/>
      <c r="V33" s="170"/>
      <c r="W33" s="170"/>
      <c r="X33" s="170"/>
      <c r="Y33" s="170"/>
      <c r="Z33" s="171"/>
      <c r="AB33" s="454">
        <f ca="1">IF(AND($D33="Serviço",AB$12&lt;&gt;0,$H33&gt;0,OR(AUTOEVENTO&lt;&gt;"manual",$M33&lt;&gt;$A$15)),
        IF(Import.TipoArredondamento&lt;&gt;"TransfereGOV",
              ROUND(OFFSET($P33,0,AB$13),15-13*ORÇAMENTO!$AF$7)/$H33*OFFSET(ORÇAMENTO!$X$15,ROW(AB33)-ROW(AB$15),0),
              ROUND(ROUND(OFFSET($P33,0,AB$13),15-13*ORÇAMENTO!$AF$7)*OFFSET(ORÇAMENTO!$W$15,ROW(AB33)-ROW(AB$15),0),15-13*ORÇAMENTO!$AF$11)),
         0)</f>
        <v>0</v>
      </c>
      <c r="AC33" s="454">
        <f ca="1">IF(AND($D33="Serviço",AC$12&lt;&gt;0,$H33&gt;0,OR(AUTOEVENTO&lt;&gt;"manual",$M33&lt;&gt;$A$15)),
        IF(Import.TipoArredondamento&lt;&gt;"TransfereGOV",
              ROUND(OFFSET($P33,0,AC$13),15-13*ORÇAMENTO!$AF$7)/$H33*OFFSET(ORÇAMENTO!$X$15,ROW(AC33)-ROW(AC$15),0),
              ROUND(ROUND(OFFSET($P33,0,AC$13),15-13*ORÇAMENTO!$AF$7)*OFFSET(ORÇAMENTO!$W$15,ROW(AC33)-ROW(AC$15),0),15-13*ORÇAMENTO!$AF$11)),
         0)</f>
        <v>0</v>
      </c>
      <c r="AD33" s="454">
        <f ca="1">IF(AND($D33="Serviço",AD$12&lt;&gt;0,$H33&gt;0,OR(AUTOEVENTO&lt;&gt;"manual",$M33&lt;&gt;$A$15)),
        IF(Import.TipoArredondamento&lt;&gt;"TransfereGOV",
              ROUND(OFFSET($P33,0,AD$13),15-13*ORÇAMENTO!$AF$7)/$H33*OFFSET(ORÇAMENTO!$X$15,ROW(AD33)-ROW(AD$15),0),
              ROUND(ROUND(OFFSET($P33,0,AD$13),15-13*ORÇAMENTO!$AF$7)*OFFSET(ORÇAMENTO!$W$15,ROW(AD33)-ROW(AD$15),0),15-13*ORÇAMENTO!$AF$11)),
         0)</f>
        <v>0</v>
      </c>
      <c r="AE33" s="454">
        <f ca="1">IF(AND($D33="Serviço",AE$12&lt;&gt;0,$H33&gt;0,OR(AUTOEVENTO&lt;&gt;"manual",$M33&lt;&gt;$A$15)),
        IF(Import.TipoArredondamento&lt;&gt;"TransfereGOV",
              ROUND(OFFSET($P33,0,AE$13),15-13*ORÇAMENTO!$AF$7)/$H33*OFFSET(ORÇAMENTO!$X$15,ROW(AE33)-ROW(AE$15),0),
              ROUND(ROUND(OFFSET($P33,0,AE$13),15-13*ORÇAMENTO!$AF$7)*OFFSET(ORÇAMENTO!$W$15,ROW(AE33)-ROW(AE$15),0),15-13*ORÇAMENTO!$AF$11)),
         0)</f>
        <v>0</v>
      </c>
      <c r="AF33" s="454">
        <f ca="1">IF(AND($D33="Serviço",AF$12&lt;&gt;0,$H33&gt;0,OR(AUTOEVENTO&lt;&gt;"manual",$M33&lt;&gt;$A$15)),
        IF(Import.TipoArredondamento&lt;&gt;"TransfereGOV",
              ROUND(OFFSET($P33,0,AF$13),15-13*ORÇAMENTO!$AF$7)/$H33*OFFSET(ORÇAMENTO!$X$15,ROW(AF33)-ROW(AF$15),0),
              ROUND(ROUND(OFFSET($P33,0,AF$13),15-13*ORÇAMENTO!$AF$7)*OFFSET(ORÇAMENTO!$W$15,ROW(AF33)-ROW(AF$15),0),15-13*ORÇAMENTO!$AF$11)),
         0)</f>
        <v>0</v>
      </c>
      <c r="AG33" s="454">
        <f ca="1">IF(AND($D33="Serviço",AG$12&lt;&gt;0,$H33&gt;0,OR(AUTOEVENTO&lt;&gt;"manual",$M33&lt;&gt;$A$15)),
        IF(Import.TipoArredondamento&lt;&gt;"TransfereGOV",
              ROUND(OFFSET($P33,0,AG$13),15-13*ORÇAMENTO!$AF$7)/$H33*OFFSET(ORÇAMENTO!$X$15,ROW(AG33)-ROW(AG$15),0),
              ROUND(ROUND(OFFSET($P33,0,AG$13),15-13*ORÇAMENTO!$AF$7)*OFFSET(ORÇAMENTO!$W$15,ROW(AG33)-ROW(AG$15),0),15-13*ORÇAMENTO!$AF$11)),
         0)</f>
        <v>0</v>
      </c>
      <c r="AH33" s="454">
        <f ca="1">IF(AND($D33="Serviço",AH$12&lt;&gt;0,$H33&gt;0,OR(AUTOEVENTO&lt;&gt;"manual",$M33&lt;&gt;$A$15)),
        IF(Import.TipoArredondamento&lt;&gt;"TransfereGOV",
              ROUND(OFFSET($P33,0,AH$13),15-13*ORÇAMENTO!$AF$7)/$H33*OFFSET(ORÇAMENTO!$X$15,ROW(AH33)-ROW(AH$15),0),
              ROUND(ROUND(OFFSET($P33,0,AH$13),15-13*ORÇAMENTO!$AF$7)*OFFSET(ORÇAMENTO!$W$15,ROW(AH33)-ROW(AH$15),0),15-13*ORÇAMENTO!$AF$11)),
         0)</f>
        <v>0</v>
      </c>
      <c r="AI33" s="454">
        <f ca="1">IF(AND($D33="Serviço",AI$12&lt;&gt;0,$H33&gt;0,OR(AUTOEVENTO&lt;&gt;"manual",$M33&lt;&gt;$A$15)),
        IF(Import.TipoArredondamento&lt;&gt;"TransfereGOV",
              ROUND(OFFSET($P33,0,AI$13),15-13*ORÇAMENTO!$AF$7)/$H33*OFFSET(ORÇAMENTO!$X$15,ROW(AI33)-ROW(AI$15),0),
              ROUND(ROUND(OFFSET($P33,0,AI$13),15-13*ORÇAMENTO!$AF$7)*OFFSET(ORÇAMENTO!$W$15,ROW(AI33)-ROW(AI$15),0),15-13*ORÇAMENTO!$AF$11)),
         0)</f>
        <v>0</v>
      </c>
      <c r="AJ33" s="454">
        <f ca="1">IF(AND($D33="Serviço",AJ$12&lt;&gt;0,$H33&gt;0,OR(AUTOEVENTO&lt;&gt;"manual",$M33&lt;&gt;$A$15)),
        IF(Import.TipoArredondamento&lt;&gt;"TransfereGOV",
              ROUND(OFFSET($P33,0,AJ$13),15-13*ORÇAMENTO!$AF$7)/$H33*OFFSET(ORÇAMENTO!$X$15,ROW(AJ33)-ROW(AJ$15),0),
              ROUND(ROUND(OFFSET($P33,0,AJ$13),15-13*ORÇAMENTO!$AF$7)*OFFSET(ORÇAMENTO!$W$15,ROW(AJ33)-ROW(AJ$15),0),15-13*ORÇAMENTO!$AF$11)),
         0)</f>
        <v>0</v>
      </c>
      <c r="AK33" s="454">
        <f ca="1">IF(AND($D33="Serviço",AK$12&lt;&gt;0,$H33&gt;0,OR(AUTOEVENTO&lt;&gt;"manual",$M33&lt;&gt;$A$15)),
        IF(Import.TipoArredondamento&lt;&gt;"TransfereGOV",
              ROUND(OFFSET($P33,0,AK$13),15-13*ORÇAMENTO!$AF$7)/$H33*OFFSET(ORÇAMENTO!$X$15,ROW(AK33)-ROW(AK$15),0),
              ROUND(ROUND(OFFSET($P33,0,AK$13),15-13*ORÇAMENTO!$AF$7)*OFFSET(ORÇAMENTO!$W$15,ROW(AK33)-ROW(AK$15),0),15-13*ORÇAMENTO!$AF$11)),
         0)</f>
        <v>0</v>
      </c>
      <c r="AM33" s="172">
        <f ca="1">IF(OR($D33&lt;&gt;"Serviço",AND(AUTOEVENTO="Manual",$M33=$A$15)),0,
         IF(OFFSET(CRONOPLE!$F$15,$M33-$A$15,AM$13)="",10^12,OFFSET(CRONOPLE!$F$15,$M33-$A$15,AM$13)))</f>
        <v>1000000000000</v>
      </c>
      <c r="AN33" s="172">
        <f ca="1">IF(OR($D33&lt;&gt;"Serviço",AND(AUTOEVENTO="Manual",$M33=$A$15)),0,
         IF(OFFSET(CRONOPLE!$F$15,$M33-$A$15,AN$13)="",10^12,OFFSET(CRONOPLE!$F$15,$M33-$A$15,AN$13)))</f>
        <v>1000000000000</v>
      </c>
      <c r="AO33" s="172">
        <f ca="1">IF(OR($D33&lt;&gt;"Serviço",AND(AUTOEVENTO="Manual",$M33=$A$15)),0,
         IF(OFFSET(CRONOPLE!$F$15,$M33-$A$15,AO$13)="",10^12,OFFSET(CRONOPLE!$F$15,$M33-$A$15,AO$13)))</f>
        <v>1000000000000</v>
      </c>
      <c r="AP33" s="172">
        <f ca="1">IF(OR($D33&lt;&gt;"Serviço",AND(AUTOEVENTO="Manual",$M33=$A$15)),0,
         IF(OFFSET(CRONOPLE!$F$15,$M33-$A$15,AP$13)="",10^12,OFFSET(CRONOPLE!$F$15,$M33-$A$15,AP$13)))</f>
        <v>1000000000000</v>
      </c>
      <c r="AQ33" s="172">
        <f ca="1">IF(OR($D33&lt;&gt;"Serviço",AND(AUTOEVENTO="Manual",$M33=$A$15)),0,
         IF(OFFSET(CRONOPLE!$F$15,$M33-$A$15,AQ$13)="",10^12,OFFSET(CRONOPLE!$F$15,$M33-$A$15,AQ$13)))</f>
        <v>1000000000000</v>
      </c>
      <c r="AR33" s="172">
        <f ca="1">IF(OR($D33&lt;&gt;"Serviço",AND(AUTOEVENTO="Manual",$M33=$A$15)),0,
         IF(OFFSET(CRONOPLE!$F$15,$M33-$A$15,AR$13)="",10^12,OFFSET(CRONOPLE!$F$15,$M33-$A$15,AR$13)))</f>
        <v>1000000000000</v>
      </c>
      <c r="AS33" s="172">
        <f ca="1">IF(OR($D33&lt;&gt;"Serviço",AND(AUTOEVENTO="Manual",$M33=$A$15)),0,
         IF(OFFSET(CRONOPLE!$F$15,$M33-$A$15,AS$13)="",10^12,OFFSET(CRONOPLE!$F$15,$M33-$A$15,AS$13)))</f>
        <v>1000000000000</v>
      </c>
      <c r="AT33" s="172">
        <f ca="1">IF(OR($D33&lt;&gt;"Serviço",AND(AUTOEVENTO="Manual",$M33=$A$15)),0,
         IF(OFFSET(CRONOPLE!$F$15,$M33-$A$15,AT$13)="",10^12,OFFSET(CRONOPLE!$F$15,$M33-$A$15,AT$13)))</f>
        <v>1000000000000</v>
      </c>
      <c r="AU33" s="172">
        <f ca="1">IF(OR($D33&lt;&gt;"Serviço",AND(AUTOEVENTO="Manual",$M33=$A$15)),0,
         IF(OFFSET(CRONOPLE!$F$15,$M33-$A$15,AU$13)="",10^12,OFFSET(CRONOPLE!$F$15,$M33-$A$15,AU$13)))</f>
        <v>1000000000000</v>
      </c>
      <c r="AV33" s="172">
        <f ca="1">IF(OR($D33&lt;&gt;"Serviço",AND(AUTOEVENTO="Manual",$M33=$A$15)),0,
         IF(OFFSET(CRONOPLE!$F$15,$M33-$A$15,AV$13)="",10^12,OFFSET(CRONOPLE!$F$15,$M33-$A$15,AV$13)))</f>
        <v>1000000000000</v>
      </c>
      <c r="AX33" s="173">
        <f ca="1">IF(OR($D33&lt;&gt;"Serviço",AND(AUTOEVENTO="Manual",$M33=$A$15),$M33&gt;(ROW(PLE.lastrow)-ROW(PLE.firstrow))),0,
           IF(OFFSET(PLE!$G$15,$M33-$A$15,AX$13)="",10^12,OFFSET(PLE!$G$15,$M33-$A$15,AX$13)))</f>
        <v>1000000000000</v>
      </c>
      <c r="AY33" s="173">
        <f ca="1">IF(OR($D33&lt;&gt;"Serviço",AND(AUTOEVENTO="Manual",$M33=$A$15),$M33&gt;(ROW(PLE.lastrow)-ROW(PLE.firstrow))),0,
           IF(OFFSET(PLE!$G$15,$M33-$A$15,AY$13)="",10^12,OFFSET(PLE!$G$15,$M33-$A$15,AY$13)))</f>
        <v>1000000000000</v>
      </c>
      <c r="AZ33" s="173">
        <f ca="1">IF(OR($D33&lt;&gt;"Serviço",AND(AUTOEVENTO="Manual",$M33=$A$15),$M33&gt;(ROW(PLE.lastrow)-ROW(PLE.firstrow))),0,
           IF(OFFSET(PLE!$G$15,$M33-$A$15,AZ$13)="",10^12,OFFSET(PLE!$G$15,$M33-$A$15,AZ$13)))</f>
        <v>1000000000000</v>
      </c>
      <c r="BA33" s="173">
        <f ca="1">IF(OR($D33&lt;&gt;"Serviço",AND(AUTOEVENTO="Manual",$M33=$A$15),$M33&gt;(ROW(PLE.lastrow)-ROW(PLE.firstrow))),0,
           IF(OFFSET(PLE!$G$15,$M33-$A$15,BA$13)="",10^12,OFFSET(PLE!$G$15,$M33-$A$15,BA$13)))</f>
        <v>1000000000000</v>
      </c>
      <c r="BB33" s="173">
        <f ca="1">IF(OR($D33&lt;&gt;"Serviço",AND(AUTOEVENTO="Manual",$M33=$A$15),$M33&gt;(ROW(PLE.lastrow)-ROW(PLE.firstrow))),0,
           IF(OFFSET(PLE!$G$15,$M33-$A$15,BB$13)="",10^12,OFFSET(PLE!$G$15,$M33-$A$15,BB$13)))</f>
        <v>1000000000000</v>
      </c>
      <c r="BC33" s="173">
        <f ca="1">IF(OR($D33&lt;&gt;"Serviço",AND(AUTOEVENTO="Manual",$M33=$A$15),$M33&gt;(ROW(PLE.lastrow)-ROW(PLE.firstrow))),0,
           IF(OFFSET(PLE!$G$15,$M33-$A$15,BC$13)="",10^12,OFFSET(PLE!$G$15,$M33-$A$15,BC$13)))</f>
        <v>1000000000000</v>
      </c>
      <c r="BD33" s="173">
        <f ca="1">IF(OR($D33&lt;&gt;"Serviço",AND(AUTOEVENTO="Manual",$M33=$A$15),$M33&gt;(ROW(PLE.lastrow)-ROW(PLE.firstrow))),0,
           IF(OFFSET(PLE!$G$15,$M33-$A$15,BD$13)="",10^12,OFFSET(PLE!$G$15,$M33-$A$15,BD$13)))</f>
        <v>1000000000000</v>
      </c>
      <c r="BE33" s="173">
        <f ca="1">IF(OR($D33&lt;&gt;"Serviço",AND(AUTOEVENTO="Manual",$M33=$A$15),$M33&gt;(ROW(PLE.lastrow)-ROW(PLE.firstrow))),0,
           IF(OFFSET(PLE!$G$15,$M33-$A$15,BE$13)="",10^12,OFFSET(PLE!$G$15,$M33-$A$15,BE$13)))</f>
        <v>1000000000000</v>
      </c>
      <c r="BF33" s="173">
        <f ca="1">IF(OR($D33&lt;&gt;"Serviço",AND(AUTOEVENTO="Manual",$M33=$A$15),$M33&gt;(ROW(PLE.lastrow)-ROW(PLE.firstrow))),0,
           IF(OFFSET(PLE!$G$15,$M33-$A$15,BF$13)="",10^12,OFFSET(PLE!$G$15,$M33-$A$15,BF$13)))</f>
        <v>1000000000000</v>
      </c>
      <c r="BG33" s="173">
        <f ca="1">IF(OR($D33&lt;&gt;"Serviço",AND(AUTOEVENTO="Manual",$M33=$A$15),$M33&gt;(ROW(PLE.lastrow)-ROW(PLE.firstrow))),0,
           IF(OFFSET(PLE!$G$15,$M33-$A$15,BG$13)="",10^12,OFFSET(PLE!$G$15,$M33-$A$15,BG$13)))</f>
        <v>1000000000000</v>
      </c>
    </row>
    <row r="34" spans="1:59" ht="12.75" x14ac:dyDescent="0.2">
      <c r="A34" s="7" t="str">
        <f t="shared" ca="1" si="8"/>
        <v>19.</v>
      </c>
      <c r="B34" s="7">
        <f ca="1">OFFSET(ORÇAMENTO!C$15,ROW(B34)-ROW(B$15),0)</f>
        <v>2</v>
      </c>
      <c r="C34" s="7" t="str">
        <f ca="1">OFFSET(ORÇAMENTO!L$15,ROW(C34)-ROW(C$15),0)</f>
        <v>F</v>
      </c>
      <c r="D34" s="117" t="str">
        <f ca="1">OFFSET(ORÇAMENTO!N$15,ROW(D34)-ROW(D$15),0)</f>
        <v>Nível 2</v>
      </c>
      <c r="E34" s="118" t="str">
        <f ca="1">OFFSET(ORÇAMENTO!O$15,ROW(E34)-ROW(E$15),0)</f>
        <v>1.4.</v>
      </c>
      <c r="F34" s="164" t="str">
        <f ca="1">OFFSET(ORÇAMENTO!R$15,ROW(F34)-ROW(F$15),0)</f>
        <v>SISTEMA DE TRATAMENTO DE ESGOTO</v>
      </c>
      <c r="G34" s="165" t="str">
        <f ca="1">IF($D34&lt;&gt;"Serviço","",OFFSET(ORÇAMENTO!S$15,ROW(G34)-ROW(G$15),0))</f>
        <v/>
      </c>
      <c r="H34" s="123">
        <f ca="1">IF($D34&lt;&gt;"Serviço",0,IF(ACOMPANHAMENTO="BM",ROUND(OFFSET(ORÇAMENTO!AJ$15,ROW(H34)-ROW(H$15),0),15-13*ORÇAMENTO!$AF$7),SUMPRODUCT(($Q$1:$AA$1=1)*ROUND($Q34:$AA34,15-13*ORÇAMENTO!$AF$7))))</f>
        <v>0</v>
      </c>
      <c r="I34" s="469"/>
      <c r="J34" s="577" t="str" cm="1">
        <f t="array" aca="1" ref="J34" ca="1">IF(B34&lt;&gt;"S","",IF(AND(ACOMPANHAMENTO="PLE",AUTOEVENTO="Manual",OR(H34&gt;0,ORÇAMENTO!AC34="QUANT."),OR(K34="",M34=0,N34="")),"►",IF(AND(ACOMPANHAMENTO="PLE",ORÇAMENTO!AC34="QUANT."),"►►",IF(AND(COUNTIF($P$11:$AA$11,"▼")=0,H34&gt;0,I34=""),"◄",""))))</f>
        <v/>
      </c>
      <c r="K34" s="626"/>
      <c r="L34" s="166" t="s">
        <v>765</v>
      </c>
      <c r="M34" s="167" t="str">
        <f ca="1">IF($D34&lt;&gt;"Serviço","",
          IF(AUTOEVENTO="manual",$A34,
                IF(ISERROR(MATCH($A34,$A$15:OFFSET($A34,-1,0),0)),MAX($M$15:OFFSET(M34,-1,0))+1,
                      INDEX($M$15:OFFSET(M34,-1,0),MATCH($A34,$A$15:OFFSET($A34,-1,0),0)))))</f>
        <v/>
      </c>
      <c r="N34" s="168" t="str">
        <f ca="1">IF($D34&lt;&gt;"Serviço","",
         IF(AUTOEVENTO="Manual",
                IF($A34=0,"&lt;-- defina o número do agrupador",
                       OFFSET(EVENTOS!$D$15,$A34-$A$15,0)),
                OFFSET($F$15,$A34,0)))</f>
        <v/>
      </c>
      <c r="O34" s="169"/>
      <c r="Q34" s="169"/>
      <c r="R34" s="170"/>
      <c r="S34" s="170"/>
      <c r="T34" s="170"/>
      <c r="U34" s="170"/>
      <c r="V34" s="170"/>
      <c r="W34" s="170"/>
      <c r="X34" s="170"/>
      <c r="Y34" s="170"/>
      <c r="Z34" s="171"/>
      <c r="AB34" s="454">
        <f ca="1">IF(AND($D34="Serviço",AB$12&lt;&gt;0,$H34&gt;0,OR(AUTOEVENTO&lt;&gt;"manual",$M34&lt;&gt;$A$15)),
        IF(Import.TipoArredondamento&lt;&gt;"TransfereGOV",
              ROUND(OFFSET($P34,0,AB$13),15-13*ORÇAMENTO!$AF$7)/$H34*OFFSET(ORÇAMENTO!$X$15,ROW(AB34)-ROW(AB$15),0),
              ROUND(ROUND(OFFSET($P34,0,AB$13),15-13*ORÇAMENTO!$AF$7)*OFFSET(ORÇAMENTO!$W$15,ROW(AB34)-ROW(AB$15),0),15-13*ORÇAMENTO!$AF$11)),
         0)</f>
        <v>0</v>
      </c>
      <c r="AC34" s="454">
        <f ca="1">IF(AND($D34="Serviço",AC$12&lt;&gt;0,$H34&gt;0,OR(AUTOEVENTO&lt;&gt;"manual",$M34&lt;&gt;$A$15)),
        IF(Import.TipoArredondamento&lt;&gt;"TransfereGOV",
              ROUND(OFFSET($P34,0,AC$13),15-13*ORÇAMENTO!$AF$7)/$H34*OFFSET(ORÇAMENTO!$X$15,ROW(AC34)-ROW(AC$15),0),
              ROUND(ROUND(OFFSET($P34,0,AC$13),15-13*ORÇAMENTO!$AF$7)*OFFSET(ORÇAMENTO!$W$15,ROW(AC34)-ROW(AC$15),0),15-13*ORÇAMENTO!$AF$11)),
         0)</f>
        <v>0</v>
      </c>
      <c r="AD34" s="454">
        <f ca="1">IF(AND($D34="Serviço",AD$12&lt;&gt;0,$H34&gt;0,OR(AUTOEVENTO&lt;&gt;"manual",$M34&lt;&gt;$A$15)),
        IF(Import.TipoArredondamento&lt;&gt;"TransfereGOV",
              ROUND(OFFSET($P34,0,AD$13),15-13*ORÇAMENTO!$AF$7)/$H34*OFFSET(ORÇAMENTO!$X$15,ROW(AD34)-ROW(AD$15),0),
              ROUND(ROUND(OFFSET($P34,0,AD$13),15-13*ORÇAMENTO!$AF$7)*OFFSET(ORÇAMENTO!$W$15,ROW(AD34)-ROW(AD$15),0),15-13*ORÇAMENTO!$AF$11)),
         0)</f>
        <v>0</v>
      </c>
      <c r="AE34" s="454">
        <f ca="1">IF(AND($D34="Serviço",AE$12&lt;&gt;0,$H34&gt;0,OR(AUTOEVENTO&lt;&gt;"manual",$M34&lt;&gt;$A$15)),
        IF(Import.TipoArredondamento&lt;&gt;"TransfereGOV",
              ROUND(OFFSET($P34,0,AE$13),15-13*ORÇAMENTO!$AF$7)/$H34*OFFSET(ORÇAMENTO!$X$15,ROW(AE34)-ROW(AE$15),0),
              ROUND(ROUND(OFFSET($P34,0,AE$13),15-13*ORÇAMENTO!$AF$7)*OFFSET(ORÇAMENTO!$W$15,ROW(AE34)-ROW(AE$15),0),15-13*ORÇAMENTO!$AF$11)),
         0)</f>
        <v>0</v>
      </c>
      <c r="AF34" s="454">
        <f ca="1">IF(AND($D34="Serviço",AF$12&lt;&gt;0,$H34&gt;0,OR(AUTOEVENTO&lt;&gt;"manual",$M34&lt;&gt;$A$15)),
        IF(Import.TipoArredondamento&lt;&gt;"TransfereGOV",
              ROUND(OFFSET($P34,0,AF$13),15-13*ORÇAMENTO!$AF$7)/$H34*OFFSET(ORÇAMENTO!$X$15,ROW(AF34)-ROW(AF$15),0),
              ROUND(ROUND(OFFSET($P34,0,AF$13),15-13*ORÇAMENTO!$AF$7)*OFFSET(ORÇAMENTO!$W$15,ROW(AF34)-ROW(AF$15),0),15-13*ORÇAMENTO!$AF$11)),
         0)</f>
        <v>0</v>
      </c>
      <c r="AG34" s="454">
        <f ca="1">IF(AND($D34="Serviço",AG$12&lt;&gt;0,$H34&gt;0,OR(AUTOEVENTO&lt;&gt;"manual",$M34&lt;&gt;$A$15)),
        IF(Import.TipoArredondamento&lt;&gt;"TransfereGOV",
              ROUND(OFFSET($P34,0,AG$13),15-13*ORÇAMENTO!$AF$7)/$H34*OFFSET(ORÇAMENTO!$X$15,ROW(AG34)-ROW(AG$15),0),
              ROUND(ROUND(OFFSET($P34,0,AG$13),15-13*ORÇAMENTO!$AF$7)*OFFSET(ORÇAMENTO!$W$15,ROW(AG34)-ROW(AG$15),0),15-13*ORÇAMENTO!$AF$11)),
         0)</f>
        <v>0</v>
      </c>
      <c r="AH34" s="454">
        <f ca="1">IF(AND($D34="Serviço",AH$12&lt;&gt;0,$H34&gt;0,OR(AUTOEVENTO&lt;&gt;"manual",$M34&lt;&gt;$A$15)),
        IF(Import.TipoArredondamento&lt;&gt;"TransfereGOV",
              ROUND(OFFSET($P34,0,AH$13),15-13*ORÇAMENTO!$AF$7)/$H34*OFFSET(ORÇAMENTO!$X$15,ROW(AH34)-ROW(AH$15),0),
              ROUND(ROUND(OFFSET($P34,0,AH$13),15-13*ORÇAMENTO!$AF$7)*OFFSET(ORÇAMENTO!$W$15,ROW(AH34)-ROW(AH$15),0),15-13*ORÇAMENTO!$AF$11)),
         0)</f>
        <v>0</v>
      </c>
      <c r="AI34" s="454">
        <f ca="1">IF(AND($D34="Serviço",AI$12&lt;&gt;0,$H34&gt;0,OR(AUTOEVENTO&lt;&gt;"manual",$M34&lt;&gt;$A$15)),
        IF(Import.TipoArredondamento&lt;&gt;"TransfereGOV",
              ROUND(OFFSET($P34,0,AI$13),15-13*ORÇAMENTO!$AF$7)/$H34*OFFSET(ORÇAMENTO!$X$15,ROW(AI34)-ROW(AI$15),0),
              ROUND(ROUND(OFFSET($P34,0,AI$13),15-13*ORÇAMENTO!$AF$7)*OFFSET(ORÇAMENTO!$W$15,ROW(AI34)-ROW(AI$15),0),15-13*ORÇAMENTO!$AF$11)),
         0)</f>
        <v>0</v>
      </c>
      <c r="AJ34" s="454">
        <f ca="1">IF(AND($D34="Serviço",AJ$12&lt;&gt;0,$H34&gt;0,OR(AUTOEVENTO&lt;&gt;"manual",$M34&lt;&gt;$A$15)),
        IF(Import.TipoArredondamento&lt;&gt;"TransfereGOV",
              ROUND(OFFSET($P34,0,AJ$13),15-13*ORÇAMENTO!$AF$7)/$H34*OFFSET(ORÇAMENTO!$X$15,ROW(AJ34)-ROW(AJ$15),0),
              ROUND(ROUND(OFFSET($P34,0,AJ$13),15-13*ORÇAMENTO!$AF$7)*OFFSET(ORÇAMENTO!$W$15,ROW(AJ34)-ROW(AJ$15),0),15-13*ORÇAMENTO!$AF$11)),
         0)</f>
        <v>0</v>
      </c>
      <c r="AK34" s="454">
        <f ca="1">IF(AND($D34="Serviço",AK$12&lt;&gt;0,$H34&gt;0,OR(AUTOEVENTO&lt;&gt;"manual",$M34&lt;&gt;$A$15)),
        IF(Import.TipoArredondamento&lt;&gt;"TransfereGOV",
              ROUND(OFFSET($P34,0,AK$13),15-13*ORÇAMENTO!$AF$7)/$H34*OFFSET(ORÇAMENTO!$X$15,ROW(AK34)-ROW(AK$15),0),
              ROUND(ROUND(OFFSET($P34,0,AK$13),15-13*ORÇAMENTO!$AF$7)*OFFSET(ORÇAMENTO!$W$15,ROW(AK34)-ROW(AK$15),0),15-13*ORÇAMENTO!$AF$11)),
         0)</f>
        <v>0</v>
      </c>
      <c r="AM34" s="172">
        <f ca="1">IF(OR($D34&lt;&gt;"Serviço",AND(AUTOEVENTO="Manual",$M34=$A$15)),0,
         IF(OFFSET(CRONOPLE!$F$15,$M34-$A$15,AM$13)="",10^12,OFFSET(CRONOPLE!$F$15,$M34-$A$15,AM$13)))</f>
        <v>0</v>
      </c>
      <c r="AN34" s="172">
        <f ca="1">IF(OR($D34&lt;&gt;"Serviço",AND(AUTOEVENTO="Manual",$M34=$A$15)),0,
         IF(OFFSET(CRONOPLE!$F$15,$M34-$A$15,AN$13)="",10^12,OFFSET(CRONOPLE!$F$15,$M34-$A$15,AN$13)))</f>
        <v>0</v>
      </c>
      <c r="AO34" s="172">
        <f ca="1">IF(OR($D34&lt;&gt;"Serviço",AND(AUTOEVENTO="Manual",$M34=$A$15)),0,
         IF(OFFSET(CRONOPLE!$F$15,$M34-$A$15,AO$13)="",10^12,OFFSET(CRONOPLE!$F$15,$M34-$A$15,AO$13)))</f>
        <v>0</v>
      </c>
      <c r="AP34" s="172">
        <f ca="1">IF(OR($D34&lt;&gt;"Serviço",AND(AUTOEVENTO="Manual",$M34=$A$15)),0,
         IF(OFFSET(CRONOPLE!$F$15,$M34-$A$15,AP$13)="",10^12,OFFSET(CRONOPLE!$F$15,$M34-$A$15,AP$13)))</f>
        <v>0</v>
      </c>
      <c r="AQ34" s="172">
        <f ca="1">IF(OR($D34&lt;&gt;"Serviço",AND(AUTOEVENTO="Manual",$M34=$A$15)),0,
         IF(OFFSET(CRONOPLE!$F$15,$M34-$A$15,AQ$13)="",10^12,OFFSET(CRONOPLE!$F$15,$M34-$A$15,AQ$13)))</f>
        <v>0</v>
      </c>
      <c r="AR34" s="172">
        <f ca="1">IF(OR($D34&lt;&gt;"Serviço",AND(AUTOEVENTO="Manual",$M34=$A$15)),0,
         IF(OFFSET(CRONOPLE!$F$15,$M34-$A$15,AR$13)="",10^12,OFFSET(CRONOPLE!$F$15,$M34-$A$15,AR$13)))</f>
        <v>0</v>
      </c>
      <c r="AS34" s="172">
        <f ca="1">IF(OR($D34&lt;&gt;"Serviço",AND(AUTOEVENTO="Manual",$M34=$A$15)),0,
         IF(OFFSET(CRONOPLE!$F$15,$M34-$A$15,AS$13)="",10^12,OFFSET(CRONOPLE!$F$15,$M34-$A$15,AS$13)))</f>
        <v>0</v>
      </c>
      <c r="AT34" s="172">
        <f ca="1">IF(OR($D34&lt;&gt;"Serviço",AND(AUTOEVENTO="Manual",$M34=$A$15)),0,
         IF(OFFSET(CRONOPLE!$F$15,$M34-$A$15,AT$13)="",10^12,OFFSET(CRONOPLE!$F$15,$M34-$A$15,AT$13)))</f>
        <v>0</v>
      </c>
      <c r="AU34" s="172">
        <f ca="1">IF(OR($D34&lt;&gt;"Serviço",AND(AUTOEVENTO="Manual",$M34=$A$15)),0,
         IF(OFFSET(CRONOPLE!$F$15,$M34-$A$15,AU$13)="",10^12,OFFSET(CRONOPLE!$F$15,$M34-$A$15,AU$13)))</f>
        <v>0</v>
      </c>
      <c r="AV34" s="172">
        <f ca="1">IF(OR($D34&lt;&gt;"Serviço",AND(AUTOEVENTO="Manual",$M34=$A$15)),0,
         IF(OFFSET(CRONOPLE!$F$15,$M34-$A$15,AV$13)="",10^12,OFFSET(CRONOPLE!$F$15,$M34-$A$15,AV$13)))</f>
        <v>0</v>
      </c>
      <c r="AX34" s="173">
        <f ca="1">IF(OR($D34&lt;&gt;"Serviço",AND(AUTOEVENTO="Manual",$M34=$A$15),$M34&gt;(ROW(PLE.lastrow)-ROW(PLE.firstrow))),0,
           IF(OFFSET(PLE!$G$15,$M34-$A$15,AX$13)="",10^12,OFFSET(PLE!$G$15,$M34-$A$15,AX$13)))</f>
        <v>0</v>
      </c>
      <c r="AY34" s="173">
        <f ca="1">IF(OR($D34&lt;&gt;"Serviço",AND(AUTOEVENTO="Manual",$M34=$A$15),$M34&gt;(ROW(PLE.lastrow)-ROW(PLE.firstrow))),0,
           IF(OFFSET(PLE!$G$15,$M34-$A$15,AY$13)="",10^12,OFFSET(PLE!$G$15,$M34-$A$15,AY$13)))</f>
        <v>0</v>
      </c>
      <c r="AZ34" s="173">
        <f ca="1">IF(OR($D34&lt;&gt;"Serviço",AND(AUTOEVENTO="Manual",$M34=$A$15),$M34&gt;(ROW(PLE.lastrow)-ROW(PLE.firstrow))),0,
           IF(OFFSET(PLE!$G$15,$M34-$A$15,AZ$13)="",10^12,OFFSET(PLE!$G$15,$M34-$A$15,AZ$13)))</f>
        <v>0</v>
      </c>
      <c r="BA34" s="173">
        <f ca="1">IF(OR($D34&lt;&gt;"Serviço",AND(AUTOEVENTO="Manual",$M34=$A$15),$M34&gt;(ROW(PLE.lastrow)-ROW(PLE.firstrow))),0,
           IF(OFFSET(PLE!$G$15,$M34-$A$15,BA$13)="",10^12,OFFSET(PLE!$G$15,$M34-$A$15,BA$13)))</f>
        <v>0</v>
      </c>
      <c r="BB34" s="173">
        <f ca="1">IF(OR($D34&lt;&gt;"Serviço",AND(AUTOEVENTO="Manual",$M34=$A$15),$M34&gt;(ROW(PLE.lastrow)-ROW(PLE.firstrow))),0,
           IF(OFFSET(PLE!$G$15,$M34-$A$15,BB$13)="",10^12,OFFSET(PLE!$G$15,$M34-$A$15,BB$13)))</f>
        <v>0</v>
      </c>
      <c r="BC34" s="173">
        <f ca="1">IF(OR($D34&lt;&gt;"Serviço",AND(AUTOEVENTO="Manual",$M34=$A$15),$M34&gt;(ROW(PLE.lastrow)-ROW(PLE.firstrow))),0,
           IF(OFFSET(PLE!$G$15,$M34-$A$15,BC$13)="",10^12,OFFSET(PLE!$G$15,$M34-$A$15,BC$13)))</f>
        <v>0</v>
      </c>
      <c r="BD34" s="173">
        <f ca="1">IF(OR($D34&lt;&gt;"Serviço",AND(AUTOEVENTO="Manual",$M34=$A$15),$M34&gt;(ROW(PLE.lastrow)-ROW(PLE.firstrow))),0,
           IF(OFFSET(PLE!$G$15,$M34-$A$15,BD$13)="",10^12,OFFSET(PLE!$G$15,$M34-$A$15,BD$13)))</f>
        <v>0</v>
      </c>
      <c r="BE34" s="173">
        <f ca="1">IF(OR($D34&lt;&gt;"Serviço",AND(AUTOEVENTO="Manual",$M34=$A$15),$M34&gt;(ROW(PLE.lastrow)-ROW(PLE.firstrow))),0,
           IF(OFFSET(PLE!$G$15,$M34-$A$15,BE$13)="",10^12,OFFSET(PLE!$G$15,$M34-$A$15,BE$13)))</f>
        <v>0</v>
      </c>
      <c r="BF34" s="173">
        <f ca="1">IF(OR($D34&lt;&gt;"Serviço",AND(AUTOEVENTO="Manual",$M34=$A$15),$M34&gt;(ROW(PLE.lastrow)-ROW(PLE.firstrow))),0,
           IF(OFFSET(PLE!$G$15,$M34-$A$15,BF$13)="",10^12,OFFSET(PLE!$G$15,$M34-$A$15,BF$13)))</f>
        <v>0</v>
      </c>
      <c r="BG34" s="173">
        <f ca="1">IF(OR($D34&lt;&gt;"Serviço",AND(AUTOEVENTO="Manual",$M34=$A$15),$M34&gt;(ROW(PLE.lastrow)-ROW(PLE.firstrow))),0,
           IF(OFFSET(PLE!$G$15,$M34-$A$15,BG$13)="",10^12,OFFSET(PLE!$G$15,$M34-$A$15,BG$13)))</f>
        <v>0</v>
      </c>
    </row>
    <row r="35" spans="1:59" ht="25.5" x14ac:dyDescent="0.2">
      <c r="A35" s="7" t="str">
        <f t="shared" ca="1" si="8"/>
        <v>19</v>
      </c>
      <c r="B35" s="7" t="str">
        <f ca="1">OFFSET(ORÇAMENTO!C$15,ROW(B35)-ROW(B$15),0)</f>
        <v>S</v>
      </c>
      <c r="C35" s="7" t="str">
        <f ca="1">OFFSET(ORÇAMENTO!L$15,ROW(C35)-ROW(C$15),0)</f>
        <v/>
      </c>
      <c r="D35" s="117" t="str">
        <f ca="1">OFFSET(ORÇAMENTO!N$15,ROW(D35)-ROW(D$15),0)</f>
        <v>Serviço</v>
      </c>
      <c r="E35" s="118" t="str">
        <f ca="1">OFFSET(ORÇAMENTO!O$15,ROW(E35)-ROW(E$15),0)</f>
        <v>-</v>
      </c>
      <c r="F35" s="164" t="str">
        <f ca="1">OFFSET(ORÇAMENTO!R$15,ROW(F35)-ROW(F$15),0)</f>
        <v>CONJUNTO DE BIOFILTRO ANAERÓBIO 15.000 LITROS E REATOR ANAERÓBIO 15.000 LITROS - FORNECIMENTO E INSTALAÇÃO</v>
      </c>
      <c r="G35" s="165" t="str">
        <f ca="1">IF($D35&lt;&gt;"Serviço","",OFFSET(ORÇAMENTO!S$15,ROW(G35)-ROW(G$15),0))</f>
        <v>CJ</v>
      </c>
      <c r="H35" s="123">
        <f ca="1">IF($D35&lt;&gt;"Serviço",0,IF(ACOMPANHAMENTO="BM",ROUND(OFFSET(ORÇAMENTO!AJ$15,ROW(H35)-ROW(H$15),0),15-13*ORÇAMENTO!$AF$7),SUMPRODUCT(($Q$1:$AA$1=1)*ROUND($Q35:$AA35,15-13*ORÇAMENTO!$AF$7))))</f>
        <v>1</v>
      </c>
      <c r="I35" s="469"/>
      <c r="J35" s="577" t="str" cm="1">
        <f t="array" aca="1" ref="J35" ca="1">IF(B35&lt;&gt;"S","",IF(AND(ACOMPANHAMENTO="PLE",AUTOEVENTO="Manual",OR(H35&gt;0,ORÇAMENTO!AC35="QUANT."),OR(K35="",M35=0,N35="")),"►",IF(AND(ACOMPANHAMENTO="PLE",ORÇAMENTO!AC35="QUANT."),"►►",IF(AND(COUNTIF($P$11:$AA$11,"▼")=0,H35&gt;0,I35=""),"◄",""))))</f>
        <v>◄</v>
      </c>
      <c r="K35" s="626"/>
      <c r="L35" s="166" t="s">
        <v>765</v>
      </c>
      <c r="M35" s="167">
        <f ca="1">IF($D35&lt;&gt;"Serviço","",
          IF(AUTOEVENTO="manual",$A35,
                IF(ISERROR(MATCH($A35,$A$15:OFFSET($A35,-1,0),0)),MAX($M$15:OFFSET(M35,-1,0))+1,
                      INDEX($M$15:OFFSET(M35,-1,0),MATCH($A35,$A$15:OFFSET($A35,-1,0),0)))))</f>
        <v>4</v>
      </c>
      <c r="N35" s="168" t="str">
        <f ca="1">IF($D35&lt;&gt;"Serviço","",
         IF(AUTOEVENTO="Manual",
                IF($A35=0,"&lt;-- defina o número do agrupador",
                       OFFSET(EVENTOS!$D$15,$A35-$A$15,0)),
                OFFSET($F$15,$A35,0)))</f>
        <v>SISTEMA DE TRATAMENTO DE ESGOTO</v>
      </c>
      <c r="O35" s="169"/>
      <c r="Q35" s="169"/>
      <c r="R35" s="170"/>
      <c r="S35" s="170"/>
      <c r="T35" s="170"/>
      <c r="U35" s="170"/>
      <c r="V35" s="170"/>
      <c r="W35" s="170"/>
      <c r="X35" s="170"/>
      <c r="Y35" s="170"/>
      <c r="Z35" s="171"/>
      <c r="AB35" s="454">
        <f ca="1">IF(AND($D35="Serviço",AB$12&lt;&gt;0,$H35&gt;0,OR(AUTOEVENTO&lt;&gt;"manual",$M35&lt;&gt;$A$15)),
        IF(Import.TipoArredondamento&lt;&gt;"TransfereGOV",
              ROUND(OFFSET($P35,0,AB$13),15-13*ORÇAMENTO!$AF$7)/$H35*OFFSET(ORÇAMENTO!$X$15,ROW(AB35)-ROW(AB$15),0),
              ROUND(ROUND(OFFSET($P35,0,AB$13),15-13*ORÇAMENTO!$AF$7)*OFFSET(ORÇAMENTO!$W$15,ROW(AB35)-ROW(AB$15),0),15-13*ORÇAMENTO!$AF$11)),
         0)</f>
        <v>0</v>
      </c>
      <c r="AC35" s="454">
        <f ca="1">IF(AND($D35="Serviço",AC$12&lt;&gt;0,$H35&gt;0,OR(AUTOEVENTO&lt;&gt;"manual",$M35&lt;&gt;$A$15)),
        IF(Import.TipoArredondamento&lt;&gt;"TransfereGOV",
              ROUND(OFFSET($P35,0,AC$13),15-13*ORÇAMENTO!$AF$7)/$H35*OFFSET(ORÇAMENTO!$X$15,ROW(AC35)-ROW(AC$15),0),
              ROUND(ROUND(OFFSET($P35,0,AC$13),15-13*ORÇAMENTO!$AF$7)*OFFSET(ORÇAMENTO!$W$15,ROW(AC35)-ROW(AC$15),0),15-13*ORÇAMENTO!$AF$11)),
         0)</f>
        <v>0</v>
      </c>
      <c r="AD35" s="454">
        <f ca="1">IF(AND($D35="Serviço",AD$12&lt;&gt;0,$H35&gt;0,OR(AUTOEVENTO&lt;&gt;"manual",$M35&lt;&gt;$A$15)),
        IF(Import.TipoArredondamento&lt;&gt;"TransfereGOV",
              ROUND(OFFSET($P35,0,AD$13),15-13*ORÇAMENTO!$AF$7)/$H35*OFFSET(ORÇAMENTO!$X$15,ROW(AD35)-ROW(AD$15),0),
              ROUND(ROUND(OFFSET($P35,0,AD$13),15-13*ORÇAMENTO!$AF$7)*OFFSET(ORÇAMENTO!$W$15,ROW(AD35)-ROW(AD$15),0),15-13*ORÇAMENTO!$AF$11)),
         0)</f>
        <v>0</v>
      </c>
      <c r="AE35" s="454">
        <f ca="1">IF(AND($D35="Serviço",AE$12&lt;&gt;0,$H35&gt;0,OR(AUTOEVENTO&lt;&gt;"manual",$M35&lt;&gt;$A$15)),
        IF(Import.TipoArredondamento&lt;&gt;"TransfereGOV",
              ROUND(OFFSET($P35,0,AE$13),15-13*ORÇAMENTO!$AF$7)/$H35*OFFSET(ORÇAMENTO!$X$15,ROW(AE35)-ROW(AE$15),0),
              ROUND(ROUND(OFFSET($P35,0,AE$13),15-13*ORÇAMENTO!$AF$7)*OFFSET(ORÇAMENTO!$W$15,ROW(AE35)-ROW(AE$15),0),15-13*ORÇAMENTO!$AF$11)),
         0)</f>
        <v>0</v>
      </c>
      <c r="AF35" s="454">
        <f ca="1">IF(AND($D35="Serviço",AF$12&lt;&gt;0,$H35&gt;0,OR(AUTOEVENTO&lt;&gt;"manual",$M35&lt;&gt;$A$15)),
        IF(Import.TipoArredondamento&lt;&gt;"TransfereGOV",
              ROUND(OFFSET($P35,0,AF$13),15-13*ORÇAMENTO!$AF$7)/$H35*OFFSET(ORÇAMENTO!$X$15,ROW(AF35)-ROW(AF$15),0),
              ROUND(ROUND(OFFSET($P35,0,AF$13),15-13*ORÇAMENTO!$AF$7)*OFFSET(ORÇAMENTO!$W$15,ROW(AF35)-ROW(AF$15),0),15-13*ORÇAMENTO!$AF$11)),
         0)</f>
        <v>0</v>
      </c>
      <c r="AG35" s="454">
        <f ca="1">IF(AND($D35="Serviço",AG$12&lt;&gt;0,$H35&gt;0,OR(AUTOEVENTO&lt;&gt;"manual",$M35&lt;&gt;$A$15)),
        IF(Import.TipoArredondamento&lt;&gt;"TransfereGOV",
              ROUND(OFFSET($P35,0,AG$13),15-13*ORÇAMENTO!$AF$7)/$H35*OFFSET(ORÇAMENTO!$X$15,ROW(AG35)-ROW(AG$15),0),
              ROUND(ROUND(OFFSET($P35,0,AG$13),15-13*ORÇAMENTO!$AF$7)*OFFSET(ORÇAMENTO!$W$15,ROW(AG35)-ROW(AG$15),0),15-13*ORÇAMENTO!$AF$11)),
         0)</f>
        <v>0</v>
      </c>
      <c r="AH35" s="454">
        <f ca="1">IF(AND($D35="Serviço",AH$12&lt;&gt;0,$H35&gt;0,OR(AUTOEVENTO&lt;&gt;"manual",$M35&lt;&gt;$A$15)),
        IF(Import.TipoArredondamento&lt;&gt;"TransfereGOV",
              ROUND(OFFSET($P35,0,AH$13),15-13*ORÇAMENTO!$AF$7)/$H35*OFFSET(ORÇAMENTO!$X$15,ROW(AH35)-ROW(AH$15),0),
              ROUND(ROUND(OFFSET($P35,0,AH$13),15-13*ORÇAMENTO!$AF$7)*OFFSET(ORÇAMENTO!$W$15,ROW(AH35)-ROW(AH$15),0),15-13*ORÇAMENTO!$AF$11)),
         0)</f>
        <v>0</v>
      </c>
      <c r="AI35" s="454">
        <f ca="1">IF(AND($D35="Serviço",AI$12&lt;&gt;0,$H35&gt;0,OR(AUTOEVENTO&lt;&gt;"manual",$M35&lt;&gt;$A$15)),
        IF(Import.TipoArredondamento&lt;&gt;"TransfereGOV",
              ROUND(OFFSET($P35,0,AI$13),15-13*ORÇAMENTO!$AF$7)/$H35*OFFSET(ORÇAMENTO!$X$15,ROW(AI35)-ROW(AI$15),0),
              ROUND(ROUND(OFFSET($P35,0,AI$13),15-13*ORÇAMENTO!$AF$7)*OFFSET(ORÇAMENTO!$W$15,ROW(AI35)-ROW(AI$15),0),15-13*ORÇAMENTO!$AF$11)),
         0)</f>
        <v>0</v>
      </c>
      <c r="AJ35" s="454">
        <f ca="1">IF(AND($D35="Serviço",AJ$12&lt;&gt;0,$H35&gt;0,OR(AUTOEVENTO&lt;&gt;"manual",$M35&lt;&gt;$A$15)),
        IF(Import.TipoArredondamento&lt;&gt;"TransfereGOV",
              ROUND(OFFSET($P35,0,AJ$13),15-13*ORÇAMENTO!$AF$7)/$H35*OFFSET(ORÇAMENTO!$X$15,ROW(AJ35)-ROW(AJ$15),0),
              ROUND(ROUND(OFFSET($P35,0,AJ$13),15-13*ORÇAMENTO!$AF$7)*OFFSET(ORÇAMENTO!$W$15,ROW(AJ35)-ROW(AJ$15),0),15-13*ORÇAMENTO!$AF$11)),
         0)</f>
        <v>0</v>
      </c>
      <c r="AK35" s="454">
        <f ca="1">IF(AND($D35="Serviço",AK$12&lt;&gt;0,$H35&gt;0,OR(AUTOEVENTO&lt;&gt;"manual",$M35&lt;&gt;$A$15)),
        IF(Import.TipoArredondamento&lt;&gt;"TransfereGOV",
              ROUND(OFFSET($P35,0,AK$13),15-13*ORÇAMENTO!$AF$7)/$H35*OFFSET(ORÇAMENTO!$X$15,ROW(AK35)-ROW(AK$15),0),
              ROUND(ROUND(OFFSET($P35,0,AK$13),15-13*ORÇAMENTO!$AF$7)*OFFSET(ORÇAMENTO!$W$15,ROW(AK35)-ROW(AK$15),0),15-13*ORÇAMENTO!$AF$11)),
         0)</f>
        <v>0</v>
      </c>
      <c r="AM35" s="172">
        <f ca="1">IF(OR($D35&lt;&gt;"Serviço",AND(AUTOEVENTO="Manual",$M35=$A$15)),0,
         IF(OFFSET(CRONOPLE!$F$15,$M35-$A$15,AM$13)="",10^12,OFFSET(CRONOPLE!$F$15,$M35-$A$15,AM$13)))</f>
        <v>1000000000000</v>
      </c>
      <c r="AN35" s="172">
        <f ca="1">IF(OR($D35&lt;&gt;"Serviço",AND(AUTOEVENTO="Manual",$M35=$A$15)),0,
         IF(OFFSET(CRONOPLE!$F$15,$M35-$A$15,AN$13)="",10^12,OFFSET(CRONOPLE!$F$15,$M35-$A$15,AN$13)))</f>
        <v>1000000000000</v>
      </c>
      <c r="AO35" s="172">
        <f ca="1">IF(OR($D35&lt;&gt;"Serviço",AND(AUTOEVENTO="Manual",$M35=$A$15)),0,
         IF(OFFSET(CRONOPLE!$F$15,$M35-$A$15,AO$13)="",10^12,OFFSET(CRONOPLE!$F$15,$M35-$A$15,AO$13)))</f>
        <v>1000000000000</v>
      </c>
      <c r="AP35" s="172">
        <f ca="1">IF(OR($D35&lt;&gt;"Serviço",AND(AUTOEVENTO="Manual",$M35=$A$15)),0,
         IF(OFFSET(CRONOPLE!$F$15,$M35-$A$15,AP$13)="",10^12,OFFSET(CRONOPLE!$F$15,$M35-$A$15,AP$13)))</f>
        <v>1000000000000</v>
      </c>
      <c r="AQ35" s="172">
        <f ca="1">IF(OR($D35&lt;&gt;"Serviço",AND(AUTOEVENTO="Manual",$M35=$A$15)),0,
         IF(OFFSET(CRONOPLE!$F$15,$M35-$A$15,AQ$13)="",10^12,OFFSET(CRONOPLE!$F$15,$M35-$A$15,AQ$13)))</f>
        <v>1000000000000</v>
      </c>
      <c r="AR35" s="172">
        <f ca="1">IF(OR($D35&lt;&gt;"Serviço",AND(AUTOEVENTO="Manual",$M35=$A$15)),0,
         IF(OFFSET(CRONOPLE!$F$15,$M35-$A$15,AR$13)="",10^12,OFFSET(CRONOPLE!$F$15,$M35-$A$15,AR$13)))</f>
        <v>1000000000000</v>
      </c>
      <c r="AS35" s="172">
        <f ca="1">IF(OR($D35&lt;&gt;"Serviço",AND(AUTOEVENTO="Manual",$M35=$A$15)),0,
         IF(OFFSET(CRONOPLE!$F$15,$M35-$A$15,AS$13)="",10^12,OFFSET(CRONOPLE!$F$15,$M35-$A$15,AS$13)))</f>
        <v>1000000000000</v>
      </c>
      <c r="AT35" s="172">
        <f ca="1">IF(OR($D35&lt;&gt;"Serviço",AND(AUTOEVENTO="Manual",$M35=$A$15)),0,
         IF(OFFSET(CRONOPLE!$F$15,$M35-$A$15,AT$13)="",10^12,OFFSET(CRONOPLE!$F$15,$M35-$A$15,AT$13)))</f>
        <v>1000000000000</v>
      </c>
      <c r="AU35" s="172">
        <f ca="1">IF(OR($D35&lt;&gt;"Serviço",AND(AUTOEVENTO="Manual",$M35=$A$15)),0,
         IF(OFFSET(CRONOPLE!$F$15,$M35-$A$15,AU$13)="",10^12,OFFSET(CRONOPLE!$F$15,$M35-$A$15,AU$13)))</f>
        <v>1000000000000</v>
      </c>
      <c r="AV35" s="172">
        <f ca="1">IF(OR($D35&lt;&gt;"Serviço",AND(AUTOEVENTO="Manual",$M35=$A$15)),0,
         IF(OFFSET(CRONOPLE!$F$15,$M35-$A$15,AV$13)="",10^12,OFFSET(CRONOPLE!$F$15,$M35-$A$15,AV$13)))</f>
        <v>1000000000000</v>
      </c>
      <c r="AX35" s="173">
        <f ca="1">IF(OR($D35&lt;&gt;"Serviço",AND(AUTOEVENTO="Manual",$M35=$A$15),$M35&gt;(ROW(PLE.lastrow)-ROW(PLE.firstrow))),0,
           IF(OFFSET(PLE!$G$15,$M35-$A$15,AX$13)="",10^12,OFFSET(PLE!$G$15,$M35-$A$15,AX$13)))</f>
        <v>1000000000000</v>
      </c>
      <c r="AY35" s="173">
        <f ca="1">IF(OR($D35&lt;&gt;"Serviço",AND(AUTOEVENTO="Manual",$M35=$A$15),$M35&gt;(ROW(PLE.lastrow)-ROW(PLE.firstrow))),0,
           IF(OFFSET(PLE!$G$15,$M35-$A$15,AY$13)="",10^12,OFFSET(PLE!$G$15,$M35-$A$15,AY$13)))</f>
        <v>1000000000000</v>
      </c>
      <c r="AZ35" s="173">
        <f ca="1">IF(OR($D35&lt;&gt;"Serviço",AND(AUTOEVENTO="Manual",$M35=$A$15),$M35&gt;(ROW(PLE.lastrow)-ROW(PLE.firstrow))),0,
           IF(OFFSET(PLE!$G$15,$M35-$A$15,AZ$13)="",10^12,OFFSET(PLE!$G$15,$M35-$A$15,AZ$13)))</f>
        <v>1000000000000</v>
      </c>
      <c r="BA35" s="173">
        <f ca="1">IF(OR($D35&lt;&gt;"Serviço",AND(AUTOEVENTO="Manual",$M35=$A$15),$M35&gt;(ROW(PLE.lastrow)-ROW(PLE.firstrow))),0,
           IF(OFFSET(PLE!$G$15,$M35-$A$15,BA$13)="",10^12,OFFSET(PLE!$G$15,$M35-$A$15,BA$13)))</f>
        <v>1000000000000</v>
      </c>
      <c r="BB35" s="173">
        <f ca="1">IF(OR($D35&lt;&gt;"Serviço",AND(AUTOEVENTO="Manual",$M35=$A$15),$M35&gt;(ROW(PLE.lastrow)-ROW(PLE.firstrow))),0,
           IF(OFFSET(PLE!$G$15,$M35-$A$15,BB$13)="",10^12,OFFSET(PLE!$G$15,$M35-$A$15,BB$13)))</f>
        <v>1000000000000</v>
      </c>
      <c r="BC35" s="173">
        <f ca="1">IF(OR($D35&lt;&gt;"Serviço",AND(AUTOEVENTO="Manual",$M35=$A$15),$M35&gt;(ROW(PLE.lastrow)-ROW(PLE.firstrow))),0,
           IF(OFFSET(PLE!$G$15,$M35-$A$15,BC$13)="",10^12,OFFSET(PLE!$G$15,$M35-$A$15,BC$13)))</f>
        <v>1000000000000</v>
      </c>
      <c r="BD35" s="173">
        <f ca="1">IF(OR($D35&lt;&gt;"Serviço",AND(AUTOEVENTO="Manual",$M35=$A$15),$M35&gt;(ROW(PLE.lastrow)-ROW(PLE.firstrow))),0,
           IF(OFFSET(PLE!$G$15,$M35-$A$15,BD$13)="",10^12,OFFSET(PLE!$G$15,$M35-$A$15,BD$13)))</f>
        <v>1000000000000</v>
      </c>
      <c r="BE35" s="173">
        <f ca="1">IF(OR($D35&lt;&gt;"Serviço",AND(AUTOEVENTO="Manual",$M35=$A$15),$M35&gt;(ROW(PLE.lastrow)-ROW(PLE.firstrow))),0,
           IF(OFFSET(PLE!$G$15,$M35-$A$15,BE$13)="",10^12,OFFSET(PLE!$G$15,$M35-$A$15,BE$13)))</f>
        <v>1000000000000</v>
      </c>
      <c r="BF35" s="173">
        <f ca="1">IF(OR($D35&lt;&gt;"Serviço",AND(AUTOEVENTO="Manual",$M35=$A$15),$M35&gt;(ROW(PLE.lastrow)-ROW(PLE.firstrow))),0,
           IF(OFFSET(PLE!$G$15,$M35-$A$15,BF$13)="",10^12,OFFSET(PLE!$G$15,$M35-$A$15,BF$13)))</f>
        <v>1000000000000</v>
      </c>
      <c r="BG35" s="173">
        <f ca="1">IF(OR($D35&lt;&gt;"Serviço",AND(AUTOEVENTO="Manual",$M35=$A$15),$M35&gt;(ROW(PLE.lastrow)-ROW(PLE.firstrow))),0,
           IF(OFFSET(PLE!$G$15,$M35-$A$15,BG$13)="",10^12,OFFSET(PLE!$G$15,$M35-$A$15,BG$13)))</f>
        <v>1000000000000</v>
      </c>
    </row>
    <row r="36" spans="1:59" ht="25.5" x14ac:dyDescent="0.2">
      <c r="A36" s="7" t="str">
        <f t="shared" ca="1" si="8"/>
        <v>19</v>
      </c>
      <c r="B36" s="7" t="str">
        <f ca="1">OFFSET(ORÇAMENTO!C$15,ROW(B36)-ROW(B$15),0)</f>
        <v>S</v>
      </c>
      <c r="C36" s="7" t="str">
        <f ca="1">OFFSET(ORÇAMENTO!L$15,ROW(C36)-ROW(C$15),0)</f>
        <v/>
      </c>
      <c r="D36" s="117" t="str">
        <f ca="1">OFFSET(ORÇAMENTO!N$15,ROW(D36)-ROW(D$15),0)</f>
        <v>Serviço</v>
      </c>
      <c r="E36" s="118" t="str">
        <f ca="1">OFFSET(ORÇAMENTO!O$15,ROW(E36)-ROW(E$15),0)</f>
        <v>-</v>
      </c>
      <c r="F36" s="164" t="str">
        <f ca="1">OFFSET(ORÇAMENTO!R$15,ROW(F36)-ROW(F$15),0)</f>
        <v>CAIXA DE GORDURA EM PVC COM CESTO DE LIMPEZA 21L - FORNECIMENTO E INSTALAÇÃO</v>
      </c>
      <c r="G36" s="165" t="str">
        <f ca="1">IF($D36&lt;&gt;"Serviço","",OFFSET(ORÇAMENTO!S$15,ROW(G36)-ROW(G$15),0))</f>
        <v xml:space="preserve">UN    </v>
      </c>
      <c r="H36" s="123">
        <f ca="1">IF($D36&lt;&gt;"Serviço",0,IF(ACOMPANHAMENTO="BM",ROUND(OFFSET(ORÇAMENTO!AJ$15,ROW(H36)-ROW(H$15),0),15-13*ORÇAMENTO!$AF$7),SUMPRODUCT(($Q$1:$AA$1=1)*ROUND($Q36:$AA36,15-13*ORÇAMENTO!$AF$7))))</f>
        <v>2</v>
      </c>
      <c r="I36" s="469"/>
      <c r="J36" s="577" t="str" cm="1">
        <f t="array" aca="1" ref="J36" ca="1">IF(B36&lt;&gt;"S","",IF(AND(ACOMPANHAMENTO="PLE",AUTOEVENTO="Manual",OR(H36&gt;0,ORÇAMENTO!AC36="QUANT."),OR(K36="",M36=0,N36="")),"►",IF(AND(ACOMPANHAMENTO="PLE",ORÇAMENTO!AC36="QUANT."),"►►",IF(AND(COUNTIF($P$11:$AA$11,"▼")=0,H36&gt;0,I36=""),"◄",""))))</f>
        <v>◄</v>
      </c>
      <c r="K36" s="626"/>
      <c r="L36" s="166" t="s">
        <v>765</v>
      </c>
      <c r="M36" s="167">
        <f ca="1">IF($D36&lt;&gt;"Serviço","",
          IF(AUTOEVENTO="manual",$A36,
                IF(ISERROR(MATCH($A36,$A$15:OFFSET($A36,-1,0),0)),MAX($M$15:OFFSET(M36,-1,0))+1,
                      INDEX($M$15:OFFSET(M36,-1,0),MATCH($A36,$A$15:OFFSET($A36,-1,0),0)))))</f>
        <v>4</v>
      </c>
      <c r="N36" s="168" t="str">
        <f ca="1">IF($D36&lt;&gt;"Serviço","",
         IF(AUTOEVENTO="Manual",
                IF($A36=0,"&lt;-- defina o número do agrupador",
                       OFFSET(EVENTOS!$D$15,$A36-$A$15,0)),
                OFFSET($F$15,$A36,0)))</f>
        <v>SISTEMA DE TRATAMENTO DE ESGOTO</v>
      </c>
      <c r="O36" s="169"/>
      <c r="Q36" s="169"/>
      <c r="R36" s="170"/>
      <c r="S36" s="170"/>
      <c r="T36" s="170"/>
      <c r="U36" s="170"/>
      <c r="V36" s="170"/>
      <c r="W36" s="170"/>
      <c r="X36" s="170"/>
      <c r="Y36" s="170"/>
      <c r="Z36" s="171"/>
      <c r="AB36" s="454">
        <f ca="1">IF(AND($D36="Serviço",AB$12&lt;&gt;0,$H36&gt;0,OR(AUTOEVENTO&lt;&gt;"manual",$M36&lt;&gt;$A$15)),
        IF(Import.TipoArredondamento&lt;&gt;"TransfereGOV",
              ROUND(OFFSET($P36,0,AB$13),15-13*ORÇAMENTO!$AF$7)/$H36*OFFSET(ORÇAMENTO!$X$15,ROW(AB36)-ROW(AB$15),0),
              ROUND(ROUND(OFFSET($P36,0,AB$13),15-13*ORÇAMENTO!$AF$7)*OFFSET(ORÇAMENTO!$W$15,ROW(AB36)-ROW(AB$15),0),15-13*ORÇAMENTO!$AF$11)),
         0)</f>
        <v>0</v>
      </c>
      <c r="AC36" s="454">
        <f ca="1">IF(AND($D36="Serviço",AC$12&lt;&gt;0,$H36&gt;0,OR(AUTOEVENTO&lt;&gt;"manual",$M36&lt;&gt;$A$15)),
        IF(Import.TipoArredondamento&lt;&gt;"TransfereGOV",
              ROUND(OFFSET($P36,0,AC$13),15-13*ORÇAMENTO!$AF$7)/$H36*OFFSET(ORÇAMENTO!$X$15,ROW(AC36)-ROW(AC$15),0),
              ROUND(ROUND(OFFSET($P36,0,AC$13),15-13*ORÇAMENTO!$AF$7)*OFFSET(ORÇAMENTO!$W$15,ROW(AC36)-ROW(AC$15),0),15-13*ORÇAMENTO!$AF$11)),
         0)</f>
        <v>0</v>
      </c>
      <c r="AD36" s="454">
        <f ca="1">IF(AND($D36="Serviço",AD$12&lt;&gt;0,$H36&gt;0,OR(AUTOEVENTO&lt;&gt;"manual",$M36&lt;&gt;$A$15)),
        IF(Import.TipoArredondamento&lt;&gt;"TransfereGOV",
              ROUND(OFFSET($P36,0,AD$13),15-13*ORÇAMENTO!$AF$7)/$H36*OFFSET(ORÇAMENTO!$X$15,ROW(AD36)-ROW(AD$15),0),
              ROUND(ROUND(OFFSET($P36,0,AD$13),15-13*ORÇAMENTO!$AF$7)*OFFSET(ORÇAMENTO!$W$15,ROW(AD36)-ROW(AD$15),0),15-13*ORÇAMENTO!$AF$11)),
         0)</f>
        <v>0</v>
      </c>
      <c r="AE36" s="454">
        <f ca="1">IF(AND($D36="Serviço",AE$12&lt;&gt;0,$H36&gt;0,OR(AUTOEVENTO&lt;&gt;"manual",$M36&lt;&gt;$A$15)),
        IF(Import.TipoArredondamento&lt;&gt;"TransfereGOV",
              ROUND(OFFSET($P36,0,AE$13),15-13*ORÇAMENTO!$AF$7)/$H36*OFFSET(ORÇAMENTO!$X$15,ROW(AE36)-ROW(AE$15),0),
              ROUND(ROUND(OFFSET($P36,0,AE$13),15-13*ORÇAMENTO!$AF$7)*OFFSET(ORÇAMENTO!$W$15,ROW(AE36)-ROW(AE$15),0),15-13*ORÇAMENTO!$AF$11)),
         0)</f>
        <v>0</v>
      </c>
      <c r="AF36" s="454">
        <f ca="1">IF(AND($D36="Serviço",AF$12&lt;&gt;0,$H36&gt;0,OR(AUTOEVENTO&lt;&gt;"manual",$M36&lt;&gt;$A$15)),
        IF(Import.TipoArredondamento&lt;&gt;"TransfereGOV",
              ROUND(OFFSET($P36,0,AF$13),15-13*ORÇAMENTO!$AF$7)/$H36*OFFSET(ORÇAMENTO!$X$15,ROW(AF36)-ROW(AF$15),0),
              ROUND(ROUND(OFFSET($P36,0,AF$13),15-13*ORÇAMENTO!$AF$7)*OFFSET(ORÇAMENTO!$W$15,ROW(AF36)-ROW(AF$15),0),15-13*ORÇAMENTO!$AF$11)),
         0)</f>
        <v>0</v>
      </c>
      <c r="AG36" s="454">
        <f ca="1">IF(AND($D36="Serviço",AG$12&lt;&gt;0,$H36&gt;0,OR(AUTOEVENTO&lt;&gt;"manual",$M36&lt;&gt;$A$15)),
        IF(Import.TipoArredondamento&lt;&gt;"TransfereGOV",
              ROUND(OFFSET($P36,0,AG$13),15-13*ORÇAMENTO!$AF$7)/$H36*OFFSET(ORÇAMENTO!$X$15,ROW(AG36)-ROW(AG$15),0),
              ROUND(ROUND(OFFSET($P36,0,AG$13),15-13*ORÇAMENTO!$AF$7)*OFFSET(ORÇAMENTO!$W$15,ROW(AG36)-ROW(AG$15),0),15-13*ORÇAMENTO!$AF$11)),
         0)</f>
        <v>0</v>
      </c>
      <c r="AH36" s="454">
        <f ca="1">IF(AND($D36="Serviço",AH$12&lt;&gt;0,$H36&gt;0,OR(AUTOEVENTO&lt;&gt;"manual",$M36&lt;&gt;$A$15)),
        IF(Import.TipoArredondamento&lt;&gt;"TransfereGOV",
              ROUND(OFFSET($P36,0,AH$13),15-13*ORÇAMENTO!$AF$7)/$H36*OFFSET(ORÇAMENTO!$X$15,ROW(AH36)-ROW(AH$15),0),
              ROUND(ROUND(OFFSET($P36,0,AH$13),15-13*ORÇAMENTO!$AF$7)*OFFSET(ORÇAMENTO!$W$15,ROW(AH36)-ROW(AH$15),0),15-13*ORÇAMENTO!$AF$11)),
         0)</f>
        <v>0</v>
      </c>
      <c r="AI36" s="454">
        <f ca="1">IF(AND($D36="Serviço",AI$12&lt;&gt;0,$H36&gt;0,OR(AUTOEVENTO&lt;&gt;"manual",$M36&lt;&gt;$A$15)),
        IF(Import.TipoArredondamento&lt;&gt;"TransfereGOV",
              ROUND(OFFSET($P36,0,AI$13),15-13*ORÇAMENTO!$AF$7)/$H36*OFFSET(ORÇAMENTO!$X$15,ROW(AI36)-ROW(AI$15),0),
              ROUND(ROUND(OFFSET($P36,0,AI$13),15-13*ORÇAMENTO!$AF$7)*OFFSET(ORÇAMENTO!$W$15,ROW(AI36)-ROW(AI$15),0),15-13*ORÇAMENTO!$AF$11)),
         0)</f>
        <v>0</v>
      </c>
      <c r="AJ36" s="454">
        <f ca="1">IF(AND($D36="Serviço",AJ$12&lt;&gt;0,$H36&gt;0,OR(AUTOEVENTO&lt;&gt;"manual",$M36&lt;&gt;$A$15)),
        IF(Import.TipoArredondamento&lt;&gt;"TransfereGOV",
              ROUND(OFFSET($P36,0,AJ$13),15-13*ORÇAMENTO!$AF$7)/$H36*OFFSET(ORÇAMENTO!$X$15,ROW(AJ36)-ROW(AJ$15),0),
              ROUND(ROUND(OFFSET($P36,0,AJ$13),15-13*ORÇAMENTO!$AF$7)*OFFSET(ORÇAMENTO!$W$15,ROW(AJ36)-ROW(AJ$15),0),15-13*ORÇAMENTO!$AF$11)),
         0)</f>
        <v>0</v>
      </c>
      <c r="AK36" s="454">
        <f ca="1">IF(AND($D36="Serviço",AK$12&lt;&gt;0,$H36&gt;0,OR(AUTOEVENTO&lt;&gt;"manual",$M36&lt;&gt;$A$15)),
        IF(Import.TipoArredondamento&lt;&gt;"TransfereGOV",
              ROUND(OFFSET($P36,0,AK$13),15-13*ORÇAMENTO!$AF$7)/$H36*OFFSET(ORÇAMENTO!$X$15,ROW(AK36)-ROW(AK$15),0),
              ROUND(ROUND(OFFSET($P36,0,AK$13),15-13*ORÇAMENTO!$AF$7)*OFFSET(ORÇAMENTO!$W$15,ROW(AK36)-ROW(AK$15),0),15-13*ORÇAMENTO!$AF$11)),
         0)</f>
        <v>0</v>
      </c>
      <c r="AM36" s="172">
        <f ca="1">IF(OR($D36&lt;&gt;"Serviço",AND(AUTOEVENTO="Manual",$M36=$A$15)),0,
         IF(OFFSET(CRONOPLE!$F$15,$M36-$A$15,AM$13)="",10^12,OFFSET(CRONOPLE!$F$15,$M36-$A$15,AM$13)))</f>
        <v>1000000000000</v>
      </c>
      <c r="AN36" s="172">
        <f ca="1">IF(OR($D36&lt;&gt;"Serviço",AND(AUTOEVENTO="Manual",$M36=$A$15)),0,
         IF(OFFSET(CRONOPLE!$F$15,$M36-$A$15,AN$13)="",10^12,OFFSET(CRONOPLE!$F$15,$M36-$A$15,AN$13)))</f>
        <v>1000000000000</v>
      </c>
      <c r="AO36" s="172">
        <f ca="1">IF(OR($D36&lt;&gt;"Serviço",AND(AUTOEVENTO="Manual",$M36=$A$15)),0,
         IF(OFFSET(CRONOPLE!$F$15,$M36-$A$15,AO$13)="",10^12,OFFSET(CRONOPLE!$F$15,$M36-$A$15,AO$13)))</f>
        <v>1000000000000</v>
      </c>
      <c r="AP36" s="172">
        <f ca="1">IF(OR($D36&lt;&gt;"Serviço",AND(AUTOEVENTO="Manual",$M36=$A$15)),0,
         IF(OFFSET(CRONOPLE!$F$15,$M36-$A$15,AP$13)="",10^12,OFFSET(CRONOPLE!$F$15,$M36-$A$15,AP$13)))</f>
        <v>1000000000000</v>
      </c>
      <c r="AQ36" s="172">
        <f ca="1">IF(OR($D36&lt;&gt;"Serviço",AND(AUTOEVENTO="Manual",$M36=$A$15)),0,
         IF(OFFSET(CRONOPLE!$F$15,$M36-$A$15,AQ$13)="",10^12,OFFSET(CRONOPLE!$F$15,$M36-$A$15,AQ$13)))</f>
        <v>1000000000000</v>
      </c>
      <c r="AR36" s="172">
        <f ca="1">IF(OR($D36&lt;&gt;"Serviço",AND(AUTOEVENTO="Manual",$M36=$A$15)),0,
         IF(OFFSET(CRONOPLE!$F$15,$M36-$A$15,AR$13)="",10^12,OFFSET(CRONOPLE!$F$15,$M36-$A$15,AR$13)))</f>
        <v>1000000000000</v>
      </c>
      <c r="AS36" s="172">
        <f ca="1">IF(OR($D36&lt;&gt;"Serviço",AND(AUTOEVENTO="Manual",$M36=$A$15)),0,
         IF(OFFSET(CRONOPLE!$F$15,$M36-$A$15,AS$13)="",10^12,OFFSET(CRONOPLE!$F$15,$M36-$A$15,AS$13)))</f>
        <v>1000000000000</v>
      </c>
      <c r="AT36" s="172">
        <f ca="1">IF(OR($D36&lt;&gt;"Serviço",AND(AUTOEVENTO="Manual",$M36=$A$15)),0,
         IF(OFFSET(CRONOPLE!$F$15,$M36-$A$15,AT$13)="",10^12,OFFSET(CRONOPLE!$F$15,$M36-$A$15,AT$13)))</f>
        <v>1000000000000</v>
      </c>
      <c r="AU36" s="172">
        <f ca="1">IF(OR($D36&lt;&gt;"Serviço",AND(AUTOEVENTO="Manual",$M36=$A$15)),0,
         IF(OFFSET(CRONOPLE!$F$15,$M36-$A$15,AU$13)="",10^12,OFFSET(CRONOPLE!$F$15,$M36-$A$15,AU$13)))</f>
        <v>1000000000000</v>
      </c>
      <c r="AV36" s="172">
        <f ca="1">IF(OR($D36&lt;&gt;"Serviço",AND(AUTOEVENTO="Manual",$M36=$A$15)),0,
         IF(OFFSET(CRONOPLE!$F$15,$M36-$A$15,AV$13)="",10^12,OFFSET(CRONOPLE!$F$15,$M36-$A$15,AV$13)))</f>
        <v>1000000000000</v>
      </c>
      <c r="AX36" s="173">
        <f ca="1">IF(OR($D36&lt;&gt;"Serviço",AND(AUTOEVENTO="Manual",$M36=$A$15),$M36&gt;(ROW(PLE.lastrow)-ROW(PLE.firstrow))),0,
           IF(OFFSET(PLE!$G$15,$M36-$A$15,AX$13)="",10^12,OFFSET(PLE!$G$15,$M36-$A$15,AX$13)))</f>
        <v>1000000000000</v>
      </c>
      <c r="AY36" s="173">
        <f ca="1">IF(OR($D36&lt;&gt;"Serviço",AND(AUTOEVENTO="Manual",$M36=$A$15),$M36&gt;(ROW(PLE.lastrow)-ROW(PLE.firstrow))),0,
           IF(OFFSET(PLE!$G$15,$M36-$A$15,AY$13)="",10^12,OFFSET(PLE!$G$15,$M36-$A$15,AY$13)))</f>
        <v>1000000000000</v>
      </c>
      <c r="AZ36" s="173">
        <f ca="1">IF(OR($D36&lt;&gt;"Serviço",AND(AUTOEVENTO="Manual",$M36=$A$15),$M36&gt;(ROW(PLE.lastrow)-ROW(PLE.firstrow))),0,
           IF(OFFSET(PLE!$G$15,$M36-$A$15,AZ$13)="",10^12,OFFSET(PLE!$G$15,$M36-$A$15,AZ$13)))</f>
        <v>1000000000000</v>
      </c>
      <c r="BA36" s="173">
        <f ca="1">IF(OR($D36&lt;&gt;"Serviço",AND(AUTOEVENTO="Manual",$M36=$A$15),$M36&gt;(ROW(PLE.lastrow)-ROW(PLE.firstrow))),0,
           IF(OFFSET(PLE!$G$15,$M36-$A$15,BA$13)="",10^12,OFFSET(PLE!$G$15,$M36-$A$15,BA$13)))</f>
        <v>1000000000000</v>
      </c>
      <c r="BB36" s="173">
        <f ca="1">IF(OR($D36&lt;&gt;"Serviço",AND(AUTOEVENTO="Manual",$M36=$A$15),$M36&gt;(ROW(PLE.lastrow)-ROW(PLE.firstrow))),0,
           IF(OFFSET(PLE!$G$15,$M36-$A$15,BB$13)="",10^12,OFFSET(PLE!$G$15,$M36-$A$15,BB$13)))</f>
        <v>1000000000000</v>
      </c>
      <c r="BC36" s="173">
        <f ca="1">IF(OR($D36&lt;&gt;"Serviço",AND(AUTOEVENTO="Manual",$M36=$A$15),$M36&gt;(ROW(PLE.lastrow)-ROW(PLE.firstrow))),0,
           IF(OFFSET(PLE!$G$15,$M36-$A$15,BC$13)="",10^12,OFFSET(PLE!$G$15,$M36-$A$15,BC$13)))</f>
        <v>1000000000000</v>
      </c>
      <c r="BD36" s="173">
        <f ca="1">IF(OR($D36&lt;&gt;"Serviço",AND(AUTOEVENTO="Manual",$M36=$A$15),$M36&gt;(ROW(PLE.lastrow)-ROW(PLE.firstrow))),0,
           IF(OFFSET(PLE!$G$15,$M36-$A$15,BD$13)="",10^12,OFFSET(PLE!$G$15,$M36-$A$15,BD$13)))</f>
        <v>1000000000000</v>
      </c>
      <c r="BE36" s="173">
        <f ca="1">IF(OR($D36&lt;&gt;"Serviço",AND(AUTOEVENTO="Manual",$M36=$A$15),$M36&gt;(ROW(PLE.lastrow)-ROW(PLE.firstrow))),0,
           IF(OFFSET(PLE!$G$15,$M36-$A$15,BE$13)="",10^12,OFFSET(PLE!$G$15,$M36-$A$15,BE$13)))</f>
        <v>1000000000000</v>
      </c>
      <c r="BF36" s="173">
        <f ca="1">IF(OR($D36&lt;&gt;"Serviço",AND(AUTOEVENTO="Manual",$M36=$A$15),$M36&gt;(ROW(PLE.lastrow)-ROW(PLE.firstrow))),0,
           IF(OFFSET(PLE!$G$15,$M36-$A$15,BF$13)="",10^12,OFFSET(PLE!$G$15,$M36-$A$15,BF$13)))</f>
        <v>1000000000000</v>
      </c>
      <c r="BG36" s="173">
        <f ca="1">IF(OR($D36&lt;&gt;"Serviço",AND(AUTOEVENTO="Manual",$M36=$A$15),$M36&gt;(ROW(PLE.lastrow)-ROW(PLE.firstrow))),0,
           IF(OFFSET(PLE!$G$15,$M36-$A$15,BG$13)="",10^12,OFFSET(PLE!$G$15,$M36-$A$15,BG$13)))</f>
        <v>1000000000000</v>
      </c>
    </row>
    <row r="37" spans="1:59" ht="12.75" x14ac:dyDescent="0.2">
      <c r="A37" s="7" t="str">
        <f t="shared" ca="1" si="8"/>
        <v>22.</v>
      </c>
      <c r="B37" s="7">
        <f ca="1">OFFSET(ORÇAMENTO!C$15,ROW(B37)-ROW(B$15),0)</f>
        <v>2</v>
      </c>
      <c r="C37" s="7" t="str">
        <f ca="1">OFFSET(ORÇAMENTO!L$15,ROW(C37)-ROW(C$15),0)</f>
        <v>F</v>
      </c>
      <c r="D37" s="117" t="str">
        <f ca="1">OFFSET(ORÇAMENTO!N$15,ROW(D37)-ROW(D$15),0)</f>
        <v>Nível 2</v>
      </c>
      <c r="E37" s="118" t="str">
        <f ca="1">OFFSET(ORÇAMENTO!O$15,ROW(E37)-ROW(E$15),0)</f>
        <v>1.5.</v>
      </c>
      <c r="F37" s="164" t="str">
        <f ca="1">OFFSET(ORÇAMENTO!R$15,ROW(F37)-ROW(F$15),0)</f>
        <v>ESTRUTURA METÁLICA DOS MÓDULOS</v>
      </c>
      <c r="G37" s="165" t="str">
        <f ca="1">IF($D37&lt;&gt;"Serviço","",OFFSET(ORÇAMENTO!S$15,ROW(G37)-ROW(G$15),0))</f>
        <v/>
      </c>
      <c r="H37" s="123">
        <f ca="1">IF($D37&lt;&gt;"Serviço",0,IF(ACOMPANHAMENTO="BM",ROUND(OFFSET(ORÇAMENTO!AJ$15,ROW(H37)-ROW(H$15),0),15-13*ORÇAMENTO!$AF$7),SUMPRODUCT(($Q$1:$AA$1=1)*ROUND($Q37:$AA37,15-13*ORÇAMENTO!$AF$7))))</f>
        <v>0</v>
      </c>
      <c r="I37" s="469"/>
      <c r="J37" s="577" t="str" cm="1">
        <f t="array" aca="1" ref="J37" ca="1">IF(B37&lt;&gt;"S","",IF(AND(ACOMPANHAMENTO="PLE",AUTOEVENTO="Manual",OR(H37&gt;0,ORÇAMENTO!AC37="QUANT."),OR(K37="",M37=0,N37="")),"►",IF(AND(ACOMPANHAMENTO="PLE",ORÇAMENTO!AC37="QUANT."),"►►",IF(AND(COUNTIF($P$11:$AA$11,"▼")=0,H37&gt;0,I37=""),"◄",""))))</f>
        <v/>
      </c>
      <c r="K37" s="626"/>
      <c r="L37" s="166" t="s">
        <v>765</v>
      </c>
      <c r="M37" s="167" t="str">
        <f ca="1">IF($D37&lt;&gt;"Serviço","",
          IF(AUTOEVENTO="manual",$A37,
                IF(ISERROR(MATCH($A37,$A$15:OFFSET($A37,-1,0),0)),MAX($M$15:OFFSET(M37,-1,0))+1,
                      INDEX($M$15:OFFSET(M37,-1,0),MATCH($A37,$A$15:OFFSET($A37,-1,0),0)))))</f>
        <v/>
      </c>
      <c r="N37" s="168" t="str">
        <f ca="1">IF($D37&lt;&gt;"Serviço","",
         IF(AUTOEVENTO="Manual",
                IF($A37=0,"&lt;-- defina o número do agrupador",
                       OFFSET(EVENTOS!$D$15,$A37-$A$15,0)),
                OFFSET($F$15,$A37,0)))</f>
        <v/>
      </c>
      <c r="O37" s="169"/>
      <c r="Q37" s="169"/>
      <c r="R37" s="170"/>
      <c r="S37" s="170"/>
      <c r="T37" s="170"/>
      <c r="U37" s="170"/>
      <c r="V37" s="170"/>
      <c r="W37" s="170"/>
      <c r="X37" s="170"/>
      <c r="Y37" s="170"/>
      <c r="Z37" s="171"/>
      <c r="AB37" s="454">
        <f ca="1">IF(AND($D37="Serviço",AB$12&lt;&gt;0,$H37&gt;0,OR(AUTOEVENTO&lt;&gt;"manual",$M37&lt;&gt;$A$15)),
        IF(Import.TipoArredondamento&lt;&gt;"TransfereGOV",
              ROUND(OFFSET($P37,0,AB$13),15-13*ORÇAMENTO!$AF$7)/$H37*OFFSET(ORÇAMENTO!$X$15,ROW(AB37)-ROW(AB$15),0),
              ROUND(ROUND(OFFSET($P37,0,AB$13),15-13*ORÇAMENTO!$AF$7)*OFFSET(ORÇAMENTO!$W$15,ROW(AB37)-ROW(AB$15),0),15-13*ORÇAMENTO!$AF$11)),
         0)</f>
        <v>0</v>
      </c>
      <c r="AC37" s="454">
        <f ca="1">IF(AND($D37="Serviço",AC$12&lt;&gt;0,$H37&gt;0,OR(AUTOEVENTO&lt;&gt;"manual",$M37&lt;&gt;$A$15)),
        IF(Import.TipoArredondamento&lt;&gt;"TransfereGOV",
              ROUND(OFFSET($P37,0,AC$13),15-13*ORÇAMENTO!$AF$7)/$H37*OFFSET(ORÇAMENTO!$X$15,ROW(AC37)-ROW(AC$15),0),
              ROUND(ROUND(OFFSET($P37,0,AC$13),15-13*ORÇAMENTO!$AF$7)*OFFSET(ORÇAMENTO!$W$15,ROW(AC37)-ROW(AC$15),0),15-13*ORÇAMENTO!$AF$11)),
         0)</f>
        <v>0</v>
      </c>
      <c r="AD37" s="454">
        <f ca="1">IF(AND($D37="Serviço",AD$12&lt;&gt;0,$H37&gt;0,OR(AUTOEVENTO&lt;&gt;"manual",$M37&lt;&gt;$A$15)),
        IF(Import.TipoArredondamento&lt;&gt;"TransfereGOV",
              ROUND(OFFSET($P37,0,AD$13),15-13*ORÇAMENTO!$AF$7)/$H37*OFFSET(ORÇAMENTO!$X$15,ROW(AD37)-ROW(AD$15),0),
              ROUND(ROUND(OFFSET($P37,0,AD$13),15-13*ORÇAMENTO!$AF$7)*OFFSET(ORÇAMENTO!$W$15,ROW(AD37)-ROW(AD$15),0),15-13*ORÇAMENTO!$AF$11)),
         0)</f>
        <v>0</v>
      </c>
      <c r="AE37" s="454">
        <f ca="1">IF(AND($D37="Serviço",AE$12&lt;&gt;0,$H37&gt;0,OR(AUTOEVENTO&lt;&gt;"manual",$M37&lt;&gt;$A$15)),
        IF(Import.TipoArredondamento&lt;&gt;"TransfereGOV",
              ROUND(OFFSET($P37,0,AE$13),15-13*ORÇAMENTO!$AF$7)/$H37*OFFSET(ORÇAMENTO!$X$15,ROW(AE37)-ROW(AE$15),0),
              ROUND(ROUND(OFFSET($P37,0,AE$13),15-13*ORÇAMENTO!$AF$7)*OFFSET(ORÇAMENTO!$W$15,ROW(AE37)-ROW(AE$15),0),15-13*ORÇAMENTO!$AF$11)),
         0)</f>
        <v>0</v>
      </c>
      <c r="AF37" s="454">
        <f ca="1">IF(AND($D37="Serviço",AF$12&lt;&gt;0,$H37&gt;0,OR(AUTOEVENTO&lt;&gt;"manual",$M37&lt;&gt;$A$15)),
        IF(Import.TipoArredondamento&lt;&gt;"TransfereGOV",
              ROUND(OFFSET($P37,0,AF$13),15-13*ORÇAMENTO!$AF$7)/$H37*OFFSET(ORÇAMENTO!$X$15,ROW(AF37)-ROW(AF$15),0),
              ROUND(ROUND(OFFSET($P37,0,AF$13),15-13*ORÇAMENTO!$AF$7)*OFFSET(ORÇAMENTO!$W$15,ROW(AF37)-ROW(AF$15),0),15-13*ORÇAMENTO!$AF$11)),
         0)</f>
        <v>0</v>
      </c>
      <c r="AG37" s="454">
        <f ca="1">IF(AND($D37="Serviço",AG$12&lt;&gt;0,$H37&gt;0,OR(AUTOEVENTO&lt;&gt;"manual",$M37&lt;&gt;$A$15)),
        IF(Import.TipoArredondamento&lt;&gt;"TransfereGOV",
              ROUND(OFFSET($P37,0,AG$13),15-13*ORÇAMENTO!$AF$7)/$H37*OFFSET(ORÇAMENTO!$X$15,ROW(AG37)-ROW(AG$15),0),
              ROUND(ROUND(OFFSET($P37,0,AG$13),15-13*ORÇAMENTO!$AF$7)*OFFSET(ORÇAMENTO!$W$15,ROW(AG37)-ROW(AG$15),0),15-13*ORÇAMENTO!$AF$11)),
         0)</f>
        <v>0</v>
      </c>
      <c r="AH37" s="454">
        <f ca="1">IF(AND($D37="Serviço",AH$12&lt;&gt;0,$H37&gt;0,OR(AUTOEVENTO&lt;&gt;"manual",$M37&lt;&gt;$A$15)),
        IF(Import.TipoArredondamento&lt;&gt;"TransfereGOV",
              ROUND(OFFSET($P37,0,AH$13),15-13*ORÇAMENTO!$AF$7)/$H37*OFFSET(ORÇAMENTO!$X$15,ROW(AH37)-ROW(AH$15),0),
              ROUND(ROUND(OFFSET($P37,0,AH$13),15-13*ORÇAMENTO!$AF$7)*OFFSET(ORÇAMENTO!$W$15,ROW(AH37)-ROW(AH$15),0),15-13*ORÇAMENTO!$AF$11)),
         0)</f>
        <v>0</v>
      </c>
      <c r="AI37" s="454">
        <f ca="1">IF(AND($D37="Serviço",AI$12&lt;&gt;0,$H37&gt;0,OR(AUTOEVENTO&lt;&gt;"manual",$M37&lt;&gt;$A$15)),
        IF(Import.TipoArredondamento&lt;&gt;"TransfereGOV",
              ROUND(OFFSET($P37,0,AI$13),15-13*ORÇAMENTO!$AF$7)/$H37*OFFSET(ORÇAMENTO!$X$15,ROW(AI37)-ROW(AI$15),0),
              ROUND(ROUND(OFFSET($P37,0,AI$13),15-13*ORÇAMENTO!$AF$7)*OFFSET(ORÇAMENTO!$W$15,ROW(AI37)-ROW(AI$15),0),15-13*ORÇAMENTO!$AF$11)),
         0)</f>
        <v>0</v>
      </c>
      <c r="AJ37" s="454">
        <f ca="1">IF(AND($D37="Serviço",AJ$12&lt;&gt;0,$H37&gt;0,OR(AUTOEVENTO&lt;&gt;"manual",$M37&lt;&gt;$A$15)),
        IF(Import.TipoArredondamento&lt;&gt;"TransfereGOV",
              ROUND(OFFSET($P37,0,AJ$13),15-13*ORÇAMENTO!$AF$7)/$H37*OFFSET(ORÇAMENTO!$X$15,ROW(AJ37)-ROW(AJ$15),0),
              ROUND(ROUND(OFFSET($P37,0,AJ$13),15-13*ORÇAMENTO!$AF$7)*OFFSET(ORÇAMENTO!$W$15,ROW(AJ37)-ROW(AJ$15),0),15-13*ORÇAMENTO!$AF$11)),
         0)</f>
        <v>0</v>
      </c>
      <c r="AK37" s="454">
        <f ca="1">IF(AND($D37="Serviço",AK$12&lt;&gt;0,$H37&gt;0,OR(AUTOEVENTO&lt;&gt;"manual",$M37&lt;&gt;$A$15)),
        IF(Import.TipoArredondamento&lt;&gt;"TransfereGOV",
              ROUND(OFFSET($P37,0,AK$13),15-13*ORÇAMENTO!$AF$7)/$H37*OFFSET(ORÇAMENTO!$X$15,ROW(AK37)-ROW(AK$15),0),
              ROUND(ROUND(OFFSET($P37,0,AK$13),15-13*ORÇAMENTO!$AF$7)*OFFSET(ORÇAMENTO!$W$15,ROW(AK37)-ROW(AK$15),0),15-13*ORÇAMENTO!$AF$11)),
         0)</f>
        <v>0</v>
      </c>
      <c r="AM37" s="172">
        <f ca="1">IF(OR($D37&lt;&gt;"Serviço",AND(AUTOEVENTO="Manual",$M37=$A$15)),0,
         IF(OFFSET(CRONOPLE!$F$15,$M37-$A$15,AM$13)="",10^12,OFFSET(CRONOPLE!$F$15,$M37-$A$15,AM$13)))</f>
        <v>0</v>
      </c>
      <c r="AN37" s="172">
        <f ca="1">IF(OR($D37&lt;&gt;"Serviço",AND(AUTOEVENTO="Manual",$M37=$A$15)),0,
         IF(OFFSET(CRONOPLE!$F$15,$M37-$A$15,AN$13)="",10^12,OFFSET(CRONOPLE!$F$15,$M37-$A$15,AN$13)))</f>
        <v>0</v>
      </c>
      <c r="AO37" s="172">
        <f ca="1">IF(OR($D37&lt;&gt;"Serviço",AND(AUTOEVENTO="Manual",$M37=$A$15)),0,
         IF(OFFSET(CRONOPLE!$F$15,$M37-$A$15,AO$13)="",10^12,OFFSET(CRONOPLE!$F$15,$M37-$A$15,AO$13)))</f>
        <v>0</v>
      </c>
      <c r="AP37" s="172">
        <f ca="1">IF(OR($D37&lt;&gt;"Serviço",AND(AUTOEVENTO="Manual",$M37=$A$15)),0,
         IF(OFFSET(CRONOPLE!$F$15,$M37-$A$15,AP$13)="",10^12,OFFSET(CRONOPLE!$F$15,$M37-$A$15,AP$13)))</f>
        <v>0</v>
      </c>
      <c r="AQ37" s="172">
        <f ca="1">IF(OR($D37&lt;&gt;"Serviço",AND(AUTOEVENTO="Manual",$M37=$A$15)),0,
         IF(OFFSET(CRONOPLE!$F$15,$M37-$A$15,AQ$13)="",10^12,OFFSET(CRONOPLE!$F$15,$M37-$A$15,AQ$13)))</f>
        <v>0</v>
      </c>
      <c r="AR37" s="172">
        <f ca="1">IF(OR($D37&lt;&gt;"Serviço",AND(AUTOEVENTO="Manual",$M37=$A$15)),0,
         IF(OFFSET(CRONOPLE!$F$15,$M37-$A$15,AR$13)="",10^12,OFFSET(CRONOPLE!$F$15,$M37-$A$15,AR$13)))</f>
        <v>0</v>
      </c>
      <c r="AS37" s="172">
        <f ca="1">IF(OR($D37&lt;&gt;"Serviço",AND(AUTOEVENTO="Manual",$M37=$A$15)),0,
         IF(OFFSET(CRONOPLE!$F$15,$M37-$A$15,AS$13)="",10^12,OFFSET(CRONOPLE!$F$15,$M37-$A$15,AS$13)))</f>
        <v>0</v>
      </c>
      <c r="AT37" s="172">
        <f ca="1">IF(OR($D37&lt;&gt;"Serviço",AND(AUTOEVENTO="Manual",$M37=$A$15)),0,
         IF(OFFSET(CRONOPLE!$F$15,$M37-$A$15,AT$13)="",10^12,OFFSET(CRONOPLE!$F$15,$M37-$A$15,AT$13)))</f>
        <v>0</v>
      </c>
      <c r="AU37" s="172">
        <f ca="1">IF(OR($D37&lt;&gt;"Serviço",AND(AUTOEVENTO="Manual",$M37=$A$15)),0,
         IF(OFFSET(CRONOPLE!$F$15,$M37-$A$15,AU$13)="",10^12,OFFSET(CRONOPLE!$F$15,$M37-$A$15,AU$13)))</f>
        <v>0</v>
      </c>
      <c r="AV37" s="172">
        <f ca="1">IF(OR($D37&lt;&gt;"Serviço",AND(AUTOEVENTO="Manual",$M37=$A$15)),0,
         IF(OFFSET(CRONOPLE!$F$15,$M37-$A$15,AV$13)="",10^12,OFFSET(CRONOPLE!$F$15,$M37-$A$15,AV$13)))</f>
        <v>0</v>
      </c>
      <c r="AX37" s="173">
        <f ca="1">IF(OR($D37&lt;&gt;"Serviço",AND(AUTOEVENTO="Manual",$M37=$A$15),$M37&gt;(ROW(PLE.lastrow)-ROW(PLE.firstrow))),0,
           IF(OFFSET(PLE!$G$15,$M37-$A$15,AX$13)="",10^12,OFFSET(PLE!$G$15,$M37-$A$15,AX$13)))</f>
        <v>0</v>
      </c>
      <c r="AY37" s="173">
        <f ca="1">IF(OR($D37&lt;&gt;"Serviço",AND(AUTOEVENTO="Manual",$M37=$A$15),$M37&gt;(ROW(PLE.lastrow)-ROW(PLE.firstrow))),0,
           IF(OFFSET(PLE!$G$15,$M37-$A$15,AY$13)="",10^12,OFFSET(PLE!$G$15,$M37-$A$15,AY$13)))</f>
        <v>0</v>
      </c>
      <c r="AZ37" s="173">
        <f ca="1">IF(OR($D37&lt;&gt;"Serviço",AND(AUTOEVENTO="Manual",$M37=$A$15),$M37&gt;(ROW(PLE.lastrow)-ROW(PLE.firstrow))),0,
           IF(OFFSET(PLE!$G$15,$M37-$A$15,AZ$13)="",10^12,OFFSET(PLE!$G$15,$M37-$A$15,AZ$13)))</f>
        <v>0</v>
      </c>
      <c r="BA37" s="173">
        <f ca="1">IF(OR($D37&lt;&gt;"Serviço",AND(AUTOEVENTO="Manual",$M37=$A$15),$M37&gt;(ROW(PLE.lastrow)-ROW(PLE.firstrow))),0,
           IF(OFFSET(PLE!$G$15,$M37-$A$15,BA$13)="",10^12,OFFSET(PLE!$G$15,$M37-$A$15,BA$13)))</f>
        <v>0</v>
      </c>
      <c r="BB37" s="173">
        <f ca="1">IF(OR($D37&lt;&gt;"Serviço",AND(AUTOEVENTO="Manual",$M37=$A$15),$M37&gt;(ROW(PLE.lastrow)-ROW(PLE.firstrow))),0,
           IF(OFFSET(PLE!$G$15,$M37-$A$15,BB$13)="",10^12,OFFSET(PLE!$G$15,$M37-$A$15,BB$13)))</f>
        <v>0</v>
      </c>
      <c r="BC37" s="173">
        <f ca="1">IF(OR($D37&lt;&gt;"Serviço",AND(AUTOEVENTO="Manual",$M37=$A$15),$M37&gt;(ROW(PLE.lastrow)-ROW(PLE.firstrow))),0,
           IF(OFFSET(PLE!$G$15,$M37-$A$15,BC$13)="",10^12,OFFSET(PLE!$G$15,$M37-$A$15,BC$13)))</f>
        <v>0</v>
      </c>
      <c r="BD37" s="173">
        <f ca="1">IF(OR($D37&lt;&gt;"Serviço",AND(AUTOEVENTO="Manual",$M37=$A$15),$M37&gt;(ROW(PLE.lastrow)-ROW(PLE.firstrow))),0,
           IF(OFFSET(PLE!$G$15,$M37-$A$15,BD$13)="",10^12,OFFSET(PLE!$G$15,$M37-$A$15,BD$13)))</f>
        <v>0</v>
      </c>
      <c r="BE37" s="173">
        <f ca="1">IF(OR($D37&lt;&gt;"Serviço",AND(AUTOEVENTO="Manual",$M37=$A$15),$M37&gt;(ROW(PLE.lastrow)-ROW(PLE.firstrow))),0,
           IF(OFFSET(PLE!$G$15,$M37-$A$15,BE$13)="",10^12,OFFSET(PLE!$G$15,$M37-$A$15,BE$13)))</f>
        <v>0</v>
      </c>
      <c r="BF37" s="173">
        <f ca="1">IF(OR($D37&lt;&gt;"Serviço",AND(AUTOEVENTO="Manual",$M37=$A$15),$M37&gt;(ROW(PLE.lastrow)-ROW(PLE.firstrow))),0,
           IF(OFFSET(PLE!$G$15,$M37-$A$15,BF$13)="",10^12,OFFSET(PLE!$G$15,$M37-$A$15,BF$13)))</f>
        <v>0</v>
      </c>
      <c r="BG37" s="173">
        <f ca="1">IF(OR($D37&lt;&gt;"Serviço",AND(AUTOEVENTO="Manual",$M37=$A$15),$M37&gt;(ROW(PLE.lastrow)-ROW(PLE.firstrow))),0,
           IF(OFFSET(PLE!$G$15,$M37-$A$15,BG$13)="",10^12,OFFSET(PLE!$G$15,$M37-$A$15,BG$13)))</f>
        <v>0</v>
      </c>
    </row>
    <row r="38" spans="1:59" ht="51" x14ac:dyDescent="0.2">
      <c r="A38" s="7" t="str">
        <f t="shared" ca="1" si="8"/>
        <v>22</v>
      </c>
      <c r="B38" s="7" t="str">
        <f ca="1">OFFSET(ORÇAMENTO!C$15,ROW(B38)-ROW(B$15),0)</f>
        <v>S</v>
      </c>
      <c r="C38" s="7" t="str">
        <f ca="1">OFFSET(ORÇAMENTO!L$15,ROW(C38)-ROW(C$15),0)</f>
        <v/>
      </c>
      <c r="D38" s="117" t="str">
        <f ca="1">OFFSET(ORÇAMENTO!N$15,ROW(D38)-ROW(D$15),0)</f>
        <v>Serviço</v>
      </c>
      <c r="E38" s="118" t="str">
        <f ca="1">OFFSET(ORÇAMENTO!O$15,ROW(E38)-ROW(E$15),0)</f>
        <v>-</v>
      </c>
      <c r="F38" s="164" t="str">
        <f ca="1">OFFSET(ORÇAMENTO!R$15,ROW(F38)-ROW(F$15),0)</f>
        <v>VIGA METÁLICA EM PERFIL LAMINADO OU SOLDADO EM AÇO ESTRUTURAL, COM CONEXÕES SOLDADAS, INCLUSOS MÃO DE OBRA, TRANSPORTE E IÇAMENTO UTILIZANDO GUINDASTE - FORNECIMENTO E INSTALAÇÃO. AF_01/2020_PA</v>
      </c>
      <c r="G38" s="165" t="str">
        <f ca="1">IF($D38&lt;&gt;"Serviço","",OFFSET(ORÇAMENTO!S$15,ROW(G38)-ROW(G$15),0))</f>
        <v>KG</v>
      </c>
      <c r="H38" s="123">
        <f ca="1">IF($D38&lt;&gt;"Serviço",0,IF(ACOMPANHAMENTO="BM",ROUND(OFFSET(ORÇAMENTO!AJ$15,ROW(H38)-ROW(H$15),0),15-13*ORÇAMENTO!$AF$7),SUMPRODUCT(($Q$1:$AA$1=1)*ROUND($Q38:$AA38,15-13*ORÇAMENTO!$AF$7))))</f>
        <v>38082</v>
      </c>
      <c r="I38" s="469"/>
      <c r="J38" s="577" t="str" cm="1">
        <f t="array" aca="1" ref="J38" ca="1">IF(B38&lt;&gt;"S","",IF(AND(ACOMPANHAMENTO="PLE",AUTOEVENTO="Manual",OR(H38&gt;0,ORÇAMENTO!AC38="QUANT."),OR(K38="",M38=0,N38="")),"►",IF(AND(ACOMPANHAMENTO="PLE",ORÇAMENTO!AC38="QUANT."),"►►",IF(AND(COUNTIF($P$11:$AA$11,"▼")=0,H38&gt;0,I38=""),"◄",""))))</f>
        <v>◄</v>
      </c>
      <c r="K38" s="626"/>
      <c r="L38" s="166" t="s">
        <v>765</v>
      </c>
      <c r="M38" s="167">
        <f ca="1">IF($D38&lt;&gt;"Serviço","",
          IF(AUTOEVENTO="manual",$A38,
                IF(ISERROR(MATCH($A38,$A$15:OFFSET($A38,-1,0),0)),MAX($M$15:OFFSET(M38,-1,0))+1,
                      INDEX($M$15:OFFSET(M38,-1,0),MATCH($A38,$A$15:OFFSET($A38,-1,0),0)))))</f>
        <v>5</v>
      </c>
      <c r="N38" s="168" t="str">
        <f ca="1">IF($D38&lt;&gt;"Serviço","",
         IF(AUTOEVENTO="Manual",
                IF($A38=0,"&lt;-- defina o número do agrupador",
                       OFFSET(EVENTOS!$D$15,$A38-$A$15,0)),
                OFFSET($F$15,$A38,0)))</f>
        <v>ESTRUTURA METÁLICA DOS MÓDULOS</v>
      </c>
      <c r="O38" s="169"/>
      <c r="Q38" s="169"/>
      <c r="R38" s="170"/>
      <c r="S38" s="170"/>
      <c r="T38" s="170"/>
      <c r="U38" s="170"/>
      <c r="V38" s="170"/>
      <c r="W38" s="170"/>
      <c r="X38" s="170"/>
      <c r="Y38" s="170"/>
      <c r="Z38" s="171"/>
      <c r="AB38" s="454">
        <f ca="1">IF(AND($D38="Serviço",AB$12&lt;&gt;0,$H38&gt;0,OR(AUTOEVENTO&lt;&gt;"manual",$M38&lt;&gt;$A$15)),
        IF(Import.TipoArredondamento&lt;&gt;"TransfereGOV",
              ROUND(OFFSET($P38,0,AB$13),15-13*ORÇAMENTO!$AF$7)/$H38*OFFSET(ORÇAMENTO!$X$15,ROW(AB38)-ROW(AB$15),0),
              ROUND(ROUND(OFFSET($P38,0,AB$13),15-13*ORÇAMENTO!$AF$7)*OFFSET(ORÇAMENTO!$W$15,ROW(AB38)-ROW(AB$15),0),15-13*ORÇAMENTO!$AF$11)),
         0)</f>
        <v>0</v>
      </c>
      <c r="AC38" s="454">
        <f ca="1">IF(AND($D38="Serviço",AC$12&lt;&gt;0,$H38&gt;0,OR(AUTOEVENTO&lt;&gt;"manual",$M38&lt;&gt;$A$15)),
        IF(Import.TipoArredondamento&lt;&gt;"TransfereGOV",
              ROUND(OFFSET($P38,0,AC$13),15-13*ORÇAMENTO!$AF$7)/$H38*OFFSET(ORÇAMENTO!$X$15,ROW(AC38)-ROW(AC$15),0),
              ROUND(ROUND(OFFSET($P38,0,AC$13),15-13*ORÇAMENTO!$AF$7)*OFFSET(ORÇAMENTO!$W$15,ROW(AC38)-ROW(AC$15),0),15-13*ORÇAMENTO!$AF$11)),
         0)</f>
        <v>0</v>
      </c>
      <c r="AD38" s="454">
        <f ca="1">IF(AND($D38="Serviço",AD$12&lt;&gt;0,$H38&gt;0,OR(AUTOEVENTO&lt;&gt;"manual",$M38&lt;&gt;$A$15)),
        IF(Import.TipoArredondamento&lt;&gt;"TransfereGOV",
              ROUND(OFFSET($P38,0,AD$13),15-13*ORÇAMENTO!$AF$7)/$H38*OFFSET(ORÇAMENTO!$X$15,ROW(AD38)-ROW(AD$15),0),
              ROUND(ROUND(OFFSET($P38,0,AD$13),15-13*ORÇAMENTO!$AF$7)*OFFSET(ORÇAMENTO!$W$15,ROW(AD38)-ROW(AD$15),0),15-13*ORÇAMENTO!$AF$11)),
         0)</f>
        <v>0</v>
      </c>
      <c r="AE38" s="454">
        <f ca="1">IF(AND($D38="Serviço",AE$12&lt;&gt;0,$H38&gt;0,OR(AUTOEVENTO&lt;&gt;"manual",$M38&lt;&gt;$A$15)),
        IF(Import.TipoArredondamento&lt;&gt;"TransfereGOV",
              ROUND(OFFSET($P38,0,AE$13),15-13*ORÇAMENTO!$AF$7)/$H38*OFFSET(ORÇAMENTO!$X$15,ROW(AE38)-ROW(AE$15),0),
              ROUND(ROUND(OFFSET($P38,0,AE$13),15-13*ORÇAMENTO!$AF$7)*OFFSET(ORÇAMENTO!$W$15,ROW(AE38)-ROW(AE$15),0),15-13*ORÇAMENTO!$AF$11)),
         0)</f>
        <v>0</v>
      </c>
      <c r="AF38" s="454">
        <f ca="1">IF(AND($D38="Serviço",AF$12&lt;&gt;0,$H38&gt;0,OR(AUTOEVENTO&lt;&gt;"manual",$M38&lt;&gt;$A$15)),
        IF(Import.TipoArredondamento&lt;&gt;"TransfereGOV",
              ROUND(OFFSET($P38,0,AF$13),15-13*ORÇAMENTO!$AF$7)/$H38*OFFSET(ORÇAMENTO!$X$15,ROW(AF38)-ROW(AF$15),0),
              ROUND(ROUND(OFFSET($P38,0,AF$13),15-13*ORÇAMENTO!$AF$7)*OFFSET(ORÇAMENTO!$W$15,ROW(AF38)-ROW(AF$15),0),15-13*ORÇAMENTO!$AF$11)),
         0)</f>
        <v>0</v>
      </c>
      <c r="AG38" s="454">
        <f ca="1">IF(AND($D38="Serviço",AG$12&lt;&gt;0,$H38&gt;0,OR(AUTOEVENTO&lt;&gt;"manual",$M38&lt;&gt;$A$15)),
        IF(Import.TipoArredondamento&lt;&gt;"TransfereGOV",
              ROUND(OFFSET($P38,0,AG$13),15-13*ORÇAMENTO!$AF$7)/$H38*OFFSET(ORÇAMENTO!$X$15,ROW(AG38)-ROW(AG$15),0),
              ROUND(ROUND(OFFSET($P38,0,AG$13),15-13*ORÇAMENTO!$AF$7)*OFFSET(ORÇAMENTO!$W$15,ROW(AG38)-ROW(AG$15),0),15-13*ORÇAMENTO!$AF$11)),
         0)</f>
        <v>0</v>
      </c>
      <c r="AH38" s="454">
        <f ca="1">IF(AND($D38="Serviço",AH$12&lt;&gt;0,$H38&gt;0,OR(AUTOEVENTO&lt;&gt;"manual",$M38&lt;&gt;$A$15)),
        IF(Import.TipoArredondamento&lt;&gt;"TransfereGOV",
              ROUND(OFFSET($P38,0,AH$13),15-13*ORÇAMENTO!$AF$7)/$H38*OFFSET(ORÇAMENTO!$X$15,ROW(AH38)-ROW(AH$15),0),
              ROUND(ROUND(OFFSET($P38,0,AH$13),15-13*ORÇAMENTO!$AF$7)*OFFSET(ORÇAMENTO!$W$15,ROW(AH38)-ROW(AH$15),0),15-13*ORÇAMENTO!$AF$11)),
         0)</f>
        <v>0</v>
      </c>
      <c r="AI38" s="454">
        <f ca="1">IF(AND($D38="Serviço",AI$12&lt;&gt;0,$H38&gt;0,OR(AUTOEVENTO&lt;&gt;"manual",$M38&lt;&gt;$A$15)),
        IF(Import.TipoArredondamento&lt;&gt;"TransfereGOV",
              ROUND(OFFSET($P38,0,AI$13),15-13*ORÇAMENTO!$AF$7)/$H38*OFFSET(ORÇAMENTO!$X$15,ROW(AI38)-ROW(AI$15),0),
              ROUND(ROUND(OFFSET($P38,0,AI$13),15-13*ORÇAMENTO!$AF$7)*OFFSET(ORÇAMENTO!$W$15,ROW(AI38)-ROW(AI$15),0),15-13*ORÇAMENTO!$AF$11)),
         0)</f>
        <v>0</v>
      </c>
      <c r="AJ38" s="454">
        <f ca="1">IF(AND($D38="Serviço",AJ$12&lt;&gt;0,$H38&gt;0,OR(AUTOEVENTO&lt;&gt;"manual",$M38&lt;&gt;$A$15)),
        IF(Import.TipoArredondamento&lt;&gt;"TransfereGOV",
              ROUND(OFFSET($P38,0,AJ$13),15-13*ORÇAMENTO!$AF$7)/$H38*OFFSET(ORÇAMENTO!$X$15,ROW(AJ38)-ROW(AJ$15),0),
              ROUND(ROUND(OFFSET($P38,0,AJ$13),15-13*ORÇAMENTO!$AF$7)*OFFSET(ORÇAMENTO!$W$15,ROW(AJ38)-ROW(AJ$15),0),15-13*ORÇAMENTO!$AF$11)),
         0)</f>
        <v>0</v>
      </c>
      <c r="AK38" s="454">
        <f ca="1">IF(AND($D38="Serviço",AK$12&lt;&gt;0,$H38&gt;0,OR(AUTOEVENTO&lt;&gt;"manual",$M38&lt;&gt;$A$15)),
        IF(Import.TipoArredondamento&lt;&gt;"TransfereGOV",
              ROUND(OFFSET($P38,0,AK$13),15-13*ORÇAMENTO!$AF$7)/$H38*OFFSET(ORÇAMENTO!$X$15,ROW(AK38)-ROW(AK$15),0),
              ROUND(ROUND(OFFSET($P38,0,AK$13),15-13*ORÇAMENTO!$AF$7)*OFFSET(ORÇAMENTO!$W$15,ROW(AK38)-ROW(AK$15),0),15-13*ORÇAMENTO!$AF$11)),
         0)</f>
        <v>0</v>
      </c>
      <c r="AM38" s="172">
        <f ca="1">IF(OR($D38&lt;&gt;"Serviço",AND(AUTOEVENTO="Manual",$M38=$A$15)),0,
         IF(OFFSET(CRONOPLE!$F$15,$M38-$A$15,AM$13)="",10^12,OFFSET(CRONOPLE!$F$15,$M38-$A$15,AM$13)))</f>
        <v>1000000000000</v>
      </c>
      <c r="AN38" s="172">
        <f ca="1">IF(OR($D38&lt;&gt;"Serviço",AND(AUTOEVENTO="Manual",$M38=$A$15)),0,
         IF(OFFSET(CRONOPLE!$F$15,$M38-$A$15,AN$13)="",10^12,OFFSET(CRONOPLE!$F$15,$M38-$A$15,AN$13)))</f>
        <v>1000000000000</v>
      </c>
      <c r="AO38" s="172">
        <f ca="1">IF(OR($D38&lt;&gt;"Serviço",AND(AUTOEVENTO="Manual",$M38=$A$15)),0,
         IF(OFFSET(CRONOPLE!$F$15,$M38-$A$15,AO$13)="",10^12,OFFSET(CRONOPLE!$F$15,$M38-$A$15,AO$13)))</f>
        <v>1000000000000</v>
      </c>
      <c r="AP38" s="172">
        <f ca="1">IF(OR($D38&lt;&gt;"Serviço",AND(AUTOEVENTO="Manual",$M38=$A$15)),0,
         IF(OFFSET(CRONOPLE!$F$15,$M38-$A$15,AP$13)="",10^12,OFFSET(CRONOPLE!$F$15,$M38-$A$15,AP$13)))</f>
        <v>1000000000000</v>
      </c>
      <c r="AQ38" s="172">
        <f ca="1">IF(OR($D38&lt;&gt;"Serviço",AND(AUTOEVENTO="Manual",$M38=$A$15)),0,
         IF(OFFSET(CRONOPLE!$F$15,$M38-$A$15,AQ$13)="",10^12,OFFSET(CRONOPLE!$F$15,$M38-$A$15,AQ$13)))</f>
        <v>1000000000000</v>
      </c>
      <c r="AR38" s="172">
        <f ca="1">IF(OR($D38&lt;&gt;"Serviço",AND(AUTOEVENTO="Manual",$M38=$A$15)),0,
         IF(OFFSET(CRONOPLE!$F$15,$M38-$A$15,AR$13)="",10^12,OFFSET(CRONOPLE!$F$15,$M38-$A$15,AR$13)))</f>
        <v>1000000000000</v>
      </c>
      <c r="AS38" s="172">
        <f ca="1">IF(OR($D38&lt;&gt;"Serviço",AND(AUTOEVENTO="Manual",$M38=$A$15)),0,
         IF(OFFSET(CRONOPLE!$F$15,$M38-$A$15,AS$13)="",10^12,OFFSET(CRONOPLE!$F$15,$M38-$A$15,AS$13)))</f>
        <v>1000000000000</v>
      </c>
      <c r="AT38" s="172">
        <f ca="1">IF(OR($D38&lt;&gt;"Serviço",AND(AUTOEVENTO="Manual",$M38=$A$15)),0,
         IF(OFFSET(CRONOPLE!$F$15,$M38-$A$15,AT$13)="",10^12,OFFSET(CRONOPLE!$F$15,$M38-$A$15,AT$13)))</f>
        <v>1000000000000</v>
      </c>
      <c r="AU38" s="172">
        <f ca="1">IF(OR($D38&lt;&gt;"Serviço",AND(AUTOEVENTO="Manual",$M38=$A$15)),0,
         IF(OFFSET(CRONOPLE!$F$15,$M38-$A$15,AU$13)="",10^12,OFFSET(CRONOPLE!$F$15,$M38-$A$15,AU$13)))</f>
        <v>1000000000000</v>
      </c>
      <c r="AV38" s="172">
        <f ca="1">IF(OR($D38&lt;&gt;"Serviço",AND(AUTOEVENTO="Manual",$M38=$A$15)),0,
         IF(OFFSET(CRONOPLE!$F$15,$M38-$A$15,AV$13)="",10^12,OFFSET(CRONOPLE!$F$15,$M38-$A$15,AV$13)))</f>
        <v>1000000000000</v>
      </c>
      <c r="AX38" s="173">
        <f ca="1">IF(OR($D38&lt;&gt;"Serviço",AND(AUTOEVENTO="Manual",$M38=$A$15),$M38&gt;(ROW(PLE.lastrow)-ROW(PLE.firstrow))),0,
           IF(OFFSET(PLE!$G$15,$M38-$A$15,AX$13)="",10^12,OFFSET(PLE!$G$15,$M38-$A$15,AX$13)))</f>
        <v>1000000000000</v>
      </c>
      <c r="AY38" s="173">
        <f ca="1">IF(OR($D38&lt;&gt;"Serviço",AND(AUTOEVENTO="Manual",$M38=$A$15),$M38&gt;(ROW(PLE.lastrow)-ROW(PLE.firstrow))),0,
           IF(OFFSET(PLE!$G$15,$M38-$A$15,AY$13)="",10^12,OFFSET(PLE!$G$15,$M38-$A$15,AY$13)))</f>
        <v>1000000000000</v>
      </c>
      <c r="AZ38" s="173">
        <f ca="1">IF(OR($D38&lt;&gt;"Serviço",AND(AUTOEVENTO="Manual",$M38=$A$15),$M38&gt;(ROW(PLE.lastrow)-ROW(PLE.firstrow))),0,
           IF(OFFSET(PLE!$G$15,$M38-$A$15,AZ$13)="",10^12,OFFSET(PLE!$G$15,$M38-$A$15,AZ$13)))</f>
        <v>1000000000000</v>
      </c>
      <c r="BA38" s="173">
        <f ca="1">IF(OR($D38&lt;&gt;"Serviço",AND(AUTOEVENTO="Manual",$M38=$A$15),$M38&gt;(ROW(PLE.lastrow)-ROW(PLE.firstrow))),0,
           IF(OFFSET(PLE!$G$15,$M38-$A$15,BA$13)="",10^12,OFFSET(PLE!$G$15,$M38-$A$15,BA$13)))</f>
        <v>1000000000000</v>
      </c>
      <c r="BB38" s="173">
        <f ca="1">IF(OR($D38&lt;&gt;"Serviço",AND(AUTOEVENTO="Manual",$M38=$A$15),$M38&gt;(ROW(PLE.lastrow)-ROW(PLE.firstrow))),0,
           IF(OFFSET(PLE!$G$15,$M38-$A$15,BB$13)="",10^12,OFFSET(PLE!$G$15,$M38-$A$15,BB$13)))</f>
        <v>1000000000000</v>
      </c>
      <c r="BC38" s="173">
        <f ca="1">IF(OR($D38&lt;&gt;"Serviço",AND(AUTOEVENTO="Manual",$M38=$A$15),$M38&gt;(ROW(PLE.lastrow)-ROW(PLE.firstrow))),0,
           IF(OFFSET(PLE!$G$15,$M38-$A$15,BC$13)="",10^12,OFFSET(PLE!$G$15,$M38-$A$15,BC$13)))</f>
        <v>1000000000000</v>
      </c>
      <c r="BD38" s="173">
        <f ca="1">IF(OR($D38&lt;&gt;"Serviço",AND(AUTOEVENTO="Manual",$M38=$A$15),$M38&gt;(ROW(PLE.lastrow)-ROW(PLE.firstrow))),0,
           IF(OFFSET(PLE!$G$15,$M38-$A$15,BD$13)="",10^12,OFFSET(PLE!$G$15,$M38-$A$15,BD$13)))</f>
        <v>1000000000000</v>
      </c>
      <c r="BE38" s="173">
        <f ca="1">IF(OR($D38&lt;&gt;"Serviço",AND(AUTOEVENTO="Manual",$M38=$A$15),$M38&gt;(ROW(PLE.lastrow)-ROW(PLE.firstrow))),0,
           IF(OFFSET(PLE!$G$15,$M38-$A$15,BE$13)="",10^12,OFFSET(PLE!$G$15,$M38-$A$15,BE$13)))</f>
        <v>1000000000000</v>
      </c>
      <c r="BF38" s="173">
        <f ca="1">IF(OR($D38&lt;&gt;"Serviço",AND(AUTOEVENTO="Manual",$M38=$A$15),$M38&gt;(ROW(PLE.lastrow)-ROW(PLE.firstrow))),0,
           IF(OFFSET(PLE!$G$15,$M38-$A$15,BF$13)="",10^12,OFFSET(PLE!$G$15,$M38-$A$15,BF$13)))</f>
        <v>1000000000000</v>
      </c>
      <c r="BG38" s="173">
        <f ca="1">IF(OR($D38&lt;&gt;"Serviço",AND(AUTOEVENTO="Manual",$M38=$A$15),$M38&gt;(ROW(PLE.lastrow)-ROW(PLE.firstrow))),0,
           IF(OFFSET(PLE!$G$15,$M38-$A$15,BG$13)="",10^12,OFFSET(PLE!$G$15,$M38-$A$15,BG$13)))</f>
        <v>1000000000000</v>
      </c>
    </row>
    <row r="39" spans="1:59" ht="51" x14ac:dyDescent="0.2">
      <c r="A39" s="7" t="str">
        <f t="shared" ca="1" si="8"/>
        <v>22</v>
      </c>
      <c r="B39" s="7" t="str">
        <f ca="1">OFFSET(ORÇAMENTO!C$15,ROW(B39)-ROW(B$15),0)</f>
        <v>S</v>
      </c>
      <c r="C39" s="7" t="str">
        <f ca="1">OFFSET(ORÇAMENTO!L$15,ROW(C39)-ROW(C$15),0)</f>
        <v/>
      </c>
      <c r="D39" s="117" t="str">
        <f ca="1">OFFSET(ORÇAMENTO!N$15,ROW(D39)-ROW(D$15),0)</f>
        <v>Serviço</v>
      </c>
      <c r="E39" s="118" t="str">
        <f ca="1">OFFSET(ORÇAMENTO!O$15,ROW(E39)-ROW(E$15),0)</f>
        <v>-</v>
      </c>
      <c r="F39" s="164" t="str">
        <f ca="1">OFFSET(ORÇAMENTO!R$15,ROW(F39)-ROW(F$15),0)</f>
        <v>PILAR METÁLICO PERFIL LAMINADO OU SOLDADO EM AÇO ESTRUTURAL, COM CONEXÕES SOLDADAS, INCLUSOS MÃO DE OBRA, TRANSPORTE E IÇAMENTO UTILIZANDO GUINDASTE - FORNECIMENTO E INSTALAÇÃO. AF_01/2020_PA</v>
      </c>
      <c r="G39" s="165" t="str">
        <f ca="1">IF($D39&lt;&gt;"Serviço","",OFFSET(ORÇAMENTO!S$15,ROW(G39)-ROW(G$15),0))</f>
        <v>KG</v>
      </c>
      <c r="H39" s="123">
        <f ca="1">IF($D39&lt;&gt;"Serviço",0,IF(ACOMPANHAMENTO="BM",ROUND(OFFSET(ORÇAMENTO!AJ$15,ROW(H39)-ROW(H$15),0),15-13*ORÇAMENTO!$AF$7),SUMPRODUCT(($Q$1:$AA$1=1)*ROUND($Q39:$AA39,15-13*ORÇAMENTO!$AF$7))))</f>
        <v>9182</v>
      </c>
      <c r="I39" s="469"/>
      <c r="J39" s="577" t="str" cm="1">
        <f t="array" aca="1" ref="J39" ca="1">IF(B39&lt;&gt;"S","",IF(AND(ACOMPANHAMENTO="PLE",AUTOEVENTO="Manual",OR(H39&gt;0,ORÇAMENTO!AC39="QUANT."),OR(K39="",M39=0,N39="")),"►",IF(AND(ACOMPANHAMENTO="PLE",ORÇAMENTO!AC39="QUANT."),"►►",IF(AND(COUNTIF($P$11:$AA$11,"▼")=0,H39&gt;0,I39=""),"◄",""))))</f>
        <v>◄</v>
      </c>
      <c r="K39" s="626"/>
      <c r="L39" s="166" t="s">
        <v>765</v>
      </c>
      <c r="M39" s="167">
        <f ca="1">IF($D39&lt;&gt;"Serviço","",
          IF(AUTOEVENTO="manual",$A39,
                IF(ISERROR(MATCH($A39,$A$15:OFFSET($A39,-1,0),0)),MAX($M$15:OFFSET(M39,-1,0))+1,
                      INDEX($M$15:OFFSET(M39,-1,0),MATCH($A39,$A$15:OFFSET($A39,-1,0),0)))))</f>
        <v>5</v>
      </c>
      <c r="N39" s="168" t="str">
        <f ca="1">IF($D39&lt;&gt;"Serviço","",
         IF(AUTOEVENTO="Manual",
                IF($A39=0,"&lt;-- defina o número do agrupador",
                       OFFSET(EVENTOS!$D$15,$A39-$A$15,0)),
                OFFSET($F$15,$A39,0)))</f>
        <v>ESTRUTURA METÁLICA DOS MÓDULOS</v>
      </c>
      <c r="O39" s="169"/>
      <c r="Q39" s="169"/>
      <c r="R39" s="170"/>
      <c r="S39" s="170"/>
      <c r="T39" s="170"/>
      <c r="U39" s="170"/>
      <c r="V39" s="170"/>
      <c r="W39" s="170"/>
      <c r="X39" s="170"/>
      <c r="Y39" s="170"/>
      <c r="Z39" s="171"/>
      <c r="AB39" s="454">
        <f ca="1">IF(AND($D39="Serviço",AB$12&lt;&gt;0,$H39&gt;0,OR(AUTOEVENTO&lt;&gt;"manual",$M39&lt;&gt;$A$15)),
        IF(Import.TipoArredondamento&lt;&gt;"TransfereGOV",
              ROUND(OFFSET($P39,0,AB$13),15-13*ORÇAMENTO!$AF$7)/$H39*OFFSET(ORÇAMENTO!$X$15,ROW(AB39)-ROW(AB$15),0),
              ROUND(ROUND(OFFSET($P39,0,AB$13),15-13*ORÇAMENTO!$AF$7)*OFFSET(ORÇAMENTO!$W$15,ROW(AB39)-ROW(AB$15),0),15-13*ORÇAMENTO!$AF$11)),
         0)</f>
        <v>0</v>
      </c>
      <c r="AC39" s="454">
        <f ca="1">IF(AND($D39="Serviço",AC$12&lt;&gt;0,$H39&gt;0,OR(AUTOEVENTO&lt;&gt;"manual",$M39&lt;&gt;$A$15)),
        IF(Import.TipoArredondamento&lt;&gt;"TransfereGOV",
              ROUND(OFFSET($P39,0,AC$13),15-13*ORÇAMENTO!$AF$7)/$H39*OFFSET(ORÇAMENTO!$X$15,ROW(AC39)-ROW(AC$15),0),
              ROUND(ROUND(OFFSET($P39,0,AC$13),15-13*ORÇAMENTO!$AF$7)*OFFSET(ORÇAMENTO!$W$15,ROW(AC39)-ROW(AC$15),0),15-13*ORÇAMENTO!$AF$11)),
         0)</f>
        <v>0</v>
      </c>
      <c r="AD39" s="454">
        <f ca="1">IF(AND($D39="Serviço",AD$12&lt;&gt;0,$H39&gt;0,OR(AUTOEVENTO&lt;&gt;"manual",$M39&lt;&gt;$A$15)),
        IF(Import.TipoArredondamento&lt;&gt;"TransfereGOV",
              ROUND(OFFSET($P39,0,AD$13),15-13*ORÇAMENTO!$AF$7)/$H39*OFFSET(ORÇAMENTO!$X$15,ROW(AD39)-ROW(AD$15),0),
              ROUND(ROUND(OFFSET($P39,0,AD$13),15-13*ORÇAMENTO!$AF$7)*OFFSET(ORÇAMENTO!$W$15,ROW(AD39)-ROW(AD$15),0),15-13*ORÇAMENTO!$AF$11)),
         0)</f>
        <v>0</v>
      </c>
      <c r="AE39" s="454">
        <f ca="1">IF(AND($D39="Serviço",AE$12&lt;&gt;0,$H39&gt;0,OR(AUTOEVENTO&lt;&gt;"manual",$M39&lt;&gt;$A$15)),
        IF(Import.TipoArredondamento&lt;&gt;"TransfereGOV",
              ROUND(OFFSET($P39,0,AE$13),15-13*ORÇAMENTO!$AF$7)/$H39*OFFSET(ORÇAMENTO!$X$15,ROW(AE39)-ROW(AE$15),0),
              ROUND(ROUND(OFFSET($P39,0,AE$13),15-13*ORÇAMENTO!$AF$7)*OFFSET(ORÇAMENTO!$W$15,ROW(AE39)-ROW(AE$15),0),15-13*ORÇAMENTO!$AF$11)),
         0)</f>
        <v>0</v>
      </c>
      <c r="AF39" s="454">
        <f ca="1">IF(AND($D39="Serviço",AF$12&lt;&gt;0,$H39&gt;0,OR(AUTOEVENTO&lt;&gt;"manual",$M39&lt;&gt;$A$15)),
        IF(Import.TipoArredondamento&lt;&gt;"TransfereGOV",
              ROUND(OFFSET($P39,0,AF$13),15-13*ORÇAMENTO!$AF$7)/$H39*OFFSET(ORÇAMENTO!$X$15,ROW(AF39)-ROW(AF$15),0),
              ROUND(ROUND(OFFSET($P39,0,AF$13),15-13*ORÇAMENTO!$AF$7)*OFFSET(ORÇAMENTO!$W$15,ROW(AF39)-ROW(AF$15),0),15-13*ORÇAMENTO!$AF$11)),
         0)</f>
        <v>0</v>
      </c>
      <c r="AG39" s="454">
        <f ca="1">IF(AND($D39="Serviço",AG$12&lt;&gt;0,$H39&gt;0,OR(AUTOEVENTO&lt;&gt;"manual",$M39&lt;&gt;$A$15)),
        IF(Import.TipoArredondamento&lt;&gt;"TransfereGOV",
              ROUND(OFFSET($P39,0,AG$13),15-13*ORÇAMENTO!$AF$7)/$H39*OFFSET(ORÇAMENTO!$X$15,ROW(AG39)-ROW(AG$15),0),
              ROUND(ROUND(OFFSET($P39,0,AG$13),15-13*ORÇAMENTO!$AF$7)*OFFSET(ORÇAMENTO!$W$15,ROW(AG39)-ROW(AG$15),0),15-13*ORÇAMENTO!$AF$11)),
         0)</f>
        <v>0</v>
      </c>
      <c r="AH39" s="454">
        <f ca="1">IF(AND($D39="Serviço",AH$12&lt;&gt;0,$H39&gt;0,OR(AUTOEVENTO&lt;&gt;"manual",$M39&lt;&gt;$A$15)),
        IF(Import.TipoArredondamento&lt;&gt;"TransfereGOV",
              ROUND(OFFSET($P39,0,AH$13),15-13*ORÇAMENTO!$AF$7)/$H39*OFFSET(ORÇAMENTO!$X$15,ROW(AH39)-ROW(AH$15),0),
              ROUND(ROUND(OFFSET($P39,0,AH$13),15-13*ORÇAMENTO!$AF$7)*OFFSET(ORÇAMENTO!$W$15,ROW(AH39)-ROW(AH$15),0),15-13*ORÇAMENTO!$AF$11)),
         0)</f>
        <v>0</v>
      </c>
      <c r="AI39" s="454">
        <f ca="1">IF(AND($D39="Serviço",AI$12&lt;&gt;0,$H39&gt;0,OR(AUTOEVENTO&lt;&gt;"manual",$M39&lt;&gt;$A$15)),
        IF(Import.TipoArredondamento&lt;&gt;"TransfereGOV",
              ROUND(OFFSET($P39,0,AI$13),15-13*ORÇAMENTO!$AF$7)/$H39*OFFSET(ORÇAMENTO!$X$15,ROW(AI39)-ROW(AI$15),0),
              ROUND(ROUND(OFFSET($P39,0,AI$13),15-13*ORÇAMENTO!$AF$7)*OFFSET(ORÇAMENTO!$W$15,ROW(AI39)-ROW(AI$15),0),15-13*ORÇAMENTO!$AF$11)),
         0)</f>
        <v>0</v>
      </c>
      <c r="AJ39" s="454">
        <f ca="1">IF(AND($D39="Serviço",AJ$12&lt;&gt;0,$H39&gt;0,OR(AUTOEVENTO&lt;&gt;"manual",$M39&lt;&gt;$A$15)),
        IF(Import.TipoArredondamento&lt;&gt;"TransfereGOV",
              ROUND(OFFSET($P39,0,AJ$13),15-13*ORÇAMENTO!$AF$7)/$H39*OFFSET(ORÇAMENTO!$X$15,ROW(AJ39)-ROW(AJ$15),0),
              ROUND(ROUND(OFFSET($P39,0,AJ$13),15-13*ORÇAMENTO!$AF$7)*OFFSET(ORÇAMENTO!$W$15,ROW(AJ39)-ROW(AJ$15),0),15-13*ORÇAMENTO!$AF$11)),
         0)</f>
        <v>0</v>
      </c>
      <c r="AK39" s="454">
        <f ca="1">IF(AND($D39="Serviço",AK$12&lt;&gt;0,$H39&gt;0,OR(AUTOEVENTO&lt;&gt;"manual",$M39&lt;&gt;$A$15)),
        IF(Import.TipoArredondamento&lt;&gt;"TransfereGOV",
              ROUND(OFFSET($P39,0,AK$13),15-13*ORÇAMENTO!$AF$7)/$H39*OFFSET(ORÇAMENTO!$X$15,ROW(AK39)-ROW(AK$15),0),
              ROUND(ROUND(OFFSET($P39,0,AK$13),15-13*ORÇAMENTO!$AF$7)*OFFSET(ORÇAMENTO!$W$15,ROW(AK39)-ROW(AK$15),0),15-13*ORÇAMENTO!$AF$11)),
         0)</f>
        <v>0</v>
      </c>
      <c r="AM39" s="172">
        <f ca="1">IF(OR($D39&lt;&gt;"Serviço",AND(AUTOEVENTO="Manual",$M39=$A$15)),0,
         IF(OFFSET(CRONOPLE!$F$15,$M39-$A$15,AM$13)="",10^12,OFFSET(CRONOPLE!$F$15,$M39-$A$15,AM$13)))</f>
        <v>1000000000000</v>
      </c>
      <c r="AN39" s="172">
        <f ca="1">IF(OR($D39&lt;&gt;"Serviço",AND(AUTOEVENTO="Manual",$M39=$A$15)),0,
         IF(OFFSET(CRONOPLE!$F$15,$M39-$A$15,AN$13)="",10^12,OFFSET(CRONOPLE!$F$15,$M39-$A$15,AN$13)))</f>
        <v>1000000000000</v>
      </c>
      <c r="AO39" s="172">
        <f ca="1">IF(OR($D39&lt;&gt;"Serviço",AND(AUTOEVENTO="Manual",$M39=$A$15)),0,
         IF(OFFSET(CRONOPLE!$F$15,$M39-$A$15,AO$13)="",10^12,OFFSET(CRONOPLE!$F$15,$M39-$A$15,AO$13)))</f>
        <v>1000000000000</v>
      </c>
      <c r="AP39" s="172">
        <f ca="1">IF(OR($D39&lt;&gt;"Serviço",AND(AUTOEVENTO="Manual",$M39=$A$15)),0,
         IF(OFFSET(CRONOPLE!$F$15,$M39-$A$15,AP$13)="",10^12,OFFSET(CRONOPLE!$F$15,$M39-$A$15,AP$13)))</f>
        <v>1000000000000</v>
      </c>
      <c r="AQ39" s="172">
        <f ca="1">IF(OR($D39&lt;&gt;"Serviço",AND(AUTOEVENTO="Manual",$M39=$A$15)),0,
         IF(OFFSET(CRONOPLE!$F$15,$M39-$A$15,AQ$13)="",10^12,OFFSET(CRONOPLE!$F$15,$M39-$A$15,AQ$13)))</f>
        <v>1000000000000</v>
      </c>
      <c r="AR39" s="172">
        <f ca="1">IF(OR($D39&lt;&gt;"Serviço",AND(AUTOEVENTO="Manual",$M39=$A$15)),0,
         IF(OFFSET(CRONOPLE!$F$15,$M39-$A$15,AR$13)="",10^12,OFFSET(CRONOPLE!$F$15,$M39-$A$15,AR$13)))</f>
        <v>1000000000000</v>
      </c>
      <c r="AS39" s="172">
        <f ca="1">IF(OR($D39&lt;&gt;"Serviço",AND(AUTOEVENTO="Manual",$M39=$A$15)),0,
         IF(OFFSET(CRONOPLE!$F$15,$M39-$A$15,AS$13)="",10^12,OFFSET(CRONOPLE!$F$15,$M39-$A$15,AS$13)))</f>
        <v>1000000000000</v>
      </c>
      <c r="AT39" s="172">
        <f ca="1">IF(OR($D39&lt;&gt;"Serviço",AND(AUTOEVENTO="Manual",$M39=$A$15)),0,
         IF(OFFSET(CRONOPLE!$F$15,$M39-$A$15,AT$13)="",10^12,OFFSET(CRONOPLE!$F$15,$M39-$A$15,AT$13)))</f>
        <v>1000000000000</v>
      </c>
      <c r="AU39" s="172">
        <f ca="1">IF(OR($D39&lt;&gt;"Serviço",AND(AUTOEVENTO="Manual",$M39=$A$15)),0,
         IF(OFFSET(CRONOPLE!$F$15,$M39-$A$15,AU$13)="",10^12,OFFSET(CRONOPLE!$F$15,$M39-$A$15,AU$13)))</f>
        <v>1000000000000</v>
      </c>
      <c r="AV39" s="172">
        <f ca="1">IF(OR($D39&lt;&gt;"Serviço",AND(AUTOEVENTO="Manual",$M39=$A$15)),0,
         IF(OFFSET(CRONOPLE!$F$15,$M39-$A$15,AV$13)="",10^12,OFFSET(CRONOPLE!$F$15,$M39-$A$15,AV$13)))</f>
        <v>1000000000000</v>
      </c>
      <c r="AX39" s="173">
        <f ca="1">IF(OR($D39&lt;&gt;"Serviço",AND(AUTOEVENTO="Manual",$M39=$A$15),$M39&gt;(ROW(PLE.lastrow)-ROW(PLE.firstrow))),0,
           IF(OFFSET(PLE!$G$15,$M39-$A$15,AX$13)="",10^12,OFFSET(PLE!$G$15,$M39-$A$15,AX$13)))</f>
        <v>1000000000000</v>
      </c>
      <c r="AY39" s="173">
        <f ca="1">IF(OR($D39&lt;&gt;"Serviço",AND(AUTOEVENTO="Manual",$M39=$A$15),$M39&gt;(ROW(PLE.lastrow)-ROW(PLE.firstrow))),0,
           IF(OFFSET(PLE!$G$15,$M39-$A$15,AY$13)="",10^12,OFFSET(PLE!$G$15,$M39-$A$15,AY$13)))</f>
        <v>1000000000000</v>
      </c>
      <c r="AZ39" s="173">
        <f ca="1">IF(OR($D39&lt;&gt;"Serviço",AND(AUTOEVENTO="Manual",$M39=$A$15),$M39&gt;(ROW(PLE.lastrow)-ROW(PLE.firstrow))),0,
           IF(OFFSET(PLE!$G$15,$M39-$A$15,AZ$13)="",10^12,OFFSET(PLE!$G$15,$M39-$A$15,AZ$13)))</f>
        <v>1000000000000</v>
      </c>
      <c r="BA39" s="173">
        <f ca="1">IF(OR($D39&lt;&gt;"Serviço",AND(AUTOEVENTO="Manual",$M39=$A$15),$M39&gt;(ROW(PLE.lastrow)-ROW(PLE.firstrow))),0,
           IF(OFFSET(PLE!$G$15,$M39-$A$15,BA$13)="",10^12,OFFSET(PLE!$G$15,$M39-$A$15,BA$13)))</f>
        <v>1000000000000</v>
      </c>
      <c r="BB39" s="173">
        <f ca="1">IF(OR($D39&lt;&gt;"Serviço",AND(AUTOEVENTO="Manual",$M39=$A$15),$M39&gt;(ROW(PLE.lastrow)-ROW(PLE.firstrow))),0,
           IF(OFFSET(PLE!$G$15,$M39-$A$15,BB$13)="",10^12,OFFSET(PLE!$G$15,$M39-$A$15,BB$13)))</f>
        <v>1000000000000</v>
      </c>
      <c r="BC39" s="173">
        <f ca="1">IF(OR($D39&lt;&gt;"Serviço",AND(AUTOEVENTO="Manual",$M39=$A$15),$M39&gt;(ROW(PLE.lastrow)-ROW(PLE.firstrow))),0,
           IF(OFFSET(PLE!$G$15,$M39-$A$15,BC$13)="",10^12,OFFSET(PLE!$G$15,$M39-$A$15,BC$13)))</f>
        <v>1000000000000</v>
      </c>
      <c r="BD39" s="173">
        <f ca="1">IF(OR($D39&lt;&gt;"Serviço",AND(AUTOEVENTO="Manual",$M39=$A$15),$M39&gt;(ROW(PLE.lastrow)-ROW(PLE.firstrow))),0,
           IF(OFFSET(PLE!$G$15,$M39-$A$15,BD$13)="",10^12,OFFSET(PLE!$G$15,$M39-$A$15,BD$13)))</f>
        <v>1000000000000</v>
      </c>
      <c r="BE39" s="173">
        <f ca="1">IF(OR($D39&lt;&gt;"Serviço",AND(AUTOEVENTO="Manual",$M39=$A$15),$M39&gt;(ROW(PLE.lastrow)-ROW(PLE.firstrow))),0,
           IF(OFFSET(PLE!$G$15,$M39-$A$15,BE$13)="",10^12,OFFSET(PLE!$G$15,$M39-$A$15,BE$13)))</f>
        <v>1000000000000</v>
      </c>
      <c r="BF39" s="173">
        <f ca="1">IF(OR($D39&lt;&gt;"Serviço",AND(AUTOEVENTO="Manual",$M39=$A$15),$M39&gt;(ROW(PLE.lastrow)-ROW(PLE.firstrow))),0,
           IF(OFFSET(PLE!$G$15,$M39-$A$15,BF$13)="",10^12,OFFSET(PLE!$G$15,$M39-$A$15,BF$13)))</f>
        <v>1000000000000</v>
      </c>
      <c r="BG39" s="173">
        <f ca="1">IF(OR($D39&lt;&gt;"Serviço",AND(AUTOEVENTO="Manual",$M39=$A$15),$M39&gt;(ROW(PLE.lastrow)-ROW(PLE.firstrow))),0,
           IF(OFFSET(PLE!$G$15,$M39-$A$15,BG$13)="",10^12,OFFSET(PLE!$G$15,$M39-$A$15,BG$13)))</f>
        <v>1000000000000</v>
      </c>
    </row>
    <row r="40" spans="1:59" ht="25.5" x14ac:dyDescent="0.2">
      <c r="A40" s="7" t="str">
        <f t="shared" ca="1" si="8"/>
        <v>22</v>
      </c>
      <c r="B40" s="7" t="str">
        <f ca="1">OFFSET(ORÇAMENTO!C$15,ROW(B40)-ROW(B$15),0)</f>
        <v>S</v>
      </c>
      <c r="C40" s="7" t="str">
        <f ca="1">OFFSET(ORÇAMENTO!L$15,ROW(C40)-ROW(C$15),0)</f>
        <v/>
      </c>
      <c r="D40" s="117" t="str">
        <f ca="1">OFFSET(ORÇAMENTO!N$15,ROW(D40)-ROW(D$15),0)</f>
        <v>Serviço</v>
      </c>
      <c r="E40" s="118" t="str">
        <f ca="1">OFFSET(ORÇAMENTO!O$15,ROW(E40)-ROW(E$15),0)</f>
        <v>-</v>
      </c>
      <c r="F40" s="164" t="str">
        <f ca="1">OFFSET(ORÇAMENTO!R$15,ROW(F40)-ROW(F$15),0)</f>
        <v>ENGENHEIRO MECÂNICO COM ENCARGOS COMPLEMENTARES</v>
      </c>
      <c r="G40" s="165" t="str">
        <f ca="1">IF($D40&lt;&gt;"Serviço","",OFFSET(ORÇAMENTO!S$15,ROW(G40)-ROW(G$15),0))</f>
        <v>MÊS</v>
      </c>
      <c r="H40" s="123">
        <f ca="1">IF($D40&lt;&gt;"Serviço",0,IF(ACOMPANHAMENTO="BM",ROUND(OFFSET(ORÇAMENTO!AJ$15,ROW(H40)-ROW(H$15),0),15-13*ORÇAMENTO!$AF$7),SUMPRODUCT(($Q$1:$AA$1=1)*ROUND($Q40:$AA40,15-13*ORÇAMENTO!$AF$7))))</f>
        <v>3</v>
      </c>
      <c r="I40" s="469"/>
      <c r="J40" s="577" t="str" cm="1">
        <f t="array" aca="1" ref="J40" ca="1">IF(B40&lt;&gt;"S","",IF(AND(ACOMPANHAMENTO="PLE",AUTOEVENTO="Manual",OR(H40&gt;0,ORÇAMENTO!AC40="QUANT."),OR(K40="",M40=0,N40="")),"►",IF(AND(ACOMPANHAMENTO="PLE",ORÇAMENTO!AC40="QUANT."),"►►",IF(AND(COUNTIF($P$11:$AA$11,"▼")=0,H40&gt;0,I40=""),"◄",""))))</f>
        <v>◄</v>
      </c>
      <c r="K40" s="626"/>
      <c r="L40" s="166" t="s">
        <v>765</v>
      </c>
      <c r="M40" s="167">
        <f ca="1">IF($D40&lt;&gt;"Serviço","",
          IF(AUTOEVENTO="manual",$A40,
                IF(ISERROR(MATCH($A40,$A$15:OFFSET($A40,-1,0),0)),MAX($M$15:OFFSET(M40,-1,0))+1,
                      INDEX($M$15:OFFSET(M40,-1,0),MATCH($A40,$A$15:OFFSET($A40,-1,0),0)))))</f>
        <v>5</v>
      </c>
      <c r="N40" s="168" t="str">
        <f ca="1">IF($D40&lt;&gt;"Serviço","",
         IF(AUTOEVENTO="Manual",
                IF($A40=0,"&lt;-- defina o número do agrupador",
                       OFFSET(EVENTOS!$D$15,$A40-$A$15,0)),
                OFFSET($F$15,$A40,0)))</f>
        <v>ESTRUTURA METÁLICA DOS MÓDULOS</v>
      </c>
      <c r="O40" s="169"/>
      <c r="Q40" s="169"/>
      <c r="R40" s="170"/>
      <c r="S40" s="170"/>
      <c r="T40" s="170"/>
      <c r="U40" s="170"/>
      <c r="V40" s="170"/>
      <c r="W40" s="170"/>
      <c r="X40" s="170"/>
      <c r="Y40" s="170"/>
      <c r="Z40" s="171"/>
      <c r="AB40" s="454">
        <f ca="1">IF(AND($D40="Serviço",AB$12&lt;&gt;0,$H40&gt;0,OR(AUTOEVENTO&lt;&gt;"manual",$M40&lt;&gt;$A$15)),
        IF(Import.TipoArredondamento&lt;&gt;"TransfereGOV",
              ROUND(OFFSET($P40,0,AB$13),15-13*ORÇAMENTO!$AF$7)/$H40*OFFSET(ORÇAMENTO!$X$15,ROW(AB40)-ROW(AB$15),0),
              ROUND(ROUND(OFFSET($P40,0,AB$13),15-13*ORÇAMENTO!$AF$7)*OFFSET(ORÇAMENTO!$W$15,ROW(AB40)-ROW(AB$15),0),15-13*ORÇAMENTO!$AF$11)),
         0)</f>
        <v>0</v>
      </c>
      <c r="AC40" s="454">
        <f ca="1">IF(AND($D40="Serviço",AC$12&lt;&gt;0,$H40&gt;0,OR(AUTOEVENTO&lt;&gt;"manual",$M40&lt;&gt;$A$15)),
        IF(Import.TipoArredondamento&lt;&gt;"TransfereGOV",
              ROUND(OFFSET($P40,0,AC$13),15-13*ORÇAMENTO!$AF$7)/$H40*OFFSET(ORÇAMENTO!$X$15,ROW(AC40)-ROW(AC$15),0),
              ROUND(ROUND(OFFSET($P40,0,AC$13),15-13*ORÇAMENTO!$AF$7)*OFFSET(ORÇAMENTO!$W$15,ROW(AC40)-ROW(AC$15),0),15-13*ORÇAMENTO!$AF$11)),
         0)</f>
        <v>0</v>
      </c>
      <c r="AD40" s="454">
        <f ca="1">IF(AND($D40="Serviço",AD$12&lt;&gt;0,$H40&gt;0,OR(AUTOEVENTO&lt;&gt;"manual",$M40&lt;&gt;$A$15)),
        IF(Import.TipoArredondamento&lt;&gt;"TransfereGOV",
              ROUND(OFFSET($P40,0,AD$13),15-13*ORÇAMENTO!$AF$7)/$H40*OFFSET(ORÇAMENTO!$X$15,ROW(AD40)-ROW(AD$15),0),
              ROUND(ROUND(OFFSET($P40,0,AD$13),15-13*ORÇAMENTO!$AF$7)*OFFSET(ORÇAMENTO!$W$15,ROW(AD40)-ROW(AD$15),0),15-13*ORÇAMENTO!$AF$11)),
         0)</f>
        <v>0</v>
      </c>
      <c r="AE40" s="454">
        <f ca="1">IF(AND($D40="Serviço",AE$12&lt;&gt;0,$H40&gt;0,OR(AUTOEVENTO&lt;&gt;"manual",$M40&lt;&gt;$A$15)),
        IF(Import.TipoArredondamento&lt;&gt;"TransfereGOV",
              ROUND(OFFSET($P40,0,AE$13),15-13*ORÇAMENTO!$AF$7)/$H40*OFFSET(ORÇAMENTO!$X$15,ROW(AE40)-ROW(AE$15),0),
              ROUND(ROUND(OFFSET($P40,0,AE$13),15-13*ORÇAMENTO!$AF$7)*OFFSET(ORÇAMENTO!$W$15,ROW(AE40)-ROW(AE$15),0),15-13*ORÇAMENTO!$AF$11)),
         0)</f>
        <v>0</v>
      </c>
      <c r="AF40" s="454">
        <f ca="1">IF(AND($D40="Serviço",AF$12&lt;&gt;0,$H40&gt;0,OR(AUTOEVENTO&lt;&gt;"manual",$M40&lt;&gt;$A$15)),
        IF(Import.TipoArredondamento&lt;&gt;"TransfereGOV",
              ROUND(OFFSET($P40,0,AF$13),15-13*ORÇAMENTO!$AF$7)/$H40*OFFSET(ORÇAMENTO!$X$15,ROW(AF40)-ROW(AF$15),0),
              ROUND(ROUND(OFFSET($P40,0,AF$13),15-13*ORÇAMENTO!$AF$7)*OFFSET(ORÇAMENTO!$W$15,ROW(AF40)-ROW(AF$15),0),15-13*ORÇAMENTO!$AF$11)),
         0)</f>
        <v>0</v>
      </c>
      <c r="AG40" s="454">
        <f ca="1">IF(AND($D40="Serviço",AG$12&lt;&gt;0,$H40&gt;0,OR(AUTOEVENTO&lt;&gt;"manual",$M40&lt;&gt;$A$15)),
        IF(Import.TipoArredondamento&lt;&gt;"TransfereGOV",
              ROUND(OFFSET($P40,0,AG$13),15-13*ORÇAMENTO!$AF$7)/$H40*OFFSET(ORÇAMENTO!$X$15,ROW(AG40)-ROW(AG$15),0),
              ROUND(ROUND(OFFSET($P40,0,AG$13),15-13*ORÇAMENTO!$AF$7)*OFFSET(ORÇAMENTO!$W$15,ROW(AG40)-ROW(AG$15),0),15-13*ORÇAMENTO!$AF$11)),
         0)</f>
        <v>0</v>
      </c>
      <c r="AH40" s="454">
        <f ca="1">IF(AND($D40="Serviço",AH$12&lt;&gt;0,$H40&gt;0,OR(AUTOEVENTO&lt;&gt;"manual",$M40&lt;&gt;$A$15)),
        IF(Import.TipoArredondamento&lt;&gt;"TransfereGOV",
              ROUND(OFFSET($P40,0,AH$13),15-13*ORÇAMENTO!$AF$7)/$H40*OFFSET(ORÇAMENTO!$X$15,ROW(AH40)-ROW(AH$15),0),
              ROUND(ROUND(OFFSET($P40,0,AH$13),15-13*ORÇAMENTO!$AF$7)*OFFSET(ORÇAMENTO!$W$15,ROW(AH40)-ROW(AH$15),0),15-13*ORÇAMENTO!$AF$11)),
         0)</f>
        <v>0</v>
      </c>
      <c r="AI40" s="454">
        <f ca="1">IF(AND($D40="Serviço",AI$12&lt;&gt;0,$H40&gt;0,OR(AUTOEVENTO&lt;&gt;"manual",$M40&lt;&gt;$A$15)),
        IF(Import.TipoArredondamento&lt;&gt;"TransfereGOV",
              ROUND(OFFSET($P40,0,AI$13),15-13*ORÇAMENTO!$AF$7)/$H40*OFFSET(ORÇAMENTO!$X$15,ROW(AI40)-ROW(AI$15),0),
              ROUND(ROUND(OFFSET($P40,0,AI$13),15-13*ORÇAMENTO!$AF$7)*OFFSET(ORÇAMENTO!$W$15,ROW(AI40)-ROW(AI$15),0),15-13*ORÇAMENTO!$AF$11)),
         0)</f>
        <v>0</v>
      </c>
      <c r="AJ40" s="454">
        <f ca="1">IF(AND($D40="Serviço",AJ$12&lt;&gt;0,$H40&gt;0,OR(AUTOEVENTO&lt;&gt;"manual",$M40&lt;&gt;$A$15)),
        IF(Import.TipoArredondamento&lt;&gt;"TransfereGOV",
              ROUND(OFFSET($P40,0,AJ$13),15-13*ORÇAMENTO!$AF$7)/$H40*OFFSET(ORÇAMENTO!$X$15,ROW(AJ40)-ROW(AJ$15),0),
              ROUND(ROUND(OFFSET($P40,0,AJ$13),15-13*ORÇAMENTO!$AF$7)*OFFSET(ORÇAMENTO!$W$15,ROW(AJ40)-ROW(AJ$15),0),15-13*ORÇAMENTO!$AF$11)),
         0)</f>
        <v>0</v>
      </c>
      <c r="AK40" s="454">
        <f ca="1">IF(AND($D40="Serviço",AK$12&lt;&gt;0,$H40&gt;0,OR(AUTOEVENTO&lt;&gt;"manual",$M40&lt;&gt;$A$15)),
        IF(Import.TipoArredondamento&lt;&gt;"TransfereGOV",
              ROUND(OFFSET($P40,0,AK$13),15-13*ORÇAMENTO!$AF$7)/$H40*OFFSET(ORÇAMENTO!$X$15,ROW(AK40)-ROW(AK$15),0),
              ROUND(ROUND(OFFSET($P40,0,AK$13),15-13*ORÇAMENTO!$AF$7)*OFFSET(ORÇAMENTO!$W$15,ROW(AK40)-ROW(AK$15),0),15-13*ORÇAMENTO!$AF$11)),
         0)</f>
        <v>0</v>
      </c>
      <c r="AM40" s="172">
        <f ca="1">IF(OR($D40&lt;&gt;"Serviço",AND(AUTOEVENTO="Manual",$M40=$A$15)),0,
         IF(OFFSET(CRONOPLE!$F$15,$M40-$A$15,AM$13)="",10^12,OFFSET(CRONOPLE!$F$15,$M40-$A$15,AM$13)))</f>
        <v>1000000000000</v>
      </c>
      <c r="AN40" s="172">
        <f ca="1">IF(OR($D40&lt;&gt;"Serviço",AND(AUTOEVENTO="Manual",$M40=$A$15)),0,
         IF(OFFSET(CRONOPLE!$F$15,$M40-$A$15,AN$13)="",10^12,OFFSET(CRONOPLE!$F$15,$M40-$A$15,AN$13)))</f>
        <v>1000000000000</v>
      </c>
      <c r="AO40" s="172">
        <f ca="1">IF(OR($D40&lt;&gt;"Serviço",AND(AUTOEVENTO="Manual",$M40=$A$15)),0,
         IF(OFFSET(CRONOPLE!$F$15,$M40-$A$15,AO$13)="",10^12,OFFSET(CRONOPLE!$F$15,$M40-$A$15,AO$13)))</f>
        <v>1000000000000</v>
      </c>
      <c r="AP40" s="172">
        <f ca="1">IF(OR($D40&lt;&gt;"Serviço",AND(AUTOEVENTO="Manual",$M40=$A$15)),0,
         IF(OFFSET(CRONOPLE!$F$15,$M40-$A$15,AP$13)="",10^12,OFFSET(CRONOPLE!$F$15,$M40-$A$15,AP$13)))</f>
        <v>1000000000000</v>
      </c>
      <c r="AQ40" s="172">
        <f ca="1">IF(OR($D40&lt;&gt;"Serviço",AND(AUTOEVENTO="Manual",$M40=$A$15)),0,
         IF(OFFSET(CRONOPLE!$F$15,$M40-$A$15,AQ$13)="",10^12,OFFSET(CRONOPLE!$F$15,$M40-$A$15,AQ$13)))</f>
        <v>1000000000000</v>
      </c>
      <c r="AR40" s="172">
        <f ca="1">IF(OR($D40&lt;&gt;"Serviço",AND(AUTOEVENTO="Manual",$M40=$A$15)),0,
         IF(OFFSET(CRONOPLE!$F$15,$M40-$A$15,AR$13)="",10^12,OFFSET(CRONOPLE!$F$15,$M40-$A$15,AR$13)))</f>
        <v>1000000000000</v>
      </c>
      <c r="AS40" s="172">
        <f ca="1">IF(OR($D40&lt;&gt;"Serviço",AND(AUTOEVENTO="Manual",$M40=$A$15)),0,
         IF(OFFSET(CRONOPLE!$F$15,$M40-$A$15,AS$13)="",10^12,OFFSET(CRONOPLE!$F$15,$M40-$A$15,AS$13)))</f>
        <v>1000000000000</v>
      </c>
      <c r="AT40" s="172">
        <f ca="1">IF(OR($D40&lt;&gt;"Serviço",AND(AUTOEVENTO="Manual",$M40=$A$15)),0,
         IF(OFFSET(CRONOPLE!$F$15,$M40-$A$15,AT$13)="",10^12,OFFSET(CRONOPLE!$F$15,$M40-$A$15,AT$13)))</f>
        <v>1000000000000</v>
      </c>
      <c r="AU40" s="172">
        <f ca="1">IF(OR($D40&lt;&gt;"Serviço",AND(AUTOEVENTO="Manual",$M40=$A$15)),0,
         IF(OFFSET(CRONOPLE!$F$15,$M40-$A$15,AU$13)="",10^12,OFFSET(CRONOPLE!$F$15,$M40-$A$15,AU$13)))</f>
        <v>1000000000000</v>
      </c>
      <c r="AV40" s="172">
        <f ca="1">IF(OR($D40&lt;&gt;"Serviço",AND(AUTOEVENTO="Manual",$M40=$A$15)),0,
         IF(OFFSET(CRONOPLE!$F$15,$M40-$A$15,AV$13)="",10^12,OFFSET(CRONOPLE!$F$15,$M40-$A$15,AV$13)))</f>
        <v>1000000000000</v>
      </c>
      <c r="AX40" s="173">
        <f ca="1">IF(OR($D40&lt;&gt;"Serviço",AND(AUTOEVENTO="Manual",$M40=$A$15),$M40&gt;(ROW(PLE.lastrow)-ROW(PLE.firstrow))),0,
           IF(OFFSET(PLE!$G$15,$M40-$A$15,AX$13)="",10^12,OFFSET(PLE!$G$15,$M40-$A$15,AX$13)))</f>
        <v>1000000000000</v>
      </c>
      <c r="AY40" s="173">
        <f ca="1">IF(OR($D40&lt;&gt;"Serviço",AND(AUTOEVENTO="Manual",$M40=$A$15),$M40&gt;(ROW(PLE.lastrow)-ROW(PLE.firstrow))),0,
           IF(OFFSET(PLE!$G$15,$M40-$A$15,AY$13)="",10^12,OFFSET(PLE!$G$15,$M40-$A$15,AY$13)))</f>
        <v>1000000000000</v>
      </c>
      <c r="AZ40" s="173">
        <f ca="1">IF(OR($D40&lt;&gt;"Serviço",AND(AUTOEVENTO="Manual",$M40=$A$15),$M40&gt;(ROW(PLE.lastrow)-ROW(PLE.firstrow))),0,
           IF(OFFSET(PLE!$G$15,$M40-$A$15,AZ$13)="",10^12,OFFSET(PLE!$G$15,$M40-$A$15,AZ$13)))</f>
        <v>1000000000000</v>
      </c>
      <c r="BA40" s="173">
        <f ca="1">IF(OR($D40&lt;&gt;"Serviço",AND(AUTOEVENTO="Manual",$M40=$A$15),$M40&gt;(ROW(PLE.lastrow)-ROW(PLE.firstrow))),0,
           IF(OFFSET(PLE!$G$15,$M40-$A$15,BA$13)="",10^12,OFFSET(PLE!$G$15,$M40-$A$15,BA$13)))</f>
        <v>1000000000000</v>
      </c>
      <c r="BB40" s="173">
        <f ca="1">IF(OR($D40&lt;&gt;"Serviço",AND(AUTOEVENTO="Manual",$M40=$A$15),$M40&gt;(ROW(PLE.lastrow)-ROW(PLE.firstrow))),0,
           IF(OFFSET(PLE!$G$15,$M40-$A$15,BB$13)="",10^12,OFFSET(PLE!$G$15,$M40-$A$15,BB$13)))</f>
        <v>1000000000000</v>
      </c>
      <c r="BC40" s="173">
        <f ca="1">IF(OR($D40&lt;&gt;"Serviço",AND(AUTOEVENTO="Manual",$M40=$A$15),$M40&gt;(ROW(PLE.lastrow)-ROW(PLE.firstrow))),0,
           IF(OFFSET(PLE!$G$15,$M40-$A$15,BC$13)="",10^12,OFFSET(PLE!$G$15,$M40-$A$15,BC$13)))</f>
        <v>1000000000000</v>
      </c>
      <c r="BD40" s="173">
        <f ca="1">IF(OR($D40&lt;&gt;"Serviço",AND(AUTOEVENTO="Manual",$M40=$A$15),$M40&gt;(ROW(PLE.lastrow)-ROW(PLE.firstrow))),0,
           IF(OFFSET(PLE!$G$15,$M40-$A$15,BD$13)="",10^12,OFFSET(PLE!$G$15,$M40-$A$15,BD$13)))</f>
        <v>1000000000000</v>
      </c>
      <c r="BE40" s="173">
        <f ca="1">IF(OR($D40&lt;&gt;"Serviço",AND(AUTOEVENTO="Manual",$M40=$A$15),$M40&gt;(ROW(PLE.lastrow)-ROW(PLE.firstrow))),0,
           IF(OFFSET(PLE!$G$15,$M40-$A$15,BE$13)="",10^12,OFFSET(PLE!$G$15,$M40-$A$15,BE$13)))</f>
        <v>1000000000000</v>
      </c>
      <c r="BF40" s="173">
        <f ca="1">IF(OR($D40&lt;&gt;"Serviço",AND(AUTOEVENTO="Manual",$M40=$A$15),$M40&gt;(ROW(PLE.lastrow)-ROW(PLE.firstrow))),0,
           IF(OFFSET(PLE!$G$15,$M40-$A$15,BF$13)="",10^12,OFFSET(PLE!$G$15,$M40-$A$15,BF$13)))</f>
        <v>1000000000000</v>
      </c>
      <c r="BG40" s="173">
        <f ca="1">IF(OR($D40&lt;&gt;"Serviço",AND(AUTOEVENTO="Manual",$M40=$A$15),$M40&gt;(ROW(PLE.lastrow)-ROW(PLE.firstrow))),0,
           IF(OFFSET(PLE!$G$15,$M40-$A$15,BG$13)="",10^12,OFFSET(PLE!$G$15,$M40-$A$15,BG$13)))</f>
        <v>1000000000000</v>
      </c>
    </row>
    <row r="41" spans="1:59" ht="12.75" x14ac:dyDescent="0.2">
      <c r="A41" s="7" t="str">
        <f t="shared" ca="1" si="8"/>
        <v>26.</v>
      </c>
      <c r="B41" s="7">
        <f ca="1">OFFSET(ORÇAMENTO!C$15,ROW(B41)-ROW(B$15),0)</f>
        <v>2</v>
      </c>
      <c r="C41" s="7" t="str">
        <f ca="1">OFFSET(ORÇAMENTO!L$15,ROW(C41)-ROW(C$15),0)</f>
        <v>F</v>
      </c>
      <c r="D41" s="117" t="str">
        <f ca="1">OFFSET(ORÇAMENTO!N$15,ROW(D41)-ROW(D$15),0)</f>
        <v>Nível 2</v>
      </c>
      <c r="E41" s="118" t="str">
        <f ca="1">OFFSET(ORÇAMENTO!O$15,ROW(E41)-ROW(E$15),0)</f>
        <v>1.6.</v>
      </c>
      <c r="F41" s="164" t="str">
        <f ca="1">OFFSET(ORÇAMENTO!R$15,ROW(F41)-ROW(F$15),0)</f>
        <v>COBERTURA DOS MÓDULOS</v>
      </c>
      <c r="G41" s="165" t="str">
        <f ca="1">IF($D41&lt;&gt;"Serviço","",OFFSET(ORÇAMENTO!S$15,ROW(G41)-ROW(G$15),0))</f>
        <v/>
      </c>
      <c r="H41" s="123">
        <f ca="1">IF($D41&lt;&gt;"Serviço",0,IF(ACOMPANHAMENTO="BM",ROUND(OFFSET(ORÇAMENTO!AJ$15,ROW(H41)-ROW(H$15),0),15-13*ORÇAMENTO!$AF$7),SUMPRODUCT(($Q$1:$AA$1=1)*ROUND($Q41:$AA41,15-13*ORÇAMENTO!$AF$7))))</f>
        <v>0</v>
      </c>
      <c r="I41" s="469"/>
      <c r="J41" s="577" t="str" cm="1">
        <f t="array" aca="1" ref="J41" ca="1">IF(B41&lt;&gt;"S","",IF(AND(ACOMPANHAMENTO="PLE",AUTOEVENTO="Manual",OR(H41&gt;0,ORÇAMENTO!AC41="QUANT."),OR(K41="",M41=0,N41="")),"►",IF(AND(ACOMPANHAMENTO="PLE",ORÇAMENTO!AC41="QUANT."),"►►",IF(AND(COUNTIF($P$11:$AA$11,"▼")=0,H41&gt;0,I41=""),"◄",""))))</f>
        <v/>
      </c>
      <c r="K41" s="626"/>
      <c r="L41" s="166" t="s">
        <v>765</v>
      </c>
      <c r="M41" s="167" t="str">
        <f ca="1">IF($D41&lt;&gt;"Serviço","",
          IF(AUTOEVENTO="manual",$A41,
                IF(ISERROR(MATCH($A41,$A$15:OFFSET($A41,-1,0),0)),MAX($M$15:OFFSET(M41,-1,0))+1,
                      INDEX($M$15:OFFSET(M41,-1,0),MATCH($A41,$A$15:OFFSET($A41,-1,0),0)))))</f>
        <v/>
      </c>
      <c r="N41" s="168" t="str">
        <f ca="1">IF($D41&lt;&gt;"Serviço","",
         IF(AUTOEVENTO="Manual",
                IF($A41=0,"&lt;-- defina o número do agrupador",
                       OFFSET(EVENTOS!$D$15,$A41-$A$15,0)),
                OFFSET($F$15,$A41,0)))</f>
        <v/>
      </c>
      <c r="O41" s="169"/>
      <c r="Q41" s="169"/>
      <c r="R41" s="170"/>
      <c r="S41" s="170"/>
      <c r="T41" s="170"/>
      <c r="U41" s="170"/>
      <c r="V41" s="170"/>
      <c r="W41" s="170"/>
      <c r="X41" s="170"/>
      <c r="Y41" s="170"/>
      <c r="Z41" s="171"/>
      <c r="AB41" s="454">
        <f ca="1">IF(AND($D41="Serviço",AB$12&lt;&gt;0,$H41&gt;0,OR(AUTOEVENTO&lt;&gt;"manual",$M41&lt;&gt;$A$15)),
        IF(Import.TipoArredondamento&lt;&gt;"TransfereGOV",
              ROUND(OFFSET($P41,0,AB$13),15-13*ORÇAMENTO!$AF$7)/$H41*OFFSET(ORÇAMENTO!$X$15,ROW(AB41)-ROW(AB$15),0),
              ROUND(ROUND(OFFSET($P41,0,AB$13),15-13*ORÇAMENTO!$AF$7)*OFFSET(ORÇAMENTO!$W$15,ROW(AB41)-ROW(AB$15),0),15-13*ORÇAMENTO!$AF$11)),
         0)</f>
        <v>0</v>
      </c>
      <c r="AC41" s="454">
        <f ca="1">IF(AND($D41="Serviço",AC$12&lt;&gt;0,$H41&gt;0,OR(AUTOEVENTO&lt;&gt;"manual",$M41&lt;&gt;$A$15)),
        IF(Import.TipoArredondamento&lt;&gt;"TransfereGOV",
              ROUND(OFFSET($P41,0,AC$13),15-13*ORÇAMENTO!$AF$7)/$H41*OFFSET(ORÇAMENTO!$X$15,ROW(AC41)-ROW(AC$15),0),
              ROUND(ROUND(OFFSET($P41,0,AC$13),15-13*ORÇAMENTO!$AF$7)*OFFSET(ORÇAMENTO!$W$15,ROW(AC41)-ROW(AC$15),0),15-13*ORÇAMENTO!$AF$11)),
         0)</f>
        <v>0</v>
      </c>
      <c r="AD41" s="454">
        <f ca="1">IF(AND($D41="Serviço",AD$12&lt;&gt;0,$H41&gt;0,OR(AUTOEVENTO&lt;&gt;"manual",$M41&lt;&gt;$A$15)),
        IF(Import.TipoArredondamento&lt;&gt;"TransfereGOV",
              ROUND(OFFSET($P41,0,AD$13),15-13*ORÇAMENTO!$AF$7)/$H41*OFFSET(ORÇAMENTO!$X$15,ROW(AD41)-ROW(AD$15),0),
              ROUND(ROUND(OFFSET($P41,0,AD$13),15-13*ORÇAMENTO!$AF$7)*OFFSET(ORÇAMENTO!$W$15,ROW(AD41)-ROW(AD$15),0),15-13*ORÇAMENTO!$AF$11)),
         0)</f>
        <v>0</v>
      </c>
      <c r="AE41" s="454">
        <f ca="1">IF(AND($D41="Serviço",AE$12&lt;&gt;0,$H41&gt;0,OR(AUTOEVENTO&lt;&gt;"manual",$M41&lt;&gt;$A$15)),
        IF(Import.TipoArredondamento&lt;&gt;"TransfereGOV",
              ROUND(OFFSET($P41,0,AE$13),15-13*ORÇAMENTO!$AF$7)/$H41*OFFSET(ORÇAMENTO!$X$15,ROW(AE41)-ROW(AE$15),0),
              ROUND(ROUND(OFFSET($P41,0,AE$13),15-13*ORÇAMENTO!$AF$7)*OFFSET(ORÇAMENTO!$W$15,ROW(AE41)-ROW(AE$15),0),15-13*ORÇAMENTO!$AF$11)),
         0)</f>
        <v>0</v>
      </c>
      <c r="AF41" s="454">
        <f ca="1">IF(AND($D41="Serviço",AF$12&lt;&gt;0,$H41&gt;0,OR(AUTOEVENTO&lt;&gt;"manual",$M41&lt;&gt;$A$15)),
        IF(Import.TipoArredondamento&lt;&gt;"TransfereGOV",
              ROUND(OFFSET($P41,0,AF$13),15-13*ORÇAMENTO!$AF$7)/$H41*OFFSET(ORÇAMENTO!$X$15,ROW(AF41)-ROW(AF$15),0),
              ROUND(ROUND(OFFSET($P41,0,AF$13),15-13*ORÇAMENTO!$AF$7)*OFFSET(ORÇAMENTO!$W$15,ROW(AF41)-ROW(AF$15),0),15-13*ORÇAMENTO!$AF$11)),
         0)</f>
        <v>0</v>
      </c>
      <c r="AG41" s="454">
        <f ca="1">IF(AND($D41="Serviço",AG$12&lt;&gt;0,$H41&gt;0,OR(AUTOEVENTO&lt;&gt;"manual",$M41&lt;&gt;$A$15)),
        IF(Import.TipoArredondamento&lt;&gt;"TransfereGOV",
              ROUND(OFFSET($P41,0,AG$13),15-13*ORÇAMENTO!$AF$7)/$H41*OFFSET(ORÇAMENTO!$X$15,ROW(AG41)-ROW(AG$15),0),
              ROUND(ROUND(OFFSET($P41,0,AG$13),15-13*ORÇAMENTO!$AF$7)*OFFSET(ORÇAMENTO!$W$15,ROW(AG41)-ROW(AG$15),0),15-13*ORÇAMENTO!$AF$11)),
         0)</f>
        <v>0</v>
      </c>
      <c r="AH41" s="454">
        <f ca="1">IF(AND($D41="Serviço",AH$12&lt;&gt;0,$H41&gt;0,OR(AUTOEVENTO&lt;&gt;"manual",$M41&lt;&gt;$A$15)),
        IF(Import.TipoArredondamento&lt;&gt;"TransfereGOV",
              ROUND(OFFSET($P41,0,AH$13),15-13*ORÇAMENTO!$AF$7)/$H41*OFFSET(ORÇAMENTO!$X$15,ROW(AH41)-ROW(AH$15),0),
              ROUND(ROUND(OFFSET($P41,0,AH$13),15-13*ORÇAMENTO!$AF$7)*OFFSET(ORÇAMENTO!$W$15,ROW(AH41)-ROW(AH$15),0),15-13*ORÇAMENTO!$AF$11)),
         0)</f>
        <v>0</v>
      </c>
      <c r="AI41" s="454">
        <f ca="1">IF(AND($D41="Serviço",AI$12&lt;&gt;0,$H41&gt;0,OR(AUTOEVENTO&lt;&gt;"manual",$M41&lt;&gt;$A$15)),
        IF(Import.TipoArredondamento&lt;&gt;"TransfereGOV",
              ROUND(OFFSET($P41,0,AI$13),15-13*ORÇAMENTO!$AF$7)/$H41*OFFSET(ORÇAMENTO!$X$15,ROW(AI41)-ROW(AI$15),0),
              ROUND(ROUND(OFFSET($P41,0,AI$13),15-13*ORÇAMENTO!$AF$7)*OFFSET(ORÇAMENTO!$W$15,ROW(AI41)-ROW(AI$15),0),15-13*ORÇAMENTO!$AF$11)),
         0)</f>
        <v>0</v>
      </c>
      <c r="AJ41" s="454">
        <f ca="1">IF(AND($D41="Serviço",AJ$12&lt;&gt;0,$H41&gt;0,OR(AUTOEVENTO&lt;&gt;"manual",$M41&lt;&gt;$A$15)),
        IF(Import.TipoArredondamento&lt;&gt;"TransfereGOV",
              ROUND(OFFSET($P41,0,AJ$13),15-13*ORÇAMENTO!$AF$7)/$H41*OFFSET(ORÇAMENTO!$X$15,ROW(AJ41)-ROW(AJ$15),0),
              ROUND(ROUND(OFFSET($P41,0,AJ$13),15-13*ORÇAMENTO!$AF$7)*OFFSET(ORÇAMENTO!$W$15,ROW(AJ41)-ROW(AJ$15),0),15-13*ORÇAMENTO!$AF$11)),
         0)</f>
        <v>0</v>
      </c>
      <c r="AK41" s="454">
        <f ca="1">IF(AND($D41="Serviço",AK$12&lt;&gt;0,$H41&gt;0,OR(AUTOEVENTO&lt;&gt;"manual",$M41&lt;&gt;$A$15)),
        IF(Import.TipoArredondamento&lt;&gt;"TransfereGOV",
              ROUND(OFFSET($P41,0,AK$13),15-13*ORÇAMENTO!$AF$7)/$H41*OFFSET(ORÇAMENTO!$X$15,ROW(AK41)-ROW(AK$15),0),
              ROUND(ROUND(OFFSET($P41,0,AK$13),15-13*ORÇAMENTO!$AF$7)*OFFSET(ORÇAMENTO!$W$15,ROW(AK41)-ROW(AK$15),0),15-13*ORÇAMENTO!$AF$11)),
         0)</f>
        <v>0</v>
      </c>
      <c r="AM41" s="172">
        <f ca="1">IF(OR($D41&lt;&gt;"Serviço",AND(AUTOEVENTO="Manual",$M41=$A$15)),0,
         IF(OFFSET(CRONOPLE!$F$15,$M41-$A$15,AM$13)="",10^12,OFFSET(CRONOPLE!$F$15,$M41-$A$15,AM$13)))</f>
        <v>0</v>
      </c>
      <c r="AN41" s="172">
        <f ca="1">IF(OR($D41&lt;&gt;"Serviço",AND(AUTOEVENTO="Manual",$M41=$A$15)),0,
         IF(OFFSET(CRONOPLE!$F$15,$M41-$A$15,AN$13)="",10^12,OFFSET(CRONOPLE!$F$15,$M41-$A$15,AN$13)))</f>
        <v>0</v>
      </c>
      <c r="AO41" s="172">
        <f ca="1">IF(OR($D41&lt;&gt;"Serviço",AND(AUTOEVENTO="Manual",$M41=$A$15)),0,
         IF(OFFSET(CRONOPLE!$F$15,$M41-$A$15,AO$13)="",10^12,OFFSET(CRONOPLE!$F$15,$M41-$A$15,AO$13)))</f>
        <v>0</v>
      </c>
      <c r="AP41" s="172">
        <f ca="1">IF(OR($D41&lt;&gt;"Serviço",AND(AUTOEVENTO="Manual",$M41=$A$15)),0,
         IF(OFFSET(CRONOPLE!$F$15,$M41-$A$15,AP$13)="",10^12,OFFSET(CRONOPLE!$F$15,$M41-$A$15,AP$13)))</f>
        <v>0</v>
      </c>
      <c r="AQ41" s="172">
        <f ca="1">IF(OR($D41&lt;&gt;"Serviço",AND(AUTOEVENTO="Manual",$M41=$A$15)),0,
         IF(OFFSET(CRONOPLE!$F$15,$M41-$A$15,AQ$13)="",10^12,OFFSET(CRONOPLE!$F$15,$M41-$A$15,AQ$13)))</f>
        <v>0</v>
      </c>
      <c r="AR41" s="172">
        <f ca="1">IF(OR($D41&lt;&gt;"Serviço",AND(AUTOEVENTO="Manual",$M41=$A$15)),0,
         IF(OFFSET(CRONOPLE!$F$15,$M41-$A$15,AR$13)="",10^12,OFFSET(CRONOPLE!$F$15,$M41-$A$15,AR$13)))</f>
        <v>0</v>
      </c>
      <c r="AS41" s="172">
        <f ca="1">IF(OR($D41&lt;&gt;"Serviço",AND(AUTOEVENTO="Manual",$M41=$A$15)),0,
         IF(OFFSET(CRONOPLE!$F$15,$M41-$A$15,AS$13)="",10^12,OFFSET(CRONOPLE!$F$15,$M41-$A$15,AS$13)))</f>
        <v>0</v>
      </c>
      <c r="AT41" s="172">
        <f ca="1">IF(OR($D41&lt;&gt;"Serviço",AND(AUTOEVENTO="Manual",$M41=$A$15)),0,
         IF(OFFSET(CRONOPLE!$F$15,$M41-$A$15,AT$13)="",10^12,OFFSET(CRONOPLE!$F$15,$M41-$A$15,AT$13)))</f>
        <v>0</v>
      </c>
      <c r="AU41" s="172">
        <f ca="1">IF(OR($D41&lt;&gt;"Serviço",AND(AUTOEVENTO="Manual",$M41=$A$15)),0,
         IF(OFFSET(CRONOPLE!$F$15,$M41-$A$15,AU$13)="",10^12,OFFSET(CRONOPLE!$F$15,$M41-$A$15,AU$13)))</f>
        <v>0</v>
      </c>
      <c r="AV41" s="172">
        <f ca="1">IF(OR($D41&lt;&gt;"Serviço",AND(AUTOEVENTO="Manual",$M41=$A$15)),0,
         IF(OFFSET(CRONOPLE!$F$15,$M41-$A$15,AV$13)="",10^12,OFFSET(CRONOPLE!$F$15,$M41-$A$15,AV$13)))</f>
        <v>0</v>
      </c>
      <c r="AX41" s="173">
        <f ca="1">IF(OR($D41&lt;&gt;"Serviço",AND(AUTOEVENTO="Manual",$M41=$A$15),$M41&gt;(ROW(PLE.lastrow)-ROW(PLE.firstrow))),0,
           IF(OFFSET(PLE!$G$15,$M41-$A$15,AX$13)="",10^12,OFFSET(PLE!$G$15,$M41-$A$15,AX$13)))</f>
        <v>0</v>
      </c>
      <c r="AY41" s="173">
        <f ca="1">IF(OR($D41&lt;&gt;"Serviço",AND(AUTOEVENTO="Manual",$M41=$A$15),$M41&gt;(ROW(PLE.lastrow)-ROW(PLE.firstrow))),0,
           IF(OFFSET(PLE!$G$15,$M41-$A$15,AY$13)="",10^12,OFFSET(PLE!$G$15,$M41-$A$15,AY$13)))</f>
        <v>0</v>
      </c>
      <c r="AZ41" s="173">
        <f ca="1">IF(OR($D41&lt;&gt;"Serviço",AND(AUTOEVENTO="Manual",$M41=$A$15),$M41&gt;(ROW(PLE.lastrow)-ROW(PLE.firstrow))),0,
           IF(OFFSET(PLE!$G$15,$M41-$A$15,AZ$13)="",10^12,OFFSET(PLE!$G$15,$M41-$A$15,AZ$13)))</f>
        <v>0</v>
      </c>
      <c r="BA41" s="173">
        <f ca="1">IF(OR($D41&lt;&gt;"Serviço",AND(AUTOEVENTO="Manual",$M41=$A$15),$M41&gt;(ROW(PLE.lastrow)-ROW(PLE.firstrow))),0,
           IF(OFFSET(PLE!$G$15,$M41-$A$15,BA$13)="",10^12,OFFSET(PLE!$G$15,$M41-$A$15,BA$13)))</f>
        <v>0</v>
      </c>
      <c r="BB41" s="173">
        <f ca="1">IF(OR($D41&lt;&gt;"Serviço",AND(AUTOEVENTO="Manual",$M41=$A$15),$M41&gt;(ROW(PLE.lastrow)-ROW(PLE.firstrow))),0,
           IF(OFFSET(PLE!$G$15,$M41-$A$15,BB$13)="",10^12,OFFSET(PLE!$G$15,$M41-$A$15,BB$13)))</f>
        <v>0</v>
      </c>
      <c r="BC41" s="173">
        <f ca="1">IF(OR($D41&lt;&gt;"Serviço",AND(AUTOEVENTO="Manual",$M41=$A$15),$M41&gt;(ROW(PLE.lastrow)-ROW(PLE.firstrow))),0,
           IF(OFFSET(PLE!$G$15,$M41-$A$15,BC$13)="",10^12,OFFSET(PLE!$G$15,$M41-$A$15,BC$13)))</f>
        <v>0</v>
      </c>
      <c r="BD41" s="173">
        <f ca="1">IF(OR($D41&lt;&gt;"Serviço",AND(AUTOEVENTO="Manual",$M41=$A$15),$M41&gt;(ROW(PLE.lastrow)-ROW(PLE.firstrow))),0,
           IF(OFFSET(PLE!$G$15,$M41-$A$15,BD$13)="",10^12,OFFSET(PLE!$G$15,$M41-$A$15,BD$13)))</f>
        <v>0</v>
      </c>
      <c r="BE41" s="173">
        <f ca="1">IF(OR($D41&lt;&gt;"Serviço",AND(AUTOEVENTO="Manual",$M41=$A$15),$M41&gt;(ROW(PLE.lastrow)-ROW(PLE.firstrow))),0,
           IF(OFFSET(PLE!$G$15,$M41-$A$15,BE$13)="",10^12,OFFSET(PLE!$G$15,$M41-$A$15,BE$13)))</f>
        <v>0</v>
      </c>
      <c r="BF41" s="173">
        <f ca="1">IF(OR($D41&lt;&gt;"Serviço",AND(AUTOEVENTO="Manual",$M41=$A$15),$M41&gt;(ROW(PLE.lastrow)-ROW(PLE.firstrow))),0,
           IF(OFFSET(PLE!$G$15,$M41-$A$15,BF$13)="",10^12,OFFSET(PLE!$G$15,$M41-$A$15,BF$13)))</f>
        <v>0</v>
      </c>
      <c r="BG41" s="173">
        <f ca="1">IF(OR($D41&lt;&gt;"Serviço",AND(AUTOEVENTO="Manual",$M41=$A$15),$M41&gt;(ROW(PLE.lastrow)-ROW(PLE.firstrow))),0,
           IF(OFFSET(PLE!$G$15,$M41-$A$15,BG$13)="",10^12,OFFSET(PLE!$G$15,$M41-$A$15,BG$13)))</f>
        <v>0</v>
      </c>
    </row>
    <row r="42" spans="1:59" ht="25.5" x14ac:dyDescent="0.2">
      <c r="A42" s="7" t="str">
        <f t="shared" ca="1" si="8"/>
        <v>26</v>
      </c>
      <c r="B42" s="7" t="str">
        <f ca="1">OFFSET(ORÇAMENTO!C$15,ROW(B42)-ROW(B$15),0)</f>
        <v>S</v>
      </c>
      <c r="C42" s="7" t="str">
        <f ca="1">OFFSET(ORÇAMENTO!L$15,ROW(C42)-ROW(C$15),0)</f>
        <v/>
      </c>
      <c r="D42" s="117" t="str">
        <f ca="1">OFFSET(ORÇAMENTO!N$15,ROW(D42)-ROW(D$15),0)</f>
        <v>Serviço</v>
      </c>
      <c r="E42" s="118" t="str">
        <f ca="1">OFFSET(ORÇAMENTO!O$15,ROW(E42)-ROW(E$15),0)</f>
        <v>-</v>
      </c>
      <c r="F42" s="164" t="str">
        <f ca="1">OFFSET(ORÇAMENTO!R$15,ROW(F42)-ROW(F$15),0)</f>
        <v>TELHAMENTO COM TELHA METÁLICA TERMOACÚSTICA E = 30 MM, COM ATÉ 2 ÁGUAS, INCLUSO IÇAMENTO. AF_07/2019</v>
      </c>
      <c r="G42" s="165" t="str">
        <f ca="1">IF($D42&lt;&gt;"Serviço","",OFFSET(ORÇAMENTO!S$15,ROW(G42)-ROW(G$15),0))</f>
        <v>M2</v>
      </c>
      <c r="H42" s="123">
        <f ca="1">IF($D42&lt;&gt;"Serviço",0,IF(ACOMPANHAMENTO="BM",ROUND(OFFSET(ORÇAMENTO!AJ$15,ROW(H42)-ROW(H$15),0),15-13*ORÇAMENTO!$AF$7),SUMPRODUCT(($Q$1:$AA$1=1)*ROUND($Q42:$AA42,15-13*ORÇAMENTO!$AF$7))))</f>
        <v>1541.5</v>
      </c>
      <c r="I42" s="469"/>
      <c r="J42" s="577" t="str" cm="1">
        <f t="array" aca="1" ref="J42" ca="1">IF(B42&lt;&gt;"S","",IF(AND(ACOMPANHAMENTO="PLE",AUTOEVENTO="Manual",OR(H42&gt;0,ORÇAMENTO!AC42="QUANT."),OR(K42="",M42=0,N42="")),"►",IF(AND(ACOMPANHAMENTO="PLE",ORÇAMENTO!AC42="QUANT."),"►►",IF(AND(COUNTIF($P$11:$AA$11,"▼")=0,H42&gt;0,I42=""),"◄",""))))</f>
        <v>◄</v>
      </c>
      <c r="K42" s="626"/>
      <c r="L42" s="166" t="s">
        <v>765</v>
      </c>
      <c r="M42" s="167">
        <f ca="1">IF($D42&lt;&gt;"Serviço","",
          IF(AUTOEVENTO="manual",$A42,
                IF(ISERROR(MATCH($A42,$A$15:OFFSET($A42,-1,0),0)),MAX($M$15:OFFSET(M42,-1,0))+1,
                      INDEX($M$15:OFFSET(M42,-1,0),MATCH($A42,$A$15:OFFSET($A42,-1,0),0)))))</f>
        <v>6</v>
      </c>
      <c r="N42" s="168" t="str">
        <f ca="1">IF($D42&lt;&gt;"Serviço","",
         IF(AUTOEVENTO="Manual",
                IF($A42=0,"&lt;-- defina o número do agrupador",
                       OFFSET(EVENTOS!$D$15,$A42-$A$15,0)),
                OFFSET($F$15,$A42,0)))</f>
        <v>COBERTURA DOS MÓDULOS</v>
      </c>
      <c r="O42" s="169"/>
      <c r="Q42" s="169"/>
      <c r="R42" s="170"/>
      <c r="S42" s="170"/>
      <c r="T42" s="170"/>
      <c r="U42" s="170"/>
      <c r="V42" s="170"/>
      <c r="W42" s="170"/>
      <c r="X42" s="170"/>
      <c r="Y42" s="170"/>
      <c r="Z42" s="171"/>
      <c r="AB42" s="454">
        <f ca="1">IF(AND($D42="Serviço",AB$12&lt;&gt;0,$H42&gt;0,OR(AUTOEVENTO&lt;&gt;"manual",$M42&lt;&gt;$A$15)),
        IF(Import.TipoArredondamento&lt;&gt;"TransfereGOV",
              ROUND(OFFSET($P42,0,AB$13),15-13*ORÇAMENTO!$AF$7)/$H42*OFFSET(ORÇAMENTO!$X$15,ROW(AB42)-ROW(AB$15),0),
              ROUND(ROUND(OFFSET($P42,0,AB$13),15-13*ORÇAMENTO!$AF$7)*OFFSET(ORÇAMENTO!$W$15,ROW(AB42)-ROW(AB$15),0),15-13*ORÇAMENTO!$AF$11)),
         0)</f>
        <v>0</v>
      </c>
      <c r="AC42" s="454">
        <f ca="1">IF(AND($D42="Serviço",AC$12&lt;&gt;0,$H42&gt;0,OR(AUTOEVENTO&lt;&gt;"manual",$M42&lt;&gt;$A$15)),
        IF(Import.TipoArredondamento&lt;&gt;"TransfereGOV",
              ROUND(OFFSET($P42,0,AC$13),15-13*ORÇAMENTO!$AF$7)/$H42*OFFSET(ORÇAMENTO!$X$15,ROW(AC42)-ROW(AC$15),0),
              ROUND(ROUND(OFFSET($P42,0,AC$13),15-13*ORÇAMENTO!$AF$7)*OFFSET(ORÇAMENTO!$W$15,ROW(AC42)-ROW(AC$15),0),15-13*ORÇAMENTO!$AF$11)),
         0)</f>
        <v>0</v>
      </c>
      <c r="AD42" s="454">
        <f ca="1">IF(AND($D42="Serviço",AD$12&lt;&gt;0,$H42&gt;0,OR(AUTOEVENTO&lt;&gt;"manual",$M42&lt;&gt;$A$15)),
        IF(Import.TipoArredondamento&lt;&gt;"TransfereGOV",
              ROUND(OFFSET($P42,0,AD$13),15-13*ORÇAMENTO!$AF$7)/$H42*OFFSET(ORÇAMENTO!$X$15,ROW(AD42)-ROW(AD$15),0),
              ROUND(ROUND(OFFSET($P42,0,AD$13),15-13*ORÇAMENTO!$AF$7)*OFFSET(ORÇAMENTO!$W$15,ROW(AD42)-ROW(AD$15),0),15-13*ORÇAMENTO!$AF$11)),
         0)</f>
        <v>0</v>
      </c>
      <c r="AE42" s="454">
        <f ca="1">IF(AND($D42="Serviço",AE$12&lt;&gt;0,$H42&gt;0,OR(AUTOEVENTO&lt;&gt;"manual",$M42&lt;&gt;$A$15)),
        IF(Import.TipoArredondamento&lt;&gt;"TransfereGOV",
              ROUND(OFFSET($P42,0,AE$13),15-13*ORÇAMENTO!$AF$7)/$H42*OFFSET(ORÇAMENTO!$X$15,ROW(AE42)-ROW(AE$15),0),
              ROUND(ROUND(OFFSET($P42,0,AE$13),15-13*ORÇAMENTO!$AF$7)*OFFSET(ORÇAMENTO!$W$15,ROW(AE42)-ROW(AE$15),0),15-13*ORÇAMENTO!$AF$11)),
         0)</f>
        <v>0</v>
      </c>
      <c r="AF42" s="454">
        <f ca="1">IF(AND($D42="Serviço",AF$12&lt;&gt;0,$H42&gt;0,OR(AUTOEVENTO&lt;&gt;"manual",$M42&lt;&gt;$A$15)),
        IF(Import.TipoArredondamento&lt;&gt;"TransfereGOV",
              ROUND(OFFSET($P42,0,AF$13),15-13*ORÇAMENTO!$AF$7)/$H42*OFFSET(ORÇAMENTO!$X$15,ROW(AF42)-ROW(AF$15),0),
              ROUND(ROUND(OFFSET($P42,0,AF$13),15-13*ORÇAMENTO!$AF$7)*OFFSET(ORÇAMENTO!$W$15,ROW(AF42)-ROW(AF$15),0),15-13*ORÇAMENTO!$AF$11)),
         0)</f>
        <v>0</v>
      </c>
      <c r="AG42" s="454">
        <f ca="1">IF(AND($D42="Serviço",AG$12&lt;&gt;0,$H42&gt;0,OR(AUTOEVENTO&lt;&gt;"manual",$M42&lt;&gt;$A$15)),
        IF(Import.TipoArredondamento&lt;&gt;"TransfereGOV",
              ROUND(OFFSET($P42,0,AG$13),15-13*ORÇAMENTO!$AF$7)/$H42*OFFSET(ORÇAMENTO!$X$15,ROW(AG42)-ROW(AG$15),0),
              ROUND(ROUND(OFFSET($P42,0,AG$13),15-13*ORÇAMENTO!$AF$7)*OFFSET(ORÇAMENTO!$W$15,ROW(AG42)-ROW(AG$15),0),15-13*ORÇAMENTO!$AF$11)),
         0)</f>
        <v>0</v>
      </c>
      <c r="AH42" s="454">
        <f ca="1">IF(AND($D42="Serviço",AH$12&lt;&gt;0,$H42&gt;0,OR(AUTOEVENTO&lt;&gt;"manual",$M42&lt;&gt;$A$15)),
        IF(Import.TipoArredondamento&lt;&gt;"TransfereGOV",
              ROUND(OFFSET($P42,0,AH$13),15-13*ORÇAMENTO!$AF$7)/$H42*OFFSET(ORÇAMENTO!$X$15,ROW(AH42)-ROW(AH$15),0),
              ROUND(ROUND(OFFSET($P42,0,AH$13),15-13*ORÇAMENTO!$AF$7)*OFFSET(ORÇAMENTO!$W$15,ROW(AH42)-ROW(AH$15),0),15-13*ORÇAMENTO!$AF$11)),
         0)</f>
        <v>0</v>
      </c>
      <c r="AI42" s="454">
        <f ca="1">IF(AND($D42="Serviço",AI$12&lt;&gt;0,$H42&gt;0,OR(AUTOEVENTO&lt;&gt;"manual",$M42&lt;&gt;$A$15)),
        IF(Import.TipoArredondamento&lt;&gt;"TransfereGOV",
              ROUND(OFFSET($P42,0,AI$13),15-13*ORÇAMENTO!$AF$7)/$H42*OFFSET(ORÇAMENTO!$X$15,ROW(AI42)-ROW(AI$15),0),
              ROUND(ROUND(OFFSET($P42,0,AI$13),15-13*ORÇAMENTO!$AF$7)*OFFSET(ORÇAMENTO!$W$15,ROW(AI42)-ROW(AI$15),0),15-13*ORÇAMENTO!$AF$11)),
         0)</f>
        <v>0</v>
      </c>
      <c r="AJ42" s="454">
        <f ca="1">IF(AND($D42="Serviço",AJ$12&lt;&gt;0,$H42&gt;0,OR(AUTOEVENTO&lt;&gt;"manual",$M42&lt;&gt;$A$15)),
        IF(Import.TipoArredondamento&lt;&gt;"TransfereGOV",
              ROUND(OFFSET($P42,0,AJ$13),15-13*ORÇAMENTO!$AF$7)/$H42*OFFSET(ORÇAMENTO!$X$15,ROW(AJ42)-ROW(AJ$15),0),
              ROUND(ROUND(OFFSET($P42,0,AJ$13),15-13*ORÇAMENTO!$AF$7)*OFFSET(ORÇAMENTO!$W$15,ROW(AJ42)-ROW(AJ$15),0),15-13*ORÇAMENTO!$AF$11)),
         0)</f>
        <v>0</v>
      </c>
      <c r="AK42" s="454">
        <f ca="1">IF(AND($D42="Serviço",AK$12&lt;&gt;0,$H42&gt;0,OR(AUTOEVENTO&lt;&gt;"manual",$M42&lt;&gt;$A$15)),
        IF(Import.TipoArredondamento&lt;&gt;"TransfereGOV",
              ROUND(OFFSET($P42,0,AK$13),15-13*ORÇAMENTO!$AF$7)/$H42*OFFSET(ORÇAMENTO!$X$15,ROW(AK42)-ROW(AK$15),0),
              ROUND(ROUND(OFFSET($P42,0,AK$13),15-13*ORÇAMENTO!$AF$7)*OFFSET(ORÇAMENTO!$W$15,ROW(AK42)-ROW(AK$15),0),15-13*ORÇAMENTO!$AF$11)),
         0)</f>
        <v>0</v>
      </c>
      <c r="AM42" s="172">
        <f ca="1">IF(OR($D42&lt;&gt;"Serviço",AND(AUTOEVENTO="Manual",$M42=$A$15)),0,
         IF(OFFSET(CRONOPLE!$F$15,$M42-$A$15,AM$13)="",10^12,OFFSET(CRONOPLE!$F$15,$M42-$A$15,AM$13)))</f>
        <v>1000000000000</v>
      </c>
      <c r="AN42" s="172">
        <f ca="1">IF(OR($D42&lt;&gt;"Serviço",AND(AUTOEVENTO="Manual",$M42=$A$15)),0,
         IF(OFFSET(CRONOPLE!$F$15,$M42-$A$15,AN$13)="",10^12,OFFSET(CRONOPLE!$F$15,$M42-$A$15,AN$13)))</f>
        <v>1000000000000</v>
      </c>
      <c r="AO42" s="172">
        <f ca="1">IF(OR($D42&lt;&gt;"Serviço",AND(AUTOEVENTO="Manual",$M42=$A$15)),0,
         IF(OFFSET(CRONOPLE!$F$15,$M42-$A$15,AO$13)="",10^12,OFFSET(CRONOPLE!$F$15,$M42-$A$15,AO$13)))</f>
        <v>1000000000000</v>
      </c>
      <c r="AP42" s="172">
        <f ca="1">IF(OR($D42&lt;&gt;"Serviço",AND(AUTOEVENTO="Manual",$M42=$A$15)),0,
         IF(OFFSET(CRONOPLE!$F$15,$M42-$A$15,AP$13)="",10^12,OFFSET(CRONOPLE!$F$15,$M42-$A$15,AP$13)))</f>
        <v>1000000000000</v>
      </c>
      <c r="AQ42" s="172">
        <f ca="1">IF(OR($D42&lt;&gt;"Serviço",AND(AUTOEVENTO="Manual",$M42=$A$15)),0,
         IF(OFFSET(CRONOPLE!$F$15,$M42-$A$15,AQ$13)="",10^12,OFFSET(CRONOPLE!$F$15,$M42-$A$15,AQ$13)))</f>
        <v>1000000000000</v>
      </c>
      <c r="AR42" s="172">
        <f ca="1">IF(OR($D42&lt;&gt;"Serviço",AND(AUTOEVENTO="Manual",$M42=$A$15)),0,
         IF(OFFSET(CRONOPLE!$F$15,$M42-$A$15,AR$13)="",10^12,OFFSET(CRONOPLE!$F$15,$M42-$A$15,AR$13)))</f>
        <v>1000000000000</v>
      </c>
      <c r="AS42" s="172">
        <f ca="1">IF(OR($D42&lt;&gt;"Serviço",AND(AUTOEVENTO="Manual",$M42=$A$15)),0,
         IF(OFFSET(CRONOPLE!$F$15,$M42-$A$15,AS$13)="",10^12,OFFSET(CRONOPLE!$F$15,$M42-$A$15,AS$13)))</f>
        <v>1000000000000</v>
      </c>
      <c r="AT42" s="172">
        <f ca="1">IF(OR($D42&lt;&gt;"Serviço",AND(AUTOEVENTO="Manual",$M42=$A$15)),0,
         IF(OFFSET(CRONOPLE!$F$15,$M42-$A$15,AT$13)="",10^12,OFFSET(CRONOPLE!$F$15,$M42-$A$15,AT$13)))</f>
        <v>1000000000000</v>
      </c>
      <c r="AU42" s="172">
        <f ca="1">IF(OR($D42&lt;&gt;"Serviço",AND(AUTOEVENTO="Manual",$M42=$A$15)),0,
         IF(OFFSET(CRONOPLE!$F$15,$M42-$A$15,AU$13)="",10^12,OFFSET(CRONOPLE!$F$15,$M42-$A$15,AU$13)))</f>
        <v>1000000000000</v>
      </c>
      <c r="AV42" s="172">
        <f ca="1">IF(OR($D42&lt;&gt;"Serviço",AND(AUTOEVENTO="Manual",$M42=$A$15)),0,
         IF(OFFSET(CRONOPLE!$F$15,$M42-$A$15,AV$13)="",10^12,OFFSET(CRONOPLE!$F$15,$M42-$A$15,AV$13)))</f>
        <v>1000000000000</v>
      </c>
      <c r="AX42" s="173">
        <f ca="1">IF(OR($D42&lt;&gt;"Serviço",AND(AUTOEVENTO="Manual",$M42=$A$15),$M42&gt;(ROW(PLE.lastrow)-ROW(PLE.firstrow))),0,
           IF(OFFSET(PLE!$G$15,$M42-$A$15,AX$13)="",10^12,OFFSET(PLE!$G$15,$M42-$A$15,AX$13)))</f>
        <v>1000000000000</v>
      </c>
      <c r="AY42" s="173">
        <f ca="1">IF(OR($D42&lt;&gt;"Serviço",AND(AUTOEVENTO="Manual",$M42=$A$15),$M42&gt;(ROW(PLE.lastrow)-ROW(PLE.firstrow))),0,
           IF(OFFSET(PLE!$G$15,$M42-$A$15,AY$13)="",10^12,OFFSET(PLE!$G$15,$M42-$A$15,AY$13)))</f>
        <v>1000000000000</v>
      </c>
      <c r="AZ42" s="173">
        <f ca="1">IF(OR($D42&lt;&gt;"Serviço",AND(AUTOEVENTO="Manual",$M42=$A$15),$M42&gt;(ROW(PLE.lastrow)-ROW(PLE.firstrow))),0,
           IF(OFFSET(PLE!$G$15,$M42-$A$15,AZ$13)="",10^12,OFFSET(PLE!$G$15,$M42-$A$15,AZ$13)))</f>
        <v>1000000000000</v>
      </c>
      <c r="BA42" s="173">
        <f ca="1">IF(OR($D42&lt;&gt;"Serviço",AND(AUTOEVENTO="Manual",$M42=$A$15),$M42&gt;(ROW(PLE.lastrow)-ROW(PLE.firstrow))),0,
           IF(OFFSET(PLE!$G$15,$M42-$A$15,BA$13)="",10^12,OFFSET(PLE!$G$15,$M42-$A$15,BA$13)))</f>
        <v>1000000000000</v>
      </c>
      <c r="BB42" s="173">
        <f ca="1">IF(OR($D42&lt;&gt;"Serviço",AND(AUTOEVENTO="Manual",$M42=$A$15),$M42&gt;(ROW(PLE.lastrow)-ROW(PLE.firstrow))),0,
           IF(OFFSET(PLE!$G$15,$M42-$A$15,BB$13)="",10^12,OFFSET(PLE!$G$15,$M42-$A$15,BB$13)))</f>
        <v>1000000000000</v>
      </c>
      <c r="BC42" s="173">
        <f ca="1">IF(OR($D42&lt;&gt;"Serviço",AND(AUTOEVENTO="Manual",$M42=$A$15),$M42&gt;(ROW(PLE.lastrow)-ROW(PLE.firstrow))),0,
           IF(OFFSET(PLE!$G$15,$M42-$A$15,BC$13)="",10^12,OFFSET(PLE!$G$15,$M42-$A$15,BC$13)))</f>
        <v>1000000000000</v>
      </c>
      <c r="BD42" s="173">
        <f ca="1">IF(OR($D42&lt;&gt;"Serviço",AND(AUTOEVENTO="Manual",$M42=$A$15),$M42&gt;(ROW(PLE.lastrow)-ROW(PLE.firstrow))),0,
           IF(OFFSET(PLE!$G$15,$M42-$A$15,BD$13)="",10^12,OFFSET(PLE!$G$15,$M42-$A$15,BD$13)))</f>
        <v>1000000000000</v>
      </c>
      <c r="BE42" s="173">
        <f ca="1">IF(OR($D42&lt;&gt;"Serviço",AND(AUTOEVENTO="Manual",$M42=$A$15),$M42&gt;(ROW(PLE.lastrow)-ROW(PLE.firstrow))),0,
           IF(OFFSET(PLE!$G$15,$M42-$A$15,BE$13)="",10^12,OFFSET(PLE!$G$15,$M42-$A$15,BE$13)))</f>
        <v>1000000000000</v>
      </c>
      <c r="BF42" s="173">
        <f ca="1">IF(OR($D42&lt;&gt;"Serviço",AND(AUTOEVENTO="Manual",$M42=$A$15),$M42&gt;(ROW(PLE.lastrow)-ROW(PLE.firstrow))),0,
           IF(OFFSET(PLE!$G$15,$M42-$A$15,BF$13)="",10^12,OFFSET(PLE!$G$15,$M42-$A$15,BF$13)))</f>
        <v>1000000000000</v>
      </c>
      <c r="BG42" s="173">
        <f ca="1">IF(OR($D42&lt;&gt;"Serviço",AND(AUTOEVENTO="Manual",$M42=$A$15),$M42&gt;(ROW(PLE.lastrow)-ROW(PLE.firstrow))),0,
           IF(OFFSET(PLE!$G$15,$M42-$A$15,BG$13)="",10^12,OFFSET(PLE!$G$15,$M42-$A$15,BG$13)))</f>
        <v>1000000000000</v>
      </c>
    </row>
    <row r="43" spans="1:59" ht="38.25" x14ac:dyDescent="0.2">
      <c r="A43" s="7" t="str">
        <f t="shared" ca="1" si="8"/>
        <v>26</v>
      </c>
      <c r="B43" s="7" t="str">
        <f ca="1">OFFSET(ORÇAMENTO!C$15,ROW(B43)-ROW(B$15),0)</f>
        <v>S</v>
      </c>
      <c r="C43" s="7" t="str">
        <f ca="1">OFFSET(ORÇAMENTO!L$15,ROW(C43)-ROW(C$15),0)</f>
        <v/>
      </c>
      <c r="D43" s="117" t="str">
        <f ca="1">OFFSET(ORÇAMENTO!N$15,ROW(D43)-ROW(D$15),0)</f>
        <v>Serviço</v>
      </c>
      <c r="E43" s="118" t="str">
        <f ca="1">OFFSET(ORÇAMENTO!O$15,ROW(E43)-ROW(E$15),0)</f>
        <v>-</v>
      </c>
      <c r="F43" s="164" t="str">
        <f ca="1">OFFSET(ORÇAMENTO!R$15,ROW(F43)-ROW(F$15),0)</f>
        <v>CALHA EM CHAPA DE AÇO GALVANIZADO NÚMERO 24, DESENVOLVIMENTO DE 50 CM, INCLUSO TRANSPORTE VERTICAL. AF_07/2019</v>
      </c>
      <c r="G43" s="165" t="str">
        <f ca="1">IF($D43&lt;&gt;"Serviço","",OFFSET(ORÇAMENTO!S$15,ROW(G43)-ROW(G$15),0))</f>
        <v>M</v>
      </c>
      <c r="H43" s="123">
        <f ca="1">IF($D43&lt;&gt;"Serviço",0,IF(ACOMPANHAMENTO="BM",ROUND(OFFSET(ORÇAMENTO!AJ$15,ROW(H43)-ROW(H$15),0),15-13*ORÇAMENTO!$AF$7),SUMPRODUCT(($Q$1:$AA$1=1)*ROUND($Q43:$AA43,15-13*ORÇAMENTO!$AF$7))))</f>
        <v>352</v>
      </c>
      <c r="I43" s="469"/>
      <c r="J43" s="577" t="str" cm="1">
        <f t="array" aca="1" ref="J43" ca="1">IF(B43&lt;&gt;"S","",IF(AND(ACOMPANHAMENTO="PLE",AUTOEVENTO="Manual",OR(H43&gt;0,ORÇAMENTO!AC43="QUANT."),OR(K43="",M43=0,N43="")),"►",IF(AND(ACOMPANHAMENTO="PLE",ORÇAMENTO!AC43="QUANT."),"►►",IF(AND(COUNTIF($P$11:$AA$11,"▼")=0,H43&gt;0,I43=""),"◄",""))))</f>
        <v>◄</v>
      </c>
      <c r="K43" s="626"/>
      <c r="L43" s="166" t="s">
        <v>765</v>
      </c>
      <c r="M43" s="167">
        <f ca="1">IF($D43&lt;&gt;"Serviço","",
          IF(AUTOEVENTO="manual",$A43,
                IF(ISERROR(MATCH($A43,$A$15:OFFSET($A43,-1,0),0)),MAX($M$15:OFFSET(M43,-1,0))+1,
                      INDEX($M$15:OFFSET(M43,-1,0),MATCH($A43,$A$15:OFFSET($A43,-1,0),0)))))</f>
        <v>6</v>
      </c>
      <c r="N43" s="168" t="str">
        <f ca="1">IF($D43&lt;&gt;"Serviço","",
         IF(AUTOEVENTO="Manual",
                IF($A43=0,"&lt;-- defina o número do agrupador",
                       OFFSET(EVENTOS!$D$15,$A43-$A$15,0)),
                OFFSET($F$15,$A43,0)))</f>
        <v>COBERTURA DOS MÓDULOS</v>
      </c>
      <c r="O43" s="169"/>
      <c r="Q43" s="169"/>
      <c r="R43" s="170"/>
      <c r="S43" s="170"/>
      <c r="T43" s="170"/>
      <c r="U43" s="170"/>
      <c r="V43" s="170"/>
      <c r="W43" s="170"/>
      <c r="X43" s="170"/>
      <c r="Y43" s="170"/>
      <c r="Z43" s="171"/>
      <c r="AB43" s="454">
        <f ca="1">IF(AND($D43="Serviço",AB$12&lt;&gt;0,$H43&gt;0,OR(AUTOEVENTO&lt;&gt;"manual",$M43&lt;&gt;$A$15)),
        IF(Import.TipoArredondamento&lt;&gt;"TransfereGOV",
              ROUND(OFFSET($P43,0,AB$13),15-13*ORÇAMENTO!$AF$7)/$H43*OFFSET(ORÇAMENTO!$X$15,ROW(AB43)-ROW(AB$15),0),
              ROUND(ROUND(OFFSET($P43,0,AB$13),15-13*ORÇAMENTO!$AF$7)*OFFSET(ORÇAMENTO!$W$15,ROW(AB43)-ROW(AB$15),0),15-13*ORÇAMENTO!$AF$11)),
         0)</f>
        <v>0</v>
      </c>
      <c r="AC43" s="454">
        <f ca="1">IF(AND($D43="Serviço",AC$12&lt;&gt;0,$H43&gt;0,OR(AUTOEVENTO&lt;&gt;"manual",$M43&lt;&gt;$A$15)),
        IF(Import.TipoArredondamento&lt;&gt;"TransfereGOV",
              ROUND(OFFSET($P43,0,AC$13),15-13*ORÇAMENTO!$AF$7)/$H43*OFFSET(ORÇAMENTO!$X$15,ROW(AC43)-ROW(AC$15),0),
              ROUND(ROUND(OFFSET($P43,0,AC$13),15-13*ORÇAMENTO!$AF$7)*OFFSET(ORÇAMENTO!$W$15,ROW(AC43)-ROW(AC$15),0),15-13*ORÇAMENTO!$AF$11)),
         0)</f>
        <v>0</v>
      </c>
      <c r="AD43" s="454">
        <f ca="1">IF(AND($D43="Serviço",AD$12&lt;&gt;0,$H43&gt;0,OR(AUTOEVENTO&lt;&gt;"manual",$M43&lt;&gt;$A$15)),
        IF(Import.TipoArredondamento&lt;&gt;"TransfereGOV",
              ROUND(OFFSET($P43,0,AD$13),15-13*ORÇAMENTO!$AF$7)/$H43*OFFSET(ORÇAMENTO!$X$15,ROW(AD43)-ROW(AD$15),0),
              ROUND(ROUND(OFFSET($P43,0,AD$13),15-13*ORÇAMENTO!$AF$7)*OFFSET(ORÇAMENTO!$W$15,ROW(AD43)-ROW(AD$15),0),15-13*ORÇAMENTO!$AF$11)),
         0)</f>
        <v>0</v>
      </c>
      <c r="AE43" s="454">
        <f ca="1">IF(AND($D43="Serviço",AE$12&lt;&gt;0,$H43&gt;0,OR(AUTOEVENTO&lt;&gt;"manual",$M43&lt;&gt;$A$15)),
        IF(Import.TipoArredondamento&lt;&gt;"TransfereGOV",
              ROUND(OFFSET($P43,0,AE$13),15-13*ORÇAMENTO!$AF$7)/$H43*OFFSET(ORÇAMENTO!$X$15,ROW(AE43)-ROW(AE$15),0),
              ROUND(ROUND(OFFSET($P43,0,AE$13),15-13*ORÇAMENTO!$AF$7)*OFFSET(ORÇAMENTO!$W$15,ROW(AE43)-ROW(AE$15),0),15-13*ORÇAMENTO!$AF$11)),
         0)</f>
        <v>0</v>
      </c>
      <c r="AF43" s="454">
        <f ca="1">IF(AND($D43="Serviço",AF$12&lt;&gt;0,$H43&gt;0,OR(AUTOEVENTO&lt;&gt;"manual",$M43&lt;&gt;$A$15)),
        IF(Import.TipoArredondamento&lt;&gt;"TransfereGOV",
              ROUND(OFFSET($P43,0,AF$13),15-13*ORÇAMENTO!$AF$7)/$H43*OFFSET(ORÇAMENTO!$X$15,ROW(AF43)-ROW(AF$15),0),
              ROUND(ROUND(OFFSET($P43,0,AF$13),15-13*ORÇAMENTO!$AF$7)*OFFSET(ORÇAMENTO!$W$15,ROW(AF43)-ROW(AF$15),0),15-13*ORÇAMENTO!$AF$11)),
         0)</f>
        <v>0</v>
      </c>
      <c r="AG43" s="454">
        <f ca="1">IF(AND($D43="Serviço",AG$12&lt;&gt;0,$H43&gt;0,OR(AUTOEVENTO&lt;&gt;"manual",$M43&lt;&gt;$A$15)),
        IF(Import.TipoArredondamento&lt;&gt;"TransfereGOV",
              ROUND(OFFSET($P43,0,AG$13),15-13*ORÇAMENTO!$AF$7)/$H43*OFFSET(ORÇAMENTO!$X$15,ROW(AG43)-ROW(AG$15),0),
              ROUND(ROUND(OFFSET($P43,0,AG$13),15-13*ORÇAMENTO!$AF$7)*OFFSET(ORÇAMENTO!$W$15,ROW(AG43)-ROW(AG$15),0),15-13*ORÇAMENTO!$AF$11)),
         0)</f>
        <v>0</v>
      </c>
      <c r="AH43" s="454">
        <f ca="1">IF(AND($D43="Serviço",AH$12&lt;&gt;0,$H43&gt;0,OR(AUTOEVENTO&lt;&gt;"manual",$M43&lt;&gt;$A$15)),
        IF(Import.TipoArredondamento&lt;&gt;"TransfereGOV",
              ROUND(OFFSET($P43,0,AH$13),15-13*ORÇAMENTO!$AF$7)/$H43*OFFSET(ORÇAMENTO!$X$15,ROW(AH43)-ROW(AH$15),0),
              ROUND(ROUND(OFFSET($P43,0,AH$13),15-13*ORÇAMENTO!$AF$7)*OFFSET(ORÇAMENTO!$W$15,ROW(AH43)-ROW(AH$15),0),15-13*ORÇAMENTO!$AF$11)),
         0)</f>
        <v>0</v>
      </c>
      <c r="AI43" s="454">
        <f ca="1">IF(AND($D43="Serviço",AI$12&lt;&gt;0,$H43&gt;0,OR(AUTOEVENTO&lt;&gt;"manual",$M43&lt;&gt;$A$15)),
        IF(Import.TipoArredondamento&lt;&gt;"TransfereGOV",
              ROUND(OFFSET($P43,0,AI$13),15-13*ORÇAMENTO!$AF$7)/$H43*OFFSET(ORÇAMENTO!$X$15,ROW(AI43)-ROW(AI$15),0),
              ROUND(ROUND(OFFSET($P43,0,AI$13),15-13*ORÇAMENTO!$AF$7)*OFFSET(ORÇAMENTO!$W$15,ROW(AI43)-ROW(AI$15),0),15-13*ORÇAMENTO!$AF$11)),
         0)</f>
        <v>0</v>
      </c>
      <c r="AJ43" s="454">
        <f ca="1">IF(AND($D43="Serviço",AJ$12&lt;&gt;0,$H43&gt;0,OR(AUTOEVENTO&lt;&gt;"manual",$M43&lt;&gt;$A$15)),
        IF(Import.TipoArredondamento&lt;&gt;"TransfereGOV",
              ROUND(OFFSET($P43,0,AJ$13),15-13*ORÇAMENTO!$AF$7)/$H43*OFFSET(ORÇAMENTO!$X$15,ROW(AJ43)-ROW(AJ$15),0),
              ROUND(ROUND(OFFSET($P43,0,AJ$13),15-13*ORÇAMENTO!$AF$7)*OFFSET(ORÇAMENTO!$W$15,ROW(AJ43)-ROW(AJ$15),0),15-13*ORÇAMENTO!$AF$11)),
         0)</f>
        <v>0</v>
      </c>
      <c r="AK43" s="454">
        <f ca="1">IF(AND($D43="Serviço",AK$12&lt;&gt;0,$H43&gt;0,OR(AUTOEVENTO&lt;&gt;"manual",$M43&lt;&gt;$A$15)),
        IF(Import.TipoArredondamento&lt;&gt;"TransfereGOV",
              ROUND(OFFSET($P43,0,AK$13),15-13*ORÇAMENTO!$AF$7)/$H43*OFFSET(ORÇAMENTO!$X$15,ROW(AK43)-ROW(AK$15),0),
              ROUND(ROUND(OFFSET($P43,0,AK$13),15-13*ORÇAMENTO!$AF$7)*OFFSET(ORÇAMENTO!$W$15,ROW(AK43)-ROW(AK$15),0),15-13*ORÇAMENTO!$AF$11)),
         0)</f>
        <v>0</v>
      </c>
      <c r="AM43" s="172">
        <f ca="1">IF(OR($D43&lt;&gt;"Serviço",AND(AUTOEVENTO="Manual",$M43=$A$15)),0,
         IF(OFFSET(CRONOPLE!$F$15,$M43-$A$15,AM$13)="",10^12,OFFSET(CRONOPLE!$F$15,$M43-$A$15,AM$13)))</f>
        <v>1000000000000</v>
      </c>
      <c r="AN43" s="172">
        <f ca="1">IF(OR($D43&lt;&gt;"Serviço",AND(AUTOEVENTO="Manual",$M43=$A$15)),0,
         IF(OFFSET(CRONOPLE!$F$15,$M43-$A$15,AN$13)="",10^12,OFFSET(CRONOPLE!$F$15,$M43-$A$15,AN$13)))</f>
        <v>1000000000000</v>
      </c>
      <c r="AO43" s="172">
        <f ca="1">IF(OR($D43&lt;&gt;"Serviço",AND(AUTOEVENTO="Manual",$M43=$A$15)),0,
         IF(OFFSET(CRONOPLE!$F$15,$M43-$A$15,AO$13)="",10^12,OFFSET(CRONOPLE!$F$15,$M43-$A$15,AO$13)))</f>
        <v>1000000000000</v>
      </c>
      <c r="AP43" s="172">
        <f ca="1">IF(OR($D43&lt;&gt;"Serviço",AND(AUTOEVENTO="Manual",$M43=$A$15)),0,
         IF(OFFSET(CRONOPLE!$F$15,$M43-$A$15,AP$13)="",10^12,OFFSET(CRONOPLE!$F$15,$M43-$A$15,AP$13)))</f>
        <v>1000000000000</v>
      </c>
      <c r="AQ43" s="172">
        <f ca="1">IF(OR($D43&lt;&gt;"Serviço",AND(AUTOEVENTO="Manual",$M43=$A$15)),0,
         IF(OFFSET(CRONOPLE!$F$15,$M43-$A$15,AQ$13)="",10^12,OFFSET(CRONOPLE!$F$15,$M43-$A$15,AQ$13)))</f>
        <v>1000000000000</v>
      </c>
      <c r="AR43" s="172">
        <f ca="1">IF(OR($D43&lt;&gt;"Serviço",AND(AUTOEVENTO="Manual",$M43=$A$15)),0,
         IF(OFFSET(CRONOPLE!$F$15,$M43-$A$15,AR$13)="",10^12,OFFSET(CRONOPLE!$F$15,$M43-$A$15,AR$13)))</f>
        <v>1000000000000</v>
      </c>
      <c r="AS43" s="172">
        <f ca="1">IF(OR($D43&lt;&gt;"Serviço",AND(AUTOEVENTO="Manual",$M43=$A$15)),0,
         IF(OFFSET(CRONOPLE!$F$15,$M43-$A$15,AS$13)="",10^12,OFFSET(CRONOPLE!$F$15,$M43-$A$15,AS$13)))</f>
        <v>1000000000000</v>
      </c>
      <c r="AT43" s="172">
        <f ca="1">IF(OR($D43&lt;&gt;"Serviço",AND(AUTOEVENTO="Manual",$M43=$A$15)),0,
         IF(OFFSET(CRONOPLE!$F$15,$M43-$A$15,AT$13)="",10^12,OFFSET(CRONOPLE!$F$15,$M43-$A$15,AT$13)))</f>
        <v>1000000000000</v>
      </c>
      <c r="AU43" s="172">
        <f ca="1">IF(OR($D43&lt;&gt;"Serviço",AND(AUTOEVENTO="Manual",$M43=$A$15)),0,
         IF(OFFSET(CRONOPLE!$F$15,$M43-$A$15,AU$13)="",10^12,OFFSET(CRONOPLE!$F$15,$M43-$A$15,AU$13)))</f>
        <v>1000000000000</v>
      </c>
      <c r="AV43" s="172">
        <f ca="1">IF(OR($D43&lt;&gt;"Serviço",AND(AUTOEVENTO="Manual",$M43=$A$15)),0,
         IF(OFFSET(CRONOPLE!$F$15,$M43-$A$15,AV$13)="",10^12,OFFSET(CRONOPLE!$F$15,$M43-$A$15,AV$13)))</f>
        <v>1000000000000</v>
      </c>
      <c r="AX43" s="173">
        <f ca="1">IF(OR($D43&lt;&gt;"Serviço",AND(AUTOEVENTO="Manual",$M43=$A$15),$M43&gt;(ROW(PLE.lastrow)-ROW(PLE.firstrow))),0,
           IF(OFFSET(PLE!$G$15,$M43-$A$15,AX$13)="",10^12,OFFSET(PLE!$G$15,$M43-$A$15,AX$13)))</f>
        <v>1000000000000</v>
      </c>
      <c r="AY43" s="173">
        <f ca="1">IF(OR($D43&lt;&gt;"Serviço",AND(AUTOEVENTO="Manual",$M43=$A$15),$M43&gt;(ROW(PLE.lastrow)-ROW(PLE.firstrow))),0,
           IF(OFFSET(PLE!$G$15,$M43-$A$15,AY$13)="",10^12,OFFSET(PLE!$G$15,$M43-$A$15,AY$13)))</f>
        <v>1000000000000</v>
      </c>
      <c r="AZ43" s="173">
        <f ca="1">IF(OR($D43&lt;&gt;"Serviço",AND(AUTOEVENTO="Manual",$M43=$A$15),$M43&gt;(ROW(PLE.lastrow)-ROW(PLE.firstrow))),0,
           IF(OFFSET(PLE!$G$15,$M43-$A$15,AZ$13)="",10^12,OFFSET(PLE!$G$15,$M43-$A$15,AZ$13)))</f>
        <v>1000000000000</v>
      </c>
      <c r="BA43" s="173">
        <f ca="1">IF(OR($D43&lt;&gt;"Serviço",AND(AUTOEVENTO="Manual",$M43=$A$15),$M43&gt;(ROW(PLE.lastrow)-ROW(PLE.firstrow))),0,
           IF(OFFSET(PLE!$G$15,$M43-$A$15,BA$13)="",10^12,OFFSET(PLE!$G$15,$M43-$A$15,BA$13)))</f>
        <v>1000000000000</v>
      </c>
      <c r="BB43" s="173">
        <f ca="1">IF(OR($D43&lt;&gt;"Serviço",AND(AUTOEVENTO="Manual",$M43=$A$15),$M43&gt;(ROW(PLE.lastrow)-ROW(PLE.firstrow))),0,
           IF(OFFSET(PLE!$G$15,$M43-$A$15,BB$13)="",10^12,OFFSET(PLE!$G$15,$M43-$A$15,BB$13)))</f>
        <v>1000000000000</v>
      </c>
      <c r="BC43" s="173">
        <f ca="1">IF(OR($D43&lt;&gt;"Serviço",AND(AUTOEVENTO="Manual",$M43=$A$15),$M43&gt;(ROW(PLE.lastrow)-ROW(PLE.firstrow))),0,
           IF(OFFSET(PLE!$G$15,$M43-$A$15,BC$13)="",10^12,OFFSET(PLE!$G$15,$M43-$A$15,BC$13)))</f>
        <v>1000000000000</v>
      </c>
      <c r="BD43" s="173">
        <f ca="1">IF(OR($D43&lt;&gt;"Serviço",AND(AUTOEVENTO="Manual",$M43=$A$15),$M43&gt;(ROW(PLE.lastrow)-ROW(PLE.firstrow))),0,
           IF(OFFSET(PLE!$G$15,$M43-$A$15,BD$13)="",10^12,OFFSET(PLE!$G$15,$M43-$A$15,BD$13)))</f>
        <v>1000000000000</v>
      </c>
      <c r="BE43" s="173">
        <f ca="1">IF(OR($D43&lt;&gt;"Serviço",AND(AUTOEVENTO="Manual",$M43=$A$15),$M43&gt;(ROW(PLE.lastrow)-ROW(PLE.firstrow))),0,
           IF(OFFSET(PLE!$G$15,$M43-$A$15,BE$13)="",10^12,OFFSET(PLE!$G$15,$M43-$A$15,BE$13)))</f>
        <v>1000000000000</v>
      </c>
      <c r="BF43" s="173">
        <f ca="1">IF(OR($D43&lt;&gt;"Serviço",AND(AUTOEVENTO="Manual",$M43=$A$15),$M43&gt;(ROW(PLE.lastrow)-ROW(PLE.firstrow))),0,
           IF(OFFSET(PLE!$G$15,$M43-$A$15,BF$13)="",10^12,OFFSET(PLE!$G$15,$M43-$A$15,BF$13)))</f>
        <v>1000000000000</v>
      </c>
      <c r="BG43" s="173">
        <f ca="1">IF(OR($D43&lt;&gt;"Serviço",AND(AUTOEVENTO="Manual",$M43=$A$15),$M43&gt;(ROW(PLE.lastrow)-ROW(PLE.firstrow))),0,
           IF(OFFSET(PLE!$G$15,$M43-$A$15,BG$13)="",10^12,OFFSET(PLE!$G$15,$M43-$A$15,BG$13)))</f>
        <v>1000000000000</v>
      </c>
    </row>
    <row r="44" spans="1:59" ht="38.25" x14ac:dyDescent="0.2">
      <c r="A44" s="7" t="str">
        <f t="shared" ca="1" si="8"/>
        <v>26</v>
      </c>
      <c r="B44" s="7" t="str">
        <f ca="1">OFFSET(ORÇAMENTO!C$15,ROW(B44)-ROW(B$15),0)</f>
        <v>S</v>
      </c>
      <c r="C44" s="7" t="str">
        <f ca="1">OFFSET(ORÇAMENTO!L$15,ROW(C44)-ROW(C$15),0)</f>
        <v/>
      </c>
      <c r="D44" s="117" t="str">
        <f ca="1">OFFSET(ORÇAMENTO!N$15,ROW(D44)-ROW(D$15),0)</f>
        <v>Serviço</v>
      </c>
      <c r="E44" s="118" t="str">
        <f ca="1">OFFSET(ORÇAMENTO!O$15,ROW(E44)-ROW(E$15),0)</f>
        <v>-</v>
      </c>
      <c r="F44" s="164" t="str">
        <f ca="1">OFFSET(ORÇAMENTO!R$15,ROW(F44)-ROW(F$15),0)</f>
        <v>CALHA EM CHAPA DE AÇO GALVANIZADO NÚMERO 24, DESENVOLVIMENTO DE 100 CM, INCLUSO TRANSPORTE VERTICAL. AF_07/2019</v>
      </c>
      <c r="G44" s="165" t="str">
        <f ca="1">IF($D44&lt;&gt;"Serviço","",OFFSET(ORÇAMENTO!S$15,ROW(G44)-ROW(G$15),0))</f>
        <v>M</v>
      </c>
      <c r="H44" s="123">
        <f ca="1">IF($D44&lt;&gt;"Serviço",0,IF(ACOMPANHAMENTO="BM",ROUND(OFFSET(ORÇAMENTO!AJ$15,ROW(H44)-ROW(H$15),0),15-13*ORÇAMENTO!$AF$7),SUMPRODUCT(($Q$1:$AA$1=1)*ROUND($Q44:$AA44,15-13*ORÇAMENTO!$AF$7))))</f>
        <v>65</v>
      </c>
      <c r="I44" s="469"/>
      <c r="J44" s="577" t="str" cm="1">
        <f t="array" aca="1" ref="J44" ca="1">IF(B44&lt;&gt;"S","",IF(AND(ACOMPANHAMENTO="PLE",AUTOEVENTO="Manual",OR(H44&gt;0,ORÇAMENTO!AC44="QUANT."),OR(K44="",M44=0,N44="")),"►",IF(AND(ACOMPANHAMENTO="PLE",ORÇAMENTO!AC44="QUANT."),"►►",IF(AND(COUNTIF($P$11:$AA$11,"▼")=0,H44&gt;0,I44=""),"◄",""))))</f>
        <v>◄</v>
      </c>
      <c r="K44" s="626"/>
      <c r="L44" s="166" t="s">
        <v>765</v>
      </c>
      <c r="M44" s="167">
        <f ca="1">IF($D44&lt;&gt;"Serviço","",
          IF(AUTOEVENTO="manual",$A44,
                IF(ISERROR(MATCH($A44,$A$15:OFFSET($A44,-1,0),0)),MAX($M$15:OFFSET(M44,-1,0))+1,
                      INDEX($M$15:OFFSET(M44,-1,0),MATCH($A44,$A$15:OFFSET($A44,-1,0),0)))))</f>
        <v>6</v>
      </c>
      <c r="N44" s="168" t="str">
        <f ca="1">IF($D44&lt;&gt;"Serviço","",
         IF(AUTOEVENTO="Manual",
                IF($A44=0,"&lt;-- defina o número do agrupador",
                       OFFSET(EVENTOS!$D$15,$A44-$A$15,0)),
                OFFSET($F$15,$A44,0)))</f>
        <v>COBERTURA DOS MÓDULOS</v>
      </c>
      <c r="O44" s="169"/>
      <c r="Q44" s="169"/>
      <c r="R44" s="170"/>
      <c r="S44" s="170"/>
      <c r="T44" s="170"/>
      <c r="U44" s="170"/>
      <c r="V44" s="170"/>
      <c r="W44" s="170"/>
      <c r="X44" s="170"/>
      <c r="Y44" s="170"/>
      <c r="Z44" s="171"/>
      <c r="AB44" s="454">
        <f ca="1">IF(AND($D44="Serviço",AB$12&lt;&gt;0,$H44&gt;0,OR(AUTOEVENTO&lt;&gt;"manual",$M44&lt;&gt;$A$15)),
        IF(Import.TipoArredondamento&lt;&gt;"TransfereGOV",
              ROUND(OFFSET($P44,0,AB$13),15-13*ORÇAMENTO!$AF$7)/$H44*OFFSET(ORÇAMENTO!$X$15,ROW(AB44)-ROW(AB$15),0),
              ROUND(ROUND(OFFSET($P44,0,AB$13),15-13*ORÇAMENTO!$AF$7)*OFFSET(ORÇAMENTO!$W$15,ROW(AB44)-ROW(AB$15),0),15-13*ORÇAMENTO!$AF$11)),
         0)</f>
        <v>0</v>
      </c>
      <c r="AC44" s="454">
        <f ca="1">IF(AND($D44="Serviço",AC$12&lt;&gt;0,$H44&gt;0,OR(AUTOEVENTO&lt;&gt;"manual",$M44&lt;&gt;$A$15)),
        IF(Import.TipoArredondamento&lt;&gt;"TransfereGOV",
              ROUND(OFFSET($P44,0,AC$13),15-13*ORÇAMENTO!$AF$7)/$H44*OFFSET(ORÇAMENTO!$X$15,ROW(AC44)-ROW(AC$15),0),
              ROUND(ROUND(OFFSET($P44,0,AC$13),15-13*ORÇAMENTO!$AF$7)*OFFSET(ORÇAMENTO!$W$15,ROW(AC44)-ROW(AC$15),0),15-13*ORÇAMENTO!$AF$11)),
         0)</f>
        <v>0</v>
      </c>
      <c r="AD44" s="454">
        <f ca="1">IF(AND($D44="Serviço",AD$12&lt;&gt;0,$H44&gt;0,OR(AUTOEVENTO&lt;&gt;"manual",$M44&lt;&gt;$A$15)),
        IF(Import.TipoArredondamento&lt;&gt;"TransfereGOV",
              ROUND(OFFSET($P44,0,AD$13),15-13*ORÇAMENTO!$AF$7)/$H44*OFFSET(ORÇAMENTO!$X$15,ROW(AD44)-ROW(AD$15),0),
              ROUND(ROUND(OFFSET($P44,0,AD$13),15-13*ORÇAMENTO!$AF$7)*OFFSET(ORÇAMENTO!$W$15,ROW(AD44)-ROW(AD$15),0),15-13*ORÇAMENTO!$AF$11)),
         0)</f>
        <v>0</v>
      </c>
      <c r="AE44" s="454">
        <f ca="1">IF(AND($D44="Serviço",AE$12&lt;&gt;0,$H44&gt;0,OR(AUTOEVENTO&lt;&gt;"manual",$M44&lt;&gt;$A$15)),
        IF(Import.TipoArredondamento&lt;&gt;"TransfereGOV",
              ROUND(OFFSET($P44,0,AE$13),15-13*ORÇAMENTO!$AF$7)/$H44*OFFSET(ORÇAMENTO!$X$15,ROW(AE44)-ROW(AE$15),0),
              ROUND(ROUND(OFFSET($P44,0,AE$13),15-13*ORÇAMENTO!$AF$7)*OFFSET(ORÇAMENTO!$W$15,ROW(AE44)-ROW(AE$15),0),15-13*ORÇAMENTO!$AF$11)),
         0)</f>
        <v>0</v>
      </c>
      <c r="AF44" s="454">
        <f ca="1">IF(AND($D44="Serviço",AF$12&lt;&gt;0,$H44&gt;0,OR(AUTOEVENTO&lt;&gt;"manual",$M44&lt;&gt;$A$15)),
        IF(Import.TipoArredondamento&lt;&gt;"TransfereGOV",
              ROUND(OFFSET($P44,0,AF$13),15-13*ORÇAMENTO!$AF$7)/$H44*OFFSET(ORÇAMENTO!$X$15,ROW(AF44)-ROW(AF$15),0),
              ROUND(ROUND(OFFSET($P44,0,AF$13),15-13*ORÇAMENTO!$AF$7)*OFFSET(ORÇAMENTO!$W$15,ROW(AF44)-ROW(AF$15),0),15-13*ORÇAMENTO!$AF$11)),
         0)</f>
        <v>0</v>
      </c>
      <c r="AG44" s="454">
        <f ca="1">IF(AND($D44="Serviço",AG$12&lt;&gt;0,$H44&gt;0,OR(AUTOEVENTO&lt;&gt;"manual",$M44&lt;&gt;$A$15)),
        IF(Import.TipoArredondamento&lt;&gt;"TransfereGOV",
              ROUND(OFFSET($P44,0,AG$13),15-13*ORÇAMENTO!$AF$7)/$H44*OFFSET(ORÇAMENTO!$X$15,ROW(AG44)-ROW(AG$15),0),
              ROUND(ROUND(OFFSET($P44,0,AG$13),15-13*ORÇAMENTO!$AF$7)*OFFSET(ORÇAMENTO!$W$15,ROW(AG44)-ROW(AG$15),0),15-13*ORÇAMENTO!$AF$11)),
         0)</f>
        <v>0</v>
      </c>
      <c r="AH44" s="454">
        <f ca="1">IF(AND($D44="Serviço",AH$12&lt;&gt;0,$H44&gt;0,OR(AUTOEVENTO&lt;&gt;"manual",$M44&lt;&gt;$A$15)),
        IF(Import.TipoArredondamento&lt;&gt;"TransfereGOV",
              ROUND(OFFSET($P44,0,AH$13),15-13*ORÇAMENTO!$AF$7)/$H44*OFFSET(ORÇAMENTO!$X$15,ROW(AH44)-ROW(AH$15),0),
              ROUND(ROUND(OFFSET($P44,0,AH$13),15-13*ORÇAMENTO!$AF$7)*OFFSET(ORÇAMENTO!$W$15,ROW(AH44)-ROW(AH$15),0),15-13*ORÇAMENTO!$AF$11)),
         0)</f>
        <v>0</v>
      </c>
      <c r="AI44" s="454">
        <f ca="1">IF(AND($D44="Serviço",AI$12&lt;&gt;0,$H44&gt;0,OR(AUTOEVENTO&lt;&gt;"manual",$M44&lt;&gt;$A$15)),
        IF(Import.TipoArredondamento&lt;&gt;"TransfereGOV",
              ROUND(OFFSET($P44,0,AI$13),15-13*ORÇAMENTO!$AF$7)/$H44*OFFSET(ORÇAMENTO!$X$15,ROW(AI44)-ROW(AI$15),0),
              ROUND(ROUND(OFFSET($P44,0,AI$13),15-13*ORÇAMENTO!$AF$7)*OFFSET(ORÇAMENTO!$W$15,ROW(AI44)-ROW(AI$15),0),15-13*ORÇAMENTO!$AF$11)),
         0)</f>
        <v>0</v>
      </c>
      <c r="AJ44" s="454">
        <f ca="1">IF(AND($D44="Serviço",AJ$12&lt;&gt;0,$H44&gt;0,OR(AUTOEVENTO&lt;&gt;"manual",$M44&lt;&gt;$A$15)),
        IF(Import.TipoArredondamento&lt;&gt;"TransfereGOV",
              ROUND(OFFSET($P44,0,AJ$13),15-13*ORÇAMENTO!$AF$7)/$H44*OFFSET(ORÇAMENTO!$X$15,ROW(AJ44)-ROW(AJ$15),0),
              ROUND(ROUND(OFFSET($P44,0,AJ$13),15-13*ORÇAMENTO!$AF$7)*OFFSET(ORÇAMENTO!$W$15,ROW(AJ44)-ROW(AJ$15),0),15-13*ORÇAMENTO!$AF$11)),
         0)</f>
        <v>0</v>
      </c>
      <c r="AK44" s="454">
        <f ca="1">IF(AND($D44="Serviço",AK$12&lt;&gt;0,$H44&gt;0,OR(AUTOEVENTO&lt;&gt;"manual",$M44&lt;&gt;$A$15)),
        IF(Import.TipoArredondamento&lt;&gt;"TransfereGOV",
              ROUND(OFFSET($P44,0,AK$13),15-13*ORÇAMENTO!$AF$7)/$H44*OFFSET(ORÇAMENTO!$X$15,ROW(AK44)-ROW(AK$15),0),
              ROUND(ROUND(OFFSET($P44,0,AK$13),15-13*ORÇAMENTO!$AF$7)*OFFSET(ORÇAMENTO!$W$15,ROW(AK44)-ROW(AK$15),0),15-13*ORÇAMENTO!$AF$11)),
         0)</f>
        <v>0</v>
      </c>
      <c r="AM44" s="172">
        <f ca="1">IF(OR($D44&lt;&gt;"Serviço",AND(AUTOEVENTO="Manual",$M44=$A$15)),0,
         IF(OFFSET(CRONOPLE!$F$15,$M44-$A$15,AM$13)="",10^12,OFFSET(CRONOPLE!$F$15,$M44-$A$15,AM$13)))</f>
        <v>1000000000000</v>
      </c>
      <c r="AN44" s="172">
        <f ca="1">IF(OR($D44&lt;&gt;"Serviço",AND(AUTOEVENTO="Manual",$M44=$A$15)),0,
         IF(OFFSET(CRONOPLE!$F$15,$M44-$A$15,AN$13)="",10^12,OFFSET(CRONOPLE!$F$15,$M44-$A$15,AN$13)))</f>
        <v>1000000000000</v>
      </c>
      <c r="AO44" s="172">
        <f ca="1">IF(OR($D44&lt;&gt;"Serviço",AND(AUTOEVENTO="Manual",$M44=$A$15)),0,
         IF(OFFSET(CRONOPLE!$F$15,$M44-$A$15,AO$13)="",10^12,OFFSET(CRONOPLE!$F$15,$M44-$A$15,AO$13)))</f>
        <v>1000000000000</v>
      </c>
      <c r="AP44" s="172">
        <f ca="1">IF(OR($D44&lt;&gt;"Serviço",AND(AUTOEVENTO="Manual",$M44=$A$15)),0,
         IF(OFFSET(CRONOPLE!$F$15,$M44-$A$15,AP$13)="",10^12,OFFSET(CRONOPLE!$F$15,$M44-$A$15,AP$13)))</f>
        <v>1000000000000</v>
      </c>
      <c r="AQ44" s="172">
        <f ca="1">IF(OR($D44&lt;&gt;"Serviço",AND(AUTOEVENTO="Manual",$M44=$A$15)),0,
         IF(OFFSET(CRONOPLE!$F$15,$M44-$A$15,AQ$13)="",10^12,OFFSET(CRONOPLE!$F$15,$M44-$A$15,AQ$13)))</f>
        <v>1000000000000</v>
      </c>
      <c r="AR44" s="172">
        <f ca="1">IF(OR($D44&lt;&gt;"Serviço",AND(AUTOEVENTO="Manual",$M44=$A$15)),0,
         IF(OFFSET(CRONOPLE!$F$15,$M44-$A$15,AR$13)="",10^12,OFFSET(CRONOPLE!$F$15,$M44-$A$15,AR$13)))</f>
        <v>1000000000000</v>
      </c>
      <c r="AS44" s="172">
        <f ca="1">IF(OR($D44&lt;&gt;"Serviço",AND(AUTOEVENTO="Manual",$M44=$A$15)),0,
         IF(OFFSET(CRONOPLE!$F$15,$M44-$A$15,AS$13)="",10^12,OFFSET(CRONOPLE!$F$15,$M44-$A$15,AS$13)))</f>
        <v>1000000000000</v>
      </c>
      <c r="AT44" s="172">
        <f ca="1">IF(OR($D44&lt;&gt;"Serviço",AND(AUTOEVENTO="Manual",$M44=$A$15)),0,
         IF(OFFSET(CRONOPLE!$F$15,$M44-$A$15,AT$13)="",10^12,OFFSET(CRONOPLE!$F$15,$M44-$A$15,AT$13)))</f>
        <v>1000000000000</v>
      </c>
      <c r="AU44" s="172">
        <f ca="1">IF(OR($D44&lt;&gt;"Serviço",AND(AUTOEVENTO="Manual",$M44=$A$15)),0,
         IF(OFFSET(CRONOPLE!$F$15,$M44-$A$15,AU$13)="",10^12,OFFSET(CRONOPLE!$F$15,$M44-$A$15,AU$13)))</f>
        <v>1000000000000</v>
      </c>
      <c r="AV44" s="172">
        <f ca="1">IF(OR($D44&lt;&gt;"Serviço",AND(AUTOEVENTO="Manual",$M44=$A$15)),0,
         IF(OFFSET(CRONOPLE!$F$15,$M44-$A$15,AV$13)="",10^12,OFFSET(CRONOPLE!$F$15,$M44-$A$15,AV$13)))</f>
        <v>1000000000000</v>
      </c>
      <c r="AX44" s="173">
        <f ca="1">IF(OR($D44&lt;&gt;"Serviço",AND(AUTOEVENTO="Manual",$M44=$A$15),$M44&gt;(ROW(PLE.lastrow)-ROW(PLE.firstrow))),0,
           IF(OFFSET(PLE!$G$15,$M44-$A$15,AX$13)="",10^12,OFFSET(PLE!$G$15,$M44-$A$15,AX$13)))</f>
        <v>1000000000000</v>
      </c>
      <c r="AY44" s="173">
        <f ca="1">IF(OR($D44&lt;&gt;"Serviço",AND(AUTOEVENTO="Manual",$M44=$A$15),$M44&gt;(ROW(PLE.lastrow)-ROW(PLE.firstrow))),0,
           IF(OFFSET(PLE!$G$15,$M44-$A$15,AY$13)="",10^12,OFFSET(PLE!$G$15,$M44-$A$15,AY$13)))</f>
        <v>1000000000000</v>
      </c>
      <c r="AZ44" s="173">
        <f ca="1">IF(OR($D44&lt;&gt;"Serviço",AND(AUTOEVENTO="Manual",$M44=$A$15),$M44&gt;(ROW(PLE.lastrow)-ROW(PLE.firstrow))),0,
           IF(OFFSET(PLE!$G$15,$M44-$A$15,AZ$13)="",10^12,OFFSET(PLE!$G$15,$M44-$A$15,AZ$13)))</f>
        <v>1000000000000</v>
      </c>
      <c r="BA44" s="173">
        <f ca="1">IF(OR($D44&lt;&gt;"Serviço",AND(AUTOEVENTO="Manual",$M44=$A$15),$M44&gt;(ROW(PLE.lastrow)-ROW(PLE.firstrow))),0,
           IF(OFFSET(PLE!$G$15,$M44-$A$15,BA$13)="",10^12,OFFSET(PLE!$G$15,$M44-$A$15,BA$13)))</f>
        <v>1000000000000</v>
      </c>
      <c r="BB44" s="173">
        <f ca="1">IF(OR($D44&lt;&gt;"Serviço",AND(AUTOEVENTO="Manual",$M44=$A$15),$M44&gt;(ROW(PLE.lastrow)-ROW(PLE.firstrow))),0,
           IF(OFFSET(PLE!$G$15,$M44-$A$15,BB$13)="",10^12,OFFSET(PLE!$G$15,$M44-$A$15,BB$13)))</f>
        <v>1000000000000</v>
      </c>
      <c r="BC44" s="173">
        <f ca="1">IF(OR($D44&lt;&gt;"Serviço",AND(AUTOEVENTO="Manual",$M44=$A$15),$M44&gt;(ROW(PLE.lastrow)-ROW(PLE.firstrow))),0,
           IF(OFFSET(PLE!$G$15,$M44-$A$15,BC$13)="",10^12,OFFSET(PLE!$G$15,$M44-$A$15,BC$13)))</f>
        <v>1000000000000</v>
      </c>
      <c r="BD44" s="173">
        <f ca="1">IF(OR($D44&lt;&gt;"Serviço",AND(AUTOEVENTO="Manual",$M44=$A$15),$M44&gt;(ROW(PLE.lastrow)-ROW(PLE.firstrow))),0,
           IF(OFFSET(PLE!$G$15,$M44-$A$15,BD$13)="",10^12,OFFSET(PLE!$G$15,$M44-$A$15,BD$13)))</f>
        <v>1000000000000</v>
      </c>
      <c r="BE44" s="173">
        <f ca="1">IF(OR($D44&lt;&gt;"Serviço",AND(AUTOEVENTO="Manual",$M44=$A$15),$M44&gt;(ROW(PLE.lastrow)-ROW(PLE.firstrow))),0,
           IF(OFFSET(PLE!$G$15,$M44-$A$15,BE$13)="",10^12,OFFSET(PLE!$G$15,$M44-$A$15,BE$13)))</f>
        <v>1000000000000</v>
      </c>
      <c r="BF44" s="173">
        <f ca="1">IF(OR($D44&lt;&gt;"Serviço",AND(AUTOEVENTO="Manual",$M44=$A$15),$M44&gt;(ROW(PLE.lastrow)-ROW(PLE.firstrow))),0,
           IF(OFFSET(PLE!$G$15,$M44-$A$15,BF$13)="",10^12,OFFSET(PLE!$G$15,$M44-$A$15,BF$13)))</f>
        <v>1000000000000</v>
      </c>
      <c r="BG44" s="173">
        <f ca="1">IF(OR($D44&lt;&gt;"Serviço",AND(AUTOEVENTO="Manual",$M44=$A$15),$M44&gt;(ROW(PLE.lastrow)-ROW(PLE.firstrow))),0,
           IF(OFFSET(PLE!$G$15,$M44-$A$15,BG$13)="",10^12,OFFSET(PLE!$G$15,$M44-$A$15,BG$13)))</f>
        <v>1000000000000</v>
      </c>
    </row>
    <row r="45" spans="1:59" ht="25.5" x14ac:dyDescent="0.2">
      <c r="A45" s="7" t="str">
        <f t="shared" ca="1" si="8"/>
        <v>26</v>
      </c>
      <c r="B45" s="7" t="str">
        <f ca="1">OFFSET(ORÇAMENTO!C$15,ROW(B45)-ROW(B$15),0)</f>
        <v>S</v>
      </c>
      <c r="C45" s="7" t="str">
        <f ca="1">OFFSET(ORÇAMENTO!L$15,ROW(C45)-ROW(C$15),0)</f>
        <v/>
      </c>
      <c r="D45" s="117" t="str">
        <f ca="1">OFFSET(ORÇAMENTO!N$15,ROW(D45)-ROW(D$15),0)</f>
        <v>Serviço</v>
      </c>
      <c r="E45" s="118" t="str">
        <f ca="1">OFFSET(ORÇAMENTO!O$15,ROW(E45)-ROW(E$15),0)</f>
        <v>-</v>
      </c>
      <c r="F45" s="164" t="str">
        <f ca="1">OFFSET(ORÇAMENTO!R$15,ROW(F45)-ROW(F$15),0)</f>
        <v>RUFO EXTERNO/INTERNO EM CHAPA DE AÇO GALVANIZADO NÚMERO 26, CORTE DE 33 CM, INCLUSO IÇAMENTO. AF_07/2019</v>
      </c>
      <c r="G45" s="165" t="str">
        <f ca="1">IF($D45&lt;&gt;"Serviço","",OFFSET(ORÇAMENTO!S$15,ROW(G45)-ROW(G$15),0))</f>
        <v>M</v>
      </c>
      <c r="H45" s="123">
        <f ca="1">IF($D45&lt;&gt;"Serviço",0,IF(ACOMPANHAMENTO="BM",ROUND(OFFSET(ORÇAMENTO!AJ$15,ROW(H45)-ROW(H$15),0),15-13*ORÇAMENTO!$AF$7),SUMPRODUCT(($Q$1:$AA$1=1)*ROUND($Q45:$AA45,15-13*ORÇAMENTO!$AF$7))))</f>
        <v>999.1</v>
      </c>
      <c r="I45" s="469"/>
      <c r="J45" s="577" t="str" cm="1">
        <f t="array" aca="1" ref="J45" ca="1">IF(B45&lt;&gt;"S","",IF(AND(ACOMPANHAMENTO="PLE",AUTOEVENTO="Manual",OR(H45&gt;0,ORÇAMENTO!AC45="QUANT."),OR(K45="",M45=0,N45="")),"►",IF(AND(ACOMPANHAMENTO="PLE",ORÇAMENTO!AC45="QUANT."),"►►",IF(AND(COUNTIF($P$11:$AA$11,"▼")=0,H45&gt;0,I45=""),"◄",""))))</f>
        <v>◄</v>
      </c>
      <c r="K45" s="626"/>
      <c r="L45" s="166" t="s">
        <v>765</v>
      </c>
      <c r="M45" s="167">
        <f ca="1">IF($D45&lt;&gt;"Serviço","",
          IF(AUTOEVENTO="manual",$A45,
                IF(ISERROR(MATCH($A45,$A$15:OFFSET($A45,-1,0),0)),MAX($M$15:OFFSET(M45,-1,0))+1,
                      INDEX($M$15:OFFSET(M45,-1,0),MATCH($A45,$A$15:OFFSET($A45,-1,0),0)))))</f>
        <v>6</v>
      </c>
      <c r="N45" s="168" t="str">
        <f ca="1">IF($D45&lt;&gt;"Serviço","",
         IF(AUTOEVENTO="Manual",
                IF($A45=0,"&lt;-- defina o número do agrupador",
                       OFFSET(EVENTOS!$D$15,$A45-$A$15,0)),
                OFFSET($F$15,$A45,0)))</f>
        <v>COBERTURA DOS MÓDULOS</v>
      </c>
      <c r="O45" s="169"/>
      <c r="Q45" s="169"/>
      <c r="R45" s="170"/>
      <c r="S45" s="170"/>
      <c r="T45" s="170"/>
      <c r="U45" s="170"/>
      <c r="V45" s="170"/>
      <c r="W45" s="170"/>
      <c r="X45" s="170"/>
      <c r="Y45" s="170"/>
      <c r="Z45" s="171"/>
      <c r="AB45" s="454">
        <f ca="1">IF(AND($D45="Serviço",AB$12&lt;&gt;0,$H45&gt;0,OR(AUTOEVENTO&lt;&gt;"manual",$M45&lt;&gt;$A$15)),
        IF(Import.TipoArredondamento&lt;&gt;"TransfereGOV",
              ROUND(OFFSET($P45,0,AB$13),15-13*ORÇAMENTO!$AF$7)/$H45*OFFSET(ORÇAMENTO!$X$15,ROW(AB45)-ROW(AB$15),0),
              ROUND(ROUND(OFFSET($P45,0,AB$13),15-13*ORÇAMENTO!$AF$7)*OFFSET(ORÇAMENTO!$W$15,ROW(AB45)-ROW(AB$15),0),15-13*ORÇAMENTO!$AF$11)),
         0)</f>
        <v>0</v>
      </c>
      <c r="AC45" s="454">
        <f ca="1">IF(AND($D45="Serviço",AC$12&lt;&gt;0,$H45&gt;0,OR(AUTOEVENTO&lt;&gt;"manual",$M45&lt;&gt;$A$15)),
        IF(Import.TipoArredondamento&lt;&gt;"TransfereGOV",
              ROUND(OFFSET($P45,0,AC$13),15-13*ORÇAMENTO!$AF$7)/$H45*OFFSET(ORÇAMENTO!$X$15,ROW(AC45)-ROW(AC$15),0),
              ROUND(ROUND(OFFSET($P45,0,AC$13),15-13*ORÇAMENTO!$AF$7)*OFFSET(ORÇAMENTO!$W$15,ROW(AC45)-ROW(AC$15),0),15-13*ORÇAMENTO!$AF$11)),
         0)</f>
        <v>0</v>
      </c>
      <c r="AD45" s="454">
        <f ca="1">IF(AND($D45="Serviço",AD$12&lt;&gt;0,$H45&gt;0,OR(AUTOEVENTO&lt;&gt;"manual",$M45&lt;&gt;$A$15)),
        IF(Import.TipoArredondamento&lt;&gt;"TransfereGOV",
              ROUND(OFFSET($P45,0,AD$13),15-13*ORÇAMENTO!$AF$7)/$H45*OFFSET(ORÇAMENTO!$X$15,ROW(AD45)-ROW(AD$15),0),
              ROUND(ROUND(OFFSET($P45,0,AD$13),15-13*ORÇAMENTO!$AF$7)*OFFSET(ORÇAMENTO!$W$15,ROW(AD45)-ROW(AD$15),0),15-13*ORÇAMENTO!$AF$11)),
         0)</f>
        <v>0</v>
      </c>
      <c r="AE45" s="454">
        <f ca="1">IF(AND($D45="Serviço",AE$12&lt;&gt;0,$H45&gt;0,OR(AUTOEVENTO&lt;&gt;"manual",$M45&lt;&gt;$A$15)),
        IF(Import.TipoArredondamento&lt;&gt;"TransfereGOV",
              ROUND(OFFSET($P45,0,AE$13),15-13*ORÇAMENTO!$AF$7)/$H45*OFFSET(ORÇAMENTO!$X$15,ROW(AE45)-ROW(AE$15),0),
              ROUND(ROUND(OFFSET($P45,0,AE$13),15-13*ORÇAMENTO!$AF$7)*OFFSET(ORÇAMENTO!$W$15,ROW(AE45)-ROW(AE$15),0),15-13*ORÇAMENTO!$AF$11)),
         0)</f>
        <v>0</v>
      </c>
      <c r="AF45" s="454">
        <f ca="1">IF(AND($D45="Serviço",AF$12&lt;&gt;0,$H45&gt;0,OR(AUTOEVENTO&lt;&gt;"manual",$M45&lt;&gt;$A$15)),
        IF(Import.TipoArredondamento&lt;&gt;"TransfereGOV",
              ROUND(OFFSET($P45,0,AF$13),15-13*ORÇAMENTO!$AF$7)/$H45*OFFSET(ORÇAMENTO!$X$15,ROW(AF45)-ROW(AF$15),0),
              ROUND(ROUND(OFFSET($P45,0,AF$13),15-13*ORÇAMENTO!$AF$7)*OFFSET(ORÇAMENTO!$W$15,ROW(AF45)-ROW(AF$15),0),15-13*ORÇAMENTO!$AF$11)),
         0)</f>
        <v>0</v>
      </c>
      <c r="AG45" s="454">
        <f ca="1">IF(AND($D45="Serviço",AG$12&lt;&gt;0,$H45&gt;0,OR(AUTOEVENTO&lt;&gt;"manual",$M45&lt;&gt;$A$15)),
        IF(Import.TipoArredondamento&lt;&gt;"TransfereGOV",
              ROUND(OFFSET($P45,0,AG$13),15-13*ORÇAMENTO!$AF$7)/$H45*OFFSET(ORÇAMENTO!$X$15,ROW(AG45)-ROW(AG$15),0),
              ROUND(ROUND(OFFSET($P45,0,AG$13),15-13*ORÇAMENTO!$AF$7)*OFFSET(ORÇAMENTO!$W$15,ROW(AG45)-ROW(AG$15),0),15-13*ORÇAMENTO!$AF$11)),
         0)</f>
        <v>0</v>
      </c>
      <c r="AH45" s="454">
        <f ca="1">IF(AND($D45="Serviço",AH$12&lt;&gt;0,$H45&gt;0,OR(AUTOEVENTO&lt;&gt;"manual",$M45&lt;&gt;$A$15)),
        IF(Import.TipoArredondamento&lt;&gt;"TransfereGOV",
              ROUND(OFFSET($P45,0,AH$13),15-13*ORÇAMENTO!$AF$7)/$H45*OFFSET(ORÇAMENTO!$X$15,ROW(AH45)-ROW(AH$15),0),
              ROUND(ROUND(OFFSET($P45,0,AH$13),15-13*ORÇAMENTO!$AF$7)*OFFSET(ORÇAMENTO!$W$15,ROW(AH45)-ROW(AH$15),0),15-13*ORÇAMENTO!$AF$11)),
         0)</f>
        <v>0</v>
      </c>
      <c r="AI45" s="454">
        <f ca="1">IF(AND($D45="Serviço",AI$12&lt;&gt;0,$H45&gt;0,OR(AUTOEVENTO&lt;&gt;"manual",$M45&lt;&gt;$A$15)),
        IF(Import.TipoArredondamento&lt;&gt;"TransfereGOV",
              ROUND(OFFSET($P45,0,AI$13),15-13*ORÇAMENTO!$AF$7)/$H45*OFFSET(ORÇAMENTO!$X$15,ROW(AI45)-ROW(AI$15),0),
              ROUND(ROUND(OFFSET($P45,0,AI$13),15-13*ORÇAMENTO!$AF$7)*OFFSET(ORÇAMENTO!$W$15,ROW(AI45)-ROW(AI$15),0),15-13*ORÇAMENTO!$AF$11)),
         0)</f>
        <v>0</v>
      </c>
      <c r="AJ45" s="454">
        <f ca="1">IF(AND($D45="Serviço",AJ$12&lt;&gt;0,$H45&gt;0,OR(AUTOEVENTO&lt;&gt;"manual",$M45&lt;&gt;$A$15)),
        IF(Import.TipoArredondamento&lt;&gt;"TransfereGOV",
              ROUND(OFFSET($P45,0,AJ$13),15-13*ORÇAMENTO!$AF$7)/$H45*OFFSET(ORÇAMENTO!$X$15,ROW(AJ45)-ROW(AJ$15),0),
              ROUND(ROUND(OFFSET($P45,0,AJ$13),15-13*ORÇAMENTO!$AF$7)*OFFSET(ORÇAMENTO!$W$15,ROW(AJ45)-ROW(AJ$15),0),15-13*ORÇAMENTO!$AF$11)),
         0)</f>
        <v>0</v>
      </c>
      <c r="AK45" s="454">
        <f ca="1">IF(AND($D45="Serviço",AK$12&lt;&gt;0,$H45&gt;0,OR(AUTOEVENTO&lt;&gt;"manual",$M45&lt;&gt;$A$15)),
        IF(Import.TipoArredondamento&lt;&gt;"TransfereGOV",
              ROUND(OFFSET($P45,0,AK$13),15-13*ORÇAMENTO!$AF$7)/$H45*OFFSET(ORÇAMENTO!$X$15,ROW(AK45)-ROW(AK$15),0),
              ROUND(ROUND(OFFSET($P45,0,AK$13),15-13*ORÇAMENTO!$AF$7)*OFFSET(ORÇAMENTO!$W$15,ROW(AK45)-ROW(AK$15),0),15-13*ORÇAMENTO!$AF$11)),
         0)</f>
        <v>0</v>
      </c>
      <c r="AM45" s="172">
        <f ca="1">IF(OR($D45&lt;&gt;"Serviço",AND(AUTOEVENTO="Manual",$M45=$A$15)),0,
         IF(OFFSET(CRONOPLE!$F$15,$M45-$A$15,AM$13)="",10^12,OFFSET(CRONOPLE!$F$15,$M45-$A$15,AM$13)))</f>
        <v>1000000000000</v>
      </c>
      <c r="AN45" s="172">
        <f ca="1">IF(OR($D45&lt;&gt;"Serviço",AND(AUTOEVENTO="Manual",$M45=$A$15)),0,
         IF(OFFSET(CRONOPLE!$F$15,$M45-$A$15,AN$13)="",10^12,OFFSET(CRONOPLE!$F$15,$M45-$A$15,AN$13)))</f>
        <v>1000000000000</v>
      </c>
      <c r="AO45" s="172">
        <f ca="1">IF(OR($D45&lt;&gt;"Serviço",AND(AUTOEVENTO="Manual",$M45=$A$15)),0,
         IF(OFFSET(CRONOPLE!$F$15,$M45-$A$15,AO$13)="",10^12,OFFSET(CRONOPLE!$F$15,$M45-$A$15,AO$13)))</f>
        <v>1000000000000</v>
      </c>
      <c r="AP45" s="172">
        <f ca="1">IF(OR($D45&lt;&gt;"Serviço",AND(AUTOEVENTO="Manual",$M45=$A$15)),0,
         IF(OFFSET(CRONOPLE!$F$15,$M45-$A$15,AP$13)="",10^12,OFFSET(CRONOPLE!$F$15,$M45-$A$15,AP$13)))</f>
        <v>1000000000000</v>
      </c>
      <c r="AQ45" s="172">
        <f ca="1">IF(OR($D45&lt;&gt;"Serviço",AND(AUTOEVENTO="Manual",$M45=$A$15)),0,
         IF(OFFSET(CRONOPLE!$F$15,$M45-$A$15,AQ$13)="",10^12,OFFSET(CRONOPLE!$F$15,$M45-$A$15,AQ$13)))</f>
        <v>1000000000000</v>
      </c>
      <c r="AR45" s="172">
        <f ca="1">IF(OR($D45&lt;&gt;"Serviço",AND(AUTOEVENTO="Manual",$M45=$A$15)),0,
         IF(OFFSET(CRONOPLE!$F$15,$M45-$A$15,AR$13)="",10^12,OFFSET(CRONOPLE!$F$15,$M45-$A$15,AR$13)))</f>
        <v>1000000000000</v>
      </c>
      <c r="AS45" s="172">
        <f ca="1">IF(OR($D45&lt;&gt;"Serviço",AND(AUTOEVENTO="Manual",$M45=$A$15)),0,
         IF(OFFSET(CRONOPLE!$F$15,$M45-$A$15,AS$13)="",10^12,OFFSET(CRONOPLE!$F$15,$M45-$A$15,AS$13)))</f>
        <v>1000000000000</v>
      </c>
      <c r="AT45" s="172">
        <f ca="1">IF(OR($D45&lt;&gt;"Serviço",AND(AUTOEVENTO="Manual",$M45=$A$15)),0,
         IF(OFFSET(CRONOPLE!$F$15,$M45-$A$15,AT$13)="",10^12,OFFSET(CRONOPLE!$F$15,$M45-$A$15,AT$13)))</f>
        <v>1000000000000</v>
      </c>
      <c r="AU45" s="172">
        <f ca="1">IF(OR($D45&lt;&gt;"Serviço",AND(AUTOEVENTO="Manual",$M45=$A$15)),0,
         IF(OFFSET(CRONOPLE!$F$15,$M45-$A$15,AU$13)="",10^12,OFFSET(CRONOPLE!$F$15,$M45-$A$15,AU$13)))</f>
        <v>1000000000000</v>
      </c>
      <c r="AV45" s="172">
        <f ca="1">IF(OR($D45&lt;&gt;"Serviço",AND(AUTOEVENTO="Manual",$M45=$A$15)),0,
         IF(OFFSET(CRONOPLE!$F$15,$M45-$A$15,AV$13)="",10^12,OFFSET(CRONOPLE!$F$15,$M45-$A$15,AV$13)))</f>
        <v>1000000000000</v>
      </c>
      <c r="AX45" s="173">
        <f ca="1">IF(OR($D45&lt;&gt;"Serviço",AND(AUTOEVENTO="Manual",$M45=$A$15),$M45&gt;(ROW(PLE.lastrow)-ROW(PLE.firstrow))),0,
           IF(OFFSET(PLE!$G$15,$M45-$A$15,AX$13)="",10^12,OFFSET(PLE!$G$15,$M45-$A$15,AX$13)))</f>
        <v>1000000000000</v>
      </c>
      <c r="AY45" s="173">
        <f ca="1">IF(OR($D45&lt;&gt;"Serviço",AND(AUTOEVENTO="Manual",$M45=$A$15),$M45&gt;(ROW(PLE.lastrow)-ROW(PLE.firstrow))),0,
           IF(OFFSET(PLE!$G$15,$M45-$A$15,AY$13)="",10^12,OFFSET(PLE!$G$15,$M45-$A$15,AY$13)))</f>
        <v>1000000000000</v>
      </c>
      <c r="AZ45" s="173">
        <f ca="1">IF(OR($D45&lt;&gt;"Serviço",AND(AUTOEVENTO="Manual",$M45=$A$15),$M45&gt;(ROW(PLE.lastrow)-ROW(PLE.firstrow))),0,
           IF(OFFSET(PLE!$G$15,$M45-$A$15,AZ$13)="",10^12,OFFSET(PLE!$G$15,$M45-$A$15,AZ$13)))</f>
        <v>1000000000000</v>
      </c>
      <c r="BA45" s="173">
        <f ca="1">IF(OR($D45&lt;&gt;"Serviço",AND(AUTOEVENTO="Manual",$M45=$A$15),$M45&gt;(ROW(PLE.lastrow)-ROW(PLE.firstrow))),0,
           IF(OFFSET(PLE!$G$15,$M45-$A$15,BA$13)="",10^12,OFFSET(PLE!$G$15,$M45-$A$15,BA$13)))</f>
        <v>1000000000000</v>
      </c>
      <c r="BB45" s="173">
        <f ca="1">IF(OR($D45&lt;&gt;"Serviço",AND(AUTOEVENTO="Manual",$M45=$A$15),$M45&gt;(ROW(PLE.lastrow)-ROW(PLE.firstrow))),0,
           IF(OFFSET(PLE!$G$15,$M45-$A$15,BB$13)="",10^12,OFFSET(PLE!$G$15,$M45-$A$15,BB$13)))</f>
        <v>1000000000000</v>
      </c>
      <c r="BC45" s="173">
        <f ca="1">IF(OR($D45&lt;&gt;"Serviço",AND(AUTOEVENTO="Manual",$M45=$A$15),$M45&gt;(ROW(PLE.lastrow)-ROW(PLE.firstrow))),0,
           IF(OFFSET(PLE!$G$15,$M45-$A$15,BC$13)="",10^12,OFFSET(PLE!$G$15,$M45-$A$15,BC$13)))</f>
        <v>1000000000000</v>
      </c>
      <c r="BD45" s="173">
        <f ca="1">IF(OR($D45&lt;&gt;"Serviço",AND(AUTOEVENTO="Manual",$M45=$A$15),$M45&gt;(ROW(PLE.lastrow)-ROW(PLE.firstrow))),0,
           IF(OFFSET(PLE!$G$15,$M45-$A$15,BD$13)="",10^12,OFFSET(PLE!$G$15,$M45-$A$15,BD$13)))</f>
        <v>1000000000000</v>
      </c>
      <c r="BE45" s="173">
        <f ca="1">IF(OR($D45&lt;&gt;"Serviço",AND(AUTOEVENTO="Manual",$M45=$A$15),$M45&gt;(ROW(PLE.lastrow)-ROW(PLE.firstrow))),0,
           IF(OFFSET(PLE!$G$15,$M45-$A$15,BE$13)="",10^12,OFFSET(PLE!$G$15,$M45-$A$15,BE$13)))</f>
        <v>1000000000000</v>
      </c>
      <c r="BF45" s="173">
        <f ca="1">IF(OR($D45&lt;&gt;"Serviço",AND(AUTOEVENTO="Manual",$M45=$A$15),$M45&gt;(ROW(PLE.lastrow)-ROW(PLE.firstrow))),0,
           IF(OFFSET(PLE!$G$15,$M45-$A$15,BF$13)="",10^12,OFFSET(PLE!$G$15,$M45-$A$15,BF$13)))</f>
        <v>1000000000000</v>
      </c>
      <c r="BG45" s="173">
        <f ca="1">IF(OR($D45&lt;&gt;"Serviço",AND(AUTOEVENTO="Manual",$M45=$A$15),$M45&gt;(ROW(PLE.lastrow)-ROW(PLE.firstrow))),0,
           IF(OFFSET(PLE!$G$15,$M45-$A$15,BG$13)="",10^12,OFFSET(PLE!$G$15,$M45-$A$15,BG$13)))</f>
        <v>1000000000000</v>
      </c>
    </row>
    <row r="46" spans="1:59" ht="25.5" x14ac:dyDescent="0.2">
      <c r="A46" s="7" t="str">
        <f t="shared" ca="1" si="8"/>
        <v>26</v>
      </c>
      <c r="B46" s="7" t="str">
        <f ca="1">OFFSET(ORÇAMENTO!C$15,ROW(B46)-ROW(B$15),0)</f>
        <v>S</v>
      </c>
      <c r="C46" s="7" t="str">
        <f ca="1">OFFSET(ORÇAMENTO!L$15,ROW(C46)-ROW(C$15),0)</f>
        <v/>
      </c>
      <c r="D46" s="117" t="str">
        <f ca="1">OFFSET(ORÇAMENTO!N$15,ROW(D46)-ROW(D$15),0)</f>
        <v>Serviço</v>
      </c>
      <c r="E46" s="118" t="str">
        <f ca="1">OFFSET(ORÇAMENTO!O$15,ROW(E46)-ROW(E$15),0)</f>
        <v>-</v>
      </c>
      <c r="F46" s="164" t="str">
        <f ca="1">OFFSET(ORÇAMENTO!R$15,ROW(F46)-ROW(F$15),0)</f>
        <v xml:space="preserve">SELANTE ELASTICO MONOCOMPONENTE A BASE DE POLIURETANO (PU) PARA JUNTAS DIVERSAS                                                                                                                                                                           </v>
      </c>
      <c r="G46" s="165" t="str">
        <f ca="1">IF($D46&lt;&gt;"Serviço","",OFFSET(ORÇAMENTO!S$15,ROW(G46)-ROW(G$15),0))</f>
        <v xml:space="preserve">310ML </v>
      </c>
      <c r="H46" s="123">
        <f ca="1">IF($D46&lt;&gt;"Serviço",0,IF(ACOMPANHAMENTO="BM",ROUND(OFFSET(ORÇAMENTO!AJ$15,ROW(H46)-ROW(H$15),0),15-13*ORÇAMENTO!$AF$7),SUMPRODUCT(($Q$1:$AA$1=1)*ROUND($Q46:$AA46,15-13*ORÇAMENTO!$AF$7))))</f>
        <v>770.75</v>
      </c>
      <c r="I46" s="469"/>
      <c r="J46" s="577" t="str" cm="1">
        <f t="array" aca="1" ref="J46" ca="1">IF(B46&lt;&gt;"S","",IF(AND(ACOMPANHAMENTO="PLE",AUTOEVENTO="Manual",OR(H46&gt;0,ORÇAMENTO!AC46="QUANT."),OR(K46="",M46=0,N46="")),"►",IF(AND(ACOMPANHAMENTO="PLE",ORÇAMENTO!AC46="QUANT."),"►►",IF(AND(COUNTIF($P$11:$AA$11,"▼")=0,H46&gt;0,I46=""),"◄",""))))</f>
        <v>◄</v>
      </c>
      <c r="K46" s="626"/>
      <c r="L46" s="166" t="s">
        <v>765</v>
      </c>
      <c r="M46" s="167">
        <f ca="1">IF($D46&lt;&gt;"Serviço","",
          IF(AUTOEVENTO="manual",$A46,
                IF(ISERROR(MATCH($A46,$A$15:OFFSET($A46,-1,0),0)),MAX($M$15:OFFSET(M46,-1,0))+1,
                      INDEX($M$15:OFFSET(M46,-1,0),MATCH($A46,$A$15:OFFSET($A46,-1,0),0)))))</f>
        <v>6</v>
      </c>
      <c r="N46" s="168" t="str">
        <f ca="1">IF($D46&lt;&gt;"Serviço","",
         IF(AUTOEVENTO="Manual",
                IF($A46=0,"&lt;-- defina o número do agrupador",
                       OFFSET(EVENTOS!$D$15,$A46-$A$15,0)),
                OFFSET($F$15,$A46,0)))</f>
        <v>COBERTURA DOS MÓDULOS</v>
      </c>
      <c r="O46" s="169"/>
      <c r="Q46" s="169"/>
      <c r="R46" s="170"/>
      <c r="S46" s="170"/>
      <c r="T46" s="170"/>
      <c r="U46" s="170"/>
      <c r="V46" s="170"/>
      <c r="W46" s="170"/>
      <c r="X46" s="170"/>
      <c r="Y46" s="170"/>
      <c r="Z46" s="171"/>
      <c r="AB46" s="454">
        <f ca="1">IF(AND($D46="Serviço",AB$12&lt;&gt;0,$H46&gt;0,OR(AUTOEVENTO&lt;&gt;"manual",$M46&lt;&gt;$A$15)),
        IF(Import.TipoArredondamento&lt;&gt;"TransfereGOV",
              ROUND(OFFSET($P46,0,AB$13),15-13*ORÇAMENTO!$AF$7)/$H46*OFFSET(ORÇAMENTO!$X$15,ROW(AB46)-ROW(AB$15),0),
              ROUND(ROUND(OFFSET($P46,0,AB$13),15-13*ORÇAMENTO!$AF$7)*OFFSET(ORÇAMENTO!$W$15,ROW(AB46)-ROW(AB$15),0),15-13*ORÇAMENTO!$AF$11)),
         0)</f>
        <v>0</v>
      </c>
      <c r="AC46" s="454">
        <f ca="1">IF(AND($D46="Serviço",AC$12&lt;&gt;0,$H46&gt;0,OR(AUTOEVENTO&lt;&gt;"manual",$M46&lt;&gt;$A$15)),
        IF(Import.TipoArredondamento&lt;&gt;"TransfereGOV",
              ROUND(OFFSET($P46,0,AC$13),15-13*ORÇAMENTO!$AF$7)/$H46*OFFSET(ORÇAMENTO!$X$15,ROW(AC46)-ROW(AC$15),0),
              ROUND(ROUND(OFFSET($P46,0,AC$13),15-13*ORÇAMENTO!$AF$7)*OFFSET(ORÇAMENTO!$W$15,ROW(AC46)-ROW(AC$15),0),15-13*ORÇAMENTO!$AF$11)),
         0)</f>
        <v>0</v>
      </c>
      <c r="AD46" s="454">
        <f ca="1">IF(AND($D46="Serviço",AD$12&lt;&gt;0,$H46&gt;0,OR(AUTOEVENTO&lt;&gt;"manual",$M46&lt;&gt;$A$15)),
        IF(Import.TipoArredondamento&lt;&gt;"TransfereGOV",
              ROUND(OFFSET($P46,0,AD$13),15-13*ORÇAMENTO!$AF$7)/$H46*OFFSET(ORÇAMENTO!$X$15,ROW(AD46)-ROW(AD$15),0),
              ROUND(ROUND(OFFSET($P46,0,AD$13),15-13*ORÇAMENTO!$AF$7)*OFFSET(ORÇAMENTO!$W$15,ROW(AD46)-ROW(AD$15),0),15-13*ORÇAMENTO!$AF$11)),
         0)</f>
        <v>0</v>
      </c>
      <c r="AE46" s="454">
        <f ca="1">IF(AND($D46="Serviço",AE$12&lt;&gt;0,$H46&gt;0,OR(AUTOEVENTO&lt;&gt;"manual",$M46&lt;&gt;$A$15)),
        IF(Import.TipoArredondamento&lt;&gt;"TransfereGOV",
              ROUND(OFFSET($P46,0,AE$13),15-13*ORÇAMENTO!$AF$7)/$H46*OFFSET(ORÇAMENTO!$X$15,ROW(AE46)-ROW(AE$15),0),
              ROUND(ROUND(OFFSET($P46,0,AE$13),15-13*ORÇAMENTO!$AF$7)*OFFSET(ORÇAMENTO!$W$15,ROW(AE46)-ROW(AE$15),0),15-13*ORÇAMENTO!$AF$11)),
         0)</f>
        <v>0</v>
      </c>
      <c r="AF46" s="454">
        <f ca="1">IF(AND($D46="Serviço",AF$12&lt;&gt;0,$H46&gt;0,OR(AUTOEVENTO&lt;&gt;"manual",$M46&lt;&gt;$A$15)),
        IF(Import.TipoArredondamento&lt;&gt;"TransfereGOV",
              ROUND(OFFSET($P46,0,AF$13),15-13*ORÇAMENTO!$AF$7)/$H46*OFFSET(ORÇAMENTO!$X$15,ROW(AF46)-ROW(AF$15),0),
              ROUND(ROUND(OFFSET($P46,0,AF$13),15-13*ORÇAMENTO!$AF$7)*OFFSET(ORÇAMENTO!$W$15,ROW(AF46)-ROW(AF$15),0),15-13*ORÇAMENTO!$AF$11)),
         0)</f>
        <v>0</v>
      </c>
      <c r="AG46" s="454">
        <f ca="1">IF(AND($D46="Serviço",AG$12&lt;&gt;0,$H46&gt;0,OR(AUTOEVENTO&lt;&gt;"manual",$M46&lt;&gt;$A$15)),
        IF(Import.TipoArredondamento&lt;&gt;"TransfereGOV",
              ROUND(OFFSET($P46,0,AG$13),15-13*ORÇAMENTO!$AF$7)/$H46*OFFSET(ORÇAMENTO!$X$15,ROW(AG46)-ROW(AG$15),0),
              ROUND(ROUND(OFFSET($P46,0,AG$13),15-13*ORÇAMENTO!$AF$7)*OFFSET(ORÇAMENTO!$W$15,ROW(AG46)-ROW(AG$15),0),15-13*ORÇAMENTO!$AF$11)),
         0)</f>
        <v>0</v>
      </c>
      <c r="AH46" s="454">
        <f ca="1">IF(AND($D46="Serviço",AH$12&lt;&gt;0,$H46&gt;0,OR(AUTOEVENTO&lt;&gt;"manual",$M46&lt;&gt;$A$15)),
        IF(Import.TipoArredondamento&lt;&gt;"TransfereGOV",
              ROUND(OFFSET($P46,0,AH$13),15-13*ORÇAMENTO!$AF$7)/$H46*OFFSET(ORÇAMENTO!$X$15,ROW(AH46)-ROW(AH$15),0),
              ROUND(ROUND(OFFSET($P46,0,AH$13),15-13*ORÇAMENTO!$AF$7)*OFFSET(ORÇAMENTO!$W$15,ROW(AH46)-ROW(AH$15),0),15-13*ORÇAMENTO!$AF$11)),
         0)</f>
        <v>0</v>
      </c>
      <c r="AI46" s="454">
        <f ca="1">IF(AND($D46="Serviço",AI$12&lt;&gt;0,$H46&gt;0,OR(AUTOEVENTO&lt;&gt;"manual",$M46&lt;&gt;$A$15)),
        IF(Import.TipoArredondamento&lt;&gt;"TransfereGOV",
              ROUND(OFFSET($P46,0,AI$13),15-13*ORÇAMENTO!$AF$7)/$H46*OFFSET(ORÇAMENTO!$X$15,ROW(AI46)-ROW(AI$15),0),
              ROUND(ROUND(OFFSET($P46,0,AI$13),15-13*ORÇAMENTO!$AF$7)*OFFSET(ORÇAMENTO!$W$15,ROW(AI46)-ROW(AI$15),0),15-13*ORÇAMENTO!$AF$11)),
         0)</f>
        <v>0</v>
      </c>
      <c r="AJ46" s="454">
        <f ca="1">IF(AND($D46="Serviço",AJ$12&lt;&gt;0,$H46&gt;0,OR(AUTOEVENTO&lt;&gt;"manual",$M46&lt;&gt;$A$15)),
        IF(Import.TipoArredondamento&lt;&gt;"TransfereGOV",
              ROUND(OFFSET($P46,0,AJ$13),15-13*ORÇAMENTO!$AF$7)/$H46*OFFSET(ORÇAMENTO!$X$15,ROW(AJ46)-ROW(AJ$15),0),
              ROUND(ROUND(OFFSET($P46,0,AJ$13),15-13*ORÇAMENTO!$AF$7)*OFFSET(ORÇAMENTO!$W$15,ROW(AJ46)-ROW(AJ$15),0),15-13*ORÇAMENTO!$AF$11)),
         0)</f>
        <v>0</v>
      </c>
      <c r="AK46" s="454">
        <f ca="1">IF(AND($D46="Serviço",AK$12&lt;&gt;0,$H46&gt;0,OR(AUTOEVENTO&lt;&gt;"manual",$M46&lt;&gt;$A$15)),
        IF(Import.TipoArredondamento&lt;&gt;"TransfereGOV",
              ROUND(OFFSET($P46,0,AK$13),15-13*ORÇAMENTO!$AF$7)/$H46*OFFSET(ORÇAMENTO!$X$15,ROW(AK46)-ROW(AK$15),0),
              ROUND(ROUND(OFFSET($P46,0,AK$13),15-13*ORÇAMENTO!$AF$7)*OFFSET(ORÇAMENTO!$W$15,ROW(AK46)-ROW(AK$15),0),15-13*ORÇAMENTO!$AF$11)),
         0)</f>
        <v>0</v>
      </c>
      <c r="AM46" s="172">
        <f ca="1">IF(OR($D46&lt;&gt;"Serviço",AND(AUTOEVENTO="Manual",$M46=$A$15)),0,
         IF(OFFSET(CRONOPLE!$F$15,$M46-$A$15,AM$13)="",10^12,OFFSET(CRONOPLE!$F$15,$M46-$A$15,AM$13)))</f>
        <v>1000000000000</v>
      </c>
      <c r="AN46" s="172">
        <f ca="1">IF(OR($D46&lt;&gt;"Serviço",AND(AUTOEVENTO="Manual",$M46=$A$15)),0,
         IF(OFFSET(CRONOPLE!$F$15,$M46-$A$15,AN$13)="",10^12,OFFSET(CRONOPLE!$F$15,$M46-$A$15,AN$13)))</f>
        <v>1000000000000</v>
      </c>
      <c r="AO46" s="172">
        <f ca="1">IF(OR($D46&lt;&gt;"Serviço",AND(AUTOEVENTO="Manual",$M46=$A$15)),0,
         IF(OFFSET(CRONOPLE!$F$15,$M46-$A$15,AO$13)="",10^12,OFFSET(CRONOPLE!$F$15,$M46-$A$15,AO$13)))</f>
        <v>1000000000000</v>
      </c>
      <c r="AP46" s="172">
        <f ca="1">IF(OR($D46&lt;&gt;"Serviço",AND(AUTOEVENTO="Manual",$M46=$A$15)),0,
         IF(OFFSET(CRONOPLE!$F$15,$M46-$A$15,AP$13)="",10^12,OFFSET(CRONOPLE!$F$15,$M46-$A$15,AP$13)))</f>
        <v>1000000000000</v>
      </c>
      <c r="AQ46" s="172">
        <f ca="1">IF(OR($D46&lt;&gt;"Serviço",AND(AUTOEVENTO="Manual",$M46=$A$15)),0,
         IF(OFFSET(CRONOPLE!$F$15,$M46-$A$15,AQ$13)="",10^12,OFFSET(CRONOPLE!$F$15,$M46-$A$15,AQ$13)))</f>
        <v>1000000000000</v>
      </c>
      <c r="AR46" s="172">
        <f ca="1">IF(OR($D46&lt;&gt;"Serviço",AND(AUTOEVENTO="Manual",$M46=$A$15)),0,
         IF(OFFSET(CRONOPLE!$F$15,$M46-$A$15,AR$13)="",10^12,OFFSET(CRONOPLE!$F$15,$M46-$A$15,AR$13)))</f>
        <v>1000000000000</v>
      </c>
      <c r="AS46" s="172">
        <f ca="1">IF(OR($D46&lt;&gt;"Serviço",AND(AUTOEVENTO="Manual",$M46=$A$15)),0,
         IF(OFFSET(CRONOPLE!$F$15,$M46-$A$15,AS$13)="",10^12,OFFSET(CRONOPLE!$F$15,$M46-$A$15,AS$13)))</f>
        <v>1000000000000</v>
      </c>
      <c r="AT46" s="172">
        <f ca="1">IF(OR($D46&lt;&gt;"Serviço",AND(AUTOEVENTO="Manual",$M46=$A$15)),0,
         IF(OFFSET(CRONOPLE!$F$15,$M46-$A$15,AT$13)="",10^12,OFFSET(CRONOPLE!$F$15,$M46-$A$15,AT$13)))</f>
        <v>1000000000000</v>
      </c>
      <c r="AU46" s="172">
        <f ca="1">IF(OR($D46&lt;&gt;"Serviço",AND(AUTOEVENTO="Manual",$M46=$A$15)),0,
         IF(OFFSET(CRONOPLE!$F$15,$M46-$A$15,AU$13)="",10^12,OFFSET(CRONOPLE!$F$15,$M46-$A$15,AU$13)))</f>
        <v>1000000000000</v>
      </c>
      <c r="AV46" s="172">
        <f ca="1">IF(OR($D46&lt;&gt;"Serviço",AND(AUTOEVENTO="Manual",$M46=$A$15)),0,
         IF(OFFSET(CRONOPLE!$F$15,$M46-$A$15,AV$13)="",10^12,OFFSET(CRONOPLE!$F$15,$M46-$A$15,AV$13)))</f>
        <v>1000000000000</v>
      </c>
      <c r="AX46" s="173">
        <f ca="1">IF(OR($D46&lt;&gt;"Serviço",AND(AUTOEVENTO="Manual",$M46=$A$15),$M46&gt;(ROW(PLE.lastrow)-ROW(PLE.firstrow))),0,
           IF(OFFSET(PLE!$G$15,$M46-$A$15,AX$13)="",10^12,OFFSET(PLE!$G$15,$M46-$A$15,AX$13)))</f>
        <v>1000000000000</v>
      </c>
      <c r="AY46" s="173">
        <f ca="1">IF(OR($D46&lt;&gt;"Serviço",AND(AUTOEVENTO="Manual",$M46=$A$15),$M46&gt;(ROW(PLE.lastrow)-ROW(PLE.firstrow))),0,
           IF(OFFSET(PLE!$G$15,$M46-$A$15,AY$13)="",10^12,OFFSET(PLE!$G$15,$M46-$A$15,AY$13)))</f>
        <v>1000000000000</v>
      </c>
      <c r="AZ46" s="173">
        <f ca="1">IF(OR($D46&lt;&gt;"Serviço",AND(AUTOEVENTO="Manual",$M46=$A$15),$M46&gt;(ROW(PLE.lastrow)-ROW(PLE.firstrow))),0,
           IF(OFFSET(PLE!$G$15,$M46-$A$15,AZ$13)="",10^12,OFFSET(PLE!$G$15,$M46-$A$15,AZ$13)))</f>
        <v>1000000000000</v>
      </c>
      <c r="BA46" s="173">
        <f ca="1">IF(OR($D46&lt;&gt;"Serviço",AND(AUTOEVENTO="Manual",$M46=$A$15),$M46&gt;(ROW(PLE.lastrow)-ROW(PLE.firstrow))),0,
           IF(OFFSET(PLE!$G$15,$M46-$A$15,BA$13)="",10^12,OFFSET(PLE!$G$15,$M46-$A$15,BA$13)))</f>
        <v>1000000000000</v>
      </c>
      <c r="BB46" s="173">
        <f ca="1">IF(OR($D46&lt;&gt;"Serviço",AND(AUTOEVENTO="Manual",$M46=$A$15),$M46&gt;(ROW(PLE.lastrow)-ROW(PLE.firstrow))),0,
           IF(OFFSET(PLE!$G$15,$M46-$A$15,BB$13)="",10^12,OFFSET(PLE!$G$15,$M46-$A$15,BB$13)))</f>
        <v>1000000000000</v>
      </c>
      <c r="BC46" s="173">
        <f ca="1">IF(OR($D46&lt;&gt;"Serviço",AND(AUTOEVENTO="Manual",$M46=$A$15),$M46&gt;(ROW(PLE.lastrow)-ROW(PLE.firstrow))),0,
           IF(OFFSET(PLE!$G$15,$M46-$A$15,BC$13)="",10^12,OFFSET(PLE!$G$15,$M46-$A$15,BC$13)))</f>
        <v>1000000000000</v>
      </c>
      <c r="BD46" s="173">
        <f ca="1">IF(OR($D46&lt;&gt;"Serviço",AND(AUTOEVENTO="Manual",$M46=$A$15),$M46&gt;(ROW(PLE.lastrow)-ROW(PLE.firstrow))),0,
           IF(OFFSET(PLE!$G$15,$M46-$A$15,BD$13)="",10^12,OFFSET(PLE!$G$15,$M46-$A$15,BD$13)))</f>
        <v>1000000000000</v>
      </c>
      <c r="BE46" s="173">
        <f ca="1">IF(OR($D46&lt;&gt;"Serviço",AND(AUTOEVENTO="Manual",$M46=$A$15),$M46&gt;(ROW(PLE.lastrow)-ROW(PLE.firstrow))),0,
           IF(OFFSET(PLE!$G$15,$M46-$A$15,BE$13)="",10^12,OFFSET(PLE!$G$15,$M46-$A$15,BE$13)))</f>
        <v>1000000000000</v>
      </c>
      <c r="BF46" s="173">
        <f ca="1">IF(OR($D46&lt;&gt;"Serviço",AND(AUTOEVENTO="Manual",$M46=$A$15),$M46&gt;(ROW(PLE.lastrow)-ROW(PLE.firstrow))),0,
           IF(OFFSET(PLE!$G$15,$M46-$A$15,BF$13)="",10^12,OFFSET(PLE!$G$15,$M46-$A$15,BF$13)))</f>
        <v>1000000000000</v>
      </c>
      <c r="BG46" s="173">
        <f ca="1">IF(OR($D46&lt;&gt;"Serviço",AND(AUTOEVENTO="Manual",$M46=$A$15),$M46&gt;(ROW(PLE.lastrow)-ROW(PLE.firstrow))),0,
           IF(OFFSET(PLE!$G$15,$M46-$A$15,BG$13)="",10^12,OFFSET(PLE!$G$15,$M46-$A$15,BG$13)))</f>
        <v>1000000000000</v>
      </c>
    </row>
    <row r="47" spans="1:59" ht="12.75" x14ac:dyDescent="0.2">
      <c r="A47" s="7" t="str">
        <f t="shared" ca="1" si="8"/>
        <v>32.</v>
      </c>
      <c r="B47" s="7">
        <f ca="1">OFFSET(ORÇAMENTO!C$15,ROW(B47)-ROW(B$15),0)</f>
        <v>2</v>
      </c>
      <c r="C47" s="7" t="str">
        <f ca="1">OFFSET(ORÇAMENTO!L$15,ROW(C47)-ROW(C$15),0)</f>
        <v>F</v>
      </c>
      <c r="D47" s="117" t="str">
        <f ca="1">OFFSET(ORÇAMENTO!N$15,ROW(D47)-ROW(D$15),0)</f>
        <v>Nível 2</v>
      </c>
      <c r="E47" s="118" t="str">
        <f ca="1">OFFSET(ORÇAMENTO!O$15,ROW(E47)-ROW(E$15),0)</f>
        <v>1.7.</v>
      </c>
      <c r="F47" s="164" t="str">
        <f ca="1">OFFSET(ORÇAMENTO!R$15,ROW(F47)-ROW(F$15),0)</f>
        <v>FECHAMENTOS DOS MÓDULOS</v>
      </c>
      <c r="G47" s="165" t="str">
        <f ca="1">IF($D47&lt;&gt;"Serviço","",OFFSET(ORÇAMENTO!S$15,ROW(G47)-ROW(G$15),0))</f>
        <v/>
      </c>
      <c r="H47" s="123">
        <f ca="1">IF($D47&lt;&gt;"Serviço",0,IF(ACOMPANHAMENTO="BM",ROUND(OFFSET(ORÇAMENTO!AJ$15,ROW(H47)-ROW(H$15),0),15-13*ORÇAMENTO!$AF$7),SUMPRODUCT(($Q$1:$AA$1=1)*ROUND($Q47:$AA47,15-13*ORÇAMENTO!$AF$7))))</f>
        <v>0</v>
      </c>
      <c r="I47" s="469"/>
      <c r="J47" s="577" t="str" cm="1">
        <f t="array" aca="1" ref="J47" ca="1">IF(B47&lt;&gt;"S","",IF(AND(ACOMPANHAMENTO="PLE",AUTOEVENTO="Manual",OR(H47&gt;0,ORÇAMENTO!AC47="QUANT."),OR(K47="",M47=0,N47="")),"►",IF(AND(ACOMPANHAMENTO="PLE",ORÇAMENTO!AC47="QUANT."),"►►",IF(AND(COUNTIF($P$11:$AA$11,"▼")=0,H47&gt;0,I47=""),"◄",""))))</f>
        <v/>
      </c>
      <c r="K47" s="626"/>
      <c r="L47" s="166" t="s">
        <v>765</v>
      </c>
      <c r="M47" s="167" t="str">
        <f ca="1">IF($D47&lt;&gt;"Serviço","",
          IF(AUTOEVENTO="manual",$A47,
                IF(ISERROR(MATCH($A47,$A$15:OFFSET($A47,-1,0),0)),MAX($M$15:OFFSET(M47,-1,0))+1,
                      INDEX($M$15:OFFSET(M47,-1,0),MATCH($A47,$A$15:OFFSET($A47,-1,0),0)))))</f>
        <v/>
      </c>
      <c r="N47" s="168" t="str">
        <f ca="1">IF($D47&lt;&gt;"Serviço","",
         IF(AUTOEVENTO="Manual",
                IF($A47=0,"&lt;-- defina o número do agrupador",
                       OFFSET(EVENTOS!$D$15,$A47-$A$15,0)),
                OFFSET($F$15,$A47,0)))</f>
        <v/>
      </c>
      <c r="O47" s="169"/>
      <c r="Q47" s="169"/>
      <c r="R47" s="170"/>
      <c r="S47" s="170"/>
      <c r="T47" s="170"/>
      <c r="U47" s="170"/>
      <c r="V47" s="170"/>
      <c r="W47" s="170"/>
      <c r="X47" s="170"/>
      <c r="Y47" s="170"/>
      <c r="Z47" s="171"/>
      <c r="AB47" s="454">
        <f ca="1">IF(AND($D47="Serviço",AB$12&lt;&gt;0,$H47&gt;0,OR(AUTOEVENTO&lt;&gt;"manual",$M47&lt;&gt;$A$15)),
        IF(Import.TipoArredondamento&lt;&gt;"TransfereGOV",
              ROUND(OFFSET($P47,0,AB$13),15-13*ORÇAMENTO!$AF$7)/$H47*OFFSET(ORÇAMENTO!$X$15,ROW(AB47)-ROW(AB$15),0),
              ROUND(ROUND(OFFSET($P47,0,AB$13),15-13*ORÇAMENTO!$AF$7)*OFFSET(ORÇAMENTO!$W$15,ROW(AB47)-ROW(AB$15),0),15-13*ORÇAMENTO!$AF$11)),
         0)</f>
        <v>0</v>
      </c>
      <c r="AC47" s="454">
        <f ca="1">IF(AND($D47="Serviço",AC$12&lt;&gt;0,$H47&gt;0,OR(AUTOEVENTO&lt;&gt;"manual",$M47&lt;&gt;$A$15)),
        IF(Import.TipoArredondamento&lt;&gt;"TransfereGOV",
              ROUND(OFFSET($P47,0,AC$13),15-13*ORÇAMENTO!$AF$7)/$H47*OFFSET(ORÇAMENTO!$X$15,ROW(AC47)-ROW(AC$15),0),
              ROUND(ROUND(OFFSET($P47,0,AC$13),15-13*ORÇAMENTO!$AF$7)*OFFSET(ORÇAMENTO!$W$15,ROW(AC47)-ROW(AC$15),0),15-13*ORÇAMENTO!$AF$11)),
         0)</f>
        <v>0</v>
      </c>
      <c r="AD47" s="454">
        <f ca="1">IF(AND($D47="Serviço",AD$12&lt;&gt;0,$H47&gt;0,OR(AUTOEVENTO&lt;&gt;"manual",$M47&lt;&gt;$A$15)),
        IF(Import.TipoArredondamento&lt;&gt;"TransfereGOV",
              ROUND(OFFSET($P47,0,AD$13),15-13*ORÇAMENTO!$AF$7)/$H47*OFFSET(ORÇAMENTO!$X$15,ROW(AD47)-ROW(AD$15),0),
              ROUND(ROUND(OFFSET($P47,0,AD$13),15-13*ORÇAMENTO!$AF$7)*OFFSET(ORÇAMENTO!$W$15,ROW(AD47)-ROW(AD$15),0),15-13*ORÇAMENTO!$AF$11)),
         0)</f>
        <v>0</v>
      </c>
      <c r="AE47" s="454">
        <f ca="1">IF(AND($D47="Serviço",AE$12&lt;&gt;0,$H47&gt;0,OR(AUTOEVENTO&lt;&gt;"manual",$M47&lt;&gt;$A$15)),
        IF(Import.TipoArredondamento&lt;&gt;"TransfereGOV",
              ROUND(OFFSET($P47,0,AE$13),15-13*ORÇAMENTO!$AF$7)/$H47*OFFSET(ORÇAMENTO!$X$15,ROW(AE47)-ROW(AE$15),0),
              ROUND(ROUND(OFFSET($P47,0,AE$13),15-13*ORÇAMENTO!$AF$7)*OFFSET(ORÇAMENTO!$W$15,ROW(AE47)-ROW(AE$15),0),15-13*ORÇAMENTO!$AF$11)),
         0)</f>
        <v>0</v>
      </c>
      <c r="AF47" s="454">
        <f ca="1">IF(AND($D47="Serviço",AF$12&lt;&gt;0,$H47&gt;0,OR(AUTOEVENTO&lt;&gt;"manual",$M47&lt;&gt;$A$15)),
        IF(Import.TipoArredondamento&lt;&gt;"TransfereGOV",
              ROUND(OFFSET($P47,0,AF$13),15-13*ORÇAMENTO!$AF$7)/$H47*OFFSET(ORÇAMENTO!$X$15,ROW(AF47)-ROW(AF$15),0),
              ROUND(ROUND(OFFSET($P47,0,AF$13),15-13*ORÇAMENTO!$AF$7)*OFFSET(ORÇAMENTO!$W$15,ROW(AF47)-ROW(AF$15),0),15-13*ORÇAMENTO!$AF$11)),
         0)</f>
        <v>0</v>
      </c>
      <c r="AG47" s="454">
        <f ca="1">IF(AND($D47="Serviço",AG$12&lt;&gt;0,$H47&gt;0,OR(AUTOEVENTO&lt;&gt;"manual",$M47&lt;&gt;$A$15)),
        IF(Import.TipoArredondamento&lt;&gt;"TransfereGOV",
              ROUND(OFFSET($P47,0,AG$13),15-13*ORÇAMENTO!$AF$7)/$H47*OFFSET(ORÇAMENTO!$X$15,ROW(AG47)-ROW(AG$15),0),
              ROUND(ROUND(OFFSET($P47,0,AG$13),15-13*ORÇAMENTO!$AF$7)*OFFSET(ORÇAMENTO!$W$15,ROW(AG47)-ROW(AG$15),0),15-13*ORÇAMENTO!$AF$11)),
         0)</f>
        <v>0</v>
      </c>
      <c r="AH47" s="454">
        <f ca="1">IF(AND($D47="Serviço",AH$12&lt;&gt;0,$H47&gt;0,OR(AUTOEVENTO&lt;&gt;"manual",$M47&lt;&gt;$A$15)),
        IF(Import.TipoArredondamento&lt;&gt;"TransfereGOV",
              ROUND(OFFSET($P47,0,AH$13),15-13*ORÇAMENTO!$AF$7)/$H47*OFFSET(ORÇAMENTO!$X$15,ROW(AH47)-ROW(AH$15),0),
              ROUND(ROUND(OFFSET($P47,0,AH$13),15-13*ORÇAMENTO!$AF$7)*OFFSET(ORÇAMENTO!$W$15,ROW(AH47)-ROW(AH$15),0),15-13*ORÇAMENTO!$AF$11)),
         0)</f>
        <v>0</v>
      </c>
      <c r="AI47" s="454">
        <f ca="1">IF(AND($D47="Serviço",AI$12&lt;&gt;0,$H47&gt;0,OR(AUTOEVENTO&lt;&gt;"manual",$M47&lt;&gt;$A$15)),
        IF(Import.TipoArredondamento&lt;&gt;"TransfereGOV",
              ROUND(OFFSET($P47,0,AI$13),15-13*ORÇAMENTO!$AF$7)/$H47*OFFSET(ORÇAMENTO!$X$15,ROW(AI47)-ROW(AI$15),0),
              ROUND(ROUND(OFFSET($P47,0,AI$13),15-13*ORÇAMENTO!$AF$7)*OFFSET(ORÇAMENTO!$W$15,ROW(AI47)-ROW(AI$15),0),15-13*ORÇAMENTO!$AF$11)),
         0)</f>
        <v>0</v>
      </c>
      <c r="AJ47" s="454">
        <f ca="1">IF(AND($D47="Serviço",AJ$12&lt;&gt;0,$H47&gt;0,OR(AUTOEVENTO&lt;&gt;"manual",$M47&lt;&gt;$A$15)),
        IF(Import.TipoArredondamento&lt;&gt;"TransfereGOV",
              ROUND(OFFSET($P47,0,AJ$13),15-13*ORÇAMENTO!$AF$7)/$H47*OFFSET(ORÇAMENTO!$X$15,ROW(AJ47)-ROW(AJ$15),0),
              ROUND(ROUND(OFFSET($P47,0,AJ$13),15-13*ORÇAMENTO!$AF$7)*OFFSET(ORÇAMENTO!$W$15,ROW(AJ47)-ROW(AJ$15),0),15-13*ORÇAMENTO!$AF$11)),
         0)</f>
        <v>0</v>
      </c>
      <c r="AK47" s="454">
        <f ca="1">IF(AND($D47="Serviço",AK$12&lt;&gt;0,$H47&gt;0,OR(AUTOEVENTO&lt;&gt;"manual",$M47&lt;&gt;$A$15)),
        IF(Import.TipoArredondamento&lt;&gt;"TransfereGOV",
              ROUND(OFFSET($P47,0,AK$13),15-13*ORÇAMENTO!$AF$7)/$H47*OFFSET(ORÇAMENTO!$X$15,ROW(AK47)-ROW(AK$15),0),
              ROUND(ROUND(OFFSET($P47,0,AK$13),15-13*ORÇAMENTO!$AF$7)*OFFSET(ORÇAMENTO!$W$15,ROW(AK47)-ROW(AK$15),0),15-13*ORÇAMENTO!$AF$11)),
         0)</f>
        <v>0</v>
      </c>
      <c r="AM47" s="172">
        <f ca="1">IF(OR($D47&lt;&gt;"Serviço",AND(AUTOEVENTO="Manual",$M47=$A$15)),0,
         IF(OFFSET(CRONOPLE!$F$15,$M47-$A$15,AM$13)="",10^12,OFFSET(CRONOPLE!$F$15,$M47-$A$15,AM$13)))</f>
        <v>0</v>
      </c>
      <c r="AN47" s="172">
        <f ca="1">IF(OR($D47&lt;&gt;"Serviço",AND(AUTOEVENTO="Manual",$M47=$A$15)),0,
         IF(OFFSET(CRONOPLE!$F$15,$M47-$A$15,AN$13)="",10^12,OFFSET(CRONOPLE!$F$15,$M47-$A$15,AN$13)))</f>
        <v>0</v>
      </c>
      <c r="AO47" s="172">
        <f ca="1">IF(OR($D47&lt;&gt;"Serviço",AND(AUTOEVENTO="Manual",$M47=$A$15)),0,
         IF(OFFSET(CRONOPLE!$F$15,$M47-$A$15,AO$13)="",10^12,OFFSET(CRONOPLE!$F$15,$M47-$A$15,AO$13)))</f>
        <v>0</v>
      </c>
      <c r="AP47" s="172">
        <f ca="1">IF(OR($D47&lt;&gt;"Serviço",AND(AUTOEVENTO="Manual",$M47=$A$15)),0,
         IF(OFFSET(CRONOPLE!$F$15,$M47-$A$15,AP$13)="",10^12,OFFSET(CRONOPLE!$F$15,$M47-$A$15,AP$13)))</f>
        <v>0</v>
      </c>
      <c r="AQ47" s="172">
        <f ca="1">IF(OR($D47&lt;&gt;"Serviço",AND(AUTOEVENTO="Manual",$M47=$A$15)),0,
         IF(OFFSET(CRONOPLE!$F$15,$M47-$A$15,AQ$13)="",10^12,OFFSET(CRONOPLE!$F$15,$M47-$A$15,AQ$13)))</f>
        <v>0</v>
      </c>
      <c r="AR47" s="172">
        <f ca="1">IF(OR($D47&lt;&gt;"Serviço",AND(AUTOEVENTO="Manual",$M47=$A$15)),0,
         IF(OFFSET(CRONOPLE!$F$15,$M47-$A$15,AR$13)="",10^12,OFFSET(CRONOPLE!$F$15,$M47-$A$15,AR$13)))</f>
        <v>0</v>
      </c>
      <c r="AS47" s="172">
        <f ca="1">IF(OR($D47&lt;&gt;"Serviço",AND(AUTOEVENTO="Manual",$M47=$A$15)),0,
         IF(OFFSET(CRONOPLE!$F$15,$M47-$A$15,AS$13)="",10^12,OFFSET(CRONOPLE!$F$15,$M47-$A$15,AS$13)))</f>
        <v>0</v>
      </c>
      <c r="AT47" s="172">
        <f ca="1">IF(OR($D47&lt;&gt;"Serviço",AND(AUTOEVENTO="Manual",$M47=$A$15)),0,
         IF(OFFSET(CRONOPLE!$F$15,$M47-$A$15,AT$13)="",10^12,OFFSET(CRONOPLE!$F$15,$M47-$A$15,AT$13)))</f>
        <v>0</v>
      </c>
      <c r="AU47" s="172">
        <f ca="1">IF(OR($D47&lt;&gt;"Serviço",AND(AUTOEVENTO="Manual",$M47=$A$15)),0,
         IF(OFFSET(CRONOPLE!$F$15,$M47-$A$15,AU$13)="",10^12,OFFSET(CRONOPLE!$F$15,$M47-$A$15,AU$13)))</f>
        <v>0</v>
      </c>
      <c r="AV47" s="172">
        <f ca="1">IF(OR($D47&lt;&gt;"Serviço",AND(AUTOEVENTO="Manual",$M47=$A$15)),0,
         IF(OFFSET(CRONOPLE!$F$15,$M47-$A$15,AV$13)="",10^12,OFFSET(CRONOPLE!$F$15,$M47-$A$15,AV$13)))</f>
        <v>0</v>
      </c>
      <c r="AX47" s="173">
        <f ca="1">IF(OR($D47&lt;&gt;"Serviço",AND(AUTOEVENTO="Manual",$M47=$A$15),$M47&gt;(ROW(PLE.lastrow)-ROW(PLE.firstrow))),0,
           IF(OFFSET(PLE!$G$15,$M47-$A$15,AX$13)="",10^12,OFFSET(PLE!$G$15,$M47-$A$15,AX$13)))</f>
        <v>0</v>
      </c>
      <c r="AY47" s="173">
        <f ca="1">IF(OR($D47&lt;&gt;"Serviço",AND(AUTOEVENTO="Manual",$M47=$A$15),$M47&gt;(ROW(PLE.lastrow)-ROW(PLE.firstrow))),0,
           IF(OFFSET(PLE!$G$15,$M47-$A$15,AY$13)="",10^12,OFFSET(PLE!$G$15,$M47-$A$15,AY$13)))</f>
        <v>0</v>
      </c>
      <c r="AZ47" s="173">
        <f ca="1">IF(OR($D47&lt;&gt;"Serviço",AND(AUTOEVENTO="Manual",$M47=$A$15),$M47&gt;(ROW(PLE.lastrow)-ROW(PLE.firstrow))),0,
           IF(OFFSET(PLE!$G$15,$M47-$A$15,AZ$13)="",10^12,OFFSET(PLE!$G$15,$M47-$A$15,AZ$13)))</f>
        <v>0</v>
      </c>
      <c r="BA47" s="173">
        <f ca="1">IF(OR($D47&lt;&gt;"Serviço",AND(AUTOEVENTO="Manual",$M47=$A$15),$M47&gt;(ROW(PLE.lastrow)-ROW(PLE.firstrow))),0,
           IF(OFFSET(PLE!$G$15,$M47-$A$15,BA$13)="",10^12,OFFSET(PLE!$G$15,$M47-$A$15,BA$13)))</f>
        <v>0</v>
      </c>
      <c r="BB47" s="173">
        <f ca="1">IF(OR($D47&lt;&gt;"Serviço",AND(AUTOEVENTO="Manual",$M47=$A$15),$M47&gt;(ROW(PLE.lastrow)-ROW(PLE.firstrow))),0,
           IF(OFFSET(PLE!$G$15,$M47-$A$15,BB$13)="",10^12,OFFSET(PLE!$G$15,$M47-$A$15,BB$13)))</f>
        <v>0</v>
      </c>
      <c r="BC47" s="173">
        <f ca="1">IF(OR($D47&lt;&gt;"Serviço",AND(AUTOEVENTO="Manual",$M47=$A$15),$M47&gt;(ROW(PLE.lastrow)-ROW(PLE.firstrow))),0,
           IF(OFFSET(PLE!$G$15,$M47-$A$15,BC$13)="",10^12,OFFSET(PLE!$G$15,$M47-$A$15,BC$13)))</f>
        <v>0</v>
      </c>
      <c r="BD47" s="173">
        <f ca="1">IF(OR($D47&lt;&gt;"Serviço",AND(AUTOEVENTO="Manual",$M47=$A$15),$M47&gt;(ROW(PLE.lastrow)-ROW(PLE.firstrow))),0,
           IF(OFFSET(PLE!$G$15,$M47-$A$15,BD$13)="",10^12,OFFSET(PLE!$G$15,$M47-$A$15,BD$13)))</f>
        <v>0</v>
      </c>
      <c r="BE47" s="173">
        <f ca="1">IF(OR($D47&lt;&gt;"Serviço",AND(AUTOEVENTO="Manual",$M47=$A$15),$M47&gt;(ROW(PLE.lastrow)-ROW(PLE.firstrow))),0,
           IF(OFFSET(PLE!$G$15,$M47-$A$15,BE$13)="",10^12,OFFSET(PLE!$G$15,$M47-$A$15,BE$13)))</f>
        <v>0</v>
      </c>
      <c r="BF47" s="173">
        <f ca="1">IF(OR($D47&lt;&gt;"Serviço",AND(AUTOEVENTO="Manual",$M47=$A$15),$M47&gt;(ROW(PLE.lastrow)-ROW(PLE.firstrow))),0,
           IF(OFFSET(PLE!$G$15,$M47-$A$15,BF$13)="",10^12,OFFSET(PLE!$G$15,$M47-$A$15,BF$13)))</f>
        <v>0</v>
      </c>
      <c r="BG47" s="173">
        <f ca="1">IF(OR($D47&lt;&gt;"Serviço",AND(AUTOEVENTO="Manual",$M47=$A$15),$M47&gt;(ROW(PLE.lastrow)-ROW(PLE.firstrow))),0,
           IF(OFFSET(PLE!$G$15,$M47-$A$15,BG$13)="",10^12,OFFSET(PLE!$G$15,$M47-$A$15,BG$13)))</f>
        <v>0</v>
      </c>
    </row>
    <row r="48" spans="1:59" ht="38.25" x14ac:dyDescent="0.2">
      <c r="A48" s="7" t="str">
        <f t="shared" ca="1" si="8"/>
        <v>32</v>
      </c>
      <c r="B48" s="7" t="str">
        <f ca="1">OFFSET(ORÇAMENTO!C$15,ROW(B48)-ROW(B$15),0)</f>
        <v>S</v>
      </c>
      <c r="C48" s="7" t="str">
        <f ca="1">OFFSET(ORÇAMENTO!L$15,ROW(C48)-ROW(C$15),0)</f>
        <v/>
      </c>
      <c r="D48" s="117" t="str">
        <f ca="1">OFFSET(ORÇAMENTO!N$15,ROW(D48)-ROW(D$15),0)</f>
        <v>Serviço</v>
      </c>
      <c r="E48" s="118" t="str">
        <f ca="1">OFFSET(ORÇAMENTO!O$15,ROW(E48)-ROW(E$15),0)</f>
        <v>-</v>
      </c>
      <c r="F48" s="164" t="str">
        <f ca="1">OFFSET(ORÇAMENTO!R$15,ROW(F48)-ROW(F$15),0)</f>
        <v xml:space="preserve">PAINEL ESTRUTURAL PARA LAJE SECA REVESTIDO EM PLACA CIMENTICIA, DE 1,20 X 2,50 M, E = 40 MM - FORNECIMENTO E INSTALAÇÃO </v>
      </c>
      <c r="G48" s="165" t="str">
        <f ca="1">IF($D48&lt;&gt;"Serviço","",OFFSET(ORÇAMENTO!S$15,ROW(G48)-ROW(G$15),0))</f>
        <v>M2</v>
      </c>
      <c r="H48" s="123">
        <f ca="1">IF($D48&lt;&gt;"Serviço",0,IF(ACOMPANHAMENTO="BM",ROUND(OFFSET(ORÇAMENTO!AJ$15,ROW(H48)-ROW(H$15),0),15-13*ORÇAMENTO!$AF$7),SUMPRODUCT(($Q$1:$AA$1=1)*ROUND($Q48:$AA48,15-13*ORÇAMENTO!$AF$7))))</f>
        <v>1042</v>
      </c>
      <c r="I48" s="469"/>
      <c r="J48" s="577" t="str" cm="1">
        <f t="array" aca="1" ref="J48" ca="1">IF(B48&lt;&gt;"S","",IF(AND(ACOMPANHAMENTO="PLE",AUTOEVENTO="Manual",OR(H48&gt;0,ORÇAMENTO!AC48="QUANT."),OR(K48="",M48=0,N48="")),"►",IF(AND(ACOMPANHAMENTO="PLE",ORÇAMENTO!AC48="QUANT."),"►►",IF(AND(COUNTIF($P$11:$AA$11,"▼")=0,H48&gt;0,I48=""),"◄",""))))</f>
        <v>◄</v>
      </c>
      <c r="K48" s="626"/>
      <c r="L48" s="166" t="s">
        <v>765</v>
      </c>
      <c r="M48" s="167">
        <f ca="1">IF($D48&lt;&gt;"Serviço","",
          IF(AUTOEVENTO="manual",$A48,
                IF(ISERROR(MATCH($A48,$A$15:OFFSET($A48,-1,0),0)),MAX($M$15:OFFSET(M48,-1,0))+1,
                      INDEX($M$15:OFFSET(M48,-1,0),MATCH($A48,$A$15:OFFSET($A48,-1,0),0)))))</f>
        <v>7</v>
      </c>
      <c r="N48" s="168" t="str">
        <f ca="1">IF($D48&lt;&gt;"Serviço","",
         IF(AUTOEVENTO="Manual",
                IF($A48=0,"&lt;-- defina o número do agrupador",
                       OFFSET(EVENTOS!$D$15,$A48-$A$15,0)),
                OFFSET($F$15,$A48,0)))</f>
        <v>FECHAMENTOS DOS MÓDULOS</v>
      </c>
      <c r="O48" s="169"/>
      <c r="Q48" s="169"/>
      <c r="R48" s="170"/>
      <c r="S48" s="170"/>
      <c r="T48" s="170"/>
      <c r="U48" s="170"/>
      <c r="V48" s="170"/>
      <c r="W48" s="170"/>
      <c r="X48" s="170"/>
      <c r="Y48" s="170"/>
      <c r="Z48" s="171"/>
      <c r="AB48" s="454">
        <f ca="1">IF(AND($D48="Serviço",AB$12&lt;&gt;0,$H48&gt;0,OR(AUTOEVENTO&lt;&gt;"manual",$M48&lt;&gt;$A$15)),
        IF(Import.TipoArredondamento&lt;&gt;"TransfereGOV",
              ROUND(OFFSET($P48,0,AB$13),15-13*ORÇAMENTO!$AF$7)/$H48*OFFSET(ORÇAMENTO!$X$15,ROW(AB48)-ROW(AB$15),0),
              ROUND(ROUND(OFFSET($P48,0,AB$13),15-13*ORÇAMENTO!$AF$7)*OFFSET(ORÇAMENTO!$W$15,ROW(AB48)-ROW(AB$15),0),15-13*ORÇAMENTO!$AF$11)),
         0)</f>
        <v>0</v>
      </c>
      <c r="AC48" s="454">
        <f ca="1">IF(AND($D48="Serviço",AC$12&lt;&gt;0,$H48&gt;0,OR(AUTOEVENTO&lt;&gt;"manual",$M48&lt;&gt;$A$15)),
        IF(Import.TipoArredondamento&lt;&gt;"TransfereGOV",
              ROUND(OFFSET($P48,0,AC$13),15-13*ORÇAMENTO!$AF$7)/$H48*OFFSET(ORÇAMENTO!$X$15,ROW(AC48)-ROW(AC$15),0),
              ROUND(ROUND(OFFSET($P48,0,AC$13),15-13*ORÇAMENTO!$AF$7)*OFFSET(ORÇAMENTO!$W$15,ROW(AC48)-ROW(AC$15),0),15-13*ORÇAMENTO!$AF$11)),
         0)</f>
        <v>0</v>
      </c>
      <c r="AD48" s="454">
        <f ca="1">IF(AND($D48="Serviço",AD$12&lt;&gt;0,$H48&gt;0,OR(AUTOEVENTO&lt;&gt;"manual",$M48&lt;&gt;$A$15)),
        IF(Import.TipoArredondamento&lt;&gt;"TransfereGOV",
              ROUND(OFFSET($P48,0,AD$13),15-13*ORÇAMENTO!$AF$7)/$H48*OFFSET(ORÇAMENTO!$X$15,ROW(AD48)-ROW(AD$15),0),
              ROUND(ROUND(OFFSET($P48,0,AD$13),15-13*ORÇAMENTO!$AF$7)*OFFSET(ORÇAMENTO!$W$15,ROW(AD48)-ROW(AD$15),0),15-13*ORÇAMENTO!$AF$11)),
         0)</f>
        <v>0</v>
      </c>
      <c r="AE48" s="454">
        <f ca="1">IF(AND($D48="Serviço",AE$12&lt;&gt;0,$H48&gt;0,OR(AUTOEVENTO&lt;&gt;"manual",$M48&lt;&gt;$A$15)),
        IF(Import.TipoArredondamento&lt;&gt;"TransfereGOV",
              ROUND(OFFSET($P48,0,AE$13),15-13*ORÇAMENTO!$AF$7)/$H48*OFFSET(ORÇAMENTO!$X$15,ROW(AE48)-ROW(AE$15),0),
              ROUND(ROUND(OFFSET($P48,0,AE$13),15-13*ORÇAMENTO!$AF$7)*OFFSET(ORÇAMENTO!$W$15,ROW(AE48)-ROW(AE$15),0),15-13*ORÇAMENTO!$AF$11)),
         0)</f>
        <v>0</v>
      </c>
      <c r="AF48" s="454">
        <f ca="1">IF(AND($D48="Serviço",AF$12&lt;&gt;0,$H48&gt;0,OR(AUTOEVENTO&lt;&gt;"manual",$M48&lt;&gt;$A$15)),
        IF(Import.TipoArredondamento&lt;&gt;"TransfereGOV",
              ROUND(OFFSET($P48,0,AF$13),15-13*ORÇAMENTO!$AF$7)/$H48*OFFSET(ORÇAMENTO!$X$15,ROW(AF48)-ROW(AF$15),0),
              ROUND(ROUND(OFFSET($P48,0,AF$13),15-13*ORÇAMENTO!$AF$7)*OFFSET(ORÇAMENTO!$W$15,ROW(AF48)-ROW(AF$15),0),15-13*ORÇAMENTO!$AF$11)),
         0)</f>
        <v>0</v>
      </c>
      <c r="AG48" s="454">
        <f ca="1">IF(AND($D48="Serviço",AG$12&lt;&gt;0,$H48&gt;0,OR(AUTOEVENTO&lt;&gt;"manual",$M48&lt;&gt;$A$15)),
        IF(Import.TipoArredondamento&lt;&gt;"TransfereGOV",
              ROUND(OFFSET($P48,0,AG$13),15-13*ORÇAMENTO!$AF$7)/$H48*OFFSET(ORÇAMENTO!$X$15,ROW(AG48)-ROW(AG$15),0),
              ROUND(ROUND(OFFSET($P48,0,AG$13),15-13*ORÇAMENTO!$AF$7)*OFFSET(ORÇAMENTO!$W$15,ROW(AG48)-ROW(AG$15),0),15-13*ORÇAMENTO!$AF$11)),
         0)</f>
        <v>0</v>
      </c>
      <c r="AH48" s="454">
        <f ca="1">IF(AND($D48="Serviço",AH$12&lt;&gt;0,$H48&gt;0,OR(AUTOEVENTO&lt;&gt;"manual",$M48&lt;&gt;$A$15)),
        IF(Import.TipoArredondamento&lt;&gt;"TransfereGOV",
              ROUND(OFFSET($P48,0,AH$13),15-13*ORÇAMENTO!$AF$7)/$H48*OFFSET(ORÇAMENTO!$X$15,ROW(AH48)-ROW(AH$15),0),
              ROUND(ROUND(OFFSET($P48,0,AH$13),15-13*ORÇAMENTO!$AF$7)*OFFSET(ORÇAMENTO!$W$15,ROW(AH48)-ROW(AH$15),0),15-13*ORÇAMENTO!$AF$11)),
         0)</f>
        <v>0</v>
      </c>
      <c r="AI48" s="454">
        <f ca="1">IF(AND($D48="Serviço",AI$12&lt;&gt;0,$H48&gt;0,OR(AUTOEVENTO&lt;&gt;"manual",$M48&lt;&gt;$A$15)),
        IF(Import.TipoArredondamento&lt;&gt;"TransfereGOV",
              ROUND(OFFSET($P48,0,AI$13),15-13*ORÇAMENTO!$AF$7)/$H48*OFFSET(ORÇAMENTO!$X$15,ROW(AI48)-ROW(AI$15),0),
              ROUND(ROUND(OFFSET($P48,0,AI$13),15-13*ORÇAMENTO!$AF$7)*OFFSET(ORÇAMENTO!$W$15,ROW(AI48)-ROW(AI$15),0),15-13*ORÇAMENTO!$AF$11)),
         0)</f>
        <v>0</v>
      </c>
      <c r="AJ48" s="454">
        <f ca="1">IF(AND($D48="Serviço",AJ$12&lt;&gt;0,$H48&gt;0,OR(AUTOEVENTO&lt;&gt;"manual",$M48&lt;&gt;$A$15)),
        IF(Import.TipoArredondamento&lt;&gt;"TransfereGOV",
              ROUND(OFFSET($P48,0,AJ$13),15-13*ORÇAMENTO!$AF$7)/$H48*OFFSET(ORÇAMENTO!$X$15,ROW(AJ48)-ROW(AJ$15),0),
              ROUND(ROUND(OFFSET($P48,0,AJ$13),15-13*ORÇAMENTO!$AF$7)*OFFSET(ORÇAMENTO!$W$15,ROW(AJ48)-ROW(AJ$15),0),15-13*ORÇAMENTO!$AF$11)),
         0)</f>
        <v>0</v>
      </c>
      <c r="AK48" s="454">
        <f ca="1">IF(AND($D48="Serviço",AK$12&lt;&gt;0,$H48&gt;0,OR(AUTOEVENTO&lt;&gt;"manual",$M48&lt;&gt;$A$15)),
        IF(Import.TipoArredondamento&lt;&gt;"TransfereGOV",
              ROUND(OFFSET($P48,0,AK$13),15-13*ORÇAMENTO!$AF$7)/$H48*OFFSET(ORÇAMENTO!$X$15,ROW(AK48)-ROW(AK$15),0),
              ROUND(ROUND(OFFSET($P48,0,AK$13),15-13*ORÇAMENTO!$AF$7)*OFFSET(ORÇAMENTO!$W$15,ROW(AK48)-ROW(AK$15),0),15-13*ORÇAMENTO!$AF$11)),
         0)</f>
        <v>0</v>
      </c>
      <c r="AM48" s="172">
        <f ca="1">IF(OR($D48&lt;&gt;"Serviço",AND(AUTOEVENTO="Manual",$M48=$A$15)),0,
         IF(OFFSET(CRONOPLE!$F$15,$M48-$A$15,AM$13)="",10^12,OFFSET(CRONOPLE!$F$15,$M48-$A$15,AM$13)))</f>
        <v>1000000000000</v>
      </c>
      <c r="AN48" s="172">
        <f ca="1">IF(OR($D48&lt;&gt;"Serviço",AND(AUTOEVENTO="Manual",$M48=$A$15)),0,
         IF(OFFSET(CRONOPLE!$F$15,$M48-$A$15,AN$13)="",10^12,OFFSET(CRONOPLE!$F$15,$M48-$A$15,AN$13)))</f>
        <v>1000000000000</v>
      </c>
      <c r="AO48" s="172">
        <f ca="1">IF(OR($D48&lt;&gt;"Serviço",AND(AUTOEVENTO="Manual",$M48=$A$15)),0,
         IF(OFFSET(CRONOPLE!$F$15,$M48-$A$15,AO$13)="",10^12,OFFSET(CRONOPLE!$F$15,$M48-$A$15,AO$13)))</f>
        <v>1000000000000</v>
      </c>
      <c r="AP48" s="172">
        <f ca="1">IF(OR($D48&lt;&gt;"Serviço",AND(AUTOEVENTO="Manual",$M48=$A$15)),0,
         IF(OFFSET(CRONOPLE!$F$15,$M48-$A$15,AP$13)="",10^12,OFFSET(CRONOPLE!$F$15,$M48-$A$15,AP$13)))</f>
        <v>1000000000000</v>
      </c>
      <c r="AQ48" s="172">
        <f ca="1">IF(OR($D48&lt;&gt;"Serviço",AND(AUTOEVENTO="Manual",$M48=$A$15)),0,
         IF(OFFSET(CRONOPLE!$F$15,$M48-$A$15,AQ$13)="",10^12,OFFSET(CRONOPLE!$F$15,$M48-$A$15,AQ$13)))</f>
        <v>1000000000000</v>
      </c>
      <c r="AR48" s="172">
        <f ca="1">IF(OR($D48&lt;&gt;"Serviço",AND(AUTOEVENTO="Manual",$M48=$A$15)),0,
         IF(OFFSET(CRONOPLE!$F$15,$M48-$A$15,AR$13)="",10^12,OFFSET(CRONOPLE!$F$15,$M48-$A$15,AR$13)))</f>
        <v>1000000000000</v>
      </c>
      <c r="AS48" s="172">
        <f ca="1">IF(OR($D48&lt;&gt;"Serviço",AND(AUTOEVENTO="Manual",$M48=$A$15)),0,
         IF(OFFSET(CRONOPLE!$F$15,$M48-$A$15,AS$13)="",10^12,OFFSET(CRONOPLE!$F$15,$M48-$A$15,AS$13)))</f>
        <v>1000000000000</v>
      </c>
      <c r="AT48" s="172">
        <f ca="1">IF(OR($D48&lt;&gt;"Serviço",AND(AUTOEVENTO="Manual",$M48=$A$15)),0,
         IF(OFFSET(CRONOPLE!$F$15,$M48-$A$15,AT$13)="",10^12,OFFSET(CRONOPLE!$F$15,$M48-$A$15,AT$13)))</f>
        <v>1000000000000</v>
      </c>
      <c r="AU48" s="172">
        <f ca="1">IF(OR($D48&lt;&gt;"Serviço",AND(AUTOEVENTO="Manual",$M48=$A$15)),0,
         IF(OFFSET(CRONOPLE!$F$15,$M48-$A$15,AU$13)="",10^12,OFFSET(CRONOPLE!$F$15,$M48-$A$15,AU$13)))</f>
        <v>1000000000000</v>
      </c>
      <c r="AV48" s="172">
        <f ca="1">IF(OR($D48&lt;&gt;"Serviço",AND(AUTOEVENTO="Manual",$M48=$A$15)),0,
         IF(OFFSET(CRONOPLE!$F$15,$M48-$A$15,AV$13)="",10^12,OFFSET(CRONOPLE!$F$15,$M48-$A$15,AV$13)))</f>
        <v>1000000000000</v>
      </c>
      <c r="AX48" s="173">
        <f ca="1">IF(OR($D48&lt;&gt;"Serviço",AND(AUTOEVENTO="Manual",$M48=$A$15),$M48&gt;(ROW(PLE.lastrow)-ROW(PLE.firstrow))),0,
           IF(OFFSET(PLE!$G$15,$M48-$A$15,AX$13)="",10^12,OFFSET(PLE!$G$15,$M48-$A$15,AX$13)))</f>
        <v>1000000000000</v>
      </c>
      <c r="AY48" s="173">
        <f ca="1">IF(OR($D48&lt;&gt;"Serviço",AND(AUTOEVENTO="Manual",$M48=$A$15),$M48&gt;(ROW(PLE.lastrow)-ROW(PLE.firstrow))),0,
           IF(OFFSET(PLE!$G$15,$M48-$A$15,AY$13)="",10^12,OFFSET(PLE!$G$15,$M48-$A$15,AY$13)))</f>
        <v>1000000000000</v>
      </c>
      <c r="AZ48" s="173">
        <f ca="1">IF(OR($D48&lt;&gt;"Serviço",AND(AUTOEVENTO="Manual",$M48=$A$15),$M48&gt;(ROW(PLE.lastrow)-ROW(PLE.firstrow))),0,
           IF(OFFSET(PLE!$G$15,$M48-$A$15,AZ$13)="",10^12,OFFSET(PLE!$G$15,$M48-$A$15,AZ$13)))</f>
        <v>1000000000000</v>
      </c>
      <c r="BA48" s="173">
        <f ca="1">IF(OR($D48&lt;&gt;"Serviço",AND(AUTOEVENTO="Manual",$M48=$A$15),$M48&gt;(ROW(PLE.lastrow)-ROW(PLE.firstrow))),0,
           IF(OFFSET(PLE!$G$15,$M48-$A$15,BA$13)="",10^12,OFFSET(PLE!$G$15,$M48-$A$15,BA$13)))</f>
        <v>1000000000000</v>
      </c>
      <c r="BB48" s="173">
        <f ca="1">IF(OR($D48&lt;&gt;"Serviço",AND(AUTOEVENTO="Manual",$M48=$A$15),$M48&gt;(ROW(PLE.lastrow)-ROW(PLE.firstrow))),0,
           IF(OFFSET(PLE!$G$15,$M48-$A$15,BB$13)="",10^12,OFFSET(PLE!$G$15,$M48-$A$15,BB$13)))</f>
        <v>1000000000000</v>
      </c>
      <c r="BC48" s="173">
        <f ca="1">IF(OR($D48&lt;&gt;"Serviço",AND(AUTOEVENTO="Manual",$M48=$A$15),$M48&gt;(ROW(PLE.lastrow)-ROW(PLE.firstrow))),0,
           IF(OFFSET(PLE!$G$15,$M48-$A$15,BC$13)="",10^12,OFFSET(PLE!$G$15,$M48-$A$15,BC$13)))</f>
        <v>1000000000000</v>
      </c>
      <c r="BD48" s="173">
        <f ca="1">IF(OR($D48&lt;&gt;"Serviço",AND(AUTOEVENTO="Manual",$M48=$A$15),$M48&gt;(ROW(PLE.lastrow)-ROW(PLE.firstrow))),0,
           IF(OFFSET(PLE!$G$15,$M48-$A$15,BD$13)="",10^12,OFFSET(PLE!$G$15,$M48-$A$15,BD$13)))</f>
        <v>1000000000000</v>
      </c>
      <c r="BE48" s="173">
        <f ca="1">IF(OR($D48&lt;&gt;"Serviço",AND(AUTOEVENTO="Manual",$M48=$A$15),$M48&gt;(ROW(PLE.lastrow)-ROW(PLE.firstrow))),0,
           IF(OFFSET(PLE!$G$15,$M48-$A$15,BE$13)="",10^12,OFFSET(PLE!$G$15,$M48-$A$15,BE$13)))</f>
        <v>1000000000000</v>
      </c>
      <c r="BF48" s="173">
        <f ca="1">IF(OR($D48&lt;&gt;"Serviço",AND(AUTOEVENTO="Manual",$M48=$A$15),$M48&gt;(ROW(PLE.lastrow)-ROW(PLE.firstrow))),0,
           IF(OFFSET(PLE!$G$15,$M48-$A$15,BF$13)="",10^12,OFFSET(PLE!$G$15,$M48-$A$15,BF$13)))</f>
        <v>1000000000000</v>
      </c>
      <c r="BG48" s="173">
        <f ca="1">IF(OR($D48&lt;&gt;"Serviço",AND(AUTOEVENTO="Manual",$M48=$A$15),$M48&gt;(ROW(PLE.lastrow)-ROW(PLE.firstrow))),0,
           IF(OFFSET(PLE!$G$15,$M48-$A$15,BG$13)="",10^12,OFFSET(PLE!$G$15,$M48-$A$15,BG$13)))</f>
        <v>1000000000000</v>
      </c>
    </row>
    <row r="49" spans="1:59" ht="38.25" x14ac:dyDescent="0.2">
      <c r="A49" s="7" t="str">
        <f t="shared" ca="1" si="8"/>
        <v>32</v>
      </c>
      <c r="B49" s="7" t="str">
        <f ca="1">OFFSET(ORÇAMENTO!C$15,ROW(B49)-ROW(B$15),0)</f>
        <v>S</v>
      </c>
      <c r="C49" s="7" t="str">
        <f ca="1">OFFSET(ORÇAMENTO!L$15,ROW(C49)-ROW(C$15),0)</f>
        <v/>
      </c>
      <c r="D49" s="117" t="str">
        <f ca="1">OFFSET(ORÇAMENTO!N$15,ROW(D49)-ROW(D$15),0)</f>
        <v>Serviço</v>
      </c>
      <c r="E49" s="118" t="str">
        <f ca="1">OFFSET(ORÇAMENTO!O$15,ROW(E49)-ROW(E$15),0)</f>
        <v>-</v>
      </c>
      <c r="F49" s="164" t="str">
        <f ca="1">OFFSET(ORÇAMENTO!R$15,ROW(F49)-ROW(F$15),0)</f>
        <v xml:space="preserve">PAINEL TERMOISOLANTE PARA FECHAMENTOS, LARGURA UTIL DE 1100 MM, COM ESPESSURA 40/50 MM (TETO) - FORNECIMENTO E INSTALAÇÃO </v>
      </c>
      <c r="G49" s="165" t="str">
        <f ca="1">IF($D49&lt;&gt;"Serviço","",OFFSET(ORÇAMENTO!S$15,ROW(G49)-ROW(G$15),0))</f>
        <v>M2</v>
      </c>
      <c r="H49" s="123">
        <f ca="1">IF($D49&lt;&gt;"Serviço",0,IF(ACOMPANHAMENTO="BM",ROUND(OFFSET(ORÇAMENTO!AJ$15,ROW(H49)-ROW(H$15),0),15-13*ORÇAMENTO!$AF$7),SUMPRODUCT(($Q$1:$AA$1=1)*ROUND($Q49:$AA49,15-13*ORÇAMENTO!$AF$7))))</f>
        <v>1072.5</v>
      </c>
      <c r="I49" s="469"/>
      <c r="J49" s="577" t="str" cm="1">
        <f t="array" aca="1" ref="J49" ca="1">IF(B49&lt;&gt;"S","",IF(AND(ACOMPANHAMENTO="PLE",AUTOEVENTO="Manual",OR(H49&gt;0,ORÇAMENTO!AC49="QUANT."),OR(K49="",M49=0,N49="")),"►",IF(AND(ACOMPANHAMENTO="PLE",ORÇAMENTO!AC49="QUANT."),"►►",IF(AND(COUNTIF($P$11:$AA$11,"▼")=0,H49&gt;0,I49=""),"◄",""))))</f>
        <v>◄</v>
      </c>
      <c r="K49" s="626"/>
      <c r="L49" s="166" t="s">
        <v>765</v>
      </c>
      <c r="M49" s="167">
        <f ca="1">IF($D49&lt;&gt;"Serviço","",
          IF(AUTOEVENTO="manual",$A49,
                IF(ISERROR(MATCH($A49,$A$15:OFFSET($A49,-1,0),0)),MAX($M$15:OFFSET(M49,-1,0))+1,
                      INDEX($M$15:OFFSET(M49,-1,0),MATCH($A49,$A$15:OFFSET($A49,-1,0),0)))))</f>
        <v>7</v>
      </c>
      <c r="N49" s="168" t="str">
        <f ca="1">IF($D49&lt;&gt;"Serviço","",
         IF(AUTOEVENTO="Manual",
                IF($A49=0,"&lt;-- defina o número do agrupador",
                       OFFSET(EVENTOS!$D$15,$A49-$A$15,0)),
                OFFSET($F$15,$A49,0)))</f>
        <v>FECHAMENTOS DOS MÓDULOS</v>
      </c>
      <c r="O49" s="169"/>
      <c r="Q49" s="169"/>
      <c r="R49" s="170"/>
      <c r="S49" s="170"/>
      <c r="T49" s="170"/>
      <c r="U49" s="170"/>
      <c r="V49" s="170"/>
      <c r="W49" s="170"/>
      <c r="X49" s="170"/>
      <c r="Y49" s="170"/>
      <c r="Z49" s="171"/>
      <c r="AB49" s="454">
        <f ca="1">IF(AND($D49="Serviço",AB$12&lt;&gt;0,$H49&gt;0,OR(AUTOEVENTO&lt;&gt;"manual",$M49&lt;&gt;$A$15)),
        IF(Import.TipoArredondamento&lt;&gt;"TransfereGOV",
              ROUND(OFFSET($P49,0,AB$13),15-13*ORÇAMENTO!$AF$7)/$H49*OFFSET(ORÇAMENTO!$X$15,ROW(AB49)-ROW(AB$15),0),
              ROUND(ROUND(OFFSET($P49,0,AB$13),15-13*ORÇAMENTO!$AF$7)*OFFSET(ORÇAMENTO!$W$15,ROW(AB49)-ROW(AB$15),0),15-13*ORÇAMENTO!$AF$11)),
         0)</f>
        <v>0</v>
      </c>
      <c r="AC49" s="454">
        <f ca="1">IF(AND($D49="Serviço",AC$12&lt;&gt;0,$H49&gt;0,OR(AUTOEVENTO&lt;&gt;"manual",$M49&lt;&gt;$A$15)),
        IF(Import.TipoArredondamento&lt;&gt;"TransfereGOV",
              ROUND(OFFSET($P49,0,AC$13),15-13*ORÇAMENTO!$AF$7)/$H49*OFFSET(ORÇAMENTO!$X$15,ROW(AC49)-ROW(AC$15),0),
              ROUND(ROUND(OFFSET($P49,0,AC$13),15-13*ORÇAMENTO!$AF$7)*OFFSET(ORÇAMENTO!$W$15,ROW(AC49)-ROW(AC$15),0),15-13*ORÇAMENTO!$AF$11)),
         0)</f>
        <v>0</v>
      </c>
      <c r="AD49" s="454">
        <f ca="1">IF(AND($D49="Serviço",AD$12&lt;&gt;0,$H49&gt;0,OR(AUTOEVENTO&lt;&gt;"manual",$M49&lt;&gt;$A$15)),
        IF(Import.TipoArredondamento&lt;&gt;"TransfereGOV",
              ROUND(OFFSET($P49,0,AD$13),15-13*ORÇAMENTO!$AF$7)/$H49*OFFSET(ORÇAMENTO!$X$15,ROW(AD49)-ROW(AD$15),0),
              ROUND(ROUND(OFFSET($P49,0,AD$13),15-13*ORÇAMENTO!$AF$7)*OFFSET(ORÇAMENTO!$W$15,ROW(AD49)-ROW(AD$15),0),15-13*ORÇAMENTO!$AF$11)),
         0)</f>
        <v>0</v>
      </c>
      <c r="AE49" s="454">
        <f ca="1">IF(AND($D49="Serviço",AE$12&lt;&gt;0,$H49&gt;0,OR(AUTOEVENTO&lt;&gt;"manual",$M49&lt;&gt;$A$15)),
        IF(Import.TipoArredondamento&lt;&gt;"TransfereGOV",
              ROUND(OFFSET($P49,0,AE$13),15-13*ORÇAMENTO!$AF$7)/$H49*OFFSET(ORÇAMENTO!$X$15,ROW(AE49)-ROW(AE$15),0),
              ROUND(ROUND(OFFSET($P49,0,AE$13),15-13*ORÇAMENTO!$AF$7)*OFFSET(ORÇAMENTO!$W$15,ROW(AE49)-ROW(AE$15),0),15-13*ORÇAMENTO!$AF$11)),
         0)</f>
        <v>0</v>
      </c>
      <c r="AF49" s="454">
        <f ca="1">IF(AND($D49="Serviço",AF$12&lt;&gt;0,$H49&gt;0,OR(AUTOEVENTO&lt;&gt;"manual",$M49&lt;&gt;$A$15)),
        IF(Import.TipoArredondamento&lt;&gt;"TransfereGOV",
              ROUND(OFFSET($P49,0,AF$13),15-13*ORÇAMENTO!$AF$7)/$H49*OFFSET(ORÇAMENTO!$X$15,ROW(AF49)-ROW(AF$15),0),
              ROUND(ROUND(OFFSET($P49,0,AF$13),15-13*ORÇAMENTO!$AF$7)*OFFSET(ORÇAMENTO!$W$15,ROW(AF49)-ROW(AF$15),0),15-13*ORÇAMENTO!$AF$11)),
         0)</f>
        <v>0</v>
      </c>
      <c r="AG49" s="454">
        <f ca="1">IF(AND($D49="Serviço",AG$12&lt;&gt;0,$H49&gt;0,OR(AUTOEVENTO&lt;&gt;"manual",$M49&lt;&gt;$A$15)),
        IF(Import.TipoArredondamento&lt;&gt;"TransfereGOV",
              ROUND(OFFSET($P49,0,AG$13),15-13*ORÇAMENTO!$AF$7)/$H49*OFFSET(ORÇAMENTO!$X$15,ROW(AG49)-ROW(AG$15),0),
              ROUND(ROUND(OFFSET($P49,0,AG$13),15-13*ORÇAMENTO!$AF$7)*OFFSET(ORÇAMENTO!$W$15,ROW(AG49)-ROW(AG$15),0),15-13*ORÇAMENTO!$AF$11)),
         0)</f>
        <v>0</v>
      </c>
      <c r="AH49" s="454">
        <f ca="1">IF(AND($D49="Serviço",AH$12&lt;&gt;0,$H49&gt;0,OR(AUTOEVENTO&lt;&gt;"manual",$M49&lt;&gt;$A$15)),
        IF(Import.TipoArredondamento&lt;&gt;"TransfereGOV",
              ROUND(OFFSET($P49,0,AH$13),15-13*ORÇAMENTO!$AF$7)/$H49*OFFSET(ORÇAMENTO!$X$15,ROW(AH49)-ROW(AH$15),0),
              ROUND(ROUND(OFFSET($P49,0,AH$13),15-13*ORÇAMENTO!$AF$7)*OFFSET(ORÇAMENTO!$W$15,ROW(AH49)-ROW(AH$15),0),15-13*ORÇAMENTO!$AF$11)),
         0)</f>
        <v>0</v>
      </c>
      <c r="AI49" s="454">
        <f ca="1">IF(AND($D49="Serviço",AI$12&lt;&gt;0,$H49&gt;0,OR(AUTOEVENTO&lt;&gt;"manual",$M49&lt;&gt;$A$15)),
        IF(Import.TipoArredondamento&lt;&gt;"TransfereGOV",
              ROUND(OFFSET($P49,0,AI$13),15-13*ORÇAMENTO!$AF$7)/$H49*OFFSET(ORÇAMENTO!$X$15,ROW(AI49)-ROW(AI$15),0),
              ROUND(ROUND(OFFSET($P49,0,AI$13),15-13*ORÇAMENTO!$AF$7)*OFFSET(ORÇAMENTO!$W$15,ROW(AI49)-ROW(AI$15),0),15-13*ORÇAMENTO!$AF$11)),
         0)</f>
        <v>0</v>
      </c>
      <c r="AJ49" s="454">
        <f ca="1">IF(AND($D49="Serviço",AJ$12&lt;&gt;0,$H49&gt;0,OR(AUTOEVENTO&lt;&gt;"manual",$M49&lt;&gt;$A$15)),
        IF(Import.TipoArredondamento&lt;&gt;"TransfereGOV",
              ROUND(OFFSET($P49,0,AJ$13),15-13*ORÇAMENTO!$AF$7)/$H49*OFFSET(ORÇAMENTO!$X$15,ROW(AJ49)-ROW(AJ$15),0),
              ROUND(ROUND(OFFSET($P49,0,AJ$13),15-13*ORÇAMENTO!$AF$7)*OFFSET(ORÇAMENTO!$W$15,ROW(AJ49)-ROW(AJ$15),0),15-13*ORÇAMENTO!$AF$11)),
         0)</f>
        <v>0</v>
      </c>
      <c r="AK49" s="454">
        <f ca="1">IF(AND($D49="Serviço",AK$12&lt;&gt;0,$H49&gt;0,OR(AUTOEVENTO&lt;&gt;"manual",$M49&lt;&gt;$A$15)),
        IF(Import.TipoArredondamento&lt;&gt;"TransfereGOV",
              ROUND(OFFSET($P49,0,AK$13),15-13*ORÇAMENTO!$AF$7)/$H49*OFFSET(ORÇAMENTO!$X$15,ROW(AK49)-ROW(AK$15),0),
              ROUND(ROUND(OFFSET($P49,0,AK$13),15-13*ORÇAMENTO!$AF$7)*OFFSET(ORÇAMENTO!$W$15,ROW(AK49)-ROW(AK$15),0),15-13*ORÇAMENTO!$AF$11)),
         0)</f>
        <v>0</v>
      </c>
      <c r="AM49" s="172">
        <f ca="1">IF(OR($D49&lt;&gt;"Serviço",AND(AUTOEVENTO="Manual",$M49=$A$15)),0,
         IF(OFFSET(CRONOPLE!$F$15,$M49-$A$15,AM$13)="",10^12,OFFSET(CRONOPLE!$F$15,$M49-$A$15,AM$13)))</f>
        <v>1000000000000</v>
      </c>
      <c r="AN49" s="172">
        <f ca="1">IF(OR($D49&lt;&gt;"Serviço",AND(AUTOEVENTO="Manual",$M49=$A$15)),0,
         IF(OFFSET(CRONOPLE!$F$15,$M49-$A$15,AN$13)="",10^12,OFFSET(CRONOPLE!$F$15,$M49-$A$15,AN$13)))</f>
        <v>1000000000000</v>
      </c>
      <c r="AO49" s="172">
        <f ca="1">IF(OR($D49&lt;&gt;"Serviço",AND(AUTOEVENTO="Manual",$M49=$A$15)),0,
         IF(OFFSET(CRONOPLE!$F$15,$M49-$A$15,AO$13)="",10^12,OFFSET(CRONOPLE!$F$15,$M49-$A$15,AO$13)))</f>
        <v>1000000000000</v>
      </c>
      <c r="AP49" s="172">
        <f ca="1">IF(OR($D49&lt;&gt;"Serviço",AND(AUTOEVENTO="Manual",$M49=$A$15)),0,
         IF(OFFSET(CRONOPLE!$F$15,$M49-$A$15,AP$13)="",10^12,OFFSET(CRONOPLE!$F$15,$M49-$A$15,AP$13)))</f>
        <v>1000000000000</v>
      </c>
      <c r="AQ49" s="172">
        <f ca="1">IF(OR($D49&lt;&gt;"Serviço",AND(AUTOEVENTO="Manual",$M49=$A$15)),0,
         IF(OFFSET(CRONOPLE!$F$15,$M49-$A$15,AQ$13)="",10^12,OFFSET(CRONOPLE!$F$15,$M49-$A$15,AQ$13)))</f>
        <v>1000000000000</v>
      </c>
      <c r="AR49" s="172">
        <f ca="1">IF(OR($D49&lt;&gt;"Serviço",AND(AUTOEVENTO="Manual",$M49=$A$15)),0,
         IF(OFFSET(CRONOPLE!$F$15,$M49-$A$15,AR$13)="",10^12,OFFSET(CRONOPLE!$F$15,$M49-$A$15,AR$13)))</f>
        <v>1000000000000</v>
      </c>
      <c r="AS49" s="172">
        <f ca="1">IF(OR($D49&lt;&gt;"Serviço",AND(AUTOEVENTO="Manual",$M49=$A$15)),0,
         IF(OFFSET(CRONOPLE!$F$15,$M49-$A$15,AS$13)="",10^12,OFFSET(CRONOPLE!$F$15,$M49-$A$15,AS$13)))</f>
        <v>1000000000000</v>
      </c>
      <c r="AT49" s="172">
        <f ca="1">IF(OR($D49&lt;&gt;"Serviço",AND(AUTOEVENTO="Manual",$M49=$A$15)),0,
         IF(OFFSET(CRONOPLE!$F$15,$M49-$A$15,AT$13)="",10^12,OFFSET(CRONOPLE!$F$15,$M49-$A$15,AT$13)))</f>
        <v>1000000000000</v>
      </c>
      <c r="AU49" s="172">
        <f ca="1">IF(OR($D49&lt;&gt;"Serviço",AND(AUTOEVENTO="Manual",$M49=$A$15)),0,
         IF(OFFSET(CRONOPLE!$F$15,$M49-$A$15,AU$13)="",10^12,OFFSET(CRONOPLE!$F$15,$M49-$A$15,AU$13)))</f>
        <v>1000000000000</v>
      </c>
      <c r="AV49" s="172">
        <f ca="1">IF(OR($D49&lt;&gt;"Serviço",AND(AUTOEVENTO="Manual",$M49=$A$15)),0,
         IF(OFFSET(CRONOPLE!$F$15,$M49-$A$15,AV$13)="",10^12,OFFSET(CRONOPLE!$F$15,$M49-$A$15,AV$13)))</f>
        <v>1000000000000</v>
      </c>
      <c r="AX49" s="173">
        <f ca="1">IF(OR($D49&lt;&gt;"Serviço",AND(AUTOEVENTO="Manual",$M49=$A$15),$M49&gt;(ROW(PLE.lastrow)-ROW(PLE.firstrow))),0,
           IF(OFFSET(PLE!$G$15,$M49-$A$15,AX$13)="",10^12,OFFSET(PLE!$G$15,$M49-$A$15,AX$13)))</f>
        <v>1000000000000</v>
      </c>
      <c r="AY49" s="173">
        <f ca="1">IF(OR($D49&lt;&gt;"Serviço",AND(AUTOEVENTO="Manual",$M49=$A$15),$M49&gt;(ROW(PLE.lastrow)-ROW(PLE.firstrow))),0,
           IF(OFFSET(PLE!$G$15,$M49-$A$15,AY$13)="",10^12,OFFSET(PLE!$G$15,$M49-$A$15,AY$13)))</f>
        <v>1000000000000</v>
      </c>
      <c r="AZ49" s="173">
        <f ca="1">IF(OR($D49&lt;&gt;"Serviço",AND(AUTOEVENTO="Manual",$M49=$A$15),$M49&gt;(ROW(PLE.lastrow)-ROW(PLE.firstrow))),0,
           IF(OFFSET(PLE!$G$15,$M49-$A$15,AZ$13)="",10^12,OFFSET(PLE!$G$15,$M49-$A$15,AZ$13)))</f>
        <v>1000000000000</v>
      </c>
      <c r="BA49" s="173">
        <f ca="1">IF(OR($D49&lt;&gt;"Serviço",AND(AUTOEVENTO="Manual",$M49=$A$15),$M49&gt;(ROW(PLE.lastrow)-ROW(PLE.firstrow))),0,
           IF(OFFSET(PLE!$G$15,$M49-$A$15,BA$13)="",10^12,OFFSET(PLE!$G$15,$M49-$A$15,BA$13)))</f>
        <v>1000000000000</v>
      </c>
      <c r="BB49" s="173">
        <f ca="1">IF(OR($D49&lt;&gt;"Serviço",AND(AUTOEVENTO="Manual",$M49=$A$15),$M49&gt;(ROW(PLE.lastrow)-ROW(PLE.firstrow))),0,
           IF(OFFSET(PLE!$G$15,$M49-$A$15,BB$13)="",10^12,OFFSET(PLE!$G$15,$M49-$A$15,BB$13)))</f>
        <v>1000000000000</v>
      </c>
      <c r="BC49" s="173">
        <f ca="1">IF(OR($D49&lt;&gt;"Serviço",AND(AUTOEVENTO="Manual",$M49=$A$15),$M49&gt;(ROW(PLE.lastrow)-ROW(PLE.firstrow))),0,
           IF(OFFSET(PLE!$G$15,$M49-$A$15,BC$13)="",10^12,OFFSET(PLE!$G$15,$M49-$A$15,BC$13)))</f>
        <v>1000000000000</v>
      </c>
      <c r="BD49" s="173">
        <f ca="1">IF(OR($D49&lt;&gt;"Serviço",AND(AUTOEVENTO="Manual",$M49=$A$15),$M49&gt;(ROW(PLE.lastrow)-ROW(PLE.firstrow))),0,
           IF(OFFSET(PLE!$G$15,$M49-$A$15,BD$13)="",10^12,OFFSET(PLE!$G$15,$M49-$A$15,BD$13)))</f>
        <v>1000000000000</v>
      </c>
      <c r="BE49" s="173">
        <f ca="1">IF(OR($D49&lt;&gt;"Serviço",AND(AUTOEVENTO="Manual",$M49=$A$15),$M49&gt;(ROW(PLE.lastrow)-ROW(PLE.firstrow))),0,
           IF(OFFSET(PLE!$G$15,$M49-$A$15,BE$13)="",10^12,OFFSET(PLE!$G$15,$M49-$A$15,BE$13)))</f>
        <v>1000000000000</v>
      </c>
      <c r="BF49" s="173">
        <f ca="1">IF(OR($D49&lt;&gt;"Serviço",AND(AUTOEVENTO="Manual",$M49=$A$15),$M49&gt;(ROW(PLE.lastrow)-ROW(PLE.firstrow))),0,
           IF(OFFSET(PLE!$G$15,$M49-$A$15,BF$13)="",10^12,OFFSET(PLE!$G$15,$M49-$A$15,BF$13)))</f>
        <v>1000000000000</v>
      </c>
      <c r="BG49" s="173">
        <f ca="1">IF(OR($D49&lt;&gt;"Serviço",AND(AUTOEVENTO="Manual",$M49=$A$15),$M49&gt;(ROW(PLE.lastrow)-ROW(PLE.firstrow))),0,
           IF(OFFSET(PLE!$G$15,$M49-$A$15,BG$13)="",10^12,OFFSET(PLE!$G$15,$M49-$A$15,BG$13)))</f>
        <v>1000000000000</v>
      </c>
    </row>
    <row r="50" spans="1:59" ht="38.25" x14ac:dyDescent="0.2">
      <c r="A50" s="7" t="str">
        <f t="shared" ca="1" si="8"/>
        <v>32</v>
      </c>
      <c r="B50" s="7" t="str">
        <f ca="1">OFFSET(ORÇAMENTO!C$15,ROW(B50)-ROW(B$15),0)</f>
        <v>S</v>
      </c>
      <c r="C50" s="7" t="str">
        <f ca="1">OFFSET(ORÇAMENTO!L$15,ROW(C50)-ROW(C$15),0)</f>
        <v/>
      </c>
      <c r="D50" s="117" t="str">
        <f ca="1">OFFSET(ORÇAMENTO!N$15,ROW(D50)-ROW(D$15),0)</f>
        <v>Serviço</v>
      </c>
      <c r="E50" s="118" t="str">
        <f ca="1">OFFSET(ORÇAMENTO!O$15,ROW(E50)-ROW(E$15),0)</f>
        <v>-</v>
      </c>
      <c r="F50" s="164" t="str">
        <f ca="1">OFFSET(ORÇAMENTO!R$15,ROW(F50)-ROW(F$15),0)</f>
        <v xml:space="preserve">PAINEL TERMOISOLANTE PARA FECHAMENTOS, LARGURA UTIL DE 1100 MM, COM ESPESSURA 40/50 MM (PAREDE)- FORNECIMENTO E INSTALAÇÃO </v>
      </c>
      <c r="G50" s="165" t="str">
        <f ca="1">IF($D50&lt;&gt;"Serviço","",OFFSET(ORÇAMENTO!S$15,ROW(G50)-ROW(G$15),0))</f>
        <v>M2</v>
      </c>
      <c r="H50" s="123">
        <f ca="1">IF($D50&lt;&gt;"Serviço",0,IF(ACOMPANHAMENTO="BM",ROUND(OFFSET(ORÇAMENTO!AJ$15,ROW(H50)-ROW(H$15),0),15-13*ORÇAMENTO!$AF$7),SUMPRODUCT(($Q$1:$AA$1=1)*ROUND($Q50:$AA50,15-13*ORÇAMENTO!$AF$7))))</f>
        <v>3042.6</v>
      </c>
      <c r="I50" s="469"/>
      <c r="J50" s="577" t="str" cm="1">
        <f t="array" aca="1" ref="J50" ca="1">IF(B50&lt;&gt;"S","",IF(AND(ACOMPANHAMENTO="PLE",AUTOEVENTO="Manual",OR(H50&gt;0,ORÇAMENTO!AC50="QUANT."),OR(K50="",M50=0,N50="")),"►",IF(AND(ACOMPANHAMENTO="PLE",ORÇAMENTO!AC50="QUANT."),"►►",IF(AND(COUNTIF($P$11:$AA$11,"▼")=0,H50&gt;0,I50=""),"◄",""))))</f>
        <v>◄</v>
      </c>
      <c r="K50" s="626"/>
      <c r="L50" s="166" t="s">
        <v>765</v>
      </c>
      <c r="M50" s="167">
        <f ca="1">IF($D50&lt;&gt;"Serviço","",
          IF(AUTOEVENTO="manual",$A50,
                IF(ISERROR(MATCH($A50,$A$15:OFFSET($A50,-1,0),0)),MAX($M$15:OFFSET(M50,-1,0))+1,
                      INDEX($M$15:OFFSET(M50,-1,0),MATCH($A50,$A$15:OFFSET($A50,-1,0),0)))))</f>
        <v>7</v>
      </c>
      <c r="N50" s="168" t="str">
        <f ca="1">IF($D50&lt;&gt;"Serviço","",
         IF(AUTOEVENTO="Manual",
                IF($A50=0,"&lt;-- defina o número do agrupador",
                       OFFSET(EVENTOS!$D$15,$A50-$A$15,0)),
                OFFSET($F$15,$A50,0)))</f>
        <v>FECHAMENTOS DOS MÓDULOS</v>
      </c>
      <c r="O50" s="169"/>
      <c r="Q50" s="169"/>
      <c r="R50" s="170"/>
      <c r="S50" s="170"/>
      <c r="T50" s="170"/>
      <c r="U50" s="170"/>
      <c r="V50" s="170"/>
      <c r="W50" s="170"/>
      <c r="X50" s="170"/>
      <c r="Y50" s="170"/>
      <c r="Z50" s="171"/>
      <c r="AB50" s="454">
        <f ca="1">IF(AND($D50="Serviço",AB$12&lt;&gt;0,$H50&gt;0,OR(AUTOEVENTO&lt;&gt;"manual",$M50&lt;&gt;$A$15)),
        IF(Import.TipoArredondamento&lt;&gt;"TransfereGOV",
              ROUND(OFFSET($P50,0,AB$13),15-13*ORÇAMENTO!$AF$7)/$H50*OFFSET(ORÇAMENTO!$X$15,ROW(AB50)-ROW(AB$15),0),
              ROUND(ROUND(OFFSET($P50,0,AB$13),15-13*ORÇAMENTO!$AF$7)*OFFSET(ORÇAMENTO!$W$15,ROW(AB50)-ROW(AB$15),0),15-13*ORÇAMENTO!$AF$11)),
         0)</f>
        <v>0</v>
      </c>
      <c r="AC50" s="454">
        <f ca="1">IF(AND($D50="Serviço",AC$12&lt;&gt;0,$H50&gt;0,OR(AUTOEVENTO&lt;&gt;"manual",$M50&lt;&gt;$A$15)),
        IF(Import.TipoArredondamento&lt;&gt;"TransfereGOV",
              ROUND(OFFSET($P50,0,AC$13),15-13*ORÇAMENTO!$AF$7)/$H50*OFFSET(ORÇAMENTO!$X$15,ROW(AC50)-ROW(AC$15),0),
              ROUND(ROUND(OFFSET($P50,0,AC$13),15-13*ORÇAMENTO!$AF$7)*OFFSET(ORÇAMENTO!$W$15,ROW(AC50)-ROW(AC$15),0),15-13*ORÇAMENTO!$AF$11)),
         0)</f>
        <v>0</v>
      </c>
      <c r="AD50" s="454">
        <f ca="1">IF(AND($D50="Serviço",AD$12&lt;&gt;0,$H50&gt;0,OR(AUTOEVENTO&lt;&gt;"manual",$M50&lt;&gt;$A$15)),
        IF(Import.TipoArredondamento&lt;&gt;"TransfereGOV",
              ROUND(OFFSET($P50,0,AD$13),15-13*ORÇAMENTO!$AF$7)/$H50*OFFSET(ORÇAMENTO!$X$15,ROW(AD50)-ROW(AD$15),0),
              ROUND(ROUND(OFFSET($P50,0,AD$13),15-13*ORÇAMENTO!$AF$7)*OFFSET(ORÇAMENTO!$W$15,ROW(AD50)-ROW(AD$15),0),15-13*ORÇAMENTO!$AF$11)),
         0)</f>
        <v>0</v>
      </c>
      <c r="AE50" s="454">
        <f ca="1">IF(AND($D50="Serviço",AE$12&lt;&gt;0,$H50&gt;0,OR(AUTOEVENTO&lt;&gt;"manual",$M50&lt;&gt;$A$15)),
        IF(Import.TipoArredondamento&lt;&gt;"TransfereGOV",
              ROUND(OFFSET($P50,0,AE$13),15-13*ORÇAMENTO!$AF$7)/$H50*OFFSET(ORÇAMENTO!$X$15,ROW(AE50)-ROW(AE$15),0),
              ROUND(ROUND(OFFSET($P50,0,AE$13),15-13*ORÇAMENTO!$AF$7)*OFFSET(ORÇAMENTO!$W$15,ROW(AE50)-ROW(AE$15),0),15-13*ORÇAMENTO!$AF$11)),
         0)</f>
        <v>0</v>
      </c>
      <c r="AF50" s="454">
        <f ca="1">IF(AND($D50="Serviço",AF$12&lt;&gt;0,$H50&gt;0,OR(AUTOEVENTO&lt;&gt;"manual",$M50&lt;&gt;$A$15)),
        IF(Import.TipoArredondamento&lt;&gt;"TransfereGOV",
              ROUND(OFFSET($P50,0,AF$13),15-13*ORÇAMENTO!$AF$7)/$H50*OFFSET(ORÇAMENTO!$X$15,ROW(AF50)-ROW(AF$15),0),
              ROUND(ROUND(OFFSET($P50,0,AF$13),15-13*ORÇAMENTO!$AF$7)*OFFSET(ORÇAMENTO!$W$15,ROW(AF50)-ROW(AF$15),0),15-13*ORÇAMENTO!$AF$11)),
         0)</f>
        <v>0</v>
      </c>
      <c r="AG50" s="454">
        <f ca="1">IF(AND($D50="Serviço",AG$12&lt;&gt;0,$H50&gt;0,OR(AUTOEVENTO&lt;&gt;"manual",$M50&lt;&gt;$A$15)),
        IF(Import.TipoArredondamento&lt;&gt;"TransfereGOV",
              ROUND(OFFSET($P50,0,AG$13),15-13*ORÇAMENTO!$AF$7)/$H50*OFFSET(ORÇAMENTO!$X$15,ROW(AG50)-ROW(AG$15),0),
              ROUND(ROUND(OFFSET($P50,0,AG$13),15-13*ORÇAMENTO!$AF$7)*OFFSET(ORÇAMENTO!$W$15,ROW(AG50)-ROW(AG$15),0),15-13*ORÇAMENTO!$AF$11)),
         0)</f>
        <v>0</v>
      </c>
      <c r="AH50" s="454">
        <f ca="1">IF(AND($D50="Serviço",AH$12&lt;&gt;0,$H50&gt;0,OR(AUTOEVENTO&lt;&gt;"manual",$M50&lt;&gt;$A$15)),
        IF(Import.TipoArredondamento&lt;&gt;"TransfereGOV",
              ROUND(OFFSET($P50,0,AH$13),15-13*ORÇAMENTO!$AF$7)/$H50*OFFSET(ORÇAMENTO!$X$15,ROW(AH50)-ROW(AH$15),0),
              ROUND(ROUND(OFFSET($P50,0,AH$13),15-13*ORÇAMENTO!$AF$7)*OFFSET(ORÇAMENTO!$W$15,ROW(AH50)-ROW(AH$15),0),15-13*ORÇAMENTO!$AF$11)),
         0)</f>
        <v>0</v>
      </c>
      <c r="AI50" s="454">
        <f ca="1">IF(AND($D50="Serviço",AI$12&lt;&gt;0,$H50&gt;0,OR(AUTOEVENTO&lt;&gt;"manual",$M50&lt;&gt;$A$15)),
        IF(Import.TipoArredondamento&lt;&gt;"TransfereGOV",
              ROUND(OFFSET($P50,0,AI$13),15-13*ORÇAMENTO!$AF$7)/$H50*OFFSET(ORÇAMENTO!$X$15,ROW(AI50)-ROW(AI$15),0),
              ROUND(ROUND(OFFSET($P50,0,AI$13),15-13*ORÇAMENTO!$AF$7)*OFFSET(ORÇAMENTO!$W$15,ROW(AI50)-ROW(AI$15),0),15-13*ORÇAMENTO!$AF$11)),
         0)</f>
        <v>0</v>
      </c>
      <c r="AJ50" s="454">
        <f ca="1">IF(AND($D50="Serviço",AJ$12&lt;&gt;0,$H50&gt;0,OR(AUTOEVENTO&lt;&gt;"manual",$M50&lt;&gt;$A$15)),
        IF(Import.TipoArredondamento&lt;&gt;"TransfereGOV",
              ROUND(OFFSET($P50,0,AJ$13),15-13*ORÇAMENTO!$AF$7)/$H50*OFFSET(ORÇAMENTO!$X$15,ROW(AJ50)-ROW(AJ$15),0),
              ROUND(ROUND(OFFSET($P50,0,AJ$13),15-13*ORÇAMENTO!$AF$7)*OFFSET(ORÇAMENTO!$W$15,ROW(AJ50)-ROW(AJ$15),0),15-13*ORÇAMENTO!$AF$11)),
         0)</f>
        <v>0</v>
      </c>
      <c r="AK50" s="454">
        <f ca="1">IF(AND($D50="Serviço",AK$12&lt;&gt;0,$H50&gt;0,OR(AUTOEVENTO&lt;&gt;"manual",$M50&lt;&gt;$A$15)),
        IF(Import.TipoArredondamento&lt;&gt;"TransfereGOV",
              ROUND(OFFSET($P50,0,AK$13),15-13*ORÇAMENTO!$AF$7)/$H50*OFFSET(ORÇAMENTO!$X$15,ROW(AK50)-ROW(AK$15),0),
              ROUND(ROUND(OFFSET($P50,0,AK$13),15-13*ORÇAMENTO!$AF$7)*OFFSET(ORÇAMENTO!$W$15,ROW(AK50)-ROW(AK$15),0),15-13*ORÇAMENTO!$AF$11)),
         0)</f>
        <v>0</v>
      </c>
      <c r="AM50" s="172">
        <f ca="1">IF(OR($D50&lt;&gt;"Serviço",AND(AUTOEVENTO="Manual",$M50=$A$15)),0,
         IF(OFFSET(CRONOPLE!$F$15,$M50-$A$15,AM$13)="",10^12,OFFSET(CRONOPLE!$F$15,$M50-$A$15,AM$13)))</f>
        <v>1000000000000</v>
      </c>
      <c r="AN50" s="172">
        <f ca="1">IF(OR($D50&lt;&gt;"Serviço",AND(AUTOEVENTO="Manual",$M50=$A$15)),0,
         IF(OFFSET(CRONOPLE!$F$15,$M50-$A$15,AN$13)="",10^12,OFFSET(CRONOPLE!$F$15,$M50-$A$15,AN$13)))</f>
        <v>1000000000000</v>
      </c>
      <c r="AO50" s="172">
        <f ca="1">IF(OR($D50&lt;&gt;"Serviço",AND(AUTOEVENTO="Manual",$M50=$A$15)),0,
         IF(OFFSET(CRONOPLE!$F$15,$M50-$A$15,AO$13)="",10^12,OFFSET(CRONOPLE!$F$15,$M50-$A$15,AO$13)))</f>
        <v>1000000000000</v>
      </c>
      <c r="AP50" s="172">
        <f ca="1">IF(OR($D50&lt;&gt;"Serviço",AND(AUTOEVENTO="Manual",$M50=$A$15)),0,
         IF(OFFSET(CRONOPLE!$F$15,$M50-$A$15,AP$13)="",10^12,OFFSET(CRONOPLE!$F$15,$M50-$A$15,AP$13)))</f>
        <v>1000000000000</v>
      </c>
      <c r="AQ50" s="172">
        <f ca="1">IF(OR($D50&lt;&gt;"Serviço",AND(AUTOEVENTO="Manual",$M50=$A$15)),0,
         IF(OFFSET(CRONOPLE!$F$15,$M50-$A$15,AQ$13)="",10^12,OFFSET(CRONOPLE!$F$15,$M50-$A$15,AQ$13)))</f>
        <v>1000000000000</v>
      </c>
      <c r="AR50" s="172">
        <f ca="1">IF(OR($D50&lt;&gt;"Serviço",AND(AUTOEVENTO="Manual",$M50=$A$15)),0,
         IF(OFFSET(CRONOPLE!$F$15,$M50-$A$15,AR$13)="",10^12,OFFSET(CRONOPLE!$F$15,$M50-$A$15,AR$13)))</f>
        <v>1000000000000</v>
      </c>
      <c r="AS50" s="172">
        <f ca="1">IF(OR($D50&lt;&gt;"Serviço",AND(AUTOEVENTO="Manual",$M50=$A$15)),0,
         IF(OFFSET(CRONOPLE!$F$15,$M50-$A$15,AS$13)="",10^12,OFFSET(CRONOPLE!$F$15,$M50-$A$15,AS$13)))</f>
        <v>1000000000000</v>
      </c>
      <c r="AT50" s="172">
        <f ca="1">IF(OR($D50&lt;&gt;"Serviço",AND(AUTOEVENTO="Manual",$M50=$A$15)),0,
         IF(OFFSET(CRONOPLE!$F$15,$M50-$A$15,AT$13)="",10^12,OFFSET(CRONOPLE!$F$15,$M50-$A$15,AT$13)))</f>
        <v>1000000000000</v>
      </c>
      <c r="AU50" s="172">
        <f ca="1">IF(OR($D50&lt;&gt;"Serviço",AND(AUTOEVENTO="Manual",$M50=$A$15)),0,
         IF(OFFSET(CRONOPLE!$F$15,$M50-$A$15,AU$13)="",10^12,OFFSET(CRONOPLE!$F$15,$M50-$A$15,AU$13)))</f>
        <v>1000000000000</v>
      </c>
      <c r="AV50" s="172">
        <f ca="1">IF(OR($D50&lt;&gt;"Serviço",AND(AUTOEVENTO="Manual",$M50=$A$15)),0,
         IF(OFFSET(CRONOPLE!$F$15,$M50-$A$15,AV$13)="",10^12,OFFSET(CRONOPLE!$F$15,$M50-$A$15,AV$13)))</f>
        <v>1000000000000</v>
      </c>
      <c r="AX50" s="173">
        <f ca="1">IF(OR($D50&lt;&gt;"Serviço",AND(AUTOEVENTO="Manual",$M50=$A$15),$M50&gt;(ROW(PLE.lastrow)-ROW(PLE.firstrow))),0,
           IF(OFFSET(PLE!$G$15,$M50-$A$15,AX$13)="",10^12,OFFSET(PLE!$G$15,$M50-$A$15,AX$13)))</f>
        <v>1000000000000</v>
      </c>
      <c r="AY50" s="173">
        <f ca="1">IF(OR($D50&lt;&gt;"Serviço",AND(AUTOEVENTO="Manual",$M50=$A$15),$M50&gt;(ROW(PLE.lastrow)-ROW(PLE.firstrow))),0,
           IF(OFFSET(PLE!$G$15,$M50-$A$15,AY$13)="",10^12,OFFSET(PLE!$G$15,$M50-$A$15,AY$13)))</f>
        <v>1000000000000</v>
      </c>
      <c r="AZ50" s="173">
        <f ca="1">IF(OR($D50&lt;&gt;"Serviço",AND(AUTOEVENTO="Manual",$M50=$A$15),$M50&gt;(ROW(PLE.lastrow)-ROW(PLE.firstrow))),0,
           IF(OFFSET(PLE!$G$15,$M50-$A$15,AZ$13)="",10^12,OFFSET(PLE!$G$15,$M50-$A$15,AZ$13)))</f>
        <v>1000000000000</v>
      </c>
      <c r="BA50" s="173">
        <f ca="1">IF(OR($D50&lt;&gt;"Serviço",AND(AUTOEVENTO="Manual",$M50=$A$15),$M50&gt;(ROW(PLE.lastrow)-ROW(PLE.firstrow))),0,
           IF(OFFSET(PLE!$G$15,$M50-$A$15,BA$13)="",10^12,OFFSET(PLE!$G$15,$M50-$A$15,BA$13)))</f>
        <v>1000000000000</v>
      </c>
      <c r="BB50" s="173">
        <f ca="1">IF(OR($D50&lt;&gt;"Serviço",AND(AUTOEVENTO="Manual",$M50=$A$15),$M50&gt;(ROW(PLE.lastrow)-ROW(PLE.firstrow))),0,
           IF(OFFSET(PLE!$G$15,$M50-$A$15,BB$13)="",10^12,OFFSET(PLE!$G$15,$M50-$A$15,BB$13)))</f>
        <v>1000000000000</v>
      </c>
      <c r="BC50" s="173">
        <f ca="1">IF(OR($D50&lt;&gt;"Serviço",AND(AUTOEVENTO="Manual",$M50=$A$15),$M50&gt;(ROW(PLE.lastrow)-ROW(PLE.firstrow))),0,
           IF(OFFSET(PLE!$G$15,$M50-$A$15,BC$13)="",10^12,OFFSET(PLE!$G$15,$M50-$A$15,BC$13)))</f>
        <v>1000000000000</v>
      </c>
      <c r="BD50" s="173">
        <f ca="1">IF(OR($D50&lt;&gt;"Serviço",AND(AUTOEVENTO="Manual",$M50=$A$15),$M50&gt;(ROW(PLE.lastrow)-ROW(PLE.firstrow))),0,
           IF(OFFSET(PLE!$G$15,$M50-$A$15,BD$13)="",10^12,OFFSET(PLE!$G$15,$M50-$A$15,BD$13)))</f>
        <v>1000000000000</v>
      </c>
      <c r="BE50" s="173">
        <f ca="1">IF(OR($D50&lt;&gt;"Serviço",AND(AUTOEVENTO="Manual",$M50=$A$15),$M50&gt;(ROW(PLE.lastrow)-ROW(PLE.firstrow))),0,
           IF(OFFSET(PLE!$G$15,$M50-$A$15,BE$13)="",10^12,OFFSET(PLE!$G$15,$M50-$A$15,BE$13)))</f>
        <v>1000000000000</v>
      </c>
      <c r="BF50" s="173">
        <f ca="1">IF(OR($D50&lt;&gt;"Serviço",AND(AUTOEVENTO="Manual",$M50=$A$15),$M50&gt;(ROW(PLE.lastrow)-ROW(PLE.firstrow))),0,
           IF(OFFSET(PLE!$G$15,$M50-$A$15,BF$13)="",10^12,OFFSET(PLE!$G$15,$M50-$A$15,BF$13)))</f>
        <v>1000000000000</v>
      </c>
      <c r="BG50" s="173">
        <f ca="1">IF(OR($D50&lt;&gt;"Serviço",AND(AUTOEVENTO="Manual",$M50=$A$15),$M50&gt;(ROW(PLE.lastrow)-ROW(PLE.firstrow))),0,
           IF(OFFSET(PLE!$G$15,$M50-$A$15,BG$13)="",10^12,OFFSET(PLE!$G$15,$M50-$A$15,BG$13)))</f>
        <v>1000000000000</v>
      </c>
    </row>
    <row r="51" spans="1:59" ht="25.5" x14ac:dyDescent="0.2">
      <c r="A51" s="7" t="str">
        <f t="shared" ca="1" si="8"/>
        <v>32</v>
      </c>
      <c r="B51" s="7" t="str">
        <f ca="1">OFFSET(ORÇAMENTO!C$15,ROW(B51)-ROW(B$15),0)</f>
        <v>S</v>
      </c>
      <c r="C51" s="7" t="str">
        <f ca="1">OFFSET(ORÇAMENTO!L$15,ROW(C51)-ROW(C$15),0)</f>
        <v/>
      </c>
      <c r="D51" s="117" t="str">
        <f ca="1">OFFSET(ORÇAMENTO!N$15,ROW(D51)-ROW(D$15),0)</f>
        <v>Serviço</v>
      </c>
      <c r="E51" s="118" t="str">
        <f ca="1">OFFSET(ORÇAMENTO!O$15,ROW(E51)-ROW(E$15),0)</f>
        <v>-</v>
      </c>
      <c r="F51" s="164" t="str">
        <f ca="1">OFFSET(ORÇAMENTO!R$15,ROW(F51)-ROW(F$15),0)</f>
        <v>ACABAMENTO DE RODAPÉ E RODAFORRO EM PERFIL METÁLICO -  FORNECIMENTO E INSTALAÇÃO</v>
      </c>
      <c r="G51" s="165" t="str">
        <f ca="1">IF($D51&lt;&gt;"Serviço","",OFFSET(ORÇAMENTO!S$15,ROW(G51)-ROW(G$15),0))</f>
        <v>M</v>
      </c>
      <c r="H51" s="123">
        <f ca="1">IF($D51&lt;&gt;"Serviço",0,IF(ACOMPANHAMENTO="BM",ROUND(OFFSET(ORÇAMENTO!AJ$15,ROW(H51)-ROW(H$15),0),15-13*ORÇAMENTO!$AF$7),SUMPRODUCT(($Q$1:$AA$1=1)*ROUND($Q51:$AA51,15-13*ORÇAMENTO!$AF$7))))</f>
        <v>2101.2600000000002</v>
      </c>
      <c r="I51" s="469"/>
      <c r="J51" s="577" t="str" cm="1">
        <f t="array" aca="1" ref="J51" ca="1">IF(B51&lt;&gt;"S","",IF(AND(ACOMPANHAMENTO="PLE",AUTOEVENTO="Manual",OR(H51&gt;0,ORÇAMENTO!AC51="QUANT."),OR(K51="",M51=0,N51="")),"►",IF(AND(ACOMPANHAMENTO="PLE",ORÇAMENTO!AC51="QUANT."),"►►",IF(AND(COUNTIF($P$11:$AA$11,"▼")=0,H51&gt;0,I51=""),"◄",""))))</f>
        <v>◄</v>
      </c>
      <c r="K51" s="626"/>
      <c r="L51" s="166" t="s">
        <v>765</v>
      </c>
      <c r="M51" s="167">
        <f ca="1">IF($D51&lt;&gt;"Serviço","",
          IF(AUTOEVENTO="manual",$A51,
                IF(ISERROR(MATCH($A51,$A$15:OFFSET($A51,-1,0),0)),MAX($M$15:OFFSET(M51,-1,0))+1,
                      INDEX($M$15:OFFSET(M51,-1,0),MATCH($A51,$A$15:OFFSET($A51,-1,0),0)))))</f>
        <v>7</v>
      </c>
      <c r="N51" s="168" t="str">
        <f ca="1">IF($D51&lt;&gt;"Serviço","",
         IF(AUTOEVENTO="Manual",
                IF($A51=0,"&lt;-- defina o número do agrupador",
                       OFFSET(EVENTOS!$D$15,$A51-$A$15,0)),
                OFFSET($F$15,$A51,0)))</f>
        <v>FECHAMENTOS DOS MÓDULOS</v>
      </c>
      <c r="O51" s="169"/>
      <c r="Q51" s="169"/>
      <c r="R51" s="170"/>
      <c r="S51" s="170"/>
      <c r="T51" s="170"/>
      <c r="U51" s="170"/>
      <c r="V51" s="170"/>
      <c r="W51" s="170"/>
      <c r="X51" s="170"/>
      <c r="Y51" s="170"/>
      <c r="Z51" s="171"/>
      <c r="AB51" s="454">
        <f ca="1">IF(AND($D51="Serviço",AB$12&lt;&gt;0,$H51&gt;0,OR(AUTOEVENTO&lt;&gt;"manual",$M51&lt;&gt;$A$15)),
        IF(Import.TipoArredondamento&lt;&gt;"TransfereGOV",
              ROUND(OFFSET($P51,0,AB$13),15-13*ORÇAMENTO!$AF$7)/$H51*OFFSET(ORÇAMENTO!$X$15,ROW(AB51)-ROW(AB$15),0),
              ROUND(ROUND(OFFSET($P51,0,AB$13),15-13*ORÇAMENTO!$AF$7)*OFFSET(ORÇAMENTO!$W$15,ROW(AB51)-ROW(AB$15),0),15-13*ORÇAMENTO!$AF$11)),
         0)</f>
        <v>0</v>
      </c>
      <c r="AC51" s="454">
        <f ca="1">IF(AND($D51="Serviço",AC$12&lt;&gt;0,$H51&gt;0,OR(AUTOEVENTO&lt;&gt;"manual",$M51&lt;&gt;$A$15)),
        IF(Import.TipoArredondamento&lt;&gt;"TransfereGOV",
              ROUND(OFFSET($P51,0,AC$13),15-13*ORÇAMENTO!$AF$7)/$H51*OFFSET(ORÇAMENTO!$X$15,ROW(AC51)-ROW(AC$15),0),
              ROUND(ROUND(OFFSET($P51,0,AC$13),15-13*ORÇAMENTO!$AF$7)*OFFSET(ORÇAMENTO!$W$15,ROW(AC51)-ROW(AC$15),0),15-13*ORÇAMENTO!$AF$11)),
         0)</f>
        <v>0</v>
      </c>
      <c r="AD51" s="454">
        <f ca="1">IF(AND($D51="Serviço",AD$12&lt;&gt;0,$H51&gt;0,OR(AUTOEVENTO&lt;&gt;"manual",$M51&lt;&gt;$A$15)),
        IF(Import.TipoArredondamento&lt;&gt;"TransfereGOV",
              ROUND(OFFSET($P51,0,AD$13),15-13*ORÇAMENTO!$AF$7)/$H51*OFFSET(ORÇAMENTO!$X$15,ROW(AD51)-ROW(AD$15),0),
              ROUND(ROUND(OFFSET($P51,0,AD$13),15-13*ORÇAMENTO!$AF$7)*OFFSET(ORÇAMENTO!$W$15,ROW(AD51)-ROW(AD$15),0),15-13*ORÇAMENTO!$AF$11)),
         0)</f>
        <v>0</v>
      </c>
      <c r="AE51" s="454">
        <f ca="1">IF(AND($D51="Serviço",AE$12&lt;&gt;0,$H51&gt;0,OR(AUTOEVENTO&lt;&gt;"manual",$M51&lt;&gt;$A$15)),
        IF(Import.TipoArredondamento&lt;&gt;"TransfereGOV",
              ROUND(OFFSET($P51,0,AE$13),15-13*ORÇAMENTO!$AF$7)/$H51*OFFSET(ORÇAMENTO!$X$15,ROW(AE51)-ROW(AE$15),0),
              ROUND(ROUND(OFFSET($P51,0,AE$13),15-13*ORÇAMENTO!$AF$7)*OFFSET(ORÇAMENTO!$W$15,ROW(AE51)-ROW(AE$15),0),15-13*ORÇAMENTO!$AF$11)),
         0)</f>
        <v>0</v>
      </c>
      <c r="AF51" s="454">
        <f ca="1">IF(AND($D51="Serviço",AF$12&lt;&gt;0,$H51&gt;0,OR(AUTOEVENTO&lt;&gt;"manual",$M51&lt;&gt;$A$15)),
        IF(Import.TipoArredondamento&lt;&gt;"TransfereGOV",
              ROUND(OFFSET($P51,0,AF$13),15-13*ORÇAMENTO!$AF$7)/$H51*OFFSET(ORÇAMENTO!$X$15,ROW(AF51)-ROW(AF$15),0),
              ROUND(ROUND(OFFSET($P51,0,AF$13),15-13*ORÇAMENTO!$AF$7)*OFFSET(ORÇAMENTO!$W$15,ROW(AF51)-ROW(AF$15),0),15-13*ORÇAMENTO!$AF$11)),
         0)</f>
        <v>0</v>
      </c>
      <c r="AG51" s="454">
        <f ca="1">IF(AND($D51="Serviço",AG$12&lt;&gt;0,$H51&gt;0,OR(AUTOEVENTO&lt;&gt;"manual",$M51&lt;&gt;$A$15)),
        IF(Import.TipoArredondamento&lt;&gt;"TransfereGOV",
              ROUND(OFFSET($P51,0,AG$13),15-13*ORÇAMENTO!$AF$7)/$H51*OFFSET(ORÇAMENTO!$X$15,ROW(AG51)-ROW(AG$15),0),
              ROUND(ROUND(OFFSET($P51,0,AG$13),15-13*ORÇAMENTO!$AF$7)*OFFSET(ORÇAMENTO!$W$15,ROW(AG51)-ROW(AG$15),0),15-13*ORÇAMENTO!$AF$11)),
         0)</f>
        <v>0</v>
      </c>
      <c r="AH51" s="454">
        <f ca="1">IF(AND($D51="Serviço",AH$12&lt;&gt;0,$H51&gt;0,OR(AUTOEVENTO&lt;&gt;"manual",$M51&lt;&gt;$A$15)),
        IF(Import.TipoArredondamento&lt;&gt;"TransfereGOV",
              ROUND(OFFSET($P51,0,AH$13),15-13*ORÇAMENTO!$AF$7)/$H51*OFFSET(ORÇAMENTO!$X$15,ROW(AH51)-ROW(AH$15),0),
              ROUND(ROUND(OFFSET($P51,0,AH$13),15-13*ORÇAMENTO!$AF$7)*OFFSET(ORÇAMENTO!$W$15,ROW(AH51)-ROW(AH$15),0),15-13*ORÇAMENTO!$AF$11)),
         0)</f>
        <v>0</v>
      </c>
      <c r="AI51" s="454">
        <f ca="1">IF(AND($D51="Serviço",AI$12&lt;&gt;0,$H51&gt;0,OR(AUTOEVENTO&lt;&gt;"manual",$M51&lt;&gt;$A$15)),
        IF(Import.TipoArredondamento&lt;&gt;"TransfereGOV",
              ROUND(OFFSET($P51,0,AI$13),15-13*ORÇAMENTO!$AF$7)/$H51*OFFSET(ORÇAMENTO!$X$15,ROW(AI51)-ROW(AI$15),0),
              ROUND(ROUND(OFFSET($P51,0,AI$13),15-13*ORÇAMENTO!$AF$7)*OFFSET(ORÇAMENTO!$W$15,ROW(AI51)-ROW(AI$15),0),15-13*ORÇAMENTO!$AF$11)),
         0)</f>
        <v>0</v>
      </c>
      <c r="AJ51" s="454">
        <f ca="1">IF(AND($D51="Serviço",AJ$12&lt;&gt;0,$H51&gt;0,OR(AUTOEVENTO&lt;&gt;"manual",$M51&lt;&gt;$A$15)),
        IF(Import.TipoArredondamento&lt;&gt;"TransfereGOV",
              ROUND(OFFSET($P51,0,AJ$13),15-13*ORÇAMENTO!$AF$7)/$H51*OFFSET(ORÇAMENTO!$X$15,ROW(AJ51)-ROW(AJ$15),0),
              ROUND(ROUND(OFFSET($P51,0,AJ$13),15-13*ORÇAMENTO!$AF$7)*OFFSET(ORÇAMENTO!$W$15,ROW(AJ51)-ROW(AJ$15),0),15-13*ORÇAMENTO!$AF$11)),
         0)</f>
        <v>0</v>
      </c>
      <c r="AK51" s="454">
        <f ca="1">IF(AND($D51="Serviço",AK$12&lt;&gt;0,$H51&gt;0,OR(AUTOEVENTO&lt;&gt;"manual",$M51&lt;&gt;$A$15)),
        IF(Import.TipoArredondamento&lt;&gt;"TransfereGOV",
              ROUND(OFFSET($P51,0,AK$13),15-13*ORÇAMENTO!$AF$7)/$H51*OFFSET(ORÇAMENTO!$X$15,ROW(AK51)-ROW(AK$15),0),
              ROUND(ROUND(OFFSET($P51,0,AK$13),15-13*ORÇAMENTO!$AF$7)*OFFSET(ORÇAMENTO!$W$15,ROW(AK51)-ROW(AK$15),0),15-13*ORÇAMENTO!$AF$11)),
         0)</f>
        <v>0</v>
      </c>
      <c r="AM51" s="172">
        <f ca="1">IF(OR($D51&lt;&gt;"Serviço",AND(AUTOEVENTO="Manual",$M51=$A$15)),0,
         IF(OFFSET(CRONOPLE!$F$15,$M51-$A$15,AM$13)="",10^12,OFFSET(CRONOPLE!$F$15,$M51-$A$15,AM$13)))</f>
        <v>1000000000000</v>
      </c>
      <c r="AN51" s="172">
        <f ca="1">IF(OR($D51&lt;&gt;"Serviço",AND(AUTOEVENTO="Manual",$M51=$A$15)),0,
         IF(OFFSET(CRONOPLE!$F$15,$M51-$A$15,AN$13)="",10^12,OFFSET(CRONOPLE!$F$15,$M51-$A$15,AN$13)))</f>
        <v>1000000000000</v>
      </c>
      <c r="AO51" s="172">
        <f ca="1">IF(OR($D51&lt;&gt;"Serviço",AND(AUTOEVENTO="Manual",$M51=$A$15)),0,
         IF(OFFSET(CRONOPLE!$F$15,$M51-$A$15,AO$13)="",10^12,OFFSET(CRONOPLE!$F$15,$M51-$A$15,AO$13)))</f>
        <v>1000000000000</v>
      </c>
      <c r="AP51" s="172">
        <f ca="1">IF(OR($D51&lt;&gt;"Serviço",AND(AUTOEVENTO="Manual",$M51=$A$15)),0,
         IF(OFFSET(CRONOPLE!$F$15,$M51-$A$15,AP$13)="",10^12,OFFSET(CRONOPLE!$F$15,$M51-$A$15,AP$13)))</f>
        <v>1000000000000</v>
      </c>
      <c r="AQ51" s="172">
        <f ca="1">IF(OR($D51&lt;&gt;"Serviço",AND(AUTOEVENTO="Manual",$M51=$A$15)),0,
         IF(OFFSET(CRONOPLE!$F$15,$M51-$A$15,AQ$13)="",10^12,OFFSET(CRONOPLE!$F$15,$M51-$A$15,AQ$13)))</f>
        <v>1000000000000</v>
      </c>
      <c r="AR51" s="172">
        <f ca="1">IF(OR($D51&lt;&gt;"Serviço",AND(AUTOEVENTO="Manual",$M51=$A$15)),0,
         IF(OFFSET(CRONOPLE!$F$15,$M51-$A$15,AR$13)="",10^12,OFFSET(CRONOPLE!$F$15,$M51-$A$15,AR$13)))</f>
        <v>1000000000000</v>
      </c>
      <c r="AS51" s="172">
        <f ca="1">IF(OR($D51&lt;&gt;"Serviço",AND(AUTOEVENTO="Manual",$M51=$A$15)),0,
         IF(OFFSET(CRONOPLE!$F$15,$M51-$A$15,AS$13)="",10^12,OFFSET(CRONOPLE!$F$15,$M51-$A$15,AS$13)))</f>
        <v>1000000000000</v>
      </c>
      <c r="AT51" s="172">
        <f ca="1">IF(OR($D51&lt;&gt;"Serviço",AND(AUTOEVENTO="Manual",$M51=$A$15)),0,
         IF(OFFSET(CRONOPLE!$F$15,$M51-$A$15,AT$13)="",10^12,OFFSET(CRONOPLE!$F$15,$M51-$A$15,AT$13)))</f>
        <v>1000000000000</v>
      </c>
      <c r="AU51" s="172">
        <f ca="1">IF(OR($D51&lt;&gt;"Serviço",AND(AUTOEVENTO="Manual",$M51=$A$15)),0,
         IF(OFFSET(CRONOPLE!$F$15,$M51-$A$15,AU$13)="",10^12,OFFSET(CRONOPLE!$F$15,$M51-$A$15,AU$13)))</f>
        <v>1000000000000</v>
      </c>
      <c r="AV51" s="172">
        <f ca="1">IF(OR($D51&lt;&gt;"Serviço",AND(AUTOEVENTO="Manual",$M51=$A$15)),0,
         IF(OFFSET(CRONOPLE!$F$15,$M51-$A$15,AV$13)="",10^12,OFFSET(CRONOPLE!$F$15,$M51-$A$15,AV$13)))</f>
        <v>1000000000000</v>
      </c>
      <c r="AX51" s="173">
        <f ca="1">IF(OR($D51&lt;&gt;"Serviço",AND(AUTOEVENTO="Manual",$M51=$A$15),$M51&gt;(ROW(PLE.lastrow)-ROW(PLE.firstrow))),0,
           IF(OFFSET(PLE!$G$15,$M51-$A$15,AX$13)="",10^12,OFFSET(PLE!$G$15,$M51-$A$15,AX$13)))</f>
        <v>1000000000000</v>
      </c>
      <c r="AY51" s="173">
        <f ca="1">IF(OR($D51&lt;&gt;"Serviço",AND(AUTOEVENTO="Manual",$M51=$A$15),$M51&gt;(ROW(PLE.lastrow)-ROW(PLE.firstrow))),0,
           IF(OFFSET(PLE!$G$15,$M51-$A$15,AY$13)="",10^12,OFFSET(PLE!$G$15,$M51-$A$15,AY$13)))</f>
        <v>1000000000000</v>
      </c>
      <c r="AZ51" s="173">
        <f ca="1">IF(OR($D51&lt;&gt;"Serviço",AND(AUTOEVENTO="Manual",$M51=$A$15),$M51&gt;(ROW(PLE.lastrow)-ROW(PLE.firstrow))),0,
           IF(OFFSET(PLE!$G$15,$M51-$A$15,AZ$13)="",10^12,OFFSET(PLE!$G$15,$M51-$A$15,AZ$13)))</f>
        <v>1000000000000</v>
      </c>
      <c r="BA51" s="173">
        <f ca="1">IF(OR($D51&lt;&gt;"Serviço",AND(AUTOEVENTO="Manual",$M51=$A$15),$M51&gt;(ROW(PLE.lastrow)-ROW(PLE.firstrow))),0,
           IF(OFFSET(PLE!$G$15,$M51-$A$15,BA$13)="",10^12,OFFSET(PLE!$G$15,$M51-$A$15,BA$13)))</f>
        <v>1000000000000</v>
      </c>
      <c r="BB51" s="173">
        <f ca="1">IF(OR($D51&lt;&gt;"Serviço",AND(AUTOEVENTO="Manual",$M51=$A$15),$M51&gt;(ROW(PLE.lastrow)-ROW(PLE.firstrow))),0,
           IF(OFFSET(PLE!$G$15,$M51-$A$15,BB$13)="",10^12,OFFSET(PLE!$G$15,$M51-$A$15,BB$13)))</f>
        <v>1000000000000</v>
      </c>
      <c r="BC51" s="173">
        <f ca="1">IF(OR($D51&lt;&gt;"Serviço",AND(AUTOEVENTO="Manual",$M51=$A$15),$M51&gt;(ROW(PLE.lastrow)-ROW(PLE.firstrow))),0,
           IF(OFFSET(PLE!$G$15,$M51-$A$15,BC$13)="",10^12,OFFSET(PLE!$G$15,$M51-$A$15,BC$13)))</f>
        <v>1000000000000</v>
      </c>
      <c r="BD51" s="173">
        <f ca="1">IF(OR($D51&lt;&gt;"Serviço",AND(AUTOEVENTO="Manual",$M51=$A$15),$M51&gt;(ROW(PLE.lastrow)-ROW(PLE.firstrow))),0,
           IF(OFFSET(PLE!$G$15,$M51-$A$15,BD$13)="",10^12,OFFSET(PLE!$G$15,$M51-$A$15,BD$13)))</f>
        <v>1000000000000</v>
      </c>
      <c r="BE51" s="173">
        <f ca="1">IF(OR($D51&lt;&gt;"Serviço",AND(AUTOEVENTO="Manual",$M51=$A$15),$M51&gt;(ROW(PLE.lastrow)-ROW(PLE.firstrow))),0,
           IF(OFFSET(PLE!$G$15,$M51-$A$15,BE$13)="",10^12,OFFSET(PLE!$G$15,$M51-$A$15,BE$13)))</f>
        <v>1000000000000</v>
      </c>
      <c r="BF51" s="173">
        <f ca="1">IF(OR($D51&lt;&gt;"Serviço",AND(AUTOEVENTO="Manual",$M51=$A$15),$M51&gt;(ROW(PLE.lastrow)-ROW(PLE.firstrow))),0,
           IF(OFFSET(PLE!$G$15,$M51-$A$15,BF$13)="",10^12,OFFSET(PLE!$G$15,$M51-$A$15,BF$13)))</f>
        <v>1000000000000</v>
      </c>
      <c r="BG51" s="173">
        <f ca="1">IF(OR($D51&lt;&gt;"Serviço",AND(AUTOEVENTO="Manual",$M51=$A$15),$M51&gt;(ROW(PLE.lastrow)-ROW(PLE.firstrow))),0,
           IF(OFFSET(PLE!$G$15,$M51-$A$15,BG$13)="",10^12,OFFSET(PLE!$G$15,$M51-$A$15,BG$13)))</f>
        <v>1000000000000</v>
      </c>
    </row>
    <row r="52" spans="1:59" ht="12.75" x14ac:dyDescent="0.2">
      <c r="A52" s="7" t="str">
        <f t="shared" ca="1" si="8"/>
        <v>37.</v>
      </c>
      <c r="B52" s="7">
        <f ca="1">OFFSET(ORÇAMENTO!C$15,ROW(B52)-ROW(B$15),0)</f>
        <v>2</v>
      </c>
      <c r="C52" s="7" t="str">
        <f ca="1">OFFSET(ORÇAMENTO!L$15,ROW(C52)-ROW(C$15),0)</f>
        <v>F</v>
      </c>
      <c r="D52" s="117" t="str">
        <f ca="1">OFFSET(ORÇAMENTO!N$15,ROW(D52)-ROW(D$15),0)</f>
        <v>Nível 2</v>
      </c>
      <c r="E52" s="118" t="str">
        <f ca="1">OFFSET(ORÇAMENTO!O$15,ROW(E52)-ROW(E$15),0)</f>
        <v>1.8.</v>
      </c>
      <c r="F52" s="164" t="str">
        <f ca="1">OFFSET(ORÇAMENTO!R$15,ROW(F52)-ROW(F$15),0)</f>
        <v>PINTURA DA ESTRUTURA DOS MÓDULOS</v>
      </c>
      <c r="G52" s="165" t="str">
        <f ca="1">IF($D52&lt;&gt;"Serviço","",OFFSET(ORÇAMENTO!S$15,ROW(G52)-ROW(G$15),0))</f>
        <v/>
      </c>
      <c r="H52" s="123">
        <f ca="1">IF($D52&lt;&gt;"Serviço",0,IF(ACOMPANHAMENTO="BM",ROUND(OFFSET(ORÇAMENTO!AJ$15,ROW(H52)-ROW(H$15),0),15-13*ORÇAMENTO!$AF$7),SUMPRODUCT(($Q$1:$AA$1=1)*ROUND($Q52:$AA52,15-13*ORÇAMENTO!$AF$7))))</f>
        <v>0</v>
      </c>
      <c r="I52" s="469"/>
      <c r="J52" s="577" t="str" cm="1">
        <f t="array" aca="1" ref="J52" ca="1">IF(B52&lt;&gt;"S","",IF(AND(ACOMPANHAMENTO="PLE",AUTOEVENTO="Manual",OR(H52&gt;0,ORÇAMENTO!AC52="QUANT."),OR(K52="",M52=0,N52="")),"►",IF(AND(ACOMPANHAMENTO="PLE",ORÇAMENTO!AC52="QUANT."),"►►",IF(AND(COUNTIF($P$11:$AA$11,"▼")=0,H52&gt;0,I52=""),"◄",""))))</f>
        <v/>
      </c>
      <c r="K52" s="626"/>
      <c r="L52" s="166" t="s">
        <v>765</v>
      </c>
      <c r="M52" s="167" t="str">
        <f ca="1">IF($D52&lt;&gt;"Serviço","",
          IF(AUTOEVENTO="manual",$A52,
                IF(ISERROR(MATCH($A52,$A$15:OFFSET($A52,-1,0),0)),MAX($M$15:OFFSET(M52,-1,0))+1,
                      INDEX($M$15:OFFSET(M52,-1,0),MATCH($A52,$A$15:OFFSET($A52,-1,0),0)))))</f>
        <v/>
      </c>
      <c r="N52" s="168" t="str">
        <f ca="1">IF($D52&lt;&gt;"Serviço","",
         IF(AUTOEVENTO="Manual",
                IF($A52=0,"&lt;-- defina o número do agrupador",
                       OFFSET(EVENTOS!$D$15,$A52-$A$15,0)),
                OFFSET($F$15,$A52,0)))</f>
        <v/>
      </c>
      <c r="O52" s="169"/>
      <c r="Q52" s="169"/>
      <c r="R52" s="170"/>
      <c r="S52" s="170"/>
      <c r="T52" s="170"/>
      <c r="U52" s="170"/>
      <c r="V52" s="170"/>
      <c r="W52" s="170"/>
      <c r="X52" s="170"/>
      <c r="Y52" s="170"/>
      <c r="Z52" s="171"/>
      <c r="AB52" s="454">
        <f ca="1">IF(AND($D52="Serviço",AB$12&lt;&gt;0,$H52&gt;0,OR(AUTOEVENTO&lt;&gt;"manual",$M52&lt;&gt;$A$15)),
        IF(Import.TipoArredondamento&lt;&gt;"TransfereGOV",
              ROUND(OFFSET($P52,0,AB$13),15-13*ORÇAMENTO!$AF$7)/$H52*OFFSET(ORÇAMENTO!$X$15,ROW(AB52)-ROW(AB$15),0),
              ROUND(ROUND(OFFSET($P52,0,AB$13),15-13*ORÇAMENTO!$AF$7)*OFFSET(ORÇAMENTO!$W$15,ROW(AB52)-ROW(AB$15),0),15-13*ORÇAMENTO!$AF$11)),
         0)</f>
        <v>0</v>
      </c>
      <c r="AC52" s="454">
        <f ca="1">IF(AND($D52="Serviço",AC$12&lt;&gt;0,$H52&gt;0,OR(AUTOEVENTO&lt;&gt;"manual",$M52&lt;&gt;$A$15)),
        IF(Import.TipoArredondamento&lt;&gt;"TransfereGOV",
              ROUND(OFFSET($P52,0,AC$13),15-13*ORÇAMENTO!$AF$7)/$H52*OFFSET(ORÇAMENTO!$X$15,ROW(AC52)-ROW(AC$15),0),
              ROUND(ROUND(OFFSET($P52,0,AC$13),15-13*ORÇAMENTO!$AF$7)*OFFSET(ORÇAMENTO!$W$15,ROW(AC52)-ROW(AC$15),0),15-13*ORÇAMENTO!$AF$11)),
         0)</f>
        <v>0</v>
      </c>
      <c r="AD52" s="454">
        <f ca="1">IF(AND($D52="Serviço",AD$12&lt;&gt;0,$H52&gt;0,OR(AUTOEVENTO&lt;&gt;"manual",$M52&lt;&gt;$A$15)),
        IF(Import.TipoArredondamento&lt;&gt;"TransfereGOV",
              ROUND(OFFSET($P52,0,AD$13),15-13*ORÇAMENTO!$AF$7)/$H52*OFFSET(ORÇAMENTO!$X$15,ROW(AD52)-ROW(AD$15),0),
              ROUND(ROUND(OFFSET($P52,0,AD$13),15-13*ORÇAMENTO!$AF$7)*OFFSET(ORÇAMENTO!$W$15,ROW(AD52)-ROW(AD$15),0),15-13*ORÇAMENTO!$AF$11)),
         0)</f>
        <v>0</v>
      </c>
      <c r="AE52" s="454">
        <f ca="1">IF(AND($D52="Serviço",AE$12&lt;&gt;0,$H52&gt;0,OR(AUTOEVENTO&lt;&gt;"manual",$M52&lt;&gt;$A$15)),
        IF(Import.TipoArredondamento&lt;&gt;"TransfereGOV",
              ROUND(OFFSET($P52,0,AE$13),15-13*ORÇAMENTO!$AF$7)/$H52*OFFSET(ORÇAMENTO!$X$15,ROW(AE52)-ROW(AE$15),0),
              ROUND(ROUND(OFFSET($P52,0,AE$13),15-13*ORÇAMENTO!$AF$7)*OFFSET(ORÇAMENTO!$W$15,ROW(AE52)-ROW(AE$15),0),15-13*ORÇAMENTO!$AF$11)),
         0)</f>
        <v>0</v>
      </c>
      <c r="AF52" s="454">
        <f ca="1">IF(AND($D52="Serviço",AF$12&lt;&gt;0,$H52&gt;0,OR(AUTOEVENTO&lt;&gt;"manual",$M52&lt;&gt;$A$15)),
        IF(Import.TipoArredondamento&lt;&gt;"TransfereGOV",
              ROUND(OFFSET($P52,0,AF$13),15-13*ORÇAMENTO!$AF$7)/$H52*OFFSET(ORÇAMENTO!$X$15,ROW(AF52)-ROW(AF$15),0),
              ROUND(ROUND(OFFSET($P52,0,AF$13),15-13*ORÇAMENTO!$AF$7)*OFFSET(ORÇAMENTO!$W$15,ROW(AF52)-ROW(AF$15),0),15-13*ORÇAMENTO!$AF$11)),
         0)</f>
        <v>0</v>
      </c>
      <c r="AG52" s="454">
        <f ca="1">IF(AND($D52="Serviço",AG$12&lt;&gt;0,$H52&gt;0,OR(AUTOEVENTO&lt;&gt;"manual",$M52&lt;&gt;$A$15)),
        IF(Import.TipoArredondamento&lt;&gt;"TransfereGOV",
              ROUND(OFFSET($P52,0,AG$13),15-13*ORÇAMENTO!$AF$7)/$H52*OFFSET(ORÇAMENTO!$X$15,ROW(AG52)-ROW(AG$15),0),
              ROUND(ROUND(OFFSET($P52,0,AG$13),15-13*ORÇAMENTO!$AF$7)*OFFSET(ORÇAMENTO!$W$15,ROW(AG52)-ROW(AG$15),0),15-13*ORÇAMENTO!$AF$11)),
         0)</f>
        <v>0</v>
      </c>
      <c r="AH52" s="454">
        <f ca="1">IF(AND($D52="Serviço",AH$12&lt;&gt;0,$H52&gt;0,OR(AUTOEVENTO&lt;&gt;"manual",$M52&lt;&gt;$A$15)),
        IF(Import.TipoArredondamento&lt;&gt;"TransfereGOV",
              ROUND(OFFSET($P52,0,AH$13),15-13*ORÇAMENTO!$AF$7)/$H52*OFFSET(ORÇAMENTO!$X$15,ROW(AH52)-ROW(AH$15),0),
              ROUND(ROUND(OFFSET($P52,0,AH$13),15-13*ORÇAMENTO!$AF$7)*OFFSET(ORÇAMENTO!$W$15,ROW(AH52)-ROW(AH$15),0),15-13*ORÇAMENTO!$AF$11)),
         0)</f>
        <v>0</v>
      </c>
      <c r="AI52" s="454">
        <f ca="1">IF(AND($D52="Serviço",AI$12&lt;&gt;0,$H52&gt;0,OR(AUTOEVENTO&lt;&gt;"manual",$M52&lt;&gt;$A$15)),
        IF(Import.TipoArredondamento&lt;&gt;"TransfereGOV",
              ROUND(OFFSET($P52,0,AI$13),15-13*ORÇAMENTO!$AF$7)/$H52*OFFSET(ORÇAMENTO!$X$15,ROW(AI52)-ROW(AI$15),0),
              ROUND(ROUND(OFFSET($P52,0,AI$13),15-13*ORÇAMENTO!$AF$7)*OFFSET(ORÇAMENTO!$W$15,ROW(AI52)-ROW(AI$15),0),15-13*ORÇAMENTO!$AF$11)),
         0)</f>
        <v>0</v>
      </c>
      <c r="AJ52" s="454">
        <f ca="1">IF(AND($D52="Serviço",AJ$12&lt;&gt;0,$H52&gt;0,OR(AUTOEVENTO&lt;&gt;"manual",$M52&lt;&gt;$A$15)),
        IF(Import.TipoArredondamento&lt;&gt;"TransfereGOV",
              ROUND(OFFSET($P52,0,AJ$13),15-13*ORÇAMENTO!$AF$7)/$H52*OFFSET(ORÇAMENTO!$X$15,ROW(AJ52)-ROW(AJ$15),0),
              ROUND(ROUND(OFFSET($P52,0,AJ$13),15-13*ORÇAMENTO!$AF$7)*OFFSET(ORÇAMENTO!$W$15,ROW(AJ52)-ROW(AJ$15),0),15-13*ORÇAMENTO!$AF$11)),
         0)</f>
        <v>0</v>
      </c>
      <c r="AK52" s="454">
        <f ca="1">IF(AND($D52="Serviço",AK$12&lt;&gt;0,$H52&gt;0,OR(AUTOEVENTO&lt;&gt;"manual",$M52&lt;&gt;$A$15)),
        IF(Import.TipoArredondamento&lt;&gt;"TransfereGOV",
              ROUND(OFFSET($P52,0,AK$13),15-13*ORÇAMENTO!$AF$7)/$H52*OFFSET(ORÇAMENTO!$X$15,ROW(AK52)-ROW(AK$15),0),
              ROUND(ROUND(OFFSET($P52,0,AK$13),15-13*ORÇAMENTO!$AF$7)*OFFSET(ORÇAMENTO!$W$15,ROW(AK52)-ROW(AK$15),0),15-13*ORÇAMENTO!$AF$11)),
         0)</f>
        <v>0</v>
      </c>
      <c r="AM52" s="172">
        <f ca="1">IF(OR($D52&lt;&gt;"Serviço",AND(AUTOEVENTO="Manual",$M52=$A$15)),0,
         IF(OFFSET(CRONOPLE!$F$15,$M52-$A$15,AM$13)="",10^12,OFFSET(CRONOPLE!$F$15,$M52-$A$15,AM$13)))</f>
        <v>0</v>
      </c>
      <c r="AN52" s="172">
        <f ca="1">IF(OR($D52&lt;&gt;"Serviço",AND(AUTOEVENTO="Manual",$M52=$A$15)),0,
         IF(OFFSET(CRONOPLE!$F$15,$M52-$A$15,AN$13)="",10^12,OFFSET(CRONOPLE!$F$15,$M52-$A$15,AN$13)))</f>
        <v>0</v>
      </c>
      <c r="AO52" s="172">
        <f ca="1">IF(OR($D52&lt;&gt;"Serviço",AND(AUTOEVENTO="Manual",$M52=$A$15)),0,
         IF(OFFSET(CRONOPLE!$F$15,$M52-$A$15,AO$13)="",10^12,OFFSET(CRONOPLE!$F$15,$M52-$A$15,AO$13)))</f>
        <v>0</v>
      </c>
      <c r="AP52" s="172">
        <f ca="1">IF(OR($D52&lt;&gt;"Serviço",AND(AUTOEVENTO="Manual",$M52=$A$15)),0,
         IF(OFFSET(CRONOPLE!$F$15,$M52-$A$15,AP$13)="",10^12,OFFSET(CRONOPLE!$F$15,$M52-$A$15,AP$13)))</f>
        <v>0</v>
      </c>
      <c r="AQ52" s="172">
        <f ca="1">IF(OR($D52&lt;&gt;"Serviço",AND(AUTOEVENTO="Manual",$M52=$A$15)),0,
         IF(OFFSET(CRONOPLE!$F$15,$M52-$A$15,AQ$13)="",10^12,OFFSET(CRONOPLE!$F$15,$M52-$A$15,AQ$13)))</f>
        <v>0</v>
      </c>
      <c r="AR52" s="172">
        <f ca="1">IF(OR($D52&lt;&gt;"Serviço",AND(AUTOEVENTO="Manual",$M52=$A$15)),0,
         IF(OFFSET(CRONOPLE!$F$15,$M52-$A$15,AR$13)="",10^12,OFFSET(CRONOPLE!$F$15,$M52-$A$15,AR$13)))</f>
        <v>0</v>
      </c>
      <c r="AS52" s="172">
        <f ca="1">IF(OR($D52&lt;&gt;"Serviço",AND(AUTOEVENTO="Manual",$M52=$A$15)),0,
         IF(OFFSET(CRONOPLE!$F$15,$M52-$A$15,AS$13)="",10^12,OFFSET(CRONOPLE!$F$15,$M52-$A$15,AS$13)))</f>
        <v>0</v>
      </c>
      <c r="AT52" s="172">
        <f ca="1">IF(OR($D52&lt;&gt;"Serviço",AND(AUTOEVENTO="Manual",$M52=$A$15)),0,
         IF(OFFSET(CRONOPLE!$F$15,$M52-$A$15,AT$13)="",10^12,OFFSET(CRONOPLE!$F$15,$M52-$A$15,AT$13)))</f>
        <v>0</v>
      </c>
      <c r="AU52" s="172">
        <f ca="1">IF(OR($D52&lt;&gt;"Serviço",AND(AUTOEVENTO="Manual",$M52=$A$15)),0,
         IF(OFFSET(CRONOPLE!$F$15,$M52-$A$15,AU$13)="",10^12,OFFSET(CRONOPLE!$F$15,$M52-$A$15,AU$13)))</f>
        <v>0</v>
      </c>
      <c r="AV52" s="172">
        <f ca="1">IF(OR($D52&lt;&gt;"Serviço",AND(AUTOEVENTO="Manual",$M52=$A$15)),0,
         IF(OFFSET(CRONOPLE!$F$15,$M52-$A$15,AV$13)="",10^12,OFFSET(CRONOPLE!$F$15,$M52-$A$15,AV$13)))</f>
        <v>0</v>
      </c>
      <c r="AX52" s="173">
        <f ca="1">IF(OR($D52&lt;&gt;"Serviço",AND(AUTOEVENTO="Manual",$M52=$A$15),$M52&gt;(ROW(PLE.lastrow)-ROW(PLE.firstrow))),0,
           IF(OFFSET(PLE!$G$15,$M52-$A$15,AX$13)="",10^12,OFFSET(PLE!$G$15,$M52-$A$15,AX$13)))</f>
        <v>0</v>
      </c>
      <c r="AY52" s="173">
        <f ca="1">IF(OR($D52&lt;&gt;"Serviço",AND(AUTOEVENTO="Manual",$M52=$A$15),$M52&gt;(ROW(PLE.lastrow)-ROW(PLE.firstrow))),0,
           IF(OFFSET(PLE!$G$15,$M52-$A$15,AY$13)="",10^12,OFFSET(PLE!$G$15,$M52-$A$15,AY$13)))</f>
        <v>0</v>
      </c>
      <c r="AZ52" s="173">
        <f ca="1">IF(OR($D52&lt;&gt;"Serviço",AND(AUTOEVENTO="Manual",$M52=$A$15),$M52&gt;(ROW(PLE.lastrow)-ROW(PLE.firstrow))),0,
           IF(OFFSET(PLE!$G$15,$M52-$A$15,AZ$13)="",10^12,OFFSET(PLE!$G$15,$M52-$A$15,AZ$13)))</f>
        <v>0</v>
      </c>
      <c r="BA52" s="173">
        <f ca="1">IF(OR($D52&lt;&gt;"Serviço",AND(AUTOEVENTO="Manual",$M52=$A$15),$M52&gt;(ROW(PLE.lastrow)-ROW(PLE.firstrow))),0,
           IF(OFFSET(PLE!$G$15,$M52-$A$15,BA$13)="",10^12,OFFSET(PLE!$G$15,$M52-$A$15,BA$13)))</f>
        <v>0</v>
      </c>
      <c r="BB52" s="173">
        <f ca="1">IF(OR($D52&lt;&gt;"Serviço",AND(AUTOEVENTO="Manual",$M52=$A$15),$M52&gt;(ROW(PLE.lastrow)-ROW(PLE.firstrow))),0,
           IF(OFFSET(PLE!$G$15,$M52-$A$15,BB$13)="",10^12,OFFSET(PLE!$G$15,$M52-$A$15,BB$13)))</f>
        <v>0</v>
      </c>
      <c r="BC52" s="173">
        <f ca="1">IF(OR($D52&lt;&gt;"Serviço",AND(AUTOEVENTO="Manual",$M52=$A$15),$M52&gt;(ROW(PLE.lastrow)-ROW(PLE.firstrow))),0,
           IF(OFFSET(PLE!$G$15,$M52-$A$15,BC$13)="",10^12,OFFSET(PLE!$G$15,$M52-$A$15,BC$13)))</f>
        <v>0</v>
      </c>
      <c r="BD52" s="173">
        <f ca="1">IF(OR($D52&lt;&gt;"Serviço",AND(AUTOEVENTO="Manual",$M52=$A$15),$M52&gt;(ROW(PLE.lastrow)-ROW(PLE.firstrow))),0,
           IF(OFFSET(PLE!$G$15,$M52-$A$15,BD$13)="",10^12,OFFSET(PLE!$G$15,$M52-$A$15,BD$13)))</f>
        <v>0</v>
      </c>
      <c r="BE52" s="173">
        <f ca="1">IF(OR($D52&lt;&gt;"Serviço",AND(AUTOEVENTO="Manual",$M52=$A$15),$M52&gt;(ROW(PLE.lastrow)-ROW(PLE.firstrow))),0,
           IF(OFFSET(PLE!$G$15,$M52-$A$15,BE$13)="",10^12,OFFSET(PLE!$G$15,$M52-$A$15,BE$13)))</f>
        <v>0</v>
      </c>
      <c r="BF52" s="173">
        <f ca="1">IF(OR($D52&lt;&gt;"Serviço",AND(AUTOEVENTO="Manual",$M52=$A$15),$M52&gt;(ROW(PLE.lastrow)-ROW(PLE.firstrow))),0,
           IF(OFFSET(PLE!$G$15,$M52-$A$15,BF$13)="",10^12,OFFSET(PLE!$G$15,$M52-$A$15,BF$13)))</f>
        <v>0</v>
      </c>
      <c r="BG52" s="173">
        <f ca="1">IF(OR($D52&lt;&gt;"Serviço",AND(AUTOEVENTO="Manual",$M52=$A$15),$M52&gt;(ROW(PLE.lastrow)-ROW(PLE.firstrow))),0,
           IF(OFFSET(PLE!$G$15,$M52-$A$15,BG$13)="",10^12,OFFSET(PLE!$G$15,$M52-$A$15,BG$13)))</f>
        <v>0</v>
      </c>
    </row>
    <row r="53" spans="1:59" ht="38.25" x14ac:dyDescent="0.2">
      <c r="A53" s="7" t="str">
        <f t="shared" ca="1" si="8"/>
        <v>37</v>
      </c>
      <c r="B53" s="7" t="str">
        <f ca="1">OFFSET(ORÇAMENTO!C$15,ROW(B53)-ROW(B$15),0)</f>
        <v>S</v>
      </c>
      <c r="C53" s="7" t="str">
        <f ca="1">OFFSET(ORÇAMENTO!L$15,ROW(C53)-ROW(C$15),0)</f>
        <v/>
      </c>
      <c r="D53" s="117" t="str">
        <f ca="1">OFFSET(ORÇAMENTO!N$15,ROW(D53)-ROW(D$15),0)</f>
        <v>Serviço</v>
      </c>
      <c r="E53" s="118" t="str">
        <f ca="1">OFFSET(ORÇAMENTO!O$15,ROW(E53)-ROW(E$15),0)</f>
        <v>-</v>
      </c>
      <c r="F53" s="164" t="str">
        <f ca="1">OFFSET(ORÇAMENTO!R$15,ROW(F53)-ROW(F$15),0)</f>
        <v>PINTURA COM TINTA EPOXÍDICA DE ACABAMENTO PULVERIZADA SOBRE PERFIL METÁLICO EXECUTADO EM FÁBRICA (02 DEMÃOS). AF_01/2020_PE</v>
      </c>
      <c r="G53" s="165" t="str">
        <f ca="1">IF($D53&lt;&gt;"Serviço","",OFFSET(ORÇAMENTO!S$15,ROW(G53)-ROW(G$15),0))</f>
        <v>M2</v>
      </c>
      <c r="H53" s="123">
        <f ca="1">IF($D53&lt;&gt;"Serviço",0,IF(ACOMPANHAMENTO="BM",ROUND(OFFSET(ORÇAMENTO!AJ$15,ROW(H53)-ROW(H$15),0),15-13*ORÇAMENTO!$AF$7),SUMPRODUCT(($Q$1:$AA$1=1)*ROUND($Q53:$AA53,15-13*ORÇAMENTO!$AF$7))))</f>
        <v>1573.37</v>
      </c>
      <c r="I53" s="469"/>
      <c r="J53" s="577" t="str" cm="1">
        <f t="array" aca="1" ref="J53" ca="1">IF(B53&lt;&gt;"S","",IF(AND(ACOMPANHAMENTO="PLE",AUTOEVENTO="Manual",OR(H53&gt;0,ORÇAMENTO!AC53="QUANT."),OR(K53="",M53=0,N53="")),"►",IF(AND(ACOMPANHAMENTO="PLE",ORÇAMENTO!AC53="QUANT."),"►►",IF(AND(COUNTIF($P$11:$AA$11,"▼")=0,H53&gt;0,I53=""),"◄",""))))</f>
        <v>◄</v>
      </c>
      <c r="K53" s="626"/>
      <c r="L53" s="166" t="s">
        <v>765</v>
      </c>
      <c r="M53" s="167">
        <f ca="1">IF($D53&lt;&gt;"Serviço","",
          IF(AUTOEVENTO="manual",$A53,
                IF(ISERROR(MATCH($A53,$A$15:OFFSET($A53,-1,0),0)),MAX($M$15:OFFSET(M53,-1,0))+1,
                      INDEX($M$15:OFFSET(M53,-1,0),MATCH($A53,$A$15:OFFSET($A53,-1,0),0)))))</f>
        <v>8</v>
      </c>
      <c r="N53" s="168" t="str">
        <f ca="1">IF($D53&lt;&gt;"Serviço","",
         IF(AUTOEVENTO="Manual",
                IF($A53=0,"&lt;-- defina o número do agrupador",
                       OFFSET(EVENTOS!$D$15,$A53-$A$15,0)),
                OFFSET($F$15,$A53,0)))</f>
        <v>PINTURA DA ESTRUTURA DOS MÓDULOS</v>
      </c>
      <c r="O53" s="169"/>
      <c r="Q53" s="169"/>
      <c r="R53" s="170"/>
      <c r="S53" s="170"/>
      <c r="T53" s="170"/>
      <c r="U53" s="170"/>
      <c r="V53" s="170"/>
      <c r="W53" s="170"/>
      <c r="X53" s="170"/>
      <c r="Y53" s="170"/>
      <c r="Z53" s="171"/>
      <c r="AB53" s="454">
        <f ca="1">IF(AND($D53="Serviço",AB$12&lt;&gt;0,$H53&gt;0,OR(AUTOEVENTO&lt;&gt;"manual",$M53&lt;&gt;$A$15)),
        IF(Import.TipoArredondamento&lt;&gt;"TransfereGOV",
              ROUND(OFFSET($P53,0,AB$13),15-13*ORÇAMENTO!$AF$7)/$H53*OFFSET(ORÇAMENTO!$X$15,ROW(AB53)-ROW(AB$15),0),
              ROUND(ROUND(OFFSET($P53,0,AB$13),15-13*ORÇAMENTO!$AF$7)*OFFSET(ORÇAMENTO!$W$15,ROW(AB53)-ROW(AB$15),0),15-13*ORÇAMENTO!$AF$11)),
         0)</f>
        <v>0</v>
      </c>
      <c r="AC53" s="454">
        <f ca="1">IF(AND($D53="Serviço",AC$12&lt;&gt;0,$H53&gt;0,OR(AUTOEVENTO&lt;&gt;"manual",$M53&lt;&gt;$A$15)),
        IF(Import.TipoArredondamento&lt;&gt;"TransfereGOV",
              ROUND(OFFSET($P53,0,AC$13),15-13*ORÇAMENTO!$AF$7)/$H53*OFFSET(ORÇAMENTO!$X$15,ROW(AC53)-ROW(AC$15),0),
              ROUND(ROUND(OFFSET($P53,0,AC$13),15-13*ORÇAMENTO!$AF$7)*OFFSET(ORÇAMENTO!$W$15,ROW(AC53)-ROW(AC$15),0),15-13*ORÇAMENTO!$AF$11)),
         0)</f>
        <v>0</v>
      </c>
      <c r="AD53" s="454">
        <f ca="1">IF(AND($D53="Serviço",AD$12&lt;&gt;0,$H53&gt;0,OR(AUTOEVENTO&lt;&gt;"manual",$M53&lt;&gt;$A$15)),
        IF(Import.TipoArredondamento&lt;&gt;"TransfereGOV",
              ROUND(OFFSET($P53,0,AD$13),15-13*ORÇAMENTO!$AF$7)/$H53*OFFSET(ORÇAMENTO!$X$15,ROW(AD53)-ROW(AD$15),0),
              ROUND(ROUND(OFFSET($P53,0,AD$13),15-13*ORÇAMENTO!$AF$7)*OFFSET(ORÇAMENTO!$W$15,ROW(AD53)-ROW(AD$15),0),15-13*ORÇAMENTO!$AF$11)),
         0)</f>
        <v>0</v>
      </c>
      <c r="AE53" s="454">
        <f ca="1">IF(AND($D53="Serviço",AE$12&lt;&gt;0,$H53&gt;0,OR(AUTOEVENTO&lt;&gt;"manual",$M53&lt;&gt;$A$15)),
        IF(Import.TipoArredondamento&lt;&gt;"TransfereGOV",
              ROUND(OFFSET($P53,0,AE$13),15-13*ORÇAMENTO!$AF$7)/$H53*OFFSET(ORÇAMENTO!$X$15,ROW(AE53)-ROW(AE$15),0),
              ROUND(ROUND(OFFSET($P53,0,AE$13),15-13*ORÇAMENTO!$AF$7)*OFFSET(ORÇAMENTO!$W$15,ROW(AE53)-ROW(AE$15),0),15-13*ORÇAMENTO!$AF$11)),
         0)</f>
        <v>0</v>
      </c>
      <c r="AF53" s="454">
        <f ca="1">IF(AND($D53="Serviço",AF$12&lt;&gt;0,$H53&gt;0,OR(AUTOEVENTO&lt;&gt;"manual",$M53&lt;&gt;$A$15)),
        IF(Import.TipoArredondamento&lt;&gt;"TransfereGOV",
              ROUND(OFFSET($P53,0,AF$13),15-13*ORÇAMENTO!$AF$7)/$H53*OFFSET(ORÇAMENTO!$X$15,ROW(AF53)-ROW(AF$15),0),
              ROUND(ROUND(OFFSET($P53,0,AF$13),15-13*ORÇAMENTO!$AF$7)*OFFSET(ORÇAMENTO!$W$15,ROW(AF53)-ROW(AF$15),0),15-13*ORÇAMENTO!$AF$11)),
         0)</f>
        <v>0</v>
      </c>
      <c r="AG53" s="454">
        <f ca="1">IF(AND($D53="Serviço",AG$12&lt;&gt;0,$H53&gt;0,OR(AUTOEVENTO&lt;&gt;"manual",$M53&lt;&gt;$A$15)),
        IF(Import.TipoArredondamento&lt;&gt;"TransfereGOV",
              ROUND(OFFSET($P53,0,AG$13),15-13*ORÇAMENTO!$AF$7)/$H53*OFFSET(ORÇAMENTO!$X$15,ROW(AG53)-ROW(AG$15),0),
              ROUND(ROUND(OFFSET($P53,0,AG$13),15-13*ORÇAMENTO!$AF$7)*OFFSET(ORÇAMENTO!$W$15,ROW(AG53)-ROW(AG$15),0),15-13*ORÇAMENTO!$AF$11)),
         0)</f>
        <v>0</v>
      </c>
      <c r="AH53" s="454">
        <f ca="1">IF(AND($D53="Serviço",AH$12&lt;&gt;0,$H53&gt;0,OR(AUTOEVENTO&lt;&gt;"manual",$M53&lt;&gt;$A$15)),
        IF(Import.TipoArredondamento&lt;&gt;"TransfereGOV",
              ROUND(OFFSET($P53,0,AH$13),15-13*ORÇAMENTO!$AF$7)/$H53*OFFSET(ORÇAMENTO!$X$15,ROW(AH53)-ROW(AH$15),0),
              ROUND(ROUND(OFFSET($P53,0,AH$13),15-13*ORÇAMENTO!$AF$7)*OFFSET(ORÇAMENTO!$W$15,ROW(AH53)-ROW(AH$15),0),15-13*ORÇAMENTO!$AF$11)),
         0)</f>
        <v>0</v>
      </c>
      <c r="AI53" s="454">
        <f ca="1">IF(AND($D53="Serviço",AI$12&lt;&gt;0,$H53&gt;0,OR(AUTOEVENTO&lt;&gt;"manual",$M53&lt;&gt;$A$15)),
        IF(Import.TipoArredondamento&lt;&gt;"TransfereGOV",
              ROUND(OFFSET($P53,0,AI$13),15-13*ORÇAMENTO!$AF$7)/$H53*OFFSET(ORÇAMENTO!$X$15,ROW(AI53)-ROW(AI$15),0),
              ROUND(ROUND(OFFSET($P53,0,AI$13),15-13*ORÇAMENTO!$AF$7)*OFFSET(ORÇAMENTO!$W$15,ROW(AI53)-ROW(AI$15),0),15-13*ORÇAMENTO!$AF$11)),
         0)</f>
        <v>0</v>
      </c>
      <c r="AJ53" s="454">
        <f ca="1">IF(AND($D53="Serviço",AJ$12&lt;&gt;0,$H53&gt;0,OR(AUTOEVENTO&lt;&gt;"manual",$M53&lt;&gt;$A$15)),
        IF(Import.TipoArredondamento&lt;&gt;"TransfereGOV",
              ROUND(OFFSET($P53,0,AJ$13),15-13*ORÇAMENTO!$AF$7)/$H53*OFFSET(ORÇAMENTO!$X$15,ROW(AJ53)-ROW(AJ$15),0),
              ROUND(ROUND(OFFSET($P53,0,AJ$13),15-13*ORÇAMENTO!$AF$7)*OFFSET(ORÇAMENTO!$W$15,ROW(AJ53)-ROW(AJ$15),0),15-13*ORÇAMENTO!$AF$11)),
         0)</f>
        <v>0</v>
      </c>
      <c r="AK53" s="454">
        <f ca="1">IF(AND($D53="Serviço",AK$12&lt;&gt;0,$H53&gt;0,OR(AUTOEVENTO&lt;&gt;"manual",$M53&lt;&gt;$A$15)),
        IF(Import.TipoArredondamento&lt;&gt;"TransfereGOV",
              ROUND(OFFSET($P53,0,AK$13),15-13*ORÇAMENTO!$AF$7)/$H53*OFFSET(ORÇAMENTO!$X$15,ROW(AK53)-ROW(AK$15),0),
              ROUND(ROUND(OFFSET($P53,0,AK$13),15-13*ORÇAMENTO!$AF$7)*OFFSET(ORÇAMENTO!$W$15,ROW(AK53)-ROW(AK$15),0),15-13*ORÇAMENTO!$AF$11)),
         0)</f>
        <v>0</v>
      </c>
      <c r="AM53" s="172">
        <f ca="1">IF(OR($D53&lt;&gt;"Serviço",AND(AUTOEVENTO="Manual",$M53=$A$15)),0,
         IF(OFFSET(CRONOPLE!$F$15,$M53-$A$15,AM$13)="",10^12,OFFSET(CRONOPLE!$F$15,$M53-$A$15,AM$13)))</f>
        <v>1000000000000</v>
      </c>
      <c r="AN53" s="172">
        <f ca="1">IF(OR($D53&lt;&gt;"Serviço",AND(AUTOEVENTO="Manual",$M53=$A$15)),0,
         IF(OFFSET(CRONOPLE!$F$15,$M53-$A$15,AN$13)="",10^12,OFFSET(CRONOPLE!$F$15,$M53-$A$15,AN$13)))</f>
        <v>1000000000000</v>
      </c>
      <c r="AO53" s="172">
        <f ca="1">IF(OR($D53&lt;&gt;"Serviço",AND(AUTOEVENTO="Manual",$M53=$A$15)),0,
         IF(OFFSET(CRONOPLE!$F$15,$M53-$A$15,AO$13)="",10^12,OFFSET(CRONOPLE!$F$15,$M53-$A$15,AO$13)))</f>
        <v>1000000000000</v>
      </c>
      <c r="AP53" s="172">
        <f ca="1">IF(OR($D53&lt;&gt;"Serviço",AND(AUTOEVENTO="Manual",$M53=$A$15)),0,
         IF(OFFSET(CRONOPLE!$F$15,$M53-$A$15,AP$13)="",10^12,OFFSET(CRONOPLE!$F$15,$M53-$A$15,AP$13)))</f>
        <v>1000000000000</v>
      </c>
      <c r="AQ53" s="172">
        <f ca="1">IF(OR($D53&lt;&gt;"Serviço",AND(AUTOEVENTO="Manual",$M53=$A$15)),0,
         IF(OFFSET(CRONOPLE!$F$15,$M53-$A$15,AQ$13)="",10^12,OFFSET(CRONOPLE!$F$15,$M53-$A$15,AQ$13)))</f>
        <v>1000000000000</v>
      </c>
      <c r="AR53" s="172">
        <f ca="1">IF(OR($D53&lt;&gt;"Serviço",AND(AUTOEVENTO="Manual",$M53=$A$15)),0,
         IF(OFFSET(CRONOPLE!$F$15,$M53-$A$15,AR$13)="",10^12,OFFSET(CRONOPLE!$F$15,$M53-$A$15,AR$13)))</f>
        <v>1000000000000</v>
      </c>
      <c r="AS53" s="172">
        <f ca="1">IF(OR($D53&lt;&gt;"Serviço",AND(AUTOEVENTO="Manual",$M53=$A$15)),0,
         IF(OFFSET(CRONOPLE!$F$15,$M53-$A$15,AS$13)="",10^12,OFFSET(CRONOPLE!$F$15,$M53-$A$15,AS$13)))</f>
        <v>1000000000000</v>
      </c>
      <c r="AT53" s="172">
        <f ca="1">IF(OR($D53&lt;&gt;"Serviço",AND(AUTOEVENTO="Manual",$M53=$A$15)),0,
         IF(OFFSET(CRONOPLE!$F$15,$M53-$A$15,AT$13)="",10^12,OFFSET(CRONOPLE!$F$15,$M53-$A$15,AT$13)))</f>
        <v>1000000000000</v>
      </c>
      <c r="AU53" s="172">
        <f ca="1">IF(OR($D53&lt;&gt;"Serviço",AND(AUTOEVENTO="Manual",$M53=$A$15)),0,
         IF(OFFSET(CRONOPLE!$F$15,$M53-$A$15,AU$13)="",10^12,OFFSET(CRONOPLE!$F$15,$M53-$A$15,AU$13)))</f>
        <v>1000000000000</v>
      </c>
      <c r="AV53" s="172">
        <f ca="1">IF(OR($D53&lt;&gt;"Serviço",AND(AUTOEVENTO="Manual",$M53=$A$15)),0,
         IF(OFFSET(CRONOPLE!$F$15,$M53-$A$15,AV$13)="",10^12,OFFSET(CRONOPLE!$F$15,$M53-$A$15,AV$13)))</f>
        <v>1000000000000</v>
      </c>
      <c r="AX53" s="173">
        <f ca="1">IF(OR($D53&lt;&gt;"Serviço",AND(AUTOEVENTO="Manual",$M53=$A$15),$M53&gt;(ROW(PLE.lastrow)-ROW(PLE.firstrow))),0,
           IF(OFFSET(PLE!$G$15,$M53-$A$15,AX$13)="",10^12,OFFSET(PLE!$G$15,$M53-$A$15,AX$13)))</f>
        <v>1000000000000</v>
      </c>
      <c r="AY53" s="173">
        <f ca="1">IF(OR($D53&lt;&gt;"Serviço",AND(AUTOEVENTO="Manual",$M53=$A$15),$M53&gt;(ROW(PLE.lastrow)-ROW(PLE.firstrow))),0,
           IF(OFFSET(PLE!$G$15,$M53-$A$15,AY$13)="",10^12,OFFSET(PLE!$G$15,$M53-$A$15,AY$13)))</f>
        <v>1000000000000</v>
      </c>
      <c r="AZ53" s="173">
        <f ca="1">IF(OR($D53&lt;&gt;"Serviço",AND(AUTOEVENTO="Manual",$M53=$A$15),$M53&gt;(ROW(PLE.lastrow)-ROW(PLE.firstrow))),0,
           IF(OFFSET(PLE!$G$15,$M53-$A$15,AZ$13)="",10^12,OFFSET(PLE!$G$15,$M53-$A$15,AZ$13)))</f>
        <v>1000000000000</v>
      </c>
      <c r="BA53" s="173">
        <f ca="1">IF(OR($D53&lt;&gt;"Serviço",AND(AUTOEVENTO="Manual",$M53=$A$15),$M53&gt;(ROW(PLE.lastrow)-ROW(PLE.firstrow))),0,
           IF(OFFSET(PLE!$G$15,$M53-$A$15,BA$13)="",10^12,OFFSET(PLE!$G$15,$M53-$A$15,BA$13)))</f>
        <v>1000000000000</v>
      </c>
      <c r="BB53" s="173">
        <f ca="1">IF(OR($D53&lt;&gt;"Serviço",AND(AUTOEVENTO="Manual",$M53=$A$15),$M53&gt;(ROW(PLE.lastrow)-ROW(PLE.firstrow))),0,
           IF(OFFSET(PLE!$G$15,$M53-$A$15,BB$13)="",10^12,OFFSET(PLE!$G$15,$M53-$A$15,BB$13)))</f>
        <v>1000000000000</v>
      </c>
      <c r="BC53" s="173">
        <f ca="1">IF(OR($D53&lt;&gt;"Serviço",AND(AUTOEVENTO="Manual",$M53=$A$15),$M53&gt;(ROW(PLE.lastrow)-ROW(PLE.firstrow))),0,
           IF(OFFSET(PLE!$G$15,$M53-$A$15,BC$13)="",10^12,OFFSET(PLE!$G$15,$M53-$A$15,BC$13)))</f>
        <v>1000000000000</v>
      </c>
      <c r="BD53" s="173">
        <f ca="1">IF(OR($D53&lt;&gt;"Serviço",AND(AUTOEVENTO="Manual",$M53=$A$15),$M53&gt;(ROW(PLE.lastrow)-ROW(PLE.firstrow))),0,
           IF(OFFSET(PLE!$G$15,$M53-$A$15,BD$13)="",10^12,OFFSET(PLE!$G$15,$M53-$A$15,BD$13)))</f>
        <v>1000000000000</v>
      </c>
      <c r="BE53" s="173">
        <f ca="1">IF(OR($D53&lt;&gt;"Serviço",AND(AUTOEVENTO="Manual",$M53=$A$15),$M53&gt;(ROW(PLE.lastrow)-ROW(PLE.firstrow))),0,
           IF(OFFSET(PLE!$G$15,$M53-$A$15,BE$13)="",10^12,OFFSET(PLE!$G$15,$M53-$A$15,BE$13)))</f>
        <v>1000000000000</v>
      </c>
      <c r="BF53" s="173">
        <f ca="1">IF(OR($D53&lt;&gt;"Serviço",AND(AUTOEVENTO="Manual",$M53=$A$15),$M53&gt;(ROW(PLE.lastrow)-ROW(PLE.firstrow))),0,
           IF(OFFSET(PLE!$G$15,$M53-$A$15,BF$13)="",10^12,OFFSET(PLE!$G$15,$M53-$A$15,BF$13)))</f>
        <v>1000000000000</v>
      </c>
      <c r="BG53" s="173">
        <f ca="1">IF(OR($D53&lt;&gt;"Serviço",AND(AUTOEVENTO="Manual",$M53=$A$15),$M53&gt;(ROW(PLE.lastrow)-ROW(PLE.firstrow))),0,
           IF(OFFSET(PLE!$G$15,$M53-$A$15,BG$13)="",10^12,OFFSET(PLE!$G$15,$M53-$A$15,BG$13)))</f>
        <v>1000000000000</v>
      </c>
    </row>
    <row r="54" spans="1:59" ht="12.75" x14ac:dyDescent="0.2">
      <c r="A54" s="7" t="str">
        <f t="shared" ca="1" si="8"/>
        <v>39.</v>
      </c>
      <c r="B54" s="7">
        <f ca="1">OFFSET(ORÇAMENTO!C$15,ROW(B54)-ROW(B$15),0)</f>
        <v>2</v>
      </c>
      <c r="C54" s="7" t="str">
        <f ca="1">OFFSET(ORÇAMENTO!L$15,ROW(C54)-ROW(C$15),0)</f>
        <v>F</v>
      </c>
      <c r="D54" s="117" t="str">
        <f ca="1">OFFSET(ORÇAMENTO!N$15,ROW(D54)-ROW(D$15),0)</f>
        <v>Nível 2</v>
      </c>
      <c r="E54" s="118" t="str">
        <f ca="1">OFFSET(ORÇAMENTO!O$15,ROW(E54)-ROW(E$15),0)</f>
        <v>1.9.</v>
      </c>
      <c r="F54" s="164" t="str">
        <f ca="1">OFFSET(ORÇAMENTO!R$15,ROW(F54)-ROW(F$15),0)</f>
        <v>INSTALAÇÕES ELÉTRICAS</v>
      </c>
      <c r="G54" s="165" t="str">
        <f ca="1">IF($D54&lt;&gt;"Serviço","",OFFSET(ORÇAMENTO!S$15,ROW(G54)-ROW(G$15),0))</f>
        <v/>
      </c>
      <c r="H54" s="123">
        <f ca="1">IF($D54&lt;&gt;"Serviço",0,IF(ACOMPANHAMENTO="BM",ROUND(OFFSET(ORÇAMENTO!AJ$15,ROW(H54)-ROW(H$15),0),15-13*ORÇAMENTO!$AF$7),SUMPRODUCT(($Q$1:$AA$1=1)*ROUND($Q54:$AA54,15-13*ORÇAMENTO!$AF$7))))</f>
        <v>0</v>
      </c>
      <c r="I54" s="469"/>
      <c r="J54" s="577" t="str" cm="1">
        <f t="array" aca="1" ref="J54" ca="1">IF(B54&lt;&gt;"S","",IF(AND(ACOMPANHAMENTO="PLE",AUTOEVENTO="Manual",OR(H54&gt;0,ORÇAMENTO!AC54="QUANT."),OR(K54="",M54=0,N54="")),"►",IF(AND(ACOMPANHAMENTO="PLE",ORÇAMENTO!AC54="QUANT."),"►►",IF(AND(COUNTIF($P$11:$AA$11,"▼")=0,H54&gt;0,I54=""),"◄",""))))</f>
        <v/>
      </c>
      <c r="K54" s="626"/>
      <c r="L54" s="166" t="s">
        <v>765</v>
      </c>
      <c r="M54" s="167" t="str">
        <f ca="1">IF($D54&lt;&gt;"Serviço","",
          IF(AUTOEVENTO="manual",$A54,
                IF(ISERROR(MATCH($A54,$A$15:OFFSET($A54,-1,0),0)),MAX($M$15:OFFSET(M54,-1,0))+1,
                      INDEX($M$15:OFFSET(M54,-1,0),MATCH($A54,$A$15:OFFSET($A54,-1,0),0)))))</f>
        <v/>
      </c>
      <c r="N54" s="168" t="str">
        <f ca="1">IF($D54&lt;&gt;"Serviço","",
         IF(AUTOEVENTO="Manual",
                IF($A54=0,"&lt;-- defina o número do agrupador",
                       OFFSET(EVENTOS!$D$15,$A54-$A$15,0)),
                OFFSET($F$15,$A54,0)))</f>
        <v/>
      </c>
      <c r="O54" s="169"/>
      <c r="Q54" s="169"/>
      <c r="R54" s="170"/>
      <c r="S54" s="170"/>
      <c r="T54" s="170"/>
      <c r="U54" s="170"/>
      <c r="V54" s="170"/>
      <c r="W54" s="170"/>
      <c r="X54" s="170"/>
      <c r="Y54" s="170"/>
      <c r="Z54" s="171"/>
      <c r="AB54" s="454">
        <f ca="1">IF(AND($D54="Serviço",AB$12&lt;&gt;0,$H54&gt;0,OR(AUTOEVENTO&lt;&gt;"manual",$M54&lt;&gt;$A$15)),
        IF(Import.TipoArredondamento&lt;&gt;"TransfereGOV",
              ROUND(OFFSET($P54,0,AB$13),15-13*ORÇAMENTO!$AF$7)/$H54*OFFSET(ORÇAMENTO!$X$15,ROW(AB54)-ROW(AB$15),0),
              ROUND(ROUND(OFFSET($P54,0,AB$13),15-13*ORÇAMENTO!$AF$7)*OFFSET(ORÇAMENTO!$W$15,ROW(AB54)-ROW(AB$15),0),15-13*ORÇAMENTO!$AF$11)),
         0)</f>
        <v>0</v>
      </c>
      <c r="AC54" s="454">
        <f ca="1">IF(AND($D54="Serviço",AC$12&lt;&gt;0,$H54&gt;0,OR(AUTOEVENTO&lt;&gt;"manual",$M54&lt;&gt;$A$15)),
        IF(Import.TipoArredondamento&lt;&gt;"TransfereGOV",
              ROUND(OFFSET($P54,0,AC$13),15-13*ORÇAMENTO!$AF$7)/$H54*OFFSET(ORÇAMENTO!$X$15,ROW(AC54)-ROW(AC$15),0),
              ROUND(ROUND(OFFSET($P54,0,AC$13),15-13*ORÇAMENTO!$AF$7)*OFFSET(ORÇAMENTO!$W$15,ROW(AC54)-ROW(AC$15),0),15-13*ORÇAMENTO!$AF$11)),
         0)</f>
        <v>0</v>
      </c>
      <c r="AD54" s="454">
        <f ca="1">IF(AND($D54="Serviço",AD$12&lt;&gt;0,$H54&gt;0,OR(AUTOEVENTO&lt;&gt;"manual",$M54&lt;&gt;$A$15)),
        IF(Import.TipoArredondamento&lt;&gt;"TransfereGOV",
              ROUND(OFFSET($P54,0,AD$13),15-13*ORÇAMENTO!$AF$7)/$H54*OFFSET(ORÇAMENTO!$X$15,ROW(AD54)-ROW(AD$15),0),
              ROUND(ROUND(OFFSET($P54,0,AD$13),15-13*ORÇAMENTO!$AF$7)*OFFSET(ORÇAMENTO!$W$15,ROW(AD54)-ROW(AD$15),0),15-13*ORÇAMENTO!$AF$11)),
         0)</f>
        <v>0</v>
      </c>
      <c r="AE54" s="454">
        <f ca="1">IF(AND($D54="Serviço",AE$12&lt;&gt;0,$H54&gt;0,OR(AUTOEVENTO&lt;&gt;"manual",$M54&lt;&gt;$A$15)),
        IF(Import.TipoArredondamento&lt;&gt;"TransfereGOV",
              ROUND(OFFSET($P54,0,AE$13),15-13*ORÇAMENTO!$AF$7)/$H54*OFFSET(ORÇAMENTO!$X$15,ROW(AE54)-ROW(AE$15),0),
              ROUND(ROUND(OFFSET($P54,0,AE$13),15-13*ORÇAMENTO!$AF$7)*OFFSET(ORÇAMENTO!$W$15,ROW(AE54)-ROW(AE$15),0),15-13*ORÇAMENTO!$AF$11)),
         0)</f>
        <v>0</v>
      </c>
      <c r="AF54" s="454">
        <f ca="1">IF(AND($D54="Serviço",AF$12&lt;&gt;0,$H54&gt;0,OR(AUTOEVENTO&lt;&gt;"manual",$M54&lt;&gt;$A$15)),
        IF(Import.TipoArredondamento&lt;&gt;"TransfereGOV",
              ROUND(OFFSET($P54,0,AF$13),15-13*ORÇAMENTO!$AF$7)/$H54*OFFSET(ORÇAMENTO!$X$15,ROW(AF54)-ROW(AF$15),0),
              ROUND(ROUND(OFFSET($P54,0,AF$13),15-13*ORÇAMENTO!$AF$7)*OFFSET(ORÇAMENTO!$W$15,ROW(AF54)-ROW(AF$15),0),15-13*ORÇAMENTO!$AF$11)),
         0)</f>
        <v>0</v>
      </c>
      <c r="AG54" s="454">
        <f ca="1">IF(AND($D54="Serviço",AG$12&lt;&gt;0,$H54&gt;0,OR(AUTOEVENTO&lt;&gt;"manual",$M54&lt;&gt;$A$15)),
        IF(Import.TipoArredondamento&lt;&gt;"TransfereGOV",
              ROUND(OFFSET($P54,0,AG$13),15-13*ORÇAMENTO!$AF$7)/$H54*OFFSET(ORÇAMENTO!$X$15,ROW(AG54)-ROW(AG$15),0),
              ROUND(ROUND(OFFSET($P54,0,AG$13),15-13*ORÇAMENTO!$AF$7)*OFFSET(ORÇAMENTO!$W$15,ROW(AG54)-ROW(AG$15),0),15-13*ORÇAMENTO!$AF$11)),
         0)</f>
        <v>0</v>
      </c>
      <c r="AH54" s="454">
        <f ca="1">IF(AND($D54="Serviço",AH$12&lt;&gt;0,$H54&gt;0,OR(AUTOEVENTO&lt;&gt;"manual",$M54&lt;&gt;$A$15)),
        IF(Import.TipoArredondamento&lt;&gt;"TransfereGOV",
              ROUND(OFFSET($P54,0,AH$13),15-13*ORÇAMENTO!$AF$7)/$H54*OFFSET(ORÇAMENTO!$X$15,ROW(AH54)-ROW(AH$15),0),
              ROUND(ROUND(OFFSET($P54,0,AH$13),15-13*ORÇAMENTO!$AF$7)*OFFSET(ORÇAMENTO!$W$15,ROW(AH54)-ROW(AH$15),0),15-13*ORÇAMENTO!$AF$11)),
         0)</f>
        <v>0</v>
      </c>
      <c r="AI54" s="454">
        <f ca="1">IF(AND($D54="Serviço",AI$12&lt;&gt;0,$H54&gt;0,OR(AUTOEVENTO&lt;&gt;"manual",$M54&lt;&gt;$A$15)),
        IF(Import.TipoArredondamento&lt;&gt;"TransfereGOV",
              ROUND(OFFSET($P54,0,AI$13),15-13*ORÇAMENTO!$AF$7)/$H54*OFFSET(ORÇAMENTO!$X$15,ROW(AI54)-ROW(AI$15),0),
              ROUND(ROUND(OFFSET($P54,0,AI$13),15-13*ORÇAMENTO!$AF$7)*OFFSET(ORÇAMENTO!$W$15,ROW(AI54)-ROW(AI$15),0),15-13*ORÇAMENTO!$AF$11)),
         0)</f>
        <v>0</v>
      </c>
      <c r="AJ54" s="454">
        <f ca="1">IF(AND($D54="Serviço",AJ$12&lt;&gt;0,$H54&gt;0,OR(AUTOEVENTO&lt;&gt;"manual",$M54&lt;&gt;$A$15)),
        IF(Import.TipoArredondamento&lt;&gt;"TransfereGOV",
              ROUND(OFFSET($P54,0,AJ$13),15-13*ORÇAMENTO!$AF$7)/$H54*OFFSET(ORÇAMENTO!$X$15,ROW(AJ54)-ROW(AJ$15),0),
              ROUND(ROUND(OFFSET($P54,0,AJ$13),15-13*ORÇAMENTO!$AF$7)*OFFSET(ORÇAMENTO!$W$15,ROW(AJ54)-ROW(AJ$15),0),15-13*ORÇAMENTO!$AF$11)),
         0)</f>
        <v>0</v>
      </c>
      <c r="AK54" s="454">
        <f ca="1">IF(AND($D54="Serviço",AK$12&lt;&gt;0,$H54&gt;0,OR(AUTOEVENTO&lt;&gt;"manual",$M54&lt;&gt;$A$15)),
        IF(Import.TipoArredondamento&lt;&gt;"TransfereGOV",
              ROUND(OFFSET($P54,0,AK$13),15-13*ORÇAMENTO!$AF$7)/$H54*OFFSET(ORÇAMENTO!$X$15,ROW(AK54)-ROW(AK$15),0),
              ROUND(ROUND(OFFSET($P54,0,AK$13),15-13*ORÇAMENTO!$AF$7)*OFFSET(ORÇAMENTO!$W$15,ROW(AK54)-ROW(AK$15),0),15-13*ORÇAMENTO!$AF$11)),
         0)</f>
        <v>0</v>
      </c>
      <c r="AM54" s="172">
        <f ca="1">IF(OR($D54&lt;&gt;"Serviço",AND(AUTOEVENTO="Manual",$M54=$A$15)),0,
         IF(OFFSET(CRONOPLE!$F$15,$M54-$A$15,AM$13)="",10^12,OFFSET(CRONOPLE!$F$15,$M54-$A$15,AM$13)))</f>
        <v>0</v>
      </c>
      <c r="AN54" s="172">
        <f ca="1">IF(OR($D54&lt;&gt;"Serviço",AND(AUTOEVENTO="Manual",$M54=$A$15)),0,
         IF(OFFSET(CRONOPLE!$F$15,$M54-$A$15,AN$13)="",10^12,OFFSET(CRONOPLE!$F$15,$M54-$A$15,AN$13)))</f>
        <v>0</v>
      </c>
      <c r="AO54" s="172">
        <f ca="1">IF(OR($D54&lt;&gt;"Serviço",AND(AUTOEVENTO="Manual",$M54=$A$15)),0,
         IF(OFFSET(CRONOPLE!$F$15,$M54-$A$15,AO$13)="",10^12,OFFSET(CRONOPLE!$F$15,$M54-$A$15,AO$13)))</f>
        <v>0</v>
      </c>
      <c r="AP54" s="172">
        <f ca="1">IF(OR($D54&lt;&gt;"Serviço",AND(AUTOEVENTO="Manual",$M54=$A$15)),0,
         IF(OFFSET(CRONOPLE!$F$15,$M54-$A$15,AP$13)="",10^12,OFFSET(CRONOPLE!$F$15,$M54-$A$15,AP$13)))</f>
        <v>0</v>
      </c>
      <c r="AQ54" s="172">
        <f ca="1">IF(OR($D54&lt;&gt;"Serviço",AND(AUTOEVENTO="Manual",$M54=$A$15)),0,
         IF(OFFSET(CRONOPLE!$F$15,$M54-$A$15,AQ$13)="",10^12,OFFSET(CRONOPLE!$F$15,$M54-$A$15,AQ$13)))</f>
        <v>0</v>
      </c>
      <c r="AR54" s="172">
        <f ca="1">IF(OR($D54&lt;&gt;"Serviço",AND(AUTOEVENTO="Manual",$M54=$A$15)),0,
         IF(OFFSET(CRONOPLE!$F$15,$M54-$A$15,AR$13)="",10^12,OFFSET(CRONOPLE!$F$15,$M54-$A$15,AR$13)))</f>
        <v>0</v>
      </c>
      <c r="AS54" s="172">
        <f ca="1">IF(OR($D54&lt;&gt;"Serviço",AND(AUTOEVENTO="Manual",$M54=$A$15)),0,
         IF(OFFSET(CRONOPLE!$F$15,$M54-$A$15,AS$13)="",10^12,OFFSET(CRONOPLE!$F$15,$M54-$A$15,AS$13)))</f>
        <v>0</v>
      </c>
      <c r="AT54" s="172">
        <f ca="1">IF(OR($D54&lt;&gt;"Serviço",AND(AUTOEVENTO="Manual",$M54=$A$15)),0,
         IF(OFFSET(CRONOPLE!$F$15,$M54-$A$15,AT$13)="",10^12,OFFSET(CRONOPLE!$F$15,$M54-$A$15,AT$13)))</f>
        <v>0</v>
      </c>
      <c r="AU54" s="172">
        <f ca="1">IF(OR($D54&lt;&gt;"Serviço",AND(AUTOEVENTO="Manual",$M54=$A$15)),0,
         IF(OFFSET(CRONOPLE!$F$15,$M54-$A$15,AU$13)="",10^12,OFFSET(CRONOPLE!$F$15,$M54-$A$15,AU$13)))</f>
        <v>0</v>
      </c>
      <c r="AV54" s="172">
        <f ca="1">IF(OR($D54&lt;&gt;"Serviço",AND(AUTOEVENTO="Manual",$M54=$A$15)),0,
         IF(OFFSET(CRONOPLE!$F$15,$M54-$A$15,AV$13)="",10^12,OFFSET(CRONOPLE!$F$15,$M54-$A$15,AV$13)))</f>
        <v>0</v>
      </c>
      <c r="AX54" s="173">
        <f ca="1">IF(OR($D54&lt;&gt;"Serviço",AND(AUTOEVENTO="Manual",$M54=$A$15),$M54&gt;(ROW(PLE.lastrow)-ROW(PLE.firstrow))),0,
           IF(OFFSET(PLE!$G$15,$M54-$A$15,AX$13)="",10^12,OFFSET(PLE!$G$15,$M54-$A$15,AX$13)))</f>
        <v>0</v>
      </c>
      <c r="AY54" s="173">
        <f ca="1">IF(OR($D54&lt;&gt;"Serviço",AND(AUTOEVENTO="Manual",$M54=$A$15),$M54&gt;(ROW(PLE.lastrow)-ROW(PLE.firstrow))),0,
           IF(OFFSET(PLE!$G$15,$M54-$A$15,AY$13)="",10^12,OFFSET(PLE!$G$15,$M54-$A$15,AY$13)))</f>
        <v>0</v>
      </c>
      <c r="AZ54" s="173">
        <f ca="1">IF(OR($D54&lt;&gt;"Serviço",AND(AUTOEVENTO="Manual",$M54=$A$15),$M54&gt;(ROW(PLE.lastrow)-ROW(PLE.firstrow))),0,
           IF(OFFSET(PLE!$G$15,$M54-$A$15,AZ$13)="",10^12,OFFSET(PLE!$G$15,$M54-$A$15,AZ$13)))</f>
        <v>0</v>
      </c>
      <c r="BA54" s="173">
        <f ca="1">IF(OR($D54&lt;&gt;"Serviço",AND(AUTOEVENTO="Manual",$M54=$A$15),$M54&gt;(ROW(PLE.lastrow)-ROW(PLE.firstrow))),0,
           IF(OFFSET(PLE!$G$15,$M54-$A$15,BA$13)="",10^12,OFFSET(PLE!$G$15,$M54-$A$15,BA$13)))</f>
        <v>0</v>
      </c>
      <c r="BB54" s="173">
        <f ca="1">IF(OR($D54&lt;&gt;"Serviço",AND(AUTOEVENTO="Manual",$M54=$A$15),$M54&gt;(ROW(PLE.lastrow)-ROW(PLE.firstrow))),0,
           IF(OFFSET(PLE!$G$15,$M54-$A$15,BB$13)="",10^12,OFFSET(PLE!$G$15,$M54-$A$15,BB$13)))</f>
        <v>0</v>
      </c>
      <c r="BC54" s="173">
        <f ca="1">IF(OR($D54&lt;&gt;"Serviço",AND(AUTOEVENTO="Manual",$M54=$A$15),$M54&gt;(ROW(PLE.lastrow)-ROW(PLE.firstrow))),0,
           IF(OFFSET(PLE!$G$15,$M54-$A$15,BC$13)="",10^12,OFFSET(PLE!$G$15,$M54-$A$15,BC$13)))</f>
        <v>0</v>
      </c>
      <c r="BD54" s="173">
        <f ca="1">IF(OR($D54&lt;&gt;"Serviço",AND(AUTOEVENTO="Manual",$M54=$A$15),$M54&gt;(ROW(PLE.lastrow)-ROW(PLE.firstrow))),0,
           IF(OFFSET(PLE!$G$15,$M54-$A$15,BD$13)="",10^12,OFFSET(PLE!$G$15,$M54-$A$15,BD$13)))</f>
        <v>0</v>
      </c>
      <c r="BE54" s="173">
        <f ca="1">IF(OR($D54&lt;&gt;"Serviço",AND(AUTOEVENTO="Manual",$M54=$A$15),$M54&gt;(ROW(PLE.lastrow)-ROW(PLE.firstrow))),0,
           IF(OFFSET(PLE!$G$15,$M54-$A$15,BE$13)="",10^12,OFFSET(PLE!$G$15,$M54-$A$15,BE$13)))</f>
        <v>0</v>
      </c>
      <c r="BF54" s="173">
        <f ca="1">IF(OR($D54&lt;&gt;"Serviço",AND(AUTOEVENTO="Manual",$M54=$A$15),$M54&gt;(ROW(PLE.lastrow)-ROW(PLE.firstrow))),0,
           IF(OFFSET(PLE!$G$15,$M54-$A$15,BF$13)="",10^12,OFFSET(PLE!$G$15,$M54-$A$15,BF$13)))</f>
        <v>0</v>
      </c>
      <c r="BG54" s="173">
        <f ca="1">IF(OR($D54&lt;&gt;"Serviço",AND(AUTOEVENTO="Manual",$M54=$A$15),$M54&gt;(ROW(PLE.lastrow)-ROW(PLE.firstrow))),0,
           IF(OFFSET(PLE!$G$15,$M54-$A$15,BG$13)="",10^12,OFFSET(PLE!$G$15,$M54-$A$15,BG$13)))</f>
        <v>0</v>
      </c>
    </row>
    <row r="55" spans="1:59" ht="38.25" x14ac:dyDescent="0.2">
      <c r="A55" s="7" t="str">
        <f t="shared" ca="1" si="8"/>
        <v>39</v>
      </c>
      <c r="B55" s="7" t="str">
        <f ca="1">OFFSET(ORÇAMENTO!C$15,ROW(B55)-ROW(B$15),0)</f>
        <v>S</v>
      </c>
      <c r="C55" s="7" t="str">
        <f ca="1">OFFSET(ORÇAMENTO!L$15,ROW(C55)-ROW(C$15),0)</f>
        <v/>
      </c>
      <c r="D55" s="117" t="str">
        <f ca="1">OFFSET(ORÇAMENTO!N$15,ROW(D55)-ROW(D$15),0)</f>
        <v>Serviço</v>
      </c>
      <c r="E55" s="118" t="str">
        <f ca="1">OFFSET(ORÇAMENTO!O$15,ROW(E55)-ROW(E$15),0)</f>
        <v>-</v>
      </c>
      <c r="F55" s="164" t="str">
        <f ca="1">OFFSET(ORÇAMENTO!R$15,ROW(F55)-ROW(F$15),0)</f>
        <v>INTERRUPTOR SIMPLES (1 MÓDULO) COM 1 TOMADA DE EMBUTIR 2P+T 10 A, INCLUINDO SUPORTE E PLACA - FORNECIMENTO E INSTALAÇÃO. AF_03/2023</v>
      </c>
      <c r="G55" s="165" t="str">
        <f ca="1">IF($D55&lt;&gt;"Serviço","",OFFSET(ORÇAMENTO!S$15,ROW(G55)-ROW(G$15),0))</f>
        <v>UN</v>
      </c>
      <c r="H55" s="123">
        <f ca="1">IF($D55&lt;&gt;"Serviço",0,IF(ACOMPANHAMENTO="BM",ROUND(OFFSET(ORÇAMENTO!AJ$15,ROW(H55)-ROW(H$15),0),15-13*ORÇAMENTO!$AF$7),SUMPRODUCT(($Q$1:$AA$1=1)*ROUND($Q55:$AA55,15-13*ORÇAMENTO!$AF$7))))</f>
        <v>22</v>
      </c>
      <c r="I55" s="469"/>
      <c r="J55" s="577" t="str" cm="1">
        <f t="array" aca="1" ref="J55" ca="1">IF(B55&lt;&gt;"S","",IF(AND(ACOMPANHAMENTO="PLE",AUTOEVENTO="Manual",OR(H55&gt;0,ORÇAMENTO!AC55="QUANT."),OR(K55="",M55=0,N55="")),"►",IF(AND(ACOMPANHAMENTO="PLE",ORÇAMENTO!AC55="QUANT."),"►►",IF(AND(COUNTIF($P$11:$AA$11,"▼")=0,H55&gt;0,I55=""),"◄",""))))</f>
        <v>◄</v>
      </c>
      <c r="K55" s="626"/>
      <c r="L55" s="166" t="s">
        <v>765</v>
      </c>
      <c r="M55" s="167">
        <f ca="1">IF($D55&lt;&gt;"Serviço","",
          IF(AUTOEVENTO="manual",$A55,
                IF(ISERROR(MATCH($A55,$A$15:OFFSET($A55,-1,0),0)),MAX($M$15:OFFSET(M55,-1,0))+1,
                      INDEX($M$15:OFFSET(M55,-1,0),MATCH($A55,$A$15:OFFSET($A55,-1,0),0)))))</f>
        <v>9</v>
      </c>
      <c r="N55" s="168" t="str">
        <f ca="1">IF($D55&lt;&gt;"Serviço","",
         IF(AUTOEVENTO="Manual",
                IF($A55=0,"&lt;-- defina o número do agrupador",
                       OFFSET(EVENTOS!$D$15,$A55-$A$15,0)),
                OFFSET($F$15,$A55,0)))</f>
        <v>INSTALAÇÕES ELÉTRICAS</v>
      </c>
      <c r="O55" s="169"/>
      <c r="Q55" s="169"/>
      <c r="R55" s="170"/>
      <c r="S55" s="170"/>
      <c r="T55" s="170"/>
      <c r="U55" s="170"/>
      <c r="V55" s="170"/>
      <c r="W55" s="170"/>
      <c r="X55" s="170"/>
      <c r="Y55" s="170"/>
      <c r="Z55" s="171"/>
      <c r="AB55" s="454">
        <f ca="1">IF(AND($D55="Serviço",AB$12&lt;&gt;0,$H55&gt;0,OR(AUTOEVENTO&lt;&gt;"manual",$M55&lt;&gt;$A$15)),
        IF(Import.TipoArredondamento&lt;&gt;"TransfereGOV",
              ROUND(OFFSET($P55,0,AB$13),15-13*ORÇAMENTO!$AF$7)/$H55*OFFSET(ORÇAMENTO!$X$15,ROW(AB55)-ROW(AB$15),0),
              ROUND(ROUND(OFFSET($P55,0,AB$13),15-13*ORÇAMENTO!$AF$7)*OFFSET(ORÇAMENTO!$W$15,ROW(AB55)-ROW(AB$15),0),15-13*ORÇAMENTO!$AF$11)),
         0)</f>
        <v>0</v>
      </c>
      <c r="AC55" s="454">
        <f ca="1">IF(AND($D55="Serviço",AC$12&lt;&gt;0,$H55&gt;0,OR(AUTOEVENTO&lt;&gt;"manual",$M55&lt;&gt;$A$15)),
        IF(Import.TipoArredondamento&lt;&gt;"TransfereGOV",
              ROUND(OFFSET($P55,0,AC$13),15-13*ORÇAMENTO!$AF$7)/$H55*OFFSET(ORÇAMENTO!$X$15,ROW(AC55)-ROW(AC$15),0),
              ROUND(ROUND(OFFSET($P55,0,AC$13),15-13*ORÇAMENTO!$AF$7)*OFFSET(ORÇAMENTO!$W$15,ROW(AC55)-ROW(AC$15),0),15-13*ORÇAMENTO!$AF$11)),
         0)</f>
        <v>0</v>
      </c>
      <c r="AD55" s="454">
        <f ca="1">IF(AND($D55="Serviço",AD$12&lt;&gt;0,$H55&gt;0,OR(AUTOEVENTO&lt;&gt;"manual",$M55&lt;&gt;$A$15)),
        IF(Import.TipoArredondamento&lt;&gt;"TransfereGOV",
              ROUND(OFFSET($P55,0,AD$13),15-13*ORÇAMENTO!$AF$7)/$H55*OFFSET(ORÇAMENTO!$X$15,ROW(AD55)-ROW(AD$15),0),
              ROUND(ROUND(OFFSET($P55,0,AD$13),15-13*ORÇAMENTO!$AF$7)*OFFSET(ORÇAMENTO!$W$15,ROW(AD55)-ROW(AD$15),0),15-13*ORÇAMENTO!$AF$11)),
         0)</f>
        <v>0</v>
      </c>
      <c r="AE55" s="454">
        <f ca="1">IF(AND($D55="Serviço",AE$12&lt;&gt;0,$H55&gt;0,OR(AUTOEVENTO&lt;&gt;"manual",$M55&lt;&gt;$A$15)),
        IF(Import.TipoArredondamento&lt;&gt;"TransfereGOV",
              ROUND(OFFSET($P55,0,AE$13),15-13*ORÇAMENTO!$AF$7)/$H55*OFFSET(ORÇAMENTO!$X$15,ROW(AE55)-ROW(AE$15),0),
              ROUND(ROUND(OFFSET($P55,0,AE$13),15-13*ORÇAMENTO!$AF$7)*OFFSET(ORÇAMENTO!$W$15,ROW(AE55)-ROW(AE$15),0),15-13*ORÇAMENTO!$AF$11)),
         0)</f>
        <v>0</v>
      </c>
      <c r="AF55" s="454">
        <f ca="1">IF(AND($D55="Serviço",AF$12&lt;&gt;0,$H55&gt;0,OR(AUTOEVENTO&lt;&gt;"manual",$M55&lt;&gt;$A$15)),
        IF(Import.TipoArredondamento&lt;&gt;"TransfereGOV",
              ROUND(OFFSET($P55,0,AF$13),15-13*ORÇAMENTO!$AF$7)/$H55*OFFSET(ORÇAMENTO!$X$15,ROW(AF55)-ROW(AF$15),0),
              ROUND(ROUND(OFFSET($P55,0,AF$13),15-13*ORÇAMENTO!$AF$7)*OFFSET(ORÇAMENTO!$W$15,ROW(AF55)-ROW(AF$15),0),15-13*ORÇAMENTO!$AF$11)),
         0)</f>
        <v>0</v>
      </c>
      <c r="AG55" s="454">
        <f ca="1">IF(AND($D55="Serviço",AG$12&lt;&gt;0,$H55&gt;0,OR(AUTOEVENTO&lt;&gt;"manual",$M55&lt;&gt;$A$15)),
        IF(Import.TipoArredondamento&lt;&gt;"TransfereGOV",
              ROUND(OFFSET($P55,0,AG$13),15-13*ORÇAMENTO!$AF$7)/$H55*OFFSET(ORÇAMENTO!$X$15,ROW(AG55)-ROW(AG$15),0),
              ROUND(ROUND(OFFSET($P55,0,AG$13),15-13*ORÇAMENTO!$AF$7)*OFFSET(ORÇAMENTO!$W$15,ROW(AG55)-ROW(AG$15),0),15-13*ORÇAMENTO!$AF$11)),
         0)</f>
        <v>0</v>
      </c>
      <c r="AH55" s="454">
        <f ca="1">IF(AND($D55="Serviço",AH$12&lt;&gt;0,$H55&gt;0,OR(AUTOEVENTO&lt;&gt;"manual",$M55&lt;&gt;$A$15)),
        IF(Import.TipoArredondamento&lt;&gt;"TransfereGOV",
              ROUND(OFFSET($P55,0,AH$13),15-13*ORÇAMENTO!$AF$7)/$H55*OFFSET(ORÇAMENTO!$X$15,ROW(AH55)-ROW(AH$15),0),
              ROUND(ROUND(OFFSET($P55,0,AH$13),15-13*ORÇAMENTO!$AF$7)*OFFSET(ORÇAMENTO!$W$15,ROW(AH55)-ROW(AH$15),0),15-13*ORÇAMENTO!$AF$11)),
         0)</f>
        <v>0</v>
      </c>
      <c r="AI55" s="454">
        <f ca="1">IF(AND($D55="Serviço",AI$12&lt;&gt;0,$H55&gt;0,OR(AUTOEVENTO&lt;&gt;"manual",$M55&lt;&gt;$A$15)),
        IF(Import.TipoArredondamento&lt;&gt;"TransfereGOV",
              ROUND(OFFSET($P55,0,AI$13),15-13*ORÇAMENTO!$AF$7)/$H55*OFFSET(ORÇAMENTO!$X$15,ROW(AI55)-ROW(AI$15),0),
              ROUND(ROUND(OFFSET($P55,0,AI$13),15-13*ORÇAMENTO!$AF$7)*OFFSET(ORÇAMENTO!$W$15,ROW(AI55)-ROW(AI$15),0),15-13*ORÇAMENTO!$AF$11)),
         0)</f>
        <v>0</v>
      </c>
      <c r="AJ55" s="454">
        <f ca="1">IF(AND($D55="Serviço",AJ$12&lt;&gt;0,$H55&gt;0,OR(AUTOEVENTO&lt;&gt;"manual",$M55&lt;&gt;$A$15)),
        IF(Import.TipoArredondamento&lt;&gt;"TransfereGOV",
              ROUND(OFFSET($P55,0,AJ$13),15-13*ORÇAMENTO!$AF$7)/$H55*OFFSET(ORÇAMENTO!$X$15,ROW(AJ55)-ROW(AJ$15),0),
              ROUND(ROUND(OFFSET($P55,0,AJ$13),15-13*ORÇAMENTO!$AF$7)*OFFSET(ORÇAMENTO!$W$15,ROW(AJ55)-ROW(AJ$15),0),15-13*ORÇAMENTO!$AF$11)),
         0)</f>
        <v>0</v>
      </c>
      <c r="AK55" s="454">
        <f ca="1">IF(AND($D55="Serviço",AK$12&lt;&gt;0,$H55&gt;0,OR(AUTOEVENTO&lt;&gt;"manual",$M55&lt;&gt;$A$15)),
        IF(Import.TipoArredondamento&lt;&gt;"TransfereGOV",
              ROUND(OFFSET($P55,0,AK$13),15-13*ORÇAMENTO!$AF$7)/$H55*OFFSET(ORÇAMENTO!$X$15,ROW(AK55)-ROW(AK$15),0),
              ROUND(ROUND(OFFSET($P55,0,AK$13),15-13*ORÇAMENTO!$AF$7)*OFFSET(ORÇAMENTO!$W$15,ROW(AK55)-ROW(AK$15),0),15-13*ORÇAMENTO!$AF$11)),
         0)</f>
        <v>0</v>
      </c>
      <c r="AM55" s="172">
        <f ca="1">IF(OR($D55&lt;&gt;"Serviço",AND(AUTOEVENTO="Manual",$M55=$A$15)),0,
         IF(OFFSET(CRONOPLE!$F$15,$M55-$A$15,AM$13)="",10^12,OFFSET(CRONOPLE!$F$15,$M55-$A$15,AM$13)))</f>
        <v>1000000000000</v>
      </c>
      <c r="AN55" s="172">
        <f ca="1">IF(OR($D55&lt;&gt;"Serviço",AND(AUTOEVENTO="Manual",$M55=$A$15)),0,
         IF(OFFSET(CRONOPLE!$F$15,$M55-$A$15,AN$13)="",10^12,OFFSET(CRONOPLE!$F$15,$M55-$A$15,AN$13)))</f>
        <v>1000000000000</v>
      </c>
      <c r="AO55" s="172">
        <f ca="1">IF(OR($D55&lt;&gt;"Serviço",AND(AUTOEVENTO="Manual",$M55=$A$15)),0,
         IF(OFFSET(CRONOPLE!$F$15,$M55-$A$15,AO$13)="",10^12,OFFSET(CRONOPLE!$F$15,$M55-$A$15,AO$13)))</f>
        <v>1000000000000</v>
      </c>
      <c r="AP55" s="172">
        <f ca="1">IF(OR($D55&lt;&gt;"Serviço",AND(AUTOEVENTO="Manual",$M55=$A$15)),0,
         IF(OFFSET(CRONOPLE!$F$15,$M55-$A$15,AP$13)="",10^12,OFFSET(CRONOPLE!$F$15,$M55-$A$15,AP$13)))</f>
        <v>1000000000000</v>
      </c>
      <c r="AQ55" s="172">
        <f ca="1">IF(OR($D55&lt;&gt;"Serviço",AND(AUTOEVENTO="Manual",$M55=$A$15)),0,
         IF(OFFSET(CRONOPLE!$F$15,$M55-$A$15,AQ$13)="",10^12,OFFSET(CRONOPLE!$F$15,$M55-$A$15,AQ$13)))</f>
        <v>1000000000000</v>
      </c>
      <c r="AR55" s="172">
        <f ca="1">IF(OR($D55&lt;&gt;"Serviço",AND(AUTOEVENTO="Manual",$M55=$A$15)),0,
         IF(OFFSET(CRONOPLE!$F$15,$M55-$A$15,AR$13)="",10^12,OFFSET(CRONOPLE!$F$15,$M55-$A$15,AR$13)))</f>
        <v>1000000000000</v>
      </c>
      <c r="AS55" s="172">
        <f ca="1">IF(OR($D55&lt;&gt;"Serviço",AND(AUTOEVENTO="Manual",$M55=$A$15)),0,
         IF(OFFSET(CRONOPLE!$F$15,$M55-$A$15,AS$13)="",10^12,OFFSET(CRONOPLE!$F$15,$M55-$A$15,AS$13)))</f>
        <v>1000000000000</v>
      </c>
      <c r="AT55" s="172">
        <f ca="1">IF(OR($D55&lt;&gt;"Serviço",AND(AUTOEVENTO="Manual",$M55=$A$15)),0,
         IF(OFFSET(CRONOPLE!$F$15,$M55-$A$15,AT$13)="",10^12,OFFSET(CRONOPLE!$F$15,$M55-$A$15,AT$13)))</f>
        <v>1000000000000</v>
      </c>
      <c r="AU55" s="172">
        <f ca="1">IF(OR($D55&lt;&gt;"Serviço",AND(AUTOEVENTO="Manual",$M55=$A$15)),0,
         IF(OFFSET(CRONOPLE!$F$15,$M55-$A$15,AU$13)="",10^12,OFFSET(CRONOPLE!$F$15,$M55-$A$15,AU$13)))</f>
        <v>1000000000000</v>
      </c>
      <c r="AV55" s="172">
        <f ca="1">IF(OR($D55&lt;&gt;"Serviço",AND(AUTOEVENTO="Manual",$M55=$A$15)),0,
         IF(OFFSET(CRONOPLE!$F$15,$M55-$A$15,AV$13)="",10^12,OFFSET(CRONOPLE!$F$15,$M55-$A$15,AV$13)))</f>
        <v>1000000000000</v>
      </c>
      <c r="AX55" s="173">
        <f ca="1">IF(OR($D55&lt;&gt;"Serviço",AND(AUTOEVENTO="Manual",$M55=$A$15),$M55&gt;(ROW(PLE.lastrow)-ROW(PLE.firstrow))),0,
           IF(OFFSET(PLE!$G$15,$M55-$A$15,AX$13)="",10^12,OFFSET(PLE!$G$15,$M55-$A$15,AX$13)))</f>
        <v>1000000000000</v>
      </c>
      <c r="AY55" s="173">
        <f ca="1">IF(OR($D55&lt;&gt;"Serviço",AND(AUTOEVENTO="Manual",$M55=$A$15),$M55&gt;(ROW(PLE.lastrow)-ROW(PLE.firstrow))),0,
           IF(OFFSET(PLE!$G$15,$M55-$A$15,AY$13)="",10^12,OFFSET(PLE!$G$15,$M55-$A$15,AY$13)))</f>
        <v>1000000000000</v>
      </c>
      <c r="AZ55" s="173">
        <f ca="1">IF(OR($D55&lt;&gt;"Serviço",AND(AUTOEVENTO="Manual",$M55=$A$15),$M55&gt;(ROW(PLE.lastrow)-ROW(PLE.firstrow))),0,
           IF(OFFSET(PLE!$G$15,$M55-$A$15,AZ$13)="",10^12,OFFSET(PLE!$G$15,$M55-$A$15,AZ$13)))</f>
        <v>1000000000000</v>
      </c>
      <c r="BA55" s="173">
        <f ca="1">IF(OR($D55&lt;&gt;"Serviço",AND(AUTOEVENTO="Manual",$M55=$A$15),$M55&gt;(ROW(PLE.lastrow)-ROW(PLE.firstrow))),0,
           IF(OFFSET(PLE!$G$15,$M55-$A$15,BA$13)="",10^12,OFFSET(PLE!$G$15,$M55-$A$15,BA$13)))</f>
        <v>1000000000000</v>
      </c>
      <c r="BB55" s="173">
        <f ca="1">IF(OR($D55&lt;&gt;"Serviço",AND(AUTOEVENTO="Manual",$M55=$A$15),$M55&gt;(ROW(PLE.lastrow)-ROW(PLE.firstrow))),0,
           IF(OFFSET(PLE!$G$15,$M55-$A$15,BB$13)="",10^12,OFFSET(PLE!$G$15,$M55-$A$15,BB$13)))</f>
        <v>1000000000000</v>
      </c>
      <c r="BC55" s="173">
        <f ca="1">IF(OR($D55&lt;&gt;"Serviço",AND(AUTOEVENTO="Manual",$M55=$A$15),$M55&gt;(ROW(PLE.lastrow)-ROW(PLE.firstrow))),0,
           IF(OFFSET(PLE!$G$15,$M55-$A$15,BC$13)="",10^12,OFFSET(PLE!$G$15,$M55-$A$15,BC$13)))</f>
        <v>1000000000000</v>
      </c>
      <c r="BD55" s="173">
        <f ca="1">IF(OR($D55&lt;&gt;"Serviço",AND(AUTOEVENTO="Manual",$M55=$A$15),$M55&gt;(ROW(PLE.lastrow)-ROW(PLE.firstrow))),0,
           IF(OFFSET(PLE!$G$15,$M55-$A$15,BD$13)="",10^12,OFFSET(PLE!$G$15,$M55-$A$15,BD$13)))</f>
        <v>1000000000000</v>
      </c>
      <c r="BE55" s="173">
        <f ca="1">IF(OR($D55&lt;&gt;"Serviço",AND(AUTOEVENTO="Manual",$M55=$A$15),$M55&gt;(ROW(PLE.lastrow)-ROW(PLE.firstrow))),0,
           IF(OFFSET(PLE!$G$15,$M55-$A$15,BE$13)="",10^12,OFFSET(PLE!$G$15,$M55-$A$15,BE$13)))</f>
        <v>1000000000000</v>
      </c>
      <c r="BF55" s="173">
        <f ca="1">IF(OR($D55&lt;&gt;"Serviço",AND(AUTOEVENTO="Manual",$M55=$A$15),$M55&gt;(ROW(PLE.lastrow)-ROW(PLE.firstrow))),0,
           IF(OFFSET(PLE!$G$15,$M55-$A$15,BF$13)="",10^12,OFFSET(PLE!$G$15,$M55-$A$15,BF$13)))</f>
        <v>1000000000000</v>
      </c>
      <c r="BG55" s="173">
        <f ca="1">IF(OR($D55&lt;&gt;"Serviço",AND(AUTOEVENTO="Manual",$M55=$A$15),$M55&gt;(ROW(PLE.lastrow)-ROW(PLE.firstrow))),0,
           IF(OFFSET(PLE!$G$15,$M55-$A$15,BG$13)="",10^12,OFFSET(PLE!$G$15,$M55-$A$15,BG$13)))</f>
        <v>1000000000000</v>
      </c>
    </row>
    <row r="56" spans="1:59" ht="38.25" x14ac:dyDescent="0.2">
      <c r="A56" s="7" t="str">
        <f t="shared" ca="1" si="8"/>
        <v>39</v>
      </c>
      <c r="B56" s="7" t="str">
        <f ca="1">OFFSET(ORÇAMENTO!C$15,ROW(B56)-ROW(B$15),0)</f>
        <v>S</v>
      </c>
      <c r="C56" s="7" t="str">
        <f ca="1">OFFSET(ORÇAMENTO!L$15,ROW(C56)-ROW(C$15),0)</f>
        <v/>
      </c>
      <c r="D56" s="117" t="str">
        <f ca="1">OFFSET(ORÇAMENTO!N$15,ROW(D56)-ROW(D$15),0)</f>
        <v>Serviço</v>
      </c>
      <c r="E56" s="118" t="str">
        <f ca="1">OFFSET(ORÇAMENTO!O$15,ROW(E56)-ROW(E$15),0)</f>
        <v>-</v>
      </c>
      <c r="F56" s="164" t="str">
        <f ca="1">OFFSET(ORÇAMENTO!R$15,ROW(F56)-ROW(F$15),0)</f>
        <v>INTERRUPTOR PARALELO (1 MÓDULO) COM 1 TOMADA DE EMBUTIR 2P+T 10 A, INCLUINDO SUPORTE E PLACA - FORNECIMENTO E INSTALAÇÃO. AF_03/2023</v>
      </c>
      <c r="G56" s="165" t="str">
        <f ca="1">IF($D56&lt;&gt;"Serviço","",OFFSET(ORÇAMENTO!S$15,ROW(G56)-ROW(G$15),0))</f>
        <v>UN</v>
      </c>
      <c r="H56" s="123">
        <f ca="1">IF($D56&lt;&gt;"Serviço",0,IF(ACOMPANHAMENTO="BM",ROUND(OFFSET(ORÇAMENTO!AJ$15,ROW(H56)-ROW(H$15),0),15-13*ORÇAMENTO!$AF$7),SUMPRODUCT(($Q$1:$AA$1=1)*ROUND($Q56:$AA56,15-13*ORÇAMENTO!$AF$7))))</f>
        <v>5</v>
      </c>
      <c r="I56" s="469"/>
      <c r="J56" s="577" t="str" cm="1">
        <f t="array" aca="1" ref="J56" ca="1">IF(B56&lt;&gt;"S","",IF(AND(ACOMPANHAMENTO="PLE",AUTOEVENTO="Manual",OR(H56&gt;0,ORÇAMENTO!AC56="QUANT."),OR(K56="",M56=0,N56="")),"►",IF(AND(ACOMPANHAMENTO="PLE",ORÇAMENTO!AC56="QUANT."),"►►",IF(AND(COUNTIF($P$11:$AA$11,"▼")=0,H56&gt;0,I56=""),"◄",""))))</f>
        <v>◄</v>
      </c>
      <c r="K56" s="626"/>
      <c r="L56" s="166" t="s">
        <v>765</v>
      </c>
      <c r="M56" s="167">
        <f ca="1">IF($D56&lt;&gt;"Serviço","",
          IF(AUTOEVENTO="manual",$A56,
                IF(ISERROR(MATCH($A56,$A$15:OFFSET($A56,-1,0),0)),MAX($M$15:OFFSET(M56,-1,0))+1,
                      INDEX($M$15:OFFSET(M56,-1,0),MATCH($A56,$A$15:OFFSET($A56,-1,0),0)))))</f>
        <v>9</v>
      </c>
      <c r="N56" s="168" t="str">
        <f ca="1">IF($D56&lt;&gt;"Serviço","",
         IF(AUTOEVENTO="Manual",
                IF($A56=0,"&lt;-- defina o número do agrupador",
                       OFFSET(EVENTOS!$D$15,$A56-$A$15,0)),
                OFFSET($F$15,$A56,0)))</f>
        <v>INSTALAÇÕES ELÉTRICAS</v>
      </c>
      <c r="O56" s="169"/>
      <c r="Q56" s="169"/>
      <c r="R56" s="170"/>
      <c r="S56" s="170"/>
      <c r="T56" s="170"/>
      <c r="U56" s="170"/>
      <c r="V56" s="170"/>
      <c r="W56" s="170"/>
      <c r="X56" s="170"/>
      <c r="Y56" s="170"/>
      <c r="Z56" s="171"/>
      <c r="AB56" s="454">
        <f ca="1">IF(AND($D56="Serviço",AB$12&lt;&gt;0,$H56&gt;0,OR(AUTOEVENTO&lt;&gt;"manual",$M56&lt;&gt;$A$15)),
        IF(Import.TipoArredondamento&lt;&gt;"TransfereGOV",
              ROUND(OFFSET($P56,0,AB$13),15-13*ORÇAMENTO!$AF$7)/$H56*OFFSET(ORÇAMENTO!$X$15,ROW(AB56)-ROW(AB$15),0),
              ROUND(ROUND(OFFSET($P56,0,AB$13),15-13*ORÇAMENTO!$AF$7)*OFFSET(ORÇAMENTO!$W$15,ROW(AB56)-ROW(AB$15),0),15-13*ORÇAMENTO!$AF$11)),
         0)</f>
        <v>0</v>
      </c>
      <c r="AC56" s="454">
        <f ca="1">IF(AND($D56="Serviço",AC$12&lt;&gt;0,$H56&gt;0,OR(AUTOEVENTO&lt;&gt;"manual",$M56&lt;&gt;$A$15)),
        IF(Import.TipoArredondamento&lt;&gt;"TransfereGOV",
              ROUND(OFFSET($P56,0,AC$13),15-13*ORÇAMENTO!$AF$7)/$H56*OFFSET(ORÇAMENTO!$X$15,ROW(AC56)-ROW(AC$15),0),
              ROUND(ROUND(OFFSET($P56,0,AC$13),15-13*ORÇAMENTO!$AF$7)*OFFSET(ORÇAMENTO!$W$15,ROW(AC56)-ROW(AC$15),0),15-13*ORÇAMENTO!$AF$11)),
         0)</f>
        <v>0</v>
      </c>
      <c r="AD56" s="454">
        <f ca="1">IF(AND($D56="Serviço",AD$12&lt;&gt;0,$H56&gt;0,OR(AUTOEVENTO&lt;&gt;"manual",$M56&lt;&gt;$A$15)),
        IF(Import.TipoArredondamento&lt;&gt;"TransfereGOV",
              ROUND(OFFSET($P56,0,AD$13),15-13*ORÇAMENTO!$AF$7)/$H56*OFFSET(ORÇAMENTO!$X$15,ROW(AD56)-ROW(AD$15),0),
              ROUND(ROUND(OFFSET($P56,0,AD$13),15-13*ORÇAMENTO!$AF$7)*OFFSET(ORÇAMENTO!$W$15,ROW(AD56)-ROW(AD$15),0),15-13*ORÇAMENTO!$AF$11)),
         0)</f>
        <v>0</v>
      </c>
      <c r="AE56" s="454">
        <f ca="1">IF(AND($D56="Serviço",AE$12&lt;&gt;0,$H56&gt;0,OR(AUTOEVENTO&lt;&gt;"manual",$M56&lt;&gt;$A$15)),
        IF(Import.TipoArredondamento&lt;&gt;"TransfereGOV",
              ROUND(OFFSET($P56,0,AE$13),15-13*ORÇAMENTO!$AF$7)/$H56*OFFSET(ORÇAMENTO!$X$15,ROW(AE56)-ROW(AE$15),0),
              ROUND(ROUND(OFFSET($P56,0,AE$13),15-13*ORÇAMENTO!$AF$7)*OFFSET(ORÇAMENTO!$W$15,ROW(AE56)-ROW(AE$15),0),15-13*ORÇAMENTO!$AF$11)),
         0)</f>
        <v>0</v>
      </c>
      <c r="AF56" s="454">
        <f ca="1">IF(AND($D56="Serviço",AF$12&lt;&gt;0,$H56&gt;0,OR(AUTOEVENTO&lt;&gt;"manual",$M56&lt;&gt;$A$15)),
        IF(Import.TipoArredondamento&lt;&gt;"TransfereGOV",
              ROUND(OFFSET($P56,0,AF$13),15-13*ORÇAMENTO!$AF$7)/$H56*OFFSET(ORÇAMENTO!$X$15,ROW(AF56)-ROW(AF$15),0),
              ROUND(ROUND(OFFSET($P56,0,AF$13),15-13*ORÇAMENTO!$AF$7)*OFFSET(ORÇAMENTO!$W$15,ROW(AF56)-ROW(AF$15),0),15-13*ORÇAMENTO!$AF$11)),
         0)</f>
        <v>0</v>
      </c>
      <c r="AG56" s="454">
        <f ca="1">IF(AND($D56="Serviço",AG$12&lt;&gt;0,$H56&gt;0,OR(AUTOEVENTO&lt;&gt;"manual",$M56&lt;&gt;$A$15)),
        IF(Import.TipoArredondamento&lt;&gt;"TransfereGOV",
              ROUND(OFFSET($P56,0,AG$13),15-13*ORÇAMENTO!$AF$7)/$H56*OFFSET(ORÇAMENTO!$X$15,ROW(AG56)-ROW(AG$15),0),
              ROUND(ROUND(OFFSET($P56,0,AG$13),15-13*ORÇAMENTO!$AF$7)*OFFSET(ORÇAMENTO!$W$15,ROW(AG56)-ROW(AG$15),0),15-13*ORÇAMENTO!$AF$11)),
         0)</f>
        <v>0</v>
      </c>
      <c r="AH56" s="454">
        <f ca="1">IF(AND($D56="Serviço",AH$12&lt;&gt;0,$H56&gt;0,OR(AUTOEVENTO&lt;&gt;"manual",$M56&lt;&gt;$A$15)),
        IF(Import.TipoArredondamento&lt;&gt;"TransfereGOV",
              ROUND(OFFSET($P56,0,AH$13),15-13*ORÇAMENTO!$AF$7)/$H56*OFFSET(ORÇAMENTO!$X$15,ROW(AH56)-ROW(AH$15),0),
              ROUND(ROUND(OFFSET($P56,0,AH$13),15-13*ORÇAMENTO!$AF$7)*OFFSET(ORÇAMENTO!$W$15,ROW(AH56)-ROW(AH$15),0),15-13*ORÇAMENTO!$AF$11)),
         0)</f>
        <v>0</v>
      </c>
      <c r="AI56" s="454">
        <f ca="1">IF(AND($D56="Serviço",AI$12&lt;&gt;0,$H56&gt;0,OR(AUTOEVENTO&lt;&gt;"manual",$M56&lt;&gt;$A$15)),
        IF(Import.TipoArredondamento&lt;&gt;"TransfereGOV",
              ROUND(OFFSET($P56,0,AI$13),15-13*ORÇAMENTO!$AF$7)/$H56*OFFSET(ORÇAMENTO!$X$15,ROW(AI56)-ROW(AI$15),0),
              ROUND(ROUND(OFFSET($P56,0,AI$13),15-13*ORÇAMENTO!$AF$7)*OFFSET(ORÇAMENTO!$W$15,ROW(AI56)-ROW(AI$15),0),15-13*ORÇAMENTO!$AF$11)),
         0)</f>
        <v>0</v>
      </c>
      <c r="AJ56" s="454">
        <f ca="1">IF(AND($D56="Serviço",AJ$12&lt;&gt;0,$H56&gt;0,OR(AUTOEVENTO&lt;&gt;"manual",$M56&lt;&gt;$A$15)),
        IF(Import.TipoArredondamento&lt;&gt;"TransfereGOV",
              ROUND(OFFSET($P56,0,AJ$13),15-13*ORÇAMENTO!$AF$7)/$H56*OFFSET(ORÇAMENTO!$X$15,ROW(AJ56)-ROW(AJ$15),0),
              ROUND(ROUND(OFFSET($P56,0,AJ$13),15-13*ORÇAMENTO!$AF$7)*OFFSET(ORÇAMENTO!$W$15,ROW(AJ56)-ROW(AJ$15),0),15-13*ORÇAMENTO!$AF$11)),
         0)</f>
        <v>0</v>
      </c>
      <c r="AK56" s="454">
        <f ca="1">IF(AND($D56="Serviço",AK$12&lt;&gt;0,$H56&gt;0,OR(AUTOEVENTO&lt;&gt;"manual",$M56&lt;&gt;$A$15)),
        IF(Import.TipoArredondamento&lt;&gt;"TransfereGOV",
              ROUND(OFFSET($P56,0,AK$13),15-13*ORÇAMENTO!$AF$7)/$H56*OFFSET(ORÇAMENTO!$X$15,ROW(AK56)-ROW(AK$15),0),
              ROUND(ROUND(OFFSET($P56,0,AK$13),15-13*ORÇAMENTO!$AF$7)*OFFSET(ORÇAMENTO!$W$15,ROW(AK56)-ROW(AK$15),0),15-13*ORÇAMENTO!$AF$11)),
         0)</f>
        <v>0</v>
      </c>
      <c r="AM56" s="172">
        <f ca="1">IF(OR($D56&lt;&gt;"Serviço",AND(AUTOEVENTO="Manual",$M56=$A$15)),0,
         IF(OFFSET(CRONOPLE!$F$15,$M56-$A$15,AM$13)="",10^12,OFFSET(CRONOPLE!$F$15,$M56-$A$15,AM$13)))</f>
        <v>1000000000000</v>
      </c>
      <c r="AN56" s="172">
        <f ca="1">IF(OR($D56&lt;&gt;"Serviço",AND(AUTOEVENTO="Manual",$M56=$A$15)),0,
         IF(OFFSET(CRONOPLE!$F$15,$M56-$A$15,AN$13)="",10^12,OFFSET(CRONOPLE!$F$15,$M56-$A$15,AN$13)))</f>
        <v>1000000000000</v>
      </c>
      <c r="AO56" s="172">
        <f ca="1">IF(OR($D56&lt;&gt;"Serviço",AND(AUTOEVENTO="Manual",$M56=$A$15)),0,
         IF(OFFSET(CRONOPLE!$F$15,$M56-$A$15,AO$13)="",10^12,OFFSET(CRONOPLE!$F$15,$M56-$A$15,AO$13)))</f>
        <v>1000000000000</v>
      </c>
      <c r="AP56" s="172">
        <f ca="1">IF(OR($D56&lt;&gt;"Serviço",AND(AUTOEVENTO="Manual",$M56=$A$15)),0,
         IF(OFFSET(CRONOPLE!$F$15,$M56-$A$15,AP$13)="",10^12,OFFSET(CRONOPLE!$F$15,$M56-$A$15,AP$13)))</f>
        <v>1000000000000</v>
      </c>
      <c r="AQ56" s="172">
        <f ca="1">IF(OR($D56&lt;&gt;"Serviço",AND(AUTOEVENTO="Manual",$M56=$A$15)),0,
         IF(OFFSET(CRONOPLE!$F$15,$M56-$A$15,AQ$13)="",10^12,OFFSET(CRONOPLE!$F$15,$M56-$A$15,AQ$13)))</f>
        <v>1000000000000</v>
      </c>
      <c r="AR56" s="172">
        <f ca="1">IF(OR($D56&lt;&gt;"Serviço",AND(AUTOEVENTO="Manual",$M56=$A$15)),0,
         IF(OFFSET(CRONOPLE!$F$15,$M56-$A$15,AR$13)="",10^12,OFFSET(CRONOPLE!$F$15,$M56-$A$15,AR$13)))</f>
        <v>1000000000000</v>
      </c>
      <c r="AS56" s="172">
        <f ca="1">IF(OR($D56&lt;&gt;"Serviço",AND(AUTOEVENTO="Manual",$M56=$A$15)),0,
         IF(OFFSET(CRONOPLE!$F$15,$M56-$A$15,AS$13)="",10^12,OFFSET(CRONOPLE!$F$15,$M56-$A$15,AS$13)))</f>
        <v>1000000000000</v>
      </c>
      <c r="AT56" s="172">
        <f ca="1">IF(OR($D56&lt;&gt;"Serviço",AND(AUTOEVENTO="Manual",$M56=$A$15)),0,
         IF(OFFSET(CRONOPLE!$F$15,$M56-$A$15,AT$13)="",10^12,OFFSET(CRONOPLE!$F$15,$M56-$A$15,AT$13)))</f>
        <v>1000000000000</v>
      </c>
      <c r="AU56" s="172">
        <f ca="1">IF(OR($D56&lt;&gt;"Serviço",AND(AUTOEVENTO="Manual",$M56=$A$15)),0,
         IF(OFFSET(CRONOPLE!$F$15,$M56-$A$15,AU$13)="",10^12,OFFSET(CRONOPLE!$F$15,$M56-$A$15,AU$13)))</f>
        <v>1000000000000</v>
      </c>
      <c r="AV56" s="172">
        <f ca="1">IF(OR($D56&lt;&gt;"Serviço",AND(AUTOEVENTO="Manual",$M56=$A$15)),0,
         IF(OFFSET(CRONOPLE!$F$15,$M56-$A$15,AV$13)="",10^12,OFFSET(CRONOPLE!$F$15,$M56-$A$15,AV$13)))</f>
        <v>1000000000000</v>
      </c>
      <c r="AX56" s="173">
        <f ca="1">IF(OR($D56&lt;&gt;"Serviço",AND(AUTOEVENTO="Manual",$M56=$A$15),$M56&gt;(ROW(PLE.lastrow)-ROW(PLE.firstrow))),0,
           IF(OFFSET(PLE!$G$15,$M56-$A$15,AX$13)="",10^12,OFFSET(PLE!$G$15,$M56-$A$15,AX$13)))</f>
        <v>1000000000000</v>
      </c>
      <c r="AY56" s="173">
        <f ca="1">IF(OR($D56&lt;&gt;"Serviço",AND(AUTOEVENTO="Manual",$M56=$A$15),$M56&gt;(ROW(PLE.lastrow)-ROW(PLE.firstrow))),0,
           IF(OFFSET(PLE!$G$15,$M56-$A$15,AY$13)="",10^12,OFFSET(PLE!$G$15,$M56-$A$15,AY$13)))</f>
        <v>1000000000000</v>
      </c>
      <c r="AZ56" s="173">
        <f ca="1">IF(OR($D56&lt;&gt;"Serviço",AND(AUTOEVENTO="Manual",$M56=$A$15),$M56&gt;(ROW(PLE.lastrow)-ROW(PLE.firstrow))),0,
           IF(OFFSET(PLE!$G$15,$M56-$A$15,AZ$13)="",10^12,OFFSET(PLE!$G$15,$M56-$A$15,AZ$13)))</f>
        <v>1000000000000</v>
      </c>
      <c r="BA56" s="173">
        <f ca="1">IF(OR($D56&lt;&gt;"Serviço",AND(AUTOEVENTO="Manual",$M56=$A$15),$M56&gt;(ROW(PLE.lastrow)-ROW(PLE.firstrow))),0,
           IF(OFFSET(PLE!$G$15,$M56-$A$15,BA$13)="",10^12,OFFSET(PLE!$G$15,$M56-$A$15,BA$13)))</f>
        <v>1000000000000</v>
      </c>
      <c r="BB56" s="173">
        <f ca="1">IF(OR($D56&lt;&gt;"Serviço",AND(AUTOEVENTO="Manual",$M56=$A$15),$M56&gt;(ROW(PLE.lastrow)-ROW(PLE.firstrow))),0,
           IF(OFFSET(PLE!$G$15,$M56-$A$15,BB$13)="",10^12,OFFSET(PLE!$G$15,$M56-$A$15,BB$13)))</f>
        <v>1000000000000</v>
      </c>
      <c r="BC56" s="173">
        <f ca="1">IF(OR($D56&lt;&gt;"Serviço",AND(AUTOEVENTO="Manual",$M56=$A$15),$M56&gt;(ROW(PLE.lastrow)-ROW(PLE.firstrow))),0,
           IF(OFFSET(PLE!$G$15,$M56-$A$15,BC$13)="",10^12,OFFSET(PLE!$G$15,$M56-$A$15,BC$13)))</f>
        <v>1000000000000</v>
      </c>
      <c r="BD56" s="173">
        <f ca="1">IF(OR($D56&lt;&gt;"Serviço",AND(AUTOEVENTO="Manual",$M56=$A$15),$M56&gt;(ROW(PLE.lastrow)-ROW(PLE.firstrow))),0,
           IF(OFFSET(PLE!$G$15,$M56-$A$15,BD$13)="",10^12,OFFSET(PLE!$G$15,$M56-$A$15,BD$13)))</f>
        <v>1000000000000</v>
      </c>
      <c r="BE56" s="173">
        <f ca="1">IF(OR($D56&lt;&gt;"Serviço",AND(AUTOEVENTO="Manual",$M56=$A$15),$M56&gt;(ROW(PLE.lastrow)-ROW(PLE.firstrow))),0,
           IF(OFFSET(PLE!$G$15,$M56-$A$15,BE$13)="",10^12,OFFSET(PLE!$G$15,$M56-$A$15,BE$13)))</f>
        <v>1000000000000</v>
      </c>
      <c r="BF56" s="173">
        <f ca="1">IF(OR($D56&lt;&gt;"Serviço",AND(AUTOEVENTO="Manual",$M56=$A$15),$M56&gt;(ROW(PLE.lastrow)-ROW(PLE.firstrow))),0,
           IF(OFFSET(PLE!$G$15,$M56-$A$15,BF$13)="",10^12,OFFSET(PLE!$G$15,$M56-$A$15,BF$13)))</f>
        <v>1000000000000</v>
      </c>
      <c r="BG56" s="173">
        <f ca="1">IF(OR($D56&lt;&gt;"Serviço",AND(AUTOEVENTO="Manual",$M56=$A$15),$M56&gt;(ROW(PLE.lastrow)-ROW(PLE.firstrow))),0,
           IF(OFFSET(PLE!$G$15,$M56-$A$15,BG$13)="",10^12,OFFSET(PLE!$G$15,$M56-$A$15,BG$13)))</f>
        <v>1000000000000</v>
      </c>
    </row>
    <row r="57" spans="1:59" ht="38.25" x14ac:dyDescent="0.2">
      <c r="A57" s="7" t="str">
        <f t="shared" ca="1" si="8"/>
        <v>39</v>
      </c>
      <c r="B57" s="7" t="str">
        <f ca="1">OFFSET(ORÇAMENTO!C$15,ROW(B57)-ROW(B$15),0)</f>
        <v>S</v>
      </c>
      <c r="C57" s="7" t="str">
        <f ca="1">OFFSET(ORÇAMENTO!L$15,ROW(C57)-ROW(C$15),0)</f>
        <v/>
      </c>
      <c r="D57" s="117" t="str">
        <f ca="1">OFFSET(ORÇAMENTO!N$15,ROW(D57)-ROW(D$15),0)</f>
        <v>Serviço</v>
      </c>
      <c r="E57" s="118" t="str">
        <f ca="1">OFFSET(ORÇAMENTO!O$15,ROW(E57)-ROW(E$15),0)</f>
        <v>-</v>
      </c>
      <c r="F57" s="164" t="str">
        <f ca="1">OFFSET(ORÇAMENTO!R$15,ROW(F57)-ROW(F$15),0)</f>
        <v>INTERRUPTOR SIMPLES (1 MÓDULO) COM INTERRUPTOR PARALELO (2 MÓDULOS), 10A/250V, INCLUINDO SUPORTE E PLACA - FORNECIMENTO E INSTALAÇÃO. AF_03/2023</v>
      </c>
      <c r="G57" s="165" t="str">
        <f ca="1">IF($D57&lt;&gt;"Serviço","",OFFSET(ORÇAMENTO!S$15,ROW(G57)-ROW(G$15),0))</f>
        <v>UN</v>
      </c>
      <c r="H57" s="123">
        <f ca="1">IF($D57&lt;&gt;"Serviço",0,IF(ACOMPANHAMENTO="BM",ROUND(OFFSET(ORÇAMENTO!AJ$15,ROW(H57)-ROW(H$15),0),15-13*ORÇAMENTO!$AF$7),SUMPRODUCT(($Q$1:$AA$1=1)*ROUND($Q57:$AA57,15-13*ORÇAMENTO!$AF$7))))</f>
        <v>1</v>
      </c>
      <c r="I57" s="469"/>
      <c r="J57" s="577" t="str" cm="1">
        <f t="array" aca="1" ref="J57" ca="1">IF(B57&lt;&gt;"S","",IF(AND(ACOMPANHAMENTO="PLE",AUTOEVENTO="Manual",OR(H57&gt;0,ORÇAMENTO!AC57="QUANT."),OR(K57="",M57=0,N57="")),"►",IF(AND(ACOMPANHAMENTO="PLE",ORÇAMENTO!AC57="QUANT."),"►►",IF(AND(COUNTIF($P$11:$AA$11,"▼")=0,H57&gt;0,I57=""),"◄",""))))</f>
        <v>◄</v>
      </c>
      <c r="K57" s="626"/>
      <c r="L57" s="166" t="s">
        <v>765</v>
      </c>
      <c r="M57" s="167">
        <f ca="1">IF($D57&lt;&gt;"Serviço","",
          IF(AUTOEVENTO="manual",$A57,
                IF(ISERROR(MATCH($A57,$A$15:OFFSET($A57,-1,0),0)),MAX($M$15:OFFSET(M57,-1,0))+1,
                      INDEX($M$15:OFFSET(M57,-1,0),MATCH($A57,$A$15:OFFSET($A57,-1,0),0)))))</f>
        <v>9</v>
      </c>
      <c r="N57" s="168" t="str">
        <f ca="1">IF($D57&lt;&gt;"Serviço","",
         IF(AUTOEVENTO="Manual",
                IF($A57=0,"&lt;-- defina o número do agrupador",
                       OFFSET(EVENTOS!$D$15,$A57-$A$15,0)),
                OFFSET($F$15,$A57,0)))</f>
        <v>INSTALAÇÕES ELÉTRICAS</v>
      </c>
      <c r="O57" s="169"/>
      <c r="Q57" s="169"/>
      <c r="R57" s="170"/>
      <c r="S57" s="170"/>
      <c r="T57" s="170"/>
      <c r="U57" s="170"/>
      <c r="V57" s="170"/>
      <c r="W57" s="170"/>
      <c r="X57" s="170"/>
      <c r="Y57" s="170"/>
      <c r="Z57" s="171"/>
      <c r="AB57" s="454">
        <f ca="1">IF(AND($D57="Serviço",AB$12&lt;&gt;0,$H57&gt;0,OR(AUTOEVENTO&lt;&gt;"manual",$M57&lt;&gt;$A$15)),
        IF(Import.TipoArredondamento&lt;&gt;"TransfereGOV",
              ROUND(OFFSET($P57,0,AB$13),15-13*ORÇAMENTO!$AF$7)/$H57*OFFSET(ORÇAMENTO!$X$15,ROW(AB57)-ROW(AB$15),0),
              ROUND(ROUND(OFFSET($P57,0,AB$13),15-13*ORÇAMENTO!$AF$7)*OFFSET(ORÇAMENTO!$W$15,ROW(AB57)-ROW(AB$15),0),15-13*ORÇAMENTO!$AF$11)),
         0)</f>
        <v>0</v>
      </c>
      <c r="AC57" s="454">
        <f ca="1">IF(AND($D57="Serviço",AC$12&lt;&gt;0,$H57&gt;0,OR(AUTOEVENTO&lt;&gt;"manual",$M57&lt;&gt;$A$15)),
        IF(Import.TipoArredondamento&lt;&gt;"TransfereGOV",
              ROUND(OFFSET($P57,0,AC$13),15-13*ORÇAMENTO!$AF$7)/$H57*OFFSET(ORÇAMENTO!$X$15,ROW(AC57)-ROW(AC$15),0),
              ROUND(ROUND(OFFSET($P57,0,AC$13),15-13*ORÇAMENTO!$AF$7)*OFFSET(ORÇAMENTO!$W$15,ROW(AC57)-ROW(AC$15),0),15-13*ORÇAMENTO!$AF$11)),
         0)</f>
        <v>0</v>
      </c>
      <c r="AD57" s="454">
        <f ca="1">IF(AND($D57="Serviço",AD$12&lt;&gt;0,$H57&gt;0,OR(AUTOEVENTO&lt;&gt;"manual",$M57&lt;&gt;$A$15)),
        IF(Import.TipoArredondamento&lt;&gt;"TransfereGOV",
              ROUND(OFFSET($P57,0,AD$13),15-13*ORÇAMENTO!$AF$7)/$H57*OFFSET(ORÇAMENTO!$X$15,ROW(AD57)-ROW(AD$15),0),
              ROUND(ROUND(OFFSET($P57,0,AD$13),15-13*ORÇAMENTO!$AF$7)*OFFSET(ORÇAMENTO!$W$15,ROW(AD57)-ROW(AD$15),0),15-13*ORÇAMENTO!$AF$11)),
         0)</f>
        <v>0</v>
      </c>
      <c r="AE57" s="454">
        <f ca="1">IF(AND($D57="Serviço",AE$12&lt;&gt;0,$H57&gt;0,OR(AUTOEVENTO&lt;&gt;"manual",$M57&lt;&gt;$A$15)),
        IF(Import.TipoArredondamento&lt;&gt;"TransfereGOV",
              ROUND(OFFSET($P57,0,AE$13),15-13*ORÇAMENTO!$AF$7)/$H57*OFFSET(ORÇAMENTO!$X$15,ROW(AE57)-ROW(AE$15),0),
              ROUND(ROUND(OFFSET($P57,0,AE$13),15-13*ORÇAMENTO!$AF$7)*OFFSET(ORÇAMENTO!$W$15,ROW(AE57)-ROW(AE$15),0),15-13*ORÇAMENTO!$AF$11)),
         0)</f>
        <v>0</v>
      </c>
      <c r="AF57" s="454">
        <f ca="1">IF(AND($D57="Serviço",AF$12&lt;&gt;0,$H57&gt;0,OR(AUTOEVENTO&lt;&gt;"manual",$M57&lt;&gt;$A$15)),
        IF(Import.TipoArredondamento&lt;&gt;"TransfereGOV",
              ROUND(OFFSET($P57,0,AF$13),15-13*ORÇAMENTO!$AF$7)/$H57*OFFSET(ORÇAMENTO!$X$15,ROW(AF57)-ROW(AF$15),0),
              ROUND(ROUND(OFFSET($P57,0,AF$13),15-13*ORÇAMENTO!$AF$7)*OFFSET(ORÇAMENTO!$W$15,ROW(AF57)-ROW(AF$15),0),15-13*ORÇAMENTO!$AF$11)),
         0)</f>
        <v>0</v>
      </c>
      <c r="AG57" s="454">
        <f ca="1">IF(AND($D57="Serviço",AG$12&lt;&gt;0,$H57&gt;0,OR(AUTOEVENTO&lt;&gt;"manual",$M57&lt;&gt;$A$15)),
        IF(Import.TipoArredondamento&lt;&gt;"TransfereGOV",
              ROUND(OFFSET($P57,0,AG$13),15-13*ORÇAMENTO!$AF$7)/$H57*OFFSET(ORÇAMENTO!$X$15,ROW(AG57)-ROW(AG$15),0),
              ROUND(ROUND(OFFSET($P57,0,AG$13),15-13*ORÇAMENTO!$AF$7)*OFFSET(ORÇAMENTO!$W$15,ROW(AG57)-ROW(AG$15),0),15-13*ORÇAMENTO!$AF$11)),
         0)</f>
        <v>0</v>
      </c>
      <c r="AH57" s="454">
        <f ca="1">IF(AND($D57="Serviço",AH$12&lt;&gt;0,$H57&gt;0,OR(AUTOEVENTO&lt;&gt;"manual",$M57&lt;&gt;$A$15)),
        IF(Import.TipoArredondamento&lt;&gt;"TransfereGOV",
              ROUND(OFFSET($P57,0,AH$13),15-13*ORÇAMENTO!$AF$7)/$H57*OFFSET(ORÇAMENTO!$X$15,ROW(AH57)-ROW(AH$15),0),
              ROUND(ROUND(OFFSET($P57,0,AH$13),15-13*ORÇAMENTO!$AF$7)*OFFSET(ORÇAMENTO!$W$15,ROW(AH57)-ROW(AH$15),0),15-13*ORÇAMENTO!$AF$11)),
         0)</f>
        <v>0</v>
      </c>
      <c r="AI57" s="454">
        <f ca="1">IF(AND($D57="Serviço",AI$12&lt;&gt;0,$H57&gt;0,OR(AUTOEVENTO&lt;&gt;"manual",$M57&lt;&gt;$A$15)),
        IF(Import.TipoArredondamento&lt;&gt;"TransfereGOV",
              ROUND(OFFSET($P57,0,AI$13),15-13*ORÇAMENTO!$AF$7)/$H57*OFFSET(ORÇAMENTO!$X$15,ROW(AI57)-ROW(AI$15),0),
              ROUND(ROUND(OFFSET($P57,0,AI$13),15-13*ORÇAMENTO!$AF$7)*OFFSET(ORÇAMENTO!$W$15,ROW(AI57)-ROW(AI$15),0),15-13*ORÇAMENTO!$AF$11)),
         0)</f>
        <v>0</v>
      </c>
      <c r="AJ57" s="454">
        <f ca="1">IF(AND($D57="Serviço",AJ$12&lt;&gt;0,$H57&gt;0,OR(AUTOEVENTO&lt;&gt;"manual",$M57&lt;&gt;$A$15)),
        IF(Import.TipoArredondamento&lt;&gt;"TransfereGOV",
              ROUND(OFFSET($P57,0,AJ$13),15-13*ORÇAMENTO!$AF$7)/$H57*OFFSET(ORÇAMENTO!$X$15,ROW(AJ57)-ROW(AJ$15),0),
              ROUND(ROUND(OFFSET($P57,0,AJ$13),15-13*ORÇAMENTO!$AF$7)*OFFSET(ORÇAMENTO!$W$15,ROW(AJ57)-ROW(AJ$15),0),15-13*ORÇAMENTO!$AF$11)),
         0)</f>
        <v>0</v>
      </c>
      <c r="AK57" s="454">
        <f ca="1">IF(AND($D57="Serviço",AK$12&lt;&gt;0,$H57&gt;0,OR(AUTOEVENTO&lt;&gt;"manual",$M57&lt;&gt;$A$15)),
        IF(Import.TipoArredondamento&lt;&gt;"TransfereGOV",
              ROUND(OFFSET($P57,0,AK$13),15-13*ORÇAMENTO!$AF$7)/$H57*OFFSET(ORÇAMENTO!$X$15,ROW(AK57)-ROW(AK$15),0),
              ROUND(ROUND(OFFSET($P57,0,AK$13),15-13*ORÇAMENTO!$AF$7)*OFFSET(ORÇAMENTO!$W$15,ROW(AK57)-ROW(AK$15),0),15-13*ORÇAMENTO!$AF$11)),
         0)</f>
        <v>0</v>
      </c>
      <c r="AM57" s="172">
        <f ca="1">IF(OR($D57&lt;&gt;"Serviço",AND(AUTOEVENTO="Manual",$M57=$A$15)),0,
         IF(OFFSET(CRONOPLE!$F$15,$M57-$A$15,AM$13)="",10^12,OFFSET(CRONOPLE!$F$15,$M57-$A$15,AM$13)))</f>
        <v>1000000000000</v>
      </c>
      <c r="AN57" s="172">
        <f ca="1">IF(OR($D57&lt;&gt;"Serviço",AND(AUTOEVENTO="Manual",$M57=$A$15)),0,
         IF(OFFSET(CRONOPLE!$F$15,$M57-$A$15,AN$13)="",10^12,OFFSET(CRONOPLE!$F$15,$M57-$A$15,AN$13)))</f>
        <v>1000000000000</v>
      </c>
      <c r="AO57" s="172">
        <f ca="1">IF(OR($D57&lt;&gt;"Serviço",AND(AUTOEVENTO="Manual",$M57=$A$15)),0,
         IF(OFFSET(CRONOPLE!$F$15,$M57-$A$15,AO$13)="",10^12,OFFSET(CRONOPLE!$F$15,$M57-$A$15,AO$13)))</f>
        <v>1000000000000</v>
      </c>
      <c r="AP57" s="172">
        <f ca="1">IF(OR($D57&lt;&gt;"Serviço",AND(AUTOEVENTO="Manual",$M57=$A$15)),0,
         IF(OFFSET(CRONOPLE!$F$15,$M57-$A$15,AP$13)="",10^12,OFFSET(CRONOPLE!$F$15,$M57-$A$15,AP$13)))</f>
        <v>1000000000000</v>
      </c>
      <c r="AQ57" s="172">
        <f ca="1">IF(OR($D57&lt;&gt;"Serviço",AND(AUTOEVENTO="Manual",$M57=$A$15)),0,
         IF(OFFSET(CRONOPLE!$F$15,$M57-$A$15,AQ$13)="",10^12,OFFSET(CRONOPLE!$F$15,$M57-$A$15,AQ$13)))</f>
        <v>1000000000000</v>
      </c>
      <c r="AR57" s="172">
        <f ca="1">IF(OR($D57&lt;&gt;"Serviço",AND(AUTOEVENTO="Manual",$M57=$A$15)),0,
         IF(OFFSET(CRONOPLE!$F$15,$M57-$A$15,AR$13)="",10^12,OFFSET(CRONOPLE!$F$15,$M57-$A$15,AR$13)))</f>
        <v>1000000000000</v>
      </c>
      <c r="AS57" s="172">
        <f ca="1">IF(OR($D57&lt;&gt;"Serviço",AND(AUTOEVENTO="Manual",$M57=$A$15)),0,
         IF(OFFSET(CRONOPLE!$F$15,$M57-$A$15,AS$13)="",10^12,OFFSET(CRONOPLE!$F$15,$M57-$A$15,AS$13)))</f>
        <v>1000000000000</v>
      </c>
      <c r="AT57" s="172">
        <f ca="1">IF(OR($D57&lt;&gt;"Serviço",AND(AUTOEVENTO="Manual",$M57=$A$15)),0,
         IF(OFFSET(CRONOPLE!$F$15,$M57-$A$15,AT$13)="",10^12,OFFSET(CRONOPLE!$F$15,$M57-$A$15,AT$13)))</f>
        <v>1000000000000</v>
      </c>
      <c r="AU57" s="172">
        <f ca="1">IF(OR($D57&lt;&gt;"Serviço",AND(AUTOEVENTO="Manual",$M57=$A$15)),0,
         IF(OFFSET(CRONOPLE!$F$15,$M57-$A$15,AU$13)="",10^12,OFFSET(CRONOPLE!$F$15,$M57-$A$15,AU$13)))</f>
        <v>1000000000000</v>
      </c>
      <c r="AV57" s="172">
        <f ca="1">IF(OR($D57&lt;&gt;"Serviço",AND(AUTOEVENTO="Manual",$M57=$A$15)),0,
         IF(OFFSET(CRONOPLE!$F$15,$M57-$A$15,AV$13)="",10^12,OFFSET(CRONOPLE!$F$15,$M57-$A$15,AV$13)))</f>
        <v>1000000000000</v>
      </c>
      <c r="AX57" s="173">
        <f ca="1">IF(OR($D57&lt;&gt;"Serviço",AND(AUTOEVENTO="Manual",$M57=$A$15),$M57&gt;(ROW(PLE.lastrow)-ROW(PLE.firstrow))),0,
           IF(OFFSET(PLE!$G$15,$M57-$A$15,AX$13)="",10^12,OFFSET(PLE!$G$15,$M57-$A$15,AX$13)))</f>
        <v>1000000000000</v>
      </c>
      <c r="AY57" s="173">
        <f ca="1">IF(OR($D57&lt;&gt;"Serviço",AND(AUTOEVENTO="Manual",$M57=$A$15),$M57&gt;(ROW(PLE.lastrow)-ROW(PLE.firstrow))),0,
           IF(OFFSET(PLE!$G$15,$M57-$A$15,AY$13)="",10^12,OFFSET(PLE!$G$15,$M57-$A$15,AY$13)))</f>
        <v>1000000000000</v>
      </c>
      <c r="AZ57" s="173">
        <f ca="1">IF(OR($D57&lt;&gt;"Serviço",AND(AUTOEVENTO="Manual",$M57=$A$15),$M57&gt;(ROW(PLE.lastrow)-ROW(PLE.firstrow))),0,
           IF(OFFSET(PLE!$G$15,$M57-$A$15,AZ$13)="",10^12,OFFSET(PLE!$G$15,$M57-$A$15,AZ$13)))</f>
        <v>1000000000000</v>
      </c>
      <c r="BA57" s="173">
        <f ca="1">IF(OR($D57&lt;&gt;"Serviço",AND(AUTOEVENTO="Manual",$M57=$A$15),$M57&gt;(ROW(PLE.lastrow)-ROW(PLE.firstrow))),0,
           IF(OFFSET(PLE!$G$15,$M57-$A$15,BA$13)="",10^12,OFFSET(PLE!$G$15,$M57-$A$15,BA$13)))</f>
        <v>1000000000000</v>
      </c>
      <c r="BB57" s="173">
        <f ca="1">IF(OR($D57&lt;&gt;"Serviço",AND(AUTOEVENTO="Manual",$M57=$A$15),$M57&gt;(ROW(PLE.lastrow)-ROW(PLE.firstrow))),0,
           IF(OFFSET(PLE!$G$15,$M57-$A$15,BB$13)="",10^12,OFFSET(PLE!$G$15,$M57-$A$15,BB$13)))</f>
        <v>1000000000000</v>
      </c>
      <c r="BC57" s="173">
        <f ca="1">IF(OR($D57&lt;&gt;"Serviço",AND(AUTOEVENTO="Manual",$M57=$A$15),$M57&gt;(ROW(PLE.lastrow)-ROW(PLE.firstrow))),0,
           IF(OFFSET(PLE!$G$15,$M57-$A$15,BC$13)="",10^12,OFFSET(PLE!$G$15,$M57-$A$15,BC$13)))</f>
        <v>1000000000000</v>
      </c>
      <c r="BD57" s="173">
        <f ca="1">IF(OR($D57&lt;&gt;"Serviço",AND(AUTOEVENTO="Manual",$M57=$A$15),$M57&gt;(ROW(PLE.lastrow)-ROW(PLE.firstrow))),0,
           IF(OFFSET(PLE!$G$15,$M57-$A$15,BD$13)="",10^12,OFFSET(PLE!$G$15,$M57-$A$15,BD$13)))</f>
        <v>1000000000000</v>
      </c>
      <c r="BE57" s="173">
        <f ca="1">IF(OR($D57&lt;&gt;"Serviço",AND(AUTOEVENTO="Manual",$M57=$A$15),$M57&gt;(ROW(PLE.lastrow)-ROW(PLE.firstrow))),0,
           IF(OFFSET(PLE!$G$15,$M57-$A$15,BE$13)="",10^12,OFFSET(PLE!$G$15,$M57-$A$15,BE$13)))</f>
        <v>1000000000000</v>
      </c>
      <c r="BF57" s="173">
        <f ca="1">IF(OR($D57&lt;&gt;"Serviço",AND(AUTOEVENTO="Manual",$M57=$A$15),$M57&gt;(ROW(PLE.lastrow)-ROW(PLE.firstrow))),0,
           IF(OFFSET(PLE!$G$15,$M57-$A$15,BF$13)="",10^12,OFFSET(PLE!$G$15,$M57-$A$15,BF$13)))</f>
        <v>1000000000000</v>
      </c>
      <c r="BG57" s="173">
        <f ca="1">IF(OR($D57&lt;&gt;"Serviço",AND(AUTOEVENTO="Manual",$M57=$A$15),$M57&gt;(ROW(PLE.lastrow)-ROW(PLE.firstrow))),0,
           IF(OFFSET(PLE!$G$15,$M57-$A$15,BG$13)="",10^12,OFFSET(PLE!$G$15,$M57-$A$15,BG$13)))</f>
        <v>1000000000000</v>
      </c>
    </row>
    <row r="58" spans="1:59" ht="38.25" x14ac:dyDescent="0.2">
      <c r="A58" s="7" t="str">
        <f t="shared" ca="1" si="8"/>
        <v>39</v>
      </c>
      <c r="B58" s="7" t="str">
        <f ca="1">OFFSET(ORÇAMENTO!C$15,ROW(B58)-ROW(B$15),0)</f>
        <v>S</v>
      </c>
      <c r="C58" s="7" t="str">
        <f ca="1">OFFSET(ORÇAMENTO!L$15,ROW(C58)-ROW(C$15),0)</f>
        <v/>
      </c>
      <c r="D58" s="117" t="str">
        <f ca="1">OFFSET(ORÇAMENTO!N$15,ROW(D58)-ROW(D$15),0)</f>
        <v>Serviço</v>
      </c>
      <c r="E58" s="118" t="str">
        <f ca="1">OFFSET(ORÇAMENTO!O$15,ROW(E58)-ROW(E$15),0)</f>
        <v>-</v>
      </c>
      <c r="F58" s="164" t="str">
        <f ca="1">OFFSET(ORÇAMENTO!R$15,ROW(F58)-ROW(F$15),0)</f>
        <v>INTERRUPTOR PULSADOR MINUTERIA (1 MÓDULO), 10A/250V, INCLUINDO SUPORTE E PLACA - FORNECIMENTO E INSTALAÇÃO. AF_03/2023</v>
      </c>
      <c r="G58" s="165" t="str">
        <f ca="1">IF($D58&lt;&gt;"Serviço","",OFFSET(ORÇAMENTO!S$15,ROW(G58)-ROW(G$15),0))</f>
        <v>UN</v>
      </c>
      <c r="H58" s="123">
        <f ca="1">IF($D58&lt;&gt;"Serviço",0,IF(ACOMPANHAMENTO="BM",ROUND(OFFSET(ORÇAMENTO!AJ$15,ROW(H58)-ROW(H$15),0),15-13*ORÇAMENTO!$AF$7),SUMPRODUCT(($Q$1:$AA$1=1)*ROUND($Q58:$AA58,15-13*ORÇAMENTO!$AF$7))))</f>
        <v>6</v>
      </c>
      <c r="I58" s="469"/>
      <c r="J58" s="577" t="str" cm="1">
        <f t="array" aca="1" ref="J58" ca="1">IF(B58&lt;&gt;"S","",IF(AND(ACOMPANHAMENTO="PLE",AUTOEVENTO="Manual",OR(H58&gt;0,ORÇAMENTO!AC58="QUANT."),OR(K58="",M58=0,N58="")),"►",IF(AND(ACOMPANHAMENTO="PLE",ORÇAMENTO!AC58="QUANT."),"►►",IF(AND(COUNTIF($P$11:$AA$11,"▼")=0,H58&gt;0,I58=""),"◄",""))))</f>
        <v>◄</v>
      </c>
      <c r="K58" s="626"/>
      <c r="L58" s="166" t="s">
        <v>765</v>
      </c>
      <c r="M58" s="167">
        <f ca="1">IF($D58&lt;&gt;"Serviço","",
          IF(AUTOEVENTO="manual",$A58,
                IF(ISERROR(MATCH($A58,$A$15:OFFSET($A58,-1,0),0)),MAX($M$15:OFFSET(M58,-1,0))+1,
                      INDEX($M$15:OFFSET(M58,-1,0),MATCH($A58,$A$15:OFFSET($A58,-1,0),0)))))</f>
        <v>9</v>
      </c>
      <c r="N58" s="168" t="str">
        <f ca="1">IF($D58&lt;&gt;"Serviço","",
         IF(AUTOEVENTO="Manual",
                IF($A58=0,"&lt;-- defina o número do agrupador",
                       OFFSET(EVENTOS!$D$15,$A58-$A$15,0)),
                OFFSET($F$15,$A58,0)))</f>
        <v>INSTALAÇÕES ELÉTRICAS</v>
      </c>
      <c r="O58" s="169"/>
      <c r="Q58" s="169"/>
      <c r="R58" s="170"/>
      <c r="S58" s="170"/>
      <c r="T58" s="170"/>
      <c r="U58" s="170"/>
      <c r="V58" s="170"/>
      <c r="W58" s="170"/>
      <c r="X58" s="170"/>
      <c r="Y58" s="170"/>
      <c r="Z58" s="171"/>
      <c r="AB58" s="454">
        <f ca="1">IF(AND($D58="Serviço",AB$12&lt;&gt;0,$H58&gt;0,OR(AUTOEVENTO&lt;&gt;"manual",$M58&lt;&gt;$A$15)),
        IF(Import.TipoArredondamento&lt;&gt;"TransfereGOV",
              ROUND(OFFSET($P58,0,AB$13),15-13*ORÇAMENTO!$AF$7)/$H58*OFFSET(ORÇAMENTO!$X$15,ROW(AB58)-ROW(AB$15),0),
              ROUND(ROUND(OFFSET($P58,0,AB$13),15-13*ORÇAMENTO!$AF$7)*OFFSET(ORÇAMENTO!$W$15,ROW(AB58)-ROW(AB$15),0),15-13*ORÇAMENTO!$AF$11)),
         0)</f>
        <v>0</v>
      </c>
      <c r="AC58" s="454">
        <f ca="1">IF(AND($D58="Serviço",AC$12&lt;&gt;0,$H58&gt;0,OR(AUTOEVENTO&lt;&gt;"manual",$M58&lt;&gt;$A$15)),
        IF(Import.TipoArredondamento&lt;&gt;"TransfereGOV",
              ROUND(OFFSET($P58,0,AC$13),15-13*ORÇAMENTO!$AF$7)/$H58*OFFSET(ORÇAMENTO!$X$15,ROW(AC58)-ROW(AC$15),0),
              ROUND(ROUND(OFFSET($P58,0,AC$13),15-13*ORÇAMENTO!$AF$7)*OFFSET(ORÇAMENTO!$W$15,ROW(AC58)-ROW(AC$15),0),15-13*ORÇAMENTO!$AF$11)),
         0)</f>
        <v>0</v>
      </c>
      <c r="AD58" s="454">
        <f ca="1">IF(AND($D58="Serviço",AD$12&lt;&gt;0,$H58&gt;0,OR(AUTOEVENTO&lt;&gt;"manual",$M58&lt;&gt;$A$15)),
        IF(Import.TipoArredondamento&lt;&gt;"TransfereGOV",
              ROUND(OFFSET($P58,0,AD$13),15-13*ORÇAMENTO!$AF$7)/$H58*OFFSET(ORÇAMENTO!$X$15,ROW(AD58)-ROW(AD$15),0),
              ROUND(ROUND(OFFSET($P58,0,AD$13),15-13*ORÇAMENTO!$AF$7)*OFFSET(ORÇAMENTO!$W$15,ROW(AD58)-ROW(AD$15),0),15-13*ORÇAMENTO!$AF$11)),
         0)</f>
        <v>0</v>
      </c>
      <c r="AE58" s="454">
        <f ca="1">IF(AND($D58="Serviço",AE$12&lt;&gt;0,$H58&gt;0,OR(AUTOEVENTO&lt;&gt;"manual",$M58&lt;&gt;$A$15)),
        IF(Import.TipoArredondamento&lt;&gt;"TransfereGOV",
              ROUND(OFFSET($P58,0,AE$13),15-13*ORÇAMENTO!$AF$7)/$H58*OFFSET(ORÇAMENTO!$X$15,ROW(AE58)-ROW(AE$15),0),
              ROUND(ROUND(OFFSET($P58,0,AE$13),15-13*ORÇAMENTO!$AF$7)*OFFSET(ORÇAMENTO!$W$15,ROW(AE58)-ROW(AE$15),0),15-13*ORÇAMENTO!$AF$11)),
         0)</f>
        <v>0</v>
      </c>
      <c r="AF58" s="454">
        <f ca="1">IF(AND($D58="Serviço",AF$12&lt;&gt;0,$H58&gt;0,OR(AUTOEVENTO&lt;&gt;"manual",$M58&lt;&gt;$A$15)),
        IF(Import.TipoArredondamento&lt;&gt;"TransfereGOV",
              ROUND(OFFSET($P58,0,AF$13),15-13*ORÇAMENTO!$AF$7)/$H58*OFFSET(ORÇAMENTO!$X$15,ROW(AF58)-ROW(AF$15),0),
              ROUND(ROUND(OFFSET($P58,0,AF$13),15-13*ORÇAMENTO!$AF$7)*OFFSET(ORÇAMENTO!$W$15,ROW(AF58)-ROW(AF$15),0),15-13*ORÇAMENTO!$AF$11)),
         0)</f>
        <v>0</v>
      </c>
      <c r="AG58" s="454">
        <f ca="1">IF(AND($D58="Serviço",AG$12&lt;&gt;0,$H58&gt;0,OR(AUTOEVENTO&lt;&gt;"manual",$M58&lt;&gt;$A$15)),
        IF(Import.TipoArredondamento&lt;&gt;"TransfereGOV",
              ROUND(OFFSET($P58,0,AG$13),15-13*ORÇAMENTO!$AF$7)/$H58*OFFSET(ORÇAMENTO!$X$15,ROW(AG58)-ROW(AG$15),0),
              ROUND(ROUND(OFFSET($P58,0,AG$13),15-13*ORÇAMENTO!$AF$7)*OFFSET(ORÇAMENTO!$W$15,ROW(AG58)-ROW(AG$15),0),15-13*ORÇAMENTO!$AF$11)),
         0)</f>
        <v>0</v>
      </c>
      <c r="AH58" s="454">
        <f ca="1">IF(AND($D58="Serviço",AH$12&lt;&gt;0,$H58&gt;0,OR(AUTOEVENTO&lt;&gt;"manual",$M58&lt;&gt;$A$15)),
        IF(Import.TipoArredondamento&lt;&gt;"TransfereGOV",
              ROUND(OFFSET($P58,0,AH$13),15-13*ORÇAMENTO!$AF$7)/$H58*OFFSET(ORÇAMENTO!$X$15,ROW(AH58)-ROW(AH$15),0),
              ROUND(ROUND(OFFSET($P58,0,AH$13),15-13*ORÇAMENTO!$AF$7)*OFFSET(ORÇAMENTO!$W$15,ROW(AH58)-ROW(AH$15),0),15-13*ORÇAMENTO!$AF$11)),
         0)</f>
        <v>0</v>
      </c>
      <c r="AI58" s="454">
        <f ca="1">IF(AND($D58="Serviço",AI$12&lt;&gt;0,$H58&gt;0,OR(AUTOEVENTO&lt;&gt;"manual",$M58&lt;&gt;$A$15)),
        IF(Import.TipoArredondamento&lt;&gt;"TransfereGOV",
              ROUND(OFFSET($P58,0,AI$13),15-13*ORÇAMENTO!$AF$7)/$H58*OFFSET(ORÇAMENTO!$X$15,ROW(AI58)-ROW(AI$15),0),
              ROUND(ROUND(OFFSET($P58,0,AI$13),15-13*ORÇAMENTO!$AF$7)*OFFSET(ORÇAMENTO!$W$15,ROW(AI58)-ROW(AI$15),0),15-13*ORÇAMENTO!$AF$11)),
         0)</f>
        <v>0</v>
      </c>
      <c r="AJ58" s="454">
        <f ca="1">IF(AND($D58="Serviço",AJ$12&lt;&gt;0,$H58&gt;0,OR(AUTOEVENTO&lt;&gt;"manual",$M58&lt;&gt;$A$15)),
        IF(Import.TipoArredondamento&lt;&gt;"TransfereGOV",
              ROUND(OFFSET($P58,0,AJ$13),15-13*ORÇAMENTO!$AF$7)/$H58*OFFSET(ORÇAMENTO!$X$15,ROW(AJ58)-ROW(AJ$15),0),
              ROUND(ROUND(OFFSET($P58,0,AJ$13),15-13*ORÇAMENTO!$AF$7)*OFFSET(ORÇAMENTO!$W$15,ROW(AJ58)-ROW(AJ$15),0),15-13*ORÇAMENTO!$AF$11)),
         0)</f>
        <v>0</v>
      </c>
      <c r="AK58" s="454">
        <f ca="1">IF(AND($D58="Serviço",AK$12&lt;&gt;0,$H58&gt;0,OR(AUTOEVENTO&lt;&gt;"manual",$M58&lt;&gt;$A$15)),
        IF(Import.TipoArredondamento&lt;&gt;"TransfereGOV",
              ROUND(OFFSET($P58,0,AK$13),15-13*ORÇAMENTO!$AF$7)/$H58*OFFSET(ORÇAMENTO!$X$15,ROW(AK58)-ROW(AK$15),0),
              ROUND(ROUND(OFFSET($P58,0,AK$13),15-13*ORÇAMENTO!$AF$7)*OFFSET(ORÇAMENTO!$W$15,ROW(AK58)-ROW(AK$15),0),15-13*ORÇAMENTO!$AF$11)),
         0)</f>
        <v>0</v>
      </c>
      <c r="AM58" s="172">
        <f ca="1">IF(OR($D58&lt;&gt;"Serviço",AND(AUTOEVENTO="Manual",$M58=$A$15)),0,
         IF(OFFSET(CRONOPLE!$F$15,$M58-$A$15,AM$13)="",10^12,OFFSET(CRONOPLE!$F$15,$M58-$A$15,AM$13)))</f>
        <v>1000000000000</v>
      </c>
      <c r="AN58" s="172">
        <f ca="1">IF(OR($D58&lt;&gt;"Serviço",AND(AUTOEVENTO="Manual",$M58=$A$15)),0,
         IF(OFFSET(CRONOPLE!$F$15,$M58-$A$15,AN$13)="",10^12,OFFSET(CRONOPLE!$F$15,$M58-$A$15,AN$13)))</f>
        <v>1000000000000</v>
      </c>
      <c r="AO58" s="172">
        <f ca="1">IF(OR($D58&lt;&gt;"Serviço",AND(AUTOEVENTO="Manual",$M58=$A$15)),0,
         IF(OFFSET(CRONOPLE!$F$15,$M58-$A$15,AO$13)="",10^12,OFFSET(CRONOPLE!$F$15,$M58-$A$15,AO$13)))</f>
        <v>1000000000000</v>
      </c>
      <c r="AP58" s="172">
        <f ca="1">IF(OR($D58&lt;&gt;"Serviço",AND(AUTOEVENTO="Manual",$M58=$A$15)),0,
         IF(OFFSET(CRONOPLE!$F$15,$M58-$A$15,AP$13)="",10^12,OFFSET(CRONOPLE!$F$15,$M58-$A$15,AP$13)))</f>
        <v>1000000000000</v>
      </c>
      <c r="AQ58" s="172">
        <f ca="1">IF(OR($D58&lt;&gt;"Serviço",AND(AUTOEVENTO="Manual",$M58=$A$15)),0,
         IF(OFFSET(CRONOPLE!$F$15,$M58-$A$15,AQ$13)="",10^12,OFFSET(CRONOPLE!$F$15,$M58-$A$15,AQ$13)))</f>
        <v>1000000000000</v>
      </c>
      <c r="AR58" s="172">
        <f ca="1">IF(OR($D58&lt;&gt;"Serviço",AND(AUTOEVENTO="Manual",$M58=$A$15)),0,
         IF(OFFSET(CRONOPLE!$F$15,$M58-$A$15,AR$13)="",10^12,OFFSET(CRONOPLE!$F$15,$M58-$A$15,AR$13)))</f>
        <v>1000000000000</v>
      </c>
      <c r="AS58" s="172">
        <f ca="1">IF(OR($D58&lt;&gt;"Serviço",AND(AUTOEVENTO="Manual",$M58=$A$15)),0,
         IF(OFFSET(CRONOPLE!$F$15,$M58-$A$15,AS$13)="",10^12,OFFSET(CRONOPLE!$F$15,$M58-$A$15,AS$13)))</f>
        <v>1000000000000</v>
      </c>
      <c r="AT58" s="172">
        <f ca="1">IF(OR($D58&lt;&gt;"Serviço",AND(AUTOEVENTO="Manual",$M58=$A$15)),0,
         IF(OFFSET(CRONOPLE!$F$15,$M58-$A$15,AT$13)="",10^12,OFFSET(CRONOPLE!$F$15,$M58-$A$15,AT$13)))</f>
        <v>1000000000000</v>
      </c>
      <c r="AU58" s="172">
        <f ca="1">IF(OR($D58&lt;&gt;"Serviço",AND(AUTOEVENTO="Manual",$M58=$A$15)),0,
         IF(OFFSET(CRONOPLE!$F$15,$M58-$A$15,AU$13)="",10^12,OFFSET(CRONOPLE!$F$15,$M58-$A$15,AU$13)))</f>
        <v>1000000000000</v>
      </c>
      <c r="AV58" s="172">
        <f ca="1">IF(OR($D58&lt;&gt;"Serviço",AND(AUTOEVENTO="Manual",$M58=$A$15)),0,
         IF(OFFSET(CRONOPLE!$F$15,$M58-$A$15,AV$13)="",10^12,OFFSET(CRONOPLE!$F$15,$M58-$A$15,AV$13)))</f>
        <v>1000000000000</v>
      </c>
      <c r="AX58" s="173">
        <f ca="1">IF(OR($D58&lt;&gt;"Serviço",AND(AUTOEVENTO="Manual",$M58=$A$15),$M58&gt;(ROW(PLE.lastrow)-ROW(PLE.firstrow))),0,
           IF(OFFSET(PLE!$G$15,$M58-$A$15,AX$13)="",10^12,OFFSET(PLE!$G$15,$M58-$A$15,AX$13)))</f>
        <v>1000000000000</v>
      </c>
      <c r="AY58" s="173">
        <f ca="1">IF(OR($D58&lt;&gt;"Serviço",AND(AUTOEVENTO="Manual",$M58=$A$15),$M58&gt;(ROW(PLE.lastrow)-ROW(PLE.firstrow))),0,
           IF(OFFSET(PLE!$G$15,$M58-$A$15,AY$13)="",10^12,OFFSET(PLE!$G$15,$M58-$A$15,AY$13)))</f>
        <v>1000000000000</v>
      </c>
      <c r="AZ58" s="173">
        <f ca="1">IF(OR($D58&lt;&gt;"Serviço",AND(AUTOEVENTO="Manual",$M58=$A$15),$M58&gt;(ROW(PLE.lastrow)-ROW(PLE.firstrow))),0,
           IF(OFFSET(PLE!$G$15,$M58-$A$15,AZ$13)="",10^12,OFFSET(PLE!$G$15,$M58-$A$15,AZ$13)))</f>
        <v>1000000000000</v>
      </c>
      <c r="BA58" s="173">
        <f ca="1">IF(OR($D58&lt;&gt;"Serviço",AND(AUTOEVENTO="Manual",$M58=$A$15),$M58&gt;(ROW(PLE.lastrow)-ROW(PLE.firstrow))),0,
           IF(OFFSET(PLE!$G$15,$M58-$A$15,BA$13)="",10^12,OFFSET(PLE!$G$15,$M58-$A$15,BA$13)))</f>
        <v>1000000000000</v>
      </c>
      <c r="BB58" s="173">
        <f ca="1">IF(OR($D58&lt;&gt;"Serviço",AND(AUTOEVENTO="Manual",$M58=$A$15),$M58&gt;(ROW(PLE.lastrow)-ROW(PLE.firstrow))),0,
           IF(OFFSET(PLE!$G$15,$M58-$A$15,BB$13)="",10^12,OFFSET(PLE!$G$15,$M58-$A$15,BB$13)))</f>
        <v>1000000000000</v>
      </c>
      <c r="BC58" s="173">
        <f ca="1">IF(OR($D58&lt;&gt;"Serviço",AND(AUTOEVENTO="Manual",$M58=$A$15),$M58&gt;(ROW(PLE.lastrow)-ROW(PLE.firstrow))),0,
           IF(OFFSET(PLE!$G$15,$M58-$A$15,BC$13)="",10^12,OFFSET(PLE!$G$15,$M58-$A$15,BC$13)))</f>
        <v>1000000000000</v>
      </c>
      <c r="BD58" s="173">
        <f ca="1">IF(OR($D58&lt;&gt;"Serviço",AND(AUTOEVENTO="Manual",$M58=$A$15),$M58&gt;(ROW(PLE.lastrow)-ROW(PLE.firstrow))),0,
           IF(OFFSET(PLE!$G$15,$M58-$A$15,BD$13)="",10^12,OFFSET(PLE!$G$15,$M58-$A$15,BD$13)))</f>
        <v>1000000000000</v>
      </c>
      <c r="BE58" s="173">
        <f ca="1">IF(OR($D58&lt;&gt;"Serviço",AND(AUTOEVENTO="Manual",$M58=$A$15),$M58&gt;(ROW(PLE.lastrow)-ROW(PLE.firstrow))),0,
           IF(OFFSET(PLE!$G$15,$M58-$A$15,BE$13)="",10^12,OFFSET(PLE!$G$15,$M58-$A$15,BE$13)))</f>
        <v>1000000000000</v>
      </c>
      <c r="BF58" s="173">
        <f ca="1">IF(OR($D58&lt;&gt;"Serviço",AND(AUTOEVENTO="Manual",$M58=$A$15),$M58&gt;(ROW(PLE.lastrow)-ROW(PLE.firstrow))),0,
           IF(OFFSET(PLE!$G$15,$M58-$A$15,BF$13)="",10^12,OFFSET(PLE!$G$15,$M58-$A$15,BF$13)))</f>
        <v>1000000000000</v>
      </c>
      <c r="BG58" s="173">
        <f ca="1">IF(OR($D58&lt;&gt;"Serviço",AND(AUTOEVENTO="Manual",$M58=$A$15),$M58&gt;(ROW(PLE.lastrow)-ROW(PLE.firstrow))),0,
           IF(OFFSET(PLE!$G$15,$M58-$A$15,BG$13)="",10^12,OFFSET(PLE!$G$15,$M58-$A$15,BG$13)))</f>
        <v>1000000000000</v>
      </c>
    </row>
    <row r="59" spans="1:59" ht="25.5" x14ac:dyDescent="0.2">
      <c r="A59" s="7" t="str">
        <f t="shared" ca="1" si="8"/>
        <v>39</v>
      </c>
      <c r="B59" s="7" t="str">
        <f ca="1">OFFSET(ORÇAMENTO!C$15,ROW(B59)-ROW(B$15),0)</f>
        <v>S</v>
      </c>
      <c r="C59" s="7" t="str">
        <f ca="1">OFFSET(ORÇAMENTO!L$15,ROW(C59)-ROW(C$15),0)</f>
        <v/>
      </c>
      <c r="D59" s="117" t="str">
        <f ca="1">OFFSET(ORÇAMENTO!N$15,ROW(D59)-ROW(D$15),0)</f>
        <v>Serviço</v>
      </c>
      <c r="E59" s="118" t="str">
        <f ca="1">OFFSET(ORÇAMENTO!O$15,ROW(E59)-ROW(E$15),0)</f>
        <v>-</v>
      </c>
      <c r="F59" s="164" t="str">
        <f ca="1">OFFSET(ORÇAMENTO!R$15,ROW(F59)-ROW(F$15),0)</f>
        <v>TOMADA ALTA DE EMBUTIR (1 MÓDULO), 2P+T 10 A, INCLUINDO SUPORTE E PLACA - FORNECIMENTO E INSTALAÇÃO. AF_03/2023</v>
      </c>
      <c r="G59" s="165" t="str">
        <f ca="1">IF($D59&lt;&gt;"Serviço","",OFFSET(ORÇAMENTO!S$15,ROW(G59)-ROW(G$15),0))</f>
        <v>UN</v>
      </c>
      <c r="H59" s="123">
        <f ca="1">IF($D59&lt;&gt;"Serviço",0,IF(ACOMPANHAMENTO="BM",ROUND(OFFSET(ORÇAMENTO!AJ$15,ROW(H59)-ROW(H$15),0),15-13*ORÇAMENTO!$AF$7),SUMPRODUCT(($Q$1:$AA$1=1)*ROUND($Q59:$AA59,15-13*ORÇAMENTO!$AF$7))))</f>
        <v>121</v>
      </c>
      <c r="I59" s="469"/>
      <c r="J59" s="577" t="str" cm="1">
        <f t="array" aca="1" ref="J59" ca="1">IF(B59&lt;&gt;"S","",IF(AND(ACOMPANHAMENTO="PLE",AUTOEVENTO="Manual",OR(H59&gt;0,ORÇAMENTO!AC59="QUANT."),OR(K59="",M59=0,N59="")),"►",IF(AND(ACOMPANHAMENTO="PLE",ORÇAMENTO!AC59="QUANT."),"►►",IF(AND(COUNTIF($P$11:$AA$11,"▼")=0,H59&gt;0,I59=""),"◄",""))))</f>
        <v>◄</v>
      </c>
      <c r="K59" s="626"/>
      <c r="L59" s="166" t="s">
        <v>765</v>
      </c>
      <c r="M59" s="167">
        <f ca="1">IF($D59&lt;&gt;"Serviço","",
          IF(AUTOEVENTO="manual",$A59,
                IF(ISERROR(MATCH($A59,$A$15:OFFSET($A59,-1,0),0)),MAX($M$15:OFFSET(M59,-1,0))+1,
                      INDEX($M$15:OFFSET(M59,-1,0),MATCH($A59,$A$15:OFFSET($A59,-1,0),0)))))</f>
        <v>9</v>
      </c>
      <c r="N59" s="168" t="str">
        <f ca="1">IF($D59&lt;&gt;"Serviço","",
         IF(AUTOEVENTO="Manual",
                IF($A59=0,"&lt;-- defina o número do agrupador",
                       OFFSET(EVENTOS!$D$15,$A59-$A$15,0)),
                OFFSET($F$15,$A59,0)))</f>
        <v>INSTALAÇÕES ELÉTRICAS</v>
      </c>
      <c r="O59" s="169"/>
      <c r="Q59" s="169"/>
      <c r="R59" s="170"/>
      <c r="S59" s="170"/>
      <c r="T59" s="170"/>
      <c r="U59" s="170"/>
      <c r="V59" s="170"/>
      <c r="W59" s="170"/>
      <c r="X59" s="170"/>
      <c r="Y59" s="170"/>
      <c r="Z59" s="171"/>
      <c r="AB59" s="454">
        <f ca="1">IF(AND($D59="Serviço",AB$12&lt;&gt;0,$H59&gt;0,OR(AUTOEVENTO&lt;&gt;"manual",$M59&lt;&gt;$A$15)),
        IF(Import.TipoArredondamento&lt;&gt;"TransfereGOV",
              ROUND(OFFSET($P59,0,AB$13),15-13*ORÇAMENTO!$AF$7)/$H59*OFFSET(ORÇAMENTO!$X$15,ROW(AB59)-ROW(AB$15),0),
              ROUND(ROUND(OFFSET($P59,0,AB$13),15-13*ORÇAMENTO!$AF$7)*OFFSET(ORÇAMENTO!$W$15,ROW(AB59)-ROW(AB$15),0),15-13*ORÇAMENTO!$AF$11)),
         0)</f>
        <v>0</v>
      </c>
      <c r="AC59" s="454">
        <f ca="1">IF(AND($D59="Serviço",AC$12&lt;&gt;0,$H59&gt;0,OR(AUTOEVENTO&lt;&gt;"manual",$M59&lt;&gt;$A$15)),
        IF(Import.TipoArredondamento&lt;&gt;"TransfereGOV",
              ROUND(OFFSET($P59,0,AC$13),15-13*ORÇAMENTO!$AF$7)/$H59*OFFSET(ORÇAMENTO!$X$15,ROW(AC59)-ROW(AC$15),0),
              ROUND(ROUND(OFFSET($P59,0,AC$13),15-13*ORÇAMENTO!$AF$7)*OFFSET(ORÇAMENTO!$W$15,ROW(AC59)-ROW(AC$15),0),15-13*ORÇAMENTO!$AF$11)),
         0)</f>
        <v>0</v>
      </c>
      <c r="AD59" s="454">
        <f ca="1">IF(AND($D59="Serviço",AD$12&lt;&gt;0,$H59&gt;0,OR(AUTOEVENTO&lt;&gt;"manual",$M59&lt;&gt;$A$15)),
        IF(Import.TipoArredondamento&lt;&gt;"TransfereGOV",
              ROUND(OFFSET($P59,0,AD$13),15-13*ORÇAMENTO!$AF$7)/$H59*OFFSET(ORÇAMENTO!$X$15,ROW(AD59)-ROW(AD$15),0),
              ROUND(ROUND(OFFSET($P59,0,AD$13),15-13*ORÇAMENTO!$AF$7)*OFFSET(ORÇAMENTO!$W$15,ROW(AD59)-ROW(AD$15),0),15-13*ORÇAMENTO!$AF$11)),
         0)</f>
        <v>0</v>
      </c>
      <c r="AE59" s="454">
        <f ca="1">IF(AND($D59="Serviço",AE$12&lt;&gt;0,$H59&gt;0,OR(AUTOEVENTO&lt;&gt;"manual",$M59&lt;&gt;$A$15)),
        IF(Import.TipoArredondamento&lt;&gt;"TransfereGOV",
              ROUND(OFFSET($P59,0,AE$13),15-13*ORÇAMENTO!$AF$7)/$H59*OFFSET(ORÇAMENTO!$X$15,ROW(AE59)-ROW(AE$15),0),
              ROUND(ROUND(OFFSET($P59,0,AE$13),15-13*ORÇAMENTO!$AF$7)*OFFSET(ORÇAMENTO!$W$15,ROW(AE59)-ROW(AE$15),0),15-13*ORÇAMENTO!$AF$11)),
         0)</f>
        <v>0</v>
      </c>
      <c r="AF59" s="454">
        <f ca="1">IF(AND($D59="Serviço",AF$12&lt;&gt;0,$H59&gt;0,OR(AUTOEVENTO&lt;&gt;"manual",$M59&lt;&gt;$A$15)),
        IF(Import.TipoArredondamento&lt;&gt;"TransfereGOV",
              ROUND(OFFSET($P59,0,AF$13),15-13*ORÇAMENTO!$AF$7)/$H59*OFFSET(ORÇAMENTO!$X$15,ROW(AF59)-ROW(AF$15),0),
              ROUND(ROUND(OFFSET($P59,0,AF$13),15-13*ORÇAMENTO!$AF$7)*OFFSET(ORÇAMENTO!$W$15,ROW(AF59)-ROW(AF$15),0),15-13*ORÇAMENTO!$AF$11)),
         0)</f>
        <v>0</v>
      </c>
      <c r="AG59" s="454">
        <f ca="1">IF(AND($D59="Serviço",AG$12&lt;&gt;0,$H59&gt;0,OR(AUTOEVENTO&lt;&gt;"manual",$M59&lt;&gt;$A$15)),
        IF(Import.TipoArredondamento&lt;&gt;"TransfereGOV",
              ROUND(OFFSET($P59,0,AG$13),15-13*ORÇAMENTO!$AF$7)/$H59*OFFSET(ORÇAMENTO!$X$15,ROW(AG59)-ROW(AG$15),0),
              ROUND(ROUND(OFFSET($P59,0,AG$13),15-13*ORÇAMENTO!$AF$7)*OFFSET(ORÇAMENTO!$W$15,ROW(AG59)-ROW(AG$15),0),15-13*ORÇAMENTO!$AF$11)),
         0)</f>
        <v>0</v>
      </c>
      <c r="AH59" s="454">
        <f ca="1">IF(AND($D59="Serviço",AH$12&lt;&gt;0,$H59&gt;0,OR(AUTOEVENTO&lt;&gt;"manual",$M59&lt;&gt;$A$15)),
        IF(Import.TipoArredondamento&lt;&gt;"TransfereGOV",
              ROUND(OFFSET($P59,0,AH$13),15-13*ORÇAMENTO!$AF$7)/$H59*OFFSET(ORÇAMENTO!$X$15,ROW(AH59)-ROW(AH$15),0),
              ROUND(ROUND(OFFSET($P59,0,AH$13),15-13*ORÇAMENTO!$AF$7)*OFFSET(ORÇAMENTO!$W$15,ROW(AH59)-ROW(AH$15),0),15-13*ORÇAMENTO!$AF$11)),
         0)</f>
        <v>0</v>
      </c>
      <c r="AI59" s="454">
        <f ca="1">IF(AND($D59="Serviço",AI$12&lt;&gt;0,$H59&gt;0,OR(AUTOEVENTO&lt;&gt;"manual",$M59&lt;&gt;$A$15)),
        IF(Import.TipoArredondamento&lt;&gt;"TransfereGOV",
              ROUND(OFFSET($P59,0,AI$13),15-13*ORÇAMENTO!$AF$7)/$H59*OFFSET(ORÇAMENTO!$X$15,ROW(AI59)-ROW(AI$15),0),
              ROUND(ROUND(OFFSET($P59,0,AI$13),15-13*ORÇAMENTO!$AF$7)*OFFSET(ORÇAMENTO!$W$15,ROW(AI59)-ROW(AI$15),0),15-13*ORÇAMENTO!$AF$11)),
         0)</f>
        <v>0</v>
      </c>
      <c r="AJ59" s="454">
        <f ca="1">IF(AND($D59="Serviço",AJ$12&lt;&gt;0,$H59&gt;0,OR(AUTOEVENTO&lt;&gt;"manual",$M59&lt;&gt;$A$15)),
        IF(Import.TipoArredondamento&lt;&gt;"TransfereGOV",
              ROUND(OFFSET($P59,0,AJ$13),15-13*ORÇAMENTO!$AF$7)/$H59*OFFSET(ORÇAMENTO!$X$15,ROW(AJ59)-ROW(AJ$15),0),
              ROUND(ROUND(OFFSET($P59,0,AJ$13),15-13*ORÇAMENTO!$AF$7)*OFFSET(ORÇAMENTO!$W$15,ROW(AJ59)-ROW(AJ$15),0),15-13*ORÇAMENTO!$AF$11)),
         0)</f>
        <v>0</v>
      </c>
      <c r="AK59" s="454">
        <f ca="1">IF(AND($D59="Serviço",AK$12&lt;&gt;0,$H59&gt;0,OR(AUTOEVENTO&lt;&gt;"manual",$M59&lt;&gt;$A$15)),
        IF(Import.TipoArredondamento&lt;&gt;"TransfereGOV",
              ROUND(OFFSET($P59,0,AK$13),15-13*ORÇAMENTO!$AF$7)/$H59*OFFSET(ORÇAMENTO!$X$15,ROW(AK59)-ROW(AK$15),0),
              ROUND(ROUND(OFFSET($P59,0,AK$13),15-13*ORÇAMENTO!$AF$7)*OFFSET(ORÇAMENTO!$W$15,ROW(AK59)-ROW(AK$15),0),15-13*ORÇAMENTO!$AF$11)),
         0)</f>
        <v>0</v>
      </c>
      <c r="AM59" s="172">
        <f ca="1">IF(OR($D59&lt;&gt;"Serviço",AND(AUTOEVENTO="Manual",$M59=$A$15)),0,
         IF(OFFSET(CRONOPLE!$F$15,$M59-$A$15,AM$13)="",10^12,OFFSET(CRONOPLE!$F$15,$M59-$A$15,AM$13)))</f>
        <v>1000000000000</v>
      </c>
      <c r="AN59" s="172">
        <f ca="1">IF(OR($D59&lt;&gt;"Serviço",AND(AUTOEVENTO="Manual",$M59=$A$15)),0,
         IF(OFFSET(CRONOPLE!$F$15,$M59-$A$15,AN$13)="",10^12,OFFSET(CRONOPLE!$F$15,$M59-$A$15,AN$13)))</f>
        <v>1000000000000</v>
      </c>
      <c r="AO59" s="172">
        <f ca="1">IF(OR($D59&lt;&gt;"Serviço",AND(AUTOEVENTO="Manual",$M59=$A$15)),0,
         IF(OFFSET(CRONOPLE!$F$15,$M59-$A$15,AO$13)="",10^12,OFFSET(CRONOPLE!$F$15,$M59-$A$15,AO$13)))</f>
        <v>1000000000000</v>
      </c>
      <c r="AP59" s="172">
        <f ca="1">IF(OR($D59&lt;&gt;"Serviço",AND(AUTOEVENTO="Manual",$M59=$A$15)),0,
         IF(OFFSET(CRONOPLE!$F$15,$M59-$A$15,AP$13)="",10^12,OFFSET(CRONOPLE!$F$15,$M59-$A$15,AP$13)))</f>
        <v>1000000000000</v>
      </c>
      <c r="AQ59" s="172">
        <f ca="1">IF(OR($D59&lt;&gt;"Serviço",AND(AUTOEVENTO="Manual",$M59=$A$15)),0,
         IF(OFFSET(CRONOPLE!$F$15,$M59-$A$15,AQ$13)="",10^12,OFFSET(CRONOPLE!$F$15,$M59-$A$15,AQ$13)))</f>
        <v>1000000000000</v>
      </c>
      <c r="AR59" s="172">
        <f ca="1">IF(OR($D59&lt;&gt;"Serviço",AND(AUTOEVENTO="Manual",$M59=$A$15)),0,
         IF(OFFSET(CRONOPLE!$F$15,$M59-$A$15,AR$13)="",10^12,OFFSET(CRONOPLE!$F$15,$M59-$A$15,AR$13)))</f>
        <v>1000000000000</v>
      </c>
      <c r="AS59" s="172">
        <f ca="1">IF(OR($D59&lt;&gt;"Serviço",AND(AUTOEVENTO="Manual",$M59=$A$15)),0,
         IF(OFFSET(CRONOPLE!$F$15,$M59-$A$15,AS$13)="",10^12,OFFSET(CRONOPLE!$F$15,$M59-$A$15,AS$13)))</f>
        <v>1000000000000</v>
      </c>
      <c r="AT59" s="172">
        <f ca="1">IF(OR($D59&lt;&gt;"Serviço",AND(AUTOEVENTO="Manual",$M59=$A$15)),0,
         IF(OFFSET(CRONOPLE!$F$15,$M59-$A$15,AT$13)="",10^12,OFFSET(CRONOPLE!$F$15,$M59-$A$15,AT$13)))</f>
        <v>1000000000000</v>
      </c>
      <c r="AU59" s="172">
        <f ca="1">IF(OR($D59&lt;&gt;"Serviço",AND(AUTOEVENTO="Manual",$M59=$A$15)),0,
         IF(OFFSET(CRONOPLE!$F$15,$M59-$A$15,AU$13)="",10^12,OFFSET(CRONOPLE!$F$15,$M59-$A$15,AU$13)))</f>
        <v>1000000000000</v>
      </c>
      <c r="AV59" s="172">
        <f ca="1">IF(OR($D59&lt;&gt;"Serviço",AND(AUTOEVENTO="Manual",$M59=$A$15)),0,
         IF(OFFSET(CRONOPLE!$F$15,$M59-$A$15,AV$13)="",10^12,OFFSET(CRONOPLE!$F$15,$M59-$A$15,AV$13)))</f>
        <v>1000000000000</v>
      </c>
      <c r="AX59" s="173">
        <f ca="1">IF(OR($D59&lt;&gt;"Serviço",AND(AUTOEVENTO="Manual",$M59=$A$15),$M59&gt;(ROW(PLE.lastrow)-ROW(PLE.firstrow))),0,
           IF(OFFSET(PLE!$G$15,$M59-$A$15,AX$13)="",10^12,OFFSET(PLE!$G$15,$M59-$A$15,AX$13)))</f>
        <v>1000000000000</v>
      </c>
      <c r="AY59" s="173">
        <f ca="1">IF(OR($D59&lt;&gt;"Serviço",AND(AUTOEVENTO="Manual",$M59=$A$15),$M59&gt;(ROW(PLE.lastrow)-ROW(PLE.firstrow))),0,
           IF(OFFSET(PLE!$G$15,$M59-$A$15,AY$13)="",10^12,OFFSET(PLE!$G$15,$M59-$A$15,AY$13)))</f>
        <v>1000000000000</v>
      </c>
      <c r="AZ59" s="173">
        <f ca="1">IF(OR($D59&lt;&gt;"Serviço",AND(AUTOEVENTO="Manual",$M59=$A$15),$M59&gt;(ROW(PLE.lastrow)-ROW(PLE.firstrow))),0,
           IF(OFFSET(PLE!$G$15,$M59-$A$15,AZ$13)="",10^12,OFFSET(PLE!$G$15,$M59-$A$15,AZ$13)))</f>
        <v>1000000000000</v>
      </c>
      <c r="BA59" s="173">
        <f ca="1">IF(OR($D59&lt;&gt;"Serviço",AND(AUTOEVENTO="Manual",$M59=$A$15),$M59&gt;(ROW(PLE.lastrow)-ROW(PLE.firstrow))),0,
           IF(OFFSET(PLE!$G$15,$M59-$A$15,BA$13)="",10^12,OFFSET(PLE!$G$15,$M59-$A$15,BA$13)))</f>
        <v>1000000000000</v>
      </c>
      <c r="BB59" s="173">
        <f ca="1">IF(OR($D59&lt;&gt;"Serviço",AND(AUTOEVENTO="Manual",$M59=$A$15),$M59&gt;(ROW(PLE.lastrow)-ROW(PLE.firstrow))),0,
           IF(OFFSET(PLE!$G$15,$M59-$A$15,BB$13)="",10^12,OFFSET(PLE!$G$15,$M59-$A$15,BB$13)))</f>
        <v>1000000000000</v>
      </c>
      <c r="BC59" s="173">
        <f ca="1">IF(OR($D59&lt;&gt;"Serviço",AND(AUTOEVENTO="Manual",$M59=$A$15),$M59&gt;(ROW(PLE.lastrow)-ROW(PLE.firstrow))),0,
           IF(OFFSET(PLE!$G$15,$M59-$A$15,BC$13)="",10^12,OFFSET(PLE!$G$15,$M59-$A$15,BC$13)))</f>
        <v>1000000000000</v>
      </c>
      <c r="BD59" s="173">
        <f ca="1">IF(OR($D59&lt;&gt;"Serviço",AND(AUTOEVENTO="Manual",$M59=$A$15),$M59&gt;(ROW(PLE.lastrow)-ROW(PLE.firstrow))),0,
           IF(OFFSET(PLE!$G$15,$M59-$A$15,BD$13)="",10^12,OFFSET(PLE!$G$15,$M59-$A$15,BD$13)))</f>
        <v>1000000000000</v>
      </c>
      <c r="BE59" s="173">
        <f ca="1">IF(OR($D59&lt;&gt;"Serviço",AND(AUTOEVENTO="Manual",$M59=$A$15),$M59&gt;(ROW(PLE.lastrow)-ROW(PLE.firstrow))),0,
           IF(OFFSET(PLE!$G$15,$M59-$A$15,BE$13)="",10^12,OFFSET(PLE!$G$15,$M59-$A$15,BE$13)))</f>
        <v>1000000000000</v>
      </c>
      <c r="BF59" s="173">
        <f ca="1">IF(OR($D59&lt;&gt;"Serviço",AND(AUTOEVENTO="Manual",$M59=$A$15),$M59&gt;(ROW(PLE.lastrow)-ROW(PLE.firstrow))),0,
           IF(OFFSET(PLE!$G$15,$M59-$A$15,BF$13)="",10^12,OFFSET(PLE!$G$15,$M59-$A$15,BF$13)))</f>
        <v>1000000000000</v>
      </c>
      <c r="BG59" s="173">
        <f ca="1">IF(OR($D59&lt;&gt;"Serviço",AND(AUTOEVENTO="Manual",$M59=$A$15),$M59&gt;(ROW(PLE.lastrow)-ROW(PLE.firstrow))),0,
           IF(OFFSET(PLE!$G$15,$M59-$A$15,BG$13)="",10^12,OFFSET(PLE!$G$15,$M59-$A$15,BG$13)))</f>
        <v>1000000000000</v>
      </c>
    </row>
    <row r="60" spans="1:59" ht="25.5" x14ac:dyDescent="0.2">
      <c r="A60" s="7" t="str">
        <f t="shared" ca="1" si="8"/>
        <v>39</v>
      </c>
      <c r="B60" s="7" t="str">
        <f ca="1">OFFSET(ORÇAMENTO!C$15,ROW(B60)-ROW(B$15),0)</f>
        <v>S</v>
      </c>
      <c r="C60" s="7" t="str">
        <f ca="1">OFFSET(ORÇAMENTO!L$15,ROW(C60)-ROW(C$15),0)</f>
        <v/>
      </c>
      <c r="D60" s="117" t="str">
        <f ca="1">OFFSET(ORÇAMENTO!N$15,ROW(D60)-ROW(D$15),0)</f>
        <v>Serviço</v>
      </c>
      <c r="E60" s="118" t="str">
        <f ca="1">OFFSET(ORÇAMENTO!O$15,ROW(E60)-ROW(E$15),0)</f>
        <v>-</v>
      </c>
      <c r="F60" s="164" t="str">
        <f ca="1">OFFSET(ORÇAMENTO!R$15,ROW(F60)-ROW(F$15),0)</f>
        <v>TOMADA BAIXA DE EMBUTIR (2 MÓDULOS), 2P+T 10 A, INCLUINDO SUPORTE E PLACA - FORNECIMENTO E INSTALAÇÃO. AF_03/2023</v>
      </c>
      <c r="G60" s="165" t="str">
        <f ca="1">IF($D60&lt;&gt;"Serviço","",OFFSET(ORÇAMENTO!S$15,ROW(G60)-ROW(G$15),0))</f>
        <v>UN</v>
      </c>
      <c r="H60" s="123">
        <f ca="1">IF($D60&lt;&gt;"Serviço",0,IF(ACOMPANHAMENTO="BM",ROUND(OFFSET(ORÇAMENTO!AJ$15,ROW(H60)-ROW(H$15),0),15-13*ORÇAMENTO!$AF$7),SUMPRODUCT(($Q$1:$AA$1=1)*ROUND($Q60:$AA60,15-13*ORÇAMENTO!$AF$7))))</f>
        <v>8</v>
      </c>
      <c r="I60" s="469"/>
      <c r="J60" s="577" t="str" cm="1">
        <f t="array" aca="1" ref="J60" ca="1">IF(B60&lt;&gt;"S","",IF(AND(ACOMPANHAMENTO="PLE",AUTOEVENTO="Manual",OR(H60&gt;0,ORÇAMENTO!AC60="QUANT."),OR(K60="",M60=0,N60="")),"►",IF(AND(ACOMPANHAMENTO="PLE",ORÇAMENTO!AC60="QUANT."),"►►",IF(AND(COUNTIF($P$11:$AA$11,"▼")=0,H60&gt;0,I60=""),"◄",""))))</f>
        <v>◄</v>
      </c>
      <c r="K60" s="626"/>
      <c r="L60" s="166" t="s">
        <v>765</v>
      </c>
      <c r="M60" s="167">
        <f ca="1">IF($D60&lt;&gt;"Serviço","",
          IF(AUTOEVENTO="manual",$A60,
                IF(ISERROR(MATCH($A60,$A$15:OFFSET($A60,-1,0),0)),MAX($M$15:OFFSET(M60,-1,0))+1,
                      INDEX($M$15:OFFSET(M60,-1,0),MATCH($A60,$A$15:OFFSET($A60,-1,0),0)))))</f>
        <v>9</v>
      </c>
      <c r="N60" s="168" t="str">
        <f ca="1">IF($D60&lt;&gt;"Serviço","",
         IF(AUTOEVENTO="Manual",
                IF($A60=0,"&lt;-- defina o número do agrupador",
                       OFFSET(EVENTOS!$D$15,$A60-$A$15,0)),
                OFFSET($F$15,$A60,0)))</f>
        <v>INSTALAÇÕES ELÉTRICAS</v>
      </c>
      <c r="O60" s="169"/>
      <c r="Q60" s="169"/>
      <c r="R60" s="170"/>
      <c r="S60" s="170"/>
      <c r="T60" s="170"/>
      <c r="U60" s="170"/>
      <c r="V60" s="170"/>
      <c r="W60" s="170"/>
      <c r="X60" s="170"/>
      <c r="Y60" s="170"/>
      <c r="Z60" s="171"/>
      <c r="AB60" s="454">
        <f ca="1">IF(AND($D60="Serviço",AB$12&lt;&gt;0,$H60&gt;0,OR(AUTOEVENTO&lt;&gt;"manual",$M60&lt;&gt;$A$15)),
        IF(Import.TipoArredondamento&lt;&gt;"TransfereGOV",
              ROUND(OFFSET($P60,0,AB$13),15-13*ORÇAMENTO!$AF$7)/$H60*OFFSET(ORÇAMENTO!$X$15,ROW(AB60)-ROW(AB$15),0),
              ROUND(ROUND(OFFSET($P60,0,AB$13),15-13*ORÇAMENTO!$AF$7)*OFFSET(ORÇAMENTO!$W$15,ROW(AB60)-ROW(AB$15),0),15-13*ORÇAMENTO!$AF$11)),
         0)</f>
        <v>0</v>
      </c>
      <c r="AC60" s="454">
        <f ca="1">IF(AND($D60="Serviço",AC$12&lt;&gt;0,$H60&gt;0,OR(AUTOEVENTO&lt;&gt;"manual",$M60&lt;&gt;$A$15)),
        IF(Import.TipoArredondamento&lt;&gt;"TransfereGOV",
              ROUND(OFFSET($P60,0,AC$13),15-13*ORÇAMENTO!$AF$7)/$H60*OFFSET(ORÇAMENTO!$X$15,ROW(AC60)-ROW(AC$15),0),
              ROUND(ROUND(OFFSET($P60,0,AC$13),15-13*ORÇAMENTO!$AF$7)*OFFSET(ORÇAMENTO!$W$15,ROW(AC60)-ROW(AC$15),0),15-13*ORÇAMENTO!$AF$11)),
         0)</f>
        <v>0</v>
      </c>
      <c r="AD60" s="454">
        <f ca="1">IF(AND($D60="Serviço",AD$12&lt;&gt;0,$H60&gt;0,OR(AUTOEVENTO&lt;&gt;"manual",$M60&lt;&gt;$A$15)),
        IF(Import.TipoArredondamento&lt;&gt;"TransfereGOV",
              ROUND(OFFSET($P60,0,AD$13),15-13*ORÇAMENTO!$AF$7)/$H60*OFFSET(ORÇAMENTO!$X$15,ROW(AD60)-ROW(AD$15),0),
              ROUND(ROUND(OFFSET($P60,0,AD$13),15-13*ORÇAMENTO!$AF$7)*OFFSET(ORÇAMENTO!$W$15,ROW(AD60)-ROW(AD$15),0),15-13*ORÇAMENTO!$AF$11)),
         0)</f>
        <v>0</v>
      </c>
      <c r="AE60" s="454">
        <f ca="1">IF(AND($D60="Serviço",AE$12&lt;&gt;0,$H60&gt;0,OR(AUTOEVENTO&lt;&gt;"manual",$M60&lt;&gt;$A$15)),
        IF(Import.TipoArredondamento&lt;&gt;"TransfereGOV",
              ROUND(OFFSET($P60,0,AE$13),15-13*ORÇAMENTO!$AF$7)/$H60*OFFSET(ORÇAMENTO!$X$15,ROW(AE60)-ROW(AE$15),0),
              ROUND(ROUND(OFFSET($P60,0,AE$13),15-13*ORÇAMENTO!$AF$7)*OFFSET(ORÇAMENTO!$W$15,ROW(AE60)-ROW(AE$15),0),15-13*ORÇAMENTO!$AF$11)),
         0)</f>
        <v>0</v>
      </c>
      <c r="AF60" s="454">
        <f ca="1">IF(AND($D60="Serviço",AF$12&lt;&gt;0,$H60&gt;0,OR(AUTOEVENTO&lt;&gt;"manual",$M60&lt;&gt;$A$15)),
        IF(Import.TipoArredondamento&lt;&gt;"TransfereGOV",
              ROUND(OFFSET($P60,0,AF$13),15-13*ORÇAMENTO!$AF$7)/$H60*OFFSET(ORÇAMENTO!$X$15,ROW(AF60)-ROW(AF$15),0),
              ROUND(ROUND(OFFSET($P60,0,AF$13),15-13*ORÇAMENTO!$AF$7)*OFFSET(ORÇAMENTO!$W$15,ROW(AF60)-ROW(AF$15),0),15-13*ORÇAMENTO!$AF$11)),
         0)</f>
        <v>0</v>
      </c>
      <c r="AG60" s="454">
        <f ca="1">IF(AND($D60="Serviço",AG$12&lt;&gt;0,$H60&gt;0,OR(AUTOEVENTO&lt;&gt;"manual",$M60&lt;&gt;$A$15)),
        IF(Import.TipoArredondamento&lt;&gt;"TransfereGOV",
              ROUND(OFFSET($P60,0,AG$13),15-13*ORÇAMENTO!$AF$7)/$H60*OFFSET(ORÇAMENTO!$X$15,ROW(AG60)-ROW(AG$15),0),
              ROUND(ROUND(OFFSET($P60,0,AG$13),15-13*ORÇAMENTO!$AF$7)*OFFSET(ORÇAMENTO!$W$15,ROW(AG60)-ROW(AG$15),0),15-13*ORÇAMENTO!$AF$11)),
         0)</f>
        <v>0</v>
      </c>
      <c r="AH60" s="454">
        <f ca="1">IF(AND($D60="Serviço",AH$12&lt;&gt;0,$H60&gt;0,OR(AUTOEVENTO&lt;&gt;"manual",$M60&lt;&gt;$A$15)),
        IF(Import.TipoArredondamento&lt;&gt;"TransfereGOV",
              ROUND(OFFSET($P60,0,AH$13),15-13*ORÇAMENTO!$AF$7)/$H60*OFFSET(ORÇAMENTO!$X$15,ROW(AH60)-ROW(AH$15),0),
              ROUND(ROUND(OFFSET($P60,0,AH$13),15-13*ORÇAMENTO!$AF$7)*OFFSET(ORÇAMENTO!$W$15,ROW(AH60)-ROW(AH$15),0),15-13*ORÇAMENTO!$AF$11)),
         0)</f>
        <v>0</v>
      </c>
      <c r="AI60" s="454">
        <f ca="1">IF(AND($D60="Serviço",AI$12&lt;&gt;0,$H60&gt;0,OR(AUTOEVENTO&lt;&gt;"manual",$M60&lt;&gt;$A$15)),
        IF(Import.TipoArredondamento&lt;&gt;"TransfereGOV",
              ROUND(OFFSET($P60,0,AI$13),15-13*ORÇAMENTO!$AF$7)/$H60*OFFSET(ORÇAMENTO!$X$15,ROW(AI60)-ROW(AI$15),0),
              ROUND(ROUND(OFFSET($P60,0,AI$13),15-13*ORÇAMENTO!$AF$7)*OFFSET(ORÇAMENTO!$W$15,ROW(AI60)-ROW(AI$15),0),15-13*ORÇAMENTO!$AF$11)),
         0)</f>
        <v>0</v>
      </c>
      <c r="AJ60" s="454">
        <f ca="1">IF(AND($D60="Serviço",AJ$12&lt;&gt;0,$H60&gt;0,OR(AUTOEVENTO&lt;&gt;"manual",$M60&lt;&gt;$A$15)),
        IF(Import.TipoArredondamento&lt;&gt;"TransfereGOV",
              ROUND(OFFSET($P60,0,AJ$13),15-13*ORÇAMENTO!$AF$7)/$H60*OFFSET(ORÇAMENTO!$X$15,ROW(AJ60)-ROW(AJ$15),0),
              ROUND(ROUND(OFFSET($P60,0,AJ$13),15-13*ORÇAMENTO!$AF$7)*OFFSET(ORÇAMENTO!$W$15,ROW(AJ60)-ROW(AJ$15),0),15-13*ORÇAMENTO!$AF$11)),
         0)</f>
        <v>0</v>
      </c>
      <c r="AK60" s="454">
        <f ca="1">IF(AND($D60="Serviço",AK$12&lt;&gt;0,$H60&gt;0,OR(AUTOEVENTO&lt;&gt;"manual",$M60&lt;&gt;$A$15)),
        IF(Import.TipoArredondamento&lt;&gt;"TransfereGOV",
              ROUND(OFFSET($P60,0,AK$13),15-13*ORÇAMENTO!$AF$7)/$H60*OFFSET(ORÇAMENTO!$X$15,ROW(AK60)-ROW(AK$15),0),
              ROUND(ROUND(OFFSET($P60,0,AK$13),15-13*ORÇAMENTO!$AF$7)*OFFSET(ORÇAMENTO!$W$15,ROW(AK60)-ROW(AK$15),0),15-13*ORÇAMENTO!$AF$11)),
         0)</f>
        <v>0</v>
      </c>
      <c r="AM60" s="172">
        <f ca="1">IF(OR($D60&lt;&gt;"Serviço",AND(AUTOEVENTO="Manual",$M60=$A$15)),0,
         IF(OFFSET(CRONOPLE!$F$15,$M60-$A$15,AM$13)="",10^12,OFFSET(CRONOPLE!$F$15,$M60-$A$15,AM$13)))</f>
        <v>1000000000000</v>
      </c>
      <c r="AN60" s="172">
        <f ca="1">IF(OR($D60&lt;&gt;"Serviço",AND(AUTOEVENTO="Manual",$M60=$A$15)),0,
         IF(OFFSET(CRONOPLE!$F$15,$M60-$A$15,AN$13)="",10^12,OFFSET(CRONOPLE!$F$15,$M60-$A$15,AN$13)))</f>
        <v>1000000000000</v>
      </c>
      <c r="AO60" s="172">
        <f ca="1">IF(OR($D60&lt;&gt;"Serviço",AND(AUTOEVENTO="Manual",$M60=$A$15)),0,
         IF(OFFSET(CRONOPLE!$F$15,$M60-$A$15,AO$13)="",10^12,OFFSET(CRONOPLE!$F$15,$M60-$A$15,AO$13)))</f>
        <v>1000000000000</v>
      </c>
      <c r="AP60" s="172">
        <f ca="1">IF(OR($D60&lt;&gt;"Serviço",AND(AUTOEVENTO="Manual",$M60=$A$15)),0,
         IF(OFFSET(CRONOPLE!$F$15,$M60-$A$15,AP$13)="",10^12,OFFSET(CRONOPLE!$F$15,$M60-$A$15,AP$13)))</f>
        <v>1000000000000</v>
      </c>
      <c r="AQ60" s="172">
        <f ca="1">IF(OR($D60&lt;&gt;"Serviço",AND(AUTOEVENTO="Manual",$M60=$A$15)),0,
         IF(OFFSET(CRONOPLE!$F$15,$M60-$A$15,AQ$13)="",10^12,OFFSET(CRONOPLE!$F$15,$M60-$A$15,AQ$13)))</f>
        <v>1000000000000</v>
      </c>
      <c r="AR60" s="172">
        <f ca="1">IF(OR($D60&lt;&gt;"Serviço",AND(AUTOEVENTO="Manual",$M60=$A$15)),0,
         IF(OFFSET(CRONOPLE!$F$15,$M60-$A$15,AR$13)="",10^12,OFFSET(CRONOPLE!$F$15,$M60-$A$15,AR$13)))</f>
        <v>1000000000000</v>
      </c>
      <c r="AS60" s="172">
        <f ca="1">IF(OR($D60&lt;&gt;"Serviço",AND(AUTOEVENTO="Manual",$M60=$A$15)),0,
         IF(OFFSET(CRONOPLE!$F$15,$M60-$A$15,AS$13)="",10^12,OFFSET(CRONOPLE!$F$15,$M60-$A$15,AS$13)))</f>
        <v>1000000000000</v>
      </c>
      <c r="AT60" s="172">
        <f ca="1">IF(OR($D60&lt;&gt;"Serviço",AND(AUTOEVENTO="Manual",$M60=$A$15)),0,
         IF(OFFSET(CRONOPLE!$F$15,$M60-$A$15,AT$13)="",10^12,OFFSET(CRONOPLE!$F$15,$M60-$A$15,AT$13)))</f>
        <v>1000000000000</v>
      </c>
      <c r="AU60" s="172">
        <f ca="1">IF(OR($D60&lt;&gt;"Serviço",AND(AUTOEVENTO="Manual",$M60=$A$15)),0,
         IF(OFFSET(CRONOPLE!$F$15,$M60-$A$15,AU$13)="",10^12,OFFSET(CRONOPLE!$F$15,$M60-$A$15,AU$13)))</f>
        <v>1000000000000</v>
      </c>
      <c r="AV60" s="172">
        <f ca="1">IF(OR($D60&lt;&gt;"Serviço",AND(AUTOEVENTO="Manual",$M60=$A$15)),0,
         IF(OFFSET(CRONOPLE!$F$15,$M60-$A$15,AV$13)="",10^12,OFFSET(CRONOPLE!$F$15,$M60-$A$15,AV$13)))</f>
        <v>1000000000000</v>
      </c>
      <c r="AX60" s="173">
        <f ca="1">IF(OR($D60&lt;&gt;"Serviço",AND(AUTOEVENTO="Manual",$M60=$A$15),$M60&gt;(ROW(PLE.lastrow)-ROW(PLE.firstrow))),0,
           IF(OFFSET(PLE!$G$15,$M60-$A$15,AX$13)="",10^12,OFFSET(PLE!$G$15,$M60-$A$15,AX$13)))</f>
        <v>1000000000000</v>
      </c>
      <c r="AY60" s="173">
        <f ca="1">IF(OR($D60&lt;&gt;"Serviço",AND(AUTOEVENTO="Manual",$M60=$A$15),$M60&gt;(ROW(PLE.lastrow)-ROW(PLE.firstrow))),0,
           IF(OFFSET(PLE!$G$15,$M60-$A$15,AY$13)="",10^12,OFFSET(PLE!$G$15,$M60-$A$15,AY$13)))</f>
        <v>1000000000000</v>
      </c>
      <c r="AZ60" s="173">
        <f ca="1">IF(OR($D60&lt;&gt;"Serviço",AND(AUTOEVENTO="Manual",$M60=$A$15),$M60&gt;(ROW(PLE.lastrow)-ROW(PLE.firstrow))),0,
           IF(OFFSET(PLE!$G$15,$M60-$A$15,AZ$13)="",10^12,OFFSET(PLE!$G$15,$M60-$A$15,AZ$13)))</f>
        <v>1000000000000</v>
      </c>
      <c r="BA60" s="173">
        <f ca="1">IF(OR($D60&lt;&gt;"Serviço",AND(AUTOEVENTO="Manual",$M60=$A$15),$M60&gt;(ROW(PLE.lastrow)-ROW(PLE.firstrow))),0,
           IF(OFFSET(PLE!$G$15,$M60-$A$15,BA$13)="",10^12,OFFSET(PLE!$G$15,$M60-$A$15,BA$13)))</f>
        <v>1000000000000</v>
      </c>
      <c r="BB60" s="173">
        <f ca="1">IF(OR($D60&lt;&gt;"Serviço",AND(AUTOEVENTO="Manual",$M60=$A$15),$M60&gt;(ROW(PLE.lastrow)-ROW(PLE.firstrow))),0,
           IF(OFFSET(PLE!$G$15,$M60-$A$15,BB$13)="",10^12,OFFSET(PLE!$G$15,$M60-$A$15,BB$13)))</f>
        <v>1000000000000</v>
      </c>
      <c r="BC60" s="173">
        <f ca="1">IF(OR($D60&lt;&gt;"Serviço",AND(AUTOEVENTO="Manual",$M60=$A$15),$M60&gt;(ROW(PLE.lastrow)-ROW(PLE.firstrow))),0,
           IF(OFFSET(PLE!$G$15,$M60-$A$15,BC$13)="",10^12,OFFSET(PLE!$G$15,$M60-$A$15,BC$13)))</f>
        <v>1000000000000</v>
      </c>
      <c r="BD60" s="173">
        <f ca="1">IF(OR($D60&lt;&gt;"Serviço",AND(AUTOEVENTO="Manual",$M60=$A$15),$M60&gt;(ROW(PLE.lastrow)-ROW(PLE.firstrow))),0,
           IF(OFFSET(PLE!$G$15,$M60-$A$15,BD$13)="",10^12,OFFSET(PLE!$G$15,$M60-$A$15,BD$13)))</f>
        <v>1000000000000</v>
      </c>
      <c r="BE60" s="173">
        <f ca="1">IF(OR($D60&lt;&gt;"Serviço",AND(AUTOEVENTO="Manual",$M60=$A$15),$M60&gt;(ROW(PLE.lastrow)-ROW(PLE.firstrow))),0,
           IF(OFFSET(PLE!$G$15,$M60-$A$15,BE$13)="",10^12,OFFSET(PLE!$G$15,$M60-$A$15,BE$13)))</f>
        <v>1000000000000</v>
      </c>
      <c r="BF60" s="173">
        <f ca="1">IF(OR($D60&lt;&gt;"Serviço",AND(AUTOEVENTO="Manual",$M60=$A$15),$M60&gt;(ROW(PLE.lastrow)-ROW(PLE.firstrow))),0,
           IF(OFFSET(PLE!$G$15,$M60-$A$15,BF$13)="",10^12,OFFSET(PLE!$G$15,$M60-$A$15,BF$13)))</f>
        <v>1000000000000</v>
      </c>
      <c r="BG60" s="173">
        <f ca="1">IF(OR($D60&lt;&gt;"Serviço",AND(AUTOEVENTO="Manual",$M60=$A$15),$M60&gt;(ROW(PLE.lastrow)-ROW(PLE.firstrow))),0,
           IF(OFFSET(PLE!$G$15,$M60-$A$15,BG$13)="",10^12,OFFSET(PLE!$G$15,$M60-$A$15,BG$13)))</f>
        <v>1000000000000</v>
      </c>
    </row>
    <row r="61" spans="1:59" ht="25.5" x14ac:dyDescent="0.2">
      <c r="A61" s="7" t="str">
        <f t="shared" ca="1" si="8"/>
        <v>39</v>
      </c>
      <c r="B61" s="7" t="str">
        <f ca="1">OFFSET(ORÇAMENTO!C$15,ROW(B61)-ROW(B$15),0)</f>
        <v>S</v>
      </c>
      <c r="C61" s="7" t="str">
        <f ca="1">OFFSET(ORÇAMENTO!L$15,ROW(C61)-ROW(C$15),0)</f>
        <v/>
      </c>
      <c r="D61" s="117" t="str">
        <f ca="1">OFFSET(ORÇAMENTO!N$15,ROW(D61)-ROW(D$15),0)</f>
        <v>Serviço</v>
      </c>
      <c r="E61" s="118" t="str">
        <f ca="1">OFFSET(ORÇAMENTO!O$15,ROW(E61)-ROW(E$15),0)</f>
        <v>-</v>
      </c>
      <c r="F61" s="164" t="str">
        <f ca="1">OFFSET(ORÇAMENTO!R$15,ROW(F61)-ROW(F$15),0)</f>
        <v>TOMADA ALTA DE EMBUTIR (1 MÓDULO), 2P+T 20 A, INCLUINDO SUPORTE E PLACA - FORNECIMENTO E INSTALAÇÃO. AF_03/2023</v>
      </c>
      <c r="G61" s="165" t="str">
        <f ca="1">IF($D61&lt;&gt;"Serviço","",OFFSET(ORÇAMENTO!S$15,ROW(G61)-ROW(G$15),0))</f>
        <v>UN</v>
      </c>
      <c r="H61" s="123">
        <f ca="1">IF($D61&lt;&gt;"Serviço",0,IF(ACOMPANHAMENTO="BM",ROUND(OFFSET(ORÇAMENTO!AJ$15,ROW(H61)-ROW(H$15),0),15-13*ORÇAMENTO!$AF$7),SUMPRODUCT(($Q$1:$AA$1=1)*ROUND($Q61:$AA61,15-13*ORÇAMENTO!$AF$7))))</f>
        <v>2</v>
      </c>
      <c r="I61" s="469"/>
      <c r="J61" s="577" t="str" cm="1">
        <f t="array" aca="1" ref="J61" ca="1">IF(B61&lt;&gt;"S","",IF(AND(ACOMPANHAMENTO="PLE",AUTOEVENTO="Manual",OR(H61&gt;0,ORÇAMENTO!AC61="QUANT."),OR(K61="",M61=0,N61="")),"►",IF(AND(ACOMPANHAMENTO="PLE",ORÇAMENTO!AC61="QUANT."),"►►",IF(AND(COUNTIF($P$11:$AA$11,"▼")=0,H61&gt;0,I61=""),"◄",""))))</f>
        <v>◄</v>
      </c>
      <c r="K61" s="626"/>
      <c r="L61" s="166" t="s">
        <v>765</v>
      </c>
      <c r="M61" s="167">
        <f ca="1">IF($D61&lt;&gt;"Serviço","",
          IF(AUTOEVENTO="manual",$A61,
                IF(ISERROR(MATCH($A61,$A$15:OFFSET($A61,-1,0),0)),MAX($M$15:OFFSET(M61,-1,0))+1,
                      INDEX($M$15:OFFSET(M61,-1,0),MATCH($A61,$A$15:OFFSET($A61,-1,0),0)))))</f>
        <v>9</v>
      </c>
      <c r="N61" s="168" t="str">
        <f ca="1">IF($D61&lt;&gt;"Serviço","",
         IF(AUTOEVENTO="Manual",
                IF($A61=0,"&lt;-- defina o número do agrupador",
                       OFFSET(EVENTOS!$D$15,$A61-$A$15,0)),
                OFFSET($F$15,$A61,0)))</f>
        <v>INSTALAÇÕES ELÉTRICAS</v>
      </c>
      <c r="O61" s="169"/>
      <c r="Q61" s="169"/>
      <c r="R61" s="170"/>
      <c r="S61" s="170"/>
      <c r="T61" s="170"/>
      <c r="U61" s="170"/>
      <c r="V61" s="170"/>
      <c r="W61" s="170"/>
      <c r="X61" s="170"/>
      <c r="Y61" s="170"/>
      <c r="Z61" s="171"/>
      <c r="AB61" s="454">
        <f ca="1">IF(AND($D61="Serviço",AB$12&lt;&gt;0,$H61&gt;0,OR(AUTOEVENTO&lt;&gt;"manual",$M61&lt;&gt;$A$15)),
        IF(Import.TipoArredondamento&lt;&gt;"TransfereGOV",
              ROUND(OFFSET($P61,0,AB$13),15-13*ORÇAMENTO!$AF$7)/$H61*OFFSET(ORÇAMENTO!$X$15,ROW(AB61)-ROW(AB$15),0),
              ROUND(ROUND(OFFSET($P61,0,AB$13),15-13*ORÇAMENTO!$AF$7)*OFFSET(ORÇAMENTO!$W$15,ROW(AB61)-ROW(AB$15),0),15-13*ORÇAMENTO!$AF$11)),
         0)</f>
        <v>0</v>
      </c>
      <c r="AC61" s="454">
        <f ca="1">IF(AND($D61="Serviço",AC$12&lt;&gt;0,$H61&gt;0,OR(AUTOEVENTO&lt;&gt;"manual",$M61&lt;&gt;$A$15)),
        IF(Import.TipoArredondamento&lt;&gt;"TransfereGOV",
              ROUND(OFFSET($P61,0,AC$13),15-13*ORÇAMENTO!$AF$7)/$H61*OFFSET(ORÇAMENTO!$X$15,ROW(AC61)-ROW(AC$15),0),
              ROUND(ROUND(OFFSET($P61,0,AC$13),15-13*ORÇAMENTO!$AF$7)*OFFSET(ORÇAMENTO!$W$15,ROW(AC61)-ROW(AC$15),0),15-13*ORÇAMENTO!$AF$11)),
         0)</f>
        <v>0</v>
      </c>
      <c r="AD61" s="454">
        <f ca="1">IF(AND($D61="Serviço",AD$12&lt;&gt;0,$H61&gt;0,OR(AUTOEVENTO&lt;&gt;"manual",$M61&lt;&gt;$A$15)),
        IF(Import.TipoArredondamento&lt;&gt;"TransfereGOV",
              ROUND(OFFSET($P61,0,AD$13),15-13*ORÇAMENTO!$AF$7)/$H61*OFFSET(ORÇAMENTO!$X$15,ROW(AD61)-ROW(AD$15),0),
              ROUND(ROUND(OFFSET($P61,0,AD$13),15-13*ORÇAMENTO!$AF$7)*OFFSET(ORÇAMENTO!$W$15,ROW(AD61)-ROW(AD$15),0),15-13*ORÇAMENTO!$AF$11)),
         0)</f>
        <v>0</v>
      </c>
      <c r="AE61" s="454">
        <f ca="1">IF(AND($D61="Serviço",AE$12&lt;&gt;0,$H61&gt;0,OR(AUTOEVENTO&lt;&gt;"manual",$M61&lt;&gt;$A$15)),
        IF(Import.TipoArredondamento&lt;&gt;"TransfereGOV",
              ROUND(OFFSET($P61,0,AE$13),15-13*ORÇAMENTO!$AF$7)/$H61*OFFSET(ORÇAMENTO!$X$15,ROW(AE61)-ROW(AE$15),0),
              ROUND(ROUND(OFFSET($P61,0,AE$13),15-13*ORÇAMENTO!$AF$7)*OFFSET(ORÇAMENTO!$W$15,ROW(AE61)-ROW(AE$15),0),15-13*ORÇAMENTO!$AF$11)),
         0)</f>
        <v>0</v>
      </c>
      <c r="AF61" s="454">
        <f ca="1">IF(AND($D61="Serviço",AF$12&lt;&gt;0,$H61&gt;0,OR(AUTOEVENTO&lt;&gt;"manual",$M61&lt;&gt;$A$15)),
        IF(Import.TipoArredondamento&lt;&gt;"TransfereGOV",
              ROUND(OFFSET($P61,0,AF$13),15-13*ORÇAMENTO!$AF$7)/$H61*OFFSET(ORÇAMENTO!$X$15,ROW(AF61)-ROW(AF$15),0),
              ROUND(ROUND(OFFSET($P61,0,AF$13),15-13*ORÇAMENTO!$AF$7)*OFFSET(ORÇAMENTO!$W$15,ROW(AF61)-ROW(AF$15),0),15-13*ORÇAMENTO!$AF$11)),
         0)</f>
        <v>0</v>
      </c>
      <c r="AG61" s="454">
        <f ca="1">IF(AND($D61="Serviço",AG$12&lt;&gt;0,$H61&gt;0,OR(AUTOEVENTO&lt;&gt;"manual",$M61&lt;&gt;$A$15)),
        IF(Import.TipoArredondamento&lt;&gt;"TransfereGOV",
              ROUND(OFFSET($P61,0,AG$13),15-13*ORÇAMENTO!$AF$7)/$H61*OFFSET(ORÇAMENTO!$X$15,ROW(AG61)-ROW(AG$15),0),
              ROUND(ROUND(OFFSET($P61,0,AG$13),15-13*ORÇAMENTO!$AF$7)*OFFSET(ORÇAMENTO!$W$15,ROW(AG61)-ROW(AG$15),0),15-13*ORÇAMENTO!$AF$11)),
         0)</f>
        <v>0</v>
      </c>
      <c r="AH61" s="454">
        <f ca="1">IF(AND($D61="Serviço",AH$12&lt;&gt;0,$H61&gt;0,OR(AUTOEVENTO&lt;&gt;"manual",$M61&lt;&gt;$A$15)),
        IF(Import.TipoArredondamento&lt;&gt;"TransfereGOV",
              ROUND(OFFSET($P61,0,AH$13),15-13*ORÇAMENTO!$AF$7)/$H61*OFFSET(ORÇAMENTO!$X$15,ROW(AH61)-ROW(AH$15),0),
              ROUND(ROUND(OFFSET($P61,0,AH$13),15-13*ORÇAMENTO!$AF$7)*OFFSET(ORÇAMENTO!$W$15,ROW(AH61)-ROW(AH$15),0),15-13*ORÇAMENTO!$AF$11)),
         0)</f>
        <v>0</v>
      </c>
      <c r="AI61" s="454">
        <f ca="1">IF(AND($D61="Serviço",AI$12&lt;&gt;0,$H61&gt;0,OR(AUTOEVENTO&lt;&gt;"manual",$M61&lt;&gt;$A$15)),
        IF(Import.TipoArredondamento&lt;&gt;"TransfereGOV",
              ROUND(OFFSET($P61,0,AI$13),15-13*ORÇAMENTO!$AF$7)/$H61*OFFSET(ORÇAMENTO!$X$15,ROW(AI61)-ROW(AI$15),0),
              ROUND(ROUND(OFFSET($P61,0,AI$13),15-13*ORÇAMENTO!$AF$7)*OFFSET(ORÇAMENTO!$W$15,ROW(AI61)-ROW(AI$15),0),15-13*ORÇAMENTO!$AF$11)),
         0)</f>
        <v>0</v>
      </c>
      <c r="AJ61" s="454">
        <f ca="1">IF(AND($D61="Serviço",AJ$12&lt;&gt;0,$H61&gt;0,OR(AUTOEVENTO&lt;&gt;"manual",$M61&lt;&gt;$A$15)),
        IF(Import.TipoArredondamento&lt;&gt;"TransfereGOV",
              ROUND(OFFSET($P61,0,AJ$13),15-13*ORÇAMENTO!$AF$7)/$H61*OFFSET(ORÇAMENTO!$X$15,ROW(AJ61)-ROW(AJ$15),0),
              ROUND(ROUND(OFFSET($P61,0,AJ$13),15-13*ORÇAMENTO!$AF$7)*OFFSET(ORÇAMENTO!$W$15,ROW(AJ61)-ROW(AJ$15),0),15-13*ORÇAMENTO!$AF$11)),
         0)</f>
        <v>0</v>
      </c>
      <c r="AK61" s="454">
        <f ca="1">IF(AND($D61="Serviço",AK$12&lt;&gt;0,$H61&gt;0,OR(AUTOEVENTO&lt;&gt;"manual",$M61&lt;&gt;$A$15)),
        IF(Import.TipoArredondamento&lt;&gt;"TransfereGOV",
              ROUND(OFFSET($P61,0,AK$13),15-13*ORÇAMENTO!$AF$7)/$H61*OFFSET(ORÇAMENTO!$X$15,ROW(AK61)-ROW(AK$15),0),
              ROUND(ROUND(OFFSET($P61,0,AK$13),15-13*ORÇAMENTO!$AF$7)*OFFSET(ORÇAMENTO!$W$15,ROW(AK61)-ROW(AK$15),0),15-13*ORÇAMENTO!$AF$11)),
         0)</f>
        <v>0</v>
      </c>
      <c r="AM61" s="172">
        <f ca="1">IF(OR($D61&lt;&gt;"Serviço",AND(AUTOEVENTO="Manual",$M61=$A$15)),0,
         IF(OFFSET(CRONOPLE!$F$15,$M61-$A$15,AM$13)="",10^12,OFFSET(CRONOPLE!$F$15,$M61-$A$15,AM$13)))</f>
        <v>1000000000000</v>
      </c>
      <c r="AN61" s="172">
        <f ca="1">IF(OR($D61&lt;&gt;"Serviço",AND(AUTOEVENTO="Manual",$M61=$A$15)),0,
         IF(OFFSET(CRONOPLE!$F$15,$M61-$A$15,AN$13)="",10^12,OFFSET(CRONOPLE!$F$15,$M61-$A$15,AN$13)))</f>
        <v>1000000000000</v>
      </c>
      <c r="AO61" s="172">
        <f ca="1">IF(OR($D61&lt;&gt;"Serviço",AND(AUTOEVENTO="Manual",$M61=$A$15)),0,
         IF(OFFSET(CRONOPLE!$F$15,$M61-$A$15,AO$13)="",10^12,OFFSET(CRONOPLE!$F$15,$M61-$A$15,AO$13)))</f>
        <v>1000000000000</v>
      </c>
      <c r="AP61" s="172">
        <f ca="1">IF(OR($D61&lt;&gt;"Serviço",AND(AUTOEVENTO="Manual",$M61=$A$15)),0,
         IF(OFFSET(CRONOPLE!$F$15,$M61-$A$15,AP$13)="",10^12,OFFSET(CRONOPLE!$F$15,$M61-$A$15,AP$13)))</f>
        <v>1000000000000</v>
      </c>
      <c r="AQ61" s="172">
        <f ca="1">IF(OR($D61&lt;&gt;"Serviço",AND(AUTOEVENTO="Manual",$M61=$A$15)),0,
         IF(OFFSET(CRONOPLE!$F$15,$M61-$A$15,AQ$13)="",10^12,OFFSET(CRONOPLE!$F$15,$M61-$A$15,AQ$13)))</f>
        <v>1000000000000</v>
      </c>
      <c r="AR61" s="172">
        <f ca="1">IF(OR($D61&lt;&gt;"Serviço",AND(AUTOEVENTO="Manual",$M61=$A$15)),0,
         IF(OFFSET(CRONOPLE!$F$15,$M61-$A$15,AR$13)="",10^12,OFFSET(CRONOPLE!$F$15,$M61-$A$15,AR$13)))</f>
        <v>1000000000000</v>
      </c>
      <c r="AS61" s="172">
        <f ca="1">IF(OR($D61&lt;&gt;"Serviço",AND(AUTOEVENTO="Manual",$M61=$A$15)),0,
         IF(OFFSET(CRONOPLE!$F$15,$M61-$A$15,AS$13)="",10^12,OFFSET(CRONOPLE!$F$15,$M61-$A$15,AS$13)))</f>
        <v>1000000000000</v>
      </c>
      <c r="AT61" s="172">
        <f ca="1">IF(OR($D61&lt;&gt;"Serviço",AND(AUTOEVENTO="Manual",$M61=$A$15)),0,
         IF(OFFSET(CRONOPLE!$F$15,$M61-$A$15,AT$13)="",10^12,OFFSET(CRONOPLE!$F$15,$M61-$A$15,AT$13)))</f>
        <v>1000000000000</v>
      </c>
      <c r="AU61" s="172">
        <f ca="1">IF(OR($D61&lt;&gt;"Serviço",AND(AUTOEVENTO="Manual",$M61=$A$15)),0,
         IF(OFFSET(CRONOPLE!$F$15,$M61-$A$15,AU$13)="",10^12,OFFSET(CRONOPLE!$F$15,$M61-$A$15,AU$13)))</f>
        <v>1000000000000</v>
      </c>
      <c r="AV61" s="172">
        <f ca="1">IF(OR($D61&lt;&gt;"Serviço",AND(AUTOEVENTO="Manual",$M61=$A$15)),0,
         IF(OFFSET(CRONOPLE!$F$15,$M61-$A$15,AV$13)="",10^12,OFFSET(CRONOPLE!$F$15,$M61-$A$15,AV$13)))</f>
        <v>1000000000000</v>
      </c>
      <c r="AX61" s="173">
        <f ca="1">IF(OR($D61&lt;&gt;"Serviço",AND(AUTOEVENTO="Manual",$M61=$A$15),$M61&gt;(ROW(PLE.lastrow)-ROW(PLE.firstrow))),0,
           IF(OFFSET(PLE!$G$15,$M61-$A$15,AX$13)="",10^12,OFFSET(PLE!$G$15,$M61-$A$15,AX$13)))</f>
        <v>1000000000000</v>
      </c>
      <c r="AY61" s="173">
        <f ca="1">IF(OR($D61&lt;&gt;"Serviço",AND(AUTOEVENTO="Manual",$M61=$A$15),$M61&gt;(ROW(PLE.lastrow)-ROW(PLE.firstrow))),0,
           IF(OFFSET(PLE!$G$15,$M61-$A$15,AY$13)="",10^12,OFFSET(PLE!$G$15,$M61-$A$15,AY$13)))</f>
        <v>1000000000000</v>
      </c>
      <c r="AZ61" s="173">
        <f ca="1">IF(OR($D61&lt;&gt;"Serviço",AND(AUTOEVENTO="Manual",$M61=$A$15),$M61&gt;(ROW(PLE.lastrow)-ROW(PLE.firstrow))),0,
           IF(OFFSET(PLE!$G$15,$M61-$A$15,AZ$13)="",10^12,OFFSET(PLE!$G$15,$M61-$A$15,AZ$13)))</f>
        <v>1000000000000</v>
      </c>
      <c r="BA61" s="173">
        <f ca="1">IF(OR($D61&lt;&gt;"Serviço",AND(AUTOEVENTO="Manual",$M61=$A$15),$M61&gt;(ROW(PLE.lastrow)-ROW(PLE.firstrow))),0,
           IF(OFFSET(PLE!$G$15,$M61-$A$15,BA$13)="",10^12,OFFSET(PLE!$G$15,$M61-$A$15,BA$13)))</f>
        <v>1000000000000</v>
      </c>
      <c r="BB61" s="173">
        <f ca="1">IF(OR($D61&lt;&gt;"Serviço",AND(AUTOEVENTO="Manual",$M61=$A$15),$M61&gt;(ROW(PLE.lastrow)-ROW(PLE.firstrow))),0,
           IF(OFFSET(PLE!$G$15,$M61-$A$15,BB$13)="",10^12,OFFSET(PLE!$G$15,$M61-$A$15,BB$13)))</f>
        <v>1000000000000</v>
      </c>
      <c r="BC61" s="173">
        <f ca="1">IF(OR($D61&lt;&gt;"Serviço",AND(AUTOEVENTO="Manual",$M61=$A$15),$M61&gt;(ROW(PLE.lastrow)-ROW(PLE.firstrow))),0,
           IF(OFFSET(PLE!$G$15,$M61-$A$15,BC$13)="",10^12,OFFSET(PLE!$G$15,$M61-$A$15,BC$13)))</f>
        <v>1000000000000</v>
      </c>
      <c r="BD61" s="173">
        <f ca="1">IF(OR($D61&lt;&gt;"Serviço",AND(AUTOEVENTO="Manual",$M61=$A$15),$M61&gt;(ROW(PLE.lastrow)-ROW(PLE.firstrow))),0,
           IF(OFFSET(PLE!$G$15,$M61-$A$15,BD$13)="",10^12,OFFSET(PLE!$G$15,$M61-$A$15,BD$13)))</f>
        <v>1000000000000</v>
      </c>
      <c r="BE61" s="173">
        <f ca="1">IF(OR($D61&lt;&gt;"Serviço",AND(AUTOEVENTO="Manual",$M61=$A$15),$M61&gt;(ROW(PLE.lastrow)-ROW(PLE.firstrow))),0,
           IF(OFFSET(PLE!$G$15,$M61-$A$15,BE$13)="",10^12,OFFSET(PLE!$G$15,$M61-$A$15,BE$13)))</f>
        <v>1000000000000</v>
      </c>
      <c r="BF61" s="173">
        <f ca="1">IF(OR($D61&lt;&gt;"Serviço",AND(AUTOEVENTO="Manual",$M61=$A$15),$M61&gt;(ROW(PLE.lastrow)-ROW(PLE.firstrow))),0,
           IF(OFFSET(PLE!$G$15,$M61-$A$15,BF$13)="",10^12,OFFSET(PLE!$G$15,$M61-$A$15,BF$13)))</f>
        <v>1000000000000</v>
      </c>
      <c r="BG61" s="173">
        <f ca="1">IF(OR($D61&lt;&gt;"Serviço",AND(AUTOEVENTO="Manual",$M61=$A$15),$M61&gt;(ROW(PLE.lastrow)-ROW(PLE.firstrow))),0,
           IF(OFFSET(PLE!$G$15,$M61-$A$15,BG$13)="",10^12,OFFSET(PLE!$G$15,$M61-$A$15,BG$13)))</f>
        <v>1000000000000</v>
      </c>
    </row>
    <row r="62" spans="1:59" ht="25.5" x14ac:dyDescent="0.2">
      <c r="A62" s="7" t="str">
        <f t="shared" ca="1" si="8"/>
        <v>39</v>
      </c>
      <c r="B62" s="7" t="str">
        <f ca="1">OFFSET(ORÇAMENTO!C$15,ROW(B62)-ROW(B$15),0)</f>
        <v>S</v>
      </c>
      <c r="C62" s="7" t="str">
        <f ca="1">OFFSET(ORÇAMENTO!L$15,ROW(C62)-ROW(C$15),0)</f>
        <v/>
      </c>
      <c r="D62" s="117" t="str">
        <f ca="1">OFFSET(ORÇAMENTO!N$15,ROW(D62)-ROW(D$15),0)</f>
        <v>Serviço</v>
      </c>
      <c r="E62" s="118" t="str">
        <f ca="1">OFFSET(ORÇAMENTO!O$15,ROW(E62)-ROW(E$15),0)</f>
        <v>-</v>
      </c>
      <c r="F62" s="164" t="str">
        <f ca="1">OFFSET(ORÇAMENTO!R$15,ROW(F62)-ROW(F$15),0)</f>
        <v>CAMPAINHA CIGARRA (1 MÓDULO), 10A/250V, INCLUINDO SUPORTE E PLACA - FORNECIMENTO E INSTALAÇÃO. AF_03/2023</v>
      </c>
      <c r="G62" s="165" t="str">
        <f ca="1">IF($D62&lt;&gt;"Serviço","",OFFSET(ORÇAMENTO!S$15,ROW(G62)-ROW(G$15),0))</f>
        <v>UN</v>
      </c>
      <c r="H62" s="123">
        <f ca="1">IF($D62&lt;&gt;"Serviço",0,IF(ACOMPANHAMENTO="BM",ROUND(OFFSET(ORÇAMENTO!AJ$15,ROW(H62)-ROW(H$15),0),15-13*ORÇAMENTO!$AF$7),SUMPRODUCT(($Q$1:$AA$1=1)*ROUND($Q62:$AA62,15-13*ORÇAMENTO!$AF$7))))</f>
        <v>6</v>
      </c>
      <c r="I62" s="469"/>
      <c r="J62" s="577" t="str" cm="1">
        <f t="array" aca="1" ref="J62" ca="1">IF(B62&lt;&gt;"S","",IF(AND(ACOMPANHAMENTO="PLE",AUTOEVENTO="Manual",OR(H62&gt;0,ORÇAMENTO!AC62="QUANT."),OR(K62="",M62=0,N62="")),"►",IF(AND(ACOMPANHAMENTO="PLE",ORÇAMENTO!AC62="QUANT."),"►►",IF(AND(COUNTIF($P$11:$AA$11,"▼")=0,H62&gt;0,I62=""),"◄",""))))</f>
        <v>◄</v>
      </c>
      <c r="K62" s="626"/>
      <c r="L62" s="166" t="s">
        <v>765</v>
      </c>
      <c r="M62" s="167">
        <f ca="1">IF($D62&lt;&gt;"Serviço","",
          IF(AUTOEVENTO="manual",$A62,
                IF(ISERROR(MATCH($A62,$A$15:OFFSET($A62,-1,0),0)),MAX($M$15:OFFSET(M62,-1,0))+1,
                      INDEX($M$15:OFFSET(M62,-1,0),MATCH($A62,$A$15:OFFSET($A62,-1,0),0)))))</f>
        <v>9</v>
      </c>
      <c r="N62" s="168" t="str">
        <f ca="1">IF($D62&lt;&gt;"Serviço","",
         IF(AUTOEVENTO="Manual",
                IF($A62=0,"&lt;-- defina o número do agrupador",
                       OFFSET(EVENTOS!$D$15,$A62-$A$15,0)),
                OFFSET($F$15,$A62,0)))</f>
        <v>INSTALAÇÕES ELÉTRICAS</v>
      </c>
      <c r="O62" s="169"/>
      <c r="Q62" s="169"/>
      <c r="R62" s="170"/>
      <c r="S62" s="170"/>
      <c r="T62" s="170"/>
      <c r="U62" s="170"/>
      <c r="V62" s="170"/>
      <c r="W62" s="170"/>
      <c r="X62" s="170"/>
      <c r="Y62" s="170"/>
      <c r="Z62" s="171"/>
      <c r="AB62" s="454">
        <f ca="1">IF(AND($D62="Serviço",AB$12&lt;&gt;0,$H62&gt;0,OR(AUTOEVENTO&lt;&gt;"manual",$M62&lt;&gt;$A$15)),
        IF(Import.TipoArredondamento&lt;&gt;"TransfereGOV",
              ROUND(OFFSET($P62,0,AB$13),15-13*ORÇAMENTO!$AF$7)/$H62*OFFSET(ORÇAMENTO!$X$15,ROW(AB62)-ROW(AB$15),0),
              ROUND(ROUND(OFFSET($P62,0,AB$13),15-13*ORÇAMENTO!$AF$7)*OFFSET(ORÇAMENTO!$W$15,ROW(AB62)-ROW(AB$15),0),15-13*ORÇAMENTO!$AF$11)),
         0)</f>
        <v>0</v>
      </c>
      <c r="AC62" s="454">
        <f ca="1">IF(AND($D62="Serviço",AC$12&lt;&gt;0,$H62&gt;0,OR(AUTOEVENTO&lt;&gt;"manual",$M62&lt;&gt;$A$15)),
        IF(Import.TipoArredondamento&lt;&gt;"TransfereGOV",
              ROUND(OFFSET($P62,0,AC$13),15-13*ORÇAMENTO!$AF$7)/$H62*OFFSET(ORÇAMENTO!$X$15,ROW(AC62)-ROW(AC$15),0),
              ROUND(ROUND(OFFSET($P62,0,AC$13),15-13*ORÇAMENTO!$AF$7)*OFFSET(ORÇAMENTO!$W$15,ROW(AC62)-ROW(AC$15),0),15-13*ORÇAMENTO!$AF$11)),
         0)</f>
        <v>0</v>
      </c>
      <c r="AD62" s="454">
        <f ca="1">IF(AND($D62="Serviço",AD$12&lt;&gt;0,$H62&gt;0,OR(AUTOEVENTO&lt;&gt;"manual",$M62&lt;&gt;$A$15)),
        IF(Import.TipoArredondamento&lt;&gt;"TransfereGOV",
              ROUND(OFFSET($P62,0,AD$13),15-13*ORÇAMENTO!$AF$7)/$H62*OFFSET(ORÇAMENTO!$X$15,ROW(AD62)-ROW(AD$15),0),
              ROUND(ROUND(OFFSET($P62,0,AD$13),15-13*ORÇAMENTO!$AF$7)*OFFSET(ORÇAMENTO!$W$15,ROW(AD62)-ROW(AD$15),0),15-13*ORÇAMENTO!$AF$11)),
         0)</f>
        <v>0</v>
      </c>
      <c r="AE62" s="454">
        <f ca="1">IF(AND($D62="Serviço",AE$12&lt;&gt;0,$H62&gt;0,OR(AUTOEVENTO&lt;&gt;"manual",$M62&lt;&gt;$A$15)),
        IF(Import.TipoArredondamento&lt;&gt;"TransfereGOV",
              ROUND(OFFSET($P62,0,AE$13),15-13*ORÇAMENTO!$AF$7)/$H62*OFFSET(ORÇAMENTO!$X$15,ROW(AE62)-ROW(AE$15),0),
              ROUND(ROUND(OFFSET($P62,0,AE$13),15-13*ORÇAMENTO!$AF$7)*OFFSET(ORÇAMENTO!$W$15,ROW(AE62)-ROW(AE$15),0),15-13*ORÇAMENTO!$AF$11)),
         0)</f>
        <v>0</v>
      </c>
      <c r="AF62" s="454">
        <f ca="1">IF(AND($D62="Serviço",AF$12&lt;&gt;0,$H62&gt;0,OR(AUTOEVENTO&lt;&gt;"manual",$M62&lt;&gt;$A$15)),
        IF(Import.TipoArredondamento&lt;&gt;"TransfereGOV",
              ROUND(OFFSET($P62,0,AF$13),15-13*ORÇAMENTO!$AF$7)/$H62*OFFSET(ORÇAMENTO!$X$15,ROW(AF62)-ROW(AF$15),0),
              ROUND(ROUND(OFFSET($P62,0,AF$13),15-13*ORÇAMENTO!$AF$7)*OFFSET(ORÇAMENTO!$W$15,ROW(AF62)-ROW(AF$15),0),15-13*ORÇAMENTO!$AF$11)),
         0)</f>
        <v>0</v>
      </c>
      <c r="AG62" s="454">
        <f ca="1">IF(AND($D62="Serviço",AG$12&lt;&gt;0,$H62&gt;0,OR(AUTOEVENTO&lt;&gt;"manual",$M62&lt;&gt;$A$15)),
        IF(Import.TipoArredondamento&lt;&gt;"TransfereGOV",
              ROUND(OFFSET($P62,0,AG$13),15-13*ORÇAMENTO!$AF$7)/$H62*OFFSET(ORÇAMENTO!$X$15,ROW(AG62)-ROW(AG$15),0),
              ROUND(ROUND(OFFSET($P62,0,AG$13),15-13*ORÇAMENTO!$AF$7)*OFFSET(ORÇAMENTO!$W$15,ROW(AG62)-ROW(AG$15),0),15-13*ORÇAMENTO!$AF$11)),
         0)</f>
        <v>0</v>
      </c>
      <c r="AH62" s="454">
        <f ca="1">IF(AND($D62="Serviço",AH$12&lt;&gt;0,$H62&gt;0,OR(AUTOEVENTO&lt;&gt;"manual",$M62&lt;&gt;$A$15)),
        IF(Import.TipoArredondamento&lt;&gt;"TransfereGOV",
              ROUND(OFFSET($P62,0,AH$13),15-13*ORÇAMENTO!$AF$7)/$H62*OFFSET(ORÇAMENTO!$X$15,ROW(AH62)-ROW(AH$15),0),
              ROUND(ROUND(OFFSET($P62,0,AH$13),15-13*ORÇAMENTO!$AF$7)*OFFSET(ORÇAMENTO!$W$15,ROW(AH62)-ROW(AH$15),0),15-13*ORÇAMENTO!$AF$11)),
         0)</f>
        <v>0</v>
      </c>
      <c r="AI62" s="454">
        <f ca="1">IF(AND($D62="Serviço",AI$12&lt;&gt;0,$H62&gt;0,OR(AUTOEVENTO&lt;&gt;"manual",$M62&lt;&gt;$A$15)),
        IF(Import.TipoArredondamento&lt;&gt;"TransfereGOV",
              ROUND(OFFSET($P62,0,AI$13),15-13*ORÇAMENTO!$AF$7)/$H62*OFFSET(ORÇAMENTO!$X$15,ROW(AI62)-ROW(AI$15),0),
              ROUND(ROUND(OFFSET($P62,0,AI$13),15-13*ORÇAMENTO!$AF$7)*OFFSET(ORÇAMENTO!$W$15,ROW(AI62)-ROW(AI$15),0),15-13*ORÇAMENTO!$AF$11)),
         0)</f>
        <v>0</v>
      </c>
      <c r="AJ62" s="454">
        <f ca="1">IF(AND($D62="Serviço",AJ$12&lt;&gt;0,$H62&gt;0,OR(AUTOEVENTO&lt;&gt;"manual",$M62&lt;&gt;$A$15)),
        IF(Import.TipoArredondamento&lt;&gt;"TransfereGOV",
              ROUND(OFFSET($P62,0,AJ$13),15-13*ORÇAMENTO!$AF$7)/$H62*OFFSET(ORÇAMENTO!$X$15,ROW(AJ62)-ROW(AJ$15),0),
              ROUND(ROUND(OFFSET($P62,0,AJ$13),15-13*ORÇAMENTO!$AF$7)*OFFSET(ORÇAMENTO!$W$15,ROW(AJ62)-ROW(AJ$15),0),15-13*ORÇAMENTO!$AF$11)),
         0)</f>
        <v>0</v>
      </c>
      <c r="AK62" s="454">
        <f ca="1">IF(AND($D62="Serviço",AK$12&lt;&gt;0,$H62&gt;0,OR(AUTOEVENTO&lt;&gt;"manual",$M62&lt;&gt;$A$15)),
        IF(Import.TipoArredondamento&lt;&gt;"TransfereGOV",
              ROUND(OFFSET($P62,0,AK$13),15-13*ORÇAMENTO!$AF$7)/$H62*OFFSET(ORÇAMENTO!$X$15,ROW(AK62)-ROW(AK$15),0),
              ROUND(ROUND(OFFSET($P62,0,AK$13),15-13*ORÇAMENTO!$AF$7)*OFFSET(ORÇAMENTO!$W$15,ROW(AK62)-ROW(AK$15),0),15-13*ORÇAMENTO!$AF$11)),
         0)</f>
        <v>0</v>
      </c>
      <c r="AM62" s="172">
        <f ca="1">IF(OR($D62&lt;&gt;"Serviço",AND(AUTOEVENTO="Manual",$M62=$A$15)),0,
         IF(OFFSET(CRONOPLE!$F$15,$M62-$A$15,AM$13)="",10^12,OFFSET(CRONOPLE!$F$15,$M62-$A$15,AM$13)))</f>
        <v>1000000000000</v>
      </c>
      <c r="AN62" s="172">
        <f ca="1">IF(OR($D62&lt;&gt;"Serviço",AND(AUTOEVENTO="Manual",$M62=$A$15)),0,
         IF(OFFSET(CRONOPLE!$F$15,$M62-$A$15,AN$13)="",10^12,OFFSET(CRONOPLE!$F$15,$M62-$A$15,AN$13)))</f>
        <v>1000000000000</v>
      </c>
      <c r="AO62" s="172">
        <f ca="1">IF(OR($D62&lt;&gt;"Serviço",AND(AUTOEVENTO="Manual",$M62=$A$15)),0,
         IF(OFFSET(CRONOPLE!$F$15,$M62-$A$15,AO$13)="",10^12,OFFSET(CRONOPLE!$F$15,$M62-$A$15,AO$13)))</f>
        <v>1000000000000</v>
      </c>
      <c r="AP62" s="172">
        <f ca="1">IF(OR($D62&lt;&gt;"Serviço",AND(AUTOEVENTO="Manual",$M62=$A$15)),0,
         IF(OFFSET(CRONOPLE!$F$15,$M62-$A$15,AP$13)="",10^12,OFFSET(CRONOPLE!$F$15,$M62-$A$15,AP$13)))</f>
        <v>1000000000000</v>
      </c>
      <c r="AQ62" s="172">
        <f ca="1">IF(OR($D62&lt;&gt;"Serviço",AND(AUTOEVENTO="Manual",$M62=$A$15)),0,
         IF(OFFSET(CRONOPLE!$F$15,$M62-$A$15,AQ$13)="",10^12,OFFSET(CRONOPLE!$F$15,$M62-$A$15,AQ$13)))</f>
        <v>1000000000000</v>
      </c>
      <c r="AR62" s="172">
        <f ca="1">IF(OR($D62&lt;&gt;"Serviço",AND(AUTOEVENTO="Manual",$M62=$A$15)),0,
         IF(OFFSET(CRONOPLE!$F$15,$M62-$A$15,AR$13)="",10^12,OFFSET(CRONOPLE!$F$15,$M62-$A$15,AR$13)))</f>
        <v>1000000000000</v>
      </c>
      <c r="AS62" s="172">
        <f ca="1">IF(OR($D62&lt;&gt;"Serviço",AND(AUTOEVENTO="Manual",$M62=$A$15)),0,
         IF(OFFSET(CRONOPLE!$F$15,$M62-$A$15,AS$13)="",10^12,OFFSET(CRONOPLE!$F$15,$M62-$A$15,AS$13)))</f>
        <v>1000000000000</v>
      </c>
      <c r="AT62" s="172">
        <f ca="1">IF(OR($D62&lt;&gt;"Serviço",AND(AUTOEVENTO="Manual",$M62=$A$15)),0,
         IF(OFFSET(CRONOPLE!$F$15,$M62-$A$15,AT$13)="",10^12,OFFSET(CRONOPLE!$F$15,$M62-$A$15,AT$13)))</f>
        <v>1000000000000</v>
      </c>
      <c r="AU62" s="172">
        <f ca="1">IF(OR($D62&lt;&gt;"Serviço",AND(AUTOEVENTO="Manual",$M62=$A$15)),0,
         IF(OFFSET(CRONOPLE!$F$15,$M62-$A$15,AU$13)="",10^12,OFFSET(CRONOPLE!$F$15,$M62-$A$15,AU$13)))</f>
        <v>1000000000000</v>
      </c>
      <c r="AV62" s="172">
        <f ca="1">IF(OR($D62&lt;&gt;"Serviço",AND(AUTOEVENTO="Manual",$M62=$A$15)),0,
         IF(OFFSET(CRONOPLE!$F$15,$M62-$A$15,AV$13)="",10^12,OFFSET(CRONOPLE!$F$15,$M62-$A$15,AV$13)))</f>
        <v>1000000000000</v>
      </c>
      <c r="AX62" s="173">
        <f ca="1">IF(OR($D62&lt;&gt;"Serviço",AND(AUTOEVENTO="Manual",$M62=$A$15),$M62&gt;(ROW(PLE.lastrow)-ROW(PLE.firstrow))),0,
           IF(OFFSET(PLE!$G$15,$M62-$A$15,AX$13)="",10^12,OFFSET(PLE!$G$15,$M62-$A$15,AX$13)))</f>
        <v>1000000000000</v>
      </c>
      <c r="AY62" s="173">
        <f ca="1">IF(OR($D62&lt;&gt;"Serviço",AND(AUTOEVENTO="Manual",$M62=$A$15),$M62&gt;(ROW(PLE.lastrow)-ROW(PLE.firstrow))),0,
           IF(OFFSET(PLE!$G$15,$M62-$A$15,AY$13)="",10^12,OFFSET(PLE!$G$15,$M62-$A$15,AY$13)))</f>
        <v>1000000000000</v>
      </c>
      <c r="AZ62" s="173">
        <f ca="1">IF(OR($D62&lt;&gt;"Serviço",AND(AUTOEVENTO="Manual",$M62=$A$15),$M62&gt;(ROW(PLE.lastrow)-ROW(PLE.firstrow))),0,
           IF(OFFSET(PLE!$G$15,$M62-$A$15,AZ$13)="",10^12,OFFSET(PLE!$G$15,$M62-$A$15,AZ$13)))</f>
        <v>1000000000000</v>
      </c>
      <c r="BA62" s="173">
        <f ca="1">IF(OR($D62&lt;&gt;"Serviço",AND(AUTOEVENTO="Manual",$M62=$A$15),$M62&gt;(ROW(PLE.lastrow)-ROW(PLE.firstrow))),0,
           IF(OFFSET(PLE!$G$15,$M62-$A$15,BA$13)="",10^12,OFFSET(PLE!$G$15,$M62-$A$15,BA$13)))</f>
        <v>1000000000000</v>
      </c>
      <c r="BB62" s="173">
        <f ca="1">IF(OR($D62&lt;&gt;"Serviço",AND(AUTOEVENTO="Manual",$M62=$A$15),$M62&gt;(ROW(PLE.lastrow)-ROW(PLE.firstrow))),0,
           IF(OFFSET(PLE!$G$15,$M62-$A$15,BB$13)="",10^12,OFFSET(PLE!$G$15,$M62-$A$15,BB$13)))</f>
        <v>1000000000000</v>
      </c>
      <c r="BC62" s="173">
        <f ca="1">IF(OR($D62&lt;&gt;"Serviço",AND(AUTOEVENTO="Manual",$M62=$A$15),$M62&gt;(ROW(PLE.lastrow)-ROW(PLE.firstrow))),0,
           IF(OFFSET(PLE!$G$15,$M62-$A$15,BC$13)="",10^12,OFFSET(PLE!$G$15,$M62-$A$15,BC$13)))</f>
        <v>1000000000000</v>
      </c>
      <c r="BD62" s="173">
        <f ca="1">IF(OR($D62&lt;&gt;"Serviço",AND(AUTOEVENTO="Manual",$M62=$A$15),$M62&gt;(ROW(PLE.lastrow)-ROW(PLE.firstrow))),0,
           IF(OFFSET(PLE!$G$15,$M62-$A$15,BD$13)="",10^12,OFFSET(PLE!$G$15,$M62-$A$15,BD$13)))</f>
        <v>1000000000000</v>
      </c>
      <c r="BE62" s="173">
        <f ca="1">IF(OR($D62&lt;&gt;"Serviço",AND(AUTOEVENTO="Manual",$M62=$A$15),$M62&gt;(ROW(PLE.lastrow)-ROW(PLE.firstrow))),0,
           IF(OFFSET(PLE!$G$15,$M62-$A$15,BE$13)="",10^12,OFFSET(PLE!$G$15,$M62-$A$15,BE$13)))</f>
        <v>1000000000000</v>
      </c>
      <c r="BF62" s="173">
        <f ca="1">IF(OR($D62&lt;&gt;"Serviço",AND(AUTOEVENTO="Manual",$M62=$A$15),$M62&gt;(ROW(PLE.lastrow)-ROW(PLE.firstrow))),0,
           IF(OFFSET(PLE!$G$15,$M62-$A$15,BF$13)="",10^12,OFFSET(PLE!$G$15,$M62-$A$15,BF$13)))</f>
        <v>1000000000000</v>
      </c>
      <c r="BG62" s="173">
        <f ca="1">IF(OR($D62&lt;&gt;"Serviço",AND(AUTOEVENTO="Manual",$M62=$A$15),$M62&gt;(ROW(PLE.lastrow)-ROW(PLE.firstrow))),0,
           IF(OFFSET(PLE!$G$15,$M62-$A$15,BG$13)="",10^12,OFFSET(PLE!$G$15,$M62-$A$15,BG$13)))</f>
        <v>1000000000000</v>
      </c>
    </row>
    <row r="63" spans="1:59" ht="12.75" x14ac:dyDescent="0.2">
      <c r="A63" s="7" t="str">
        <f t="shared" ca="1" si="8"/>
        <v>39</v>
      </c>
      <c r="B63" s="7" t="str">
        <f ca="1">OFFSET(ORÇAMENTO!C$15,ROW(B63)-ROW(B$15),0)</f>
        <v>S</v>
      </c>
      <c r="C63" s="7" t="str">
        <f ca="1">OFFSET(ORÇAMENTO!L$15,ROW(C63)-ROW(C$15),0)</f>
        <v/>
      </c>
      <c r="D63" s="117" t="str">
        <f ca="1">OFFSET(ORÇAMENTO!N$15,ROW(D63)-ROW(D$15),0)</f>
        <v>Serviço</v>
      </c>
      <c r="E63" s="118" t="str">
        <f ca="1">OFFSET(ORÇAMENTO!O$15,ROW(E63)-ROW(E$15),0)</f>
        <v>-</v>
      </c>
      <c r="F63" s="164" t="str">
        <f ca="1">OFFSET(ORÇAMENTO!R$15,ROW(F63)-ROW(F$15),0)</f>
        <v>EXAUSTOR DE TETO PARA SANITÁRIOS - POTÊNCIA: 40W</v>
      </c>
      <c r="G63" s="165" t="str">
        <f ca="1">IF($D63&lt;&gt;"Serviço","",OFFSET(ORÇAMENTO!S$15,ROW(G63)-ROW(G$15),0))</f>
        <v>UN</v>
      </c>
      <c r="H63" s="123">
        <f ca="1">IF($D63&lt;&gt;"Serviço",0,IF(ACOMPANHAMENTO="BM",ROUND(OFFSET(ORÇAMENTO!AJ$15,ROW(H63)-ROW(H$15),0),15-13*ORÇAMENTO!$AF$7),SUMPRODUCT(($Q$1:$AA$1=1)*ROUND($Q63:$AA63,15-13*ORÇAMENTO!$AF$7))))</f>
        <v>4</v>
      </c>
      <c r="I63" s="469"/>
      <c r="J63" s="577" t="str" cm="1">
        <f t="array" aca="1" ref="J63" ca="1">IF(B63&lt;&gt;"S","",IF(AND(ACOMPANHAMENTO="PLE",AUTOEVENTO="Manual",OR(H63&gt;0,ORÇAMENTO!AC63="QUANT."),OR(K63="",M63=0,N63="")),"►",IF(AND(ACOMPANHAMENTO="PLE",ORÇAMENTO!AC63="QUANT."),"►►",IF(AND(COUNTIF($P$11:$AA$11,"▼")=0,H63&gt;0,I63=""),"◄",""))))</f>
        <v>◄</v>
      </c>
      <c r="K63" s="626"/>
      <c r="L63" s="166" t="s">
        <v>765</v>
      </c>
      <c r="M63" s="167">
        <f ca="1">IF($D63&lt;&gt;"Serviço","",
          IF(AUTOEVENTO="manual",$A63,
                IF(ISERROR(MATCH($A63,$A$15:OFFSET($A63,-1,0),0)),MAX($M$15:OFFSET(M63,-1,0))+1,
                      INDEX($M$15:OFFSET(M63,-1,0),MATCH($A63,$A$15:OFFSET($A63,-1,0),0)))))</f>
        <v>9</v>
      </c>
      <c r="N63" s="168" t="str">
        <f ca="1">IF($D63&lt;&gt;"Serviço","",
         IF(AUTOEVENTO="Manual",
                IF($A63=0,"&lt;-- defina o número do agrupador",
                       OFFSET(EVENTOS!$D$15,$A63-$A$15,0)),
                OFFSET($F$15,$A63,0)))</f>
        <v>INSTALAÇÕES ELÉTRICAS</v>
      </c>
      <c r="O63" s="169"/>
      <c r="Q63" s="169"/>
      <c r="R63" s="170"/>
      <c r="S63" s="170"/>
      <c r="T63" s="170"/>
      <c r="U63" s="170"/>
      <c r="V63" s="170"/>
      <c r="W63" s="170"/>
      <c r="X63" s="170"/>
      <c r="Y63" s="170"/>
      <c r="Z63" s="171"/>
      <c r="AB63" s="454">
        <f ca="1">IF(AND($D63="Serviço",AB$12&lt;&gt;0,$H63&gt;0,OR(AUTOEVENTO&lt;&gt;"manual",$M63&lt;&gt;$A$15)),
        IF(Import.TipoArredondamento&lt;&gt;"TransfereGOV",
              ROUND(OFFSET($P63,0,AB$13),15-13*ORÇAMENTO!$AF$7)/$H63*OFFSET(ORÇAMENTO!$X$15,ROW(AB63)-ROW(AB$15),0),
              ROUND(ROUND(OFFSET($P63,0,AB$13),15-13*ORÇAMENTO!$AF$7)*OFFSET(ORÇAMENTO!$W$15,ROW(AB63)-ROW(AB$15),0),15-13*ORÇAMENTO!$AF$11)),
         0)</f>
        <v>0</v>
      </c>
      <c r="AC63" s="454">
        <f ca="1">IF(AND($D63="Serviço",AC$12&lt;&gt;0,$H63&gt;0,OR(AUTOEVENTO&lt;&gt;"manual",$M63&lt;&gt;$A$15)),
        IF(Import.TipoArredondamento&lt;&gt;"TransfereGOV",
              ROUND(OFFSET($P63,0,AC$13),15-13*ORÇAMENTO!$AF$7)/$H63*OFFSET(ORÇAMENTO!$X$15,ROW(AC63)-ROW(AC$15),0),
              ROUND(ROUND(OFFSET($P63,0,AC$13),15-13*ORÇAMENTO!$AF$7)*OFFSET(ORÇAMENTO!$W$15,ROW(AC63)-ROW(AC$15),0),15-13*ORÇAMENTO!$AF$11)),
         0)</f>
        <v>0</v>
      </c>
      <c r="AD63" s="454">
        <f ca="1">IF(AND($D63="Serviço",AD$12&lt;&gt;0,$H63&gt;0,OR(AUTOEVENTO&lt;&gt;"manual",$M63&lt;&gt;$A$15)),
        IF(Import.TipoArredondamento&lt;&gt;"TransfereGOV",
              ROUND(OFFSET($P63,0,AD$13),15-13*ORÇAMENTO!$AF$7)/$H63*OFFSET(ORÇAMENTO!$X$15,ROW(AD63)-ROW(AD$15),0),
              ROUND(ROUND(OFFSET($P63,0,AD$13),15-13*ORÇAMENTO!$AF$7)*OFFSET(ORÇAMENTO!$W$15,ROW(AD63)-ROW(AD$15),0),15-13*ORÇAMENTO!$AF$11)),
         0)</f>
        <v>0</v>
      </c>
      <c r="AE63" s="454">
        <f ca="1">IF(AND($D63="Serviço",AE$12&lt;&gt;0,$H63&gt;0,OR(AUTOEVENTO&lt;&gt;"manual",$M63&lt;&gt;$A$15)),
        IF(Import.TipoArredondamento&lt;&gt;"TransfereGOV",
              ROUND(OFFSET($P63,0,AE$13),15-13*ORÇAMENTO!$AF$7)/$H63*OFFSET(ORÇAMENTO!$X$15,ROW(AE63)-ROW(AE$15),0),
              ROUND(ROUND(OFFSET($P63,0,AE$13),15-13*ORÇAMENTO!$AF$7)*OFFSET(ORÇAMENTO!$W$15,ROW(AE63)-ROW(AE$15),0),15-13*ORÇAMENTO!$AF$11)),
         0)</f>
        <v>0</v>
      </c>
      <c r="AF63" s="454">
        <f ca="1">IF(AND($D63="Serviço",AF$12&lt;&gt;0,$H63&gt;0,OR(AUTOEVENTO&lt;&gt;"manual",$M63&lt;&gt;$A$15)),
        IF(Import.TipoArredondamento&lt;&gt;"TransfereGOV",
              ROUND(OFFSET($P63,0,AF$13),15-13*ORÇAMENTO!$AF$7)/$H63*OFFSET(ORÇAMENTO!$X$15,ROW(AF63)-ROW(AF$15),0),
              ROUND(ROUND(OFFSET($P63,0,AF$13),15-13*ORÇAMENTO!$AF$7)*OFFSET(ORÇAMENTO!$W$15,ROW(AF63)-ROW(AF$15),0),15-13*ORÇAMENTO!$AF$11)),
         0)</f>
        <v>0</v>
      </c>
      <c r="AG63" s="454">
        <f ca="1">IF(AND($D63="Serviço",AG$12&lt;&gt;0,$H63&gt;0,OR(AUTOEVENTO&lt;&gt;"manual",$M63&lt;&gt;$A$15)),
        IF(Import.TipoArredondamento&lt;&gt;"TransfereGOV",
              ROUND(OFFSET($P63,0,AG$13),15-13*ORÇAMENTO!$AF$7)/$H63*OFFSET(ORÇAMENTO!$X$15,ROW(AG63)-ROW(AG$15),0),
              ROUND(ROUND(OFFSET($P63,0,AG$13),15-13*ORÇAMENTO!$AF$7)*OFFSET(ORÇAMENTO!$W$15,ROW(AG63)-ROW(AG$15),0),15-13*ORÇAMENTO!$AF$11)),
         0)</f>
        <v>0</v>
      </c>
      <c r="AH63" s="454">
        <f ca="1">IF(AND($D63="Serviço",AH$12&lt;&gt;0,$H63&gt;0,OR(AUTOEVENTO&lt;&gt;"manual",$M63&lt;&gt;$A$15)),
        IF(Import.TipoArredondamento&lt;&gt;"TransfereGOV",
              ROUND(OFFSET($P63,0,AH$13),15-13*ORÇAMENTO!$AF$7)/$H63*OFFSET(ORÇAMENTO!$X$15,ROW(AH63)-ROW(AH$15),0),
              ROUND(ROUND(OFFSET($P63,0,AH$13),15-13*ORÇAMENTO!$AF$7)*OFFSET(ORÇAMENTO!$W$15,ROW(AH63)-ROW(AH$15),0),15-13*ORÇAMENTO!$AF$11)),
         0)</f>
        <v>0</v>
      </c>
      <c r="AI63" s="454">
        <f ca="1">IF(AND($D63="Serviço",AI$12&lt;&gt;0,$H63&gt;0,OR(AUTOEVENTO&lt;&gt;"manual",$M63&lt;&gt;$A$15)),
        IF(Import.TipoArredondamento&lt;&gt;"TransfereGOV",
              ROUND(OFFSET($P63,0,AI$13),15-13*ORÇAMENTO!$AF$7)/$H63*OFFSET(ORÇAMENTO!$X$15,ROW(AI63)-ROW(AI$15),0),
              ROUND(ROUND(OFFSET($P63,0,AI$13),15-13*ORÇAMENTO!$AF$7)*OFFSET(ORÇAMENTO!$W$15,ROW(AI63)-ROW(AI$15),0),15-13*ORÇAMENTO!$AF$11)),
         0)</f>
        <v>0</v>
      </c>
      <c r="AJ63" s="454">
        <f ca="1">IF(AND($D63="Serviço",AJ$12&lt;&gt;0,$H63&gt;0,OR(AUTOEVENTO&lt;&gt;"manual",$M63&lt;&gt;$A$15)),
        IF(Import.TipoArredondamento&lt;&gt;"TransfereGOV",
              ROUND(OFFSET($P63,0,AJ$13),15-13*ORÇAMENTO!$AF$7)/$H63*OFFSET(ORÇAMENTO!$X$15,ROW(AJ63)-ROW(AJ$15),0),
              ROUND(ROUND(OFFSET($P63,0,AJ$13),15-13*ORÇAMENTO!$AF$7)*OFFSET(ORÇAMENTO!$W$15,ROW(AJ63)-ROW(AJ$15),0),15-13*ORÇAMENTO!$AF$11)),
         0)</f>
        <v>0</v>
      </c>
      <c r="AK63" s="454">
        <f ca="1">IF(AND($D63="Serviço",AK$12&lt;&gt;0,$H63&gt;0,OR(AUTOEVENTO&lt;&gt;"manual",$M63&lt;&gt;$A$15)),
        IF(Import.TipoArredondamento&lt;&gt;"TransfereGOV",
              ROUND(OFFSET($P63,0,AK$13),15-13*ORÇAMENTO!$AF$7)/$H63*OFFSET(ORÇAMENTO!$X$15,ROW(AK63)-ROW(AK$15),0),
              ROUND(ROUND(OFFSET($P63,0,AK$13),15-13*ORÇAMENTO!$AF$7)*OFFSET(ORÇAMENTO!$W$15,ROW(AK63)-ROW(AK$15),0),15-13*ORÇAMENTO!$AF$11)),
         0)</f>
        <v>0</v>
      </c>
      <c r="AM63" s="172">
        <f ca="1">IF(OR($D63&lt;&gt;"Serviço",AND(AUTOEVENTO="Manual",$M63=$A$15)),0,
         IF(OFFSET(CRONOPLE!$F$15,$M63-$A$15,AM$13)="",10^12,OFFSET(CRONOPLE!$F$15,$M63-$A$15,AM$13)))</f>
        <v>1000000000000</v>
      </c>
      <c r="AN63" s="172">
        <f ca="1">IF(OR($D63&lt;&gt;"Serviço",AND(AUTOEVENTO="Manual",$M63=$A$15)),0,
         IF(OFFSET(CRONOPLE!$F$15,$M63-$A$15,AN$13)="",10^12,OFFSET(CRONOPLE!$F$15,$M63-$A$15,AN$13)))</f>
        <v>1000000000000</v>
      </c>
      <c r="AO63" s="172">
        <f ca="1">IF(OR($D63&lt;&gt;"Serviço",AND(AUTOEVENTO="Manual",$M63=$A$15)),0,
         IF(OFFSET(CRONOPLE!$F$15,$M63-$A$15,AO$13)="",10^12,OFFSET(CRONOPLE!$F$15,$M63-$A$15,AO$13)))</f>
        <v>1000000000000</v>
      </c>
      <c r="AP63" s="172">
        <f ca="1">IF(OR($D63&lt;&gt;"Serviço",AND(AUTOEVENTO="Manual",$M63=$A$15)),0,
         IF(OFFSET(CRONOPLE!$F$15,$M63-$A$15,AP$13)="",10^12,OFFSET(CRONOPLE!$F$15,$M63-$A$15,AP$13)))</f>
        <v>1000000000000</v>
      </c>
      <c r="AQ63" s="172">
        <f ca="1">IF(OR($D63&lt;&gt;"Serviço",AND(AUTOEVENTO="Manual",$M63=$A$15)),0,
         IF(OFFSET(CRONOPLE!$F$15,$M63-$A$15,AQ$13)="",10^12,OFFSET(CRONOPLE!$F$15,$M63-$A$15,AQ$13)))</f>
        <v>1000000000000</v>
      </c>
      <c r="AR63" s="172">
        <f ca="1">IF(OR($D63&lt;&gt;"Serviço",AND(AUTOEVENTO="Manual",$M63=$A$15)),0,
         IF(OFFSET(CRONOPLE!$F$15,$M63-$A$15,AR$13)="",10^12,OFFSET(CRONOPLE!$F$15,$M63-$A$15,AR$13)))</f>
        <v>1000000000000</v>
      </c>
      <c r="AS63" s="172">
        <f ca="1">IF(OR($D63&lt;&gt;"Serviço",AND(AUTOEVENTO="Manual",$M63=$A$15)),0,
         IF(OFFSET(CRONOPLE!$F$15,$M63-$A$15,AS$13)="",10^12,OFFSET(CRONOPLE!$F$15,$M63-$A$15,AS$13)))</f>
        <v>1000000000000</v>
      </c>
      <c r="AT63" s="172">
        <f ca="1">IF(OR($D63&lt;&gt;"Serviço",AND(AUTOEVENTO="Manual",$M63=$A$15)),0,
         IF(OFFSET(CRONOPLE!$F$15,$M63-$A$15,AT$13)="",10^12,OFFSET(CRONOPLE!$F$15,$M63-$A$15,AT$13)))</f>
        <v>1000000000000</v>
      </c>
      <c r="AU63" s="172">
        <f ca="1">IF(OR($D63&lt;&gt;"Serviço",AND(AUTOEVENTO="Manual",$M63=$A$15)),0,
         IF(OFFSET(CRONOPLE!$F$15,$M63-$A$15,AU$13)="",10^12,OFFSET(CRONOPLE!$F$15,$M63-$A$15,AU$13)))</f>
        <v>1000000000000</v>
      </c>
      <c r="AV63" s="172">
        <f ca="1">IF(OR($D63&lt;&gt;"Serviço",AND(AUTOEVENTO="Manual",$M63=$A$15)),0,
         IF(OFFSET(CRONOPLE!$F$15,$M63-$A$15,AV$13)="",10^12,OFFSET(CRONOPLE!$F$15,$M63-$A$15,AV$13)))</f>
        <v>1000000000000</v>
      </c>
      <c r="AX63" s="173">
        <f ca="1">IF(OR($D63&lt;&gt;"Serviço",AND(AUTOEVENTO="Manual",$M63=$A$15),$M63&gt;(ROW(PLE.lastrow)-ROW(PLE.firstrow))),0,
           IF(OFFSET(PLE!$G$15,$M63-$A$15,AX$13)="",10^12,OFFSET(PLE!$G$15,$M63-$A$15,AX$13)))</f>
        <v>1000000000000</v>
      </c>
      <c r="AY63" s="173">
        <f ca="1">IF(OR($D63&lt;&gt;"Serviço",AND(AUTOEVENTO="Manual",$M63=$A$15),$M63&gt;(ROW(PLE.lastrow)-ROW(PLE.firstrow))),0,
           IF(OFFSET(PLE!$G$15,$M63-$A$15,AY$13)="",10^12,OFFSET(PLE!$G$15,$M63-$A$15,AY$13)))</f>
        <v>1000000000000</v>
      </c>
      <c r="AZ63" s="173">
        <f ca="1">IF(OR($D63&lt;&gt;"Serviço",AND(AUTOEVENTO="Manual",$M63=$A$15),$M63&gt;(ROW(PLE.lastrow)-ROW(PLE.firstrow))),0,
           IF(OFFSET(PLE!$G$15,$M63-$A$15,AZ$13)="",10^12,OFFSET(PLE!$G$15,$M63-$A$15,AZ$13)))</f>
        <v>1000000000000</v>
      </c>
      <c r="BA63" s="173">
        <f ca="1">IF(OR($D63&lt;&gt;"Serviço",AND(AUTOEVENTO="Manual",$M63=$A$15),$M63&gt;(ROW(PLE.lastrow)-ROW(PLE.firstrow))),0,
           IF(OFFSET(PLE!$G$15,$M63-$A$15,BA$13)="",10^12,OFFSET(PLE!$G$15,$M63-$A$15,BA$13)))</f>
        <v>1000000000000</v>
      </c>
      <c r="BB63" s="173">
        <f ca="1">IF(OR($D63&lt;&gt;"Serviço",AND(AUTOEVENTO="Manual",$M63=$A$15),$M63&gt;(ROW(PLE.lastrow)-ROW(PLE.firstrow))),0,
           IF(OFFSET(PLE!$G$15,$M63-$A$15,BB$13)="",10^12,OFFSET(PLE!$G$15,$M63-$A$15,BB$13)))</f>
        <v>1000000000000</v>
      </c>
      <c r="BC63" s="173">
        <f ca="1">IF(OR($D63&lt;&gt;"Serviço",AND(AUTOEVENTO="Manual",$M63=$A$15),$M63&gt;(ROW(PLE.lastrow)-ROW(PLE.firstrow))),0,
           IF(OFFSET(PLE!$G$15,$M63-$A$15,BC$13)="",10^12,OFFSET(PLE!$G$15,$M63-$A$15,BC$13)))</f>
        <v>1000000000000</v>
      </c>
      <c r="BD63" s="173">
        <f ca="1">IF(OR($D63&lt;&gt;"Serviço",AND(AUTOEVENTO="Manual",$M63=$A$15),$M63&gt;(ROW(PLE.lastrow)-ROW(PLE.firstrow))),0,
           IF(OFFSET(PLE!$G$15,$M63-$A$15,BD$13)="",10^12,OFFSET(PLE!$G$15,$M63-$A$15,BD$13)))</f>
        <v>1000000000000</v>
      </c>
      <c r="BE63" s="173">
        <f ca="1">IF(OR($D63&lt;&gt;"Serviço",AND(AUTOEVENTO="Manual",$M63=$A$15),$M63&gt;(ROW(PLE.lastrow)-ROW(PLE.firstrow))),0,
           IF(OFFSET(PLE!$G$15,$M63-$A$15,BE$13)="",10^12,OFFSET(PLE!$G$15,$M63-$A$15,BE$13)))</f>
        <v>1000000000000</v>
      </c>
      <c r="BF63" s="173">
        <f ca="1">IF(OR($D63&lt;&gt;"Serviço",AND(AUTOEVENTO="Manual",$M63=$A$15),$M63&gt;(ROW(PLE.lastrow)-ROW(PLE.firstrow))),0,
           IF(OFFSET(PLE!$G$15,$M63-$A$15,BF$13)="",10^12,OFFSET(PLE!$G$15,$M63-$A$15,BF$13)))</f>
        <v>1000000000000</v>
      </c>
      <c r="BG63" s="173">
        <f ca="1">IF(OR($D63&lt;&gt;"Serviço",AND(AUTOEVENTO="Manual",$M63=$A$15),$M63&gt;(ROW(PLE.lastrow)-ROW(PLE.firstrow))),0,
           IF(OFFSET(PLE!$G$15,$M63-$A$15,BG$13)="",10^12,OFFSET(PLE!$G$15,$M63-$A$15,BG$13)))</f>
        <v>1000000000000</v>
      </c>
    </row>
    <row r="64" spans="1:59" ht="38.25" x14ac:dyDescent="0.2">
      <c r="A64" s="7" t="str">
        <f t="shared" ca="1" si="8"/>
        <v>39</v>
      </c>
      <c r="B64" s="7" t="str">
        <f ca="1">OFFSET(ORÇAMENTO!C$15,ROW(B64)-ROW(B$15),0)</f>
        <v>S</v>
      </c>
      <c r="C64" s="7" t="str">
        <f ca="1">OFFSET(ORÇAMENTO!L$15,ROW(C64)-ROW(C$15),0)</f>
        <v/>
      </c>
      <c r="D64" s="117" t="str">
        <f ca="1">OFFSET(ORÇAMENTO!N$15,ROW(D64)-ROW(D$15),0)</f>
        <v>Serviço</v>
      </c>
      <c r="E64" s="118" t="str">
        <f ca="1">OFFSET(ORÇAMENTO!O$15,ROW(E64)-ROW(E$15),0)</f>
        <v>-</v>
      </c>
      <c r="F64" s="164" t="str">
        <f ca="1">OFFSET(ORÇAMENTO!R$15,ROW(F64)-ROW(F$15),0)</f>
        <v>LUMINÁRIA ARANDELA TIPO MEIA LUA, DE SOBREPOR, COM 1 LÂMPADA LED DE 6 W, SEM REATOR - FORNECIMENTO E INSTALAÇÃO. AF_09/2024</v>
      </c>
      <c r="G64" s="165" t="str">
        <f ca="1">IF($D64&lt;&gt;"Serviço","",OFFSET(ORÇAMENTO!S$15,ROW(G64)-ROW(G$15),0))</f>
        <v>UN</v>
      </c>
      <c r="H64" s="123">
        <f ca="1">IF($D64&lt;&gt;"Serviço",0,IF(ACOMPANHAMENTO="BM",ROUND(OFFSET(ORÇAMENTO!AJ$15,ROW(H64)-ROW(H$15),0),15-13*ORÇAMENTO!$AF$7),SUMPRODUCT(($Q$1:$AA$1=1)*ROUND($Q64:$AA64,15-13*ORÇAMENTO!$AF$7))))</f>
        <v>23</v>
      </c>
      <c r="I64" s="469"/>
      <c r="J64" s="577" t="str" cm="1">
        <f t="array" aca="1" ref="J64" ca="1">IF(B64&lt;&gt;"S","",IF(AND(ACOMPANHAMENTO="PLE",AUTOEVENTO="Manual",OR(H64&gt;0,ORÇAMENTO!AC64="QUANT."),OR(K64="",M64=0,N64="")),"►",IF(AND(ACOMPANHAMENTO="PLE",ORÇAMENTO!AC64="QUANT."),"►►",IF(AND(COUNTIF($P$11:$AA$11,"▼")=0,H64&gt;0,I64=""),"◄",""))))</f>
        <v>◄</v>
      </c>
      <c r="K64" s="626"/>
      <c r="L64" s="166" t="s">
        <v>765</v>
      </c>
      <c r="M64" s="167">
        <f ca="1">IF($D64&lt;&gt;"Serviço","",
          IF(AUTOEVENTO="manual",$A64,
                IF(ISERROR(MATCH($A64,$A$15:OFFSET($A64,-1,0),0)),MAX($M$15:OFFSET(M64,-1,0))+1,
                      INDEX($M$15:OFFSET(M64,-1,0),MATCH($A64,$A$15:OFFSET($A64,-1,0),0)))))</f>
        <v>9</v>
      </c>
      <c r="N64" s="168" t="str">
        <f ca="1">IF($D64&lt;&gt;"Serviço","",
         IF(AUTOEVENTO="Manual",
                IF($A64=0,"&lt;-- defina o número do agrupador",
                       OFFSET(EVENTOS!$D$15,$A64-$A$15,0)),
                OFFSET($F$15,$A64,0)))</f>
        <v>INSTALAÇÕES ELÉTRICAS</v>
      </c>
      <c r="O64" s="169"/>
      <c r="Q64" s="169"/>
      <c r="R64" s="170"/>
      <c r="S64" s="170"/>
      <c r="T64" s="170"/>
      <c r="U64" s="170"/>
      <c r="V64" s="170"/>
      <c r="W64" s="170"/>
      <c r="X64" s="170"/>
      <c r="Y64" s="170"/>
      <c r="Z64" s="171"/>
      <c r="AB64" s="454">
        <f ca="1">IF(AND($D64="Serviço",AB$12&lt;&gt;0,$H64&gt;0,OR(AUTOEVENTO&lt;&gt;"manual",$M64&lt;&gt;$A$15)),
        IF(Import.TipoArredondamento&lt;&gt;"TransfereGOV",
              ROUND(OFFSET($P64,0,AB$13),15-13*ORÇAMENTO!$AF$7)/$H64*OFFSET(ORÇAMENTO!$X$15,ROW(AB64)-ROW(AB$15),0),
              ROUND(ROUND(OFFSET($P64,0,AB$13),15-13*ORÇAMENTO!$AF$7)*OFFSET(ORÇAMENTO!$W$15,ROW(AB64)-ROW(AB$15),0),15-13*ORÇAMENTO!$AF$11)),
         0)</f>
        <v>0</v>
      </c>
      <c r="AC64" s="454">
        <f ca="1">IF(AND($D64="Serviço",AC$12&lt;&gt;0,$H64&gt;0,OR(AUTOEVENTO&lt;&gt;"manual",$M64&lt;&gt;$A$15)),
        IF(Import.TipoArredondamento&lt;&gt;"TransfereGOV",
              ROUND(OFFSET($P64,0,AC$13),15-13*ORÇAMENTO!$AF$7)/$H64*OFFSET(ORÇAMENTO!$X$15,ROW(AC64)-ROW(AC$15),0),
              ROUND(ROUND(OFFSET($P64,0,AC$13),15-13*ORÇAMENTO!$AF$7)*OFFSET(ORÇAMENTO!$W$15,ROW(AC64)-ROW(AC$15),0),15-13*ORÇAMENTO!$AF$11)),
         0)</f>
        <v>0</v>
      </c>
      <c r="AD64" s="454">
        <f ca="1">IF(AND($D64="Serviço",AD$12&lt;&gt;0,$H64&gt;0,OR(AUTOEVENTO&lt;&gt;"manual",$M64&lt;&gt;$A$15)),
        IF(Import.TipoArredondamento&lt;&gt;"TransfereGOV",
              ROUND(OFFSET($P64,0,AD$13),15-13*ORÇAMENTO!$AF$7)/$H64*OFFSET(ORÇAMENTO!$X$15,ROW(AD64)-ROW(AD$15),0),
              ROUND(ROUND(OFFSET($P64,0,AD$13),15-13*ORÇAMENTO!$AF$7)*OFFSET(ORÇAMENTO!$W$15,ROW(AD64)-ROW(AD$15),0),15-13*ORÇAMENTO!$AF$11)),
         0)</f>
        <v>0</v>
      </c>
      <c r="AE64" s="454">
        <f ca="1">IF(AND($D64="Serviço",AE$12&lt;&gt;0,$H64&gt;0,OR(AUTOEVENTO&lt;&gt;"manual",$M64&lt;&gt;$A$15)),
        IF(Import.TipoArredondamento&lt;&gt;"TransfereGOV",
              ROUND(OFFSET($P64,0,AE$13),15-13*ORÇAMENTO!$AF$7)/$H64*OFFSET(ORÇAMENTO!$X$15,ROW(AE64)-ROW(AE$15),0),
              ROUND(ROUND(OFFSET($P64,0,AE$13),15-13*ORÇAMENTO!$AF$7)*OFFSET(ORÇAMENTO!$W$15,ROW(AE64)-ROW(AE$15),0),15-13*ORÇAMENTO!$AF$11)),
         0)</f>
        <v>0</v>
      </c>
      <c r="AF64" s="454">
        <f ca="1">IF(AND($D64="Serviço",AF$12&lt;&gt;0,$H64&gt;0,OR(AUTOEVENTO&lt;&gt;"manual",$M64&lt;&gt;$A$15)),
        IF(Import.TipoArredondamento&lt;&gt;"TransfereGOV",
              ROUND(OFFSET($P64,0,AF$13),15-13*ORÇAMENTO!$AF$7)/$H64*OFFSET(ORÇAMENTO!$X$15,ROW(AF64)-ROW(AF$15),0),
              ROUND(ROUND(OFFSET($P64,0,AF$13),15-13*ORÇAMENTO!$AF$7)*OFFSET(ORÇAMENTO!$W$15,ROW(AF64)-ROW(AF$15),0),15-13*ORÇAMENTO!$AF$11)),
         0)</f>
        <v>0</v>
      </c>
      <c r="AG64" s="454">
        <f ca="1">IF(AND($D64="Serviço",AG$12&lt;&gt;0,$H64&gt;0,OR(AUTOEVENTO&lt;&gt;"manual",$M64&lt;&gt;$A$15)),
        IF(Import.TipoArredondamento&lt;&gt;"TransfereGOV",
              ROUND(OFFSET($P64,0,AG$13),15-13*ORÇAMENTO!$AF$7)/$H64*OFFSET(ORÇAMENTO!$X$15,ROW(AG64)-ROW(AG$15),0),
              ROUND(ROUND(OFFSET($P64,0,AG$13),15-13*ORÇAMENTO!$AF$7)*OFFSET(ORÇAMENTO!$W$15,ROW(AG64)-ROW(AG$15),0),15-13*ORÇAMENTO!$AF$11)),
         0)</f>
        <v>0</v>
      </c>
      <c r="AH64" s="454">
        <f ca="1">IF(AND($D64="Serviço",AH$12&lt;&gt;0,$H64&gt;0,OR(AUTOEVENTO&lt;&gt;"manual",$M64&lt;&gt;$A$15)),
        IF(Import.TipoArredondamento&lt;&gt;"TransfereGOV",
              ROUND(OFFSET($P64,0,AH$13),15-13*ORÇAMENTO!$AF$7)/$H64*OFFSET(ORÇAMENTO!$X$15,ROW(AH64)-ROW(AH$15),0),
              ROUND(ROUND(OFFSET($P64,0,AH$13),15-13*ORÇAMENTO!$AF$7)*OFFSET(ORÇAMENTO!$W$15,ROW(AH64)-ROW(AH$15),0),15-13*ORÇAMENTO!$AF$11)),
         0)</f>
        <v>0</v>
      </c>
      <c r="AI64" s="454">
        <f ca="1">IF(AND($D64="Serviço",AI$12&lt;&gt;0,$H64&gt;0,OR(AUTOEVENTO&lt;&gt;"manual",$M64&lt;&gt;$A$15)),
        IF(Import.TipoArredondamento&lt;&gt;"TransfereGOV",
              ROUND(OFFSET($P64,0,AI$13),15-13*ORÇAMENTO!$AF$7)/$H64*OFFSET(ORÇAMENTO!$X$15,ROW(AI64)-ROW(AI$15),0),
              ROUND(ROUND(OFFSET($P64,0,AI$13),15-13*ORÇAMENTO!$AF$7)*OFFSET(ORÇAMENTO!$W$15,ROW(AI64)-ROW(AI$15),0),15-13*ORÇAMENTO!$AF$11)),
         0)</f>
        <v>0</v>
      </c>
      <c r="AJ64" s="454">
        <f ca="1">IF(AND($D64="Serviço",AJ$12&lt;&gt;0,$H64&gt;0,OR(AUTOEVENTO&lt;&gt;"manual",$M64&lt;&gt;$A$15)),
        IF(Import.TipoArredondamento&lt;&gt;"TransfereGOV",
              ROUND(OFFSET($P64,0,AJ$13),15-13*ORÇAMENTO!$AF$7)/$H64*OFFSET(ORÇAMENTO!$X$15,ROW(AJ64)-ROW(AJ$15),0),
              ROUND(ROUND(OFFSET($P64,0,AJ$13),15-13*ORÇAMENTO!$AF$7)*OFFSET(ORÇAMENTO!$W$15,ROW(AJ64)-ROW(AJ$15),0),15-13*ORÇAMENTO!$AF$11)),
         0)</f>
        <v>0</v>
      </c>
      <c r="AK64" s="454">
        <f ca="1">IF(AND($D64="Serviço",AK$12&lt;&gt;0,$H64&gt;0,OR(AUTOEVENTO&lt;&gt;"manual",$M64&lt;&gt;$A$15)),
        IF(Import.TipoArredondamento&lt;&gt;"TransfereGOV",
              ROUND(OFFSET($P64,0,AK$13),15-13*ORÇAMENTO!$AF$7)/$H64*OFFSET(ORÇAMENTO!$X$15,ROW(AK64)-ROW(AK$15),0),
              ROUND(ROUND(OFFSET($P64,0,AK$13),15-13*ORÇAMENTO!$AF$7)*OFFSET(ORÇAMENTO!$W$15,ROW(AK64)-ROW(AK$15),0),15-13*ORÇAMENTO!$AF$11)),
         0)</f>
        <v>0</v>
      </c>
      <c r="AM64" s="172">
        <f ca="1">IF(OR($D64&lt;&gt;"Serviço",AND(AUTOEVENTO="Manual",$M64=$A$15)),0,
         IF(OFFSET(CRONOPLE!$F$15,$M64-$A$15,AM$13)="",10^12,OFFSET(CRONOPLE!$F$15,$M64-$A$15,AM$13)))</f>
        <v>1000000000000</v>
      </c>
      <c r="AN64" s="172">
        <f ca="1">IF(OR($D64&lt;&gt;"Serviço",AND(AUTOEVENTO="Manual",$M64=$A$15)),0,
         IF(OFFSET(CRONOPLE!$F$15,$M64-$A$15,AN$13)="",10^12,OFFSET(CRONOPLE!$F$15,$M64-$A$15,AN$13)))</f>
        <v>1000000000000</v>
      </c>
      <c r="AO64" s="172">
        <f ca="1">IF(OR($D64&lt;&gt;"Serviço",AND(AUTOEVENTO="Manual",$M64=$A$15)),0,
         IF(OFFSET(CRONOPLE!$F$15,$M64-$A$15,AO$13)="",10^12,OFFSET(CRONOPLE!$F$15,$M64-$A$15,AO$13)))</f>
        <v>1000000000000</v>
      </c>
      <c r="AP64" s="172">
        <f ca="1">IF(OR($D64&lt;&gt;"Serviço",AND(AUTOEVENTO="Manual",$M64=$A$15)),0,
         IF(OFFSET(CRONOPLE!$F$15,$M64-$A$15,AP$13)="",10^12,OFFSET(CRONOPLE!$F$15,$M64-$A$15,AP$13)))</f>
        <v>1000000000000</v>
      </c>
      <c r="AQ64" s="172">
        <f ca="1">IF(OR($D64&lt;&gt;"Serviço",AND(AUTOEVENTO="Manual",$M64=$A$15)),0,
         IF(OFFSET(CRONOPLE!$F$15,$M64-$A$15,AQ$13)="",10^12,OFFSET(CRONOPLE!$F$15,$M64-$A$15,AQ$13)))</f>
        <v>1000000000000</v>
      </c>
      <c r="AR64" s="172">
        <f ca="1">IF(OR($D64&lt;&gt;"Serviço",AND(AUTOEVENTO="Manual",$M64=$A$15)),0,
         IF(OFFSET(CRONOPLE!$F$15,$M64-$A$15,AR$13)="",10^12,OFFSET(CRONOPLE!$F$15,$M64-$A$15,AR$13)))</f>
        <v>1000000000000</v>
      </c>
      <c r="AS64" s="172">
        <f ca="1">IF(OR($D64&lt;&gt;"Serviço",AND(AUTOEVENTO="Manual",$M64=$A$15)),0,
         IF(OFFSET(CRONOPLE!$F$15,$M64-$A$15,AS$13)="",10^12,OFFSET(CRONOPLE!$F$15,$M64-$A$15,AS$13)))</f>
        <v>1000000000000</v>
      </c>
      <c r="AT64" s="172">
        <f ca="1">IF(OR($D64&lt;&gt;"Serviço",AND(AUTOEVENTO="Manual",$M64=$A$15)),0,
         IF(OFFSET(CRONOPLE!$F$15,$M64-$A$15,AT$13)="",10^12,OFFSET(CRONOPLE!$F$15,$M64-$A$15,AT$13)))</f>
        <v>1000000000000</v>
      </c>
      <c r="AU64" s="172">
        <f ca="1">IF(OR($D64&lt;&gt;"Serviço",AND(AUTOEVENTO="Manual",$M64=$A$15)),0,
         IF(OFFSET(CRONOPLE!$F$15,$M64-$A$15,AU$13)="",10^12,OFFSET(CRONOPLE!$F$15,$M64-$A$15,AU$13)))</f>
        <v>1000000000000</v>
      </c>
      <c r="AV64" s="172">
        <f ca="1">IF(OR($D64&lt;&gt;"Serviço",AND(AUTOEVENTO="Manual",$M64=$A$15)),0,
         IF(OFFSET(CRONOPLE!$F$15,$M64-$A$15,AV$13)="",10^12,OFFSET(CRONOPLE!$F$15,$M64-$A$15,AV$13)))</f>
        <v>1000000000000</v>
      </c>
      <c r="AX64" s="173">
        <f ca="1">IF(OR($D64&lt;&gt;"Serviço",AND(AUTOEVENTO="Manual",$M64=$A$15),$M64&gt;(ROW(PLE.lastrow)-ROW(PLE.firstrow))),0,
           IF(OFFSET(PLE!$G$15,$M64-$A$15,AX$13)="",10^12,OFFSET(PLE!$G$15,$M64-$A$15,AX$13)))</f>
        <v>1000000000000</v>
      </c>
      <c r="AY64" s="173">
        <f ca="1">IF(OR($D64&lt;&gt;"Serviço",AND(AUTOEVENTO="Manual",$M64=$A$15),$M64&gt;(ROW(PLE.lastrow)-ROW(PLE.firstrow))),0,
           IF(OFFSET(PLE!$G$15,$M64-$A$15,AY$13)="",10^12,OFFSET(PLE!$G$15,$M64-$A$15,AY$13)))</f>
        <v>1000000000000</v>
      </c>
      <c r="AZ64" s="173">
        <f ca="1">IF(OR($D64&lt;&gt;"Serviço",AND(AUTOEVENTO="Manual",$M64=$A$15),$M64&gt;(ROW(PLE.lastrow)-ROW(PLE.firstrow))),0,
           IF(OFFSET(PLE!$G$15,$M64-$A$15,AZ$13)="",10^12,OFFSET(PLE!$G$15,$M64-$A$15,AZ$13)))</f>
        <v>1000000000000</v>
      </c>
      <c r="BA64" s="173">
        <f ca="1">IF(OR($D64&lt;&gt;"Serviço",AND(AUTOEVENTO="Manual",$M64=$A$15),$M64&gt;(ROW(PLE.lastrow)-ROW(PLE.firstrow))),0,
           IF(OFFSET(PLE!$G$15,$M64-$A$15,BA$13)="",10^12,OFFSET(PLE!$G$15,$M64-$A$15,BA$13)))</f>
        <v>1000000000000</v>
      </c>
      <c r="BB64" s="173">
        <f ca="1">IF(OR($D64&lt;&gt;"Serviço",AND(AUTOEVENTO="Manual",$M64=$A$15),$M64&gt;(ROW(PLE.lastrow)-ROW(PLE.firstrow))),0,
           IF(OFFSET(PLE!$G$15,$M64-$A$15,BB$13)="",10^12,OFFSET(PLE!$G$15,$M64-$A$15,BB$13)))</f>
        <v>1000000000000</v>
      </c>
      <c r="BC64" s="173">
        <f ca="1">IF(OR($D64&lt;&gt;"Serviço",AND(AUTOEVENTO="Manual",$M64=$A$15),$M64&gt;(ROW(PLE.lastrow)-ROW(PLE.firstrow))),0,
           IF(OFFSET(PLE!$G$15,$M64-$A$15,BC$13)="",10^12,OFFSET(PLE!$G$15,$M64-$A$15,BC$13)))</f>
        <v>1000000000000</v>
      </c>
      <c r="BD64" s="173">
        <f ca="1">IF(OR($D64&lt;&gt;"Serviço",AND(AUTOEVENTO="Manual",$M64=$A$15),$M64&gt;(ROW(PLE.lastrow)-ROW(PLE.firstrow))),0,
           IF(OFFSET(PLE!$G$15,$M64-$A$15,BD$13)="",10^12,OFFSET(PLE!$G$15,$M64-$A$15,BD$13)))</f>
        <v>1000000000000</v>
      </c>
      <c r="BE64" s="173">
        <f ca="1">IF(OR($D64&lt;&gt;"Serviço",AND(AUTOEVENTO="Manual",$M64=$A$15),$M64&gt;(ROW(PLE.lastrow)-ROW(PLE.firstrow))),0,
           IF(OFFSET(PLE!$G$15,$M64-$A$15,BE$13)="",10^12,OFFSET(PLE!$G$15,$M64-$A$15,BE$13)))</f>
        <v>1000000000000</v>
      </c>
      <c r="BF64" s="173">
        <f ca="1">IF(OR($D64&lt;&gt;"Serviço",AND(AUTOEVENTO="Manual",$M64=$A$15),$M64&gt;(ROW(PLE.lastrow)-ROW(PLE.firstrow))),0,
           IF(OFFSET(PLE!$G$15,$M64-$A$15,BF$13)="",10^12,OFFSET(PLE!$G$15,$M64-$A$15,BF$13)))</f>
        <v>1000000000000</v>
      </c>
      <c r="BG64" s="173">
        <f ca="1">IF(OR($D64&lt;&gt;"Serviço",AND(AUTOEVENTO="Manual",$M64=$A$15),$M64&gt;(ROW(PLE.lastrow)-ROW(PLE.firstrow))),0,
           IF(OFFSET(PLE!$G$15,$M64-$A$15,BG$13)="",10^12,OFFSET(PLE!$G$15,$M64-$A$15,BG$13)))</f>
        <v>1000000000000</v>
      </c>
    </row>
    <row r="65" spans="1:59" ht="38.25" x14ac:dyDescent="0.2">
      <c r="A65" s="7" t="str">
        <f t="shared" ca="1" si="8"/>
        <v>39</v>
      </c>
      <c r="B65" s="7" t="str">
        <f ca="1">OFFSET(ORÇAMENTO!C$15,ROW(B65)-ROW(B$15),0)</f>
        <v>S</v>
      </c>
      <c r="C65" s="7" t="str">
        <f ca="1">OFFSET(ORÇAMENTO!L$15,ROW(C65)-ROW(C$15),0)</f>
        <v/>
      </c>
      <c r="D65" s="117" t="str">
        <f ca="1">OFFSET(ORÇAMENTO!N$15,ROW(D65)-ROW(D$15),0)</f>
        <v>Serviço</v>
      </c>
      <c r="E65" s="118" t="str">
        <f ca="1">OFFSET(ORÇAMENTO!O$15,ROW(E65)-ROW(E$15),0)</f>
        <v>-</v>
      </c>
      <c r="F65" s="164" t="str">
        <f ca="1">OFFSET(ORÇAMENTO!R$15,ROW(F65)-ROW(F$15),0)</f>
        <v xml:space="preserve">QUADRO DE DISTRIBUICAO COM BARRAMENTO TRIFASICO, DE SOBREPOR, EM CHAPA DE ACO GALVANIZADO, PARA 28 DISJUNTORES DIN, 100 A                                                                                                                                 </v>
      </c>
      <c r="G65" s="165" t="str">
        <f ca="1">IF($D65&lt;&gt;"Serviço","",OFFSET(ORÇAMENTO!S$15,ROW(G65)-ROW(G$15),0))</f>
        <v xml:space="preserve">UN    </v>
      </c>
      <c r="H65" s="123">
        <f ca="1">IF($D65&lt;&gt;"Serviço",0,IF(ACOMPANHAMENTO="BM",ROUND(OFFSET(ORÇAMENTO!AJ$15,ROW(H65)-ROW(H$15),0),15-13*ORÇAMENTO!$AF$7),SUMPRODUCT(($Q$1:$AA$1=1)*ROUND($Q65:$AA65,15-13*ORÇAMENTO!$AF$7))))</f>
        <v>2</v>
      </c>
      <c r="I65" s="469"/>
      <c r="J65" s="577" t="str" cm="1">
        <f t="array" aca="1" ref="J65" ca="1">IF(B65&lt;&gt;"S","",IF(AND(ACOMPANHAMENTO="PLE",AUTOEVENTO="Manual",OR(H65&gt;0,ORÇAMENTO!AC65="QUANT."),OR(K65="",M65=0,N65="")),"►",IF(AND(ACOMPANHAMENTO="PLE",ORÇAMENTO!AC65="QUANT."),"►►",IF(AND(COUNTIF($P$11:$AA$11,"▼")=0,H65&gt;0,I65=""),"◄",""))))</f>
        <v>◄</v>
      </c>
      <c r="K65" s="626"/>
      <c r="L65" s="166" t="s">
        <v>765</v>
      </c>
      <c r="M65" s="167">
        <f ca="1">IF($D65&lt;&gt;"Serviço","",
          IF(AUTOEVENTO="manual",$A65,
                IF(ISERROR(MATCH($A65,$A$15:OFFSET($A65,-1,0),0)),MAX($M$15:OFFSET(M65,-1,0))+1,
                      INDEX($M$15:OFFSET(M65,-1,0),MATCH($A65,$A$15:OFFSET($A65,-1,0),0)))))</f>
        <v>9</v>
      </c>
      <c r="N65" s="168" t="str">
        <f ca="1">IF($D65&lt;&gt;"Serviço","",
         IF(AUTOEVENTO="Manual",
                IF($A65=0,"&lt;-- defina o número do agrupador",
                       OFFSET(EVENTOS!$D$15,$A65-$A$15,0)),
                OFFSET($F$15,$A65,0)))</f>
        <v>INSTALAÇÕES ELÉTRICAS</v>
      </c>
      <c r="O65" s="169"/>
      <c r="Q65" s="169"/>
      <c r="R65" s="170"/>
      <c r="S65" s="170"/>
      <c r="T65" s="170"/>
      <c r="U65" s="170"/>
      <c r="V65" s="170"/>
      <c r="W65" s="170"/>
      <c r="X65" s="170"/>
      <c r="Y65" s="170"/>
      <c r="Z65" s="171"/>
      <c r="AB65" s="454">
        <f ca="1">IF(AND($D65="Serviço",AB$12&lt;&gt;0,$H65&gt;0,OR(AUTOEVENTO&lt;&gt;"manual",$M65&lt;&gt;$A$15)),
        IF(Import.TipoArredondamento&lt;&gt;"TransfereGOV",
              ROUND(OFFSET($P65,0,AB$13),15-13*ORÇAMENTO!$AF$7)/$H65*OFFSET(ORÇAMENTO!$X$15,ROW(AB65)-ROW(AB$15),0),
              ROUND(ROUND(OFFSET($P65,0,AB$13),15-13*ORÇAMENTO!$AF$7)*OFFSET(ORÇAMENTO!$W$15,ROW(AB65)-ROW(AB$15),0),15-13*ORÇAMENTO!$AF$11)),
         0)</f>
        <v>0</v>
      </c>
      <c r="AC65" s="454">
        <f ca="1">IF(AND($D65="Serviço",AC$12&lt;&gt;0,$H65&gt;0,OR(AUTOEVENTO&lt;&gt;"manual",$M65&lt;&gt;$A$15)),
        IF(Import.TipoArredondamento&lt;&gt;"TransfereGOV",
              ROUND(OFFSET($P65,0,AC$13),15-13*ORÇAMENTO!$AF$7)/$H65*OFFSET(ORÇAMENTO!$X$15,ROW(AC65)-ROW(AC$15),0),
              ROUND(ROUND(OFFSET($P65,0,AC$13),15-13*ORÇAMENTO!$AF$7)*OFFSET(ORÇAMENTO!$W$15,ROW(AC65)-ROW(AC$15),0),15-13*ORÇAMENTO!$AF$11)),
         0)</f>
        <v>0</v>
      </c>
      <c r="AD65" s="454">
        <f ca="1">IF(AND($D65="Serviço",AD$12&lt;&gt;0,$H65&gt;0,OR(AUTOEVENTO&lt;&gt;"manual",$M65&lt;&gt;$A$15)),
        IF(Import.TipoArredondamento&lt;&gt;"TransfereGOV",
              ROUND(OFFSET($P65,0,AD$13),15-13*ORÇAMENTO!$AF$7)/$H65*OFFSET(ORÇAMENTO!$X$15,ROW(AD65)-ROW(AD$15),0),
              ROUND(ROUND(OFFSET($P65,0,AD$13),15-13*ORÇAMENTO!$AF$7)*OFFSET(ORÇAMENTO!$W$15,ROW(AD65)-ROW(AD$15),0),15-13*ORÇAMENTO!$AF$11)),
         0)</f>
        <v>0</v>
      </c>
      <c r="AE65" s="454">
        <f ca="1">IF(AND($D65="Serviço",AE$12&lt;&gt;0,$H65&gt;0,OR(AUTOEVENTO&lt;&gt;"manual",$M65&lt;&gt;$A$15)),
        IF(Import.TipoArredondamento&lt;&gt;"TransfereGOV",
              ROUND(OFFSET($P65,0,AE$13),15-13*ORÇAMENTO!$AF$7)/$H65*OFFSET(ORÇAMENTO!$X$15,ROW(AE65)-ROW(AE$15),0),
              ROUND(ROUND(OFFSET($P65,0,AE$13),15-13*ORÇAMENTO!$AF$7)*OFFSET(ORÇAMENTO!$W$15,ROW(AE65)-ROW(AE$15),0),15-13*ORÇAMENTO!$AF$11)),
         0)</f>
        <v>0</v>
      </c>
      <c r="AF65" s="454">
        <f ca="1">IF(AND($D65="Serviço",AF$12&lt;&gt;0,$H65&gt;0,OR(AUTOEVENTO&lt;&gt;"manual",$M65&lt;&gt;$A$15)),
        IF(Import.TipoArredondamento&lt;&gt;"TransfereGOV",
              ROUND(OFFSET($P65,0,AF$13),15-13*ORÇAMENTO!$AF$7)/$H65*OFFSET(ORÇAMENTO!$X$15,ROW(AF65)-ROW(AF$15),0),
              ROUND(ROUND(OFFSET($P65,0,AF$13),15-13*ORÇAMENTO!$AF$7)*OFFSET(ORÇAMENTO!$W$15,ROW(AF65)-ROW(AF$15),0),15-13*ORÇAMENTO!$AF$11)),
         0)</f>
        <v>0</v>
      </c>
      <c r="AG65" s="454">
        <f ca="1">IF(AND($D65="Serviço",AG$12&lt;&gt;0,$H65&gt;0,OR(AUTOEVENTO&lt;&gt;"manual",$M65&lt;&gt;$A$15)),
        IF(Import.TipoArredondamento&lt;&gt;"TransfereGOV",
              ROUND(OFFSET($P65,0,AG$13),15-13*ORÇAMENTO!$AF$7)/$H65*OFFSET(ORÇAMENTO!$X$15,ROW(AG65)-ROW(AG$15),0),
              ROUND(ROUND(OFFSET($P65,0,AG$13),15-13*ORÇAMENTO!$AF$7)*OFFSET(ORÇAMENTO!$W$15,ROW(AG65)-ROW(AG$15),0),15-13*ORÇAMENTO!$AF$11)),
         0)</f>
        <v>0</v>
      </c>
      <c r="AH65" s="454">
        <f ca="1">IF(AND($D65="Serviço",AH$12&lt;&gt;0,$H65&gt;0,OR(AUTOEVENTO&lt;&gt;"manual",$M65&lt;&gt;$A$15)),
        IF(Import.TipoArredondamento&lt;&gt;"TransfereGOV",
              ROUND(OFFSET($P65,0,AH$13),15-13*ORÇAMENTO!$AF$7)/$H65*OFFSET(ORÇAMENTO!$X$15,ROW(AH65)-ROW(AH$15),0),
              ROUND(ROUND(OFFSET($P65,0,AH$13),15-13*ORÇAMENTO!$AF$7)*OFFSET(ORÇAMENTO!$W$15,ROW(AH65)-ROW(AH$15),0),15-13*ORÇAMENTO!$AF$11)),
         0)</f>
        <v>0</v>
      </c>
      <c r="AI65" s="454">
        <f ca="1">IF(AND($D65="Serviço",AI$12&lt;&gt;0,$H65&gt;0,OR(AUTOEVENTO&lt;&gt;"manual",$M65&lt;&gt;$A$15)),
        IF(Import.TipoArredondamento&lt;&gt;"TransfereGOV",
              ROUND(OFFSET($P65,0,AI$13),15-13*ORÇAMENTO!$AF$7)/$H65*OFFSET(ORÇAMENTO!$X$15,ROW(AI65)-ROW(AI$15),0),
              ROUND(ROUND(OFFSET($P65,0,AI$13),15-13*ORÇAMENTO!$AF$7)*OFFSET(ORÇAMENTO!$W$15,ROW(AI65)-ROW(AI$15),0),15-13*ORÇAMENTO!$AF$11)),
         0)</f>
        <v>0</v>
      </c>
      <c r="AJ65" s="454">
        <f ca="1">IF(AND($D65="Serviço",AJ$12&lt;&gt;0,$H65&gt;0,OR(AUTOEVENTO&lt;&gt;"manual",$M65&lt;&gt;$A$15)),
        IF(Import.TipoArredondamento&lt;&gt;"TransfereGOV",
              ROUND(OFFSET($P65,0,AJ$13),15-13*ORÇAMENTO!$AF$7)/$H65*OFFSET(ORÇAMENTO!$X$15,ROW(AJ65)-ROW(AJ$15),0),
              ROUND(ROUND(OFFSET($P65,0,AJ$13),15-13*ORÇAMENTO!$AF$7)*OFFSET(ORÇAMENTO!$W$15,ROW(AJ65)-ROW(AJ$15),0),15-13*ORÇAMENTO!$AF$11)),
         0)</f>
        <v>0</v>
      </c>
      <c r="AK65" s="454">
        <f ca="1">IF(AND($D65="Serviço",AK$12&lt;&gt;0,$H65&gt;0,OR(AUTOEVENTO&lt;&gt;"manual",$M65&lt;&gt;$A$15)),
        IF(Import.TipoArredondamento&lt;&gt;"TransfereGOV",
              ROUND(OFFSET($P65,0,AK$13),15-13*ORÇAMENTO!$AF$7)/$H65*OFFSET(ORÇAMENTO!$X$15,ROW(AK65)-ROW(AK$15),0),
              ROUND(ROUND(OFFSET($P65,0,AK$13),15-13*ORÇAMENTO!$AF$7)*OFFSET(ORÇAMENTO!$W$15,ROW(AK65)-ROW(AK$15),0),15-13*ORÇAMENTO!$AF$11)),
         0)</f>
        <v>0</v>
      </c>
      <c r="AM65" s="172">
        <f ca="1">IF(OR($D65&lt;&gt;"Serviço",AND(AUTOEVENTO="Manual",$M65=$A$15)),0,
         IF(OFFSET(CRONOPLE!$F$15,$M65-$A$15,AM$13)="",10^12,OFFSET(CRONOPLE!$F$15,$M65-$A$15,AM$13)))</f>
        <v>1000000000000</v>
      </c>
      <c r="AN65" s="172">
        <f ca="1">IF(OR($D65&lt;&gt;"Serviço",AND(AUTOEVENTO="Manual",$M65=$A$15)),0,
         IF(OFFSET(CRONOPLE!$F$15,$M65-$A$15,AN$13)="",10^12,OFFSET(CRONOPLE!$F$15,$M65-$A$15,AN$13)))</f>
        <v>1000000000000</v>
      </c>
      <c r="AO65" s="172">
        <f ca="1">IF(OR($D65&lt;&gt;"Serviço",AND(AUTOEVENTO="Manual",$M65=$A$15)),0,
         IF(OFFSET(CRONOPLE!$F$15,$M65-$A$15,AO$13)="",10^12,OFFSET(CRONOPLE!$F$15,$M65-$A$15,AO$13)))</f>
        <v>1000000000000</v>
      </c>
      <c r="AP65" s="172">
        <f ca="1">IF(OR($D65&lt;&gt;"Serviço",AND(AUTOEVENTO="Manual",$M65=$A$15)),0,
         IF(OFFSET(CRONOPLE!$F$15,$M65-$A$15,AP$13)="",10^12,OFFSET(CRONOPLE!$F$15,$M65-$A$15,AP$13)))</f>
        <v>1000000000000</v>
      </c>
      <c r="AQ65" s="172">
        <f ca="1">IF(OR($D65&lt;&gt;"Serviço",AND(AUTOEVENTO="Manual",$M65=$A$15)),0,
         IF(OFFSET(CRONOPLE!$F$15,$M65-$A$15,AQ$13)="",10^12,OFFSET(CRONOPLE!$F$15,$M65-$A$15,AQ$13)))</f>
        <v>1000000000000</v>
      </c>
      <c r="AR65" s="172">
        <f ca="1">IF(OR($D65&lt;&gt;"Serviço",AND(AUTOEVENTO="Manual",$M65=$A$15)),0,
         IF(OFFSET(CRONOPLE!$F$15,$M65-$A$15,AR$13)="",10^12,OFFSET(CRONOPLE!$F$15,$M65-$A$15,AR$13)))</f>
        <v>1000000000000</v>
      </c>
      <c r="AS65" s="172">
        <f ca="1">IF(OR($D65&lt;&gt;"Serviço",AND(AUTOEVENTO="Manual",$M65=$A$15)),0,
         IF(OFFSET(CRONOPLE!$F$15,$M65-$A$15,AS$13)="",10^12,OFFSET(CRONOPLE!$F$15,$M65-$A$15,AS$13)))</f>
        <v>1000000000000</v>
      </c>
      <c r="AT65" s="172">
        <f ca="1">IF(OR($D65&lt;&gt;"Serviço",AND(AUTOEVENTO="Manual",$M65=$A$15)),0,
         IF(OFFSET(CRONOPLE!$F$15,$M65-$A$15,AT$13)="",10^12,OFFSET(CRONOPLE!$F$15,$M65-$A$15,AT$13)))</f>
        <v>1000000000000</v>
      </c>
      <c r="AU65" s="172">
        <f ca="1">IF(OR($D65&lt;&gt;"Serviço",AND(AUTOEVENTO="Manual",$M65=$A$15)),0,
         IF(OFFSET(CRONOPLE!$F$15,$M65-$A$15,AU$13)="",10^12,OFFSET(CRONOPLE!$F$15,$M65-$A$15,AU$13)))</f>
        <v>1000000000000</v>
      </c>
      <c r="AV65" s="172">
        <f ca="1">IF(OR($D65&lt;&gt;"Serviço",AND(AUTOEVENTO="Manual",$M65=$A$15)),0,
         IF(OFFSET(CRONOPLE!$F$15,$M65-$A$15,AV$13)="",10^12,OFFSET(CRONOPLE!$F$15,$M65-$A$15,AV$13)))</f>
        <v>1000000000000</v>
      </c>
      <c r="AX65" s="173">
        <f ca="1">IF(OR($D65&lt;&gt;"Serviço",AND(AUTOEVENTO="Manual",$M65=$A$15),$M65&gt;(ROW(PLE.lastrow)-ROW(PLE.firstrow))),0,
           IF(OFFSET(PLE!$G$15,$M65-$A$15,AX$13)="",10^12,OFFSET(PLE!$G$15,$M65-$A$15,AX$13)))</f>
        <v>1000000000000</v>
      </c>
      <c r="AY65" s="173">
        <f ca="1">IF(OR($D65&lt;&gt;"Serviço",AND(AUTOEVENTO="Manual",$M65=$A$15),$M65&gt;(ROW(PLE.lastrow)-ROW(PLE.firstrow))),0,
           IF(OFFSET(PLE!$G$15,$M65-$A$15,AY$13)="",10^12,OFFSET(PLE!$G$15,$M65-$A$15,AY$13)))</f>
        <v>1000000000000</v>
      </c>
      <c r="AZ65" s="173">
        <f ca="1">IF(OR($D65&lt;&gt;"Serviço",AND(AUTOEVENTO="Manual",$M65=$A$15),$M65&gt;(ROW(PLE.lastrow)-ROW(PLE.firstrow))),0,
           IF(OFFSET(PLE!$G$15,$M65-$A$15,AZ$13)="",10^12,OFFSET(PLE!$G$15,$M65-$A$15,AZ$13)))</f>
        <v>1000000000000</v>
      </c>
      <c r="BA65" s="173">
        <f ca="1">IF(OR($D65&lt;&gt;"Serviço",AND(AUTOEVENTO="Manual",$M65=$A$15),$M65&gt;(ROW(PLE.lastrow)-ROW(PLE.firstrow))),0,
           IF(OFFSET(PLE!$G$15,$M65-$A$15,BA$13)="",10^12,OFFSET(PLE!$G$15,$M65-$A$15,BA$13)))</f>
        <v>1000000000000</v>
      </c>
      <c r="BB65" s="173">
        <f ca="1">IF(OR($D65&lt;&gt;"Serviço",AND(AUTOEVENTO="Manual",$M65=$A$15),$M65&gt;(ROW(PLE.lastrow)-ROW(PLE.firstrow))),0,
           IF(OFFSET(PLE!$G$15,$M65-$A$15,BB$13)="",10^12,OFFSET(PLE!$G$15,$M65-$A$15,BB$13)))</f>
        <v>1000000000000</v>
      </c>
      <c r="BC65" s="173">
        <f ca="1">IF(OR($D65&lt;&gt;"Serviço",AND(AUTOEVENTO="Manual",$M65=$A$15),$M65&gt;(ROW(PLE.lastrow)-ROW(PLE.firstrow))),0,
           IF(OFFSET(PLE!$G$15,$M65-$A$15,BC$13)="",10^12,OFFSET(PLE!$G$15,$M65-$A$15,BC$13)))</f>
        <v>1000000000000</v>
      </c>
      <c r="BD65" s="173">
        <f ca="1">IF(OR($D65&lt;&gt;"Serviço",AND(AUTOEVENTO="Manual",$M65=$A$15),$M65&gt;(ROW(PLE.lastrow)-ROW(PLE.firstrow))),0,
           IF(OFFSET(PLE!$G$15,$M65-$A$15,BD$13)="",10^12,OFFSET(PLE!$G$15,$M65-$A$15,BD$13)))</f>
        <v>1000000000000</v>
      </c>
      <c r="BE65" s="173">
        <f ca="1">IF(OR($D65&lt;&gt;"Serviço",AND(AUTOEVENTO="Manual",$M65=$A$15),$M65&gt;(ROW(PLE.lastrow)-ROW(PLE.firstrow))),0,
           IF(OFFSET(PLE!$G$15,$M65-$A$15,BE$13)="",10^12,OFFSET(PLE!$G$15,$M65-$A$15,BE$13)))</f>
        <v>1000000000000</v>
      </c>
      <c r="BF65" s="173">
        <f ca="1">IF(OR($D65&lt;&gt;"Serviço",AND(AUTOEVENTO="Manual",$M65=$A$15),$M65&gt;(ROW(PLE.lastrow)-ROW(PLE.firstrow))),0,
           IF(OFFSET(PLE!$G$15,$M65-$A$15,BF$13)="",10^12,OFFSET(PLE!$G$15,$M65-$A$15,BF$13)))</f>
        <v>1000000000000</v>
      </c>
      <c r="BG65" s="173">
        <f ca="1">IF(OR($D65&lt;&gt;"Serviço",AND(AUTOEVENTO="Manual",$M65=$A$15),$M65&gt;(ROW(PLE.lastrow)-ROW(PLE.firstrow))),0,
           IF(OFFSET(PLE!$G$15,$M65-$A$15,BG$13)="",10^12,OFFSET(PLE!$G$15,$M65-$A$15,BG$13)))</f>
        <v>1000000000000</v>
      </c>
    </row>
    <row r="66" spans="1:59" ht="38.25" x14ac:dyDescent="0.2">
      <c r="A66" s="7" t="str">
        <f t="shared" ca="1" si="8"/>
        <v>39</v>
      </c>
      <c r="B66" s="7" t="str">
        <f ca="1">OFFSET(ORÇAMENTO!C$15,ROW(B66)-ROW(B$15),0)</f>
        <v>S</v>
      </c>
      <c r="C66" s="7" t="str">
        <f ca="1">OFFSET(ORÇAMENTO!L$15,ROW(C66)-ROW(C$15),0)</f>
        <v/>
      </c>
      <c r="D66" s="117" t="str">
        <f ca="1">OFFSET(ORÇAMENTO!N$15,ROW(D66)-ROW(D$15),0)</f>
        <v>Serviço</v>
      </c>
      <c r="E66" s="118" t="str">
        <f ca="1">OFFSET(ORÇAMENTO!O$15,ROW(E66)-ROW(E$15),0)</f>
        <v>-</v>
      </c>
      <c r="F66" s="164" t="str">
        <f ca="1">OFFSET(ORÇAMENTO!R$15,ROW(F66)-ROW(F$15),0)</f>
        <v xml:space="preserve">QUADRO DE DISTRIBUICAO COM BARRAMENTO TRIFASICO, DE SOBREPOR, EM CHAPA DE ACO GALVANIZADO, PARA 18 DISJUNTORES DIN, 100 A                                                                                                                                 </v>
      </c>
      <c r="G66" s="165" t="str">
        <f ca="1">IF($D66&lt;&gt;"Serviço","",OFFSET(ORÇAMENTO!S$15,ROW(G66)-ROW(G$15),0))</f>
        <v xml:space="preserve">UN    </v>
      </c>
      <c r="H66" s="123">
        <f ca="1">IF($D66&lt;&gt;"Serviço",0,IF(ACOMPANHAMENTO="BM",ROUND(OFFSET(ORÇAMENTO!AJ$15,ROW(H66)-ROW(H$15),0),15-13*ORÇAMENTO!$AF$7),SUMPRODUCT(($Q$1:$AA$1=1)*ROUND($Q66:$AA66,15-13*ORÇAMENTO!$AF$7))))</f>
        <v>1</v>
      </c>
      <c r="I66" s="469"/>
      <c r="J66" s="577" t="str" cm="1">
        <f t="array" aca="1" ref="J66" ca="1">IF(B66&lt;&gt;"S","",IF(AND(ACOMPANHAMENTO="PLE",AUTOEVENTO="Manual",OR(H66&gt;0,ORÇAMENTO!AC66="QUANT."),OR(K66="",M66=0,N66="")),"►",IF(AND(ACOMPANHAMENTO="PLE",ORÇAMENTO!AC66="QUANT."),"►►",IF(AND(COUNTIF($P$11:$AA$11,"▼")=0,H66&gt;0,I66=""),"◄",""))))</f>
        <v>◄</v>
      </c>
      <c r="K66" s="626"/>
      <c r="L66" s="166" t="s">
        <v>765</v>
      </c>
      <c r="M66" s="167">
        <f ca="1">IF($D66&lt;&gt;"Serviço","",
          IF(AUTOEVENTO="manual",$A66,
                IF(ISERROR(MATCH($A66,$A$15:OFFSET($A66,-1,0),0)),MAX($M$15:OFFSET(M66,-1,0))+1,
                      INDEX($M$15:OFFSET(M66,-1,0),MATCH($A66,$A$15:OFFSET($A66,-1,0),0)))))</f>
        <v>9</v>
      </c>
      <c r="N66" s="168" t="str">
        <f ca="1">IF($D66&lt;&gt;"Serviço","",
         IF(AUTOEVENTO="Manual",
                IF($A66=0,"&lt;-- defina o número do agrupador",
                       OFFSET(EVENTOS!$D$15,$A66-$A$15,0)),
                OFFSET($F$15,$A66,0)))</f>
        <v>INSTALAÇÕES ELÉTRICAS</v>
      </c>
      <c r="O66" s="169"/>
      <c r="Q66" s="169"/>
      <c r="R66" s="170"/>
      <c r="S66" s="170"/>
      <c r="T66" s="170"/>
      <c r="U66" s="170"/>
      <c r="V66" s="170"/>
      <c r="W66" s="170"/>
      <c r="X66" s="170"/>
      <c r="Y66" s="170"/>
      <c r="Z66" s="171"/>
      <c r="AB66" s="454">
        <f ca="1">IF(AND($D66="Serviço",AB$12&lt;&gt;0,$H66&gt;0,OR(AUTOEVENTO&lt;&gt;"manual",$M66&lt;&gt;$A$15)),
        IF(Import.TipoArredondamento&lt;&gt;"TransfereGOV",
              ROUND(OFFSET($P66,0,AB$13),15-13*ORÇAMENTO!$AF$7)/$H66*OFFSET(ORÇAMENTO!$X$15,ROW(AB66)-ROW(AB$15),0),
              ROUND(ROUND(OFFSET($P66,0,AB$13),15-13*ORÇAMENTO!$AF$7)*OFFSET(ORÇAMENTO!$W$15,ROW(AB66)-ROW(AB$15),0),15-13*ORÇAMENTO!$AF$11)),
         0)</f>
        <v>0</v>
      </c>
      <c r="AC66" s="454">
        <f ca="1">IF(AND($D66="Serviço",AC$12&lt;&gt;0,$H66&gt;0,OR(AUTOEVENTO&lt;&gt;"manual",$M66&lt;&gt;$A$15)),
        IF(Import.TipoArredondamento&lt;&gt;"TransfereGOV",
              ROUND(OFFSET($P66,0,AC$13),15-13*ORÇAMENTO!$AF$7)/$H66*OFFSET(ORÇAMENTO!$X$15,ROW(AC66)-ROW(AC$15),0),
              ROUND(ROUND(OFFSET($P66,0,AC$13),15-13*ORÇAMENTO!$AF$7)*OFFSET(ORÇAMENTO!$W$15,ROW(AC66)-ROW(AC$15),0),15-13*ORÇAMENTO!$AF$11)),
         0)</f>
        <v>0</v>
      </c>
      <c r="AD66" s="454">
        <f ca="1">IF(AND($D66="Serviço",AD$12&lt;&gt;0,$H66&gt;0,OR(AUTOEVENTO&lt;&gt;"manual",$M66&lt;&gt;$A$15)),
        IF(Import.TipoArredondamento&lt;&gt;"TransfereGOV",
              ROUND(OFFSET($P66,0,AD$13),15-13*ORÇAMENTO!$AF$7)/$H66*OFFSET(ORÇAMENTO!$X$15,ROW(AD66)-ROW(AD$15),0),
              ROUND(ROUND(OFFSET($P66,0,AD$13),15-13*ORÇAMENTO!$AF$7)*OFFSET(ORÇAMENTO!$W$15,ROW(AD66)-ROW(AD$15),0),15-13*ORÇAMENTO!$AF$11)),
         0)</f>
        <v>0</v>
      </c>
      <c r="AE66" s="454">
        <f ca="1">IF(AND($D66="Serviço",AE$12&lt;&gt;0,$H66&gt;0,OR(AUTOEVENTO&lt;&gt;"manual",$M66&lt;&gt;$A$15)),
        IF(Import.TipoArredondamento&lt;&gt;"TransfereGOV",
              ROUND(OFFSET($P66,0,AE$13),15-13*ORÇAMENTO!$AF$7)/$H66*OFFSET(ORÇAMENTO!$X$15,ROW(AE66)-ROW(AE$15),0),
              ROUND(ROUND(OFFSET($P66,0,AE$13),15-13*ORÇAMENTO!$AF$7)*OFFSET(ORÇAMENTO!$W$15,ROW(AE66)-ROW(AE$15),0),15-13*ORÇAMENTO!$AF$11)),
         0)</f>
        <v>0</v>
      </c>
      <c r="AF66" s="454">
        <f ca="1">IF(AND($D66="Serviço",AF$12&lt;&gt;0,$H66&gt;0,OR(AUTOEVENTO&lt;&gt;"manual",$M66&lt;&gt;$A$15)),
        IF(Import.TipoArredondamento&lt;&gt;"TransfereGOV",
              ROUND(OFFSET($P66,0,AF$13),15-13*ORÇAMENTO!$AF$7)/$H66*OFFSET(ORÇAMENTO!$X$15,ROW(AF66)-ROW(AF$15),0),
              ROUND(ROUND(OFFSET($P66,0,AF$13),15-13*ORÇAMENTO!$AF$7)*OFFSET(ORÇAMENTO!$W$15,ROW(AF66)-ROW(AF$15),0),15-13*ORÇAMENTO!$AF$11)),
         0)</f>
        <v>0</v>
      </c>
      <c r="AG66" s="454">
        <f ca="1">IF(AND($D66="Serviço",AG$12&lt;&gt;0,$H66&gt;0,OR(AUTOEVENTO&lt;&gt;"manual",$M66&lt;&gt;$A$15)),
        IF(Import.TipoArredondamento&lt;&gt;"TransfereGOV",
              ROUND(OFFSET($P66,0,AG$13),15-13*ORÇAMENTO!$AF$7)/$H66*OFFSET(ORÇAMENTO!$X$15,ROW(AG66)-ROW(AG$15),0),
              ROUND(ROUND(OFFSET($P66,0,AG$13),15-13*ORÇAMENTO!$AF$7)*OFFSET(ORÇAMENTO!$W$15,ROW(AG66)-ROW(AG$15),0),15-13*ORÇAMENTO!$AF$11)),
         0)</f>
        <v>0</v>
      </c>
      <c r="AH66" s="454">
        <f ca="1">IF(AND($D66="Serviço",AH$12&lt;&gt;0,$H66&gt;0,OR(AUTOEVENTO&lt;&gt;"manual",$M66&lt;&gt;$A$15)),
        IF(Import.TipoArredondamento&lt;&gt;"TransfereGOV",
              ROUND(OFFSET($P66,0,AH$13),15-13*ORÇAMENTO!$AF$7)/$H66*OFFSET(ORÇAMENTO!$X$15,ROW(AH66)-ROW(AH$15),0),
              ROUND(ROUND(OFFSET($P66,0,AH$13),15-13*ORÇAMENTO!$AF$7)*OFFSET(ORÇAMENTO!$W$15,ROW(AH66)-ROW(AH$15),0),15-13*ORÇAMENTO!$AF$11)),
         0)</f>
        <v>0</v>
      </c>
      <c r="AI66" s="454">
        <f ca="1">IF(AND($D66="Serviço",AI$12&lt;&gt;0,$H66&gt;0,OR(AUTOEVENTO&lt;&gt;"manual",$M66&lt;&gt;$A$15)),
        IF(Import.TipoArredondamento&lt;&gt;"TransfereGOV",
              ROUND(OFFSET($P66,0,AI$13),15-13*ORÇAMENTO!$AF$7)/$H66*OFFSET(ORÇAMENTO!$X$15,ROW(AI66)-ROW(AI$15),0),
              ROUND(ROUND(OFFSET($P66,0,AI$13),15-13*ORÇAMENTO!$AF$7)*OFFSET(ORÇAMENTO!$W$15,ROW(AI66)-ROW(AI$15),0),15-13*ORÇAMENTO!$AF$11)),
         0)</f>
        <v>0</v>
      </c>
      <c r="AJ66" s="454">
        <f ca="1">IF(AND($D66="Serviço",AJ$12&lt;&gt;0,$H66&gt;0,OR(AUTOEVENTO&lt;&gt;"manual",$M66&lt;&gt;$A$15)),
        IF(Import.TipoArredondamento&lt;&gt;"TransfereGOV",
              ROUND(OFFSET($P66,0,AJ$13),15-13*ORÇAMENTO!$AF$7)/$H66*OFFSET(ORÇAMENTO!$X$15,ROW(AJ66)-ROW(AJ$15),0),
              ROUND(ROUND(OFFSET($P66,0,AJ$13),15-13*ORÇAMENTO!$AF$7)*OFFSET(ORÇAMENTO!$W$15,ROW(AJ66)-ROW(AJ$15),0),15-13*ORÇAMENTO!$AF$11)),
         0)</f>
        <v>0</v>
      </c>
      <c r="AK66" s="454">
        <f ca="1">IF(AND($D66="Serviço",AK$12&lt;&gt;0,$H66&gt;0,OR(AUTOEVENTO&lt;&gt;"manual",$M66&lt;&gt;$A$15)),
        IF(Import.TipoArredondamento&lt;&gt;"TransfereGOV",
              ROUND(OFFSET($P66,0,AK$13),15-13*ORÇAMENTO!$AF$7)/$H66*OFFSET(ORÇAMENTO!$X$15,ROW(AK66)-ROW(AK$15),0),
              ROUND(ROUND(OFFSET($P66,0,AK$13),15-13*ORÇAMENTO!$AF$7)*OFFSET(ORÇAMENTO!$W$15,ROW(AK66)-ROW(AK$15),0),15-13*ORÇAMENTO!$AF$11)),
         0)</f>
        <v>0</v>
      </c>
      <c r="AM66" s="172">
        <f ca="1">IF(OR($D66&lt;&gt;"Serviço",AND(AUTOEVENTO="Manual",$M66=$A$15)),0,
         IF(OFFSET(CRONOPLE!$F$15,$M66-$A$15,AM$13)="",10^12,OFFSET(CRONOPLE!$F$15,$M66-$A$15,AM$13)))</f>
        <v>1000000000000</v>
      </c>
      <c r="AN66" s="172">
        <f ca="1">IF(OR($D66&lt;&gt;"Serviço",AND(AUTOEVENTO="Manual",$M66=$A$15)),0,
         IF(OFFSET(CRONOPLE!$F$15,$M66-$A$15,AN$13)="",10^12,OFFSET(CRONOPLE!$F$15,$M66-$A$15,AN$13)))</f>
        <v>1000000000000</v>
      </c>
      <c r="AO66" s="172">
        <f ca="1">IF(OR($D66&lt;&gt;"Serviço",AND(AUTOEVENTO="Manual",$M66=$A$15)),0,
         IF(OFFSET(CRONOPLE!$F$15,$M66-$A$15,AO$13)="",10^12,OFFSET(CRONOPLE!$F$15,$M66-$A$15,AO$13)))</f>
        <v>1000000000000</v>
      </c>
      <c r="AP66" s="172">
        <f ca="1">IF(OR($D66&lt;&gt;"Serviço",AND(AUTOEVENTO="Manual",$M66=$A$15)),0,
         IF(OFFSET(CRONOPLE!$F$15,$M66-$A$15,AP$13)="",10^12,OFFSET(CRONOPLE!$F$15,$M66-$A$15,AP$13)))</f>
        <v>1000000000000</v>
      </c>
      <c r="AQ66" s="172">
        <f ca="1">IF(OR($D66&lt;&gt;"Serviço",AND(AUTOEVENTO="Manual",$M66=$A$15)),0,
         IF(OFFSET(CRONOPLE!$F$15,$M66-$A$15,AQ$13)="",10^12,OFFSET(CRONOPLE!$F$15,$M66-$A$15,AQ$13)))</f>
        <v>1000000000000</v>
      </c>
      <c r="AR66" s="172">
        <f ca="1">IF(OR($D66&lt;&gt;"Serviço",AND(AUTOEVENTO="Manual",$M66=$A$15)),0,
         IF(OFFSET(CRONOPLE!$F$15,$M66-$A$15,AR$13)="",10^12,OFFSET(CRONOPLE!$F$15,$M66-$A$15,AR$13)))</f>
        <v>1000000000000</v>
      </c>
      <c r="AS66" s="172">
        <f ca="1">IF(OR($D66&lt;&gt;"Serviço",AND(AUTOEVENTO="Manual",$M66=$A$15)),0,
         IF(OFFSET(CRONOPLE!$F$15,$M66-$A$15,AS$13)="",10^12,OFFSET(CRONOPLE!$F$15,$M66-$A$15,AS$13)))</f>
        <v>1000000000000</v>
      </c>
      <c r="AT66" s="172">
        <f ca="1">IF(OR($D66&lt;&gt;"Serviço",AND(AUTOEVENTO="Manual",$M66=$A$15)),0,
         IF(OFFSET(CRONOPLE!$F$15,$M66-$A$15,AT$13)="",10^12,OFFSET(CRONOPLE!$F$15,$M66-$A$15,AT$13)))</f>
        <v>1000000000000</v>
      </c>
      <c r="AU66" s="172">
        <f ca="1">IF(OR($D66&lt;&gt;"Serviço",AND(AUTOEVENTO="Manual",$M66=$A$15)),0,
         IF(OFFSET(CRONOPLE!$F$15,$M66-$A$15,AU$13)="",10^12,OFFSET(CRONOPLE!$F$15,$M66-$A$15,AU$13)))</f>
        <v>1000000000000</v>
      </c>
      <c r="AV66" s="172">
        <f ca="1">IF(OR($D66&lt;&gt;"Serviço",AND(AUTOEVENTO="Manual",$M66=$A$15)),0,
         IF(OFFSET(CRONOPLE!$F$15,$M66-$A$15,AV$13)="",10^12,OFFSET(CRONOPLE!$F$15,$M66-$A$15,AV$13)))</f>
        <v>1000000000000</v>
      </c>
      <c r="AX66" s="173">
        <f ca="1">IF(OR($D66&lt;&gt;"Serviço",AND(AUTOEVENTO="Manual",$M66=$A$15),$M66&gt;(ROW(PLE.lastrow)-ROW(PLE.firstrow))),0,
           IF(OFFSET(PLE!$G$15,$M66-$A$15,AX$13)="",10^12,OFFSET(PLE!$G$15,$M66-$A$15,AX$13)))</f>
        <v>1000000000000</v>
      </c>
      <c r="AY66" s="173">
        <f ca="1">IF(OR($D66&lt;&gt;"Serviço",AND(AUTOEVENTO="Manual",$M66=$A$15),$M66&gt;(ROW(PLE.lastrow)-ROW(PLE.firstrow))),0,
           IF(OFFSET(PLE!$G$15,$M66-$A$15,AY$13)="",10^12,OFFSET(PLE!$G$15,$M66-$A$15,AY$13)))</f>
        <v>1000000000000</v>
      </c>
      <c r="AZ66" s="173">
        <f ca="1">IF(OR($D66&lt;&gt;"Serviço",AND(AUTOEVENTO="Manual",$M66=$A$15),$M66&gt;(ROW(PLE.lastrow)-ROW(PLE.firstrow))),0,
           IF(OFFSET(PLE!$G$15,$M66-$A$15,AZ$13)="",10^12,OFFSET(PLE!$G$15,$M66-$A$15,AZ$13)))</f>
        <v>1000000000000</v>
      </c>
      <c r="BA66" s="173">
        <f ca="1">IF(OR($D66&lt;&gt;"Serviço",AND(AUTOEVENTO="Manual",$M66=$A$15),$M66&gt;(ROW(PLE.lastrow)-ROW(PLE.firstrow))),0,
           IF(OFFSET(PLE!$G$15,$M66-$A$15,BA$13)="",10^12,OFFSET(PLE!$G$15,$M66-$A$15,BA$13)))</f>
        <v>1000000000000</v>
      </c>
      <c r="BB66" s="173">
        <f ca="1">IF(OR($D66&lt;&gt;"Serviço",AND(AUTOEVENTO="Manual",$M66=$A$15),$M66&gt;(ROW(PLE.lastrow)-ROW(PLE.firstrow))),0,
           IF(OFFSET(PLE!$G$15,$M66-$A$15,BB$13)="",10^12,OFFSET(PLE!$G$15,$M66-$A$15,BB$13)))</f>
        <v>1000000000000</v>
      </c>
      <c r="BC66" s="173">
        <f ca="1">IF(OR($D66&lt;&gt;"Serviço",AND(AUTOEVENTO="Manual",$M66=$A$15),$M66&gt;(ROW(PLE.lastrow)-ROW(PLE.firstrow))),0,
           IF(OFFSET(PLE!$G$15,$M66-$A$15,BC$13)="",10^12,OFFSET(PLE!$G$15,$M66-$A$15,BC$13)))</f>
        <v>1000000000000</v>
      </c>
      <c r="BD66" s="173">
        <f ca="1">IF(OR($D66&lt;&gt;"Serviço",AND(AUTOEVENTO="Manual",$M66=$A$15),$M66&gt;(ROW(PLE.lastrow)-ROW(PLE.firstrow))),0,
           IF(OFFSET(PLE!$G$15,$M66-$A$15,BD$13)="",10^12,OFFSET(PLE!$G$15,$M66-$A$15,BD$13)))</f>
        <v>1000000000000</v>
      </c>
      <c r="BE66" s="173">
        <f ca="1">IF(OR($D66&lt;&gt;"Serviço",AND(AUTOEVENTO="Manual",$M66=$A$15),$M66&gt;(ROW(PLE.lastrow)-ROW(PLE.firstrow))),0,
           IF(OFFSET(PLE!$G$15,$M66-$A$15,BE$13)="",10^12,OFFSET(PLE!$G$15,$M66-$A$15,BE$13)))</f>
        <v>1000000000000</v>
      </c>
      <c r="BF66" s="173">
        <f ca="1">IF(OR($D66&lt;&gt;"Serviço",AND(AUTOEVENTO="Manual",$M66=$A$15),$M66&gt;(ROW(PLE.lastrow)-ROW(PLE.firstrow))),0,
           IF(OFFSET(PLE!$G$15,$M66-$A$15,BF$13)="",10^12,OFFSET(PLE!$G$15,$M66-$A$15,BF$13)))</f>
        <v>1000000000000</v>
      </c>
      <c r="BG66" s="173">
        <f ca="1">IF(OR($D66&lt;&gt;"Serviço",AND(AUTOEVENTO="Manual",$M66=$A$15),$M66&gt;(ROW(PLE.lastrow)-ROW(PLE.firstrow))),0,
           IF(OFFSET(PLE!$G$15,$M66-$A$15,BG$13)="",10^12,OFFSET(PLE!$G$15,$M66-$A$15,BG$13)))</f>
        <v>1000000000000</v>
      </c>
    </row>
    <row r="67" spans="1:59" ht="38.25" x14ac:dyDescent="0.2">
      <c r="A67" s="7" t="str">
        <f t="shared" ca="1" si="8"/>
        <v>39</v>
      </c>
      <c r="B67" s="7" t="str">
        <f ca="1">OFFSET(ORÇAMENTO!C$15,ROW(B67)-ROW(B$15),0)</f>
        <v>S</v>
      </c>
      <c r="C67" s="7" t="str">
        <f ca="1">OFFSET(ORÇAMENTO!L$15,ROW(C67)-ROW(C$15),0)</f>
        <v/>
      </c>
      <c r="D67" s="117" t="str">
        <f ca="1">OFFSET(ORÇAMENTO!N$15,ROW(D67)-ROW(D$15),0)</f>
        <v>Serviço</v>
      </c>
      <c r="E67" s="118" t="str">
        <f ca="1">OFFSET(ORÇAMENTO!O$15,ROW(E67)-ROW(E$15),0)</f>
        <v>-</v>
      </c>
      <c r="F67" s="164" t="str">
        <f ca="1">OFFSET(ORÇAMENTO!R$15,ROW(F67)-ROW(F$15),0)</f>
        <v xml:space="preserve">QUADRO DE DISTRIBUICAO COM BARRAMENTO TRIFASICO, DE SOBREPOR, EM CHAPA DE ACO GALVANIZADO, PARA 36 DISJUNTORES DIN, 100 A                                                                                                                                 </v>
      </c>
      <c r="G67" s="165" t="str">
        <f ca="1">IF($D67&lt;&gt;"Serviço","",OFFSET(ORÇAMENTO!S$15,ROW(G67)-ROW(G$15),0))</f>
        <v xml:space="preserve">UN    </v>
      </c>
      <c r="H67" s="123">
        <f ca="1">IF($D67&lt;&gt;"Serviço",0,IF(ACOMPANHAMENTO="BM",ROUND(OFFSET(ORÇAMENTO!AJ$15,ROW(H67)-ROW(H$15),0),15-13*ORÇAMENTO!$AF$7),SUMPRODUCT(($Q$1:$AA$1=1)*ROUND($Q67:$AA67,15-13*ORÇAMENTO!$AF$7))))</f>
        <v>1</v>
      </c>
      <c r="I67" s="469"/>
      <c r="J67" s="577" t="str" cm="1">
        <f t="array" aca="1" ref="J67" ca="1">IF(B67&lt;&gt;"S","",IF(AND(ACOMPANHAMENTO="PLE",AUTOEVENTO="Manual",OR(H67&gt;0,ORÇAMENTO!AC67="QUANT."),OR(K67="",M67=0,N67="")),"►",IF(AND(ACOMPANHAMENTO="PLE",ORÇAMENTO!AC67="QUANT."),"►►",IF(AND(COUNTIF($P$11:$AA$11,"▼")=0,H67&gt;0,I67=""),"◄",""))))</f>
        <v>◄</v>
      </c>
      <c r="K67" s="626"/>
      <c r="L67" s="166" t="s">
        <v>765</v>
      </c>
      <c r="M67" s="167">
        <f ca="1">IF($D67&lt;&gt;"Serviço","",
          IF(AUTOEVENTO="manual",$A67,
                IF(ISERROR(MATCH($A67,$A$15:OFFSET($A67,-1,0),0)),MAX($M$15:OFFSET(M67,-1,0))+1,
                      INDEX($M$15:OFFSET(M67,-1,0),MATCH($A67,$A$15:OFFSET($A67,-1,0),0)))))</f>
        <v>9</v>
      </c>
      <c r="N67" s="168" t="str">
        <f ca="1">IF($D67&lt;&gt;"Serviço","",
         IF(AUTOEVENTO="Manual",
                IF($A67=0,"&lt;-- defina o número do agrupador",
                       OFFSET(EVENTOS!$D$15,$A67-$A$15,0)),
                OFFSET($F$15,$A67,0)))</f>
        <v>INSTALAÇÕES ELÉTRICAS</v>
      </c>
      <c r="O67" s="169"/>
      <c r="Q67" s="169"/>
      <c r="R67" s="170"/>
      <c r="S67" s="170"/>
      <c r="T67" s="170"/>
      <c r="U67" s="170"/>
      <c r="V67" s="170"/>
      <c r="W67" s="170"/>
      <c r="X67" s="170"/>
      <c r="Y67" s="170"/>
      <c r="Z67" s="171"/>
      <c r="AB67" s="454">
        <f ca="1">IF(AND($D67="Serviço",AB$12&lt;&gt;0,$H67&gt;0,OR(AUTOEVENTO&lt;&gt;"manual",$M67&lt;&gt;$A$15)),
        IF(Import.TipoArredondamento&lt;&gt;"TransfereGOV",
              ROUND(OFFSET($P67,0,AB$13),15-13*ORÇAMENTO!$AF$7)/$H67*OFFSET(ORÇAMENTO!$X$15,ROW(AB67)-ROW(AB$15),0),
              ROUND(ROUND(OFFSET($P67,0,AB$13),15-13*ORÇAMENTO!$AF$7)*OFFSET(ORÇAMENTO!$W$15,ROW(AB67)-ROW(AB$15),0),15-13*ORÇAMENTO!$AF$11)),
         0)</f>
        <v>0</v>
      </c>
      <c r="AC67" s="454">
        <f ca="1">IF(AND($D67="Serviço",AC$12&lt;&gt;0,$H67&gt;0,OR(AUTOEVENTO&lt;&gt;"manual",$M67&lt;&gt;$A$15)),
        IF(Import.TipoArredondamento&lt;&gt;"TransfereGOV",
              ROUND(OFFSET($P67,0,AC$13),15-13*ORÇAMENTO!$AF$7)/$H67*OFFSET(ORÇAMENTO!$X$15,ROW(AC67)-ROW(AC$15),0),
              ROUND(ROUND(OFFSET($P67,0,AC$13),15-13*ORÇAMENTO!$AF$7)*OFFSET(ORÇAMENTO!$W$15,ROW(AC67)-ROW(AC$15),0),15-13*ORÇAMENTO!$AF$11)),
         0)</f>
        <v>0</v>
      </c>
      <c r="AD67" s="454">
        <f ca="1">IF(AND($D67="Serviço",AD$12&lt;&gt;0,$H67&gt;0,OR(AUTOEVENTO&lt;&gt;"manual",$M67&lt;&gt;$A$15)),
        IF(Import.TipoArredondamento&lt;&gt;"TransfereGOV",
              ROUND(OFFSET($P67,0,AD$13),15-13*ORÇAMENTO!$AF$7)/$H67*OFFSET(ORÇAMENTO!$X$15,ROW(AD67)-ROW(AD$15),0),
              ROUND(ROUND(OFFSET($P67,0,AD$13),15-13*ORÇAMENTO!$AF$7)*OFFSET(ORÇAMENTO!$W$15,ROW(AD67)-ROW(AD$15),0),15-13*ORÇAMENTO!$AF$11)),
         0)</f>
        <v>0</v>
      </c>
      <c r="AE67" s="454">
        <f ca="1">IF(AND($D67="Serviço",AE$12&lt;&gt;0,$H67&gt;0,OR(AUTOEVENTO&lt;&gt;"manual",$M67&lt;&gt;$A$15)),
        IF(Import.TipoArredondamento&lt;&gt;"TransfereGOV",
              ROUND(OFFSET($P67,0,AE$13),15-13*ORÇAMENTO!$AF$7)/$H67*OFFSET(ORÇAMENTO!$X$15,ROW(AE67)-ROW(AE$15),0),
              ROUND(ROUND(OFFSET($P67,0,AE$13),15-13*ORÇAMENTO!$AF$7)*OFFSET(ORÇAMENTO!$W$15,ROW(AE67)-ROW(AE$15),0),15-13*ORÇAMENTO!$AF$11)),
         0)</f>
        <v>0</v>
      </c>
      <c r="AF67" s="454">
        <f ca="1">IF(AND($D67="Serviço",AF$12&lt;&gt;0,$H67&gt;0,OR(AUTOEVENTO&lt;&gt;"manual",$M67&lt;&gt;$A$15)),
        IF(Import.TipoArredondamento&lt;&gt;"TransfereGOV",
              ROUND(OFFSET($P67,0,AF$13),15-13*ORÇAMENTO!$AF$7)/$H67*OFFSET(ORÇAMENTO!$X$15,ROW(AF67)-ROW(AF$15),0),
              ROUND(ROUND(OFFSET($P67,0,AF$13),15-13*ORÇAMENTO!$AF$7)*OFFSET(ORÇAMENTO!$W$15,ROW(AF67)-ROW(AF$15),0),15-13*ORÇAMENTO!$AF$11)),
         0)</f>
        <v>0</v>
      </c>
      <c r="AG67" s="454">
        <f ca="1">IF(AND($D67="Serviço",AG$12&lt;&gt;0,$H67&gt;0,OR(AUTOEVENTO&lt;&gt;"manual",$M67&lt;&gt;$A$15)),
        IF(Import.TipoArredondamento&lt;&gt;"TransfereGOV",
              ROUND(OFFSET($P67,0,AG$13),15-13*ORÇAMENTO!$AF$7)/$H67*OFFSET(ORÇAMENTO!$X$15,ROW(AG67)-ROW(AG$15),0),
              ROUND(ROUND(OFFSET($P67,0,AG$13),15-13*ORÇAMENTO!$AF$7)*OFFSET(ORÇAMENTO!$W$15,ROW(AG67)-ROW(AG$15),0),15-13*ORÇAMENTO!$AF$11)),
         0)</f>
        <v>0</v>
      </c>
      <c r="AH67" s="454">
        <f ca="1">IF(AND($D67="Serviço",AH$12&lt;&gt;0,$H67&gt;0,OR(AUTOEVENTO&lt;&gt;"manual",$M67&lt;&gt;$A$15)),
        IF(Import.TipoArredondamento&lt;&gt;"TransfereGOV",
              ROUND(OFFSET($P67,0,AH$13),15-13*ORÇAMENTO!$AF$7)/$H67*OFFSET(ORÇAMENTO!$X$15,ROW(AH67)-ROW(AH$15),0),
              ROUND(ROUND(OFFSET($P67,0,AH$13),15-13*ORÇAMENTO!$AF$7)*OFFSET(ORÇAMENTO!$W$15,ROW(AH67)-ROW(AH$15),0),15-13*ORÇAMENTO!$AF$11)),
         0)</f>
        <v>0</v>
      </c>
      <c r="AI67" s="454">
        <f ca="1">IF(AND($D67="Serviço",AI$12&lt;&gt;0,$H67&gt;0,OR(AUTOEVENTO&lt;&gt;"manual",$M67&lt;&gt;$A$15)),
        IF(Import.TipoArredondamento&lt;&gt;"TransfereGOV",
              ROUND(OFFSET($P67,0,AI$13),15-13*ORÇAMENTO!$AF$7)/$H67*OFFSET(ORÇAMENTO!$X$15,ROW(AI67)-ROW(AI$15),0),
              ROUND(ROUND(OFFSET($P67,0,AI$13),15-13*ORÇAMENTO!$AF$7)*OFFSET(ORÇAMENTO!$W$15,ROW(AI67)-ROW(AI$15),0),15-13*ORÇAMENTO!$AF$11)),
         0)</f>
        <v>0</v>
      </c>
      <c r="AJ67" s="454">
        <f ca="1">IF(AND($D67="Serviço",AJ$12&lt;&gt;0,$H67&gt;0,OR(AUTOEVENTO&lt;&gt;"manual",$M67&lt;&gt;$A$15)),
        IF(Import.TipoArredondamento&lt;&gt;"TransfereGOV",
              ROUND(OFFSET($P67,0,AJ$13),15-13*ORÇAMENTO!$AF$7)/$H67*OFFSET(ORÇAMENTO!$X$15,ROW(AJ67)-ROW(AJ$15),0),
              ROUND(ROUND(OFFSET($P67,0,AJ$13),15-13*ORÇAMENTO!$AF$7)*OFFSET(ORÇAMENTO!$W$15,ROW(AJ67)-ROW(AJ$15),0),15-13*ORÇAMENTO!$AF$11)),
         0)</f>
        <v>0</v>
      </c>
      <c r="AK67" s="454">
        <f ca="1">IF(AND($D67="Serviço",AK$12&lt;&gt;0,$H67&gt;0,OR(AUTOEVENTO&lt;&gt;"manual",$M67&lt;&gt;$A$15)),
        IF(Import.TipoArredondamento&lt;&gt;"TransfereGOV",
              ROUND(OFFSET($P67,0,AK$13),15-13*ORÇAMENTO!$AF$7)/$H67*OFFSET(ORÇAMENTO!$X$15,ROW(AK67)-ROW(AK$15),0),
              ROUND(ROUND(OFFSET($P67,0,AK$13),15-13*ORÇAMENTO!$AF$7)*OFFSET(ORÇAMENTO!$W$15,ROW(AK67)-ROW(AK$15),0),15-13*ORÇAMENTO!$AF$11)),
         0)</f>
        <v>0</v>
      </c>
      <c r="AM67" s="172">
        <f ca="1">IF(OR($D67&lt;&gt;"Serviço",AND(AUTOEVENTO="Manual",$M67=$A$15)),0,
         IF(OFFSET(CRONOPLE!$F$15,$M67-$A$15,AM$13)="",10^12,OFFSET(CRONOPLE!$F$15,$M67-$A$15,AM$13)))</f>
        <v>1000000000000</v>
      </c>
      <c r="AN67" s="172">
        <f ca="1">IF(OR($D67&lt;&gt;"Serviço",AND(AUTOEVENTO="Manual",$M67=$A$15)),0,
         IF(OFFSET(CRONOPLE!$F$15,$M67-$A$15,AN$13)="",10^12,OFFSET(CRONOPLE!$F$15,$M67-$A$15,AN$13)))</f>
        <v>1000000000000</v>
      </c>
      <c r="AO67" s="172">
        <f ca="1">IF(OR($D67&lt;&gt;"Serviço",AND(AUTOEVENTO="Manual",$M67=$A$15)),0,
         IF(OFFSET(CRONOPLE!$F$15,$M67-$A$15,AO$13)="",10^12,OFFSET(CRONOPLE!$F$15,$M67-$A$15,AO$13)))</f>
        <v>1000000000000</v>
      </c>
      <c r="AP67" s="172">
        <f ca="1">IF(OR($D67&lt;&gt;"Serviço",AND(AUTOEVENTO="Manual",$M67=$A$15)),0,
         IF(OFFSET(CRONOPLE!$F$15,$M67-$A$15,AP$13)="",10^12,OFFSET(CRONOPLE!$F$15,$M67-$A$15,AP$13)))</f>
        <v>1000000000000</v>
      </c>
      <c r="AQ67" s="172">
        <f ca="1">IF(OR($D67&lt;&gt;"Serviço",AND(AUTOEVENTO="Manual",$M67=$A$15)),0,
         IF(OFFSET(CRONOPLE!$F$15,$M67-$A$15,AQ$13)="",10^12,OFFSET(CRONOPLE!$F$15,$M67-$A$15,AQ$13)))</f>
        <v>1000000000000</v>
      </c>
      <c r="AR67" s="172">
        <f ca="1">IF(OR($D67&lt;&gt;"Serviço",AND(AUTOEVENTO="Manual",$M67=$A$15)),0,
         IF(OFFSET(CRONOPLE!$F$15,$M67-$A$15,AR$13)="",10^12,OFFSET(CRONOPLE!$F$15,$M67-$A$15,AR$13)))</f>
        <v>1000000000000</v>
      </c>
      <c r="AS67" s="172">
        <f ca="1">IF(OR($D67&lt;&gt;"Serviço",AND(AUTOEVENTO="Manual",$M67=$A$15)),0,
         IF(OFFSET(CRONOPLE!$F$15,$M67-$A$15,AS$13)="",10^12,OFFSET(CRONOPLE!$F$15,$M67-$A$15,AS$13)))</f>
        <v>1000000000000</v>
      </c>
      <c r="AT67" s="172">
        <f ca="1">IF(OR($D67&lt;&gt;"Serviço",AND(AUTOEVENTO="Manual",$M67=$A$15)),0,
         IF(OFFSET(CRONOPLE!$F$15,$M67-$A$15,AT$13)="",10^12,OFFSET(CRONOPLE!$F$15,$M67-$A$15,AT$13)))</f>
        <v>1000000000000</v>
      </c>
      <c r="AU67" s="172">
        <f ca="1">IF(OR($D67&lt;&gt;"Serviço",AND(AUTOEVENTO="Manual",$M67=$A$15)),0,
         IF(OFFSET(CRONOPLE!$F$15,$M67-$A$15,AU$13)="",10^12,OFFSET(CRONOPLE!$F$15,$M67-$A$15,AU$13)))</f>
        <v>1000000000000</v>
      </c>
      <c r="AV67" s="172">
        <f ca="1">IF(OR($D67&lt;&gt;"Serviço",AND(AUTOEVENTO="Manual",$M67=$A$15)),0,
         IF(OFFSET(CRONOPLE!$F$15,$M67-$A$15,AV$13)="",10^12,OFFSET(CRONOPLE!$F$15,$M67-$A$15,AV$13)))</f>
        <v>1000000000000</v>
      </c>
      <c r="AX67" s="173">
        <f ca="1">IF(OR($D67&lt;&gt;"Serviço",AND(AUTOEVENTO="Manual",$M67=$A$15),$M67&gt;(ROW(PLE.lastrow)-ROW(PLE.firstrow))),0,
           IF(OFFSET(PLE!$G$15,$M67-$A$15,AX$13)="",10^12,OFFSET(PLE!$G$15,$M67-$A$15,AX$13)))</f>
        <v>1000000000000</v>
      </c>
      <c r="AY67" s="173">
        <f ca="1">IF(OR($D67&lt;&gt;"Serviço",AND(AUTOEVENTO="Manual",$M67=$A$15),$M67&gt;(ROW(PLE.lastrow)-ROW(PLE.firstrow))),0,
           IF(OFFSET(PLE!$G$15,$M67-$A$15,AY$13)="",10^12,OFFSET(PLE!$G$15,$M67-$A$15,AY$13)))</f>
        <v>1000000000000</v>
      </c>
      <c r="AZ67" s="173">
        <f ca="1">IF(OR($D67&lt;&gt;"Serviço",AND(AUTOEVENTO="Manual",$M67=$A$15),$M67&gt;(ROW(PLE.lastrow)-ROW(PLE.firstrow))),0,
           IF(OFFSET(PLE!$G$15,$M67-$A$15,AZ$13)="",10^12,OFFSET(PLE!$G$15,$M67-$A$15,AZ$13)))</f>
        <v>1000000000000</v>
      </c>
      <c r="BA67" s="173">
        <f ca="1">IF(OR($D67&lt;&gt;"Serviço",AND(AUTOEVENTO="Manual",$M67=$A$15),$M67&gt;(ROW(PLE.lastrow)-ROW(PLE.firstrow))),0,
           IF(OFFSET(PLE!$G$15,$M67-$A$15,BA$13)="",10^12,OFFSET(PLE!$G$15,$M67-$A$15,BA$13)))</f>
        <v>1000000000000</v>
      </c>
      <c r="BB67" s="173">
        <f ca="1">IF(OR($D67&lt;&gt;"Serviço",AND(AUTOEVENTO="Manual",$M67=$A$15),$M67&gt;(ROW(PLE.lastrow)-ROW(PLE.firstrow))),0,
           IF(OFFSET(PLE!$G$15,$M67-$A$15,BB$13)="",10^12,OFFSET(PLE!$G$15,$M67-$A$15,BB$13)))</f>
        <v>1000000000000</v>
      </c>
      <c r="BC67" s="173">
        <f ca="1">IF(OR($D67&lt;&gt;"Serviço",AND(AUTOEVENTO="Manual",$M67=$A$15),$M67&gt;(ROW(PLE.lastrow)-ROW(PLE.firstrow))),0,
           IF(OFFSET(PLE!$G$15,$M67-$A$15,BC$13)="",10^12,OFFSET(PLE!$G$15,$M67-$A$15,BC$13)))</f>
        <v>1000000000000</v>
      </c>
      <c r="BD67" s="173">
        <f ca="1">IF(OR($D67&lt;&gt;"Serviço",AND(AUTOEVENTO="Manual",$M67=$A$15),$M67&gt;(ROW(PLE.lastrow)-ROW(PLE.firstrow))),0,
           IF(OFFSET(PLE!$G$15,$M67-$A$15,BD$13)="",10^12,OFFSET(PLE!$G$15,$M67-$A$15,BD$13)))</f>
        <v>1000000000000</v>
      </c>
      <c r="BE67" s="173">
        <f ca="1">IF(OR($D67&lt;&gt;"Serviço",AND(AUTOEVENTO="Manual",$M67=$A$15),$M67&gt;(ROW(PLE.lastrow)-ROW(PLE.firstrow))),0,
           IF(OFFSET(PLE!$G$15,$M67-$A$15,BE$13)="",10^12,OFFSET(PLE!$G$15,$M67-$A$15,BE$13)))</f>
        <v>1000000000000</v>
      </c>
      <c r="BF67" s="173">
        <f ca="1">IF(OR($D67&lt;&gt;"Serviço",AND(AUTOEVENTO="Manual",$M67=$A$15),$M67&gt;(ROW(PLE.lastrow)-ROW(PLE.firstrow))),0,
           IF(OFFSET(PLE!$G$15,$M67-$A$15,BF$13)="",10^12,OFFSET(PLE!$G$15,$M67-$A$15,BF$13)))</f>
        <v>1000000000000</v>
      </c>
      <c r="BG67" s="173">
        <f ca="1">IF(OR($D67&lt;&gt;"Serviço",AND(AUTOEVENTO="Manual",$M67=$A$15),$M67&gt;(ROW(PLE.lastrow)-ROW(PLE.firstrow))),0,
           IF(OFFSET(PLE!$G$15,$M67-$A$15,BG$13)="",10^12,OFFSET(PLE!$G$15,$M67-$A$15,BG$13)))</f>
        <v>1000000000000</v>
      </c>
    </row>
    <row r="68" spans="1:59" ht="38.25" x14ac:dyDescent="0.2">
      <c r="A68" s="7" t="str">
        <f t="shared" ca="1" si="8"/>
        <v>39</v>
      </c>
      <c r="B68" s="7" t="str">
        <f ca="1">OFFSET(ORÇAMENTO!C$15,ROW(B68)-ROW(B$15),0)</f>
        <v>S</v>
      </c>
      <c r="C68" s="7" t="str">
        <f ca="1">OFFSET(ORÇAMENTO!L$15,ROW(C68)-ROW(C$15),0)</f>
        <v/>
      </c>
      <c r="D68" s="117" t="str">
        <f ca="1">OFFSET(ORÇAMENTO!N$15,ROW(D68)-ROW(D$15),0)</f>
        <v>Serviço</v>
      </c>
      <c r="E68" s="118" t="str">
        <f ca="1">OFFSET(ORÇAMENTO!O$15,ROW(E68)-ROW(E$15),0)</f>
        <v>-</v>
      </c>
      <c r="F68" s="164" t="str">
        <f ca="1">OFFSET(ORÇAMENTO!R$15,ROW(F68)-ROW(F$15),0)</f>
        <v xml:space="preserve">QUADRO DE DISTRIBUICAO COM BARRAMENTO TRIFASICO, DE SOBREPOR, EM CHAPA DE ACO GALVANIZADO, PARA 48 DISJUNTORES DIN, 100 A                                                                                                                                 </v>
      </c>
      <c r="G68" s="165" t="str">
        <f ca="1">IF($D68&lt;&gt;"Serviço","",OFFSET(ORÇAMENTO!S$15,ROW(G68)-ROW(G$15),0))</f>
        <v xml:space="preserve">UN    </v>
      </c>
      <c r="H68" s="123">
        <f ca="1">IF($D68&lt;&gt;"Serviço",0,IF(ACOMPANHAMENTO="BM",ROUND(OFFSET(ORÇAMENTO!AJ$15,ROW(H68)-ROW(H$15),0),15-13*ORÇAMENTO!$AF$7),SUMPRODUCT(($Q$1:$AA$1=1)*ROUND($Q68:$AA68,15-13*ORÇAMENTO!$AF$7))))</f>
        <v>1</v>
      </c>
      <c r="I68" s="469"/>
      <c r="J68" s="577" t="str" cm="1">
        <f t="array" aca="1" ref="J68" ca="1">IF(B68&lt;&gt;"S","",IF(AND(ACOMPANHAMENTO="PLE",AUTOEVENTO="Manual",OR(H68&gt;0,ORÇAMENTO!AC68="QUANT."),OR(K68="",M68=0,N68="")),"►",IF(AND(ACOMPANHAMENTO="PLE",ORÇAMENTO!AC68="QUANT."),"►►",IF(AND(COUNTIF($P$11:$AA$11,"▼")=0,H68&gt;0,I68=""),"◄",""))))</f>
        <v>◄</v>
      </c>
      <c r="K68" s="626"/>
      <c r="L68" s="166" t="s">
        <v>765</v>
      </c>
      <c r="M68" s="167">
        <f ca="1">IF($D68&lt;&gt;"Serviço","",
          IF(AUTOEVENTO="manual",$A68,
                IF(ISERROR(MATCH($A68,$A$15:OFFSET($A68,-1,0),0)),MAX($M$15:OFFSET(M68,-1,0))+1,
                      INDEX($M$15:OFFSET(M68,-1,0),MATCH($A68,$A$15:OFFSET($A68,-1,0),0)))))</f>
        <v>9</v>
      </c>
      <c r="N68" s="168" t="str">
        <f ca="1">IF($D68&lt;&gt;"Serviço","",
         IF(AUTOEVENTO="Manual",
                IF($A68=0,"&lt;-- defina o número do agrupador",
                       OFFSET(EVENTOS!$D$15,$A68-$A$15,0)),
                OFFSET($F$15,$A68,0)))</f>
        <v>INSTALAÇÕES ELÉTRICAS</v>
      </c>
      <c r="O68" s="169"/>
      <c r="Q68" s="169"/>
      <c r="R68" s="170"/>
      <c r="S68" s="170"/>
      <c r="T68" s="170"/>
      <c r="U68" s="170"/>
      <c r="V68" s="170"/>
      <c r="W68" s="170"/>
      <c r="X68" s="170"/>
      <c r="Y68" s="170"/>
      <c r="Z68" s="171"/>
      <c r="AB68" s="454">
        <f ca="1">IF(AND($D68="Serviço",AB$12&lt;&gt;0,$H68&gt;0,OR(AUTOEVENTO&lt;&gt;"manual",$M68&lt;&gt;$A$15)),
        IF(Import.TipoArredondamento&lt;&gt;"TransfereGOV",
              ROUND(OFFSET($P68,0,AB$13),15-13*ORÇAMENTO!$AF$7)/$H68*OFFSET(ORÇAMENTO!$X$15,ROW(AB68)-ROW(AB$15),0),
              ROUND(ROUND(OFFSET($P68,0,AB$13),15-13*ORÇAMENTO!$AF$7)*OFFSET(ORÇAMENTO!$W$15,ROW(AB68)-ROW(AB$15),0),15-13*ORÇAMENTO!$AF$11)),
         0)</f>
        <v>0</v>
      </c>
      <c r="AC68" s="454">
        <f ca="1">IF(AND($D68="Serviço",AC$12&lt;&gt;0,$H68&gt;0,OR(AUTOEVENTO&lt;&gt;"manual",$M68&lt;&gt;$A$15)),
        IF(Import.TipoArredondamento&lt;&gt;"TransfereGOV",
              ROUND(OFFSET($P68,0,AC$13),15-13*ORÇAMENTO!$AF$7)/$H68*OFFSET(ORÇAMENTO!$X$15,ROW(AC68)-ROW(AC$15),0),
              ROUND(ROUND(OFFSET($P68,0,AC$13),15-13*ORÇAMENTO!$AF$7)*OFFSET(ORÇAMENTO!$W$15,ROW(AC68)-ROW(AC$15),0),15-13*ORÇAMENTO!$AF$11)),
         0)</f>
        <v>0</v>
      </c>
      <c r="AD68" s="454">
        <f ca="1">IF(AND($D68="Serviço",AD$12&lt;&gt;0,$H68&gt;0,OR(AUTOEVENTO&lt;&gt;"manual",$M68&lt;&gt;$A$15)),
        IF(Import.TipoArredondamento&lt;&gt;"TransfereGOV",
              ROUND(OFFSET($P68,0,AD$13),15-13*ORÇAMENTO!$AF$7)/$H68*OFFSET(ORÇAMENTO!$X$15,ROW(AD68)-ROW(AD$15),0),
              ROUND(ROUND(OFFSET($P68,0,AD$13),15-13*ORÇAMENTO!$AF$7)*OFFSET(ORÇAMENTO!$W$15,ROW(AD68)-ROW(AD$15),0),15-13*ORÇAMENTO!$AF$11)),
         0)</f>
        <v>0</v>
      </c>
      <c r="AE68" s="454">
        <f ca="1">IF(AND($D68="Serviço",AE$12&lt;&gt;0,$H68&gt;0,OR(AUTOEVENTO&lt;&gt;"manual",$M68&lt;&gt;$A$15)),
        IF(Import.TipoArredondamento&lt;&gt;"TransfereGOV",
              ROUND(OFFSET($P68,0,AE$13),15-13*ORÇAMENTO!$AF$7)/$H68*OFFSET(ORÇAMENTO!$X$15,ROW(AE68)-ROW(AE$15),0),
              ROUND(ROUND(OFFSET($P68,0,AE$13),15-13*ORÇAMENTO!$AF$7)*OFFSET(ORÇAMENTO!$W$15,ROW(AE68)-ROW(AE$15),0),15-13*ORÇAMENTO!$AF$11)),
         0)</f>
        <v>0</v>
      </c>
      <c r="AF68" s="454">
        <f ca="1">IF(AND($D68="Serviço",AF$12&lt;&gt;0,$H68&gt;0,OR(AUTOEVENTO&lt;&gt;"manual",$M68&lt;&gt;$A$15)),
        IF(Import.TipoArredondamento&lt;&gt;"TransfereGOV",
              ROUND(OFFSET($P68,0,AF$13),15-13*ORÇAMENTO!$AF$7)/$H68*OFFSET(ORÇAMENTO!$X$15,ROW(AF68)-ROW(AF$15),0),
              ROUND(ROUND(OFFSET($P68,0,AF$13),15-13*ORÇAMENTO!$AF$7)*OFFSET(ORÇAMENTO!$W$15,ROW(AF68)-ROW(AF$15),0),15-13*ORÇAMENTO!$AF$11)),
         0)</f>
        <v>0</v>
      </c>
      <c r="AG68" s="454">
        <f ca="1">IF(AND($D68="Serviço",AG$12&lt;&gt;0,$H68&gt;0,OR(AUTOEVENTO&lt;&gt;"manual",$M68&lt;&gt;$A$15)),
        IF(Import.TipoArredondamento&lt;&gt;"TransfereGOV",
              ROUND(OFFSET($P68,0,AG$13),15-13*ORÇAMENTO!$AF$7)/$H68*OFFSET(ORÇAMENTO!$X$15,ROW(AG68)-ROW(AG$15),0),
              ROUND(ROUND(OFFSET($P68,0,AG$13),15-13*ORÇAMENTO!$AF$7)*OFFSET(ORÇAMENTO!$W$15,ROW(AG68)-ROW(AG$15),0),15-13*ORÇAMENTO!$AF$11)),
         0)</f>
        <v>0</v>
      </c>
      <c r="AH68" s="454">
        <f ca="1">IF(AND($D68="Serviço",AH$12&lt;&gt;0,$H68&gt;0,OR(AUTOEVENTO&lt;&gt;"manual",$M68&lt;&gt;$A$15)),
        IF(Import.TipoArredondamento&lt;&gt;"TransfereGOV",
              ROUND(OFFSET($P68,0,AH$13),15-13*ORÇAMENTO!$AF$7)/$H68*OFFSET(ORÇAMENTO!$X$15,ROW(AH68)-ROW(AH$15),0),
              ROUND(ROUND(OFFSET($P68,0,AH$13),15-13*ORÇAMENTO!$AF$7)*OFFSET(ORÇAMENTO!$W$15,ROW(AH68)-ROW(AH$15),0),15-13*ORÇAMENTO!$AF$11)),
         0)</f>
        <v>0</v>
      </c>
      <c r="AI68" s="454">
        <f ca="1">IF(AND($D68="Serviço",AI$12&lt;&gt;0,$H68&gt;0,OR(AUTOEVENTO&lt;&gt;"manual",$M68&lt;&gt;$A$15)),
        IF(Import.TipoArredondamento&lt;&gt;"TransfereGOV",
              ROUND(OFFSET($P68,0,AI$13),15-13*ORÇAMENTO!$AF$7)/$H68*OFFSET(ORÇAMENTO!$X$15,ROW(AI68)-ROW(AI$15),0),
              ROUND(ROUND(OFFSET($P68,0,AI$13),15-13*ORÇAMENTO!$AF$7)*OFFSET(ORÇAMENTO!$W$15,ROW(AI68)-ROW(AI$15),0),15-13*ORÇAMENTO!$AF$11)),
         0)</f>
        <v>0</v>
      </c>
      <c r="AJ68" s="454">
        <f ca="1">IF(AND($D68="Serviço",AJ$12&lt;&gt;0,$H68&gt;0,OR(AUTOEVENTO&lt;&gt;"manual",$M68&lt;&gt;$A$15)),
        IF(Import.TipoArredondamento&lt;&gt;"TransfereGOV",
              ROUND(OFFSET($P68,0,AJ$13),15-13*ORÇAMENTO!$AF$7)/$H68*OFFSET(ORÇAMENTO!$X$15,ROW(AJ68)-ROW(AJ$15),0),
              ROUND(ROUND(OFFSET($P68,0,AJ$13),15-13*ORÇAMENTO!$AF$7)*OFFSET(ORÇAMENTO!$W$15,ROW(AJ68)-ROW(AJ$15),0),15-13*ORÇAMENTO!$AF$11)),
         0)</f>
        <v>0</v>
      </c>
      <c r="AK68" s="454">
        <f ca="1">IF(AND($D68="Serviço",AK$12&lt;&gt;0,$H68&gt;0,OR(AUTOEVENTO&lt;&gt;"manual",$M68&lt;&gt;$A$15)),
        IF(Import.TipoArredondamento&lt;&gt;"TransfereGOV",
              ROUND(OFFSET($P68,0,AK$13),15-13*ORÇAMENTO!$AF$7)/$H68*OFFSET(ORÇAMENTO!$X$15,ROW(AK68)-ROW(AK$15),0),
              ROUND(ROUND(OFFSET($P68,0,AK$13),15-13*ORÇAMENTO!$AF$7)*OFFSET(ORÇAMENTO!$W$15,ROW(AK68)-ROW(AK$15),0),15-13*ORÇAMENTO!$AF$11)),
         0)</f>
        <v>0</v>
      </c>
      <c r="AM68" s="172">
        <f ca="1">IF(OR($D68&lt;&gt;"Serviço",AND(AUTOEVENTO="Manual",$M68=$A$15)),0,
         IF(OFFSET(CRONOPLE!$F$15,$M68-$A$15,AM$13)="",10^12,OFFSET(CRONOPLE!$F$15,$M68-$A$15,AM$13)))</f>
        <v>1000000000000</v>
      </c>
      <c r="AN68" s="172">
        <f ca="1">IF(OR($D68&lt;&gt;"Serviço",AND(AUTOEVENTO="Manual",$M68=$A$15)),0,
         IF(OFFSET(CRONOPLE!$F$15,$M68-$A$15,AN$13)="",10^12,OFFSET(CRONOPLE!$F$15,$M68-$A$15,AN$13)))</f>
        <v>1000000000000</v>
      </c>
      <c r="AO68" s="172">
        <f ca="1">IF(OR($D68&lt;&gt;"Serviço",AND(AUTOEVENTO="Manual",$M68=$A$15)),0,
         IF(OFFSET(CRONOPLE!$F$15,$M68-$A$15,AO$13)="",10^12,OFFSET(CRONOPLE!$F$15,$M68-$A$15,AO$13)))</f>
        <v>1000000000000</v>
      </c>
      <c r="AP68" s="172">
        <f ca="1">IF(OR($D68&lt;&gt;"Serviço",AND(AUTOEVENTO="Manual",$M68=$A$15)),0,
         IF(OFFSET(CRONOPLE!$F$15,$M68-$A$15,AP$13)="",10^12,OFFSET(CRONOPLE!$F$15,$M68-$A$15,AP$13)))</f>
        <v>1000000000000</v>
      </c>
      <c r="AQ68" s="172">
        <f ca="1">IF(OR($D68&lt;&gt;"Serviço",AND(AUTOEVENTO="Manual",$M68=$A$15)),0,
         IF(OFFSET(CRONOPLE!$F$15,$M68-$A$15,AQ$13)="",10^12,OFFSET(CRONOPLE!$F$15,$M68-$A$15,AQ$13)))</f>
        <v>1000000000000</v>
      </c>
      <c r="AR68" s="172">
        <f ca="1">IF(OR($D68&lt;&gt;"Serviço",AND(AUTOEVENTO="Manual",$M68=$A$15)),0,
         IF(OFFSET(CRONOPLE!$F$15,$M68-$A$15,AR$13)="",10^12,OFFSET(CRONOPLE!$F$15,$M68-$A$15,AR$13)))</f>
        <v>1000000000000</v>
      </c>
      <c r="AS68" s="172">
        <f ca="1">IF(OR($D68&lt;&gt;"Serviço",AND(AUTOEVENTO="Manual",$M68=$A$15)),0,
         IF(OFFSET(CRONOPLE!$F$15,$M68-$A$15,AS$13)="",10^12,OFFSET(CRONOPLE!$F$15,$M68-$A$15,AS$13)))</f>
        <v>1000000000000</v>
      </c>
      <c r="AT68" s="172">
        <f ca="1">IF(OR($D68&lt;&gt;"Serviço",AND(AUTOEVENTO="Manual",$M68=$A$15)),0,
         IF(OFFSET(CRONOPLE!$F$15,$M68-$A$15,AT$13)="",10^12,OFFSET(CRONOPLE!$F$15,$M68-$A$15,AT$13)))</f>
        <v>1000000000000</v>
      </c>
      <c r="AU68" s="172">
        <f ca="1">IF(OR($D68&lt;&gt;"Serviço",AND(AUTOEVENTO="Manual",$M68=$A$15)),0,
         IF(OFFSET(CRONOPLE!$F$15,$M68-$A$15,AU$13)="",10^12,OFFSET(CRONOPLE!$F$15,$M68-$A$15,AU$13)))</f>
        <v>1000000000000</v>
      </c>
      <c r="AV68" s="172">
        <f ca="1">IF(OR($D68&lt;&gt;"Serviço",AND(AUTOEVENTO="Manual",$M68=$A$15)),0,
         IF(OFFSET(CRONOPLE!$F$15,$M68-$A$15,AV$13)="",10^12,OFFSET(CRONOPLE!$F$15,$M68-$A$15,AV$13)))</f>
        <v>1000000000000</v>
      </c>
      <c r="AX68" s="173">
        <f ca="1">IF(OR($D68&lt;&gt;"Serviço",AND(AUTOEVENTO="Manual",$M68=$A$15),$M68&gt;(ROW(PLE.lastrow)-ROW(PLE.firstrow))),0,
           IF(OFFSET(PLE!$G$15,$M68-$A$15,AX$13)="",10^12,OFFSET(PLE!$G$15,$M68-$A$15,AX$13)))</f>
        <v>1000000000000</v>
      </c>
      <c r="AY68" s="173">
        <f ca="1">IF(OR($D68&lt;&gt;"Serviço",AND(AUTOEVENTO="Manual",$M68=$A$15),$M68&gt;(ROW(PLE.lastrow)-ROW(PLE.firstrow))),0,
           IF(OFFSET(PLE!$G$15,$M68-$A$15,AY$13)="",10^12,OFFSET(PLE!$G$15,$M68-$A$15,AY$13)))</f>
        <v>1000000000000</v>
      </c>
      <c r="AZ68" s="173">
        <f ca="1">IF(OR($D68&lt;&gt;"Serviço",AND(AUTOEVENTO="Manual",$M68=$A$15),$M68&gt;(ROW(PLE.lastrow)-ROW(PLE.firstrow))),0,
           IF(OFFSET(PLE!$G$15,$M68-$A$15,AZ$13)="",10^12,OFFSET(PLE!$G$15,$M68-$A$15,AZ$13)))</f>
        <v>1000000000000</v>
      </c>
      <c r="BA68" s="173">
        <f ca="1">IF(OR($D68&lt;&gt;"Serviço",AND(AUTOEVENTO="Manual",$M68=$A$15),$M68&gt;(ROW(PLE.lastrow)-ROW(PLE.firstrow))),0,
           IF(OFFSET(PLE!$G$15,$M68-$A$15,BA$13)="",10^12,OFFSET(PLE!$G$15,$M68-$A$15,BA$13)))</f>
        <v>1000000000000</v>
      </c>
      <c r="BB68" s="173">
        <f ca="1">IF(OR($D68&lt;&gt;"Serviço",AND(AUTOEVENTO="Manual",$M68=$A$15),$M68&gt;(ROW(PLE.lastrow)-ROW(PLE.firstrow))),0,
           IF(OFFSET(PLE!$G$15,$M68-$A$15,BB$13)="",10^12,OFFSET(PLE!$G$15,$M68-$A$15,BB$13)))</f>
        <v>1000000000000</v>
      </c>
      <c r="BC68" s="173">
        <f ca="1">IF(OR($D68&lt;&gt;"Serviço",AND(AUTOEVENTO="Manual",$M68=$A$15),$M68&gt;(ROW(PLE.lastrow)-ROW(PLE.firstrow))),0,
           IF(OFFSET(PLE!$G$15,$M68-$A$15,BC$13)="",10^12,OFFSET(PLE!$G$15,$M68-$A$15,BC$13)))</f>
        <v>1000000000000</v>
      </c>
      <c r="BD68" s="173">
        <f ca="1">IF(OR($D68&lt;&gt;"Serviço",AND(AUTOEVENTO="Manual",$M68=$A$15),$M68&gt;(ROW(PLE.lastrow)-ROW(PLE.firstrow))),0,
           IF(OFFSET(PLE!$G$15,$M68-$A$15,BD$13)="",10^12,OFFSET(PLE!$G$15,$M68-$A$15,BD$13)))</f>
        <v>1000000000000</v>
      </c>
      <c r="BE68" s="173">
        <f ca="1">IF(OR($D68&lt;&gt;"Serviço",AND(AUTOEVENTO="Manual",$M68=$A$15),$M68&gt;(ROW(PLE.lastrow)-ROW(PLE.firstrow))),0,
           IF(OFFSET(PLE!$G$15,$M68-$A$15,BE$13)="",10^12,OFFSET(PLE!$G$15,$M68-$A$15,BE$13)))</f>
        <v>1000000000000</v>
      </c>
      <c r="BF68" s="173">
        <f ca="1">IF(OR($D68&lt;&gt;"Serviço",AND(AUTOEVENTO="Manual",$M68=$A$15),$M68&gt;(ROW(PLE.lastrow)-ROW(PLE.firstrow))),0,
           IF(OFFSET(PLE!$G$15,$M68-$A$15,BF$13)="",10^12,OFFSET(PLE!$G$15,$M68-$A$15,BF$13)))</f>
        <v>1000000000000</v>
      </c>
      <c r="BG68" s="173">
        <f ca="1">IF(OR($D68&lt;&gt;"Serviço",AND(AUTOEVENTO="Manual",$M68=$A$15),$M68&gt;(ROW(PLE.lastrow)-ROW(PLE.firstrow))),0,
           IF(OFFSET(PLE!$G$15,$M68-$A$15,BG$13)="",10^12,OFFSET(PLE!$G$15,$M68-$A$15,BG$13)))</f>
        <v>1000000000000</v>
      </c>
    </row>
    <row r="69" spans="1:59" ht="38.25" x14ac:dyDescent="0.2">
      <c r="A69" s="7" t="str">
        <f t="shared" ca="1" si="8"/>
        <v>39</v>
      </c>
      <c r="B69" s="7" t="str">
        <f ca="1">OFFSET(ORÇAMENTO!C$15,ROW(B69)-ROW(B$15),0)</f>
        <v>S</v>
      </c>
      <c r="C69" s="7" t="str">
        <f ca="1">OFFSET(ORÇAMENTO!L$15,ROW(C69)-ROW(C$15),0)</f>
        <v/>
      </c>
      <c r="D69" s="117" t="str">
        <f ca="1">OFFSET(ORÇAMENTO!N$15,ROW(D69)-ROW(D$15),0)</f>
        <v>Serviço</v>
      </c>
      <c r="E69" s="118" t="str">
        <f ca="1">OFFSET(ORÇAMENTO!O$15,ROW(E69)-ROW(E$15),0)</f>
        <v>-</v>
      </c>
      <c r="F69" s="164" t="str">
        <f ca="1">OFFSET(ORÇAMENTO!R$15,ROW(F69)-ROW(F$15),0)</f>
        <v>ENTRADA DE ENERGIA ELÉTRICA, AÉREA, TRIFÁSICA, COM CAIXA DE EMBUTIR, CABO DE 70 MM2 E DISJUNTOR 125A, INCLUSO O POSTE PADRÃO CELESC</v>
      </c>
      <c r="G69" s="165" t="str">
        <f ca="1">IF($D69&lt;&gt;"Serviço","",OFFSET(ORÇAMENTO!S$15,ROW(G69)-ROW(G$15),0))</f>
        <v xml:space="preserve">UN    </v>
      </c>
      <c r="H69" s="123">
        <f ca="1">IF($D69&lt;&gt;"Serviço",0,IF(ACOMPANHAMENTO="BM",ROUND(OFFSET(ORÇAMENTO!AJ$15,ROW(H69)-ROW(H$15),0),15-13*ORÇAMENTO!$AF$7),SUMPRODUCT(($Q$1:$AA$1=1)*ROUND($Q69:$AA69,15-13*ORÇAMENTO!$AF$7))))</f>
        <v>1</v>
      </c>
      <c r="I69" s="469"/>
      <c r="J69" s="577" t="str" cm="1">
        <f t="array" aca="1" ref="J69" ca="1">IF(B69&lt;&gt;"S","",IF(AND(ACOMPANHAMENTO="PLE",AUTOEVENTO="Manual",OR(H69&gt;0,ORÇAMENTO!AC69="QUANT."),OR(K69="",M69=0,N69="")),"►",IF(AND(ACOMPANHAMENTO="PLE",ORÇAMENTO!AC69="QUANT."),"►►",IF(AND(COUNTIF($P$11:$AA$11,"▼")=0,H69&gt;0,I69=""),"◄",""))))</f>
        <v>◄</v>
      </c>
      <c r="K69" s="626"/>
      <c r="L69" s="166" t="s">
        <v>765</v>
      </c>
      <c r="M69" s="167">
        <f ca="1">IF($D69&lt;&gt;"Serviço","",
          IF(AUTOEVENTO="manual",$A69,
                IF(ISERROR(MATCH($A69,$A$15:OFFSET($A69,-1,0),0)),MAX($M$15:OFFSET(M69,-1,0))+1,
                      INDEX($M$15:OFFSET(M69,-1,0),MATCH($A69,$A$15:OFFSET($A69,-1,0),0)))))</f>
        <v>9</v>
      </c>
      <c r="N69" s="168" t="str">
        <f ca="1">IF($D69&lt;&gt;"Serviço","",
         IF(AUTOEVENTO="Manual",
                IF($A69=0,"&lt;-- defina o número do agrupador",
                       OFFSET(EVENTOS!$D$15,$A69-$A$15,0)),
                OFFSET($F$15,$A69,0)))</f>
        <v>INSTALAÇÕES ELÉTRICAS</v>
      </c>
      <c r="O69" s="169"/>
      <c r="Q69" s="169"/>
      <c r="R69" s="170"/>
      <c r="S69" s="170"/>
      <c r="T69" s="170"/>
      <c r="U69" s="170"/>
      <c r="V69" s="170"/>
      <c r="W69" s="170"/>
      <c r="X69" s="170"/>
      <c r="Y69" s="170"/>
      <c r="Z69" s="171"/>
      <c r="AB69" s="454">
        <f ca="1">IF(AND($D69="Serviço",AB$12&lt;&gt;0,$H69&gt;0,OR(AUTOEVENTO&lt;&gt;"manual",$M69&lt;&gt;$A$15)),
        IF(Import.TipoArredondamento&lt;&gt;"TransfereGOV",
              ROUND(OFFSET($P69,0,AB$13),15-13*ORÇAMENTO!$AF$7)/$H69*OFFSET(ORÇAMENTO!$X$15,ROW(AB69)-ROW(AB$15),0),
              ROUND(ROUND(OFFSET($P69,0,AB$13),15-13*ORÇAMENTO!$AF$7)*OFFSET(ORÇAMENTO!$W$15,ROW(AB69)-ROW(AB$15),0),15-13*ORÇAMENTO!$AF$11)),
         0)</f>
        <v>0</v>
      </c>
      <c r="AC69" s="454">
        <f ca="1">IF(AND($D69="Serviço",AC$12&lt;&gt;0,$H69&gt;0,OR(AUTOEVENTO&lt;&gt;"manual",$M69&lt;&gt;$A$15)),
        IF(Import.TipoArredondamento&lt;&gt;"TransfereGOV",
              ROUND(OFFSET($P69,0,AC$13),15-13*ORÇAMENTO!$AF$7)/$H69*OFFSET(ORÇAMENTO!$X$15,ROW(AC69)-ROW(AC$15),0),
              ROUND(ROUND(OFFSET($P69,0,AC$13),15-13*ORÇAMENTO!$AF$7)*OFFSET(ORÇAMENTO!$W$15,ROW(AC69)-ROW(AC$15),0),15-13*ORÇAMENTO!$AF$11)),
         0)</f>
        <v>0</v>
      </c>
      <c r="AD69" s="454">
        <f ca="1">IF(AND($D69="Serviço",AD$12&lt;&gt;0,$H69&gt;0,OR(AUTOEVENTO&lt;&gt;"manual",$M69&lt;&gt;$A$15)),
        IF(Import.TipoArredondamento&lt;&gt;"TransfereGOV",
              ROUND(OFFSET($P69,0,AD$13),15-13*ORÇAMENTO!$AF$7)/$H69*OFFSET(ORÇAMENTO!$X$15,ROW(AD69)-ROW(AD$15),0),
              ROUND(ROUND(OFFSET($P69,0,AD$13),15-13*ORÇAMENTO!$AF$7)*OFFSET(ORÇAMENTO!$W$15,ROW(AD69)-ROW(AD$15),0),15-13*ORÇAMENTO!$AF$11)),
         0)</f>
        <v>0</v>
      </c>
      <c r="AE69" s="454">
        <f ca="1">IF(AND($D69="Serviço",AE$12&lt;&gt;0,$H69&gt;0,OR(AUTOEVENTO&lt;&gt;"manual",$M69&lt;&gt;$A$15)),
        IF(Import.TipoArredondamento&lt;&gt;"TransfereGOV",
              ROUND(OFFSET($P69,0,AE$13),15-13*ORÇAMENTO!$AF$7)/$H69*OFFSET(ORÇAMENTO!$X$15,ROW(AE69)-ROW(AE$15),0),
              ROUND(ROUND(OFFSET($P69,0,AE$13),15-13*ORÇAMENTO!$AF$7)*OFFSET(ORÇAMENTO!$W$15,ROW(AE69)-ROW(AE$15),0),15-13*ORÇAMENTO!$AF$11)),
         0)</f>
        <v>0</v>
      </c>
      <c r="AF69" s="454">
        <f ca="1">IF(AND($D69="Serviço",AF$12&lt;&gt;0,$H69&gt;0,OR(AUTOEVENTO&lt;&gt;"manual",$M69&lt;&gt;$A$15)),
        IF(Import.TipoArredondamento&lt;&gt;"TransfereGOV",
              ROUND(OFFSET($P69,0,AF$13),15-13*ORÇAMENTO!$AF$7)/$H69*OFFSET(ORÇAMENTO!$X$15,ROW(AF69)-ROW(AF$15),0),
              ROUND(ROUND(OFFSET($P69,0,AF$13),15-13*ORÇAMENTO!$AF$7)*OFFSET(ORÇAMENTO!$W$15,ROW(AF69)-ROW(AF$15),0),15-13*ORÇAMENTO!$AF$11)),
         0)</f>
        <v>0</v>
      </c>
      <c r="AG69" s="454">
        <f ca="1">IF(AND($D69="Serviço",AG$12&lt;&gt;0,$H69&gt;0,OR(AUTOEVENTO&lt;&gt;"manual",$M69&lt;&gt;$A$15)),
        IF(Import.TipoArredondamento&lt;&gt;"TransfereGOV",
              ROUND(OFFSET($P69,0,AG$13),15-13*ORÇAMENTO!$AF$7)/$H69*OFFSET(ORÇAMENTO!$X$15,ROW(AG69)-ROW(AG$15),0),
              ROUND(ROUND(OFFSET($P69,0,AG$13),15-13*ORÇAMENTO!$AF$7)*OFFSET(ORÇAMENTO!$W$15,ROW(AG69)-ROW(AG$15),0),15-13*ORÇAMENTO!$AF$11)),
         0)</f>
        <v>0</v>
      </c>
      <c r="AH69" s="454">
        <f ca="1">IF(AND($D69="Serviço",AH$12&lt;&gt;0,$H69&gt;0,OR(AUTOEVENTO&lt;&gt;"manual",$M69&lt;&gt;$A$15)),
        IF(Import.TipoArredondamento&lt;&gt;"TransfereGOV",
              ROUND(OFFSET($P69,0,AH$13),15-13*ORÇAMENTO!$AF$7)/$H69*OFFSET(ORÇAMENTO!$X$15,ROW(AH69)-ROW(AH$15),0),
              ROUND(ROUND(OFFSET($P69,0,AH$13),15-13*ORÇAMENTO!$AF$7)*OFFSET(ORÇAMENTO!$W$15,ROW(AH69)-ROW(AH$15),0),15-13*ORÇAMENTO!$AF$11)),
         0)</f>
        <v>0</v>
      </c>
      <c r="AI69" s="454">
        <f ca="1">IF(AND($D69="Serviço",AI$12&lt;&gt;0,$H69&gt;0,OR(AUTOEVENTO&lt;&gt;"manual",$M69&lt;&gt;$A$15)),
        IF(Import.TipoArredondamento&lt;&gt;"TransfereGOV",
              ROUND(OFFSET($P69,0,AI$13),15-13*ORÇAMENTO!$AF$7)/$H69*OFFSET(ORÇAMENTO!$X$15,ROW(AI69)-ROW(AI$15),0),
              ROUND(ROUND(OFFSET($P69,0,AI$13),15-13*ORÇAMENTO!$AF$7)*OFFSET(ORÇAMENTO!$W$15,ROW(AI69)-ROW(AI$15),0),15-13*ORÇAMENTO!$AF$11)),
         0)</f>
        <v>0</v>
      </c>
      <c r="AJ69" s="454">
        <f ca="1">IF(AND($D69="Serviço",AJ$12&lt;&gt;0,$H69&gt;0,OR(AUTOEVENTO&lt;&gt;"manual",$M69&lt;&gt;$A$15)),
        IF(Import.TipoArredondamento&lt;&gt;"TransfereGOV",
              ROUND(OFFSET($P69,0,AJ$13),15-13*ORÇAMENTO!$AF$7)/$H69*OFFSET(ORÇAMENTO!$X$15,ROW(AJ69)-ROW(AJ$15),0),
              ROUND(ROUND(OFFSET($P69,0,AJ$13),15-13*ORÇAMENTO!$AF$7)*OFFSET(ORÇAMENTO!$W$15,ROW(AJ69)-ROW(AJ$15),0),15-13*ORÇAMENTO!$AF$11)),
         0)</f>
        <v>0</v>
      </c>
      <c r="AK69" s="454">
        <f ca="1">IF(AND($D69="Serviço",AK$12&lt;&gt;0,$H69&gt;0,OR(AUTOEVENTO&lt;&gt;"manual",$M69&lt;&gt;$A$15)),
        IF(Import.TipoArredondamento&lt;&gt;"TransfereGOV",
              ROUND(OFFSET($P69,0,AK$13),15-13*ORÇAMENTO!$AF$7)/$H69*OFFSET(ORÇAMENTO!$X$15,ROW(AK69)-ROW(AK$15),0),
              ROUND(ROUND(OFFSET($P69,0,AK$13),15-13*ORÇAMENTO!$AF$7)*OFFSET(ORÇAMENTO!$W$15,ROW(AK69)-ROW(AK$15),0),15-13*ORÇAMENTO!$AF$11)),
         0)</f>
        <v>0</v>
      </c>
      <c r="AM69" s="172">
        <f ca="1">IF(OR($D69&lt;&gt;"Serviço",AND(AUTOEVENTO="Manual",$M69=$A$15)),0,
         IF(OFFSET(CRONOPLE!$F$15,$M69-$A$15,AM$13)="",10^12,OFFSET(CRONOPLE!$F$15,$M69-$A$15,AM$13)))</f>
        <v>1000000000000</v>
      </c>
      <c r="AN69" s="172">
        <f ca="1">IF(OR($D69&lt;&gt;"Serviço",AND(AUTOEVENTO="Manual",$M69=$A$15)),0,
         IF(OFFSET(CRONOPLE!$F$15,$M69-$A$15,AN$13)="",10^12,OFFSET(CRONOPLE!$F$15,$M69-$A$15,AN$13)))</f>
        <v>1000000000000</v>
      </c>
      <c r="AO69" s="172">
        <f ca="1">IF(OR($D69&lt;&gt;"Serviço",AND(AUTOEVENTO="Manual",$M69=$A$15)),0,
         IF(OFFSET(CRONOPLE!$F$15,$M69-$A$15,AO$13)="",10^12,OFFSET(CRONOPLE!$F$15,$M69-$A$15,AO$13)))</f>
        <v>1000000000000</v>
      </c>
      <c r="AP69" s="172">
        <f ca="1">IF(OR($D69&lt;&gt;"Serviço",AND(AUTOEVENTO="Manual",$M69=$A$15)),0,
         IF(OFFSET(CRONOPLE!$F$15,$M69-$A$15,AP$13)="",10^12,OFFSET(CRONOPLE!$F$15,$M69-$A$15,AP$13)))</f>
        <v>1000000000000</v>
      </c>
      <c r="AQ69" s="172">
        <f ca="1">IF(OR($D69&lt;&gt;"Serviço",AND(AUTOEVENTO="Manual",$M69=$A$15)),0,
         IF(OFFSET(CRONOPLE!$F$15,$M69-$A$15,AQ$13)="",10^12,OFFSET(CRONOPLE!$F$15,$M69-$A$15,AQ$13)))</f>
        <v>1000000000000</v>
      </c>
      <c r="AR69" s="172">
        <f ca="1">IF(OR($D69&lt;&gt;"Serviço",AND(AUTOEVENTO="Manual",$M69=$A$15)),0,
         IF(OFFSET(CRONOPLE!$F$15,$M69-$A$15,AR$13)="",10^12,OFFSET(CRONOPLE!$F$15,$M69-$A$15,AR$13)))</f>
        <v>1000000000000</v>
      </c>
      <c r="AS69" s="172">
        <f ca="1">IF(OR($D69&lt;&gt;"Serviço",AND(AUTOEVENTO="Manual",$M69=$A$15)),0,
         IF(OFFSET(CRONOPLE!$F$15,$M69-$A$15,AS$13)="",10^12,OFFSET(CRONOPLE!$F$15,$M69-$A$15,AS$13)))</f>
        <v>1000000000000</v>
      </c>
      <c r="AT69" s="172">
        <f ca="1">IF(OR($D69&lt;&gt;"Serviço",AND(AUTOEVENTO="Manual",$M69=$A$15)),0,
         IF(OFFSET(CRONOPLE!$F$15,$M69-$A$15,AT$13)="",10^12,OFFSET(CRONOPLE!$F$15,$M69-$A$15,AT$13)))</f>
        <v>1000000000000</v>
      </c>
      <c r="AU69" s="172">
        <f ca="1">IF(OR($D69&lt;&gt;"Serviço",AND(AUTOEVENTO="Manual",$M69=$A$15)),0,
         IF(OFFSET(CRONOPLE!$F$15,$M69-$A$15,AU$13)="",10^12,OFFSET(CRONOPLE!$F$15,$M69-$A$15,AU$13)))</f>
        <v>1000000000000</v>
      </c>
      <c r="AV69" s="172">
        <f ca="1">IF(OR($D69&lt;&gt;"Serviço",AND(AUTOEVENTO="Manual",$M69=$A$15)),0,
         IF(OFFSET(CRONOPLE!$F$15,$M69-$A$15,AV$13)="",10^12,OFFSET(CRONOPLE!$F$15,$M69-$A$15,AV$13)))</f>
        <v>1000000000000</v>
      </c>
      <c r="AX69" s="173">
        <f ca="1">IF(OR($D69&lt;&gt;"Serviço",AND(AUTOEVENTO="Manual",$M69=$A$15),$M69&gt;(ROW(PLE.lastrow)-ROW(PLE.firstrow))),0,
           IF(OFFSET(PLE!$G$15,$M69-$A$15,AX$13)="",10^12,OFFSET(PLE!$G$15,$M69-$A$15,AX$13)))</f>
        <v>1000000000000</v>
      </c>
      <c r="AY69" s="173">
        <f ca="1">IF(OR($D69&lt;&gt;"Serviço",AND(AUTOEVENTO="Manual",$M69=$A$15),$M69&gt;(ROW(PLE.lastrow)-ROW(PLE.firstrow))),0,
           IF(OFFSET(PLE!$G$15,$M69-$A$15,AY$13)="",10^12,OFFSET(PLE!$G$15,$M69-$A$15,AY$13)))</f>
        <v>1000000000000</v>
      </c>
      <c r="AZ69" s="173">
        <f ca="1">IF(OR($D69&lt;&gt;"Serviço",AND(AUTOEVENTO="Manual",$M69=$A$15),$M69&gt;(ROW(PLE.lastrow)-ROW(PLE.firstrow))),0,
           IF(OFFSET(PLE!$G$15,$M69-$A$15,AZ$13)="",10^12,OFFSET(PLE!$G$15,$M69-$A$15,AZ$13)))</f>
        <v>1000000000000</v>
      </c>
      <c r="BA69" s="173">
        <f ca="1">IF(OR($D69&lt;&gt;"Serviço",AND(AUTOEVENTO="Manual",$M69=$A$15),$M69&gt;(ROW(PLE.lastrow)-ROW(PLE.firstrow))),0,
           IF(OFFSET(PLE!$G$15,$M69-$A$15,BA$13)="",10^12,OFFSET(PLE!$G$15,$M69-$A$15,BA$13)))</f>
        <v>1000000000000</v>
      </c>
      <c r="BB69" s="173">
        <f ca="1">IF(OR($D69&lt;&gt;"Serviço",AND(AUTOEVENTO="Manual",$M69=$A$15),$M69&gt;(ROW(PLE.lastrow)-ROW(PLE.firstrow))),0,
           IF(OFFSET(PLE!$G$15,$M69-$A$15,BB$13)="",10^12,OFFSET(PLE!$G$15,$M69-$A$15,BB$13)))</f>
        <v>1000000000000</v>
      </c>
      <c r="BC69" s="173">
        <f ca="1">IF(OR($D69&lt;&gt;"Serviço",AND(AUTOEVENTO="Manual",$M69=$A$15),$M69&gt;(ROW(PLE.lastrow)-ROW(PLE.firstrow))),0,
           IF(OFFSET(PLE!$G$15,$M69-$A$15,BC$13)="",10^12,OFFSET(PLE!$G$15,$M69-$A$15,BC$13)))</f>
        <v>1000000000000</v>
      </c>
      <c r="BD69" s="173">
        <f ca="1">IF(OR($D69&lt;&gt;"Serviço",AND(AUTOEVENTO="Manual",$M69=$A$15),$M69&gt;(ROW(PLE.lastrow)-ROW(PLE.firstrow))),0,
           IF(OFFSET(PLE!$G$15,$M69-$A$15,BD$13)="",10^12,OFFSET(PLE!$G$15,$M69-$A$15,BD$13)))</f>
        <v>1000000000000</v>
      </c>
      <c r="BE69" s="173">
        <f ca="1">IF(OR($D69&lt;&gt;"Serviço",AND(AUTOEVENTO="Manual",$M69=$A$15),$M69&gt;(ROW(PLE.lastrow)-ROW(PLE.firstrow))),0,
           IF(OFFSET(PLE!$G$15,$M69-$A$15,BE$13)="",10^12,OFFSET(PLE!$G$15,$M69-$A$15,BE$13)))</f>
        <v>1000000000000</v>
      </c>
      <c r="BF69" s="173">
        <f ca="1">IF(OR($D69&lt;&gt;"Serviço",AND(AUTOEVENTO="Manual",$M69=$A$15),$M69&gt;(ROW(PLE.lastrow)-ROW(PLE.firstrow))),0,
           IF(OFFSET(PLE!$G$15,$M69-$A$15,BF$13)="",10^12,OFFSET(PLE!$G$15,$M69-$A$15,BF$13)))</f>
        <v>1000000000000</v>
      </c>
      <c r="BG69" s="173">
        <f ca="1">IF(OR($D69&lt;&gt;"Serviço",AND(AUTOEVENTO="Manual",$M69=$A$15),$M69&gt;(ROW(PLE.lastrow)-ROW(PLE.firstrow))),0,
           IF(OFFSET(PLE!$G$15,$M69-$A$15,BG$13)="",10^12,OFFSET(PLE!$G$15,$M69-$A$15,BG$13)))</f>
        <v>1000000000000</v>
      </c>
    </row>
    <row r="70" spans="1:59" ht="25.5" x14ac:dyDescent="0.2">
      <c r="A70" s="7" t="str">
        <f t="shared" ca="1" si="8"/>
        <v>39</v>
      </c>
      <c r="B70" s="7" t="str">
        <f ca="1">OFFSET(ORÇAMENTO!C$15,ROW(B70)-ROW(B$15),0)</f>
        <v>S</v>
      </c>
      <c r="C70" s="7" t="str">
        <f ca="1">OFFSET(ORÇAMENTO!L$15,ROW(C70)-ROW(C$15),0)</f>
        <v/>
      </c>
      <c r="D70" s="117" t="str">
        <f ca="1">OFFSET(ORÇAMENTO!N$15,ROW(D70)-ROW(D$15),0)</f>
        <v>Serviço</v>
      </c>
      <c r="E70" s="118" t="str">
        <f ca="1">OFFSET(ORÇAMENTO!O$15,ROW(E70)-ROW(E$15),0)</f>
        <v>-</v>
      </c>
      <c r="F70" s="164" t="str">
        <f ca="1">OFFSET(ORÇAMENTO!R$15,ROW(F70)-ROW(F$15),0)</f>
        <v>DISJUNTOR TRIPOLAR TIPO DIN, CORRENTE NOMINAL DE 10A - FORNECIMENTO E INSTALAÇÃO. AF_10/2020</v>
      </c>
      <c r="G70" s="165" t="str">
        <f ca="1">IF($D70&lt;&gt;"Serviço","",OFFSET(ORÇAMENTO!S$15,ROW(G70)-ROW(G$15),0))</f>
        <v>UN</v>
      </c>
      <c r="H70" s="123">
        <f ca="1">IF($D70&lt;&gt;"Serviço",0,IF(ACOMPANHAMENTO="BM",ROUND(OFFSET(ORÇAMENTO!AJ$15,ROW(H70)-ROW(H$15),0),15-13*ORÇAMENTO!$AF$7),SUMPRODUCT(($Q$1:$AA$1=1)*ROUND($Q70:$AA70,15-13*ORÇAMENTO!$AF$7))))</f>
        <v>3</v>
      </c>
      <c r="I70" s="469"/>
      <c r="J70" s="577" t="str" cm="1">
        <f t="array" aca="1" ref="J70" ca="1">IF(B70&lt;&gt;"S","",IF(AND(ACOMPANHAMENTO="PLE",AUTOEVENTO="Manual",OR(H70&gt;0,ORÇAMENTO!AC70="QUANT."),OR(K70="",M70=0,N70="")),"►",IF(AND(ACOMPANHAMENTO="PLE",ORÇAMENTO!AC70="QUANT."),"►►",IF(AND(COUNTIF($P$11:$AA$11,"▼")=0,H70&gt;0,I70=""),"◄",""))))</f>
        <v>◄</v>
      </c>
      <c r="K70" s="626"/>
      <c r="L70" s="166" t="s">
        <v>765</v>
      </c>
      <c r="M70" s="167">
        <f ca="1">IF($D70&lt;&gt;"Serviço","",
          IF(AUTOEVENTO="manual",$A70,
                IF(ISERROR(MATCH($A70,$A$15:OFFSET($A70,-1,0),0)),MAX($M$15:OFFSET(M70,-1,0))+1,
                      INDEX($M$15:OFFSET(M70,-1,0),MATCH($A70,$A$15:OFFSET($A70,-1,0),0)))))</f>
        <v>9</v>
      </c>
      <c r="N70" s="168" t="str">
        <f ca="1">IF($D70&lt;&gt;"Serviço","",
         IF(AUTOEVENTO="Manual",
                IF($A70=0,"&lt;-- defina o número do agrupador",
                       OFFSET(EVENTOS!$D$15,$A70-$A$15,0)),
                OFFSET($F$15,$A70,0)))</f>
        <v>INSTALAÇÕES ELÉTRICAS</v>
      </c>
      <c r="O70" s="169"/>
      <c r="Q70" s="169"/>
      <c r="R70" s="170"/>
      <c r="S70" s="170"/>
      <c r="T70" s="170"/>
      <c r="U70" s="170"/>
      <c r="V70" s="170"/>
      <c r="W70" s="170"/>
      <c r="X70" s="170"/>
      <c r="Y70" s="170"/>
      <c r="Z70" s="171"/>
      <c r="AB70" s="454">
        <f ca="1">IF(AND($D70="Serviço",AB$12&lt;&gt;0,$H70&gt;0,OR(AUTOEVENTO&lt;&gt;"manual",$M70&lt;&gt;$A$15)),
        IF(Import.TipoArredondamento&lt;&gt;"TransfereGOV",
              ROUND(OFFSET($P70,0,AB$13),15-13*ORÇAMENTO!$AF$7)/$H70*OFFSET(ORÇAMENTO!$X$15,ROW(AB70)-ROW(AB$15),0),
              ROUND(ROUND(OFFSET($P70,0,AB$13),15-13*ORÇAMENTO!$AF$7)*OFFSET(ORÇAMENTO!$W$15,ROW(AB70)-ROW(AB$15),0),15-13*ORÇAMENTO!$AF$11)),
         0)</f>
        <v>0</v>
      </c>
      <c r="AC70" s="454">
        <f ca="1">IF(AND($D70="Serviço",AC$12&lt;&gt;0,$H70&gt;0,OR(AUTOEVENTO&lt;&gt;"manual",$M70&lt;&gt;$A$15)),
        IF(Import.TipoArredondamento&lt;&gt;"TransfereGOV",
              ROUND(OFFSET($P70,0,AC$13),15-13*ORÇAMENTO!$AF$7)/$H70*OFFSET(ORÇAMENTO!$X$15,ROW(AC70)-ROW(AC$15),0),
              ROUND(ROUND(OFFSET($P70,0,AC$13),15-13*ORÇAMENTO!$AF$7)*OFFSET(ORÇAMENTO!$W$15,ROW(AC70)-ROW(AC$15),0),15-13*ORÇAMENTO!$AF$11)),
         0)</f>
        <v>0</v>
      </c>
      <c r="AD70" s="454">
        <f ca="1">IF(AND($D70="Serviço",AD$12&lt;&gt;0,$H70&gt;0,OR(AUTOEVENTO&lt;&gt;"manual",$M70&lt;&gt;$A$15)),
        IF(Import.TipoArredondamento&lt;&gt;"TransfereGOV",
              ROUND(OFFSET($P70,0,AD$13),15-13*ORÇAMENTO!$AF$7)/$H70*OFFSET(ORÇAMENTO!$X$15,ROW(AD70)-ROW(AD$15),0),
              ROUND(ROUND(OFFSET($P70,0,AD$13),15-13*ORÇAMENTO!$AF$7)*OFFSET(ORÇAMENTO!$W$15,ROW(AD70)-ROW(AD$15),0),15-13*ORÇAMENTO!$AF$11)),
         0)</f>
        <v>0</v>
      </c>
      <c r="AE70" s="454">
        <f ca="1">IF(AND($D70="Serviço",AE$12&lt;&gt;0,$H70&gt;0,OR(AUTOEVENTO&lt;&gt;"manual",$M70&lt;&gt;$A$15)),
        IF(Import.TipoArredondamento&lt;&gt;"TransfereGOV",
              ROUND(OFFSET($P70,0,AE$13),15-13*ORÇAMENTO!$AF$7)/$H70*OFFSET(ORÇAMENTO!$X$15,ROW(AE70)-ROW(AE$15),0),
              ROUND(ROUND(OFFSET($P70,0,AE$13),15-13*ORÇAMENTO!$AF$7)*OFFSET(ORÇAMENTO!$W$15,ROW(AE70)-ROW(AE$15),0),15-13*ORÇAMENTO!$AF$11)),
         0)</f>
        <v>0</v>
      </c>
      <c r="AF70" s="454">
        <f ca="1">IF(AND($D70="Serviço",AF$12&lt;&gt;0,$H70&gt;0,OR(AUTOEVENTO&lt;&gt;"manual",$M70&lt;&gt;$A$15)),
        IF(Import.TipoArredondamento&lt;&gt;"TransfereGOV",
              ROUND(OFFSET($P70,0,AF$13),15-13*ORÇAMENTO!$AF$7)/$H70*OFFSET(ORÇAMENTO!$X$15,ROW(AF70)-ROW(AF$15),0),
              ROUND(ROUND(OFFSET($P70,0,AF$13),15-13*ORÇAMENTO!$AF$7)*OFFSET(ORÇAMENTO!$W$15,ROW(AF70)-ROW(AF$15),0),15-13*ORÇAMENTO!$AF$11)),
         0)</f>
        <v>0</v>
      </c>
      <c r="AG70" s="454">
        <f ca="1">IF(AND($D70="Serviço",AG$12&lt;&gt;0,$H70&gt;0,OR(AUTOEVENTO&lt;&gt;"manual",$M70&lt;&gt;$A$15)),
        IF(Import.TipoArredondamento&lt;&gt;"TransfereGOV",
              ROUND(OFFSET($P70,0,AG$13),15-13*ORÇAMENTO!$AF$7)/$H70*OFFSET(ORÇAMENTO!$X$15,ROW(AG70)-ROW(AG$15),0),
              ROUND(ROUND(OFFSET($P70,0,AG$13),15-13*ORÇAMENTO!$AF$7)*OFFSET(ORÇAMENTO!$W$15,ROW(AG70)-ROW(AG$15),0),15-13*ORÇAMENTO!$AF$11)),
         0)</f>
        <v>0</v>
      </c>
      <c r="AH70" s="454">
        <f ca="1">IF(AND($D70="Serviço",AH$12&lt;&gt;0,$H70&gt;0,OR(AUTOEVENTO&lt;&gt;"manual",$M70&lt;&gt;$A$15)),
        IF(Import.TipoArredondamento&lt;&gt;"TransfereGOV",
              ROUND(OFFSET($P70,0,AH$13),15-13*ORÇAMENTO!$AF$7)/$H70*OFFSET(ORÇAMENTO!$X$15,ROW(AH70)-ROW(AH$15),0),
              ROUND(ROUND(OFFSET($P70,0,AH$13),15-13*ORÇAMENTO!$AF$7)*OFFSET(ORÇAMENTO!$W$15,ROW(AH70)-ROW(AH$15),0),15-13*ORÇAMENTO!$AF$11)),
         0)</f>
        <v>0</v>
      </c>
      <c r="AI70" s="454">
        <f ca="1">IF(AND($D70="Serviço",AI$12&lt;&gt;0,$H70&gt;0,OR(AUTOEVENTO&lt;&gt;"manual",$M70&lt;&gt;$A$15)),
        IF(Import.TipoArredondamento&lt;&gt;"TransfereGOV",
              ROUND(OFFSET($P70,0,AI$13),15-13*ORÇAMENTO!$AF$7)/$H70*OFFSET(ORÇAMENTO!$X$15,ROW(AI70)-ROW(AI$15),0),
              ROUND(ROUND(OFFSET($P70,0,AI$13),15-13*ORÇAMENTO!$AF$7)*OFFSET(ORÇAMENTO!$W$15,ROW(AI70)-ROW(AI$15),0),15-13*ORÇAMENTO!$AF$11)),
         0)</f>
        <v>0</v>
      </c>
      <c r="AJ70" s="454">
        <f ca="1">IF(AND($D70="Serviço",AJ$12&lt;&gt;0,$H70&gt;0,OR(AUTOEVENTO&lt;&gt;"manual",$M70&lt;&gt;$A$15)),
        IF(Import.TipoArredondamento&lt;&gt;"TransfereGOV",
              ROUND(OFFSET($P70,0,AJ$13),15-13*ORÇAMENTO!$AF$7)/$H70*OFFSET(ORÇAMENTO!$X$15,ROW(AJ70)-ROW(AJ$15),0),
              ROUND(ROUND(OFFSET($P70,0,AJ$13),15-13*ORÇAMENTO!$AF$7)*OFFSET(ORÇAMENTO!$W$15,ROW(AJ70)-ROW(AJ$15),0),15-13*ORÇAMENTO!$AF$11)),
         0)</f>
        <v>0</v>
      </c>
      <c r="AK70" s="454">
        <f ca="1">IF(AND($D70="Serviço",AK$12&lt;&gt;0,$H70&gt;0,OR(AUTOEVENTO&lt;&gt;"manual",$M70&lt;&gt;$A$15)),
        IF(Import.TipoArredondamento&lt;&gt;"TransfereGOV",
              ROUND(OFFSET($P70,0,AK$13),15-13*ORÇAMENTO!$AF$7)/$H70*OFFSET(ORÇAMENTO!$X$15,ROW(AK70)-ROW(AK$15),0),
              ROUND(ROUND(OFFSET($P70,0,AK$13),15-13*ORÇAMENTO!$AF$7)*OFFSET(ORÇAMENTO!$W$15,ROW(AK70)-ROW(AK$15),0),15-13*ORÇAMENTO!$AF$11)),
         0)</f>
        <v>0</v>
      </c>
      <c r="AM70" s="172">
        <f ca="1">IF(OR($D70&lt;&gt;"Serviço",AND(AUTOEVENTO="Manual",$M70=$A$15)),0,
         IF(OFFSET(CRONOPLE!$F$15,$M70-$A$15,AM$13)="",10^12,OFFSET(CRONOPLE!$F$15,$M70-$A$15,AM$13)))</f>
        <v>1000000000000</v>
      </c>
      <c r="AN70" s="172">
        <f ca="1">IF(OR($D70&lt;&gt;"Serviço",AND(AUTOEVENTO="Manual",$M70=$A$15)),0,
         IF(OFFSET(CRONOPLE!$F$15,$M70-$A$15,AN$13)="",10^12,OFFSET(CRONOPLE!$F$15,$M70-$A$15,AN$13)))</f>
        <v>1000000000000</v>
      </c>
      <c r="AO70" s="172">
        <f ca="1">IF(OR($D70&lt;&gt;"Serviço",AND(AUTOEVENTO="Manual",$M70=$A$15)),0,
         IF(OFFSET(CRONOPLE!$F$15,$M70-$A$15,AO$13)="",10^12,OFFSET(CRONOPLE!$F$15,$M70-$A$15,AO$13)))</f>
        <v>1000000000000</v>
      </c>
      <c r="AP70" s="172">
        <f ca="1">IF(OR($D70&lt;&gt;"Serviço",AND(AUTOEVENTO="Manual",$M70=$A$15)),0,
         IF(OFFSET(CRONOPLE!$F$15,$M70-$A$15,AP$13)="",10^12,OFFSET(CRONOPLE!$F$15,$M70-$A$15,AP$13)))</f>
        <v>1000000000000</v>
      </c>
      <c r="AQ70" s="172">
        <f ca="1">IF(OR($D70&lt;&gt;"Serviço",AND(AUTOEVENTO="Manual",$M70=$A$15)),0,
         IF(OFFSET(CRONOPLE!$F$15,$M70-$A$15,AQ$13)="",10^12,OFFSET(CRONOPLE!$F$15,$M70-$A$15,AQ$13)))</f>
        <v>1000000000000</v>
      </c>
      <c r="AR70" s="172">
        <f ca="1">IF(OR($D70&lt;&gt;"Serviço",AND(AUTOEVENTO="Manual",$M70=$A$15)),0,
         IF(OFFSET(CRONOPLE!$F$15,$M70-$A$15,AR$13)="",10^12,OFFSET(CRONOPLE!$F$15,$M70-$A$15,AR$13)))</f>
        <v>1000000000000</v>
      </c>
      <c r="AS70" s="172">
        <f ca="1">IF(OR($D70&lt;&gt;"Serviço",AND(AUTOEVENTO="Manual",$M70=$A$15)),0,
         IF(OFFSET(CRONOPLE!$F$15,$M70-$A$15,AS$13)="",10^12,OFFSET(CRONOPLE!$F$15,$M70-$A$15,AS$13)))</f>
        <v>1000000000000</v>
      </c>
      <c r="AT70" s="172">
        <f ca="1">IF(OR($D70&lt;&gt;"Serviço",AND(AUTOEVENTO="Manual",$M70=$A$15)),0,
         IF(OFFSET(CRONOPLE!$F$15,$M70-$A$15,AT$13)="",10^12,OFFSET(CRONOPLE!$F$15,$M70-$A$15,AT$13)))</f>
        <v>1000000000000</v>
      </c>
      <c r="AU70" s="172">
        <f ca="1">IF(OR($D70&lt;&gt;"Serviço",AND(AUTOEVENTO="Manual",$M70=$A$15)),0,
         IF(OFFSET(CRONOPLE!$F$15,$M70-$A$15,AU$13)="",10^12,OFFSET(CRONOPLE!$F$15,$M70-$A$15,AU$13)))</f>
        <v>1000000000000</v>
      </c>
      <c r="AV70" s="172">
        <f ca="1">IF(OR($D70&lt;&gt;"Serviço",AND(AUTOEVENTO="Manual",$M70=$A$15)),0,
         IF(OFFSET(CRONOPLE!$F$15,$M70-$A$15,AV$13)="",10^12,OFFSET(CRONOPLE!$F$15,$M70-$A$15,AV$13)))</f>
        <v>1000000000000</v>
      </c>
      <c r="AX70" s="173">
        <f ca="1">IF(OR($D70&lt;&gt;"Serviço",AND(AUTOEVENTO="Manual",$M70=$A$15),$M70&gt;(ROW(PLE.lastrow)-ROW(PLE.firstrow))),0,
           IF(OFFSET(PLE!$G$15,$M70-$A$15,AX$13)="",10^12,OFFSET(PLE!$G$15,$M70-$A$15,AX$13)))</f>
        <v>1000000000000</v>
      </c>
      <c r="AY70" s="173">
        <f ca="1">IF(OR($D70&lt;&gt;"Serviço",AND(AUTOEVENTO="Manual",$M70=$A$15),$M70&gt;(ROW(PLE.lastrow)-ROW(PLE.firstrow))),0,
           IF(OFFSET(PLE!$G$15,$M70-$A$15,AY$13)="",10^12,OFFSET(PLE!$G$15,$M70-$A$15,AY$13)))</f>
        <v>1000000000000</v>
      </c>
      <c r="AZ70" s="173">
        <f ca="1">IF(OR($D70&lt;&gt;"Serviço",AND(AUTOEVENTO="Manual",$M70=$A$15),$M70&gt;(ROW(PLE.lastrow)-ROW(PLE.firstrow))),0,
           IF(OFFSET(PLE!$G$15,$M70-$A$15,AZ$13)="",10^12,OFFSET(PLE!$G$15,$M70-$A$15,AZ$13)))</f>
        <v>1000000000000</v>
      </c>
      <c r="BA70" s="173">
        <f ca="1">IF(OR($D70&lt;&gt;"Serviço",AND(AUTOEVENTO="Manual",$M70=$A$15),$M70&gt;(ROW(PLE.lastrow)-ROW(PLE.firstrow))),0,
           IF(OFFSET(PLE!$G$15,$M70-$A$15,BA$13)="",10^12,OFFSET(PLE!$G$15,$M70-$A$15,BA$13)))</f>
        <v>1000000000000</v>
      </c>
      <c r="BB70" s="173">
        <f ca="1">IF(OR($D70&lt;&gt;"Serviço",AND(AUTOEVENTO="Manual",$M70=$A$15),$M70&gt;(ROW(PLE.lastrow)-ROW(PLE.firstrow))),0,
           IF(OFFSET(PLE!$G$15,$M70-$A$15,BB$13)="",10^12,OFFSET(PLE!$G$15,$M70-$A$15,BB$13)))</f>
        <v>1000000000000</v>
      </c>
      <c r="BC70" s="173">
        <f ca="1">IF(OR($D70&lt;&gt;"Serviço",AND(AUTOEVENTO="Manual",$M70=$A$15),$M70&gt;(ROW(PLE.lastrow)-ROW(PLE.firstrow))),0,
           IF(OFFSET(PLE!$G$15,$M70-$A$15,BC$13)="",10^12,OFFSET(PLE!$G$15,$M70-$A$15,BC$13)))</f>
        <v>1000000000000</v>
      </c>
      <c r="BD70" s="173">
        <f ca="1">IF(OR($D70&lt;&gt;"Serviço",AND(AUTOEVENTO="Manual",$M70=$A$15),$M70&gt;(ROW(PLE.lastrow)-ROW(PLE.firstrow))),0,
           IF(OFFSET(PLE!$G$15,$M70-$A$15,BD$13)="",10^12,OFFSET(PLE!$G$15,$M70-$A$15,BD$13)))</f>
        <v>1000000000000</v>
      </c>
      <c r="BE70" s="173">
        <f ca="1">IF(OR($D70&lt;&gt;"Serviço",AND(AUTOEVENTO="Manual",$M70=$A$15),$M70&gt;(ROW(PLE.lastrow)-ROW(PLE.firstrow))),0,
           IF(OFFSET(PLE!$G$15,$M70-$A$15,BE$13)="",10^12,OFFSET(PLE!$G$15,$M70-$A$15,BE$13)))</f>
        <v>1000000000000</v>
      </c>
      <c r="BF70" s="173">
        <f ca="1">IF(OR($D70&lt;&gt;"Serviço",AND(AUTOEVENTO="Manual",$M70=$A$15),$M70&gt;(ROW(PLE.lastrow)-ROW(PLE.firstrow))),0,
           IF(OFFSET(PLE!$G$15,$M70-$A$15,BF$13)="",10^12,OFFSET(PLE!$G$15,$M70-$A$15,BF$13)))</f>
        <v>1000000000000</v>
      </c>
      <c r="BG70" s="173">
        <f ca="1">IF(OR($D70&lt;&gt;"Serviço",AND(AUTOEVENTO="Manual",$M70=$A$15),$M70&gt;(ROW(PLE.lastrow)-ROW(PLE.firstrow))),0,
           IF(OFFSET(PLE!$G$15,$M70-$A$15,BG$13)="",10^12,OFFSET(PLE!$G$15,$M70-$A$15,BG$13)))</f>
        <v>1000000000000</v>
      </c>
    </row>
    <row r="71" spans="1:59" ht="25.5" x14ac:dyDescent="0.2">
      <c r="A71" s="7" t="str">
        <f t="shared" ca="1" si="8"/>
        <v>39</v>
      </c>
      <c r="B71" s="7" t="str">
        <f ca="1">OFFSET(ORÇAMENTO!C$15,ROW(B71)-ROW(B$15),0)</f>
        <v>S</v>
      </c>
      <c r="C71" s="7" t="str">
        <f ca="1">OFFSET(ORÇAMENTO!L$15,ROW(C71)-ROW(C$15),0)</f>
        <v/>
      </c>
      <c r="D71" s="117" t="str">
        <f ca="1">OFFSET(ORÇAMENTO!N$15,ROW(D71)-ROW(D$15),0)</f>
        <v>Serviço</v>
      </c>
      <c r="E71" s="118" t="str">
        <f ca="1">OFFSET(ORÇAMENTO!O$15,ROW(E71)-ROW(E$15),0)</f>
        <v>-</v>
      </c>
      <c r="F71" s="164" t="str">
        <f ca="1">OFFSET(ORÇAMENTO!R$15,ROW(F71)-ROW(F$15),0)</f>
        <v>DISJUNTOR TERMOMAGNÉTICO TRIPOLAR , CORRENTE NOMINAL DE 125A - FORNECIMENTO E INSTALAÇÃO. AF_10/2020</v>
      </c>
      <c r="G71" s="165" t="str">
        <f ca="1">IF($D71&lt;&gt;"Serviço","",OFFSET(ORÇAMENTO!S$15,ROW(G71)-ROW(G$15),0))</f>
        <v>UN</v>
      </c>
      <c r="H71" s="123">
        <f ca="1">IF($D71&lt;&gt;"Serviço",0,IF(ACOMPANHAMENTO="BM",ROUND(OFFSET(ORÇAMENTO!AJ$15,ROW(H71)-ROW(H$15),0),15-13*ORÇAMENTO!$AF$7),SUMPRODUCT(($Q$1:$AA$1=1)*ROUND($Q71:$AA71,15-13*ORÇAMENTO!$AF$7))))</f>
        <v>1</v>
      </c>
      <c r="I71" s="469"/>
      <c r="J71" s="577" t="str" cm="1">
        <f t="array" aca="1" ref="J71" ca="1">IF(B71&lt;&gt;"S","",IF(AND(ACOMPANHAMENTO="PLE",AUTOEVENTO="Manual",OR(H71&gt;0,ORÇAMENTO!AC71="QUANT."),OR(K71="",M71=0,N71="")),"►",IF(AND(ACOMPANHAMENTO="PLE",ORÇAMENTO!AC71="QUANT."),"►►",IF(AND(COUNTIF($P$11:$AA$11,"▼")=0,H71&gt;0,I71=""),"◄",""))))</f>
        <v>◄</v>
      </c>
      <c r="K71" s="626"/>
      <c r="L71" s="166" t="s">
        <v>765</v>
      </c>
      <c r="M71" s="167">
        <f ca="1">IF($D71&lt;&gt;"Serviço","",
          IF(AUTOEVENTO="manual",$A71,
                IF(ISERROR(MATCH($A71,$A$15:OFFSET($A71,-1,0),0)),MAX($M$15:OFFSET(M71,-1,0))+1,
                      INDEX($M$15:OFFSET(M71,-1,0),MATCH($A71,$A$15:OFFSET($A71,-1,0),0)))))</f>
        <v>9</v>
      </c>
      <c r="N71" s="168" t="str">
        <f ca="1">IF($D71&lt;&gt;"Serviço","",
         IF(AUTOEVENTO="Manual",
                IF($A71=0,"&lt;-- defina o número do agrupador",
                       OFFSET(EVENTOS!$D$15,$A71-$A$15,0)),
                OFFSET($F$15,$A71,0)))</f>
        <v>INSTALAÇÕES ELÉTRICAS</v>
      </c>
      <c r="O71" s="169"/>
      <c r="Q71" s="169"/>
      <c r="R71" s="170"/>
      <c r="S71" s="170"/>
      <c r="T71" s="170"/>
      <c r="U71" s="170"/>
      <c r="V71" s="170"/>
      <c r="W71" s="170"/>
      <c r="X71" s="170"/>
      <c r="Y71" s="170"/>
      <c r="Z71" s="171"/>
      <c r="AB71" s="454">
        <f ca="1">IF(AND($D71="Serviço",AB$12&lt;&gt;0,$H71&gt;0,OR(AUTOEVENTO&lt;&gt;"manual",$M71&lt;&gt;$A$15)),
        IF(Import.TipoArredondamento&lt;&gt;"TransfereGOV",
              ROUND(OFFSET($P71,0,AB$13),15-13*ORÇAMENTO!$AF$7)/$H71*OFFSET(ORÇAMENTO!$X$15,ROW(AB71)-ROW(AB$15),0),
              ROUND(ROUND(OFFSET($P71,0,AB$13),15-13*ORÇAMENTO!$AF$7)*OFFSET(ORÇAMENTO!$W$15,ROW(AB71)-ROW(AB$15),0),15-13*ORÇAMENTO!$AF$11)),
         0)</f>
        <v>0</v>
      </c>
      <c r="AC71" s="454">
        <f ca="1">IF(AND($D71="Serviço",AC$12&lt;&gt;0,$H71&gt;0,OR(AUTOEVENTO&lt;&gt;"manual",$M71&lt;&gt;$A$15)),
        IF(Import.TipoArredondamento&lt;&gt;"TransfereGOV",
              ROUND(OFFSET($P71,0,AC$13),15-13*ORÇAMENTO!$AF$7)/$H71*OFFSET(ORÇAMENTO!$X$15,ROW(AC71)-ROW(AC$15),0),
              ROUND(ROUND(OFFSET($P71,0,AC$13),15-13*ORÇAMENTO!$AF$7)*OFFSET(ORÇAMENTO!$W$15,ROW(AC71)-ROW(AC$15),0),15-13*ORÇAMENTO!$AF$11)),
         0)</f>
        <v>0</v>
      </c>
      <c r="AD71" s="454">
        <f ca="1">IF(AND($D71="Serviço",AD$12&lt;&gt;0,$H71&gt;0,OR(AUTOEVENTO&lt;&gt;"manual",$M71&lt;&gt;$A$15)),
        IF(Import.TipoArredondamento&lt;&gt;"TransfereGOV",
              ROUND(OFFSET($P71,0,AD$13),15-13*ORÇAMENTO!$AF$7)/$H71*OFFSET(ORÇAMENTO!$X$15,ROW(AD71)-ROW(AD$15),0),
              ROUND(ROUND(OFFSET($P71,0,AD$13),15-13*ORÇAMENTO!$AF$7)*OFFSET(ORÇAMENTO!$W$15,ROW(AD71)-ROW(AD$15),0),15-13*ORÇAMENTO!$AF$11)),
         0)</f>
        <v>0</v>
      </c>
      <c r="AE71" s="454">
        <f ca="1">IF(AND($D71="Serviço",AE$12&lt;&gt;0,$H71&gt;0,OR(AUTOEVENTO&lt;&gt;"manual",$M71&lt;&gt;$A$15)),
        IF(Import.TipoArredondamento&lt;&gt;"TransfereGOV",
              ROUND(OFFSET($P71,0,AE$13),15-13*ORÇAMENTO!$AF$7)/$H71*OFFSET(ORÇAMENTO!$X$15,ROW(AE71)-ROW(AE$15),0),
              ROUND(ROUND(OFFSET($P71,0,AE$13),15-13*ORÇAMENTO!$AF$7)*OFFSET(ORÇAMENTO!$W$15,ROW(AE71)-ROW(AE$15),0),15-13*ORÇAMENTO!$AF$11)),
         0)</f>
        <v>0</v>
      </c>
      <c r="AF71" s="454">
        <f ca="1">IF(AND($D71="Serviço",AF$12&lt;&gt;0,$H71&gt;0,OR(AUTOEVENTO&lt;&gt;"manual",$M71&lt;&gt;$A$15)),
        IF(Import.TipoArredondamento&lt;&gt;"TransfereGOV",
              ROUND(OFFSET($P71,0,AF$13),15-13*ORÇAMENTO!$AF$7)/$H71*OFFSET(ORÇAMENTO!$X$15,ROW(AF71)-ROW(AF$15),0),
              ROUND(ROUND(OFFSET($P71,0,AF$13),15-13*ORÇAMENTO!$AF$7)*OFFSET(ORÇAMENTO!$W$15,ROW(AF71)-ROW(AF$15),0),15-13*ORÇAMENTO!$AF$11)),
         0)</f>
        <v>0</v>
      </c>
      <c r="AG71" s="454">
        <f ca="1">IF(AND($D71="Serviço",AG$12&lt;&gt;0,$H71&gt;0,OR(AUTOEVENTO&lt;&gt;"manual",$M71&lt;&gt;$A$15)),
        IF(Import.TipoArredondamento&lt;&gt;"TransfereGOV",
              ROUND(OFFSET($P71,0,AG$13),15-13*ORÇAMENTO!$AF$7)/$H71*OFFSET(ORÇAMENTO!$X$15,ROW(AG71)-ROW(AG$15),0),
              ROUND(ROUND(OFFSET($P71,0,AG$13),15-13*ORÇAMENTO!$AF$7)*OFFSET(ORÇAMENTO!$W$15,ROW(AG71)-ROW(AG$15),0),15-13*ORÇAMENTO!$AF$11)),
         0)</f>
        <v>0</v>
      </c>
      <c r="AH71" s="454">
        <f ca="1">IF(AND($D71="Serviço",AH$12&lt;&gt;0,$H71&gt;0,OR(AUTOEVENTO&lt;&gt;"manual",$M71&lt;&gt;$A$15)),
        IF(Import.TipoArredondamento&lt;&gt;"TransfereGOV",
              ROUND(OFFSET($P71,0,AH$13),15-13*ORÇAMENTO!$AF$7)/$H71*OFFSET(ORÇAMENTO!$X$15,ROW(AH71)-ROW(AH$15),0),
              ROUND(ROUND(OFFSET($P71,0,AH$13),15-13*ORÇAMENTO!$AF$7)*OFFSET(ORÇAMENTO!$W$15,ROW(AH71)-ROW(AH$15),0),15-13*ORÇAMENTO!$AF$11)),
         0)</f>
        <v>0</v>
      </c>
      <c r="AI71" s="454">
        <f ca="1">IF(AND($D71="Serviço",AI$12&lt;&gt;0,$H71&gt;0,OR(AUTOEVENTO&lt;&gt;"manual",$M71&lt;&gt;$A$15)),
        IF(Import.TipoArredondamento&lt;&gt;"TransfereGOV",
              ROUND(OFFSET($P71,0,AI$13),15-13*ORÇAMENTO!$AF$7)/$H71*OFFSET(ORÇAMENTO!$X$15,ROW(AI71)-ROW(AI$15),0),
              ROUND(ROUND(OFFSET($P71,0,AI$13),15-13*ORÇAMENTO!$AF$7)*OFFSET(ORÇAMENTO!$W$15,ROW(AI71)-ROW(AI$15),0),15-13*ORÇAMENTO!$AF$11)),
         0)</f>
        <v>0</v>
      </c>
      <c r="AJ71" s="454">
        <f ca="1">IF(AND($D71="Serviço",AJ$12&lt;&gt;0,$H71&gt;0,OR(AUTOEVENTO&lt;&gt;"manual",$M71&lt;&gt;$A$15)),
        IF(Import.TipoArredondamento&lt;&gt;"TransfereGOV",
              ROUND(OFFSET($P71,0,AJ$13),15-13*ORÇAMENTO!$AF$7)/$H71*OFFSET(ORÇAMENTO!$X$15,ROW(AJ71)-ROW(AJ$15),0),
              ROUND(ROUND(OFFSET($P71,0,AJ$13),15-13*ORÇAMENTO!$AF$7)*OFFSET(ORÇAMENTO!$W$15,ROW(AJ71)-ROW(AJ$15),0),15-13*ORÇAMENTO!$AF$11)),
         0)</f>
        <v>0</v>
      </c>
      <c r="AK71" s="454">
        <f ca="1">IF(AND($D71="Serviço",AK$12&lt;&gt;0,$H71&gt;0,OR(AUTOEVENTO&lt;&gt;"manual",$M71&lt;&gt;$A$15)),
        IF(Import.TipoArredondamento&lt;&gt;"TransfereGOV",
              ROUND(OFFSET($P71,0,AK$13),15-13*ORÇAMENTO!$AF$7)/$H71*OFFSET(ORÇAMENTO!$X$15,ROW(AK71)-ROW(AK$15),0),
              ROUND(ROUND(OFFSET($P71,0,AK$13),15-13*ORÇAMENTO!$AF$7)*OFFSET(ORÇAMENTO!$W$15,ROW(AK71)-ROW(AK$15),0),15-13*ORÇAMENTO!$AF$11)),
         0)</f>
        <v>0</v>
      </c>
      <c r="AM71" s="172">
        <f ca="1">IF(OR($D71&lt;&gt;"Serviço",AND(AUTOEVENTO="Manual",$M71=$A$15)),0,
         IF(OFFSET(CRONOPLE!$F$15,$M71-$A$15,AM$13)="",10^12,OFFSET(CRONOPLE!$F$15,$M71-$A$15,AM$13)))</f>
        <v>1000000000000</v>
      </c>
      <c r="AN71" s="172">
        <f ca="1">IF(OR($D71&lt;&gt;"Serviço",AND(AUTOEVENTO="Manual",$M71=$A$15)),0,
         IF(OFFSET(CRONOPLE!$F$15,$M71-$A$15,AN$13)="",10^12,OFFSET(CRONOPLE!$F$15,$M71-$A$15,AN$13)))</f>
        <v>1000000000000</v>
      </c>
      <c r="AO71" s="172">
        <f ca="1">IF(OR($D71&lt;&gt;"Serviço",AND(AUTOEVENTO="Manual",$M71=$A$15)),0,
         IF(OFFSET(CRONOPLE!$F$15,$M71-$A$15,AO$13)="",10^12,OFFSET(CRONOPLE!$F$15,$M71-$A$15,AO$13)))</f>
        <v>1000000000000</v>
      </c>
      <c r="AP71" s="172">
        <f ca="1">IF(OR($D71&lt;&gt;"Serviço",AND(AUTOEVENTO="Manual",$M71=$A$15)),0,
         IF(OFFSET(CRONOPLE!$F$15,$M71-$A$15,AP$13)="",10^12,OFFSET(CRONOPLE!$F$15,$M71-$A$15,AP$13)))</f>
        <v>1000000000000</v>
      </c>
      <c r="AQ71" s="172">
        <f ca="1">IF(OR($D71&lt;&gt;"Serviço",AND(AUTOEVENTO="Manual",$M71=$A$15)),0,
         IF(OFFSET(CRONOPLE!$F$15,$M71-$A$15,AQ$13)="",10^12,OFFSET(CRONOPLE!$F$15,$M71-$A$15,AQ$13)))</f>
        <v>1000000000000</v>
      </c>
      <c r="AR71" s="172">
        <f ca="1">IF(OR($D71&lt;&gt;"Serviço",AND(AUTOEVENTO="Manual",$M71=$A$15)),0,
         IF(OFFSET(CRONOPLE!$F$15,$M71-$A$15,AR$13)="",10^12,OFFSET(CRONOPLE!$F$15,$M71-$A$15,AR$13)))</f>
        <v>1000000000000</v>
      </c>
      <c r="AS71" s="172">
        <f ca="1">IF(OR($D71&lt;&gt;"Serviço",AND(AUTOEVENTO="Manual",$M71=$A$15)),0,
         IF(OFFSET(CRONOPLE!$F$15,$M71-$A$15,AS$13)="",10^12,OFFSET(CRONOPLE!$F$15,$M71-$A$15,AS$13)))</f>
        <v>1000000000000</v>
      </c>
      <c r="AT71" s="172">
        <f ca="1">IF(OR($D71&lt;&gt;"Serviço",AND(AUTOEVENTO="Manual",$M71=$A$15)),0,
         IF(OFFSET(CRONOPLE!$F$15,$M71-$A$15,AT$13)="",10^12,OFFSET(CRONOPLE!$F$15,$M71-$A$15,AT$13)))</f>
        <v>1000000000000</v>
      </c>
      <c r="AU71" s="172">
        <f ca="1">IF(OR($D71&lt;&gt;"Serviço",AND(AUTOEVENTO="Manual",$M71=$A$15)),0,
         IF(OFFSET(CRONOPLE!$F$15,$M71-$A$15,AU$13)="",10^12,OFFSET(CRONOPLE!$F$15,$M71-$A$15,AU$13)))</f>
        <v>1000000000000</v>
      </c>
      <c r="AV71" s="172">
        <f ca="1">IF(OR($D71&lt;&gt;"Serviço",AND(AUTOEVENTO="Manual",$M71=$A$15)),0,
         IF(OFFSET(CRONOPLE!$F$15,$M71-$A$15,AV$13)="",10^12,OFFSET(CRONOPLE!$F$15,$M71-$A$15,AV$13)))</f>
        <v>1000000000000</v>
      </c>
      <c r="AX71" s="173">
        <f ca="1">IF(OR($D71&lt;&gt;"Serviço",AND(AUTOEVENTO="Manual",$M71=$A$15),$M71&gt;(ROW(PLE.lastrow)-ROW(PLE.firstrow))),0,
           IF(OFFSET(PLE!$G$15,$M71-$A$15,AX$13)="",10^12,OFFSET(PLE!$G$15,$M71-$A$15,AX$13)))</f>
        <v>1000000000000</v>
      </c>
      <c r="AY71" s="173">
        <f ca="1">IF(OR($D71&lt;&gt;"Serviço",AND(AUTOEVENTO="Manual",$M71=$A$15),$M71&gt;(ROW(PLE.lastrow)-ROW(PLE.firstrow))),0,
           IF(OFFSET(PLE!$G$15,$M71-$A$15,AY$13)="",10^12,OFFSET(PLE!$G$15,$M71-$A$15,AY$13)))</f>
        <v>1000000000000</v>
      </c>
      <c r="AZ71" s="173">
        <f ca="1">IF(OR($D71&lt;&gt;"Serviço",AND(AUTOEVENTO="Manual",$M71=$A$15),$M71&gt;(ROW(PLE.lastrow)-ROW(PLE.firstrow))),0,
           IF(OFFSET(PLE!$G$15,$M71-$A$15,AZ$13)="",10^12,OFFSET(PLE!$G$15,$M71-$A$15,AZ$13)))</f>
        <v>1000000000000</v>
      </c>
      <c r="BA71" s="173">
        <f ca="1">IF(OR($D71&lt;&gt;"Serviço",AND(AUTOEVENTO="Manual",$M71=$A$15),$M71&gt;(ROW(PLE.lastrow)-ROW(PLE.firstrow))),0,
           IF(OFFSET(PLE!$G$15,$M71-$A$15,BA$13)="",10^12,OFFSET(PLE!$G$15,$M71-$A$15,BA$13)))</f>
        <v>1000000000000</v>
      </c>
      <c r="BB71" s="173">
        <f ca="1">IF(OR($D71&lt;&gt;"Serviço",AND(AUTOEVENTO="Manual",$M71=$A$15),$M71&gt;(ROW(PLE.lastrow)-ROW(PLE.firstrow))),0,
           IF(OFFSET(PLE!$G$15,$M71-$A$15,BB$13)="",10^12,OFFSET(PLE!$G$15,$M71-$A$15,BB$13)))</f>
        <v>1000000000000</v>
      </c>
      <c r="BC71" s="173">
        <f ca="1">IF(OR($D71&lt;&gt;"Serviço",AND(AUTOEVENTO="Manual",$M71=$A$15),$M71&gt;(ROW(PLE.lastrow)-ROW(PLE.firstrow))),0,
           IF(OFFSET(PLE!$G$15,$M71-$A$15,BC$13)="",10^12,OFFSET(PLE!$G$15,$M71-$A$15,BC$13)))</f>
        <v>1000000000000</v>
      </c>
      <c r="BD71" s="173">
        <f ca="1">IF(OR($D71&lt;&gt;"Serviço",AND(AUTOEVENTO="Manual",$M71=$A$15),$M71&gt;(ROW(PLE.lastrow)-ROW(PLE.firstrow))),0,
           IF(OFFSET(PLE!$G$15,$M71-$A$15,BD$13)="",10^12,OFFSET(PLE!$G$15,$M71-$A$15,BD$13)))</f>
        <v>1000000000000</v>
      </c>
      <c r="BE71" s="173">
        <f ca="1">IF(OR($D71&lt;&gt;"Serviço",AND(AUTOEVENTO="Manual",$M71=$A$15),$M71&gt;(ROW(PLE.lastrow)-ROW(PLE.firstrow))),0,
           IF(OFFSET(PLE!$G$15,$M71-$A$15,BE$13)="",10^12,OFFSET(PLE!$G$15,$M71-$A$15,BE$13)))</f>
        <v>1000000000000</v>
      </c>
      <c r="BF71" s="173">
        <f ca="1">IF(OR($D71&lt;&gt;"Serviço",AND(AUTOEVENTO="Manual",$M71=$A$15),$M71&gt;(ROW(PLE.lastrow)-ROW(PLE.firstrow))),0,
           IF(OFFSET(PLE!$G$15,$M71-$A$15,BF$13)="",10^12,OFFSET(PLE!$G$15,$M71-$A$15,BF$13)))</f>
        <v>1000000000000</v>
      </c>
      <c r="BG71" s="173">
        <f ca="1">IF(OR($D71&lt;&gt;"Serviço",AND(AUTOEVENTO="Manual",$M71=$A$15),$M71&gt;(ROW(PLE.lastrow)-ROW(PLE.firstrow))),0,
           IF(OFFSET(PLE!$G$15,$M71-$A$15,BG$13)="",10^12,OFFSET(PLE!$G$15,$M71-$A$15,BG$13)))</f>
        <v>1000000000000</v>
      </c>
    </row>
    <row r="72" spans="1:59" ht="25.5" x14ac:dyDescent="0.2">
      <c r="A72" s="7" t="str">
        <f t="shared" ca="1" si="8"/>
        <v>39</v>
      </c>
      <c r="B72" s="7" t="str">
        <f ca="1">OFFSET(ORÇAMENTO!C$15,ROW(B72)-ROW(B$15),0)</f>
        <v>S</v>
      </c>
      <c r="C72" s="7" t="str">
        <f ca="1">OFFSET(ORÇAMENTO!L$15,ROW(C72)-ROW(C$15),0)</f>
        <v/>
      </c>
      <c r="D72" s="117" t="str">
        <f ca="1">OFFSET(ORÇAMENTO!N$15,ROW(D72)-ROW(D$15),0)</f>
        <v>Serviço</v>
      </c>
      <c r="E72" s="118" t="str">
        <f ca="1">OFFSET(ORÇAMENTO!O$15,ROW(E72)-ROW(E$15),0)</f>
        <v>-</v>
      </c>
      <c r="F72" s="164" t="str">
        <f ca="1">OFFSET(ORÇAMENTO!R$15,ROW(F72)-ROW(F$15),0)</f>
        <v>DISJUNTOR TRIPOLAR TIPO DIN, CORRENTE NOMINAL DE 16A - FORNECIMENTO E INSTALAÇÃO. AF_10/2020</v>
      </c>
      <c r="G72" s="165" t="str">
        <f ca="1">IF($D72&lt;&gt;"Serviço","",OFFSET(ORÇAMENTO!S$15,ROW(G72)-ROW(G$15),0))</f>
        <v>UN</v>
      </c>
      <c r="H72" s="123">
        <f ca="1">IF($D72&lt;&gt;"Serviço",0,IF(ACOMPANHAMENTO="BM",ROUND(OFFSET(ORÇAMENTO!AJ$15,ROW(H72)-ROW(H$15),0),15-13*ORÇAMENTO!$AF$7),SUMPRODUCT(($Q$1:$AA$1=1)*ROUND($Q72:$AA72,15-13*ORÇAMENTO!$AF$7))))</f>
        <v>1</v>
      </c>
      <c r="I72" s="469"/>
      <c r="J72" s="577" t="str" cm="1">
        <f t="array" aca="1" ref="J72" ca="1">IF(B72&lt;&gt;"S","",IF(AND(ACOMPANHAMENTO="PLE",AUTOEVENTO="Manual",OR(H72&gt;0,ORÇAMENTO!AC72="QUANT."),OR(K72="",M72=0,N72="")),"►",IF(AND(ACOMPANHAMENTO="PLE",ORÇAMENTO!AC72="QUANT."),"►►",IF(AND(COUNTIF($P$11:$AA$11,"▼")=0,H72&gt;0,I72=""),"◄",""))))</f>
        <v>◄</v>
      </c>
      <c r="K72" s="626"/>
      <c r="L72" s="166" t="s">
        <v>765</v>
      </c>
      <c r="M72" s="167">
        <f ca="1">IF($D72&lt;&gt;"Serviço","",
          IF(AUTOEVENTO="manual",$A72,
                IF(ISERROR(MATCH($A72,$A$15:OFFSET($A72,-1,0),0)),MAX($M$15:OFFSET(M72,-1,0))+1,
                      INDEX($M$15:OFFSET(M72,-1,0),MATCH($A72,$A$15:OFFSET($A72,-1,0),0)))))</f>
        <v>9</v>
      </c>
      <c r="N72" s="168" t="str">
        <f ca="1">IF($D72&lt;&gt;"Serviço","",
         IF(AUTOEVENTO="Manual",
                IF($A72=0,"&lt;-- defina o número do agrupador",
                       OFFSET(EVENTOS!$D$15,$A72-$A$15,0)),
                OFFSET($F$15,$A72,0)))</f>
        <v>INSTALAÇÕES ELÉTRICAS</v>
      </c>
      <c r="O72" s="169"/>
      <c r="Q72" s="169"/>
      <c r="R72" s="170"/>
      <c r="S72" s="170"/>
      <c r="T72" s="170"/>
      <c r="U72" s="170"/>
      <c r="V72" s="170"/>
      <c r="W72" s="170"/>
      <c r="X72" s="170"/>
      <c r="Y72" s="170"/>
      <c r="Z72" s="171"/>
      <c r="AB72" s="454">
        <f ca="1">IF(AND($D72="Serviço",AB$12&lt;&gt;0,$H72&gt;0,OR(AUTOEVENTO&lt;&gt;"manual",$M72&lt;&gt;$A$15)),
        IF(Import.TipoArredondamento&lt;&gt;"TransfereGOV",
              ROUND(OFFSET($P72,0,AB$13),15-13*ORÇAMENTO!$AF$7)/$H72*OFFSET(ORÇAMENTO!$X$15,ROW(AB72)-ROW(AB$15),0),
              ROUND(ROUND(OFFSET($P72,0,AB$13),15-13*ORÇAMENTO!$AF$7)*OFFSET(ORÇAMENTO!$W$15,ROW(AB72)-ROW(AB$15),0),15-13*ORÇAMENTO!$AF$11)),
         0)</f>
        <v>0</v>
      </c>
      <c r="AC72" s="454">
        <f ca="1">IF(AND($D72="Serviço",AC$12&lt;&gt;0,$H72&gt;0,OR(AUTOEVENTO&lt;&gt;"manual",$M72&lt;&gt;$A$15)),
        IF(Import.TipoArredondamento&lt;&gt;"TransfereGOV",
              ROUND(OFFSET($P72,0,AC$13),15-13*ORÇAMENTO!$AF$7)/$H72*OFFSET(ORÇAMENTO!$X$15,ROW(AC72)-ROW(AC$15),0),
              ROUND(ROUND(OFFSET($P72,0,AC$13),15-13*ORÇAMENTO!$AF$7)*OFFSET(ORÇAMENTO!$W$15,ROW(AC72)-ROW(AC$15),0),15-13*ORÇAMENTO!$AF$11)),
         0)</f>
        <v>0</v>
      </c>
      <c r="AD72" s="454">
        <f ca="1">IF(AND($D72="Serviço",AD$12&lt;&gt;0,$H72&gt;0,OR(AUTOEVENTO&lt;&gt;"manual",$M72&lt;&gt;$A$15)),
        IF(Import.TipoArredondamento&lt;&gt;"TransfereGOV",
              ROUND(OFFSET($P72,0,AD$13),15-13*ORÇAMENTO!$AF$7)/$H72*OFFSET(ORÇAMENTO!$X$15,ROW(AD72)-ROW(AD$15),0),
              ROUND(ROUND(OFFSET($P72,0,AD$13),15-13*ORÇAMENTO!$AF$7)*OFFSET(ORÇAMENTO!$W$15,ROW(AD72)-ROW(AD$15),0),15-13*ORÇAMENTO!$AF$11)),
         0)</f>
        <v>0</v>
      </c>
      <c r="AE72" s="454">
        <f ca="1">IF(AND($D72="Serviço",AE$12&lt;&gt;0,$H72&gt;0,OR(AUTOEVENTO&lt;&gt;"manual",$M72&lt;&gt;$A$15)),
        IF(Import.TipoArredondamento&lt;&gt;"TransfereGOV",
              ROUND(OFFSET($P72,0,AE$13),15-13*ORÇAMENTO!$AF$7)/$H72*OFFSET(ORÇAMENTO!$X$15,ROW(AE72)-ROW(AE$15),0),
              ROUND(ROUND(OFFSET($P72,0,AE$13),15-13*ORÇAMENTO!$AF$7)*OFFSET(ORÇAMENTO!$W$15,ROW(AE72)-ROW(AE$15),0),15-13*ORÇAMENTO!$AF$11)),
         0)</f>
        <v>0</v>
      </c>
      <c r="AF72" s="454">
        <f ca="1">IF(AND($D72="Serviço",AF$12&lt;&gt;0,$H72&gt;0,OR(AUTOEVENTO&lt;&gt;"manual",$M72&lt;&gt;$A$15)),
        IF(Import.TipoArredondamento&lt;&gt;"TransfereGOV",
              ROUND(OFFSET($P72,0,AF$13),15-13*ORÇAMENTO!$AF$7)/$H72*OFFSET(ORÇAMENTO!$X$15,ROW(AF72)-ROW(AF$15),0),
              ROUND(ROUND(OFFSET($P72,0,AF$13),15-13*ORÇAMENTO!$AF$7)*OFFSET(ORÇAMENTO!$W$15,ROW(AF72)-ROW(AF$15),0),15-13*ORÇAMENTO!$AF$11)),
         0)</f>
        <v>0</v>
      </c>
      <c r="AG72" s="454">
        <f ca="1">IF(AND($D72="Serviço",AG$12&lt;&gt;0,$H72&gt;0,OR(AUTOEVENTO&lt;&gt;"manual",$M72&lt;&gt;$A$15)),
        IF(Import.TipoArredondamento&lt;&gt;"TransfereGOV",
              ROUND(OFFSET($P72,0,AG$13),15-13*ORÇAMENTO!$AF$7)/$H72*OFFSET(ORÇAMENTO!$X$15,ROW(AG72)-ROW(AG$15),0),
              ROUND(ROUND(OFFSET($P72,0,AG$13),15-13*ORÇAMENTO!$AF$7)*OFFSET(ORÇAMENTO!$W$15,ROW(AG72)-ROW(AG$15),0),15-13*ORÇAMENTO!$AF$11)),
         0)</f>
        <v>0</v>
      </c>
      <c r="AH72" s="454">
        <f ca="1">IF(AND($D72="Serviço",AH$12&lt;&gt;0,$H72&gt;0,OR(AUTOEVENTO&lt;&gt;"manual",$M72&lt;&gt;$A$15)),
        IF(Import.TipoArredondamento&lt;&gt;"TransfereGOV",
              ROUND(OFFSET($P72,0,AH$13),15-13*ORÇAMENTO!$AF$7)/$H72*OFFSET(ORÇAMENTO!$X$15,ROW(AH72)-ROW(AH$15),0),
              ROUND(ROUND(OFFSET($P72,0,AH$13),15-13*ORÇAMENTO!$AF$7)*OFFSET(ORÇAMENTO!$W$15,ROW(AH72)-ROW(AH$15),0),15-13*ORÇAMENTO!$AF$11)),
         0)</f>
        <v>0</v>
      </c>
      <c r="AI72" s="454">
        <f ca="1">IF(AND($D72="Serviço",AI$12&lt;&gt;0,$H72&gt;0,OR(AUTOEVENTO&lt;&gt;"manual",$M72&lt;&gt;$A$15)),
        IF(Import.TipoArredondamento&lt;&gt;"TransfereGOV",
              ROUND(OFFSET($P72,0,AI$13),15-13*ORÇAMENTO!$AF$7)/$H72*OFFSET(ORÇAMENTO!$X$15,ROW(AI72)-ROW(AI$15),0),
              ROUND(ROUND(OFFSET($P72,0,AI$13),15-13*ORÇAMENTO!$AF$7)*OFFSET(ORÇAMENTO!$W$15,ROW(AI72)-ROW(AI$15),0),15-13*ORÇAMENTO!$AF$11)),
         0)</f>
        <v>0</v>
      </c>
      <c r="AJ72" s="454">
        <f ca="1">IF(AND($D72="Serviço",AJ$12&lt;&gt;0,$H72&gt;0,OR(AUTOEVENTO&lt;&gt;"manual",$M72&lt;&gt;$A$15)),
        IF(Import.TipoArredondamento&lt;&gt;"TransfereGOV",
              ROUND(OFFSET($P72,0,AJ$13),15-13*ORÇAMENTO!$AF$7)/$H72*OFFSET(ORÇAMENTO!$X$15,ROW(AJ72)-ROW(AJ$15),0),
              ROUND(ROUND(OFFSET($P72,0,AJ$13),15-13*ORÇAMENTO!$AF$7)*OFFSET(ORÇAMENTO!$W$15,ROW(AJ72)-ROW(AJ$15),0),15-13*ORÇAMENTO!$AF$11)),
         0)</f>
        <v>0</v>
      </c>
      <c r="AK72" s="454">
        <f ca="1">IF(AND($D72="Serviço",AK$12&lt;&gt;0,$H72&gt;0,OR(AUTOEVENTO&lt;&gt;"manual",$M72&lt;&gt;$A$15)),
        IF(Import.TipoArredondamento&lt;&gt;"TransfereGOV",
              ROUND(OFFSET($P72,0,AK$13),15-13*ORÇAMENTO!$AF$7)/$H72*OFFSET(ORÇAMENTO!$X$15,ROW(AK72)-ROW(AK$15),0),
              ROUND(ROUND(OFFSET($P72,0,AK$13),15-13*ORÇAMENTO!$AF$7)*OFFSET(ORÇAMENTO!$W$15,ROW(AK72)-ROW(AK$15),0),15-13*ORÇAMENTO!$AF$11)),
         0)</f>
        <v>0</v>
      </c>
      <c r="AM72" s="172">
        <f ca="1">IF(OR($D72&lt;&gt;"Serviço",AND(AUTOEVENTO="Manual",$M72=$A$15)),0,
         IF(OFFSET(CRONOPLE!$F$15,$M72-$A$15,AM$13)="",10^12,OFFSET(CRONOPLE!$F$15,$M72-$A$15,AM$13)))</f>
        <v>1000000000000</v>
      </c>
      <c r="AN72" s="172">
        <f ca="1">IF(OR($D72&lt;&gt;"Serviço",AND(AUTOEVENTO="Manual",$M72=$A$15)),0,
         IF(OFFSET(CRONOPLE!$F$15,$M72-$A$15,AN$13)="",10^12,OFFSET(CRONOPLE!$F$15,$M72-$A$15,AN$13)))</f>
        <v>1000000000000</v>
      </c>
      <c r="AO72" s="172">
        <f ca="1">IF(OR($D72&lt;&gt;"Serviço",AND(AUTOEVENTO="Manual",$M72=$A$15)),0,
         IF(OFFSET(CRONOPLE!$F$15,$M72-$A$15,AO$13)="",10^12,OFFSET(CRONOPLE!$F$15,$M72-$A$15,AO$13)))</f>
        <v>1000000000000</v>
      </c>
      <c r="AP72" s="172">
        <f ca="1">IF(OR($D72&lt;&gt;"Serviço",AND(AUTOEVENTO="Manual",$M72=$A$15)),0,
         IF(OFFSET(CRONOPLE!$F$15,$M72-$A$15,AP$13)="",10^12,OFFSET(CRONOPLE!$F$15,$M72-$A$15,AP$13)))</f>
        <v>1000000000000</v>
      </c>
      <c r="AQ72" s="172">
        <f ca="1">IF(OR($D72&lt;&gt;"Serviço",AND(AUTOEVENTO="Manual",$M72=$A$15)),0,
         IF(OFFSET(CRONOPLE!$F$15,$M72-$A$15,AQ$13)="",10^12,OFFSET(CRONOPLE!$F$15,$M72-$A$15,AQ$13)))</f>
        <v>1000000000000</v>
      </c>
      <c r="AR72" s="172">
        <f ca="1">IF(OR($D72&lt;&gt;"Serviço",AND(AUTOEVENTO="Manual",$M72=$A$15)),0,
         IF(OFFSET(CRONOPLE!$F$15,$M72-$A$15,AR$13)="",10^12,OFFSET(CRONOPLE!$F$15,$M72-$A$15,AR$13)))</f>
        <v>1000000000000</v>
      </c>
      <c r="AS72" s="172">
        <f ca="1">IF(OR($D72&lt;&gt;"Serviço",AND(AUTOEVENTO="Manual",$M72=$A$15)),0,
         IF(OFFSET(CRONOPLE!$F$15,$M72-$A$15,AS$13)="",10^12,OFFSET(CRONOPLE!$F$15,$M72-$A$15,AS$13)))</f>
        <v>1000000000000</v>
      </c>
      <c r="AT72" s="172">
        <f ca="1">IF(OR($D72&lt;&gt;"Serviço",AND(AUTOEVENTO="Manual",$M72=$A$15)),0,
         IF(OFFSET(CRONOPLE!$F$15,$M72-$A$15,AT$13)="",10^12,OFFSET(CRONOPLE!$F$15,$M72-$A$15,AT$13)))</f>
        <v>1000000000000</v>
      </c>
      <c r="AU72" s="172">
        <f ca="1">IF(OR($D72&lt;&gt;"Serviço",AND(AUTOEVENTO="Manual",$M72=$A$15)),0,
         IF(OFFSET(CRONOPLE!$F$15,$M72-$A$15,AU$13)="",10^12,OFFSET(CRONOPLE!$F$15,$M72-$A$15,AU$13)))</f>
        <v>1000000000000</v>
      </c>
      <c r="AV72" s="172">
        <f ca="1">IF(OR($D72&lt;&gt;"Serviço",AND(AUTOEVENTO="Manual",$M72=$A$15)),0,
         IF(OFFSET(CRONOPLE!$F$15,$M72-$A$15,AV$13)="",10^12,OFFSET(CRONOPLE!$F$15,$M72-$A$15,AV$13)))</f>
        <v>1000000000000</v>
      </c>
      <c r="AX72" s="173">
        <f ca="1">IF(OR($D72&lt;&gt;"Serviço",AND(AUTOEVENTO="Manual",$M72=$A$15),$M72&gt;(ROW(PLE.lastrow)-ROW(PLE.firstrow))),0,
           IF(OFFSET(PLE!$G$15,$M72-$A$15,AX$13)="",10^12,OFFSET(PLE!$G$15,$M72-$A$15,AX$13)))</f>
        <v>1000000000000</v>
      </c>
      <c r="AY72" s="173">
        <f ca="1">IF(OR($D72&lt;&gt;"Serviço",AND(AUTOEVENTO="Manual",$M72=$A$15),$M72&gt;(ROW(PLE.lastrow)-ROW(PLE.firstrow))),0,
           IF(OFFSET(PLE!$G$15,$M72-$A$15,AY$13)="",10^12,OFFSET(PLE!$G$15,$M72-$A$15,AY$13)))</f>
        <v>1000000000000</v>
      </c>
      <c r="AZ72" s="173">
        <f ca="1">IF(OR($D72&lt;&gt;"Serviço",AND(AUTOEVENTO="Manual",$M72=$A$15),$M72&gt;(ROW(PLE.lastrow)-ROW(PLE.firstrow))),0,
           IF(OFFSET(PLE!$G$15,$M72-$A$15,AZ$13)="",10^12,OFFSET(PLE!$G$15,$M72-$A$15,AZ$13)))</f>
        <v>1000000000000</v>
      </c>
      <c r="BA72" s="173">
        <f ca="1">IF(OR($D72&lt;&gt;"Serviço",AND(AUTOEVENTO="Manual",$M72=$A$15),$M72&gt;(ROW(PLE.lastrow)-ROW(PLE.firstrow))),0,
           IF(OFFSET(PLE!$G$15,$M72-$A$15,BA$13)="",10^12,OFFSET(PLE!$G$15,$M72-$A$15,BA$13)))</f>
        <v>1000000000000</v>
      </c>
      <c r="BB72" s="173">
        <f ca="1">IF(OR($D72&lt;&gt;"Serviço",AND(AUTOEVENTO="Manual",$M72=$A$15),$M72&gt;(ROW(PLE.lastrow)-ROW(PLE.firstrow))),0,
           IF(OFFSET(PLE!$G$15,$M72-$A$15,BB$13)="",10^12,OFFSET(PLE!$G$15,$M72-$A$15,BB$13)))</f>
        <v>1000000000000</v>
      </c>
      <c r="BC72" s="173">
        <f ca="1">IF(OR($D72&lt;&gt;"Serviço",AND(AUTOEVENTO="Manual",$M72=$A$15),$M72&gt;(ROW(PLE.lastrow)-ROW(PLE.firstrow))),0,
           IF(OFFSET(PLE!$G$15,$M72-$A$15,BC$13)="",10^12,OFFSET(PLE!$G$15,$M72-$A$15,BC$13)))</f>
        <v>1000000000000</v>
      </c>
      <c r="BD72" s="173">
        <f ca="1">IF(OR($D72&lt;&gt;"Serviço",AND(AUTOEVENTO="Manual",$M72=$A$15),$M72&gt;(ROW(PLE.lastrow)-ROW(PLE.firstrow))),0,
           IF(OFFSET(PLE!$G$15,$M72-$A$15,BD$13)="",10^12,OFFSET(PLE!$G$15,$M72-$A$15,BD$13)))</f>
        <v>1000000000000</v>
      </c>
      <c r="BE72" s="173">
        <f ca="1">IF(OR($D72&lt;&gt;"Serviço",AND(AUTOEVENTO="Manual",$M72=$A$15),$M72&gt;(ROW(PLE.lastrow)-ROW(PLE.firstrow))),0,
           IF(OFFSET(PLE!$G$15,$M72-$A$15,BE$13)="",10^12,OFFSET(PLE!$G$15,$M72-$A$15,BE$13)))</f>
        <v>1000000000000</v>
      </c>
      <c r="BF72" s="173">
        <f ca="1">IF(OR($D72&lt;&gt;"Serviço",AND(AUTOEVENTO="Manual",$M72=$A$15),$M72&gt;(ROW(PLE.lastrow)-ROW(PLE.firstrow))),0,
           IF(OFFSET(PLE!$G$15,$M72-$A$15,BF$13)="",10^12,OFFSET(PLE!$G$15,$M72-$A$15,BF$13)))</f>
        <v>1000000000000</v>
      </c>
      <c r="BG72" s="173">
        <f ca="1">IF(OR($D72&lt;&gt;"Serviço",AND(AUTOEVENTO="Manual",$M72=$A$15),$M72&gt;(ROW(PLE.lastrow)-ROW(PLE.firstrow))),0,
           IF(OFFSET(PLE!$G$15,$M72-$A$15,BG$13)="",10^12,OFFSET(PLE!$G$15,$M72-$A$15,BG$13)))</f>
        <v>1000000000000</v>
      </c>
    </row>
    <row r="73" spans="1:59" ht="25.5" x14ac:dyDescent="0.2">
      <c r="A73" s="7" t="str">
        <f t="shared" ca="1" si="8"/>
        <v>39</v>
      </c>
      <c r="B73" s="7" t="str">
        <f ca="1">OFFSET(ORÇAMENTO!C$15,ROW(B73)-ROW(B$15),0)</f>
        <v>S</v>
      </c>
      <c r="C73" s="7" t="str">
        <f ca="1">OFFSET(ORÇAMENTO!L$15,ROW(C73)-ROW(C$15),0)</f>
        <v/>
      </c>
      <c r="D73" s="117" t="str">
        <f ca="1">OFFSET(ORÇAMENTO!N$15,ROW(D73)-ROW(D$15),0)</f>
        <v>Serviço</v>
      </c>
      <c r="E73" s="118" t="str">
        <f ca="1">OFFSET(ORÇAMENTO!O$15,ROW(E73)-ROW(E$15),0)</f>
        <v>-</v>
      </c>
      <c r="F73" s="164" t="str">
        <f ca="1">OFFSET(ORÇAMENTO!R$15,ROW(F73)-ROW(F$15),0)</f>
        <v>DISJUNTOR TRIPOLAR TIPO DIN, CORRENTE NOMINAL DE 50A - FORNECIMENTO E INSTALAÇÃO. AF_10/2020</v>
      </c>
      <c r="G73" s="165" t="str">
        <f ca="1">IF($D73&lt;&gt;"Serviço","",OFFSET(ORÇAMENTO!S$15,ROW(G73)-ROW(G$15),0))</f>
        <v>UN</v>
      </c>
      <c r="H73" s="123">
        <f ca="1">IF($D73&lt;&gt;"Serviço",0,IF(ACOMPANHAMENTO="BM",ROUND(OFFSET(ORÇAMENTO!AJ$15,ROW(H73)-ROW(H$15),0),15-13*ORÇAMENTO!$AF$7),SUMPRODUCT(($Q$1:$AA$1=1)*ROUND($Q73:$AA73,15-13*ORÇAMENTO!$AF$7))))</f>
        <v>3</v>
      </c>
      <c r="I73" s="469"/>
      <c r="J73" s="577" t="str" cm="1">
        <f t="array" aca="1" ref="J73" ca="1">IF(B73&lt;&gt;"S","",IF(AND(ACOMPANHAMENTO="PLE",AUTOEVENTO="Manual",OR(H73&gt;0,ORÇAMENTO!AC73="QUANT."),OR(K73="",M73=0,N73="")),"►",IF(AND(ACOMPANHAMENTO="PLE",ORÇAMENTO!AC73="QUANT."),"►►",IF(AND(COUNTIF($P$11:$AA$11,"▼")=0,H73&gt;0,I73=""),"◄",""))))</f>
        <v>◄</v>
      </c>
      <c r="K73" s="626"/>
      <c r="L73" s="166" t="s">
        <v>765</v>
      </c>
      <c r="M73" s="167">
        <f ca="1">IF($D73&lt;&gt;"Serviço","",
          IF(AUTOEVENTO="manual",$A73,
                IF(ISERROR(MATCH($A73,$A$15:OFFSET($A73,-1,0),0)),MAX($M$15:OFFSET(M73,-1,0))+1,
                      INDEX($M$15:OFFSET(M73,-1,0),MATCH($A73,$A$15:OFFSET($A73,-1,0),0)))))</f>
        <v>9</v>
      </c>
      <c r="N73" s="168" t="str">
        <f ca="1">IF($D73&lt;&gt;"Serviço","",
         IF(AUTOEVENTO="Manual",
                IF($A73=0,"&lt;-- defina o número do agrupador",
                       OFFSET(EVENTOS!$D$15,$A73-$A$15,0)),
                OFFSET($F$15,$A73,0)))</f>
        <v>INSTALAÇÕES ELÉTRICAS</v>
      </c>
      <c r="O73" s="169"/>
      <c r="Q73" s="169"/>
      <c r="R73" s="170"/>
      <c r="S73" s="170"/>
      <c r="T73" s="170"/>
      <c r="U73" s="170"/>
      <c r="V73" s="170"/>
      <c r="W73" s="170"/>
      <c r="X73" s="170"/>
      <c r="Y73" s="170"/>
      <c r="Z73" s="171"/>
      <c r="AB73" s="454">
        <f ca="1">IF(AND($D73="Serviço",AB$12&lt;&gt;0,$H73&gt;0,OR(AUTOEVENTO&lt;&gt;"manual",$M73&lt;&gt;$A$15)),
        IF(Import.TipoArredondamento&lt;&gt;"TransfereGOV",
              ROUND(OFFSET($P73,0,AB$13),15-13*ORÇAMENTO!$AF$7)/$H73*OFFSET(ORÇAMENTO!$X$15,ROW(AB73)-ROW(AB$15),0),
              ROUND(ROUND(OFFSET($P73,0,AB$13),15-13*ORÇAMENTO!$AF$7)*OFFSET(ORÇAMENTO!$W$15,ROW(AB73)-ROW(AB$15),0),15-13*ORÇAMENTO!$AF$11)),
         0)</f>
        <v>0</v>
      </c>
      <c r="AC73" s="454">
        <f ca="1">IF(AND($D73="Serviço",AC$12&lt;&gt;0,$H73&gt;0,OR(AUTOEVENTO&lt;&gt;"manual",$M73&lt;&gt;$A$15)),
        IF(Import.TipoArredondamento&lt;&gt;"TransfereGOV",
              ROUND(OFFSET($P73,0,AC$13),15-13*ORÇAMENTO!$AF$7)/$H73*OFFSET(ORÇAMENTO!$X$15,ROW(AC73)-ROW(AC$15),0),
              ROUND(ROUND(OFFSET($P73,0,AC$13),15-13*ORÇAMENTO!$AF$7)*OFFSET(ORÇAMENTO!$W$15,ROW(AC73)-ROW(AC$15),0),15-13*ORÇAMENTO!$AF$11)),
         0)</f>
        <v>0</v>
      </c>
      <c r="AD73" s="454">
        <f ca="1">IF(AND($D73="Serviço",AD$12&lt;&gt;0,$H73&gt;0,OR(AUTOEVENTO&lt;&gt;"manual",$M73&lt;&gt;$A$15)),
        IF(Import.TipoArredondamento&lt;&gt;"TransfereGOV",
              ROUND(OFFSET($P73,0,AD$13),15-13*ORÇAMENTO!$AF$7)/$H73*OFFSET(ORÇAMENTO!$X$15,ROW(AD73)-ROW(AD$15),0),
              ROUND(ROUND(OFFSET($P73,0,AD$13),15-13*ORÇAMENTO!$AF$7)*OFFSET(ORÇAMENTO!$W$15,ROW(AD73)-ROW(AD$15),0),15-13*ORÇAMENTO!$AF$11)),
         0)</f>
        <v>0</v>
      </c>
      <c r="AE73" s="454">
        <f ca="1">IF(AND($D73="Serviço",AE$12&lt;&gt;0,$H73&gt;0,OR(AUTOEVENTO&lt;&gt;"manual",$M73&lt;&gt;$A$15)),
        IF(Import.TipoArredondamento&lt;&gt;"TransfereGOV",
              ROUND(OFFSET($P73,0,AE$13),15-13*ORÇAMENTO!$AF$7)/$H73*OFFSET(ORÇAMENTO!$X$15,ROW(AE73)-ROW(AE$15),0),
              ROUND(ROUND(OFFSET($P73,0,AE$13),15-13*ORÇAMENTO!$AF$7)*OFFSET(ORÇAMENTO!$W$15,ROW(AE73)-ROW(AE$15),0),15-13*ORÇAMENTO!$AF$11)),
         0)</f>
        <v>0</v>
      </c>
      <c r="AF73" s="454">
        <f ca="1">IF(AND($D73="Serviço",AF$12&lt;&gt;0,$H73&gt;0,OR(AUTOEVENTO&lt;&gt;"manual",$M73&lt;&gt;$A$15)),
        IF(Import.TipoArredondamento&lt;&gt;"TransfereGOV",
              ROUND(OFFSET($P73,0,AF$13),15-13*ORÇAMENTO!$AF$7)/$H73*OFFSET(ORÇAMENTO!$X$15,ROW(AF73)-ROW(AF$15),0),
              ROUND(ROUND(OFFSET($P73,0,AF$13),15-13*ORÇAMENTO!$AF$7)*OFFSET(ORÇAMENTO!$W$15,ROW(AF73)-ROW(AF$15),0),15-13*ORÇAMENTO!$AF$11)),
         0)</f>
        <v>0</v>
      </c>
      <c r="AG73" s="454">
        <f ca="1">IF(AND($D73="Serviço",AG$12&lt;&gt;0,$H73&gt;0,OR(AUTOEVENTO&lt;&gt;"manual",$M73&lt;&gt;$A$15)),
        IF(Import.TipoArredondamento&lt;&gt;"TransfereGOV",
              ROUND(OFFSET($P73,0,AG$13),15-13*ORÇAMENTO!$AF$7)/$H73*OFFSET(ORÇAMENTO!$X$15,ROW(AG73)-ROW(AG$15),0),
              ROUND(ROUND(OFFSET($P73,0,AG$13),15-13*ORÇAMENTO!$AF$7)*OFFSET(ORÇAMENTO!$W$15,ROW(AG73)-ROW(AG$15),0),15-13*ORÇAMENTO!$AF$11)),
         0)</f>
        <v>0</v>
      </c>
      <c r="AH73" s="454">
        <f ca="1">IF(AND($D73="Serviço",AH$12&lt;&gt;0,$H73&gt;0,OR(AUTOEVENTO&lt;&gt;"manual",$M73&lt;&gt;$A$15)),
        IF(Import.TipoArredondamento&lt;&gt;"TransfereGOV",
              ROUND(OFFSET($P73,0,AH$13),15-13*ORÇAMENTO!$AF$7)/$H73*OFFSET(ORÇAMENTO!$X$15,ROW(AH73)-ROW(AH$15),0),
              ROUND(ROUND(OFFSET($P73,0,AH$13),15-13*ORÇAMENTO!$AF$7)*OFFSET(ORÇAMENTO!$W$15,ROW(AH73)-ROW(AH$15),0),15-13*ORÇAMENTO!$AF$11)),
         0)</f>
        <v>0</v>
      </c>
      <c r="AI73" s="454">
        <f ca="1">IF(AND($D73="Serviço",AI$12&lt;&gt;0,$H73&gt;0,OR(AUTOEVENTO&lt;&gt;"manual",$M73&lt;&gt;$A$15)),
        IF(Import.TipoArredondamento&lt;&gt;"TransfereGOV",
              ROUND(OFFSET($P73,0,AI$13),15-13*ORÇAMENTO!$AF$7)/$H73*OFFSET(ORÇAMENTO!$X$15,ROW(AI73)-ROW(AI$15),0),
              ROUND(ROUND(OFFSET($P73,0,AI$13),15-13*ORÇAMENTO!$AF$7)*OFFSET(ORÇAMENTO!$W$15,ROW(AI73)-ROW(AI$15),0),15-13*ORÇAMENTO!$AF$11)),
         0)</f>
        <v>0</v>
      </c>
      <c r="AJ73" s="454">
        <f ca="1">IF(AND($D73="Serviço",AJ$12&lt;&gt;0,$H73&gt;0,OR(AUTOEVENTO&lt;&gt;"manual",$M73&lt;&gt;$A$15)),
        IF(Import.TipoArredondamento&lt;&gt;"TransfereGOV",
              ROUND(OFFSET($P73,0,AJ$13),15-13*ORÇAMENTO!$AF$7)/$H73*OFFSET(ORÇAMENTO!$X$15,ROW(AJ73)-ROW(AJ$15),0),
              ROUND(ROUND(OFFSET($P73,0,AJ$13),15-13*ORÇAMENTO!$AF$7)*OFFSET(ORÇAMENTO!$W$15,ROW(AJ73)-ROW(AJ$15),0),15-13*ORÇAMENTO!$AF$11)),
         0)</f>
        <v>0</v>
      </c>
      <c r="AK73" s="454">
        <f ca="1">IF(AND($D73="Serviço",AK$12&lt;&gt;0,$H73&gt;0,OR(AUTOEVENTO&lt;&gt;"manual",$M73&lt;&gt;$A$15)),
        IF(Import.TipoArredondamento&lt;&gt;"TransfereGOV",
              ROUND(OFFSET($P73,0,AK$13),15-13*ORÇAMENTO!$AF$7)/$H73*OFFSET(ORÇAMENTO!$X$15,ROW(AK73)-ROW(AK$15),0),
              ROUND(ROUND(OFFSET($P73,0,AK$13),15-13*ORÇAMENTO!$AF$7)*OFFSET(ORÇAMENTO!$W$15,ROW(AK73)-ROW(AK$15),0),15-13*ORÇAMENTO!$AF$11)),
         0)</f>
        <v>0</v>
      </c>
      <c r="AM73" s="172">
        <f ca="1">IF(OR($D73&lt;&gt;"Serviço",AND(AUTOEVENTO="Manual",$M73=$A$15)),0,
         IF(OFFSET(CRONOPLE!$F$15,$M73-$A$15,AM$13)="",10^12,OFFSET(CRONOPLE!$F$15,$M73-$A$15,AM$13)))</f>
        <v>1000000000000</v>
      </c>
      <c r="AN73" s="172">
        <f ca="1">IF(OR($D73&lt;&gt;"Serviço",AND(AUTOEVENTO="Manual",$M73=$A$15)),0,
         IF(OFFSET(CRONOPLE!$F$15,$M73-$A$15,AN$13)="",10^12,OFFSET(CRONOPLE!$F$15,$M73-$A$15,AN$13)))</f>
        <v>1000000000000</v>
      </c>
      <c r="AO73" s="172">
        <f ca="1">IF(OR($D73&lt;&gt;"Serviço",AND(AUTOEVENTO="Manual",$M73=$A$15)),0,
         IF(OFFSET(CRONOPLE!$F$15,$M73-$A$15,AO$13)="",10^12,OFFSET(CRONOPLE!$F$15,$M73-$A$15,AO$13)))</f>
        <v>1000000000000</v>
      </c>
      <c r="AP73" s="172">
        <f ca="1">IF(OR($D73&lt;&gt;"Serviço",AND(AUTOEVENTO="Manual",$M73=$A$15)),0,
         IF(OFFSET(CRONOPLE!$F$15,$M73-$A$15,AP$13)="",10^12,OFFSET(CRONOPLE!$F$15,$M73-$A$15,AP$13)))</f>
        <v>1000000000000</v>
      </c>
      <c r="AQ73" s="172">
        <f ca="1">IF(OR($D73&lt;&gt;"Serviço",AND(AUTOEVENTO="Manual",$M73=$A$15)),0,
         IF(OFFSET(CRONOPLE!$F$15,$M73-$A$15,AQ$13)="",10^12,OFFSET(CRONOPLE!$F$15,$M73-$A$15,AQ$13)))</f>
        <v>1000000000000</v>
      </c>
      <c r="AR73" s="172">
        <f ca="1">IF(OR($D73&lt;&gt;"Serviço",AND(AUTOEVENTO="Manual",$M73=$A$15)),0,
         IF(OFFSET(CRONOPLE!$F$15,$M73-$A$15,AR$13)="",10^12,OFFSET(CRONOPLE!$F$15,$M73-$A$15,AR$13)))</f>
        <v>1000000000000</v>
      </c>
      <c r="AS73" s="172">
        <f ca="1">IF(OR($D73&lt;&gt;"Serviço",AND(AUTOEVENTO="Manual",$M73=$A$15)),0,
         IF(OFFSET(CRONOPLE!$F$15,$M73-$A$15,AS$13)="",10^12,OFFSET(CRONOPLE!$F$15,$M73-$A$15,AS$13)))</f>
        <v>1000000000000</v>
      </c>
      <c r="AT73" s="172">
        <f ca="1">IF(OR($D73&lt;&gt;"Serviço",AND(AUTOEVENTO="Manual",$M73=$A$15)),0,
         IF(OFFSET(CRONOPLE!$F$15,$M73-$A$15,AT$13)="",10^12,OFFSET(CRONOPLE!$F$15,$M73-$A$15,AT$13)))</f>
        <v>1000000000000</v>
      </c>
      <c r="AU73" s="172">
        <f ca="1">IF(OR($D73&lt;&gt;"Serviço",AND(AUTOEVENTO="Manual",$M73=$A$15)),0,
         IF(OFFSET(CRONOPLE!$F$15,$M73-$A$15,AU$13)="",10^12,OFFSET(CRONOPLE!$F$15,$M73-$A$15,AU$13)))</f>
        <v>1000000000000</v>
      </c>
      <c r="AV73" s="172">
        <f ca="1">IF(OR($D73&lt;&gt;"Serviço",AND(AUTOEVENTO="Manual",$M73=$A$15)),0,
         IF(OFFSET(CRONOPLE!$F$15,$M73-$A$15,AV$13)="",10^12,OFFSET(CRONOPLE!$F$15,$M73-$A$15,AV$13)))</f>
        <v>1000000000000</v>
      </c>
      <c r="AX73" s="173">
        <f ca="1">IF(OR($D73&lt;&gt;"Serviço",AND(AUTOEVENTO="Manual",$M73=$A$15),$M73&gt;(ROW(PLE.lastrow)-ROW(PLE.firstrow))),0,
           IF(OFFSET(PLE!$G$15,$M73-$A$15,AX$13)="",10^12,OFFSET(PLE!$G$15,$M73-$A$15,AX$13)))</f>
        <v>1000000000000</v>
      </c>
      <c r="AY73" s="173">
        <f ca="1">IF(OR($D73&lt;&gt;"Serviço",AND(AUTOEVENTO="Manual",$M73=$A$15),$M73&gt;(ROW(PLE.lastrow)-ROW(PLE.firstrow))),0,
           IF(OFFSET(PLE!$G$15,$M73-$A$15,AY$13)="",10^12,OFFSET(PLE!$G$15,$M73-$A$15,AY$13)))</f>
        <v>1000000000000</v>
      </c>
      <c r="AZ73" s="173">
        <f ca="1">IF(OR($D73&lt;&gt;"Serviço",AND(AUTOEVENTO="Manual",$M73=$A$15),$M73&gt;(ROW(PLE.lastrow)-ROW(PLE.firstrow))),0,
           IF(OFFSET(PLE!$G$15,$M73-$A$15,AZ$13)="",10^12,OFFSET(PLE!$G$15,$M73-$A$15,AZ$13)))</f>
        <v>1000000000000</v>
      </c>
      <c r="BA73" s="173">
        <f ca="1">IF(OR($D73&lt;&gt;"Serviço",AND(AUTOEVENTO="Manual",$M73=$A$15),$M73&gt;(ROW(PLE.lastrow)-ROW(PLE.firstrow))),0,
           IF(OFFSET(PLE!$G$15,$M73-$A$15,BA$13)="",10^12,OFFSET(PLE!$G$15,$M73-$A$15,BA$13)))</f>
        <v>1000000000000</v>
      </c>
      <c r="BB73" s="173">
        <f ca="1">IF(OR($D73&lt;&gt;"Serviço",AND(AUTOEVENTO="Manual",$M73=$A$15),$M73&gt;(ROW(PLE.lastrow)-ROW(PLE.firstrow))),0,
           IF(OFFSET(PLE!$G$15,$M73-$A$15,BB$13)="",10^12,OFFSET(PLE!$G$15,$M73-$A$15,BB$13)))</f>
        <v>1000000000000</v>
      </c>
      <c r="BC73" s="173">
        <f ca="1">IF(OR($D73&lt;&gt;"Serviço",AND(AUTOEVENTO="Manual",$M73=$A$15),$M73&gt;(ROW(PLE.lastrow)-ROW(PLE.firstrow))),0,
           IF(OFFSET(PLE!$G$15,$M73-$A$15,BC$13)="",10^12,OFFSET(PLE!$G$15,$M73-$A$15,BC$13)))</f>
        <v>1000000000000</v>
      </c>
      <c r="BD73" s="173">
        <f ca="1">IF(OR($D73&lt;&gt;"Serviço",AND(AUTOEVENTO="Manual",$M73=$A$15),$M73&gt;(ROW(PLE.lastrow)-ROW(PLE.firstrow))),0,
           IF(OFFSET(PLE!$G$15,$M73-$A$15,BD$13)="",10^12,OFFSET(PLE!$G$15,$M73-$A$15,BD$13)))</f>
        <v>1000000000000</v>
      </c>
      <c r="BE73" s="173">
        <f ca="1">IF(OR($D73&lt;&gt;"Serviço",AND(AUTOEVENTO="Manual",$M73=$A$15),$M73&gt;(ROW(PLE.lastrow)-ROW(PLE.firstrow))),0,
           IF(OFFSET(PLE!$G$15,$M73-$A$15,BE$13)="",10^12,OFFSET(PLE!$G$15,$M73-$A$15,BE$13)))</f>
        <v>1000000000000</v>
      </c>
      <c r="BF73" s="173">
        <f ca="1">IF(OR($D73&lt;&gt;"Serviço",AND(AUTOEVENTO="Manual",$M73=$A$15),$M73&gt;(ROW(PLE.lastrow)-ROW(PLE.firstrow))),0,
           IF(OFFSET(PLE!$G$15,$M73-$A$15,BF$13)="",10^12,OFFSET(PLE!$G$15,$M73-$A$15,BF$13)))</f>
        <v>1000000000000</v>
      </c>
      <c r="BG73" s="173">
        <f ca="1">IF(OR($D73&lt;&gt;"Serviço",AND(AUTOEVENTO="Manual",$M73=$A$15),$M73&gt;(ROW(PLE.lastrow)-ROW(PLE.firstrow))),0,
           IF(OFFSET(PLE!$G$15,$M73-$A$15,BG$13)="",10^12,OFFSET(PLE!$G$15,$M73-$A$15,BG$13)))</f>
        <v>1000000000000</v>
      </c>
    </row>
    <row r="74" spans="1:59" ht="25.5" x14ac:dyDescent="0.2">
      <c r="A74" s="7" t="str">
        <f t="shared" ca="1" si="8"/>
        <v>39</v>
      </c>
      <c r="B74" s="7" t="str">
        <f ca="1">OFFSET(ORÇAMENTO!C$15,ROW(B74)-ROW(B$15),0)</f>
        <v>S</v>
      </c>
      <c r="C74" s="7" t="str">
        <f ca="1">OFFSET(ORÇAMENTO!L$15,ROW(C74)-ROW(C$15),0)</f>
        <v/>
      </c>
      <c r="D74" s="117" t="str">
        <f ca="1">OFFSET(ORÇAMENTO!N$15,ROW(D74)-ROW(D$15),0)</f>
        <v>Serviço</v>
      </c>
      <c r="E74" s="118" t="str">
        <f ca="1">OFFSET(ORÇAMENTO!O$15,ROW(E74)-ROW(E$15),0)</f>
        <v>-</v>
      </c>
      <c r="F74" s="164" t="str">
        <f ca="1">OFFSET(ORÇAMENTO!R$15,ROW(F74)-ROW(F$15),0)</f>
        <v>DISJUNTOR MONOPOLAR TIPO DIN, CORRENTE NOMINAL DE 10A - FORNECIMENTO E INSTALAÇÃO. AF_10/2020</v>
      </c>
      <c r="G74" s="165" t="str">
        <f ca="1">IF($D74&lt;&gt;"Serviço","",OFFSET(ORÇAMENTO!S$15,ROW(G74)-ROW(G$15),0))</f>
        <v>UN</v>
      </c>
      <c r="H74" s="123">
        <f ca="1">IF($D74&lt;&gt;"Serviço",0,IF(ACOMPANHAMENTO="BM",ROUND(OFFSET(ORÇAMENTO!AJ$15,ROW(H74)-ROW(H$15),0),15-13*ORÇAMENTO!$AF$7),SUMPRODUCT(($Q$1:$AA$1=1)*ROUND($Q74:$AA74,15-13*ORÇAMENTO!$AF$7))))</f>
        <v>25</v>
      </c>
      <c r="I74" s="469"/>
      <c r="J74" s="577" t="str" cm="1">
        <f t="array" aca="1" ref="J74" ca="1">IF(B74&lt;&gt;"S","",IF(AND(ACOMPANHAMENTO="PLE",AUTOEVENTO="Manual",OR(H74&gt;0,ORÇAMENTO!AC74="QUANT."),OR(K74="",M74=0,N74="")),"►",IF(AND(ACOMPANHAMENTO="PLE",ORÇAMENTO!AC74="QUANT."),"►►",IF(AND(COUNTIF($P$11:$AA$11,"▼")=0,H74&gt;0,I74=""),"◄",""))))</f>
        <v>◄</v>
      </c>
      <c r="K74" s="626"/>
      <c r="L74" s="166" t="s">
        <v>765</v>
      </c>
      <c r="M74" s="167">
        <f ca="1">IF($D74&lt;&gt;"Serviço","",
          IF(AUTOEVENTO="manual",$A74,
                IF(ISERROR(MATCH($A74,$A$15:OFFSET($A74,-1,0),0)),MAX($M$15:OFFSET(M74,-1,0))+1,
                      INDEX($M$15:OFFSET(M74,-1,0),MATCH($A74,$A$15:OFFSET($A74,-1,0),0)))))</f>
        <v>9</v>
      </c>
      <c r="N74" s="168" t="str">
        <f ca="1">IF($D74&lt;&gt;"Serviço","",
         IF(AUTOEVENTO="Manual",
                IF($A74=0,"&lt;-- defina o número do agrupador",
                       OFFSET(EVENTOS!$D$15,$A74-$A$15,0)),
                OFFSET($F$15,$A74,0)))</f>
        <v>INSTALAÇÕES ELÉTRICAS</v>
      </c>
      <c r="O74" s="169"/>
      <c r="Q74" s="169"/>
      <c r="R74" s="170"/>
      <c r="S74" s="170"/>
      <c r="T74" s="170"/>
      <c r="U74" s="170"/>
      <c r="V74" s="170"/>
      <c r="W74" s="170"/>
      <c r="X74" s="170"/>
      <c r="Y74" s="170"/>
      <c r="Z74" s="171"/>
      <c r="AB74" s="454">
        <f ca="1">IF(AND($D74="Serviço",AB$12&lt;&gt;0,$H74&gt;0,OR(AUTOEVENTO&lt;&gt;"manual",$M74&lt;&gt;$A$15)),
        IF(Import.TipoArredondamento&lt;&gt;"TransfereGOV",
              ROUND(OFFSET($P74,0,AB$13),15-13*ORÇAMENTO!$AF$7)/$H74*OFFSET(ORÇAMENTO!$X$15,ROW(AB74)-ROW(AB$15),0),
              ROUND(ROUND(OFFSET($P74,0,AB$13),15-13*ORÇAMENTO!$AF$7)*OFFSET(ORÇAMENTO!$W$15,ROW(AB74)-ROW(AB$15),0),15-13*ORÇAMENTO!$AF$11)),
         0)</f>
        <v>0</v>
      </c>
      <c r="AC74" s="454">
        <f ca="1">IF(AND($D74="Serviço",AC$12&lt;&gt;0,$H74&gt;0,OR(AUTOEVENTO&lt;&gt;"manual",$M74&lt;&gt;$A$15)),
        IF(Import.TipoArredondamento&lt;&gt;"TransfereGOV",
              ROUND(OFFSET($P74,0,AC$13),15-13*ORÇAMENTO!$AF$7)/$H74*OFFSET(ORÇAMENTO!$X$15,ROW(AC74)-ROW(AC$15),0),
              ROUND(ROUND(OFFSET($P74,0,AC$13),15-13*ORÇAMENTO!$AF$7)*OFFSET(ORÇAMENTO!$W$15,ROW(AC74)-ROW(AC$15),0),15-13*ORÇAMENTO!$AF$11)),
         0)</f>
        <v>0</v>
      </c>
      <c r="AD74" s="454">
        <f ca="1">IF(AND($D74="Serviço",AD$12&lt;&gt;0,$H74&gt;0,OR(AUTOEVENTO&lt;&gt;"manual",$M74&lt;&gt;$A$15)),
        IF(Import.TipoArredondamento&lt;&gt;"TransfereGOV",
              ROUND(OFFSET($P74,0,AD$13),15-13*ORÇAMENTO!$AF$7)/$H74*OFFSET(ORÇAMENTO!$X$15,ROW(AD74)-ROW(AD$15),0),
              ROUND(ROUND(OFFSET($P74,0,AD$13),15-13*ORÇAMENTO!$AF$7)*OFFSET(ORÇAMENTO!$W$15,ROW(AD74)-ROW(AD$15),0),15-13*ORÇAMENTO!$AF$11)),
         0)</f>
        <v>0</v>
      </c>
      <c r="AE74" s="454">
        <f ca="1">IF(AND($D74="Serviço",AE$12&lt;&gt;0,$H74&gt;0,OR(AUTOEVENTO&lt;&gt;"manual",$M74&lt;&gt;$A$15)),
        IF(Import.TipoArredondamento&lt;&gt;"TransfereGOV",
              ROUND(OFFSET($P74,0,AE$13),15-13*ORÇAMENTO!$AF$7)/$H74*OFFSET(ORÇAMENTO!$X$15,ROW(AE74)-ROW(AE$15),0),
              ROUND(ROUND(OFFSET($P74,0,AE$13),15-13*ORÇAMENTO!$AF$7)*OFFSET(ORÇAMENTO!$W$15,ROW(AE74)-ROW(AE$15),0),15-13*ORÇAMENTO!$AF$11)),
         0)</f>
        <v>0</v>
      </c>
      <c r="AF74" s="454">
        <f ca="1">IF(AND($D74="Serviço",AF$12&lt;&gt;0,$H74&gt;0,OR(AUTOEVENTO&lt;&gt;"manual",$M74&lt;&gt;$A$15)),
        IF(Import.TipoArredondamento&lt;&gt;"TransfereGOV",
              ROUND(OFFSET($P74,0,AF$13),15-13*ORÇAMENTO!$AF$7)/$H74*OFFSET(ORÇAMENTO!$X$15,ROW(AF74)-ROW(AF$15),0),
              ROUND(ROUND(OFFSET($P74,0,AF$13),15-13*ORÇAMENTO!$AF$7)*OFFSET(ORÇAMENTO!$W$15,ROW(AF74)-ROW(AF$15),0),15-13*ORÇAMENTO!$AF$11)),
         0)</f>
        <v>0</v>
      </c>
      <c r="AG74" s="454">
        <f ca="1">IF(AND($D74="Serviço",AG$12&lt;&gt;0,$H74&gt;0,OR(AUTOEVENTO&lt;&gt;"manual",$M74&lt;&gt;$A$15)),
        IF(Import.TipoArredondamento&lt;&gt;"TransfereGOV",
              ROUND(OFFSET($P74,0,AG$13),15-13*ORÇAMENTO!$AF$7)/$H74*OFFSET(ORÇAMENTO!$X$15,ROW(AG74)-ROW(AG$15),0),
              ROUND(ROUND(OFFSET($P74,0,AG$13),15-13*ORÇAMENTO!$AF$7)*OFFSET(ORÇAMENTO!$W$15,ROW(AG74)-ROW(AG$15),0),15-13*ORÇAMENTO!$AF$11)),
         0)</f>
        <v>0</v>
      </c>
      <c r="AH74" s="454">
        <f ca="1">IF(AND($D74="Serviço",AH$12&lt;&gt;0,$H74&gt;0,OR(AUTOEVENTO&lt;&gt;"manual",$M74&lt;&gt;$A$15)),
        IF(Import.TipoArredondamento&lt;&gt;"TransfereGOV",
              ROUND(OFFSET($P74,0,AH$13),15-13*ORÇAMENTO!$AF$7)/$H74*OFFSET(ORÇAMENTO!$X$15,ROW(AH74)-ROW(AH$15),0),
              ROUND(ROUND(OFFSET($P74,0,AH$13),15-13*ORÇAMENTO!$AF$7)*OFFSET(ORÇAMENTO!$W$15,ROW(AH74)-ROW(AH$15),0),15-13*ORÇAMENTO!$AF$11)),
         0)</f>
        <v>0</v>
      </c>
      <c r="AI74" s="454">
        <f ca="1">IF(AND($D74="Serviço",AI$12&lt;&gt;0,$H74&gt;0,OR(AUTOEVENTO&lt;&gt;"manual",$M74&lt;&gt;$A$15)),
        IF(Import.TipoArredondamento&lt;&gt;"TransfereGOV",
              ROUND(OFFSET($P74,0,AI$13),15-13*ORÇAMENTO!$AF$7)/$H74*OFFSET(ORÇAMENTO!$X$15,ROW(AI74)-ROW(AI$15),0),
              ROUND(ROUND(OFFSET($P74,0,AI$13),15-13*ORÇAMENTO!$AF$7)*OFFSET(ORÇAMENTO!$W$15,ROW(AI74)-ROW(AI$15),0),15-13*ORÇAMENTO!$AF$11)),
         0)</f>
        <v>0</v>
      </c>
      <c r="AJ74" s="454">
        <f ca="1">IF(AND($D74="Serviço",AJ$12&lt;&gt;0,$H74&gt;0,OR(AUTOEVENTO&lt;&gt;"manual",$M74&lt;&gt;$A$15)),
        IF(Import.TipoArredondamento&lt;&gt;"TransfereGOV",
              ROUND(OFFSET($P74,0,AJ$13),15-13*ORÇAMENTO!$AF$7)/$H74*OFFSET(ORÇAMENTO!$X$15,ROW(AJ74)-ROW(AJ$15),0),
              ROUND(ROUND(OFFSET($P74,0,AJ$13),15-13*ORÇAMENTO!$AF$7)*OFFSET(ORÇAMENTO!$W$15,ROW(AJ74)-ROW(AJ$15),0),15-13*ORÇAMENTO!$AF$11)),
         0)</f>
        <v>0</v>
      </c>
      <c r="AK74" s="454">
        <f ca="1">IF(AND($D74="Serviço",AK$12&lt;&gt;0,$H74&gt;0,OR(AUTOEVENTO&lt;&gt;"manual",$M74&lt;&gt;$A$15)),
        IF(Import.TipoArredondamento&lt;&gt;"TransfereGOV",
              ROUND(OFFSET($P74,0,AK$13),15-13*ORÇAMENTO!$AF$7)/$H74*OFFSET(ORÇAMENTO!$X$15,ROW(AK74)-ROW(AK$15),0),
              ROUND(ROUND(OFFSET($P74,0,AK$13),15-13*ORÇAMENTO!$AF$7)*OFFSET(ORÇAMENTO!$W$15,ROW(AK74)-ROW(AK$15),0),15-13*ORÇAMENTO!$AF$11)),
         0)</f>
        <v>0</v>
      </c>
      <c r="AM74" s="172">
        <f ca="1">IF(OR($D74&lt;&gt;"Serviço",AND(AUTOEVENTO="Manual",$M74=$A$15)),0,
         IF(OFFSET(CRONOPLE!$F$15,$M74-$A$15,AM$13)="",10^12,OFFSET(CRONOPLE!$F$15,$M74-$A$15,AM$13)))</f>
        <v>1000000000000</v>
      </c>
      <c r="AN74" s="172">
        <f ca="1">IF(OR($D74&lt;&gt;"Serviço",AND(AUTOEVENTO="Manual",$M74=$A$15)),0,
         IF(OFFSET(CRONOPLE!$F$15,$M74-$A$15,AN$13)="",10^12,OFFSET(CRONOPLE!$F$15,$M74-$A$15,AN$13)))</f>
        <v>1000000000000</v>
      </c>
      <c r="AO74" s="172">
        <f ca="1">IF(OR($D74&lt;&gt;"Serviço",AND(AUTOEVENTO="Manual",$M74=$A$15)),0,
         IF(OFFSET(CRONOPLE!$F$15,$M74-$A$15,AO$13)="",10^12,OFFSET(CRONOPLE!$F$15,$M74-$A$15,AO$13)))</f>
        <v>1000000000000</v>
      </c>
      <c r="AP74" s="172">
        <f ca="1">IF(OR($D74&lt;&gt;"Serviço",AND(AUTOEVENTO="Manual",$M74=$A$15)),0,
         IF(OFFSET(CRONOPLE!$F$15,$M74-$A$15,AP$13)="",10^12,OFFSET(CRONOPLE!$F$15,$M74-$A$15,AP$13)))</f>
        <v>1000000000000</v>
      </c>
      <c r="AQ74" s="172">
        <f ca="1">IF(OR($D74&lt;&gt;"Serviço",AND(AUTOEVENTO="Manual",$M74=$A$15)),0,
         IF(OFFSET(CRONOPLE!$F$15,$M74-$A$15,AQ$13)="",10^12,OFFSET(CRONOPLE!$F$15,$M74-$A$15,AQ$13)))</f>
        <v>1000000000000</v>
      </c>
      <c r="AR74" s="172">
        <f ca="1">IF(OR($D74&lt;&gt;"Serviço",AND(AUTOEVENTO="Manual",$M74=$A$15)),0,
         IF(OFFSET(CRONOPLE!$F$15,$M74-$A$15,AR$13)="",10^12,OFFSET(CRONOPLE!$F$15,$M74-$A$15,AR$13)))</f>
        <v>1000000000000</v>
      </c>
      <c r="AS74" s="172">
        <f ca="1">IF(OR($D74&lt;&gt;"Serviço",AND(AUTOEVENTO="Manual",$M74=$A$15)),0,
         IF(OFFSET(CRONOPLE!$F$15,$M74-$A$15,AS$13)="",10^12,OFFSET(CRONOPLE!$F$15,$M74-$A$15,AS$13)))</f>
        <v>1000000000000</v>
      </c>
      <c r="AT74" s="172">
        <f ca="1">IF(OR($D74&lt;&gt;"Serviço",AND(AUTOEVENTO="Manual",$M74=$A$15)),0,
         IF(OFFSET(CRONOPLE!$F$15,$M74-$A$15,AT$13)="",10^12,OFFSET(CRONOPLE!$F$15,$M74-$A$15,AT$13)))</f>
        <v>1000000000000</v>
      </c>
      <c r="AU74" s="172">
        <f ca="1">IF(OR($D74&lt;&gt;"Serviço",AND(AUTOEVENTO="Manual",$M74=$A$15)),0,
         IF(OFFSET(CRONOPLE!$F$15,$M74-$A$15,AU$13)="",10^12,OFFSET(CRONOPLE!$F$15,$M74-$A$15,AU$13)))</f>
        <v>1000000000000</v>
      </c>
      <c r="AV74" s="172">
        <f ca="1">IF(OR($D74&lt;&gt;"Serviço",AND(AUTOEVENTO="Manual",$M74=$A$15)),0,
         IF(OFFSET(CRONOPLE!$F$15,$M74-$A$15,AV$13)="",10^12,OFFSET(CRONOPLE!$F$15,$M74-$A$15,AV$13)))</f>
        <v>1000000000000</v>
      </c>
      <c r="AX74" s="173">
        <f ca="1">IF(OR($D74&lt;&gt;"Serviço",AND(AUTOEVENTO="Manual",$M74=$A$15),$M74&gt;(ROW(PLE.lastrow)-ROW(PLE.firstrow))),0,
           IF(OFFSET(PLE!$G$15,$M74-$A$15,AX$13)="",10^12,OFFSET(PLE!$G$15,$M74-$A$15,AX$13)))</f>
        <v>1000000000000</v>
      </c>
      <c r="AY74" s="173">
        <f ca="1">IF(OR($D74&lt;&gt;"Serviço",AND(AUTOEVENTO="Manual",$M74=$A$15),$M74&gt;(ROW(PLE.lastrow)-ROW(PLE.firstrow))),0,
           IF(OFFSET(PLE!$G$15,$M74-$A$15,AY$13)="",10^12,OFFSET(PLE!$G$15,$M74-$A$15,AY$13)))</f>
        <v>1000000000000</v>
      </c>
      <c r="AZ74" s="173">
        <f ca="1">IF(OR($D74&lt;&gt;"Serviço",AND(AUTOEVENTO="Manual",$M74=$A$15),$M74&gt;(ROW(PLE.lastrow)-ROW(PLE.firstrow))),0,
           IF(OFFSET(PLE!$G$15,$M74-$A$15,AZ$13)="",10^12,OFFSET(PLE!$G$15,$M74-$A$15,AZ$13)))</f>
        <v>1000000000000</v>
      </c>
      <c r="BA74" s="173">
        <f ca="1">IF(OR($D74&lt;&gt;"Serviço",AND(AUTOEVENTO="Manual",$M74=$A$15),$M74&gt;(ROW(PLE.lastrow)-ROW(PLE.firstrow))),0,
           IF(OFFSET(PLE!$G$15,$M74-$A$15,BA$13)="",10^12,OFFSET(PLE!$G$15,$M74-$A$15,BA$13)))</f>
        <v>1000000000000</v>
      </c>
      <c r="BB74" s="173">
        <f ca="1">IF(OR($D74&lt;&gt;"Serviço",AND(AUTOEVENTO="Manual",$M74=$A$15),$M74&gt;(ROW(PLE.lastrow)-ROW(PLE.firstrow))),0,
           IF(OFFSET(PLE!$G$15,$M74-$A$15,BB$13)="",10^12,OFFSET(PLE!$G$15,$M74-$A$15,BB$13)))</f>
        <v>1000000000000</v>
      </c>
      <c r="BC74" s="173">
        <f ca="1">IF(OR($D74&lt;&gt;"Serviço",AND(AUTOEVENTO="Manual",$M74=$A$15),$M74&gt;(ROW(PLE.lastrow)-ROW(PLE.firstrow))),0,
           IF(OFFSET(PLE!$G$15,$M74-$A$15,BC$13)="",10^12,OFFSET(PLE!$G$15,$M74-$A$15,BC$13)))</f>
        <v>1000000000000</v>
      </c>
      <c r="BD74" s="173">
        <f ca="1">IF(OR($D74&lt;&gt;"Serviço",AND(AUTOEVENTO="Manual",$M74=$A$15),$M74&gt;(ROW(PLE.lastrow)-ROW(PLE.firstrow))),0,
           IF(OFFSET(PLE!$G$15,$M74-$A$15,BD$13)="",10^12,OFFSET(PLE!$G$15,$M74-$A$15,BD$13)))</f>
        <v>1000000000000</v>
      </c>
      <c r="BE74" s="173">
        <f ca="1">IF(OR($D74&lt;&gt;"Serviço",AND(AUTOEVENTO="Manual",$M74=$A$15),$M74&gt;(ROW(PLE.lastrow)-ROW(PLE.firstrow))),0,
           IF(OFFSET(PLE!$G$15,$M74-$A$15,BE$13)="",10^12,OFFSET(PLE!$G$15,$M74-$A$15,BE$13)))</f>
        <v>1000000000000</v>
      </c>
      <c r="BF74" s="173">
        <f ca="1">IF(OR($D74&lt;&gt;"Serviço",AND(AUTOEVENTO="Manual",$M74=$A$15),$M74&gt;(ROW(PLE.lastrow)-ROW(PLE.firstrow))),0,
           IF(OFFSET(PLE!$G$15,$M74-$A$15,BF$13)="",10^12,OFFSET(PLE!$G$15,$M74-$A$15,BF$13)))</f>
        <v>1000000000000</v>
      </c>
      <c r="BG74" s="173">
        <f ca="1">IF(OR($D74&lt;&gt;"Serviço",AND(AUTOEVENTO="Manual",$M74=$A$15),$M74&gt;(ROW(PLE.lastrow)-ROW(PLE.firstrow))),0,
           IF(OFFSET(PLE!$G$15,$M74-$A$15,BG$13)="",10^12,OFFSET(PLE!$G$15,$M74-$A$15,BG$13)))</f>
        <v>1000000000000</v>
      </c>
    </row>
    <row r="75" spans="1:59" ht="25.5" x14ac:dyDescent="0.2">
      <c r="A75" s="7" t="str">
        <f t="shared" ca="1" si="8"/>
        <v>39</v>
      </c>
      <c r="B75" s="7" t="str">
        <f ca="1">OFFSET(ORÇAMENTO!C$15,ROW(B75)-ROW(B$15),0)</f>
        <v>S</v>
      </c>
      <c r="C75" s="7" t="str">
        <f ca="1">OFFSET(ORÇAMENTO!L$15,ROW(C75)-ROW(C$15),0)</f>
        <v/>
      </c>
      <c r="D75" s="117" t="str">
        <f ca="1">OFFSET(ORÇAMENTO!N$15,ROW(D75)-ROW(D$15),0)</f>
        <v>Serviço</v>
      </c>
      <c r="E75" s="118" t="str">
        <f ca="1">OFFSET(ORÇAMENTO!O$15,ROW(E75)-ROW(E$15),0)</f>
        <v>-</v>
      </c>
      <c r="F75" s="164" t="str">
        <f ca="1">OFFSET(ORÇAMENTO!R$15,ROW(F75)-ROW(F$15),0)</f>
        <v>DISJUNTOR MONOPOLAR TIPO DIN, CORRENTE NOMINAL DE 16A - FORNECIMENTO E INSTALAÇÃO. AF_10/2020</v>
      </c>
      <c r="G75" s="165" t="str">
        <f ca="1">IF($D75&lt;&gt;"Serviço","",OFFSET(ORÇAMENTO!S$15,ROW(G75)-ROW(G$15),0))</f>
        <v>UN</v>
      </c>
      <c r="H75" s="123">
        <f ca="1">IF($D75&lt;&gt;"Serviço",0,IF(ACOMPANHAMENTO="BM",ROUND(OFFSET(ORÇAMENTO!AJ$15,ROW(H75)-ROW(H$15),0),15-13*ORÇAMENTO!$AF$7),SUMPRODUCT(($Q$1:$AA$1=1)*ROUND($Q75:$AA75,15-13*ORÇAMENTO!$AF$7))))</f>
        <v>19</v>
      </c>
      <c r="I75" s="469"/>
      <c r="J75" s="577" t="str" cm="1">
        <f t="array" aca="1" ref="J75" ca="1">IF(B75&lt;&gt;"S","",IF(AND(ACOMPANHAMENTO="PLE",AUTOEVENTO="Manual",OR(H75&gt;0,ORÇAMENTO!AC75="QUANT."),OR(K75="",M75=0,N75="")),"►",IF(AND(ACOMPANHAMENTO="PLE",ORÇAMENTO!AC75="QUANT."),"►►",IF(AND(COUNTIF($P$11:$AA$11,"▼")=0,H75&gt;0,I75=""),"◄",""))))</f>
        <v>◄</v>
      </c>
      <c r="K75" s="626"/>
      <c r="L75" s="166" t="s">
        <v>765</v>
      </c>
      <c r="M75" s="167">
        <f ca="1">IF($D75&lt;&gt;"Serviço","",
          IF(AUTOEVENTO="manual",$A75,
                IF(ISERROR(MATCH($A75,$A$15:OFFSET($A75,-1,0),0)),MAX($M$15:OFFSET(M75,-1,0))+1,
                      INDEX($M$15:OFFSET(M75,-1,0),MATCH($A75,$A$15:OFFSET($A75,-1,0),0)))))</f>
        <v>9</v>
      </c>
      <c r="N75" s="168" t="str">
        <f ca="1">IF($D75&lt;&gt;"Serviço","",
         IF(AUTOEVENTO="Manual",
                IF($A75=0,"&lt;-- defina o número do agrupador",
                       OFFSET(EVENTOS!$D$15,$A75-$A$15,0)),
                OFFSET($F$15,$A75,0)))</f>
        <v>INSTALAÇÕES ELÉTRICAS</v>
      </c>
      <c r="O75" s="169"/>
      <c r="Q75" s="169"/>
      <c r="R75" s="170"/>
      <c r="S75" s="170"/>
      <c r="T75" s="170"/>
      <c r="U75" s="170"/>
      <c r="V75" s="170"/>
      <c r="W75" s="170"/>
      <c r="X75" s="170"/>
      <c r="Y75" s="170"/>
      <c r="Z75" s="171"/>
      <c r="AB75" s="454">
        <f ca="1">IF(AND($D75="Serviço",AB$12&lt;&gt;0,$H75&gt;0,OR(AUTOEVENTO&lt;&gt;"manual",$M75&lt;&gt;$A$15)),
        IF(Import.TipoArredondamento&lt;&gt;"TransfereGOV",
              ROUND(OFFSET($P75,0,AB$13),15-13*ORÇAMENTO!$AF$7)/$H75*OFFSET(ORÇAMENTO!$X$15,ROW(AB75)-ROW(AB$15),0),
              ROUND(ROUND(OFFSET($P75,0,AB$13),15-13*ORÇAMENTO!$AF$7)*OFFSET(ORÇAMENTO!$W$15,ROW(AB75)-ROW(AB$15),0),15-13*ORÇAMENTO!$AF$11)),
         0)</f>
        <v>0</v>
      </c>
      <c r="AC75" s="454">
        <f ca="1">IF(AND($D75="Serviço",AC$12&lt;&gt;0,$H75&gt;0,OR(AUTOEVENTO&lt;&gt;"manual",$M75&lt;&gt;$A$15)),
        IF(Import.TipoArredondamento&lt;&gt;"TransfereGOV",
              ROUND(OFFSET($P75,0,AC$13),15-13*ORÇAMENTO!$AF$7)/$H75*OFFSET(ORÇAMENTO!$X$15,ROW(AC75)-ROW(AC$15),0),
              ROUND(ROUND(OFFSET($P75,0,AC$13),15-13*ORÇAMENTO!$AF$7)*OFFSET(ORÇAMENTO!$W$15,ROW(AC75)-ROW(AC$15),0),15-13*ORÇAMENTO!$AF$11)),
         0)</f>
        <v>0</v>
      </c>
      <c r="AD75" s="454">
        <f ca="1">IF(AND($D75="Serviço",AD$12&lt;&gt;0,$H75&gt;0,OR(AUTOEVENTO&lt;&gt;"manual",$M75&lt;&gt;$A$15)),
        IF(Import.TipoArredondamento&lt;&gt;"TransfereGOV",
              ROUND(OFFSET($P75,0,AD$13),15-13*ORÇAMENTO!$AF$7)/$H75*OFFSET(ORÇAMENTO!$X$15,ROW(AD75)-ROW(AD$15),0),
              ROUND(ROUND(OFFSET($P75,0,AD$13),15-13*ORÇAMENTO!$AF$7)*OFFSET(ORÇAMENTO!$W$15,ROW(AD75)-ROW(AD$15),0),15-13*ORÇAMENTO!$AF$11)),
         0)</f>
        <v>0</v>
      </c>
      <c r="AE75" s="454">
        <f ca="1">IF(AND($D75="Serviço",AE$12&lt;&gt;0,$H75&gt;0,OR(AUTOEVENTO&lt;&gt;"manual",$M75&lt;&gt;$A$15)),
        IF(Import.TipoArredondamento&lt;&gt;"TransfereGOV",
              ROUND(OFFSET($P75,0,AE$13),15-13*ORÇAMENTO!$AF$7)/$H75*OFFSET(ORÇAMENTO!$X$15,ROW(AE75)-ROW(AE$15),0),
              ROUND(ROUND(OFFSET($P75,0,AE$13),15-13*ORÇAMENTO!$AF$7)*OFFSET(ORÇAMENTO!$W$15,ROW(AE75)-ROW(AE$15),0),15-13*ORÇAMENTO!$AF$11)),
         0)</f>
        <v>0</v>
      </c>
      <c r="AF75" s="454">
        <f ca="1">IF(AND($D75="Serviço",AF$12&lt;&gt;0,$H75&gt;0,OR(AUTOEVENTO&lt;&gt;"manual",$M75&lt;&gt;$A$15)),
        IF(Import.TipoArredondamento&lt;&gt;"TransfereGOV",
              ROUND(OFFSET($P75,0,AF$13),15-13*ORÇAMENTO!$AF$7)/$H75*OFFSET(ORÇAMENTO!$X$15,ROW(AF75)-ROW(AF$15),0),
              ROUND(ROUND(OFFSET($P75,0,AF$13),15-13*ORÇAMENTO!$AF$7)*OFFSET(ORÇAMENTO!$W$15,ROW(AF75)-ROW(AF$15),0),15-13*ORÇAMENTO!$AF$11)),
         0)</f>
        <v>0</v>
      </c>
      <c r="AG75" s="454">
        <f ca="1">IF(AND($D75="Serviço",AG$12&lt;&gt;0,$H75&gt;0,OR(AUTOEVENTO&lt;&gt;"manual",$M75&lt;&gt;$A$15)),
        IF(Import.TipoArredondamento&lt;&gt;"TransfereGOV",
              ROUND(OFFSET($P75,0,AG$13),15-13*ORÇAMENTO!$AF$7)/$H75*OFFSET(ORÇAMENTO!$X$15,ROW(AG75)-ROW(AG$15),0),
              ROUND(ROUND(OFFSET($P75,0,AG$13),15-13*ORÇAMENTO!$AF$7)*OFFSET(ORÇAMENTO!$W$15,ROW(AG75)-ROW(AG$15),0),15-13*ORÇAMENTO!$AF$11)),
         0)</f>
        <v>0</v>
      </c>
      <c r="AH75" s="454">
        <f ca="1">IF(AND($D75="Serviço",AH$12&lt;&gt;0,$H75&gt;0,OR(AUTOEVENTO&lt;&gt;"manual",$M75&lt;&gt;$A$15)),
        IF(Import.TipoArredondamento&lt;&gt;"TransfereGOV",
              ROUND(OFFSET($P75,0,AH$13),15-13*ORÇAMENTO!$AF$7)/$H75*OFFSET(ORÇAMENTO!$X$15,ROW(AH75)-ROW(AH$15),0),
              ROUND(ROUND(OFFSET($P75,0,AH$13),15-13*ORÇAMENTO!$AF$7)*OFFSET(ORÇAMENTO!$W$15,ROW(AH75)-ROW(AH$15),0),15-13*ORÇAMENTO!$AF$11)),
         0)</f>
        <v>0</v>
      </c>
      <c r="AI75" s="454">
        <f ca="1">IF(AND($D75="Serviço",AI$12&lt;&gt;0,$H75&gt;0,OR(AUTOEVENTO&lt;&gt;"manual",$M75&lt;&gt;$A$15)),
        IF(Import.TipoArredondamento&lt;&gt;"TransfereGOV",
              ROUND(OFFSET($P75,0,AI$13),15-13*ORÇAMENTO!$AF$7)/$H75*OFFSET(ORÇAMENTO!$X$15,ROW(AI75)-ROW(AI$15),0),
              ROUND(ROUND(OFFSET($P75,0,AI$13),15-13*ORÇAMENTO!$AF$7)*OFFSET(ORÇAMENTO!$W$15,ROW(AI75)-ROW(AI$15),0),15-13*ORÇAMENTO!$AF$11)),
         0)</f>
        <v>0</v>
      </c>
      <c r="AJ75" s="454">
        <f ca="1">IF(AND($D75="Serviço",AJ$12&lt;&gt;0,$H75&gt;0,OR(AUTOEVENTO&lt;&gt;"manual",$M75&lt;&gt;$A$15)),
        IF(Import.TipoArredondamento&lt;&gt;"TransfereGOV",
              ROUND(OFFSET($P75,0,AJ$13),15-13*ORÇAMENTO!$AF$7)/$H75*OFFSET(ORÇAMENTO!$X$15,ROW(AJ75)-ROW(AJ$15),0),
              ROUND(ROUND(OFFSET($P75,0,AJ$13),15-13*ORÇAMENTO!$AF$7)*OFFSET(ORÇAMENTO!$W$15,ROW(AJ75)-ROW(AJ$15),0),15-13*ORÇAMENTO!$AF$11)),
         0)</f>
        <v>0</v>
      </c>
      <c r="AK75" s="454">
        <f ca="1">IF(AND($D75="Serviço",AK$12&lt;&gt;0,$H75&gt;0,OR(AUTOEVENTO&lt;&gt;"manual",$M75&lt;&gt;$A$15)),
        IF(Import.TipoArredondamento&lt;&gt;"TransfereGOV",
              ROUND(OFFSET($P75,0,AK$13),15-13*ORÇAMENTO!$AF$7)/$H75*OFFSET(ORÇAMENTO!$X$15,ROW(AK75)-ROW(AK$15),0),
              ROUND(ROUND(OFFSET($P75,0,AK$13),15-13*ORÇAMENTO!$AF$7)*OFFSET(ORÇAMENTO!$W$15,ROW(AK75)-ROW(AK$15),0),15-13*ORÇAMENTO!$AF$11)),
         0)</f>
        <v>0</v>
      </c>
      <c r="AM75" s="172">
        <f ca="1">IF(OR($D75&lt;&gt;"Serviço",AND(AUTOEVENTO="Manual",$M75=$A$15)),0,
         IF(OFFSET(CRONOPLE!$F$15,$M75-$A$15,AM$13)="",10^12,OFFSET(CRONOPLE!$F$15,$M75-$A$15,AM$13)))</f>
        <v>1000000000000</v>
      </c>
      <c r="AN75" s="172">
        <f ca="1">IF(OR($D75&lt;&gt;"Serviço",AND(AUTOEVENTO="Manual",$M75=$A$15)),0,
         IF(OFFSET(CRONOPLE!$F$15,$M75-$A$15,AN$13)="",10^12,OFFSET(CRONOPLE!$F$15,$M75-$A$15,AN$13)))</f>
        <v>1000000000000</v>
      </c>
      <c r="AO75" s="172">
        <f ca="1">IF(OR($D75&lt;&gt;"Serviço",AND(AUTOEVENTO="Manual",$M75=$A$15)),0,
         IF(OFFSET(CRONOPLE!$F$15,$M75-$A$15,AO$13)="",10^12,OFFSET(CRONOPLE!$F$15,$M75-$A$15,AO$13)))</f>
        <v>1000000000000</v>
      </c>
      <c r="AP75" s="172">
        <f ca="1">IF(OR($D75&lt;&gt;"Serviço",AND(AUTOEVENTO="Manual",$M75=$A$15)),0,
         IF(OFFSET(CRONOPLE!$F$15,$M75-$A$15,AP$13)="",10^12,OFFSET(CRONOPLE!$F$15,$M75-$A$15,AP$13)))</f>
        <v>1000000000000</v>
      </c>
      <c r="AQ75" s="172">
        <f ca="1">IF(OR($D75&lt;&gt;"Serviço",AND(AUTOEVENTO="Manual",$M75=$A$15)),0,
         IF(OFFSET(CRONOPLE!$F$15,$M75-$A$15,AQ$13)="",10^12,OFFSET(CRONOPLE!$F$15,$M75-$A$15,AQ$13)))</f>
        <v>1000000000000</v>
      </c>
      <c r="AR75" s="172">
        <f ca="1">IF(OR($D75&lt;&gt;"Serviço",AND(AUTOEVENTO="Manual",$M75=$A$15)),0,
         IF(OFFSET(CRONOPLE!$F$15,$M75-$A$15,AR$13)="",10^12,OFFSET(CRONOPLE!$F$15,$M75-$A$15,AR$13)))</f>
        <v>1000000000000</v>
      </c>
      <c r="AS75" s="172">
        <f ca="1">IF(OR($D75&lt;&gt;"Serviço",AND(AUTOEVENTO="Manual",$M75=$A$15)),0,
         IF(OFFSET(CRONOPLE!$F$15,$M75-$A$15,AS$13)="",10^12,OFFSET(CRONOPLE!$F$15,$M75-$A$15,AS$13)))</f>
        <v>1000000000000</v>
      </c>
      <c r="AT75" s="172">
        <f ca="1">IF(OR($D75&lt;&gt;"Serviço",AND(AUTOEVENTO="Manual",$M75=$A$15)),0,
         IF(OFFSET(CRONOPLE!$F$15,$M75-$A$15,AT$13)="",10^12,OFFSET(CRONOPLE!$F$15,$M75-$A$15,AT$13)))</f>
        <v>1000000000000</v>
      </c>
      <c r="AU75" s="172">
        <f ca="1">IF(OR($D75&lt;&gt;"Serviço",AND(AUTOEVENTO="Manual",$M75=$A$15)),0,
         IF(OFFSET(CRONOPLE!$F$15,$M75-$A$15,AU$13)="",10^12,OFFSET(CRONOPLE!$F$15,$M75-$A$15,AU$13)))</f>
        <v>1000000000000</v>
      </c>
      <c r="AV75" s="172">
        <f ca="1">IF(OR($D75&lt;&gt;"Serviço",AND(AUTOEVENTO="Manual",$M75=$A$15)),0,
         IF(OFFSET(CRONOPLE!$F$15,$M75-$A$15,AV$13)="",10^12,OFFSET(CRONOPLE!$F$15,$M75-$A$15,AV$13)))</f>
        <v>1000000000000</v>
      </c>
      <c r="AX75" s="173">
        <f ca="1">IF(OR($D75&lt;&gt;"Serviço",AND(AUTOEVENTO="Manual",$M75=$A$15),$M75&gt;(ROW(PLE.lastrow)-ROW(PLE.firstrow))),0,
           IF(OFFSET(PLE!$G$15,$M75-$A$15,AX$13)="",10^12,OFFSET(PLE!$G$15,$M75-$A$15,AX$13)))</f>
        <v>1000000000000</v>
      </c>
      <c r="AY75" s="173">
        <f ca="1">IF(OR($D75&lt;&gt;"Serviço",AND(AUTOEVENTO="Manual",$M75=$A$15),$M75&gt;(ROW(PLE.lastrow)-ROW(PLE.firstrow))),0,
           IF(OFFSET(PLE!$G$15,$M75-$A$15,AY$13)="",10^12,OFFSET(PLE!$G$15,$M75-$A$15,AY$13)))</f>
        <v>1000000000000</v>
      </c>
      <c r="AZ75" s="173">
        <f ca="1">IF(OR($D75&lt;&gt;"Serviço",AND(AUTOEVENTO="Manual",$M75=$A$15),$M75&gt;(ROW(PLE.lastrow)-ROW(PLE.firstrow))),0,
           IF(OFFSET(PLE!$G$15,$M75-$A$15,AZ$13)="",10^12,OFFSET(PLE!$G$15,$M75-$A$15,AZ$13)))</f>
        <v>1000000000000</v>
      </c>
      <c r="BA75" s="173">
        <f ca="1">IF(OR($D75&lt;&gt;"Serviço",AND(AUTOEVENTO="Manual",$M75=$A$15),$M75&gt;(ROW(PLE.lastrow)-ROW(PLE.firstrow))),0,
           IF(OFFSET(PLE!$G$15,$M75-$A$15,BA$13)="",10^12,OFFSET(PLE!$G$15,$M75-$A$15,BA$13)))</f>
        <v>1000000000000</v>
      </c>
      <c r="BB75" s="173">
        <f ca="1">IF(OR($D75&lt;&gt;"Serviço",AND(AUTOEVENTO="Manual",$M75=$A$15),$M75&gt;(ROW(PLE.lastrow)-ROW(PLE.firstrow))),0,
           IF(OFFSET(PLE!$G$15,$M75-$A$15,BB$13)="",10^12,OFFSET(PLE!$G$15,$M75-$A$15,BB$13)))</f>
        <v>1000000000000</v>
      </c>
      <c r="BC75" s="173">
        <f ca="1">IF(OR($D75&lt;&gt;"Serviço",AND(AUTOEVENTO="Manual",$M75=$A$15),$M75&gt;(ROW(PLE.lastrow)-ROW(PLE.firstrow))),0,
           IF(OFFSET(PLE!$G$15,$M75-$A$15,BC$13)="",10^12,OFFSET(PLE!$G$15,$M75-$A$15,BC$13)))</f>
        <v>1000000000000</v>
      </c>
      <c r="BD75" s="173">
        <f ca="1">IF(OR($D75&lt;&gt;"Serviço",AND(AUTOEVENTO="Manual",$M75=$A$15),$M75&gt;(ROW(PLE.lastrow)-ROW(PLE.firstrow))),0,
           IF(OFFSET(PLE!$G$15,$M75-$A$15,BD$13)="",10^12,OFFSET(PLE!$G$15,$M75-$A$15,BD$13)))</f>
        <v>1000000000000</v>
      </c>
      <c r="BE75" s="173">
        <f ca="1">IF(OR($D75&lt;&gt;"Serviço",AND(AUTOEVENTO="Manual",$M75=$A$15),$M75&gt;(ROW(PLE.lastrow)-ROW(PLE.firstrow))),0,
           IF(OFFSET(PLE!$G$15,$M75-$A$15,BE$13)="",10^12,OFFSET(PLE!$G$15,$M75-$A$15,BE$13)))</f>
        <v>1000000000000</v>
      </c>
      <c r="BF75" s="173">
        <f ca="1">IF(OR($D75&lt;&gt;"Serviço",AND(AUTOEVENTO="Manual",$M75=$A$15),$M75&gt;(ROW(PLE.lastrow)-ROW(PLE.firstrow))),0,
           IF(OFFSET(PLE!$G$15,$M75-$A$15,BF$13)="",10^12,OFFSET(PLE!$G$15,$M75-$A$15,BF$13)))</f>
        <v>1000000000000</v>
      </c>
      <c r="BG75" s="173">
        <f ca="1">IF(OR($D75&lt;&gt;"Serviço",AND(AUTOEVENTO="Manual",$M75=$A$15),$M75&gt;(ROW(PLE.lastrow)-ROW(PLE.firstrow))),0,
           IF(OFFSET(PLE!$G$15,$M75-$A$15,BG$13)="",10^12,OFFSET(PLE!$G$15,$M75-$A$15,BG$13)))</f>
        <v>1000000000000</v>
      </c>
    </row>
    <row r="76" spans="1:59" ht="25.5" x14ac:dyDescent="0.2">
      <c r="A76" s="7" t="str">
        <f t="shared" ca="1" si="8"/>
        <v>39</v>
      </c>
      <c r="B76" s="7" t="str">
        <f ca="1">OFFSET(ORÇAMENTO!C$15,ROW(B76)-ROW(B$15),0)</f>
        <v>S</v>
      </c>
      <c r="C76" s="7" t="str">
        <f ca="1">OFFSET(ORÇAMENTO!L$15,ROW(C76)-ROW(C$15),0)</f>
        <v/>
      </c>
      <c r="D76" s="117" t="str">
        <f ca="1">OFFSET(ORÇAMENTO!N$15,ROW(D76)-ROW(D$15),0)</f>
        <v>Serviço</v>
      </c>
      <c r="E76" s="118" t="str">
        <f ca="1">OFFSET(ORÇAMENTO!O$15,ROW(E76)-ROW(E$15),0)</f>
        <v>-</v>
      </c>
      <c r="F76" s="164" t="str">
        <f ca="1">OFFSET(ORÇAMENTO!R$15,ROW(F76)-ROW(F$15),0)</f>
        <v>DISJUNTOR MONOPOLAR TIPO DIN, CORRENTE NOMINAL DE 25A - FORNECIMENTO E INSTALAÇÃO. AF_10/2020</v>
      </c>
      <c r="G76" s="165" t="str">
        <f ca="1">IF($D76&lt;&gt;"Serviço","",OFFSET(ORÇAMENTO!S$15,ROW(G76)-ROW(G$15),0))</f>
        <v>UN</v>
      </c>
      <c r="H76" s="123">
        <f ca="1">IF($D76&lt;&gt;"Serviço",0,IF(ACOMPANHAMENTO="BM",ROUND(OFFSET(ORÇAMENTO!AJ$15,ROW(H76)-ROW(H$15),0),15-13*ORÇAMENTO!$AF$7),SUMPRODUCT(($Q$1:$AA$1=1)*ROUND($Q76:$AA76,15-13*ORÇAMENTO!$AF$7))))</f>
        <v>10</v>
      </c>
      <c r="I76" s="469"/>
      <c r="J76" s="577" t="str" cm="1">
        <f t="array" aca="1" ref="J76" ca="1">IF(B76&lt;&gt;"S","",IF(AND(ACOMPANHAMENTO="PLE",AUTOEVENTO="Manual",OR(H76&gt;0,ORÇAMENTO!AC76="QUANT."),OR(K76="",M76=0,N76="")),"►",IF(AND(ACOMPANHAMENTO="PLE",ORÇAMENTO!AC76="QUANT."),"►►",IF(AND(COUNTIF($P$11:$AA$11,"▼")=0,H76&gt;0,I76=""),"◄",""))))</f>
        <v>◄</v>
      </c>
      <c r="K76" s="626"/>
      <c r="L76" s="166" t="s">
        <v>765</v>
      </c>
      <c r="M76" s="167">
        <f ca="1">IF($D76&lt;&gt;"Serviço","",
          IF(AUTOEVENTO="manual",$A76,
                IF(ISERROR(MATCH($A76,$A$15:OFFSET($A76,-1,0),0)),MAX($M$15:OFFSET(M76,-1,0))+1,
                      INDEX($M$15:OFFSET(M76,-1,0),MATCH($A76,$A$15:OFFSET($A76,-1,0),0)))))</f>
        <v>9</v>
      </c>
      <c r="N76" s="168" t="str">
        <f ca="1">IF($D76&lt;&gt;"Serviço","",
         IF(AUTOEVENTO="Manual",
                IF($A76=0,"&lt;-- defina o número do agrupador",
                       OFFSET(EVENTOS!$D$15,$A76-$A$15,0)),
                OFFSET($F$15,$A76,0)))</f>
        <v>INSTALAÇÕES ELÉTRICAS</v>
      </c>
      <c r="O76" s="169"/>
      <c r="Q76" s="169"/>
      <c r="R76" s="170"/>
      <c r="S76" s="170"/>
      <c r="T76" s="170"/>
      <c r="U76" s="170"/>
      <c r="V76" s="170"/>
      <c r="W76" s="170"/>
      <c r="X76" s="170"/>
      <c r="Y76" s="170"/>
      <c r="Z76" s="171"/>
      <c r="AB76" s="454">
        <f ca="1">IF(AND($D76="Serviço",AB$12&lt;&gt;0,$H76&gt;0,OR(AUTOEVENTO&lt;&gt;"manual",$M76&lt;&gt;$A$15)),
        IF(Import.TipoArredondamento&lt;&gt;"TransfereGOV",
              ROUND(OFFSET($P76,0,AB$13),15-13*ORÇAMENTO!$AF$7)/$H76*OFFSET(ORÇAMENTO!$X$15,ROW(AB76)-ROW(AB$15),0),
              ROUND(ROUND(OFFSET($P76,0,AB$13),15-13*ORÇAMENTO!$AF$7)*OFFSET(ORÇAMENTO!$W$15,ROW(AB76)-ROW(AB$15),0),15-13*ORÇAMENTO!$AF$11)),
         0)</f>
        <v>0</v>
      </c>
      <c r="AC76" s="454">
        <f ca="1">IF(AND($D76="Serviço",AC$12&lt;&gt;0,$H76&gt;0,OR(AUTOEVENTO&lt;&gt;"manual",$M76&lt;&gt;$A$15)),
        IF(Import.TipoArredondamento&lt;&gt;"TransfereGOV",
              ROUND(OFFSET($P76,0,AC$13),15-13*ORÇAMENTO!$AF$7)/$H76*OFFSET(ORÇAMENTO!$X$15,ROW(AC76)-ROW(AC$15),0),
              ROUND(ROUND(OFFSET($P76,0,AC$13),15-13*ORÇAMENTO!$AF$7)*OFFSET(ORÇAMENTO!$W$15,ROW(AC76)-ROW(AC$15),0),15-13*ORÇAMENTO!$AF$11)),
         0)</f>
        <v>0</v>
      </c>
      <c r="AD76" s="454">
        <f ca="1">IF(AND($D76="Serviço",AD$12&lt;&gt;0,$H76&gt;0,OR(AUTOEVENTO&lt;&gt;"manual",$M76&lt;&gt;$A$15)),
        IF(Import.TipoArredondamento&lt;&gt;"TransfereGOV",
              ROUND(OFFSET($P76,0,AD$13),15-13*ORÇAMENTO!$AF$7)/$H76*OFFSET(ORÇAMENTO!$X$15,ROW(AD76)-ROW(AD$15),0),
              ROUND(ROUND(OFFSET($P76,0,AD$13),15-13*ORÇAMENTO!$AF$7)*OFFSET(ORÇAMENTO!$W$15,ROW(AD76)-ROW(AD$15),0),15-13*ORÇAMENTO!$AF$11)),
         0)</f>
        <v>0</v>
      </c>
      <c r="AE76" s="454">
        <f ca="1">IF(AND($D76="Serviço",AE$12&lt;&gt;0,$H76&gt;0,OR(AUTOEVENTO&lt;&gt;"manual",$M76&lt;&gt;$A$15)),
        IF(Import.TipoArredondamento&lt;&gt;"TransfereGOV",
              ROUND(OFFSET($P76,0,AE$13),15-13*ORÇAMENTO!$AF$7)/$H76*OFFSET(ORÇAMENTO!$X$15,ROW(AE76)-ROW(AE$15),0),
              ROUND(ROUND(OFFSET($P76,0,AE$13),15-13*ORÇAMENTO!$AF$7)*OFFSET(ORÇAMENTO!$W$15,ROW(AE76)-ROW(AE$15),0),15-13*ORÇAMENTO!$AF$11)),
         0)</f>
        <v>0</v>
      </c>
      <c r="AF76" s="454">
        <f ca="1">IF(AND($D76="Serviço",AF$12&lt;&gt;0,$H76&gt;0,OR(AUTOEVENTO&lt;&gt;"manual",$M76&lt;&gt;$A$15)),
        IF(Import.TipoArredondamento&lt;&gt;"TransfereGOV",
              ROUND(OFFSET($P76,0,AF$13),15-13*ORÇAMENTO!$AF$7)/$H76*OFFSET(ORÇAMENTO!$X$15,ROW(AF76)-ROW(AF$15),0),
              ROUND(ROUND(OFFSET($P76,0,AF$13),15-13*ORÇAMENTO!$AF$7)*OFFSET(ORÇAMENTO!$W$15,ROW(AF76)-ROW(AF$15),0),15-13*ORÇAMENTO!$AF$11)),
         0)</f>
        <v>0</v>
      </c>
      <c r="AG76" s="454">
        <f ca="1">IF(AND($D76="Serviço",AG$12&lt;&gt;0,$H76&gt;0,OR(AUTOEVENTO&lt;&gt;"manual",$M76&lt;&gt;$A$15)),
        IF(Import.TipoArredondamento&lt;&gt;"TransfereGOV",
              ROUND(OFFSET($P76,0,AG$13),15-13*ORÇAMENTO!$AF$7)/$H76*OFFSET(ORÇAMENTO!$X$15,ROW(AG76)-ROW(AG$15),0),
              ROUND(ROUND(OFFSET($P76,0,AG$13),15-13*ORÇAMENTO!$AF$7)*OFFSET(ORÇAMENTO!$W$15,ROW(AG76)-ROW(AG$15),0),15-13*ORÇAMENTO!$AF$11)),
         0)</f>
        <v>0</v>
      </c>
      <c r="AH76" s="454">
        <f ca="1">IF(AND($D76="Serviço",AH$12&lt;&gt;0,$H76&gt;0,OR(AUTOEVENTO&lt;&gt;"manual",$M76&lt;&gt;$A$15)),
        IF(Import.TipoArredondamento&lt;&gt;"TransfereGOV",
              ROUND(OFFSET($P76,0,AH$13),15-13*ORÇAMENTO!$AF$7)/$H76*OFFSET(ORÇAMENTO!$X$15,ROW(AH76)-ROW(AH$15),0),
              ROUND(ROUND(OFFSET($P76,0,AH$13),15-13*ORÇAMENTO!$AF$7)*OFFSET(ORÇAMENTO!$W$15,ROW(AH76)-ROW(AH$15),0),15-13*ORÇAMENTO!$AF$11)),
         0)</f>
        <v>0</v>
      </c>
      <c r="AI76" s="454">
        <f ca="1">IF(AND($D76="Serviço",AI$12&lt;&gt;0,$H76&gt;0,OR(AUTOEVENTO&lt;&gt;"manual",$M76&lt;&gt;$A$15)),
        IF(Import.TipoArredondamento&lt;&gt;"TransfereGOV",
              ROUND(OFFSET($P76,0,AI$13),15-13*ORÇAMENTO!$AF$7)/$H76*OFFSET(ORÇAMENTO!$X$15,ROW(AI76)-ROW(AI$15),0),
              ROUND(ROUND(OFFSET($P76,0,AI$13),15-13*ORÇAMENTO!$AF$7)*OFFSET(ORÇAMENTO!$W$15,ROW(AI76)-ROW(AI$15),0),15-13*ORÇAMENTO!$AF$11)),
         0)</f>
        <v>0</v>
      </c>
      <c r="AJ76" s="454">
        <f ca="1">IF(AND($D76="Serviço",AJ$12&lt;&gt;0,$H76&gt;0,OR(AUTOEVENTO&lt;&gt;"manual",$M76&lt;&gt;$A$15)),
        IF(Import.TipoArredondamento&lt;&gt;"TransfereGOV",
              ROUND(OFFSET($P76,0,AJ$13),15-13*ORÇAMENTO!$AF$7)/$H76*OFFSET(ORÇAMENTO!$X$15,ROW(AJ76)-ROW(AJ$15),0),
              ROUND(ROUND(OFFSET($P76,0,AJ$13),15-13*ORÇAMENTO!$AF$7)*OFFSET(ORÇAMENTO!$W$15,ROW(AJ76)-ROW(AJ$15),0),15-13*ORÇAMENTO!$AF$11)),
         0)</f>
        <v>0</v>
      </c>
      <c r="AK76" s="454">
        <f ca="1">IF(AND($D76="Serviço",AK$12&lt;&gt;0,$H76&gt;0,OR(AUTOEVENTO&lt;&gt;"manual",$M76&lt;&gt;$A$15)),
        IF(Import.TipoArredondamento&lt;&gt;"TransfereGOV",
              ROUND(OFFSET($P76,0,AK$13),15-13*ORÇAMENTO!$AF$7)/$H76*OFFSET(ORÇAMENTO!$X$15,ROW(AK76)-ROW(AK$15),0),
              ROUND(ROUND(OFFSET($P76,0,AK$13),15-13*ORÇAMENTO!$AF$7)*OFFSET(ORÇAMENTO!$W$15,ROW(AK76)-ROW(AK$15),0),15-13*ORÇAMENTO!$AF$11)),
         0)</f>
        <v>0</v>
      </c>
      <c r="AM76" s="172">
        <f ca="1">IF(OR($D76&lt;&gt;"Serviço",AND(AUTOEVENTO="Manual",$M76=$A$15)),0,
         IF(OFFSET(CRONOPLE!$F$15,$M76-$A$15,AM$13)="",10^12,OFFSET(CRONOPLE!$F$15,$M76-$A$15,AM$13)))</f>
        <v>1000000000000</v>
      </c>
      <c r="AN76" s="172">
        <f ca="1">IF(OR($D76&lt;&gt;"Serviço",AND(AUTOEVENTO="Manual",$M76=$A$15)),0,
         IF(OFFSET(CRONOPLE!$F$15,$M76-$A$15,AN$13)="",10^12,OFFSET(CRONOPLE!$F$15,$M76-$A$15,AN$13)))</f>
        <v>1000000000000</v>
      </c>
      <c r="AO76" s="172">
        <f ca="1">IF(OR($D76&lt;&gt;"Serviço",AND(AUTOEVENTO="Manual",$M76=$A$15)),0,
         IF(OFFSET(CRONOPLE!$F$15,$M76-$A$15,AO$13)="",10^12,OFFSET(CRONOPLE!$F$15,$M76-$A$15,AO$13)))</f>
        <v>1000000000000</v>
      </c>
      <c r="AP76" s="172">
        <f ca="1">IF(OR($D76&lt;&gt;"Serviço",AND(AUTOEVENTO="Manual",$M76=$A$15)),0,
         IF(OFFSET(CRONOPLE!$F$15,$M76-$A$15,AP$13)="",10^12,OFFSET(CRONOPLE!$F$15,$M76-$A$15,AP$13)))</f>
        <v>1000000000000</v>
      </c>
      <c r="AQ76" s="172">
        <f ca="1">IF(OR($D76&lt;&gt;"Serviço",AND(AUTOEVENTO="Manual",$M76=$A$15)),0,
         IF(OFFSET(CRONOPLE!$F$15,$M76-$A$15,AQ$13)="",10^12,OFFSET(CRONOPLE!$F$15,$M76-$A$15,AQ$13)))</f>
        <v>1000000000000</v>
      </c>
      <c r="AR76" s="172">
        <f ca="1">IF(OR($D76&lt;&gt;"Serviço",AND(AUTOEVENTO="Manual",$M76=$A$15)),0,
         IF(OFFSET(CRONOPLE!$F$15,$M76-$A$15,AR$13)="",10^12,OFFSET(CRONOPLE!$F$15,$M76-$A$15,AR$13)))</f>
        <v>1000000000000</v>
      </c>
      <c r="AS76" s="172">
        <f ca="1">IF(OR($D76&lt;&gt;"Serviço",AND(AUTOEVENTO="Manual",$M76=$A$15)),0,
         IF(OFFSET(CRONOPLE!$F$15,$M76-$A$15,AS$13)="",10^12,OFFSET(CRONOPLE!$F$15,$M76-$A$15,AS$13)))</f>
        <v>1000000000000</v>
      </c>
      <c r="AT76" s="172">
        <f ca="1">IF(OR($D76&lt;&gt;"Serviço",AND(AUTOEVENTO="Manual",$M76=$A$15)),0,
         IF(OFFSET(CRONOPLE!$F$15,$M76-$A$15,AT$13)="",10^12,OFFSET(CRONOPLE!$F$15,$M76-$A$15,AT$13)))</f>
        <v>1000000000000</v>
      </c>
      <c r="AU76" s="172">
        <f ca="1">IF(OR($D76&lt;&gt;"Serviço",AND(AUTOEVENTO="Manual",$M76=$A$15)),0,
         IF(OFFSET(CRONOPLE!$F$15,$M76-$A$15,AU$13)="",10^12,OFFSET(CRONOPLE!$F$15,$M76-$A$15,AU$13)))</f>
        <v>1000000000000</v>
      </c>
      <c r="AV76" s="172">
        <f ca="1">IF(OR($D76&lt;&gt;"Serviço",AND(AUTOEVENTO="Manual",$M76=$A$15)),0,
         IF(OFFSET(CRONOPLE!$F$15,$M76-$A$15,AV$13)="",10^12,OFFSET(CRONOPLE!$F$15,$M76-$A$15,AV$13)))</f>
        <v>1000000000000</v>
      </c>
      <c r="AX76" s="173">
        <f ca="1">IF(OR($D76&lt;&gt;"Serviço",AND(AUTOEVENTO="Manual",$M76=$A$15),$M76&gt;(ROW(PLE.lastrow)-ROW(PLE.firstrow))),0,
           IF(OFFSET(PLE!$G$15,$M76-$A$15,AX$13)="",10^12,OFFSET(PLE!$G$15,$M76-$A$15,AX$13)))</f>
        <v>1000000000000</v>
      </c>
      <c r="AY76" s="173">
        <f ca="1">IF(OR($D76&lt;&gt;"Serviço",AND(AUTOEVENTO="Manual",$M76=$A$15),$M76&gt;(ROW(PLE.lastrow)-ROW(PLE.firstrow))),0,
           IF(OFFSET(PLE!$G$15,$M76-$A$15,AY$13)="",10^12,OFFSET(PLE!$G$15,$M76-$A$15,AY$13)))</f>
        <v>1000000000000</v>
      </c>
      <c r="AZ76" s="173">
        <f ca="1">IF(OR($D76&lt;&gt;"Serviço",AND(AUTOEVENTO="Manual",$M76=$A$15),$M76&gt;(ROW(PLE.lastrow)-ROW(PLE.firstrow))),0,
           IF(OFFSET(PLE!$G$15,$M76-$A$15,AZ$13)="",10^12,OFFSET(PLE!$G$15,$M76-$A$15,AZ$13)))</f>
        <v>1000000000000</v>
      </c>
      <c r="BA76" s="173">
        <f ca="1">IF(OR($D76&lt;&gt;"Serviço",AND(AUTOEVENTO="Manual",$M76=$A$15),$M76&gt;(ROW(PLE.lastrow)-ROW(PLE.firstrow))),0,
           IF(OFFSET(PLE!$G$15,$M76-$A$15,BA$13)="",10^12,OFFSET(PLE!$G$15,$M76-$A$15,BA$13)))</f>
        <v>1000000000000</v>
      </c>
      <c r="BB76" s="173">
        <f ca="1">IF(OR($D76&lt;&gt;"Serviço",AND(AUTOEVENTO="Manual",$M76=$A$15),$M76&gt;(ROW(PLE.lastrow)-ROW(PLE.firstrow))),0,
           IF(OFFSET(PLE!$G$15,$M76-$A$15,BB$13)="",10^12,OFFSET(PLE!$G$15,$M76-$A$15,BB$13)))</f>
        <v>1000000000000</v>
      </c>
      <c r="BC76" s="173">
        <f ca="1">IF(OR($D76&lt;&gt;"Serviço",AND(AUTOEVENTO="Manual",$M76=$A$15),$M76&gt;(ROW(PLE.lastrow)-ROW(PLE.firstrow))),0,
           IF(OFFSET(PLE!$G$15,$M76-$A$15,BC$13)="",10^12,OFFSET(PLE!$G$15,$M76-$A$15,BC$13)))</f>
        <v>1000000000000</v>
      </c>
      <c r="BD76" s="173">
        <f ca="1">IF(OR($D76&lt;&gt;"Serviço",AND(AUTOEVENTO="Manual",$M76=$A$15),$M76&gt;(ROW(PLE.lastrow)-ROW(PLE.firstrow))),0,
           IF(OFFSET(PLE!$G$15,$M76-$A$15,BD$13)="",10^12,OFFSET(PLE!$G$15,$M76-$A$15,BD$13)))</f>
        <v>1000000000000</v>
      </c>
      <c r="BE76" s="173">
        <f ca="1">IF(OR($D76&lt;&gt;"Serviço",AND(AUTOEVENTO="Manual",$M76=$A$15),$M76&gt;(ROW(PLE.lastrow)-ROW(PLE.firstrow))),0,
           IF(OFFSET(PLE!$G$15,$M76-$A$15,BE$13)="",10^12,OFFSET(PLE!$G$15,$M76-$A$15,BE$13)))</f>
        <v>1000000000000</v>
      </c>
      <c r="BF76" s="173">
        <f ca="1">IF(OR($D76&lt;&gt;"Serviço",AND(AUTOEVENTO="Manual",$M76=$A$15),$M76&gt;(ROW(PLE.lastrow)-ROW(PLE.firstrow))),0,
           IF(OFFSET(PLE!$G$15,$M76-$A$15,BF$13)="",10^12,OFFSET(PLE!$G$15,$M76-$A$15,BF$13)))</f>
        <v>1000000000000</v>
      </c>
      <c r="BG76" s="173">
        <f ca="1">IF(OR($D76&lt;&gt;"Serviço",AND(AUTOEVENTO="Manual",$M76=$A$15),$M76&gt;(ROW(PLE.lastrow)-ROW(PLE.firstrow))),0,
           IF(OFFSET(PLE!$G$15,$M76-$A$15,BG$13)="",10^12,OFFSET(PLE!$G$15,$M76-$A$15,BG$13)))</f>
        <v>1000000000000</v>
      </c>
    </row>
    <row r="77" spans="1:59" ht="25.5" x14ac:dyDescent="0.2">
      <c r="A77" s="7" t="str">
        <f t="shared" ca="1" si="8"/>
        <v>39</v>
      </c>
      <c r="B77" s="7" t="str">
        <f ca="1">OFFSET(ORÇAMENTO!C$15,ROW(B77)-ROW(B$15),0)</f>
        <v>S</v>
      </c>
      <c r="C77" s="7" t="str">
        <f ca="1">OFFSET(ORÇAMENTO!L$15,ROW(C77)-ROW(C$15),0)</f>
        <v/>
      </c>
      <c r="D77" s="117" t="str">
        <f ca="1">OFFSET(ORÇAMENTO!N$15,ROW(D77)-ROW(D$15),0)</f>
        <v>Serviço</v>
      </c>
      <c r="E77" s="118" t="str">
        <f ca="1">OFFSET(ORÇAMENTO!O$15,ROW(E77)-ROW(E$15),0)</f>
        <v>-</v>
      </c>
      <c r="F77" s="164" t="str">
        <f ca="1">OFFSET(ORÇAMENTO!R$15,ROW(F77)-ROW(F$15),0)</f>
        <v>DISJUNTOR MONOPOLAR TIPO DIN, CORRENTE NOMINAL DE 32A - FORNECIMENTO E INSTALAÇÃO. AF_10/2020</v>
      </c>
      <c r="G77" s="165" t="str">
        <f ca="1">IF($D77&lt;&gt;"Serviço","",OFFSET(ORÇAMENTO!S$15,ROW(G77)-ROW(G$15),0))</f>
        <v>UN</v>
      </c>
      <c r="H77" s="123">
        <f ca="1">IF($D77&lt;&gt;"Serviço",0,IF(ACOMPANHAMENTO="BM",ROUND(OFFSET(ORÇAMENTO!AJ$15,ROW(H77)-ROW(H$15),0),15-13*ORÇAMENTO!$AF$7),SUMPRODUCT(($Q$1:$AA$1=1)*ROUND($Q77:$AA77,15-13*ORÇAMENTO!$AF$7))))</f>
        <v>2</v>
      </c>
      <c r="I77" s="469"/>
      <c r="J77" s="577" t="str" cm="1">
        <f t="array" aca="1" ref="J77" ca="1">IF(B77&lt;&gt;"S","",IF(AND(ACOMPANHAMENTO="PLE",AUTOEVENTO="Manual",OR(H77&gt;0,ORÇAMENTO!AC77="QUANT."),OR(K77="",M77=0,N77="")),"►",IF(AND(ACOMPANHAMENTO="PLE",ORÇAMENTO!AC77="QUANT."),"►►",IF(AND(COUNTIF($P$11:$AA$11,"▼")=0,H77&gt;0,I77=""),"◄",""))))</f>
        <v>◄</v>
      </c>
      <c r="K77" s="626"/>
      <c r="L77" s="166" t="s">
        <v>765</v>
      </c>
      <c r="M77" s="167">
        <f ca="1">IF($D77&lt;&gt;"Serviço","",
          IF(AUTOEVENTO="manual",$A77,
                IF(ISERROR(MATCH($A77,$A$15:OFFSET($A77,-1,0),0)),MAX($M$15:OFFSET(M77,-1,0))+1,
                      INDEX($M$15:OFFSET(M77,-1,0),MATCH($A77,$A$15:OFFSET($A77,-1,0),0)))))</f>
        <v>9</v>
      </c>
      <c r="N77" s="168" t="str">
        <f ca="1">IF($D77&lt;&gt;"Serviço","",
         IF(AUTOEVENTO="Manual",
                IF($A77=0,"&lt;-- defina o número do agrupador",
                       OFFSET(EVENTOS!$D$15,$A77-$A$15,0)),
                OFFSET($F$15,$A77,0)))</f>
        <v>INSTALAÇÕES ELÉTRICAS</v>
      </c>
      <c r="O77" s="169"/>
      <c r="Q77" s="169"/>
      <c r="R77" s="170"/>
      <c r="S77" s="170"/>
      <c r="T77" s="170"/>
      <c r="U77" s="170"/>
      <c r="V77" s="170"/>
      <c r="W77" s="170"/>
      <c r="X77" s="170"/>
      <c r="Y77" s="170"/>
      <c r="Z77" s="171"/>
      <c r="AB77" s="454">
        <f ca="1">IF(AND($D77="Serviço",AB$12&lt;&gt;0,$H77&gt;0,OR(AUTOEVENTO&lt;&gt;"manual",$M77&lt;&gt;$A$15)),
        IF(Import.TipoArredondamento&lt;&gt;"TransfereGOV",
              ROUND(OFFSET($P77,0,AB$13),15-13*ORÇAMENTO!$AF$7)/$H77*OFFSET(ORÇAMENTO!$X$15,ROW(AB77)-ROW(AB$15),0),
              ROUND(ROUND(OFFSET($P77,0,AB$13),15-13*ORÇAMENTO!$AF$7)*OFFSET(ORÇAMENTO!$W$15,ROW(AB77)-ROW(AB$15),0),15-13*ORÇAMENTO!$AF$11)),
         0)</f>
        <v>0</v>
      </c>
      <c r="AC77" s="454">
        <f ca="1">IF(AND($D77="Serviço",AC$12&lt;&gt;0,$H77&gt;0,OR(AUTOEVENTO&lt;&gt;"manual",$M77&lt;&gt;$A$15)),
        IF(Import.TipoArredondamento&lt;&gt;"TransfereGOV",
              ROUND(OFFSET($P77,0,AC$13),15-13*ORÇAMENTO!$AF$7)/$H77*OFFSET(ORÇAMENTO!$X$15,ROW(AC77)-ROW(AC$15),0),
              ROUND(ROUND(OFFSET($P77,0,AC$13),15-13*ORÇAMENTO!$AF$7)*OFFSET(ORÇAMENTO!$W$15,ROW(AC77)-ROW(AC$15),0),15-13*ORÇAMENTO!$AF$11)),
         0)</f>
        <v>0</v>
      </c>
      <c r="AD77" s="454">
        <f ca="1">IF(AND($D77="Serviço",AD$12&lt;&gt;0,$H77&gt;0,OR(AUTOEVENTO&lt;&gt;"manual",$M77&lt;&gt;$A$15)),
        IF(Import.TipoArredondamento&lt;&gt;"TransfereGOV",
              ROUND(OFFSET($P77,0,AD$13),15-13*ORÇAMENTO!$AF$7)/$H77*OFFSET(ORÇAMENTO!$X$15,ROW(AD77)-ROW(AD$15),0),
              ROUND(ROUND(OFFSET($P77,0,AD$13),15-13*ORÇAMENTO!$AF$7)*OFFSET(ORÇAMENTO!$W$15,ROW(AD77)-ROW(AD$15),0),15-13*ORÇAMENTO!$AF$11)),
         0)</f>
        <v>0</v>
      </c>
      <c r="AE77" s="454">
        <f ca="1">IF(AND($D77="Serviço",AE$12&lt;&gt;0,$H77&gt;0,OR(AUTOEVENTO&lt;&gt;"manual",$M77&lt;&gt;$A$15)),
        IF(Import.TipoArredondamento&lt;&gt;"TransfereGOV",
              ROUND(OFFSET($P77,0,AE$13),15-13*ORÇAMENTO!$AF$7)/$H77*OFFSET(ORÇAMENTO!$X$15,ROW(AE77)-ROW(AE$15),0),
              ROUND(ROUND(OFFSET($P77,0,AE$13),15-13*ORÇAMENTO!$AF$7)*OFFSET(ORÇAMENTO!$W$15,ROW(AE77)-ROW(AE$15),0),15-13*ORÇAMENTO!$AF$11)),
         0)</f>
        <v>0</v>
      </c>
      <c r="AF77" s="454">
        <f ca="1">IF(AND($D77="Serviço",AF$12&lt;&gt;0,$H77&gt;0,OR(AUTOEVENTO&lt;&gt;"manual",$M77&lt;&gt;$A$15)),
        IF(Import.TipoArredondamento&lt;&gt;"TransfereGOV",
              ROUND(OFFSET($P77,0,AF$13),15-13*ORÇAMENTO!$AF$7)/$H77*OFFSET(ORÇAMENTO!$X$15,ROW(AF77)-ROW(AF$15),0),
              ROUND(ROUND(OFFSET($P77,0,AF$13),15-13*ORÇAMENTO!$AF$7)*OFFSET(ORÇAMENTO!$W$15,ROW(AF77)-ROW(AF$15),0),15-13*ORÇAMENTO!$AF$11)),
         0)</f>
        <v>0</v>
      </c>
      <c r="AG77" s="454">
        <f ca="1">IF(AND($D77="Serviço",AG$12&lt;&gt;0,$H77&gt;0,OR(AUTOEVENTO&lt;&gt;"manual",$M77&lt;&gt;$A$15)),
        IF(Import.TipoArredondamento&lt;&gt;"TransfereGOV",
              ROUND(OFFSET($P77,0,AG$13),15-13*ORÇAMENTO!$AF$7)/$H77*OFFSET(ORÇAMENTO!$X$15,ROW(AG77)-ROW(AG$15),0),
              ROUND(ROUND(OFFSET($P77,0,AG$13),15-13*ORÇAMENTO!$AF$7)*OFFSET(ORÇAMENTO!$W$15,ROW(AG77)-ROW(AG$15),0),15-13*ORÇAMENTO!$AF$11)),
         0)</f>
        <v>0</v>
      </c>
      <c r="AH77" s="454">
        <f ca="1">IF(AND($D77="Serviço",AH$12&lt;&gt;0,$H77&gt;0,OR(AUTOEVENTO&lt;&gt;"manual",$M77&lt;&gt;$A$15)),
        IF(Import.TipoArredondamento&lt;&gt;"TransfereGOV",
              ROUND(OFFSET($P77,0,AH$13),15-13*ORÇAMENTO!$AF$7)/$H77*OFFSET(ORÇAMENTO!$X$15,ROW(AH77)-ROW(AH$15),0),
              ROUND(ROUND(OFFSET($P77,0,AH$13),15-13*ORÇAMENTO!$AF$7)*OFFSET(ORÇAMENTO!$W$15,ROW(AH77)-ROW(AH$15),0),15-13*ORÇAMENTO!$AF$11)),
         0)</f>
        <v>0</v>
      </c>
      <c r="AI77" s="454">
        <f ca="1">IF(AND($D77="Serviço",AI$12&lt;&gt;0,$H77&gt;0,OR(AUTOEVENTO&lt;&gt;"manual",$M77&lt;&gt;$A$15)),
        IF(Import.TipoArredondamento&lt;&gt;"TransfereGOV",
              ROUND(OFFSET($P77,0,AI$13),15-13*ORÇAMENTO!$AF$7)/$H77*OFFSET(ORÇAMENTO!$X$15,ROW(AI77)-ROW(AI$15),0),
              ROUND(ROUND(OFFSET($P77,0,AI$13),15-13*ORÇAMENTO!$AF$7)*OFFSET(ORÇAMENTO!$W$15,ROW(AI77)-ROW(AI$15),0),15-13*ORÇAMENTO!$AF$11)),
         0)</f>
        <v>0</v>
      </c>
      <c r="AJ77" s="454">
        <f ca="1">IF(AND($D77="Serviço",AJ$12&lt;&gt;0,$H77&gt;0,OR(AUTOEVENTO&lt;&gt;"manual",$M77&lt;&gt;$A$15)),
        IF(Import.TipoArredondamento&lt;&gt;"TransfereGOV",
              ROUND(OFFSET($P77,0,AJ$13),15-13*ORÇAMENTO!$AF$7)/$H77*OFFSET(ORÇAMENTO!$X$15,ROW(AJ77)-ROW(AJ$15),0),
              ROUND(ROUND(OFFSET($P77,0,AJ$13),15-13*ORÇAMENTO!$AF$7)*OFFSET(ORÇAMENTO!$W$15,ROW(AJ77)-ROW(AJ$15),0),15-13*ORÇAMENTO!$AF$11)),
         0)</f>
        <v>0</v>
      </c>
      <c r="AK77" s="454">
        <f ca="1">IF(AND($D77="Serviço",AK$12&lt;&gt;0,$H77&gt;0,OR(AUTOEVENTO&lt;&gt;"manual",$M77&lt;&gt;$A$15)),
        IF(Import.TipoArredondamento&lt;&gt;"TransfereGOV",
              ROUND(OFFSET($P77,0,AK$13),15-13*ORÇAMENTO!$AF$7)/$H77*OFFSET(ORÇAMENTO!$X$15,ROW(AK77)-ROW(AK$15),0),
              ROUND(ROUND(OFFSET($P77,0,AK$13),15-13*ORÇAMENTO!$AF$7)*OFFSET(ORÇAMENTO!$W$15,ROW(AK77)-ROW(AK$15),0),15-13*ORÇAMENTO!$AF$11)),
         0)</f>
        <v>0</v>
      </c>
      <c r="AM77" s="172">
        <f ca="1">IF(OR($D77&lt;&gt;"Serviço",AND(AUTOEVENTO="Manual",$M77=$A$15)),0,
         IF(OFFSET(CRONOPLE!$F$15,$M77-$A$15,AM$13)="",10^12,OFFSET(CRONOPLE!$F$15,$M77-$A$15,AM$13)))</f>
        <v>1000000000000</v>
      </c>
      <c r="AN77" s="172">
        <f ca="1">IF(OR($D77&lt;&gt;"Serviço",AND(AUTOEVENTO="Manual",$M77=$A$15)),0,
         IF(OFFSET(CRONOPLE!$F$15,$M77-$A$15,AN$13)="",10^12,OFFSET(CRONOPLE!$F$15,$M77-$A$15,AN$13)))</f>
        <v>1000000000000</v>
      </c>
      <c r="AO77" s="172">
        <f ca="1">IF(OR($D77&lt;&gt;"Serviço",AND(AUTOEVENTO="Manual",$M77=$A$15)),0,
         IF(OFFSET(CRONOPLE!$F$15,$M77-$A$15,AO$13)="",10^12,OFFSET(CRONOPLE!$F$15,$M77-$A$15,AO$13)))</f>
        <v>1000000000000</v>
      </c>
      <c r="AP77" s="172">
        <f ca="1">IF(OR($D77&lt;&gt;"Serviço",AND(AUTOEVENTO="Manual",$M77=$A$15)),0,
         IF(OFFSET(CRONOPLE!$F$15,$M77-$A$15,AP$13)="",10^12,OFFSET(CRONOPLE!$F$15,$M77-$A$15,AP$13)))</f>
        <v>1000000000000</v>
      </c>
      <c r="AQ77" s="172">
        <f ca="1">IF(OR($D77&lt;&gt;"Serviço",AND(AUTOEVENTO="Manual",$M77=$A$15)),0,
         IF(OFFSET(CRONOPLE!$F$15,$M77-$A$15,AQ$13)="",10^12,OFFSET(CRONOPLE!$F$15,$M77-$A$15,AQ$13)))</f>
        <v>1000000000000</v>
      </c>
      <c r="AR77" s="172">
        <f ca="1">IF(OR($D77&lt;&gt;"Serviço",AND(AUTOEVENTO="Manual",$M77=$A$15)),0,
         IF(OFFSET(CRONOPLE!$F$15,$M77-$A$15,AR$13)="",10^12,OFFSET(CRONOPLE!$F$15,$M77-$A$15,AR$13)))</f>
        <v>1000000000000</v>
      </c>
      <c r="AS77" s="172">
        <f ca="1">IF(OR($D77&lt;&gt;"Serviço",AND(AUTOEVENTO="Manual",$M77=$A$15)),0,
         IF(OFFSET(CRONOPLE!$F$15,$M77-$A$15,AS$13)="",10^12,OFFSET(CRONOPLE!$F$15,$M77-$A$15,AS$13)))</f>
        <v>1000000000000</v>
      </c>
      <c r="AT77" s="172">
        <f ca="1">IF(OR($D77&lt;&gt;"Serviço",AND(AUTOEVENTO="Manual",$M77=$A$15)),0,
         IF(OFFSET(CRONOPLE!$F$15,$M77-$A$15,AT$13)="",10^12,OFFSET(CRONOPLE!$F$15,$M77-$A$15,AT$13)))</f>
        <v>1000000000000</v>
      </c>
      <c r="AU77" s="172">
        <f ca="1">IF(OR($D77&lt;&gt;"Serviço",AND(AUTOEVENTO="Manual",$M77=$A$15)),0,
         IF(OFFSET(CRONOPLE!$F$15,$M77-$A$15,AU$13)="",10^12,OFFSET(CRONOPLE!$F$15,$M77-$A$15,AU$13)))</f>
        <v>1000000000000</v>
      </c>
      <c r="AV77" s="172">
        <f ca="1">IF(OR($D77&lt;&gt;"Serviço",AND(AUTOEVENTO="Manual",$M77=$A$15)),0,
         IF(OFFSET(CRONOPLE!$F$15,$M77-$A$15,AV$13)="",10^12,OFFSET(CRONOPLE!$F$15,$M77-$A$15,AV$13)))</f>
        <v>1000000000000</v>
      </c>
      <c r="AX77" s="173">
        <f ca="1">IF(OR($D77&lt;&gt;"Serviço",AND(AUTOEVENTO="Manual",$M77=$A$15),$M77&gt;(ROW(PLE.lastrow)-ROW(PLE.firstrow))),0,
           IF(OFFSET(PLE!$G$15,$M77-$A$15,AX$13)="",10^12,OFFSET(PLE!$G$15,$M77-$A$15,AX$13)))</f>
        <v>1000000000000</v>
      </c>
      <c r="AY77" s="173">
        <f ca="1">IF(OR($D77&lt;&gt;"Serviço",AND(AUTOEVENTO="Manual",$M77=$A$15),$M77&gt;(ROW(PLE.lastrow)-ROW(PLE.firstrow))),0,
           IF(OFFSET(PLE!$G$15,$M77-$A$15,AY$13)="",10^12,OFFSET(PLE!$G$15,$M77-$A$15,AY$13)))</f>
        <v>1000000000000</v>
      </c>
      <c r="AZ77" s="173">
        <f ca="1">IF(OR($D77&lt;&gt;"Serviço",AND(AUTOEVENTO="Manual",$M77=$A$15),$M77&gt;(ROW(PLE.lastrow)-ROW(PLE.firstrow))),0,
           IF(OFFSET(PLE!$G$15,$M77-$A$15,AZ$13)="",10^12,OFFSET(PLE!$G$15,$M77-$A$15,AZ$13)))</f>
        <v>1000000000000</v>
      </c>
      <c r="BA77" s="173">
        <f ca="1">IF(OR($D77&lt;&gt;"Serviço",AND(AUTOEVENTO="Manual",$M77=$A$15),$M77&gt;(ROW(PLE.lastrow)-ROW(PLE.firstrow))),0,
           IF(OFFSET(PLE!$G$15,$M77-$A$15,BA$13)="",10^12,OFFSET(PLE!$G$15,$M77-$A$15,BA$13)))</f>
        <v>1000000000000</v>
      </c>
      <c r="BB77" s="173">
        <f ca="1">IF(OR($D77&lt;&gt;"Serviço",AND(AUTOEVENTO="Manual",$M77=$A$15),$M77&gt;(ROW(PLE.lastrow)-ROW(PLE.firstrow))),0,
           IF(OFFSET(PLE!$G$15,$M77-$A$15,BB$13)="",10^12,OFFSET(PLE!$G$15,$M77-$A$15,BB$13)))</f>
        <v>1000000000000</v>
      </c>
      <c r="BC77" s="173">
        <f ca="1">IF(OR($D77&lt;&gt;"Serviço",AND(AUTOEVENTO="Manual",$M77=$A$15),$M77&gt;(ROW(PLE.lastrow)-ROW(PLE.firstrow))),0,
           IF(OFFSET(PLE!$G$15,$M77-$A$15,BC$13)="",10^12,OFFSET(PLE!$G$15,$M77-$A$15,BC$13)))</f>
        <v>1000000000000</v>
      </c>
      <c r="BD77" s="173">
        <f ca="1">IF(OR($D77&lt;&gt;"Serviço",AND(AUTOEVENTO="Manual",$M77=$A$15),$M77&gt;(ROW(PLE.lastrow)-ROW(PLE.firstrow))),0,
           IF(OFFSET(PLE!$G$15,$M77-$A$15,BD$13)="",10^12,OFFSET(PLE!$G$15,$M77-$A$15,BD$13)))</f>
        <v>1000000000000</v>
      </c>
      <c r="BE77" s="173">
        <f ca="1">IF(OR($D77&lt;&gt;"Serviço",AND(AUTOEVENTO="Manual",$M77=$A$15),$M77&gt;(ROW(PLE.lastrow)-ROW(PLE.firstrow))),0,
           IF(OFFSET(PLE!$G$15,$M77-$A$15,BE$13)="",10^12,OFFSET(PLE!$G$15,$M77-$A$15,BE$13)))</f>
        <v>1000000000000</v>
      </c>
      <c r="BF77" s="173">
        <f ca="1">IF(OR($D77&lt;&gt;"Serviço",AND(AUTOEVENTO="Manual",$M77=$A$15),$M77&gt;(ROW(PLE.lastrow)-ROW(PLE.firstrow))),0,
           IF(OFFSET(PLE!$G$15,$M77-$A$15,BF$13)="",10^12,OFFSET(PLE!$G$15,$M77-$A$15,BF$13)))</f>
        <v>1000000000000</v>
      </c>
      <c r="BG77" s="173">
        <f ca="1">IF(OR($D77&lt;&gt;"Serviço",AND(AUTOEVENTO="Manual",$M77=$A$15),$M77&gt;(ROW(PLE.lastrow)-ROW(PLE.firstrow))),0,
           IF(OFFSET(PLE!$G$15,$M77-$A$15,BG$13)="",10^12,OFFSET(PLE!$G$15,$M77-$A$15,BG$13)))</f>
        <v>1000000000000</v>
      </c>
    </row>
    <row r="78" spans="1:59" ht="25.5" x14ac:dyDescent="0.2">
      <c r="A78" s="7" t="str">
        <f t="shared" ca="1" si="8"/>
        <v>39</v>
      </c>
      <c r="B78" s="7" t="str">
        <f ca="1">OFFSET(ORÇAMENTO!C$15,ROW(B78)-ROW(B$15),0)</f>
        <v>S</v>
      </c>
      <c r="C78" s="7" t="str">
        <f ca="1">OFFSET(ORÇAMENTO!L$15,ROW(C78)-ROW(C$15),0)</f>
        <v/>
      </c>
      <c r="D78" s="117" t="str">
        <f ca="1">OFFSET(ORÇAMENTO!N$15,ROW(D78)-ROW(D$15),0)</f>
        <v>Serviço</v>
      </c>
      <c r="E78" s="118" t="str">
        <f ca="1">OFFSET(ORÇAMENTO!O$15,ROW(E78)-ROW(E$15),0)</f>
        <v>-</v>
      </c>
      <c r="F78" s="164" t="str">
        <f ca="1">OFFSET(ORÇAMENTO!R$15,ROW(F78)-ROW(F$15),0)</f>
        <v xml:space="preserve">DISPOSITIVO DR, 4 POLOS, SENSIBILIDADE DE 30 MA, CORRENTE DE 25 A, TIPO AC                                                                                                                                                                                </v>
      </c>
      <c r="G78" s="165" t="str">
        <f ca="1">IF($D78&lt;&gt;"Serviço","",OFFSET(ORÇAMENTO!S$15,ROW(G78)-ROW(G$15),0))</f>
        <v xml:space="preserve">UN    </v>
      </c>
      <c r="H78" s="123">
        <f ca="1">IF($D78&lt;&gt;"Serviço",0,IF(ACOMPANHAMENTO="BM",ROUND(OFFSET(ORÇAMENTO!AJ$15,ROW(H78)-ROW(H$15),0),15-13*ORÇAMENTO!$AF$7),SUMPRODUCT(($Q$1:$AA$1=1)*ROUND($Q78:$AA78,15-13*ORÇAMENTO!$AF$7))))</f>
        <v>1</v>
      </c>
      <c r="I78" s="469"/>
      <c r="J78" s="577" t="str" cm="1">
        <f t="array" aca="1" ref="J78" ca="1">IF(B78&lt;&gt;"S","",IF(AND(ACOMPANHAMENTO="PLE",AUTOEVENTO="Manual",OR(H78&gt;0,ORÇAMENTO!AC78="QUANT."),OR(K78="",M78=0,N78="")),"►",IF(AND(ACOMPANHAMENTO="PLE",ORÇAMENTO!AC78="QUANT."),"►►",IF(AND(COUNTIF($P$11:$AA$11,"▼")=0,H78&gt;0,I78=""),"◄",""))))</f>
        <v>◄</v>
      </c>
      <c r="K78" s="626"/>
      <c r="L78" s="166" t="s">
        <v>765</v>
      </c>
      <c r="M78" s="167">
        <f ca="1">IF($D78&lt;&gt;"Serviço","",
          IF(AUTOEVENTO="manual",$A78,
                IF(ISERROR(MATCH($A78,$A$15:OFFSET($A78,-1,0),0)),MAX($M$15:OFFSET(M78,-1,0))+1,
                      INDEX($M$15:OFFSET(M78,-1,0),MATCH($A78,$A$15:OFFSET($A78,-1,0),0)))))</f>
        <v>9</v>
      </c>
      <c r="N78" s="168" t="str">
        <f ca="1">IF($D78&lt;&gt;"Serviço","",
         IF(AUTOEVENTO="Manual",
                IF($A78=0,"&lt;-- defina o número do agrupador",
                       OFFSET(EVENTOS!$D$15,$A78-$A$15,0)),
                OFFSET($F$15,$A78,0)))</f>
        <v>INSTALAÇÕES ELÉTRICAS</v>
      </c>
      <c r="O78" s="169"/>
      <c r="Q78" s="169"/>
      <c r="R78" s="170"/>
      <c r="S78" s="170"/>
      <c r="T78" s="170"/>
      <c r="U78" s="170"/>
      <c r="V78" s="170"/>
      <c r="W78" s="170"/>
      <c r="X78" s="170"/>
      <c r="Y78" s="170"/>
      <c r="Z78" s="171"/>
      <c r="AB78" s="454">
        <f ca="1">IF(AND($D78="Serviço",AB$12&lt;&gt;0,$H78&gt;0,OR(AUTOEVENTO&lt;&gt;"manual",$M78&lt;&gt;$A$15)),
        IF(Import.TipoArredondamento&lt;&gt;"TransfereGOV",
              ROUND(OFFSET($P78,0,AB$13),15-13*ORÇAMENTO!$AF$7)/$H78*OFFSET(ORÇAMENTO!$X$15,ROW(AB78)-ROW(AB$15),0),
              ROUND(ROUND(OFFSET($P78,0,AB$13),15-13*ORÇAMENTO!$AF$7)*OFFSET(ORÇAMENTO!$W$15,ROW(AB78)-ROW(AB$15),0),15-13*ORÇAMENTO!$AF$11)),
         0)</f>
        <v>0</v>
      </c>
      <c r="AC78" s="454">
        <f ca="1">IF(AND($D78="Serviço",AC$12&lt;&gt;0,$H78&gt;0,OR(AUTOEVENTO&lt;&gt;"manual",$M78&lt;&gt;$A$15)),
        IF(Import.TipoArredondamento&lt;&gt;"TransfereGOV",
              ROUND(OFFSET($P78,0,AC$13),15-13*ORÇAMENTO!$AF$7)/$H78*OFFSET(ORÇAMENTO!$X$15,ROW(AC78)-ROW(AC$15),0),
              ROUND(ROUND(OFFSET($P78,0,AC$13),15-13*ORÇAMENTO!$AF$7)*OFFSET(ORÇAMENTO!$W$15,ROW(AC78)-ROW(AC$15),0),15-13*ORÇAMENTO!$AF$11)),
         0)</f>
        <v>0</v>
      </c>
      <c r="AD78" s="454">
        <f ca="1">IF(AND($D78="Serviço",AD$12&lt;&gt;0,$H78&gt;0,OR(AUTOEVENTO&lt;&gt;"manual",$M78&lt;&gt;$A$15)),
        IF(Import.TipoArredondamento&lt;&gt;"TransfereGOV",
              ROUND(OFFSET($P78,0,AD$13),15-13*ORÇAMENTO!$AF$7)/$H78*OFFSET(ORÇAMENTO!$X$15,ROW(AD78)-ROW(AD$15),0),
              ROUND(ROUND(OFFSET($P78,0,AD$13),15-13*ORÇAMENTO!$AF$7)*OFFSET(ORÇAMENTO!$W$15,ROW(AD78)-ROW(AD$15),0),15-13*ORÇAMENTO!$AF$11)),
         0)</f>
        <v>0</v>
      </c>
      <c r="AE78" s="454">
        <f ca="1">IF(AND($D78="Serviço",AE$12&lt;&gt;0,$H78&gt;0,OR(AUTOEVENTO&lt;&gt;"manual",$M78&lt;&gt;$A$15)),
        IF(Import.TipoArredondamento&lt;&gt;"TransfereGOV",
              ROUND(OFFSET($P78,0,AE$13),15-13*ORÇAMENTO!$AF$7)/$H78*OFFSET(ORÇAMENTO!$X$15,ROW(AE78)-ROW(AE$15),0),
              ROUND(ROUND(OFFSET($P78,0,AE$13),15-13*ORÇAMENTO!$AF$7)*OFFSET(ORÇAMENTO!$W$15,ROW(AE78)-ROW(AE$15),0),15-13*ORÇAMENTO!$AF$11)),
         0)</f>
        <v>0</v>
      </c>
      <c r="AF78" s="454">
        <f ca="1">IF(AND($D78="Serviço",AF$12&lt;&gt;0,$H78&gt;0,OR(AUTOEVENTO&lt;&gt;"manual",$M78&lt;&gt;$A$15)),
        IF(Import.TipoArredondamento&lt;&gt;"TransfereGOV",
              ROUND(OFFSET($P78,0,AF$13),15-13*ORÇAMENTO!$AF$7)/$H78*OFFSET(ORÇAMENTO!$X$15,ROW(AF78)-ROW(AF$15),0),
              ROUND(ROUND(OFFSET($P78,0,AF$13),15-13*ORÇAMENTO!$AF$7)*OFFSET(ORÇAMENTO!$W$15,ROW(AF78)-ROW(AF$15),0),15-13*ORÇAMENTO!$AF$11)),
         0)</f>
        <v>0</v>
      </c>
      <c r="AG78" s="454">
        <f ca="1">IF(AND($D78="Serviço",AG$12&lt;&gt;0,$H78&gt;0,OR(AUTOEVENTO&lt;&gt;"manual",$M78&lt;&gt;$A$15)),
        IF(Import.TipoArredondamento&lt;&gt;"TransfereGOV",
              ROUND(OFFSET($P78,0,AG$13),15-13*ORÇAMENTO!$AF$7)/$H78*OFFSET(ORÇAMENTO!$X$15,ROW(AG78)-ROW(AG$15),0),
              ROUND(ROUND(OFFSET($P78,0,AG$13),15-13*ORÇAMENTO!$AF$7)*OFFSET(ORÇAMENTO!$W$15,ROW(AG78)-ROW(AG$15),0),15-13*ORÇAMENTO!$AF$11)),
         0)</f>
        <v>0</v>
      </c>
      <c r="AH78" s="454">
        <f ca="1">IF(AND($D78="Serviço",AH$12&lt;&gt;0,$H78&gt;0,OR(AUTOEVENTO&lt;&gt;"manual",$M78&lt;&gt;$A$15)),
        IF(Import.TipoArredondamento&lt;&gt;"TransfereGOV",
              ROUND(OFFSET($P78,0,AH$13),15-13*ORÇAMENTO!$AF$7)/$H78*OFFSET(ORÇAMENTO!$X$15,ROW(AH78)-ROW(AH$15),0),
              ROUND(ROUND(OFFSET($P78,0,AH$13),15-13*ORÇAMENTO!$AF$7)*OFFSET(ORÇAMENTO!$W$15,ROW(AH78)-ROW(AH$15),0),15-13*ORÇAMENTO!$AF$11)),
         0)</f>
        <v>0</v>
      </c>
      <c r="AI78" s="454">
        <f ca="1">IF(AND($D78="Serviço",AI$12&lt;&gt;0,$H78&gt;0,OR(AUTOEVENTO&lt;&gt;"manual",$M78&lt;&gt;$A$15)),
        IF(Import.TipoArredondamento&lt;&gt;"TransfereGOV",
              ROUND(OFFSET($P78,0,AI$13),15-13*ORÇAMENTO!$AF$7)/$H78*OFFSET(ORÇAMENTO!$X$15,ROW(AI78)-ROW(AI$15),0),
              ROUND(ROUND(OFFSET($P78,0,AI$13),15-13*ORÇAMENTO!$AF$7)*OFFSET(ORÇAMENTO!$W$15,ROW(AI78)-ROW(AI$15),0),15-13*ORÇAMENTO!$AF$11)),
         0)</f>
        <v>0</v>
      </c>
      <c r="AJ78" s="454">
        <f ca="1">IF(AND($D78="Serviço",AJ$12&lt;&gt;0,$H78&gt;0,OR(AUTOEVENTO&lt;&gt;"manual",$M78&lt;&gt;$A$15)),
        IF(Import.TipoArredondamento&lt;&gt;"TransfereGOV",
              ROUND(OFFSET($P78,0,AJ$13),15-13*ORÇAMENTO!$AF$7)/$H78*OFFSET(ORÇAMENTO!$X$15,ROW(AJ78)-ROW(AJ$15),0),
              ROUND(ROUND(OFFSET($P78,0,AJ$13),15-13*ORÇAMENTO!$AF$7)*OFFSET(ORÇAMENTO!$W$15,ROW(AJ78)-ROW(AJ$15),0),15-13*ORÇAMENTO!$AF$11)),
         0)</f>
        <v>0</v>
      </c>
      <c r="AK78" s="454">
        <f ca="1">IF(AND($D78="Serviço",AK$12&lt;&gt;0,$H78&gt;0,OR(AUTOEVENTO&lt;&gt;"manual",$M78&lt;&gt;$A$15)),
        IF(Import.TipoArredondamento&lt;&gt;"TransfereGOV",
              ROUND(OFFSET($P78,0,AK$13),15-13*ORÇAMENTO!$AF$7)/$H78*OFFSET(ORÇAMENTO!$X$15,ROW(AK78)-ROW(AK$15),0),
              ROUND(ROUND(OFFSET($P78,0,AK$13),15-13*ORÇAMENTO!$AF$7)*OFFSET(ORÇAMENTO!$W$15,ROW(AK78)-ROW(AK$15),0),15-13*ORÇAMENTO!$AF$11)),
         0)</f>
        <v>0</v>
      </c>
      <c r="AM78" s="172">
        <f ca="1">IF(OR($D78&lt;&gt;"Serviço",AND(AUTOEVENTO="Manual",$M78=$A$15)),0,
         IF(OFFSET(CRONOPLE!$F$15,$M78-$A$15,AM$13)="",10^12,OFFSET(CRONOPLE!$F$15,$M78-$A$15,AM$13)))</f>
        <v>1000000000000</v>
      </c>
      <c r="AN78" s="172">
        <f ca="1">IF(OR($D78&lt;&gt;"Serviço",AND(AUTOEVENTO="Manual",$M78=$A$15)),0,
         IF(OFFSET(CRONOPLE!$F$15,$M78-$A$15,AN$13)="",10^12,OFFSET(CRONOPLE!$F$15,$M78-$A$15,AN$13)))</f>
        <v>1000000000000</v>
      </c>
      <c r="AO78" s="172">
        <f ca="1">IF(OR($D78&lt;&gt;"Serviço",AND(AUTOEVENTO="Manual",$M78=$A$15)),0,
         IF(OFFSET(CRONOPLE!$F$15,$M78-$A$15,AO$13)="",10^12,OFFSET(CRONOPLE!$F$15,$M78-$A$15,AO$13)))</f>
        <v>1000000000000</v>
      </c>
      <c r="AP78" s="172">
        <f ca="1">IF(OR($D78&lt;&gt;"Serviço",AND(AUTOEVENTO="Manual",$M78=$A$15)),0,
         IF(OFFSET(CRONOPLE!$F$15,$M78-$A$15,AP$13)="",10^12,OFFSET(CRONOPLE!$F$15,$M78-$A$15,AP$13)))</f>
        <v>1000000000000</v>
      </c>
      <c r="AQ78" s="172">
        <f ca="1">IF(OR($D78&lt;&gt;"Serviço",AND(AUTOEVENTO="Manual",$M78=$A$15)),0,
         IF(OFFSET(CRONOPLE!$F$15,$M78-$A$15,AQ$13)="",10^12,OFFSET(CRONOPLE!$F$15,$M78-$A$15,AQ$13)))</f>
        <v>1000000000000</v>
      </c>
      <c r="AR78" s="172">
        <f ca="1">IF(OR($D78&lt;&gt;"Serviço",AND(AUTOEVENTO="Manual",$M78=$A$15)),0,
         IF(OFFSET(CRONOPLE!$F$15,$M78-$A$15,AR$13)="",10^12,OFFSET(CRONOPLE!$F$15,$M78-$A$15,AR$13)))</f>
        <v>1000000000000</v>
      </c>
      <c r="AS78" s="172">
        <f ca="1">IF(OR($D78&lt;&gt;"Serviço",AND(AUTOEVENTO="Manual",$M78=$A$15)),0,
         IF(OFFSET(CRONOPLE!$F$15,$M78-$A$15,AS$13)="",10^12,OFFSET(CRONOPLE!$F$15,$M78-$A$15,AS$13)))</f>
        <v>1000000000000</v>
      </c>
      <c r="AT78" s="172">
        <f ca="1">IF(OR($D78&lt;&gt;"Serviço",AND(AUTOEVENTO="Manual",$M78=$A$15)),0,
         IF(OFFSET(CRONOPLE!$F$15,$M78-$A$15,AT$13)="",10^12,OFFSET(CRONOPLE!$F$15,$M78-$A$15,AT$13)))</f>
        <v>1000000000000</v>
      </c>
      <c r="AU78" s="172">
        <f ca="1">IF(OR($D78&lt;&gt;"Serviço",AND(AUTOEVENTO="Manual",$M78=$A$15)),0,
         IF(OFFSET(CRONOPLE!$F$15,$M78-$A$15,AU$13)="",10^12,OFFSET(CRONOPLE!$F$15,$M78-$A$15,AU$13)))</f>
        <v>1000000000000</v>
      </c>
      <c r="AV78" s="172">
        <f ca="1">IF(OR($D78&lt;&gt;"Serviço",AND(AUTOEVENTO="Manual",$M78=$A$15)),0,
         IF(OFFSET(CRONOPLE!$F$15,$M78-$A$15,AV$13)="",10^12,OFFSET(CRONOPLE!$F$15,$M78-$A$15,AV$13)))</f>
        <v>1000000000000</v>
      </c>
      <c r="AX78" s="173">
        <f ca="1">IF(OR($D78&lt;&gt;"Serviço",AND(AUTOEVENTO="Manual",$M78=$A$15),$M78&gt;(ROW(PLE.lastrow)-ROW(PLE.firstrow))),0,
           IF(OFFSET(PLE!$G$15,$M78-$A$15,AX$13)="",10^12,OFFSET(PLE!$G$15,$M78-$A$15,AX$13)))</f>
        <v>1000000000000</v>
      </c>
      <c r="AY78" s="173">
        <f ca="1">IF(OR($D78&lt;&gt;"Serviço",AND(AUTOEVENTO="Manual",$M78=$A$15),$M78&gt;(ROW(PLE.lastrow)-ROW(PLE.firstrow))),0,
           IF(OFFSET(PLE!$G$15,$M78-$A$15,AY$13)="",10^12,OFFSET(PLE!$G$15,$M78-$A$15,AY$13)))</f>
        <v>1000000000000</v>
      </c>
      <c r="AZ78" s="173">
        <f ca="1">IF(OR($D78&lt;&gt;"Serviço",AND(AUTOEVENTO="Manual",$M78=$A$15),$M78&gt;(ROW(PLE.lastrow)-ROW(PLE.firstrow))),0,
           IF(OFFSET(PLE!$G$15,$M78-$A$15,AZ$13)="",10^12,OFFSET(PLE!$G$15,$M78-$A$15,AZ$13)))</f>
        <v>1000000000000</v>
      </c>
      <c r="BA78" s="173">
        <f ca="1">IF(OR($D78&lt;&gt;"Serviço",AND(AUTOEVENTO="Manual",$M78=$A$15),$M78&gt;(ROW(PLE.lastrow)-ROW(PLE.firstrow))),0,
           IF(OFFSET(PLE!$G$15,$M78-$A$15,BA$13)="",10^12,OFFSET(PLE!$G$15,$M78-$A$15,BA$13)))</f>
        <v>1000000000000</v>
      </c>
      <c r="BB78" s="173">
        <f ca="1">IF(OR($D78&lt;&gt;"Serviço",AND(AUTOEVENTO="Manual",$M78=$A$15),$M78&gt;(ROW(PLE.lastrow)-ROW(PLE.firstrow))),0,
           IF(OFFSET(PLE!$G$15,$M78-$A$15,BB$13)="",10^12,OFFSET(PLE!$G$15,$M78-$A$15,BB$13)))</f>
        <v>1000000000000</v>
      </c>
      <c r="BC78" s="173">
        <f ca="1">IF(OR($D78&lt;&gt;"Serviço",AND(AUTOEVENTO="Manual",$M78=$A$15),$M78&gt;(ROW(PLE.lastrow)-ROW(PLE.firstrow))),0,
           IF(OFFSET(PLE!$G$15,$M78-$A$15,BC$13)="",10^12,OFFSET(PLE!$G$15,$M78-$A$15,BC$13)))</f>
        <v>1000000000000</v>
      </c>
      <c r="BD78" s="173">
        <f ca="1">IF(OR($D78&lt;&gt;"Serviço",AND(AUTOEVENTO="Manual",$M78=$A$15),$M78&gt;(ROW(PLE.lastrow)-ROW(PLE.firstrow))),0,
           IF(OFFSET(PLE!$G$15,$M78-$A$15,BD$13)="",10^12,OFFSET(PLE!$G$15,$M78-$A$15,BD$13)))</f>
        <v>1000000000000</v>
      </c>
      <c r="BE78" s="173">
        <f ca="1">IF(OR($D78&lt;&gt;"Serviço",AND(AUTOEVENTO="Manual",$M78=$A$15),$M78&gt;(ROW(PLE.lastrow)-ROW(PLE.firstrow))),0,
           IF(OFFSET(PLE!$G$15,$M78-$A$15,BE$13)="",10^12,OFFSET(PLE!$G$15,$M78-$A$15,BE$13)))</f>
        <v>1000000000000</v>
      </c>
      <c r="BF78" s="173">
        <f ca="1">IF(OR($D78&lt;&gt;"Serviço",AND(AUTOEVENTO="Manual",$M78=$A$15),$M78&gt;(ROW(PLE.lastrow)-ROW(PLE.firstrow))),0,
           IF(OFFSET(PLE!$G$15,$M78-$A$15,BF$13)="",10^12,OFFSET(PLE!$G$15,$M78-$A$15,BF$13)))</f>
        <v>1000000000000</v>
      </c>
      <c r="BG78" s="173">
        <f ca="1">IF(OR($D78&lt;&gt;"Serviço",AND(AUTOEVENTO="Manual",$M78=$A$15),$M78&gt;(ROW(PLE.lastrow)-ROW(PLE.firstrow))),0,
           IF(OFFSET(PLE!$G$15,$M78-$A$15,BG$13)="",10^12,OFFSET(PLE!$G$15,$M78-$A$15,BG$13)))</f>
        <v>1000000000000</v>
      </c>
    </row>
    <row r="79" spans="1:59" ht="25.5" x14ac:dyDescent="0.2">
      <c r="A79" s="7" t="str">
        <f t="shared" ref="A79:A142" ca="1" si="9">IF(AUTOEVENTO="Manual",IF(K79&lt;&gt;"",MIN(VALUE(LEFT(K79,FIND(".",K79)-1)),COUNTA(EVENTOS.Lista)),0),IF(OR($B79&gt;AUTOEVENTO,$B79="S",$B79=0),SUBSTITUTE(OFFSET($A79,-1,0),IF($D79="Serviço",".",""),""),ROW(A79)-ROW($A$15)&amp;"."))</f>
        <v>39</v>
      </c>
      <c r="B79" s="7" t="str">
        <f ca="1">OFFSET(ORÇAMENTO!C$15,ROW(B79)-ROW(B$15),0)</f>
        <v>S</v>
      </c>
      <c r="C79" s="7" t="str">
        <f ca="1">OFFSET(ORÇAMENTO!L$15,ROW(C79)-ROW(C$15),0)</f>
        <v/>
      </c>
      <c r="D79" s="117" t="str">
        <f ca="1">OFFSET(ORÇAMENTO!N$15,ROW(D79)-ROW(D$15),0)</f>
        <v>Serviço</v>
      </c>
      <c r="E79" s="118" t="str">
        <f ca="1">OFFSET(ORÇAMENTO!O$15,ROW(E79)-ROW(E$15),0)</f>
        <v>-</v>
      </c>
      <c r="F79" s="164" t="str">
        <f ca="1">OFFSET(ORÇAMENTO!R$15,ROW(F79)-ROW(F$15),0)</f>
        <v xml:space="preserve">DISPOSITIVO DR, 2 POLOS, SENSIBILIDADE DE 30 MA, CORRENTE DE 40 A, TIPO AC                                                                                                                                                                                </v>
      </c>
      <c r="G79" s="165" t="str">
        <f ca="1">IF($D79&lt;&gt;"Serviço","",OFFSET(ORÇAMENTO!S$15,ROW(G79)-ROW(G$15),0))</f>
        <v xml:space="preserve">UN    </v>
      </c>
      <c r="H79" s="123">
        <f ca="1">IF($D79&lt;&gt;"Serviço",0,IF(ACOMPANHAMENTO="BM",ROUND(OFFSET(ORÇAMENTO!AJ$15,ROW(H79)-ROW(H$15),0),15-13*ORÇAMENTO!$AF$7),SUMPRODUCT(($Q$1:$AA$1=1)*ROUND($Q79:$AA79,15-13*ORÇAMENTO!$AF$7))))</f>
        <v>25</v>
      </c>
      <c r="I79" s="469"/>
      <c r="J79" s="577" t="str" cm="1">
        <f t="array" aca="1" ref="J79" ca="1">IF(B79&lt;&gt;"S","",IF(AND(ACOMPANHAMENTO="PLE",AUTOEVENTO="Manual",OR(H79&gt;0,ORÇAMENTO!AC79="QUANT."),OR(K79="",M79=0,N79="")),"►",IF(AND(ACOMPANHAMENTO="PLE",ORÇAMENTO!AC79="QUANT."),"►►",IF(AND(COUNTIF($P$11:$AA$11,"▼")=0,H79&gt;0,I79=""),"◄",""))))</f>
        <v>◄</v>
      </c>
      <c r="K79" s="626"/>
      <c r="L79" s="166" t="s">
        <v>765</v>
      </c>
      <c r="M79" s="167">
        <f ca="1">IF($D79&lt;&gt;"Serviço","",
          IF(AUTOEVENTO="manual",$A79,
                IF(ISERROR(MATCH($A79,$A$15:OFFSET($A79,-1,0),0)),MAX($M$15:OFFSET(M79,-1,0))+1,
                      INDEX($M$15:OFFSET(M79,-1,0),MATCH($A79,$A$15:OFFSET($A79,-1,0),0)))))</f>
        <v>9</v>
      </c>
      <c r="N79" s="168" t="str">
        <f ca="1">IF($D79&lt;&gt;"Serviço","",
         IF(AUTOEVENTO="Manual",
                IF($A79=0,"&lt;-- defina o número do agrupador",
                       OFFSET(EVENTOS!$D$15,$A79-$A$15,0)),
                OFFSET($F$15,$A79,0)))</f>
        <v>INSTALAÇÕES ELÉTRICAS</v>
      </c>
      <c r="O79" s="169"/>
      <c r="Q79" s="169"/>
      <c r="R79" s="170"/>
      <c r="S79" s="170"/>
      <c r="T79" s="170"/>
      <c r="U79" s="170"/>
      <c r="V79" s="170"/>
      <c r="W79" s="170"/>
      <c r="X79" s="170"/>
      <c r="Y79" s="170"/>
      <c r="Z79" s="171"/>
      <c r="AB79" s="454">
        <f ca="1">IF(AND($D79="Serviço",AB$12&lt;&gt;0,$H79&gt;0,OR(AUTOEVENTO&lt;&gt;"manual",$M79&lt;&gt;$A$15)),
        IF(Import.TipoArredondamento&lt;&gt;"TransfereGOV",
              ROUND(OFFSET($P79,0,AB$13),15-13*ORÇAMENTO!$AF$7)/$H79*OFFSET(ORÇAMENTO!$X$15,ROW(AB79)-ROW(AB$15),0),
              ROUND(ROUND(OFFSET($P79,0,AB$13),15-13*ORÇAMENTO!$AF$7)*OFFSET(ORÇAMENTO!$W$15,ROW(AB79)-ROW(AB$15),0),15-13*ORÇAMENTO!$AF$11)),
         0)</f>
        <v>0</v>
      </c>
      <c r="AC79" s="454">
        <f ca="1">IF(AND($D79="Serviço",AC$12&lt;&gt;0,$H79&gt;0,OR(AUTOEVENTO&lt;&gt;"manual",$M79&lt;&gt;$A$15)),
        IF(Import.TipoArredondamento&lt;&gt;"TransfereGOV",
              ROUND(OFFSET($P79,0,AC$13),15-13*ORÇAMENTO!$AF$7)/$H79*OFFSET(ORÇAMENTO!$X$15,ROW(AC79)-ROW(AC$15),0),
              ROUND(ROUND(OFFSET($P79,0,AC$13),15-13*ORÇAMENTO!$AF$7)*OFFSET(ORÇAMENTO!$W$15,ROW(AC79)-ROW(AC$15),0),15-13*ORÇAMENTO!$AF$11)),
         0)</f>
        <v>0</v>
      </c>
      <c r="AD79" s="454">
        <f ca="1">IF(AND($D79="Serviço",AD$12&lt;&gt;0,$H79&gt;0,OR(AUTOEVENTO&lt;&gt;"manual",$M79&lt;&gt;$A$15)),
        IF(Import.TipoArredondamento&lt;&gt;"TransfereGOV",
              ROUND(OFFSET($P79,0,AD$13),15-13*ORÇAMENTO!$AF$7)/$H79*OFFSET(ORÇAMENTO!$X$15,ROW(AD79)-ROW(AD$15),0),
              ROUND(ROUND(OFFSET($P79,0,AD$13),15-13*ORÇAMENTO!$AF$7)*OFFSET(ORÇAMENTO!$W$15,ROW(AD79)-ROW(AD$15),0),15-13*ORÇAMENTO!$AF$11)),
         0)</f>
        <v>0</v>
      </c>
      <c r="AE79" s="454">
        <f ca="1">IF(AND($D79="Serviço",AE$12&lt;&gt;0,$H79&gt;0,OR(AUTOEVENTO&lt;&gt;"manual",$M79&lt;&gt;$A$15)),
        IF(Import.TipoArredondamento&lt;&gt;"TransfereGOV",
              ROUND(OFFSET($P79,0,AE$13),15-13*ORÇAMENTO!$AF$7)/$H79*OFFSET(ORÇAMENTO!$X$15,ROW(AE79)-ROW(AE$15),0),
              ROUND(ROUND(OFFSET($P79,0,AE$13),15-13*ORÇAMENTO!$AF$7)*OFFSET(ORÇAMENTO!$W$15,ROW(AE79)-ROW(AE$15),0),15-13*ORÇAMENTO!$AF$11)),
         0)</f>
        <v>0</v>
      </c>
      <c r="AF79" s="454">
        <f ca="1">IF(AND($D79="Serviço",AF$12&lt;&gt;0,$H79&gt;0,OR(AUTOEVENTO&lt;&gt;"manual",$M79&lt;&gt;$A$15)),
        IF(Import.TipoArredondamento&lt;&gt;"TransfereGOV",
              ROUND(OFFSET($P79,0,AF$13),15-13*ORÇAMENTO!$AF$7)/$H79*OFFSET(ORÇAMENTO!$X$15,ROW(AF79)-ROW(AF$15),0),
              ROUND(ROUND(OFFSET($P79,0,AF$13),15-13*ORÇAMENTO!$AF$7)*OFFSET(ORÇAMENTO!$W$15,ROW(AF79)-ROW(AF$15),0),15-13*ORÇAMENTO!$AF$11)),
         0)</f>
        <v>0</v>
      </c>
      <c r="AG79" s="454">
        <f ca="1">IF(AND($D79="Serviço",AG$12&lt;&gt;0,$H79&gt;0,OR(AUTOEVENTO&lt;&gt;"manual",$M79&lt;&gt;$A$15)),
        IF(Import.TipoArredondamento&lt;&gt;"TransfereGOV",
              ROUND(OFFSET($P79,0,AG$13),15-13*ORÇAMENTO!$AF$7)/$H79*OFFSET(ORÇAMENTO!$X$15,ROW(AG79)-ROW(AG$15),0),
              ROUND(ROUND(OFFSET($P79,0,AG$13),15-13*ORÇAMENTO!$AF$7)*OFFSET(ORÇAMENTO!$W$15,ROW(AG79)-ROW(AG$15),0),15-13*ORÇAMENTO!$AF$11)),
         0)</f>
        <v>0</v>
      </c>
      <c r="AH79" s="454">
        <f ca="1">IF(AND($D79="Serviço",AH$12&lt;&gt;0,$H79&gt;0,OR(AUTOEVENTO&lt;&gt;"manual",$M79&lt;&gt;$A$15)),
        IF(Import.TipoArredondamento&lt;&gt;"TransfereGOV",
              ROUND(OFFSET($P79,0,AH$13),15-13*ORÇAMENTO!$AF$7)/$H79*OFFSET(ORÇAMENTO!$X$15,ROW(AH79)-ROW(AH$15),0),
              ROUND(ROUND(OFFSET($P79,0,AH$13),15-13*ORÇAMENTO!$AF$7)*OFFSET(ORÇAMENTO!$W$15,ROW(AH79)-ROW(AH$15),0),15-13*ORÇAMENTO!$AF$11)),
         0)</f>
        <v>0</v>
      </c>
      <c r="AI79" s="454">
        <f ca="1">IF(AND($D79="Serviço",AI$12&lt;&gt;0,$H79&gt;0,OR(AUTOEVENTO&lt;&gt;"manual",$M79&lt;&gt;$A$15)),
        IF(Import.TipoArredondamento&lt;&gt;"TransfereGOV",
              ROUND(OFFSET($P79,0,AI$13),15-13*ORÇAMENTO!$AF$7)/$H79*OFFSET(ORÇAMENTO!$X$15,ROW(AI79)-ROW(AI$15),0),
              ROUND(ROUND(OFFSET($P79,0,AI$13),15-13*ORÇAMENTO!$AF$7)*OFFSET(ORÇAMENTO!$W$15,ROW(AI79)-ROW(AI$15),0),15-13*ORÇAMENTO!$AF$11)),
         0)</f>
        <v>0</v>
      </c>
      <c r="AJ79" s="454">
        <f ca="1">IF(AND($D79="Serviço",AJ$12&lt;&gt;0,$H79&gt;0,OR(AUTOEVENTO&lt;&gt;"manual",$M79&lt;&gt;$A$15)),
        IF(Import.TipoArredondamento&lt;&gt;"TransfereGOV",
              ROUND(OFFSET($P79,0,AJ$13),15-13*ORÇAMENTO!$AF$7)/$H79*OFFSET(ORÇAMENTO!$X$15,ROW(AJ79)-ROW(AJ$15),0),
              ROUND(ROUND(OFFSET($P79,0,AJ$13),15-13*ORÇAMENTO!$AF$7)*OFFSET(ORÇAMENTO!$W$15,ROW(AJ79)-ROW(AJ$15),0),15-13*ORÇAMENTO!$AF$11)),
         0)</f>
        <v>0</v>
      </c>
      <c r="AK79" s="454">
        <f ca="1">IF(AND($D79="Serviço",AK$12&lt;&gt;0,$H79&gt;0,OR(AUTOEVENTO&lt;&gt;"manual",$M79&lt;&gt;$A$15)),
        IF(Import.TipoArredondamento&lt;&gt;"TransfereGOV",
              ROUND(OFFSET($P79,0,AK$13),15-13*ORÇAMENTO!$AF$7)/$H79*OFFSET(ORÇAMENTO!$X$15,ROW(AK79)-ROW(AK$15),0),
              ROUND(ROUND(OFFSET($P79,0,AK$13),15-13*ORÇAMENTO!$AF$7)*OFFSET(ORÇAMENTO!$W$15,ROW(AK79)-ROW(AK$15),0),15-13*ORÇAMENTO!$AF$11)),
         0)</f>
        <v>0</v>
      </c>
      <c r="AM79" s="172">
        <f ca="1">IF(OR($D79&lt;&gt;"Serviço",AND(AUTOEVENTO="Manual",$M79=$A$15)),0,
         IF(OFFSET(CRONOPLE!$F$15,$M79-$A$15,AM$13)="",10^12,OFFSET(CRONOPLE!$F$15,$M79-$A$15,AM$13)))</f>
        <v>1000000000000</v>
      </c>
      <c r="AN79" s="172">
        <f ca="1">IF(OR($D79&lt;&gt;"Serviço",AND(AUTOEVENTO="Manual",$M79=$A$15)),0,
         IF(OFFSET(CRONOPLE!$F$15,$M79-$A$15,AN$13)="",10^12,OFFSET(CRONOPLE!$F$15,$M79-$A$15,AN$13)))</f>
        <v>1000000000000</v>
      </c>
      <c r="AO79" s="172">
        <f ca="1">IF(OR($D79&lt;&gt;"Serviço",AND(AUTOEVENTO="Manual",$M79=$A$15)),0,
         IF(OFFSET(CRONOPLE!$F$15,$M79-$A$15,AO$13)="",10^12,OFFSET(CRONOPLE!$F$15,$M79-$A$15,AO$13)))</f>
        <v>1000000000000</v>
      </c>
      <c r="AP79" s="172">
        <f ca="1">IF(OR($D79&lt;&gt;"Serviço",AND(AUTOEVENTO="Manual",$M79=$A$15)),0,
         IF(OFFSET(CRONOPLE!$F$15,$M79-$A$15,AP$13)="",10^12,OFFSET(CRONOPLE!$F$15,$M79-$A$15,AP$13)))</f>
        <v>1000000000000</v>
      </c>
      <c r="AQ79" s="172">
        <f ca="1">IF(OR($D79&lt;&gt;"Serviço",AND(AUTOEVENTO="Manual",$M79=$A$15)),0,
         IF(OFFSET(CRONOPLE!$F$15,$M79-$A$15,AQ$13)="",10^12,OFFSET(CRONOPLE!$F$15,$M79-$A$15,AQ$13)))</f>
        <v>1000000000000</v>
      </c>
      <c r="AR79" s="172">
        <f ca="1">IF(OR($D79&lt;&gt;"Serviço",AND(AUTOEVENTO="Manual",$M79=$A$15)),0,
         IF(OFFSET(CRONOPLE!$F$15,$M79-$A$15,AR$13)="",10^12,OFFSET(CRONOPLE!$F$15,$M79-$A$15,AR$13)))</f>
        <v>1000000000000</v>
      </c>
      <c r="AS79" s="172">
        <f ca="1">IF(OR($D79&lt;&gt;"Serviço",AND(AUTOEVENTO="Manual",$M79=$A$15)),0,
         IF(OFFSET(CRONOPLE!$F$15,$M79-$A$15,AS$13)="",10^12,OFFSET(CRONOPLE!$F$15,$M79-$A$15,AS$13)))</f>
        <v>1000000000000</v>
      </c>
      <c r="AT79" s="172">
        <f ca="1">IF(OR($D79&lt;&gt;"Serviço",AND(AUTOEVENTO="Manual",$M79=$A$15)),0,
         IF(OFFSET(CRONOPLE!$F$15,$M79-$A$15,AT$13)="",10^12,OFFSET(CRONOPLE!$F$15,$M79-$A$15,AT$13)))</f>
        <v>1000000000000</v>
      </c>
      <c r="AU79" s="172">
        <f ca="1">IF(OR($D79&lt;&gt;"Serviço",AND(AUTOEVENTO="Manual",$M79=$A$15)),0,
         IF(OFFSET(CRONOPLE!$F$15,$M79-$A$15,AU$13)="",10^12,OFFSET(CRONOPLE!$F$15,$M79-$A$15,AU$13)))</f>
        <v>1000000000000</v>
      </c>
      <c r="AV79" s="172">
        <f ca="1">IF(OR($D79&lt;&gt;"Serviço",AND(AUTOEVENTO="Manual",$M79=$A$15)),0,
         IF(OFFSET(CRONOPLE!$F$15,$M79-$A$15,AV$13)="",10^12,OFFSET(CRONOPLE!$F$15,$M79-$A$15,AV$13)))</f>
        <v>1000000000000</v>
      </c>
      <c r="AX79" s="173">
        <f ca="1">IF(OR($D79&lt;&gt;"Serviço",AND(AUTOEVENTO="Manual",$M79=$A$15),$M79&gt;(ROW(PLE.lastrow)-ROW(PLE.firstrow))),0,
           IF(OFFSET(PLE!$G$15,$M79-$A$15,AX$13)="",10^12,OFFSET(PLE!$G$15,$M79-$A$15,AX$13)))</f>
        <v>1000000000000</v>
      </c>
      <c r="AY79" s="173">
        <f ca="1">IF(OR($D79&lt;&gt;"Serviço",AND(AUTOEVENTO="Manual",$M79=$A$15),$M79&gt;(ROW(PLE.lastrow)-ROW(PLE.firstrow))),0,
           IF(OFFSET(PLE!$G$15,$M79-$A$15,AY$13)="",10^12,OFFSET(PLE!$G$15,$M79-$A$15,AY$13)))</f>
        <v>1000000000000</v>
      </c>
      <c r="AZ79" s="173">
        <f ca="1">IF(OR($D79&lt;&gt;"Serviço",AND(AUTOEVENTO="Manual",$M79=$A$15),$M79&gt;(ROW(PLE.lastrow)-ROW(PLE.firstrow))),0,
           IF(OFFSET(PLE!$G$15,$M79-$A$15,AZ$13)="",10^12,OFFSET(PLE!$G$15,$M79-$A$15,AZ$13)))</f>
        <v>1000000000000</v>
      </c>
      <c r="BA79" s="173">
        <f ca="1">IF(OR($D79&lt;&gt;"Serviço",AND(AUTOEVENTO="Manual",$M79=$A$15),$M79&gt;(ROW(PLE.lastrow)-ROW(PLE.firstrow))),0,
           IF(OFFSET(PLE!$G$15,$M79-$A$15,BA$13)="",10^12,OFFSET(PLE!$G$15,$M79-$A$15,BA$13)))</f>
        <v>1000000000000</v>
      </c>
      <c r="BB79" s="173">
        <f ca="1">IF(OR($D79&lt;&gt;"Serviço",AND(AUTOEVENTO="Manual",$M79=$A$15),$M79&gt;(ROW(PLE.lastrow)-ROW(PLE.firstrow))),0,
           IF(OFFSET(PLE!$G$15,$M79-$A$15,BB$13)="",10^12,OFFSET(PLE!$G$15,$M79-$A$15,BB$13)))</f>
        <v>1000000000000</v>
      </c>
      <c r="BC79" s="173">
        <f ca="1">IF(OR($D79&lt;&gt;"Serviço",AND(AUTOEVENTO="Manual",$M79=$A$15),$M79&gt;(ROW(PLE.lastrow)-ROW(PLE.firstrow))),0,
           IF(OFFSET(PLE!$G$15,$M79-$A$15,BC$13)="",10^12,OFFSET(PLE!$G$15,$M79-$A$15,BC$13)))</f>
        <v>1000000000000</v>
      </c>
      <c r="BD79" s="173">
        <f ca="1">IF(OR($D79&lt;&gt;"Serviço",AND(AUTOEVENTO="Manual",$M79=$A$15),$M79&gt;(ROW(PLE.lastrow)-ROW(PLE.firstrow))),0,
           IF(OFFSET(PLE!$G$15,$M79-$A$15,BD$13)="",10^12,OFFSET(PLE!$G$15,$M79-$A$15,BD$13)))</f>
        <v>1000000000000</v>
      </c>
      <c r="BE79" s="173">
        <f ca="1">IF(OR($D79&lt;&gt;"Serviço",AND(AUTOEVENTO="Manual",$M79=$A$15),$M79&gt;(ROW(PLE.lastrow)-ROW(PLE.firstrow))),0,
           IF(OFFSET(PLE!$G$15,$M79-$A$15,BE$13)="",10^12,OFFSET(PLE!$G$15,$M79-$A$15,BE$13)))</f>
        <v>1000000000000</v>
      </c>
      <c r="BF79" s="173">
        <f ca="1">IF(OR($D79&lt;&gt;"Serviço",AND(AUTOEVENTO="Manual",$M79=$A$15),$M79&gt;(ROW(PLE.lastrow)-ROW(PLE.firstrow))),0,
           IF(OFFSET(PLE!$G$15,$M79-$A$15,BF$13)="",10^12,OFFSET(PLE!$G$15,$M79-$A$15,BF$13)))</f>
        <v>1000000000000</v>
      </c>
      <c r="BG79" s="173">
        <f ca="1">IF(OR($D79&lt;&gt;"Serviço",AND(AUTOEVENTO="Manual",$M79=$A$15),$M79&gt;(ROW(PLE.lastrow)-ROW(PLE.firstrow))),0,
           IF(OFFSET(PLE!$G$15,$M79-$A$15,BG$13)="",10^12,OFFSET(PLE!$G$15,$M79-$A$15,BG$13)))</f>
        <v>1000000000000</v>
      </c>
    </row>
    <row r="80" spans="1:59" ht="25.5" x14ac:dyDescent="0.2">
      <c r="A80" s="7" t="str">
        <f t="shared" ca="1" si="9"/>
        <v>39</v>
      </c>
      <c r="B80" s="7" t="str">
        <f ca="1">OFFSET(ORÇAMENTO!C$15,ROW(B80)-ROW(B$15),0)</f>
        <v>S</v>
      </c>
      <c r="C80" s="7" t="str">
        <f ca="1">OFFSET(ORÇAMENTO!L$15,ROW(C80)-ROW(C$15),0)</f>
        <v/>
      </c>
      <c r="D80" s="117" t="str">
        <f ca="1">OFFSET(ORÇAMENTO!N$15,ROW(D80)-ROW(D$15),0)</f>
        <v>Serviço</v>
      </c>
      <c r="E80" s="118" t="str">
        <f ca="1">OFFSET(ORÇAMENTO!O$15,ROW(E80)-ROW(E$15),0)</f>
        <v>-</v>
      </c>
      <c r="F80" s="164" t="str">
        <f ca="1">OFFSET(ORÇAMENTO!R$15,ROW(F80)-ROW(F$15),0)</f>
        <v xml:space="preserve">DISPOSITIVO DPS CLASSE II, 1 POLO, TENSAO MAXIMA DE 275 V, CORRENTE MAXIMA DE *90* KA (TIPO AC)                                                                                                                                                           </v>
      </c>
      <c r="G80" s="165" t="str">
        <f ca="1">IF($D80&lt;&gt;"Serviço","",OFFSET(ORÇAMENTO!S$15,ROW(G80)-ROW(G$15),0))</f>
        <v xml:space="preserve">UN    </v>
      </c>
      <c r="H80" s="123">
        <f ca="1">IF($D80&lt;&gt;"Serviço",0,IF(ACOMPANHAMENTO="BM",ROUND(OFFSET(ORÇAMENTO!AJ$15,ROW(H80)-ROW(H$15),0),15-13*ORÇAMENTO!$AF$7),SUMPRODUCT(($Q$1:$AA$1=1)*ROUND($Q80:$AA80,15-13*ORÇAMENTO!$AF$7))))</f>
        <v>4</v>
      </c>
      <c r="I80" s="469"/>
      <c r="J80" s="577" t="str" cm="1">
        <f t="array" aca="1" ref="J80" ca="1">IF(B80&lt;&gt;"S","",IF(AND(ACOMPANHAMENTO="PLE",AUTOEVENTO="Manual",OR(H80&gt;0,ORÇAMENTO!AC80="QUANT."),OR(K80="",M80=0,N80="")),"►",IF(AND(ACOMPANHAMENTO="PLE",ORÇAMENTO!AC80="QUANT."),"►►",IF(AND(COUNTIF($P$11:$AA$11,"▼")=0,H80&gt;0,I80=""),"◄",""))))</f>
        <v>◄</v>
      </c>
      <c r="K80" s="626"/>
      <c r="L80" s="166" t="s">
        <v>765</v>
      </c>
      <c r="M80" s="167">
        <f ca="1">IF($D80&lt;&gt;"Serviço","",
          IF(AUTOEVENTO="manual",$A80,
                IF(ISERROR(MATCH($A80,$A$15:OFFSET($A80,-1,0),0)),MAX($M$15:OFFSET(M80,-1,0))+1,
                      INDEX($M$15:OFFSET(M80,-1,0),MATCH($A80,$A$15:OFFSET($A80,-1,0),0)))))</f>
        <v>9</v>
      </c>
      <c r="N80" s="168" t="str">
        <f ca="1">IF($D80&lt;&gt;"Serviço","",
         IF(AUTOEVENTO="Manual",
                IF($A80=0,"&lt;-- defina o número do agrupador",
                       OFFSET(EVENTOS!$D$15,$A80-$A$15,0)),
                OFFSET($F$15,$A80,0)))</f>
        <v>INSTALAÇÕES ELÉTRICAS</v>
      </c>
      <c r="O80" s="169"/>
      <c r="Q80" s="169"/>
      <c r="R80" s="170"/>
      <c r="S80" s="170"/>
      <c r="T80" s="170"/>
      <c r="U80" s="170"/>
      <c r="V80" s="170"/>
      <c r="W80" s="170"/>
      <c r="X80" s="170"/>
      <c r="Y80" s="170"/>
      <c r="Z80" s="171"/>
      <c r="AB80" s="454">
        <f ca="1">IF(AND($D80="Serviço",AB$12&lt;&gt;0,$H80&gt;0,OR(AUTOEVENTO&lt;&gt;"manual",$M80&lt;&gt;$A$15)),
        IF(Import.TipoArredondamento&lt;&gt;"TransfereGOV",
              ROUND(OFFSET($P80,0,AB$13),15-13*ORÇAMENTO!$AF$7)/$H80*OFFSET(ORÇAMENTO!$X$15,ROW(AB80)-ROW(AB$15),0),
              ROUND(ROUND(OFFSET($P80,0,AB$13),15-13*ORÇAMENTO!$AF$7)*OFFSET(ORÇAMENTO!$W$15,ROW(AB80)-ROW(AB$15),0),15-13*ORÇAMENTO!$AF$11)),
         0)</f>
        <v>0</v>
      </c>
      <c r="AC80" s="454">
        <f ca="1">IF(AND($D80="Serviço",AC$12&lt;&gt;0,$H80&gt;0,OR(AUTOEVENTO&lt;&gt;"manual",$M80&lt;&gt;$A$15)),
        IF(Import.TipoArredondamento&lt;&gt;"TransfereGOV",
              ROUND(OFFSET($P80,0,AC$13),15-13*ORÇAMENTO!$AF$7)/$H80*OFFSET(ORÇAMENTO!$X$15,ROW(AC80)-ROW(AC$15),0),
              ROUND(ROUND(OFFSET($P80,0,AC$13),15-13*ORÇAMENTO!$AF$7)*OFFSET(ORÇAMENTO!$W$15,ROW(AC80)-ROW(AC$15),0),15-13*ORÇAMENTO!$AF$11)),
         0)</f>
        <v>0</v>
      </c>
      <c r="AD80" s="454">
        <f ca="1">IF(AND($D80="Serviço",AD$12&lt;&gt;0,$H80&gt;0,OR(AUTOEVENTO&lt;&gt;"manual",$M80&lt;&gt;$A$15)),
        IF(Import.TipoArredondamento&lt;&gt;"TransfereGOV",
              ROUND(OFFSET($P80,0,AD$13),15-13*ORÇAMENTO!$AF$7)/$H80*OFFSET(ORÇAMENTO!$X$15,ROW(AD80)-ROW(AD$15),0),
              ROUND(ROUND(OFFSET($P80,0,AD$13),15-13*ORÇAMENTO!$AF$7)*OFFSET(ORÇAMENTO!$W$15,ROW(AD80)-ROW(AD$15),0),15-13*ORÇAMENTO!$AF$11)),
         0)</f>
        <v>0</v>
      </c>
      <c r="AE80" s="454">
        <f ca="1">IF(AND($D80="Serviço",AE$12&lt;&gt;0,$H80&gt;0,OR(AUTOEVENTO&lt;&gt;"manual",$M80&lt;&gt;$A$15)),
        IF(Import.TipoArredondamento&lt;&gt;"TransfereGOV",
              ROUND(OFFSET($P80,0,AE$13),15-13*ORÇAMENTO!$AF$7)/$H80*OFFSET(ORÇAMENTO!$X$15,ROW(AE80)-ROW(AE$15),0),
              ROUND(ROUND(OFFSET($P80,0,AE$13),15-13*ORÇAMENTO!$AF$7)*OFFSET(ORÇAMENTO!$W$15,ROW(AE80)-ROW(AE$15),0),15-13*ORÇAMENTO!$AF$11)),
         0)</f>
        <v>0</v>
      </c>
      <c r="AF80" s="454">
        <f ca="1">IF(AND($D80="Serviço",AF$12&lt;&gt;0,$H80&gt;0,OR(AUTOEVENTO&lt;&gt;"manual",$M80&lt;&gt;$A$15)),
        IF(Import.TipoArredondamento&lt;&gt;"TransfereGOV",
              ROUND(OFFSET($P80,0,AF$13),15-13*ORÇAMENTO!$AF$7)/$H80*OFFSET(ORÇAMENTO!$X$15,ROW(AF80)-ROW(AF$15),0),
              ROUND(ROUND(OFFSET($P80,0,AF$13),15-13*ORÇAMENTO!$AF$7)*OFFSET(ORÇAMENTO!$W$15,ROW(AF80)-ROW(AF$15),0),15-13*ORÇAMENTO!$AF$11)),
         0)</f>
        <v>0</v>
      </c>
      <c r="AG80" s="454">
        <f ca="1">IF(AND($D80="Serviço",AG$12&lt;&gt;0,$H80&gt;0,OR(AUTOEVENTO&lt;&gt;"manual",$M80&lt;&gt;$A$15)),
        IF(Import.TipoArredondamento&lt;&gt;"TransfereGOV",
              ROUND(OFFSET($P80,0,AG$13),15-13*ORÇAMENTO!$AF$7)/$H80*OFFSET(ORÇAMENTO!$X$15,ROW(AG80)-ROW(AG$15),0),
              ROUND(ROUND(OFFSET($P80,0,AG$13),15-13*ORÇAMENTO!$AF$7)*OFFSET(ORÇAMENTO!$W$15,ROW(AG80)-ROW(AG$15),0),15-13*ORÇAMENTO!$AF$11)),
         0)</f>
        <v>0</v>
      </c>
      <c r="AH80" s="454">
        <f ca="1">IF(AND($D80="Serviço",AH$12&lt;&gt;0,$H80&gt;0,OR(AUTOEVENTO&lt;&gt;"manual",$M80&lt;&gt;$A$15)),
        IF(Import.TipoArredondamento&lt;&gt;"TransfereGOV",
              ROUND(OFFSET($P80,0,AH$13),15-13*ORÇAMENTO!$AF$7)/$H80*OFFSET(ORÇAMENTO!$X$15,ROW(AH80)-ROW(AH$15),0),
              ROUND(ROUND(OFFSET($P80,0,AH$13),15-13*ORÇAMENTO!$AF$7)*OFFSET(ORÇAMENTO!$W$15,ROW(AH80)-ROW(AH$15),0),15-13*ORÇAMENTO!$AF$11)),
         0)</f>
        <v>0</v>
      </c>
      <c r="AI80" s="454">
        <f ca="1">IF(AND($D80="Serviço",AI$12&lt;&gt;0,$H80&gt;0,OR(AUTOEVENTO&lt;&gt;"manual",$M80&lt;&gt;$A$15)),
        IF(Import.TipoArredondamento&lt;&gt;"TransfereGOV",
              ROUND(OFFSET($P80,0,AI$13),15-13*ORÇAMENTO!$AF$7)/$H80*OFFSET(ORÇAMENTO!$X$15,ROW(AI80)-ROW(AI$15),0),
              ROUND(ROUND(OFFSET($P80,0,AI$13),15-13*ORÇAMENTO!$AF$7)*OFFSET(ORÇAMENTO!$W$15,ROW(AI80)-ROW(AI$15),0),15-13*ORÇAMENTO!$AF$11)),
         0)</f>
        <v>0</v>
      </c>
      <c r="AJ80" s="454">
        <f ca="1">IF(AND($D80="Serviço",AJ$12&lt;&gt;0,$H80&gt;0,OR(AUTOEVENTO&lt;&gt;"manual",$M80&lt;&gt;$A$15)),
        IF(Import.TipoArredondamento&lt;&gt;"TransfereGOV",
              ROUND(OFFSET($P80,0,AJ$13),15-13*ORÇAMENTO!$AF$7)/$H80*OFFSET(ORÇAMENTO!$X$15,ROW(AJ80)-ROW(AJ$15),0),
              ROUND(ROUND(OFFSET($P80,0,AJ$13),15-13*ORÇAMENTO!$AF$7)*OFFSET(ORÇAMENTO!$W$15,ROW(AJ80)-ROW(AJ$15),0),15-13*ORÇAMENTO!$AF$11)),
         0)</f>
        <v>0</v>
      </c>
      <c r="AK80" s="454">
        <f ca="1">IF(AND($D80="Serviço",AK$12&lt;&gt;0,$H80&gt;0,OR(AUTOEVENTO&lt;&gt;"manual",$M80&lt;&gt;$A$15)),
        IF(Import.TipoArredondamento&lt;&gt;"TransfereGOV",
              ROUND(OFFSET($P80,0,AK$13),15-13*ORÇAMENTO!$AF$7)/$H80*OFFSET(ORÇAMENTO!$X$15,ROW(AK80)-ROW(AK$15),0),
              ROUND(ROUND(OFFSET($P80,0,AK$13),15-13*ORÇAMENTO!$AF$7)*OFFSET(ORÇAMENTO!$W$15,ROW(AK80)-ROW(AK$15),0),15-13*ORÇAMENTO!$AF$11)),
         0)</f>
        <v>0</v>
      </c>
      <c r="AM80" s="172">
        <f ca="1">IF(OR($D80&lt;&gt;"Serviço",AND(AUTOEVENTO="Manual",$M80=$A$15)),0,
         IF(OFFSET(CRONOPLE!$F$15,$M80-$A$15,AM$13)="",10^12,OFFSET(CRONOPLE!$F$15,$M80-$A$15,AM$13)))</f>
        <v>1000000000000</v>
      </c>
      <c r="AN80" s="172">
        <f ca="1">IF(OR($D80&lt;&gt;"Serviço",AND(AUTOEVENTO="Manual",$M80=$A$15)),0,
         IF(OFFSET(CRONOPLE!$F$15,$M80-$A$15,AN$13)="",10^12,OFFSET(CRONOPLE!$F$15,$M80-$A$15,AN$13)))</f>
        <v>1000000000000</v>
      </c>
      <c r="AO80" s="172">
        <f ca="1">IF(OR($D80&lt;&gt;"Serviço",AND(AUTOEVENTO="Manual",$M80=$A$15)),0,
         IF(OFFSET(CRONOPLE!$F$15,$M80-$A$15,AO$13)="",10^12,OFFSET(CRONOPLE!$F$15,$M80-$A$15,AO$13)))</f>
        <v>1000000000000</v>
      </c>
      <c r="AP80" s="172">
        <f ca="1">IF(OR($D80&lt;&gt;"Serviço",AND(AUTOEVENTO="Manual",$M80=$A$15)),0,
         IF(OFFSET(CRONOPLE!$F$15,$M80-$A$15,AP$13)="",10^12,OFFSET(CRONOPLE!$F$15,$M80-$A$15,AP$13)))</f>
        <v>1000000000000</v>
      </c>
      <c r="AQ80" s="172">
        <f ca="1">IF(OR($D80&lt;&gt;"Serviço",AND(AUTOEVENTO="Manual",$M80=$A$15)),0,
         IF(OFFSET(CRONOPLE!$F$15,$M80-$A$15,AQ$13)="",10^12,OFFSET(CRONOPLE!$F$15,$M80-$A$15,AQ$13)))</f>
        <v>1000000000000</v>
      </c>
      <c r="AR80" s="172">
        <f ca="1">IF(OR($D80&lt;&gt;"Serviço",AND(AUTOEVENTO="Manual",$M80=$A$15)),0,
         IF(OFFSET(CRONOPLE!$F$15,$M80-$A$15,AR$13)="",10^12,OFFSET(CRONOPLE!$F$15,$M80-$A$15,AR$13)))</f>
        <v>1000000000000</v>
      </c>
      <c r="AS80" s="172">
        <f ca="1">IF(OR($D80&lt;&gt;"Serviço",AND(AUTOEVENTO="Manual",$M80=$A$15)),0,
         IF(OFFSET(CRONOPLE!$F$15,$M80-$A$15,AS$13)="",10^12,OFFSET(CRONOPLE!$F$15,$M80-$A$15,AS$13)))</f>
        <v>1000000000000</v>
      </c>
      <c r="AT80" s="172">
        <f ca="1">IF(OR($D80&lt;&gt;"Serviço",AND(AUTOEVENTO="Manual",$M80=$A$15)),0,
         IF(OFFSET(CRONOPLE!$F$15,$M80-$A$15,AT$13)="",10^12,OFFSET(CRONOPLE!$F$15,$M80-$A$15,AT$13)))</f>
        <v>1000000000000</v>
      </c>
      <c r="AU80" s="172">
        <f ca="1">IF(OR($D80&lt;&gt;"Serviço",AND(AUTOEVENTO="Manual",$M80=$A$15)),0,
         IF(OFFSET(CRONOPLE!$F$15,$M80-$A$15,AU$13)="",10^12,OFFSET(CRONOPLE!$F$15,$M80-$A$15,AU$13)))</f>
        <v>1000000000000</v>
      </c>
      <c r="AV80" s="172">
        <f ca="1">IF(OR($D80&lt;&gt;"Serviço",AND(AUTOEVENTO="Manual",$M80=$A$15)),0,
         IF(OFFSET(CRONOPLE!$F$15,$M80-$A$15,AV$13)="",10^12,OFFSET(CRONOPLE!$F$15,$M80-$A$15,AV$13)))</f>
        <v>1000000000000</v>
      </c>
      <c r="AX80" s="173">
        <f ca="1">IF(OR($D80&lt;&gt;"Serviço",AND(AUTOEVENTO="Manual",$M80=$A$15),$M80&gt;(ROW(PLE.lastrow)-ROW(PLE.firstrow))),0,
           IF(OFFSET(PLE!$G$15,$M80-$A$15,AX$13)="",10^12,OFFSET(PLE!$G$15,$M80-$A$15,AX$13)))</f>
        <v>1000000000000</v>
      </c>
      <c r="AY80" s="173">
        <f ca="1">IF(OR($D80&lt;&gt;"Serviço",AND(AUTOEVENTO="Manual",$M80=$A$15),$M80&gt;(ROW(PLE.lastrow)-ROW(PLE.firstrow))),0,
           IF(OFFSET(PLE!$G$15,$M80-$A$15,AY$13)="",10^12,OFFSET(PLE!$G$15,$M80-$A$15,AY$13)))</f>
        <v>1000000000000</v>
      </c>
      <c r="AZ80" s="173">
        <f ca="1">IF(OR($D80&lt;&gt;"Serviço",AND(AUTOEVENTO="Manual",$M80=$A$15),$M80&gt;(ROW(PLE.lastrow)-ROW(PLE.firstrow))),0,
           IF(OFFSET(PLE!$G$15,$M80-$A$15,AZ$13)="",10^12,OFFSET(PLE!$G$15,$M80-$A$15,AZ$13)))</f>
        <v>1000000000000</v>
      </c>
      <c r="BA80" s="173">
        <f ca="1">IF(OR($D80&lt;&gt;"Serviço",AND(AUTOEVENTO="Manual",$M80=$A$15),$M80&gt;(ROW(PLE.lastrow)-ROW(PLE.firstrow))),0,
           IF(OFFSET(PLE!$G$15,$M80-$A$15,BA$13)="",10^12,OFFSET(PLE!$G$15,$M80-$A$15,BA$13)))</f>
        <v>1000000000000</v>
      </c>
      <c r="BB80" s="173">
        <f ca="1">IF(OR($D80&lt;&gt;"Serviço",AND(AUTOEVENTO="Manual",$M80=$A$15),$M80&gt;(ROW(PLE.lastrow)-ROW(PLE.firstrow))),0,
           IF(OFFSET(PLE!$G$15,$M80-$A$15,BB$13)="",10^12,OFFSET(PLE!$G$15,$M80-$A$15,BB$13)))</f>
        <v>1000000000000</v>
      </c>
      <c r="BC80" s="173">
        <f ca="1">IF(OR($D80&lt;&gt;"Serviço",AND(AUTOEVENTO="Manual",$M80=$A$15),$M80&gt;(ROW(PLE.lastrow)-ROW(PLE.firstrow))),0,
           IF(OFFSET(PLE!$G$15,$M80-$A$15,BC$13)="",10^12,OFFSET(PLE!$G$15,$M80-$A$15,BC$13)))</f>
        <v>1000000000000</v>
      </c>
      <c r="BD80" s="173">
        <f ca="1">IF(OR($D80&lt;&gt;"Serviço",AND(AUTOEVENTO="Manual",$M80=$A$15),$M80&gt;(ROW(PLE.lastrow)-ROW(PLE.firstrow))),0,
           IF(OFFSET(PLE!$G$15,$M80-$A$15,BD$13)="",10^12,OFFSET(PLE!$G$15,$M80-$A$15,BD$13)))</f>
        <v>1000000000000</v>
      </c>
      <c r="BE80" s="173">
        <f ca="1">IF(OR($D80&lt;&gt;"Serviço",AND(AUTOEVENTO="Manual",$M80=$A$15),$M80&gt;(ROW(PLE.lastrow)-ROW(PLE.firstrow))),0,
           IF(OFFSET(PLE!$G$15,$M80-$A$15,BE$13)="",10^12,OFFSET(PLE!$G$15,$M80-$A$15,BE$13)))</f>
        <v>1000000000000</v>
      </c>
      <c r="BF80" s="173">
        <f ca="1">IF(OR($D80&lt;&gt;"Serviço",AND(AUTOEVENTO="Manual",$M80=$A$15),$M80&gt;(ROW(PLE.lastrow)-ROW(PLE.firstrow))),0,
           IF(OFFSET(PLE!$G$15,$M80-$A$15,BF$13)="",10^12,OFFSET(PLE!$G$15,$M80-$A$15,BF$13)))</f>
        <v>1000000000000</v>
      </c>
      <c r="BG80" s="173">
        <f ca="1">IF(OR($D80&lt;&gt;"Serviço",AND(AUTOEVENTO="Manual",$M80=$A$15),$M80&gt;(ROW(PLE.lastrow)-ROW(PLE.firstrow))),0,
           IF(OFFSET(PLE!$G$15,$M80-$A$15,BG$13)="",10^12,OFFSET(PLE!$G$15,$M80-$A$15,BG$13)))</f>
        <v>1000000000000</v>
      </c>
    </row>
    <row r="81" spans="1:59" ht="38.25" x14ac:dyDescent="0.2">
      <c r="A81" s="7" t="str">
        <f t="shared" ca="1" si="9"/>
        <v>39</v>
      </c>
      <c r="B81" s="7" t="str">
        <f ca="1">OFFSET(ORÇAMENTO!C$15,ROW(B81)-ROW(B$15),0)</f>
        <v>S</v>
      </c>
      <c r="C81" s="7" t="str">
        <f ca="1">OFFSET(ORÇAMENTO!L$15,ROW(C81)-ROW(C$15),0)</f>
        <v/>
      </c>
      <c r="D81" s="117" t="str">
        <f ca="1">OFFSET(ORÇAMENTO!N$15,ROW(D81)-ROW(D$15),0)</f>
        <v>Serviço</v>
      </c>
      <c r="E81" s="118" t="str">
        <f ca="1">OFFSET(ORÇAMENTO!O$15,ROW(E81)-ROW(E$15),0)</f>
        <v>-</v>
      </c>
      <c r="F81" s="164" t="str">
        <f ca="1">OFFSET(ORÇAMENTO!R$15,ROW(F81)-ROW(F$15),0)</f>
        <v>ELETRODUTO FLEXÍVEL CORRUGADO, PVC, DN 20 MM (1/2"), PARA CIRCUITOS TERMINAIS, INSTALADO EM FORRO - FORNECIMENTO E INSTALAÇÃO. AF_03/2023_PA</v>
      </c>
      <c r="G81" s="165" t="str">
        <f ca="1">IF($D81&lt;&gt;"Serviço","",OFFSET(ORÇAMENTO!S$15,ROW(G81)-ROW(G$15),0))</f>
        <v>M</v>
      </c>
      <c r="H81" s="123">
        <f ca="1">IF($D81&lt;&gt;"Serviço",0,IF(ACOMPANHAMENTO="BM",ROUND(OFFSET(ORÇAMENTO!AJ$15,ROW(H81)-ROW(H$15),0),15-13*ORÇAMENTO!$AF$7),SUMPRODUCT(($Q$1:$AA$1=1)*ROUND($Q81:$AA81,15-13*ORÇAMENTO!$AF$7))))</f>
        <v>1400</v>
      </c>
      <c r="I81" s="469"/>
      <c r="J81" s="577" t="str" cm="1">
        <f t="array" aca="1" ref="J81" ca="1">IF(B81&lt;&gt;"S","",IF(AND(ACOMPANHAMENTO="PLE",AUTOEVENTO="Manual",OR(H81&gt;0,ORÇAMENTO!AC81="QUANT."),OR(K81="",M81=0,N81="")),"►",IF(AND(ACOMPANHAMENTO="PLE",ORÇAMENTO!AC81="QUANT."),"►►",IF(AND(COUNTIF($P$11:$AA$11,"▼")=0,H81&gt;0,I81=""),"◄",""))))</f>
        <v>◄</v>
      </c>
      <c r="K81" s="626"/>
      <c r="L81" s="166" t="s">
        <v>765</v>
      </c>
      <c r="M81" s="167">
        <f ca="1">IF($D81&lt;&gt;"Serviço","",
          IF(AUTOEVENTO="manual",$A81,
                IF(ISERROR(MATCH($A81,$A$15:OFFSET($A81,-1,0),0)),MAX($M$15:OFFSET(M81,-1,0))+1,
                      INDEX($M$15:OFFSET(M81,-1,0),MATCH($A81,$A$15:OFFSET($A81,-1,0),0)))))</f>
        <v>9</v>
      </c>
      <c r="N81" s="168" t="str">
        <f ca="1">IF($D81&lt;&gt;"Serviço","",
         IF(AUTOEVENTO="Manual",
                IF($A81=0,"&lt;-- defina o número do agrupador",
                       OFFSET(EVENTOS!$D$15,$A81-$A$15,0)),
                OFFSET($F$15,$A81,0)))</f>
        <v>INSTALAÇÕES ELÉTRICAS</v>
      </c>
      <c r="O81" s="169"/>
      <c r="Q81" s="169"/>
      <c r="R81" s="170"/>
      <c r="S81" s="170"/>
      <c r="T81" s="170"/>
      <c r="U81" s="170"/>
      <c r="V81" s="170"/>
      <c r="W81" s="170"/>
      <c r="X81" s="170"/>
      <c r="Y81" s="170"/>
      <c r="Z81" s="171"/>
      <c r="AB81" s="454">
        <f ca="1">IF(AND($D81="Serviço",AB$12&lt;&gt;0,$H81&gt;0,OR(AUTOEVENTO&lt;&gt;"manual",$M81&lt;&gt;$A$15)),
        IF(Import.TipoArredondamento&lt;&gt;"TransfereGOV",
              ROUND(OFFSET($P81,0,AB$13),15-13*ORÇAMENTO!$AF$7)/$H81*OFFSET(ORÇAMENTO!$X$15,ROW(AB81)-ROW(AB$15),0),
              ROUND(ROUND(OFFSET($P81,0,AB$13),15-13*ORÇAMENTO!$AF$7)*OFFSET(ORÇAMENTO!$W$15,ROW(AB81)-ROW(AB$15),0),15-13*ORÇAMENTO!$AF$11)),
         0)</f>
        <v>0</v>
      </c>
      <c r="AC81" s="454">
        <f ca="1">IF(AND($D81="Serviço",AC$12&lt;&gt;0,$H81&gt;0,OR(AUTOEVENTO&lt;&gt;"manual",$M81&lt;&gt;$A$15)),
        IF(Import.TipoArredondamento&lt;&gt;"TransfereGOV",
              ROUND(OFFSET($P81,0,AC$13),15-13*ORÇAMENTO!$AF$7)/$H81*OFFSET(ORÇAMENTO!$X$15,ROW(AC81)-ROW(AC$15),0),
              ROUND(ROUND(OFFSET($P81,0,AC$13),15-13*ORÇAMENTO!$AF$7)*OFFSET(ORÇAMENTO!$W$15,ROW(AC81)-ROW(AC$15),0),15-13*ORÇAMENTO!$AF$11)),
         0)</f>
        <v>0</v>
      </c>
      <c r="AD81" s="454">
        <f ca="1">IF(AND($D81="Serviço",AD$12&lt;&gt;0,$H81&gt;0,OR(AUTOEVENTO&lt;&gt;"manual",$M81&lt;&gt;$A$15)),
        IF(Import.TipoArredondamento&lt;&gt;"TransfereGOV",
              ROUND(OFFSET($P81,0,AD$13),15-13*ORÇAMENTO!$AF$7)/$H81*OFFSET(ORÇAMENTO!$X$15,ROW(AD81)-ROW(AD$15),0),
              ROUND(ROUND(OFFSET($P81,0,AD$13),15-13*ORÇAMENTO!$AF$7)*OFFSET(ORÇAMENTO!$W$15,ROW(AD81)-ROW(AD$15),0),15-13*ORÇAMENTO!$AF$11)),
         0)</f>
        <v>0</v>
      </c>
      <c r="AE81" s="454">
        <f ca="1">IF(AND($D81="Serviço",AE$12&lt;&gt;0,$H81&gt;0,OR(AUTOEVENTO&lt;&gt;"manual",$M81&lt;&gt;$A$15)),
        IF(Import.TipoArredondamento&lt;&gt;"TransfereGOV",
              ROUND(OFFSET($P81,0,AE$13),15-13*ORÇAMENTO!$AF$7)/$H81*OFFSET(ORÇAMENTO!$X$15,ROW(AE81)-ROW(AE$15),0),
              ROUND(ROUND(OFFSET($P81,0,AE$13),15-13*ORÇAMENTO!$AF$7)*OFFSET(ORÇAMENTO!$W$15,ROW(AE81)-ROW(AE$15),0),15-13*ORÇAMENTO!$AF$11)),
         0)</f>
        <v>0</v>
      </c>
      <c r="AF81" s="454">
        <f ca="1">IF(AND($D81="Serviço",AF$12&lt;&gt;0,$H81&gt;0,OR(AUTOEVENTO&lt;&gt;"manual",$M81&lt;&gt;$A$15)),
        IF(Import.TipoArredondamento&lt;&gt;"TransfereGOV",
              ROUND(OFFSET($P81,0,AF$13),15-13*ORÇAMENTO!$AF$7)/$H81*OFFSET(ORÇAMENTO!$X$15,ROW(AF81)-ROW(AF$15),0),
              ROUND(ROUND(OFFSET($P81,0,AF$13),15-13*ORÇAMENTO!$AF$7)*OFFSET(ORÇAMENTO!$W$15,ROW(AF81)-ROW(AF$15),0),15-13*ORÇAMENTO!$AF$11)),
         0)</f>
        <v>0</v>
      </c>
      <c r="AG81" s="454">
        <f ca="1">IF(AND($D81="Serviço",AG$12&lt;&gt;0,$H81&gt;0,OR(AUTOEVENTO&lt;&gt;"manual",$M81&lt;&gt;$A$15)),
        IF(Import.TipoArredondamento&lt;&gt;"TransfereGOV",
              ROUND(OFFSET($P81,0,AG$13),15-13*ORÇAMENTO!$AF$7)/$H81*OFFSET(ORÇAMENTO!$X$15,ROW(AG81)-ROW(AG$15),0),
              ROUND(ROUND(OFFSET($P81,0,AG$13),15-13*ORÇAMENTO!$AF$7)*OFFSET(ORÇAMENTO!$W$15,ROW(AG81)-ROW(AG$15),0),15-13*ORÇAMENTO!$AF$11)),
         0)</f>
        <v>0</v>
      </c>
      <c r="AH81" s="454">
        <f ca="1">IF(AND($D81="Serviço",AH$12&lt;&gt;0,$H81&gt;0,OR(AUTOEVENTO&lt;&gt;"manual",$M81&lt;&gt;$A$15)),
        IF(Import.TipoArredondamento&lt;&gt;"TransfereGOV",
              ROUND(OFFSET($P81,0,AH$13),15-13*ORÇAMENTO!$AF$7)/$H81*OFFSET(ORÇAMENTO!$X$15,ROW(AH81)-ROW(AH$15),0),
              ROUND(ROUND(OFFSET($P81,0,AH$13),15-13*ORÇAMENTO!$AF$7)*OFFSET(ORÇAMENTO!$W$15,ROW(AH81)-ROW(AH$15),0),15-13*ORÇAMENTO!$AF$11)),
         0)</f>
        <v>0</v>
      </c>
      <c r="AI81" s="454">
        <f ca="1">IF(AND($D81="Serviço",AI$12&lt;&gt;0,$H81&gt;0,OR(AUTOEVENTO&lt;&gt;"manual",$M81&lt;&gt;$A$15)),
        IF(Import.TipoArredondamento&lt;&gt;"TransfereGOV",
              ROUND(OFFSET($P81,0,AI$13),15-13*ORÇAMENTO!$AF$7)/$H81*OFFSET(ORÇAMENTO!$X$15,ROW(AI81)-ROW(AI$15),0),
              ROUND(ROUND(OFFSET($P81,0,AI$13),15-13*ORÇAMENTO!$AF$7)*OFFSET(ORÇAMENTO!$W$15,ROW(AI81)-ROW(AI$15),0),15-13*ORÇAMENTO!$AF$11)),
         0)</f>
        <v>0</v>
      </c>
      <c r="AJ81" s="454">
        <f ca="1">IF(AND($D81="Serviço",AJ$12&lt;&gt;0,$H81&gt;0,OR(AUTOEVENTO&lt;&gt;"manual",$M81&lt;&gt;$A$15)),
        IF(Import.TipoArredondamento&lt;&gt;"TransfereGOV",
              ROUND(OFFSET($P81,0,AJ$13),15-13*ORÇAMENTO!$AF$7)/$H81*OFFSET(ORÇAMENTO!$X$15,ROW(AJ81)-ROW(AJ$15),0),
              ROUND(ROUND(OFFSET($P81,0,AJ$13),15-13*ORÇAMENTO!$AF$7)*OFFSET(ORÇAMENTO!$W$15,ROW(AJ81)-ROW(AJ$15),0),15-13*ORÇAMENTO!$AF$11)),
         0)</f>
        <v>0</v>
      </c>
      <c r="AK81" s="454">
        <f ca="1">IF(AND($D81="Serviço",AK$12&lt;&gt;0,$H81&gt;0,OR(AUTOEVENTO&lt;&gt;"manual",$M81&lt;&gt;$A$15)),
        IF(Import.TipoArredondamento&lt;&gt;"TransfereGOV",
              ROUND(OFFSET($P81,0,AK$13),15-13*ORÇAMENTO!$AF$7)/$H81*OFFSET(ORÇAMENTO!$X$15,ROW(AK81)-ROW(AK$15),0),
              ROUND(ROUND(OFFSET($P81,0,AK$13),15-13*ORÇAMENTO!$AF$7)*OFFSET(ORÇAMENTO!$W$15,ROW(AK81)-ROW(AK$15),0),15-13*ORÇAMENTO!$AF$11)),
         0)</f>
        <v>0</v>
      </c>
      <c r="AM81" s="172">
        <f ca="1">IF(OR($D81&lt;&gt;"Serviço",AND(AUTOEVENTO="Manual",$M81=$A$15)),0,
         IF(OFFSET(CRONOPLE!$F$15,$M81-$A$15,AM$13)="",10^12,OFFSET(CRONOPLE!$F$15,$M81-$A$15,AM$13)))</f>
        <v>1000000000000</v>
      </c>
      <c r="AN81" s="172">
        <f ca="1">IF(OR($D81&lt;&gt;"Serviço",AND(AUTOEVENTO="Manual",$M81=$A$15)),0,
         IF(OFFSET(CRONOPLE!$F$15,$M81-$A$15,AN$13)="",10^12,OFFSET(CRONOPLE!$F$15,$M81-$A$15,AN$13)))</f>
        <v>1000000000000</v>
      </c>
      <c r="AO81" s="172">
        <f ca="1">IF(OR($D81&lt;&gt;"Serviço",AND(AUTOEVENTO="Manual",$M81=$A$15)),0,
         IF(OFFSET(CRONOPLE!$F$15,$M81-$A$15,AO$13)="",10^12,OFFSET(CRONOPLE!$F$15,$M81-$A$15,AO$13)))</f>
        <v>1000000000000</v>
      </c>
      <c r="AP81" s="172">
        <f ca="1">IF(OR($D81&lt;&gt;"Serviço",AND(AUTOEVENTO="Manual",$M81=$A$15)),0,
         IF(OFFSET(CRONOPLE!$F$15,$M81-$A$15,AP$13)="",10^12,OFFSET(CRONOPLE!$F$15,$M81-$A$15,AP$13)))</f>
        <v>1000000000000</v>
      </c>
      <c r="AQ81" s="172">
        <f ca="1">IF(OR($D81&lt;&gt;"Serviço",AND(AUTOEVENTO="Manual",$M81=$A$15)),0,
         IF(OFFSET(CRONOPLE!$F$15,$M81-$A$15,AQ$13)="",10^12,OFFSET(CRONOPLE!$F$15,$M81-$A$15,AQ$13)))</f>
        <v>1000000000000</v>
      </c>
      <c r="AR81" s="172">
        <f ca="1">IF(OR($D81&lt;&gt;"Serviço",AND(AUTOEVENTO="Manual",$M81=$A$15)),0,
         IF(OFFSET(CRONOPLE!$F$15,$M81-$A$15,AR$13)="",10^12,OFFSET(CRONOPLE!$F$15,$M81-$A$15,AR$13)))</f>
        <v>1000000000000</v>
      </c>
      <c r="AS81" s="172">
        <f ca="1">IF(OR($D81&lt;&gt;"Serviço",AND(AUTOEVENTO="Manual",$M81=$A$15)),0,
         IF(OFFSET(CRONOPLE!$F$15,$M81-$A$15,AS$13)="",10^12,OFFSET(CRONOPLE!$F$15,$M81-$A$15,AS$13)))</f>
        <v>1000000000000</v>
      </c>
      <c r="AT81" s="172">
        <f ca="1">IF(OR($D81&lt;&gt;"Serviço",AND(AUTOEVENTO="Manual",$M81=$A$15)),0,
         IF(OFFSET(CRONOPLE!$F$15,$M81-$A$15,AT$13)="",10^12,OFFSET(CRONOPLE!$F$15,$M81-$A$15,AT$13)))</f>
        <v>1000000000000</v>
      </c>
      <c r="AU81" s="172">
        <f ca="1">IF(OR($D81&lt;&gt;"Serviço",AND(AUTOEVENTO="Manual",$M81=$A$15)),0,
         IF(OFFSET(CRONOPLE!$F$15,$M81-$A$15,AU$13)="",10^12,OFFSET(CRONOPLE!$F$15,$M81-$A$15,AU$13)))</f>
        <v>1000000000000</v>
      </c>
      <c r="AV81" s="172">
        <f ca="1">IF(OR($D81&lt;&gt;"Serviço",AND(AUTOEVENTO="Manual",$M81=$A$15)),0,
         IF(OFFSET(CRONOPLE!$F$15,$M81-$A$15,AV$13)="",10^12,OFFSET(CRONOPLE!$F$15,$M81-$A$15,AV$13)))</f>
        <v>1000000000000</v>
      </c>
      <c r="AX81" s="173">
        <f ca="1">IF(OR($D81&lt;&gt;"Serviço",AND(AUTOEVENTO="Manual",$M81=$A$15),$M81&gt;(ROW(PLE.lastrow)-ROW(PLE.firstrow))),0,
           IF(OFFSET(PLE!$G$15,$M81-$A$15,AX$13)="",10^12,OFFSET(PLE!$G$15,$M81-$A$15,AX$13)))</f>
        <v>1000000000000</v>
      </c>
      <c r="AY81" s="173">
        <f ca="1">IF(OR($D81&lt;&gt;"Serviço",AND(AUTOEVENTO="Manual",$M81=$A$15),$M81&gt;(ROW(PLE.lastrow)-ROW(PLE.firstrow))),0,
           IF(OFFSET(PLE!$G$15,$M81-$A$15,AY$13)="",10^12,OFFSET(PLE!$G$15,$M81-$A$15,AY$13)))</f>
        <v>1000000000000</v>
      </c>
      <c r="AZ81" s="173">
        <f ca="1">IF(OR($D81&lt;&gt;"Serviço",AND(AUTOEVENTO="Manual",$M81=$A$15),$M81&gt;(ROW(PLE.lastrow)-ROW(PLE.firstrow))),0,
           IF(OFFSET(PLE!$G$15,$M81-$A$15,AZ$13)="",10^12,OFFSET(PLE!$G$15,$M81-$A$15,AZ$13)))</f>
        <v>1000000000000</v>
      </c>
      <c r="BA81" s="173">
        <f ca="1">IF(OR($D81&lt;&gt;"Serviço",AND(AUTOEVENTO="Manual",$M81=$A$15),$M81&gt;(ROW(PLE.lastrow)-ROW(PLE.firstrow))),0,
           IF(OFFSET(PLE!$G$15,$M81-$A$15,BA$13)="",10^12,OFFSET(PLE!$G$15,$M81-$A$15,BA$13)))</f>
        <v>1000000000000</v>
      </c>
      <c r="BB81" s="173">
        <f ca="1">IF(OR($D81&lt;&gt;"Serviço",AND(AUTOEVENTO="Manual",$M81=$A$15),$M81&gt;(ROW(PLE.lastrow)-ROW(PLE.firstrow))),0,
           IF(OFFSET(PLE!$G$15,$M81-$A$15,BB$13)="",10^12,OFFSET(PLE!$G$15,$M81-$A$15,BB$13)))</f>
        <v>1000000000000</v>
      </c>
      <c r="BC81" s="173">
        <f ca="1">IF(OR($D81&lt;&gt;"Serviço",AND(AUTOEVENTO="Manual",$M81=$A$15),$M81&gt;(ROW(PLE.lastrow)-ROW(PLE.firstrow))),0,
           IF(OFFSET(PLE!$G$15,$M81-$A$15,BC$13)="",10^12,OFFSET(PLE!$G$15,$M81-$A$15,BC$13)))</f>
        <v>1000000000000</v>
      </c>
      <c r="BD81" s="173">
        <f ca="1">IF(OR($D81&lt;&gt;"Serviço",AND(AUTOEVENTO="Manual",$M81=$A$15),$M81&gt;(ROW(PLE.lastrow)-ROW(PLE.firstrow))),0,
           IF(OFFSET(PLE!$G$15,$M81-$A$15,BD$13)="",10^12,OFFSET(PLE!$G$15,$M81-$A$15,BD$13)))</f>
        <v>1000000000000</v>
      </c>
      <c r="BE81" s="173">
        <f ca="1">IF(OR($D81&lt;&gt;"Serviço",AND(AUTOEVENTO="Manual",$M81=$A$15),$M81&gt;(ROW(PLE.lastrow)-ROW(PLE.firstrow))),0,
           IF(OFFSET(PLE!$G$15,$M81-$A$15,BE$13)="",10^12,OFFSET(PLE!$G$15,$M81-$A$15,BE$13)))</f>
        <v>1000000000000</v>
      </c>
      <c r="BF81" s="173">
        <f ca="1">IF(OR($D81&lt;&gt;"Serviço",AND(AUTOEVENTO="Manual",$M81=$A$15),$M81&gt;(ROW(PLE.lastrow)-ROW(PLE.firstrow))),0,
           IF(OFFSET(PLE!$G$15,$M81-$A$15,BF$13)="",10^12,OFFSET(PLE!$G$15,$M81-$A$15,BF$13)))</f>
        <v>1000000000000</v>
      </c>
      <c r="BG81" s="173">
        <f ca="1">IF(OR($D81&lt;&gt;"Serviço",AND(AUTOEVENTO="Manual",$M81=$A$15),$M81&gt;(ROW(PLE.lastrow)-ROW(PLE.firstrow))),0,
           IF(OFFSET(PLE!$G$15,$M81-$A$15,BG$13)="",10^12,OFFSET(PLE!$G$15,$M81-$A$15,BG$13)))</f>
        <v>1000000000000</v>
      </c>
    </row>
    <row r="82" spans="1:59" ht="38.25" x14ac:dyDescent="0.2">
      <c r="A82" s="7" t="str">
        <f t="shared" ca="1" si="9"/>
        <v>39</v>
      </c>
      <c r="B82" s="7" t="str">
        <f ca="1">OFFSET(ORÇAMENTO!C$15,ROW(B82)-ROW(B$15),0)</f>
        <v>S</v>
      </c>
      <c r="C82" s="7" t="str">
        <f ca="1">OFFSET(ORÇAMENTO!L$15,ROW(C82)-ROW(C$15),0)</f>
        <v/>
      </c>
      <c r="D82" s="117" t="str">
        <f ca="1">OFFSET(ORÇAMENTO!N$15,ROW(D82)-ROW(D$15),0)</f>
        <v>Serviço</v>
      </c>
      <c r="E82" s="118" t="str">
        <f ca="1">OFFSET(ORÇAMENTO!O$15,ROW(E82)-ROW(E$15),0)</f>
        <v>-</v>
      </c>
      <c r="F82" s="164" t="str">
        <f ca="1">OFFSET(ORÇAMENTO!R$15,ROW(F82)-ROW(F$15),0)</f>
        <v>ELETRODUTO FLEXÍVEL CORRUGADO, PVC, DN 32 MM (1"), PARA CIRCUITOS TERMINAIS, INSTALADO EM FORRO - FORNECIMENTO E INSTALAÇÃO. AF_03/2023_PA</v>
      </c>
      <c r="G82" s="165" t="str">
        <f ca="1">IF($D82&lt;&gt;"Serviço","",OFFSET(ORÇAMENTO!S$15,ROW(G82)-ROW(G$15),0))</f>
        <v>M</v>
      </c>
      <c r="H82" s="123">
        <f ca="1">IF($D82&lt;&gt;"Serviço",0,IF(ACOMPANHAMENTO="BM",ROUND(OFFSET(ORÇAMENTO!AJ$15,ROW(H82)-ROW(H$15),0),15-13*ORÇAMENTO!$AF$7),SUMPRODUCT(($Q$1:$AA$1=1)*ROUND($Q82:$AA82,15-13*ORÇAMENTO!$AF$7))))</f>
        <v>135</v>
      </c>
      <c r="I82" s="469"/>
      <c r="J82" s="577" t="str" cm="1">
        <f t="array" aca="1" ref="J82" ca="1">IF(B82&lt;&gt;"S","",IF(AND(ACOMPANHAMENTO="PLE",AUTOEVENTO="Manual",OR(H82&gt;0,ORÇAMENTO!AC82="QUANT."),OR(K82="",M82=0,N82="")),"►",IF(AND(ACOMPANHAMENTO="PLE",ORÇAMENTO!AC82="QUANT."),"►►",IF(AND(COUNTIF($P$11:$AA$11,"▼")=0,H82&gt;0,I82=""),"◄",""))))</f>
        <v>◄</v>
      </c>
      <c r="K82" s="626"/>
      <c r="L82" s="166" t="s">
        <v>765</v>
      </c>
      <c r="M82" s="167">
        <f ca="1">IF($D82&lt;&gt;"Serviço","",
          IF(AUTOEVENTO="manual",$A82,
                IF(ISERROR(MATCH($A82,$A$15:OFFSET($A82,-1,0),0)),MAX($M$15:OFFSET(M82,-1,0))+1,
                      INDEX($M$15:OFFSET(M82,-1,0),MATCH($A82,$A$15:OFFSET($A82,-1,0),0)))))</f>
        <v>9</v>
      </c>
      <c r="N82" s="168" t="str">
        <f ca="1">IF($D82&lt;&gt;"Serviço","",
         IF(AUTOEVENTO="Manual",
                IF($A82=0,"&lt;-- defina o número do agrupador",
                       OFFSET(EVENTOS!$D$15,$A82-$A$15,0)),
                OFFSET($F$15,$A82,0)))</f>
        <v>INSTALAÇÕES ELÉTRICAS</v>
      </c>
      <c r="O82" s="169"/>
      <c r="Q82" s="169"/>
      <c r="R82" s="170"/>
      <c r="S82" s="170"/>
      <c r="T82" s="170"/>
      <c r="U82" s="170"/>
      <c r="V82" s="170"/>
      <c r="W82" s="170"/>
      <c r="X82" s="170"/>
      <c r="Y82" s="170"/>
      <c r="Z82" s="171"/>
      <c r="AB82" s="454">
        <f ca="1">IF(AND($D82="Serviço",AB$12&lt;&gt;0,$H82&gt;0,OR(AUTOEVENTO&lt;&gt;"manual",$M82&lt;&gt;$A$15)),
        IF(Import.TipoArredondamento&lt;&gt;"TransfereGOV",
              ROUND(OFFSET($P82,0,AB$13),15-13*ORÇAMENTO!$AF$7)/$H82*OFFSET(ORÇAMENTO!$X$15,ROW(AB82)-ROW(AB$15),0),
              ROUND(ROUND(OFFSET($P82,0,AB$13),15-13*ORÇAMENTO!$AF$7)*OFFSET(ORÇAMENTO!$W$15,ROW(AB82)-ROW(AB$15),0),15-13*ORÇAMENTO!$AF$11)),
         0)</f>
        <v>0</v>
      </c>
      <c r="AC82" s="454">
        <f ca="1">IF(AND($D82="Serviço",AC$12&lt;&gt;0,$H82&gt;0,OR(AUTOEVENTO&lt;&gt;"manual",$M82&lt;&gt;$A$15)),
        IF(Import.TipoArredondamento&lt;&gt;"TransfereGOV",
              ROUND(OFFSET($P82,0,AC$13),15-13*ORÇAMENTO!$AF$7)/$H82*OFFSET(ORÇAMENTO!$X$15,ROW(AC82)-ROW(AC$15),0),
              ROUND(ROUND(OFFSET($P82,0,AC$13),15-13*ORÇAMENTO!$AF$7)*OFFSET(ORÇAMENTO!$W$15,ROW(AC82)-ROW(AC$15),0),15-13*ORÇAMENTO!$AF$11)),
         0)</f>
        <v>0</v>
      </c>
      <c r="AD82" s="454">
        <f ca="1">IF(AND($D82="Serviço",AD$12&lt;&gt;0,$H82&gt;0,OR(AUTOEVENTO&lt;&gt;"manual",$M82&lt;&gt;$A$15)),
        IF(Import.TipoArredondamento&lt;&gt;"TransfereGOV",
              ROUND(OFFSET($P82,0,AD$13),15-13*ORÇAMENTO!$AF$7)/$H82*OFFSET(ORÇAMENTO!$X$15,ROW(AD82)-ROW(AD$15),0),
              ROUND(ROUND(OFFSET($P82,0,AD$13),15-13*ORÇAMENTO!$AF$7)*OFFSET(ORÇAMENTO!$W$15,ROW(AD82)-ROW(AD$15),0),15-13*ORÇAMENTO!$AF$11)),
         0)</f>
        <v>0</v>
      </c>
      <c r="AE82" s="454">
        <f ca="1">IF(AND($D82="Serviço",AE$12&lt;&gt;0,$H82&gt;0,OR(AUTOEVENTO&lt;&gt;"manual",$M82&lt;&gt;$A$15)),
        IF(Import.TipoArredondamento&lt;&gt;"TransfereGOV",
              ROUND(OFFSET($P82,0,AE$13),15-13*ORÇAMENTO!$AF$7)/$H82*OFFSET(ORÇAMENTO!$X$15,ROW(AE82)-ROW(AE$15),0),
              ROUND(ROUND(OFFSET($P82,0,AE$13),15-13*ORÇAMENTO!$AF$7)*OFFSET(ORÇAMENTO!$W$15,ROW(AE82)-ROW(AE$15),0),15-13*ORÇAMENTO!$AF$11)),
         0)</f>
        <v>0</v>
      </c>
      <c r="AF82" s="454">
        <f ca="1">IF(AND($D82="Serviço",AF$12&lt;&gt;0,$H82&gt;0,OR(AUTOEVENTO&lt;&gt;"manual",$M82&lt;&gt;$A$15)),
        IF(Import.TipoArredondamento&lt;&gt;"TransfereGOV",
              ROUND(OFFSET($P82,0,AF$13),15-13*ORÇAMENTO!$AF$7)/$H82*OFFSET(ORÇAMENTO!$X$15,ROW(AF82)-ROW(AF$15),0),
              ROUND(ROUND(OFFSET($P82,0,AF$13),15-13*ORÇAMENTO!$AF$7)*OFFSET(ORÇAMENTO!$W$15,ROW(AF82)-ROW(AF$15),0),15-13*ORÇAMENTO!$AF$11)),
         0)</f>
        <v>0</v>
      </c>
      <c r="AG82" s="454">
        <f ca="1">IF(AND($D82="Serviço",AG$12&lt;&gt;0,$H82&gt;0,OR(AUTOEVENTO&lt;&gt;"manual",$M82&lt;&gt;$A$15)),
        IF(Import.TipoArredondamento&lt;&gt;"TransfereGOV",
              ROUND(OFFSET($P82,0,AG$13),15-13*ORÇAMENTO!$AF$7)/$H82*OFFSET(ORÇAMENTO!$X$15,ROW(AG82)-ROW(AG$15),0),
              ROUND(ROUND(OFFSET($P82,0,AG$13),15-13*ORÇAMENTO!$AF$7)*OFFSET(ORÇAMENTO!$W$15,ROW(AG82)-ROW(AG$15),0),15-13*ORÇAMENTO!$AF$11)),
         0)</f>
        <v>0</v>
      </c>
      <c r="AH82" s="454">
        <f ca="1">IF(AND($D82="Serviço",AH$12&lt;&gt;0,$H82&gt;0,OR(AUTOEVENTO&lt;&gt;"manual",$M82&lt;&gt;$A$15)),
        IF(Import.TipoArredondamento&lt;&gt;"TransfereGOV",
              ROUND(OFFSET($P82,0,AH$13),15-13*ORÇAMENTO!$AF$7)/$H82*OFFSET(ORÇAMENTO!$X$15,ROW(AH82)-ROW(AH$15),0),
              ROUND(ROUND(OFFSET($P82,0,AH$13),15-13*ORÇAMENTO!$AF$7)*OFFSET(ORÇAMENTO!$W$15,ROW(AH82)-ROW(AH$15),0),15-13*ORÇAMENTO!$AF$11)),
         0)</f>
        <v>0</v>
      </c>
      <c r="AI82" s="454">
        <f ca="1">IF(AND($D82="Serviço",AI$12&lt;&gt;0,$H82&gt;0,OR(AUTOEVENTO&lt;&gt;"manual",$M82&lt;&gt;$A$15)),
        IF(Import.TipoArredondamento&lt;&gt;"TransfereGOV",
              ROUND(OFFSET($P82,0,AI$13),15-13*ORÇAMENTO!$AF$7)/$H82*OFFSET(ORÇAMENTO!$X$15,ROW(AI82)-ROW(AI$15),0),
              ROUND(ROUND(OFFSET($P82,0,AI$13),15-13*ORÇAMENTO!$AF$7)*OFFSET(ORÇAMENTO!$W$15,ROW(AI82)-ROW(AI$15),0),15-13*ORÇAMENTO!$AF$11)),
         0)</f>
        <v>0</v>
      </c>
      <c r="AJ82" s="454">
        <f ca="1">IF(AND($D82="Serviço",AJ$12&lt;&gt;0,$H82&gt;0,OR(AUTOEVENTO&lt;&gt;"manual",$M82&lt;&gt;$A$15)),
        IF(Import.TipoArredondamento&lt;&gt;"TransfereGOV",
              ROUND(OFFSET($P82,0,AJ$13),15-13*ORÇAMENTO!$AF$7)/$H82*OFFSET(ORÇAMENTO!$X$15,ROW(AJ82)-ROW(AJ$15),0),
              ROUND(ROUND(OFFSET($P82,0,AJ$13),15-13*ORÇAMENTO!$AF$7)*OFFSET(ORÇAMENTO!$W$15,ROW(AJ82)-ROW(AJ$15),0),15-13*ORÇAMENTO!$AF$11)),
         0)</f>
        <v>0</v>
      </c>
      <c r="AK82" s="454">
        <f ca="1">IF(AND($D82="Serviço",AK$12&lt;&gt;0,$H82&gt;0,OR(AUTOEVENTO&lt;&gt;"manual",$M82&lt;&gt;$A$15)),
        IF(Import.TipoArredondamento&lt;&gt;"TransfereGOV",
              ROUND(OFFSET($P82,0,AK$13),15-13*ORÇAMENTO!$AF$7)/$H82*OFFSET(ORÇAMENTO!$X$15,ROW(AK82)-ROW(AK$15),0),
              ROUND(ROUND(OFFSET($P82,0,AK$13),15-13*ORÇAMENTO!$AF$7)*OFFSET(ORÇAMENTO!$W$15,ROW(AK82)-ROW(AK$15),0),15-13*ORÇAMENTO!$AF$11)),
         0)</f>
        <v>0</v>
      </c>
      <c r="AM82" s="172">
        <f ca="1">IF(OR($D82&lt;&gt;"Serviço",AND(AUTOEVENTO="Manual",$M82=$A$15)),0,
         IF(OFFSET(CRONOPLE!$F$15,$M82-$A$15,AM$13)="",10^12,OFFSET(CRONOPLE!$F$15,$M82-$A$15,AM$13)))</f>
        <v>1000000000000</v>
      </c>
      <c r="AN82" s="172">
        <f ca="1">IF(OR($D82&lt;&gt;"Serviço",AND(AUTOEVENTO="Manual",$M82=$A$15)),0,
         IF(OFFSET(CRONOPLE!$F$15,$M82-$A$15,AN$13)="",10^12,OFFSET(CRONOPLE!$F$15,$M82-$A$15,AN$13)))</f>
        <v>1000000000000</v>
      </c>
      <c r="AO82" s="172">
        <f ca="1">IF(OR($D82&lt;&gt;"Serviço",AND(AUTOEVENTO="Manual",$M82=$A$15)),0,
         IF(OFFSET(CRONOPLE!$F$15,$M82-$A$15,AO$13)="",10^12,OFFSET(CRONOPLE!$F$15,$M82-$A$15,AO$13)))</f>
        <v>1000000000000</v>
      </c>
      <c r="AP82" s="172">
        <f ca="1">IF(OR($D82&lt;&gt;"Serviço",AND(AUTOEVENTO="Manual",$M82=$A$15)),0,
         IF(OFFSET(CRONOPLE!$F$15,$M82-$A$15,AP$13)="",10^12,OFFSET(CRONOPLE!$F$15,$M82-$A$15,AP$13)))</f>
        <v>1000000000000</v>
      </c>
      <c r="AQ82" s="172">
        <f ca="1">IF(OR($D82&lt;&gt;"Serviço",AND(AUTOEVENTO="Manual",$M82=$A$15)),0,
         IF(OFFSET(CRONOPLE!$F$15,$M82-$A$15,AQ$13)="",10^12,OFFSET(CRONOPLE!$F$15,$M82-$A$15,AQ$13)))</f>
        <v>1000000000000</v>
      </c>
      <c r="AR82" s="172">
        <f ca="1">IF(OR($D82&lt;&gt;"Serviço",AND(AUTOEVENTO="Manual",$M82=$A$15)),0,
         IF(OFFSET(CRONOPLE!$F$15,$M82-$A$15,AR$13)="",10^12,OFFSET(CRONOPLE!$F$15,$M82-$A$15,AR$13)))</f>
        <v>1000000000000</v>
      </c>
      <c r="AS82" s="172">
        <f ca="1">IF(OR($D82&lt;&gt;"Serviço",AND(AUTOEVENTO="Manual",$M82=$A$15)),0,
         IF(OFFSET(CRONOPLE!$F$15,$M82-$A$15,AS$13)="",10^12,OFFSET(CRONOPLE!$F$15,$M82-$A$15,AS$13)))</f>
        <v>1000000000000</v>
      </c>
      <c r="AT82" s="172">
        <f ca="1">IF(OR($D82&lt;&gt;"Serviço",AND(AUTOEVENTO="Manual",$M82=$A$15)),0,
         IF(OFFSET(CRONOPLE!$F$15,$M82-$A$15,AT$13)="",10^12,OFFSET(CRONOPLE!$F$15,$M82-$A$15,AT$13)))</f>
        <v>1000000000000</v>
      </c>
      <c r="AU82" s="172">
        <f ca="1">IF(OR($D82&lt;&gt;"Serviço",AND(AUTOEVENTO="Manual",$M82=$A$15)),0,
         IF(OFFSET(CRONOPLE!$F$15,$M82-$A$15,AU$13)="",10^12,OFFSET(CRONOPLE!$F$15,$M82-$A$15,AU$13)))</f>
        <v>1000000000000</v>
      </c>
      <c r="AV82" s="172">
        <f ca="1">IF(OR($D82&lt;&gt;"Serviço",AND(AUTOEVENTO="Manual",$M82=$A$15)),0,
         IF(OFFSET(CRONOPLE!$F$15,$M82-$A$15,AV$13)="",10^12,OFFSET(CRONOPLE!$F$15,$M82-$A$15,AV$13)))</f>
        <v>1000000000000</v>
      </c>
      <c r="AX82" s="173">
        <f ca="1">IF(OR($D82&lt;&gt;"Serviço",AND(AUTOEVENTO="Manual",$M82=$A$15),$M82&gt;(ROW(PLE.lastrow)-ROW(PLE.firstrow))),0,
           IF(OFFSET(PLE!$G$15,$M82-$A$15,AX$13)="",10^12,OFFSET(PLE!$G$15,$M82-$A$15,AX$13)))</f>
        <v>1000000000000</v>
      </c>
      <c r="AY82" s="173">
        <f ca="1">IF(OR($D82&lt;&gt;"Serviço",AND(AUTOEVENTO="Manual",$M82=$A$15),$M82&gt;(ROW(PLE.lastrow)-ROW(PLE.firstrow))),0,
           IF(OFFSET(PLE!$G$15,$M82-$A$15,AY$13)="",10^12,OFFSET(PLE!$G$15,$M82-$A$15,AY$13)))</f>
        <v>1000000000000</v>
      </c>
      <c r="AZ82" s="173">
        <f ca="1">IF(OR($D82&lt;&gt;"Serviço",AND(AUTOEVENTO="Manual",$M82=$A$15),$M82&gt;(ROW(PLE.lastrow)-ROW(PLE.firstrow))),0,
           IF(OFFSET(PLE!$G$15,$M82-$A$15,AZ$13)="",10^12,OFFSET(PLE!$G$15,$M82-$A$15,AZ$13)))</f>
        <v>1000000000000</v>
      </c>
      <c r="BA82" s="173">
        <f ca="1">IF(OR($D82&lt;&gt;"Serviço",AND(AUTOEVENTO="Manual",$M82=$A$15),$M82&gt;(ROW(PLE.lastrow)-ROW(PLE.firstrow))),0,
           IF(OFFSET(PLE!$G$15,$M82-$A$15,BA$13)="",10^12,OFFSET(PLE!$G$15,$M82-$A$15,BA$13)))</f>
        <v>1000000000000</v>
      </c>
      <c r="BB82" s="173">
        <f ca="1">IF(OR($D82&lt;&gt;"Serviço",AND(AUTOEVENTO="Manual",$M82=$A$15),$M82&gt;(ROW(PLE.lastrow)-ROW(PLE.firstrow))),0,
           IF(OFFSET(PLE!$G$15,$M82-$A$15,BB$13)="",10^12,OFFSET(PLE!$G$15,$M82-$A$15,BB$13)))</f>
        <v>1000000000000</v>
      </c>
      <c r="BC82" s="173">
        <f ca="1">IF(OR($D82&lt;&gt;"Serviço",AND(AUTOEVENTO="Manual",$M82=$A$15),$M82&gt;(ROW(PLE.lastrow)-ROW(PLE.firstrow))),0,
           IF(OFFSET(PLE!$G$15,$M82-$A$15,BC$13)="",10^12,OFFSET(PLE!$G$15,$M82-$A$15,BC$13)))</f>
        <v>1000000000000</v>
      </c>
      <c r="BD82" s="173">
        <f ca="1">IF(OR($D82&lt;&gt;"Serviço",AND(AUTOEVENTO="Manual",$M82=$A$15),$M82&gt;(ROW(PLE.lastrow)-ROW(PLE.firstrow))),0,
           IF(OFFSET(PLE!$G$15,$M82-$A$15,BD$13)="",10^12,OFFSET(PLE!$G$15,$M82-$A$15,BD$13)))</f>
        <v>1000000000000</v>
      </c>
      <c r="BE82" s="173">
        <f ca="1">IF(OR($D82&lt;&gt;"Serviço",AND(AUTOEVENTO="Manual",$M82=$A$15),$M82&gt;(ROW(PLE.lastrow)-ROW(PLE.firstrow))),0,
           IF(OFFSET(PLE!$G$15,$M82-$A$15,BE$13)="",10^12,OFFSET(PLE!$G$15,$M82-$A$15,BE$13)))</f>
        <v>1000000000000</v>
      </c>
      <c r="BF82" s="173">
        <f ca="1">IF(OR($D82&lt;&gt;"Serviço",AND(AUTOEVENTO="Manual",$M82=$A$15),$M82&gt;(ROW(PLE.lastrow)-ROW(PLE.firstrow))),0,
           IF(OFFSET(PLE!$G$15,$M82-$A$15,BF$13)="",10^12,OFFSET(PLE!$G$15,$M82-$A$15,BF$13)))</f>
        <v>1000000000000</v>
      </c>
      <c r="BG82" s="173">
        <f ca="1">IF(OR($D82&lt;&gt;"Serviço",AND(AUTOEVENTO="Manual",$M82=$A$15),$M82&gt;(ROW(PLE.lastrow)-ROW(PLE.firstrow))),0,
           IF(OFFSET(PLE!$G$15,$M82-$A$15,BG$13)="",10^12,OFFSET(PLE!$G$15,$M82-$A$15,BG$13)))</f>
        <v>1000000000000</v>
      </c>
    </row>
    <row r="83" spans="1:59" ht="38.25" x14ac:dyDescent="0.2">
      <c r="A83" s="7" t="str">
        <f t="shared" ca="1" si="9"/>
        <v>39</v>
      </c>
      <c r="B83" s="7" t="str">
        <f ca="1">OFFSET(ORÇAMENTO!C$15,ROW(B83)-ROW(B$15),0)</f>
        <v>S</v>
      </c>
      <c r="C83" s="7" t="str">
        <f ca="1">OFFSET(ORÇAMENTO!L$15,ROW(C83)-ROW(C$15),0)</f>
        <v/>
      </c>
      <c r="D83" s="117" t="str">
        <f ca="1">OFFSET(ORÇAMENTO!N$15,ROW(D83)-ROW(D$15),0)</f>
        <v>Serviço</v>
      </c>
      <c r="E83" s="118" t="str">
        <f ca="1">OFFSET(ORÇAMENTO!O$15,ROW(E83)-ROW(E$15),0)</f>
        <v>-</v>
      </c>
      <c r="F83" s="164" t="str">
        <f ca="1">OFFSET(ORÇAMENTO!R$15,ROW(F83)-ROW(F$15),0)</f>
        <v>ELETRODUTO FLEXÍVEL CORRUGADO, PEAD, DN 50 (1 1/2"), PARA REDE ENTERRADA DE DISTRIBUIÇÃO DE ENERGIA ELÉTRICA - FORNECIMENTO E INSTALAÇÃO. AF_12/2021</v>
      </c>
      <c r="G83" s="165" t="str">
        <f ca="1">IF($D83&lt;&gt;"Serviço","",OFFSET(ORÇAMENTO!S$15,ROW(G83)-ROW(G$15),0))</f>
        <v>M</v>
      </c>
      <c r="H83" s="123">
        <f ca="1">IF($D83&lt;&gt;"Serviço",0,IF(ACOMPANHAMENTO="BM",ROUND(OFFSET(ORÇAMENTO!AJ$15,ROW(H83)-ROW(H$15),0),15-13*ORÇAMENTO!$AF$7),SUMPRODUCT(($Q$1:$AA$1=1)*ROUND($Q83:$AA83,15-13*ORÇAMENTO!$AF$7))))</f>
        <v>13</v>
      </c>
      <c r="I83" s="469"/>
      <c r="J83" s="577" t="str" cm="1">
        <f t="array" aca="1" ref="J83" ca="1">IF(B83&lt;&gt;"S","",IF(AND(ACOMPANHAMENTO="PLE",AUTOEVENTO="Manual",OR(H83&gt;0,ORÇAMENTO!AC83="QUANT."),OR(K83="",M83=0,N83="")),"►",IF(AND(ACOMPANHAMENTO="PLE",ORÇAMENTO!AC83="QUANT."),"►►",IF(AND(COUNTIF($P$11:$AA$11,"▼")=0,H83&gt;0,I83=""),"◄",""))))</f>
        <v>◄</v>
      </c>
      <c r="K83" s="626"/>
      <c r="L83" s="166" t="s">
        <v>765</v>
      </c>
      <c r="M83" s="167">
        <f ca="1">IF($D83&lt;&gt;"Serviço","",
          IF(AUTOEVENTO="manual",$A83,
                IF(ISERROR(MATCH($A83,$A$15:OFFSET($A83,-1,0),0)),MAX($M$15:OFFSET(M83,-1,0))+1,
                      INDEX($M$15:OFFSET(M83,-1,0),MATCH($A83,$A$15:OFFSET($A83,-1,0),0)))))</f>
        <v>9</v>
      </c>
      <c r="N83" s="168" t="str">
        <f ca="1">IF($D83&lt;&gt;"Serviço","",
         IF(AUTOEVENTO="Manual",
                IF($A83=0,"&lt;-- defina o número do agrupador",
                       OFFSET(EVENTOS!$D$15,$A83-$A$15,0)),
                OFFSET($F$15,$A83,0)))</f>
        <v>INSTALAÇÕES ELÉTRICAS</v>
      </c>
      <c r="O83" s="169"/>
      <c r="Q83" s="169"/>
      <c r="R83" s="170"/>
      <c r="S83" s="170"/>
      <c r="T83" s="170"/>
      <c r="U83" s="170"/>
      <c r="V83" s="170"/>
      <c r="W83" s="170"/>
      <c r="X83" s="170"/>
      <c r="Y83" s="170"/>
      <c r="Z83" s="171"/>
      <c r="AB83" s="454">
        <f ca="1">IF(AND($D83="Serviço",AB$12&lt;&gt;0,$H83&gt;0,OR(AUTOEVENTO&lt;&gt;"manual",$M83&lt;&gt;$A$15)),
        IF(Import.TipoArredondamento&lt;&gt;"TransfereGOV",
              ROUND(OFFSET($P83,0,AB$13),15-13*ORÇAMENTO!$AF$7)/$H83*OFFSET(ORÇAMENTO!$X$15,ROW(AB83)-ROW(AB$15),0),
              ROUND(ROUND(OFFSET($P83,0,AB$13),15-13*ORÇAMENTO!$AF$7)*OFFSET(ORÇAMENTO!$W$15,ROW(AB83)-ROW(AB$15),0),15-13*ORÇAMENTO!$AF$11)),
         0)</f>
        <v>0</v>
      </c>
      <c r="AC83" s="454">
        <f ca="1">IF(AND($D83="Serviço",AC$12&lt;&gt;0,$H83&gt;0,OR(AUTOEVENTO&lt;&gt;"manual",$M83&lt;&gt;$A$15)),
        IF(Import.TipoArredondamento&lt;&gt;"TransfereGOV",
              ROUND(OFFSET($P83,0,AC$13),15-13*ORÇAMENTO!$AF$7)/$H83*OFFSET(ORÇAMENTO!$X$15,ROW(AC83)-ROW(AC$15),0),
              ROUND(ROUND(OFFSET($P83,0,AC$13),15-13*ORÇAMENTO!$AF$7)*OFFSET(ORÇAMENTO!$W$15,ROW(AC83)-ROW(AC$15),0),15-13*ORÇAMENTO!$AF$11)),
         0)</f>
        <v>0</v>
      </c>
      <c r="AD83" s="454">
        <f ca="1">IF(AND($D83="Serviço",AD$12&lt;&gt;0,$H83&gt;0,OR(AUTOEVENTO&lt;&gt;"manual",$M83&lt;&gt;$A$15)),
        IF(Import.TipoArredondamento&lt;&gt;"TransfereGOV",
              ROUND(OFFSET($P83,0,AD$13),15-13*ORÇAMENTO!$AF$7)/$H83*OFFSET(ORÇAMENTO!$X$15,ROW(AD83)-ROW(AD$15),0),
              ROUND(ROUND(OFFSET($P83,0,AD$13),15-13*ORÇAMENTO!$AF$7)*OFFSET(ORÇAMENTO!$W$15,ROW(AD83)-ROW(AD$15),0),15-13*ORÇAMENTO!$AF$11)),
         0)</f>
        <v>0</v>
      </c>
      <c r="AE83" s="454">
        <f ca="1">IF(AND($D83="Serviço",AE$12&lt;&gt;0,$H83&gt;0,OR(AUTOEVENTO&lt;&gt;"manual",$M83&lt;&gt;$A$15)),
        IF(Import.TipoArredondamento&lt;&gt;"TransfereGOV",
              ROUND(OFFSET($P83,0,AE$13),15-13*ORÇAMENTO!$AF$7)/$H83*OFFSET(ORÇAMENTO!$X$15,ROW(AE83)-ROW(AE$15),0),
              ROUND(ROUND(OFFSET($P83,0,AE$13),15-13*ORÇAMENTO!$AF$7)*OFFSET(ORÇAMENTO!$W$15,ROW(AE83)-ROW(AE$15),0),15-13*ORÇAMENTO!$AF$11)),
         0)</f>
        <v>0</v>
      </c>
      <c r="AF83" s="454">
        <f ca="1">IF(AND($D83="Serviço",AF$12&lt;&gt;0,$H83&gt;0,OR(AUTOEVENTO&lt;&gt;"manual",$M83&lt;&gt;$A$15)),
        IF(Import.TipoArredondamento&lt;&gt;"TransfereGOV",
              ROUND(OFFSET($P83,0,AF$13),15-13*ORÇAMENTO!$AF$7)/$H83*OFFSET(ORÇAMENTO!$X$15,ROW(AF83)-ROW(AF$15),0),
              ROUND(ROUND(OFFSET($P83,0,AF$13),15-13*ORÇAMENTO!$AF$7)*OFFSET(ORÇAMENTO!$W$15,ROW(AF83)-ROW(AF$15),0),15-13*ORÇAMENTO!$AF$11)),
         0)</f>
        <v>0</v>
      </c>
      <c r="AG83" s="454">
        <f ca="1">IF(AND($D83="Serviço",AG$12&lt;&gt;0,$H83&gt;0,OR(AUTOEVENTO&lt;&gt;"manual",$M83&lt;&gt;$A$15)),
        IF(Import.TipoArredondamento&lt;&gt;"TransfereGOV",
              ROUND(OFFSET($P83,0,AG$13),15-13*ORÇAMENTO!$AF$7)/$H83*OFFSET(ORÇAMENTO!$X$15,ROW(AG83)-ROW(AG$15),0),
              ROUND(ROUND(OFFSET($P83,0,AG$13),15-13*ORÇAMENTO!$AF$7)*OFFSET(ORÇAMENTO!$W$15,ROW(AG83)-ROW(AG$15),0),15-13*ORÇAMENTO!$AF$11)),
         0)</f>
        <v>0</v>
      </c>
      <c r="AH83" s="454">
        <f ca="1">IF(AND($D83="Serviço",AH$12&lt;&gt;0,$H83&gt;0,OR(AUTOEVENTO&lt;&gt;"manual",$M83&lt;&gt;$A$15)),
        IF(Import.TipoArredondamento&lt;&gt;"TransfereGOV",
              ROUND(OFFSET($P83,0,AH$13),15-13*ORÇAMENTO!$AF$7)/$H83*OFFSET(ORÇAMENTO!$X$15,ROW(AH83)-ROW(AH$15),0),
              ROUND(ROUND(OFFSET($P83,0,AH$13),15-13*ORÇAMENTO!$AF$7)*OFFSET(ORÇAMENTO!$W$15,ROW(AH83)-ROW(AH$15),0),15-13*ORÇAMENTO!$AF$11)),
         0)</f>
        <v>0</v>
      </c>
      <c r="AI83" s="454">
        <f ca="1">IF(AND($D83="Serviço",AI$12&lt;&gt;0,$H83&gt;0,OR(AUTOEVENTO&lt;&gt;"manual",$M83&lt;&gt;$A$15)),
        IF(Import.TipoArredondamento&lt;&gt;"TransfereGOV",
              ROUND(OFFSET($P83,0,AI$13),15-13*ORÇAMENTO!$AF$7)/$H83*OFFSET(ORÇAMENTO!$X$15,ROW(AI83)-ROW(AI$15),0),
              ROUND(ROUND(OFFSET($P83,0,AI$13),15-13*ORÇAMENTO!$AF$7)*OFFSET(ORÇAMENTO!$W$15,ROW(AI83)-ROW(AI$15),0),15-13*ORÇAMENTO!$AF$11)),
         0)</f>
        <v>0</v>
      </c>
      <c r="AJ83" s="454">
        <f ca="1">IF(AND($D83="Serviço",AJ$12&lt;&gt;0,$H83&gt;0,OR(AUTOEVENTO&lt;&gt;"manual",$M83&lt;&gt;$A$15)),
        IF(Import.TipoArredondamento&lt;&gt;"TransfereGOV",
              ROUND(OFFSET($P83,0,AJ$13),15-13*ORÇAMENTO!$AF$7)/$H83*OFFSET(ORÇAMENTO!$X$15,ROW(AJ83)-ROW(AJ$15),0),
              ROUND(ROUND(OFFSET($P83,0,AJ$13),15-13*ORÇAMENTO!$AF$7)*OFFSET(ORÇAMENTO!$W$15,ROW(AJ83)-ROW(AJ$15),0),15-13*ORÇAMENTO!$AF$11)),
         0)</f>
        <v>0</v>
      </c>
      <c r="AK83" s="454">
        <f ca="1">IF(AND($D83="Serviço",AK$12&lt;&gt;0,$H83&gt;0,OR(AUTOEVENTO&lt;&gt;"manual",$M83&lt;&gt;$A$15)),
        IF(Import.TipoArredondamento&lt;&gt;"TransfereGOV",
              ROUND(OFFSET($P83,0,AK$13),15-13*ORÇAMENTO!$AF$7)/$H83*OFFSET(ORÇAMENTO!$X$15,ROW(AK83)-ROW(AK$15),0),
              ROUND(ROUND(OFFSET($P83,0,AK$13),15-13*ORÇAMENTO!$AF$7)*OFFSET(ORÇAMENTO!$W$15,ROW(AK83)-ROW(AK$15),0),15-13*ORÇAMENTO!$AF$11)),
         0)</f>
        <v>0</v>
      </c>
      <c r="AM83" s="172">
        <f ca="1">IF(OR($D83&lt;&gt;"Serviço",AND(AUTOEVENTO="Manual",$M83=$A$15)),0,
         IF(OFFSET(CRONOPLE!$F$15,$M83-$A$15,AM$13)="",10^12,OFFSET(CRONOPLE!$F$15,$M83-$A$15,AM$13)))</f>
        <v>1000000000000</v>
      </c>
      <c r="AN83" s="172">
        <f ca="1">IF(OR($D83&lt;&gt;"Serviço",AND(AUTOEVENTO="Manual",$M83=$A$15)),0,
         IF(OFFSET(CRONOPLE!$F$15,$M83-$A$15,AN$13)="",10^12,OFFSET(CRONOPLE!$F$15,$M83-$A$15,AN$13)))</f>
        <v>1000000000000</v>
      </c>
      <c r="AO83" s="172">
        <f ca="1">IF(OR($D83&lt;&gt;"Serviço",AND(AUTOEVENTO="Manual",$M83=$A$15)),0,
         IF(OFFSET(CRONOPLE!$F$15,$M83-$A$15,AO$13)="",10^12,OFFSET(CRONOPLE!$F$15,$M83-$A$15,AO$13)))</f>
        <v>1000000000000</v>
      </c>
      <c r="AP83" s="172">
        <f ca="1">IF(OR($D83&lt;&gt;"Serviço",AND(AUTOEVENTO="Manual",$M83=$A$15)),0,
         IF(OFFSET(CRONOPLE!$F$15,$M83-$A$15,AP$13)="",10^12,OFFSET(CRONOPLE!$F$15,$M83-$A$15,AP$13)))</f>
        <v>1000000000000</v>
      </c>
      <c r="AQ83" s="172">
        <f ca="1">IF(OR($D83&lt;&gt;"Serviço",AND(AUTOEVENTO="Manual",$M83=$A$15)),0,
         IF(OFFSET(CRONOPLE!$F$15,$M83-$A$15,AQ$13)="",10^12,OFFSET(CRONOPLE!$F$15,$M83-$A$15,AQ$13)))</f>
        <v>1000000000000</v>
      </c>
      <c r="AR83" s="172">
        <f ca="1">IF(OR($D83&lt;&gt;"Serviço",AND(AUTOEVENTO="Manual",$M83=$A$15)),0,
         IF(OFFSET(CRONOPLE!$F$15,$M83-$A$15,AR$13)="",10^12,OFFSET(CRONOPLE!$F$15,$M83-$A$15,AR$13)))</f>
        <v>1000000000000</v>
      </c>
      <c r="AS83" s="172">
        <f ca="1">IF(OR($D83&lt;&gt;"Serviço",AND(AUTOEVENTO="Manual",$M83=$A$15)),0,
         IF(OFFSET(CRONOPLE!$F$15,$M83-$A$15,AS$13)="",10^12,OFFSET(CRONOPLE!$F$15,$M83-$A$15,AS$13)))</f>
        <v>1000000000000</v>
      </c>
      <c r="AT83" s="172">
        <f ca="1">IF(OR($D83&lt;&gt;"Serviço",AND(AUTOEVENTO="Manual",$M83=$A$15)),0,
         IF(OFFSET(CRONOPLE!$F$15,$M83-$A$15,AT$13)="",10^12,OFFSET(CRONOPLE!$F$15,$M83-$A$15,AT$13)))</f>
        <v>1000000000000</v>
      </c>
      <c r="AU83" s="172">
        <f ca="1">IF(OR($D83&lt;&gt;"Serviço",AND(AUTOEVENTO="Manual",$M83=$A$15)),0,
         IF(OFFSET(CRONOPLE!$F$15,$M83-$A$15,AU$13)="",10^12,OFFSET(CRONOPLE!$F$15,$M83-$A$15,AU$13)))</f>
        <v>1000000000000</v>
      </c>
      <c r="AV83" s="172">
        <f ca="1">IF(OR($D83&lt;&gt;"Serviço",AND(AUTOEVENTO="Manual",$M83=$A$15)),0,
         IF(OFFSET(CRONOPLE!$F$15,$M83-$A$15,AV$13)="",10^12,OFFSET(CRONOPLE!$F$15,$M83-$A$15,AV$13)))</f>
        <v>1000000000000</v>
      </c>
      <c r="AX83" s="173">
        <f ca="1">IF(OR($D83&lt;&gt;"Serviço",AND(AUTOEVENTO="Manual",$M83=$A$15),$M83&gt;(ROW(PLE.lastrow)-ROW(PLE.firstrow))),0,
           IF(OFFSET(PLE!$G$15,$M83-$A$15,AX$13)="",10^12,OFFSET(PLE!$G$15,$M83-$A$15,AX$13)))</f>
        <v>1000000000000</v>
      </c>
      <c r="AY83" s="173">
        <f ca="1">IF(OR($D83&lt;&gt;"Serviço",AND(AUTOEVENTO="Manual",$M83=$A$15),$M83&gt;(ROW(PLE.lastrow)-ROW(PLE.firstrow))),0,
           IF(OFFSET(PLE!$G$15,$M83-$A$15,AY$13)="",10^12,OFFSET(PLE!$G$15,$M83-$A$15,AY$13)))</f>
        <v>1000000000000</v>
      </c>
      <c r="AZ83" s="173">
        <f ca="1">IF(OR($D83&lt;&gt;"Serviço",AND(AUTOEVENTO="Manual",$M83=$A$15),$M83&gt;(ROW(PLE.lastrow)-ROW(PLE.firstrow))),0,
           IF(OFFSET(PLE!$G$15,$M83-$A$15,AZ$13)="",10^12,OFFSET(PLE!$G$15,$M83-$A$15,AZ$13)))</f>
        <v>1000000000000</v>
      </c>
      <c r="BA83" s="173">
        <f ca="1">IF(OR($D83&lt;&gt;"Serviço",AND(AUTOEVENTO="Manual",$M83=$A$15),$M83&gt;(ROW(PLE.lastrow)-ROW(PLE.firstrow))),0,
           IF(OFFSET(PLE!$G$15,$M83-$A$15,BA$13)="",10^12,OFFSET(PLE!$G$15,$M83-$A$15,BA$13)))</f>
        <v>1000000000000</v>
      </c>
      <c r="BB83" s="173">
        <f ca="1">IF(OR($D83&lt;&gt;"Serviço",AND(AUTOEVENTO="Manual",$M83=$A$15),$M83&gt;(ROW(PLE.lastrow)-ROW(PLE.firstrow))),0,
           IF(OFFSET(PLE!$G$15,$M83-$A$15,BB$13)="",10^12,OFFSET(PLE!$G$15,$M83-$A$15,BB$13)))</f>
        <v>1000000000000</v>
      </c>
      <c r="BC83" s="173">
        <f ca="1">IF(OR($D83&lt;&gt;"Serviço",AND(AUTOEVENTO="Manual",$M83=$A$15),$M83&gt;(ROW(PLE.lastrow)-ROW(PLE.firstrow))),0,
           IF(OFFSET(PLE!$G$15,$M83-$A$15,BC$13)="",10^12,OFFSET(PLE!$G$15,$M83-$A$15,BC$13)))</f>
        <v>1000000000000</v>
      </c>
      <c r="BD83" s="173">
        <f ca="1">IF(OR($D83&lt;&gt;"Serviço",AND(AUTOEVENTO="Manual",$M83=$A$15),$M83&gt;(ROW(PLE.lastrow)-ROW(PLE.firstrow))),0,
           IF(OFFSET(PLE!$G$15,$M83-$A$15,BD$13)="",10^12,OFFSET(PLE!$G$15,$M83-$A$15,BD$13)))</f>
        <v>1000000000000</v>
      </c>
      <c r="BE83" s="173">
        <f ca="1">IF(OR($D83&lt;&gt;"Serviço",AND(AUTOEVENTO="Manual",$M83=$A$15),$M83&gt;(ROW(PLE.lastrow)-ROW(PLE.firstrow))),0,
           IF(OFFSET(PLE!$G$15,$M83-$A$15,BE$13)="",10^12,OFFSET(PLE!$G$15,$M83-$A$15,BE$13)))</f>
        <v>1000000000000</v>
      </c>
      <c r="BF83" s="173">
        <f ca="1">IF(OR($D83&lt;&gt;"Serviço",AND(AUTOEVENTO="Manual",$M83=$A$15),$M83&gt;(ROW(PLE.lastrow)-ROW(PLE.firstrow))),0,
           IF(OFFSET(PLE!$G$15,$M83-$A$15,BF$13)="",10^12,OFFSET(PLE!$G$15,$M83-$A$15,BF$13)))</f>
        <v>1000000000000</v>
      </c>
      <c r="BG83" s="173">
        <f ca="1">IF(OR($D83&lt;&gt;"Serviço",AND(AUTOEVENTO="Manual",$M83=$A$15),$M83&gt;(ROW(PLE.lastrow)-ROW(PLE.firstrow))),0,
           IF(OFFSET(PLE!$G$15,$M83-$A$15,BG$13)="",10^12,OFFSET(PLE!$G$15,$M83-$A$15,BG$13)))</f>
        <v>1000000000000</v>
      </c>
    </row>
    <row r="84" spans="1:59" ht="38.25" x14ac:dyDescent="0.2">
      <c r="A84" s="7" t="str">
        <f t="shared" ca="1" si="9"/>
        <v>39</v>
      </c>
      <c r="B84" s="7" t="str">
        <f ca="1">OFFSET(ORÇAMENTO!C$15,ROW(B84)-ROW(B$15),0)</f>
        <v>S</v>
      </c>
      <c r="C84" s="7" t="str">
        <f ca="1">OFFSET(ORÇAMENTO!L$15,ROW(C84)-ROW(C$15),0)</f>
        <v/>
      </c>
      <c r="D84" s="117" t="str">
        <f ca="1">OFFSET(ORÇAMENTO!N$15,ROW(D84)-ROW(D$15),0)</f>
        <v>Serviço</v>
      </c>
      <c r="E84" s="118" t="str">
        <f ca="1">OFFSET(ORÇAMENTO!O$15,ROW(E84)-ROW(E$15),0)</f>
        <v>-</v>
      </c>
      <c r="F84" s="164" t="str">
        <f ca="1">OFFSET(ORÇAMENTO!R$15,ROW(F84)-ROW(F$15),0)</f>
        <v>ELETRODUTO FLEXÍVEL CORRUGADO, PVC, DN 25 MM (3/4"), PARA CIRCUITOS TERMINAIS, INSTALADO EM FORRO - FORNECIMENTO E INSTALAÇÃO. AF_03/2023_PA</v>
      </c>
      <c r="G84" s="165" t="str">
        <f ca="1">IF($D84&lt;&gt;"Serviço","",OFFSET(ORÇAMENTO!S$15,ROW(G84)-ROW(G$15),0))</f>
        <v>M</v>
      </c>
      <c r="H84" s="123">
        <f ca="1">IF($D84&lt;&gt;"Serviço",0,IF(ACOMPANHAMENTO="BM",ROUND(OFFSET(ORÇAMENTO!AJ$15,ROW(H84)-ROW(H$15),0),15-13*ORÇAMENTO!$AF$7),SUMPRODUCT(($Q$1:$AA$1=1)*ROUND($Q84:$AA84,15-13*ORÇAMENTO!$AF$7))))</f>
        <v>145</v>
      </c>
      <c r="I84" s="469"/>
      <c r="J84" s="577" t="str" cm="1">
        <f t="array" aca="1" ref="J84" ca="1">IF(B84&lt;&gt;"S","",IF(AND(ACOMPANHAMENTO="PLE",AUTOEVENTO="Manual",OR(H84&gt;0,ORÇAMENTO!AC84="QUANT."),OR(K84="",M84=0,N84="")),"►",IF(AND(ACOMPANHAMENTO="PLE",ORÇAMENTO!AC84="QUANT."),"►►",IF(AND(COUNTIF($P$11:$AA$11,"▼")=0,H84&gt;0,I84=""),"◄",""))))</f>
        <v>◄</v>
      </c>
      <c r="K84" s="626"/>
      <c r="L84" s="166" t="s">
        <v>765</v>
      </c>
      <c r="M84" s="167">
        <f ca="1">IF($D84&lt;&gt;"Serviço","",
          IF(AUTOEVENTO="manual",$A84,
                IF(ISERROR(MATCH($A84,$A$15:OFFSET($A84,-1,0),0)),MAX($M$15:OFFSET(M84,-1,0))+1,
                      INDEX($M$15:OFFSET(M84,-1,0),MATCH($A84,$A$15:OFFSET($A84,-1,0),0)))))</f>
        <v>9</v>
      </c>
      <c r="N84" s="168" t="str">
        <f ca="1">IF($D84&lt;&gt;"Serviço","",
         IF(AUTOEVENTO="Manual",
                IF($A84=0,"&lt;-- defina o número do agrupador",
                       OFFSET(EVENTOS!$D$15,$A84-$A$15,0)),
                OFFSET($F$15,$A84,0)))</f>
        <v>INSTALAÇÕES ELÉTRICAS</v>
      </c>
      <c r="O84" s="169"/>
      <c r="Q84" s="169"/>
      <c r="R84" s="170"/>
      <c r="S84" s="170"/>
      <c r="T84" s="170"/>
      <c r="U84" s="170"/>
      <c r="V84" s="170"/>
      <c r="W84" s="170"/>
      <c r="X84" s="170"/>
      <c r="Y84" s="170"/>
      <c r="Z84" s="171"/>
      <c r="AB84" s="454">
        <f ca="1">IF(AND($D84="Serviço",AB$12&lt;&gt;0,$H84&gt;0,OR(AUTOEVENTO&lt;&gt;"manual",$M84&lt;&gt;$A$15)),
        IF(Import.TipoArredondamento&lt;&gt;"TransfereGOV",
              ROUND(OFFSET($P84,0,AB$13),15-13*ORÇAMENTO!$AF$7)/$H84*OFFSET(ORÇAMENTO!$X$15,ROW(AB84)-ROW(AB$15),0),
              ROUND(ROUND(OFFSET($P84,0,AB$13),15-13*ORÇAMENTO!$AF$7)*OFFSET(ORÇAMENTO!$W$15,ROW(AB84)-ROW(AB$15),0),15-13*ORÇAMENTO!$AF$11)),
         0)</f>
        <v>0</v>
      </c>
      <c r="AC84" s="454">
        <f ca="1">IF(AND($D84="Serviço",AC$12&lt;&gt;0,$H84&gt;0,OR(AUTOEVENTO&lt;&gt;"manual",$M84&lt;&gt;$A$15)),
        IF(Import.TipoArredondamento&lt;&gt;"TransfereGOV",
              ROUND(OFFSET($P84,0,AC$13),15-13*ORÇAMENTO!$AF$7)/$H84*OFFSET(ORÇAMENTO!$X$15,ROW(AC84)-ROW(AC$15),0),
              ROUND(ROUND(OFFSET($P84,0,AC$13),15-13*ORÇAMENTO!$AF$7)*OFFSET(ORÇAMENTO!$W$15,ROW(AC84)-ROW(AC$15),0),15-13*ORÇAMENTO!$AF$11)),
         0)</f>
        <v>0</v>
      </c>
      <c r="AD84" s="454">
        <f ca="1">IF(AND($D84="Serviço",AD$12&lt;&gt;0,$H84&gt;0,OR(AUTOEVENTO&lt;&gt;"manual",$M84&lt;&gt;$A$15)),
        IF(Import.TipoArredondamento&lt;&gt;"TransfereGOV",
              ROUND(OFFSET($P84,0,AD$13),15-13*ORÇAMENTO!$AF$7)/$H84*OFFSET(ORÇAMENTO!$X$15,ROW(AD84)-ROW(AD$15),0),
              ROUND(ROUND(OFFSET($P84,0,AD$13),15-13*ORÇAMENTO!$AF$7)*OFFSET(ORÇAMENTO!$W$15,ROW(AD84)-ROW(AD$15),0),15-13*ORÇAMENTO!$AF$11)),
         0)</f>
        <v>0</v>
      </c>
      <c r="AE84" s="454">
        <f ca="1">IF(AND($D84="Serviço",AE$12&lt;&gt;0,$H84&gt;0,OR(AUTOEVENTO&lt;&gt;"manual",$M84&lt;&gt;$A$15)),
        IF(Import.TipoArredondamento&lt;&gt;"TransfereGOV",
              ROUND(OFFSET($P84,0,AE$13),15-13*ORÇAMENTO!$AF$7)/$H84*OFFSET(ORÇAMENTO!$X$15,ROW(AE84)-ROW(AE$15),0),
              ROUND(ROUND(OFFSET($P84,0,AE$13),15-13*ORÇAMENTO!$AF$7)*OFFSET(ORÇAMENTO!$W$15,ROW(AE84)-ROW(AE$15),0),15-13*ORÇAMENTO!$AF$11)),
         0)</f>
        <v>0</v>
      </c>
      <c r="AF84" s="454">
        <f ca="1">IF(AND($D84="Serviço",AF$12&lt;&gt;0,$H84&gt;0,OR(AUTOEVENTO&lt;&gt;"manual",$M84&lt;&gt;$A$15)),
        IF(Import.TipoArredondamento&lt;&gt;"TransfereGOV",
              ROUND(OFFSET($P84,0,AF$13),15-13*ORÇAMENTO!$AF$7)/$H84*OFFSET(ORÇAMENTO!$X$15,ROW(AF84)-ROW(AF$15),0),
              ROUND(ROUND(OFFSET($P84,0,AF$13),15-13*ORÇAMENTO!$AF$7)*OFFSET(ORÇAMENTO!$W$15,ROW(AF84)-ROW(AF$15),0),15-13*ORÇAMENTO!$AF$11)),
         0)</f>
        <v>0</v>
      </c>
      <c r="AG84" s="454">
        <f ca="1">IF(AND($D84="Serviço",AG$12&lt;&gt;0,$H84&gt;0,OR(AUTOEVENTO&lt;&gt;"manual",$M84&lt;&gt;$A$15)),
        IF(Import.TipoArredondamento&lt;&gt;"TransfereGOV",
              ROUND(OFFSET($P84,0,AG$13),15-13*ORÇAMENTO!$AF$7)/$H84*OFFSET(ORÇAMENTO!$X$15,ROW(AG84)-ROW(AG$15),0),
              ROUND(ROUND(OFFSET($P84,0,AG$13),15-13*ORÇAMENTO!$AF$7)*OFFSET(ORÇAMENTO!$W$15,ROW(AG84)-ROW(AG$15),0),15-13*ORÇAMENTO!$AF$11)),
         0)</f>
        <v>0</v>
      </c>
      <c r="AH84" s="454">
        <f ca="1">IF(AND($D84="Serviço",AH$12&lt;&gt;0,$H84&gt;0,OR(AUTOEVENTO&lt;&gt;"manual",$M84&lt;&gt;$A$15)),
        IF(Import.TipoArredondamento&lt;&gt;"TransfereGOV",
              ROUND(OFFSET($P84,0,AH$13),15-13*ORÇAMENTO!$AF$7)/$H84*OFFSET(ORÇAMENTO!$X$15,ROW(AH84)-ROW(AH$15),0),
              ROUND(ROUND(OFFSET($P84,0,AH$13),15-13*ORÇAMENTO!$AF$7)*OFFSET(ORÇAMENTO!$W$15,ROW(AH84)-ROW(AH$15),0),15-13*ORÇAMENTO!$AF$11)),
         0)</f>
        <v>0</v>
      </c>
      <c r="AI84" s="454">
        <f ca="1">IF(AND($D84="Serviço",AI$12&lt;&gt;0,$H84&gt;0,OR(AUTOEVENTO&lt;&gt;"manual",$M84&lt;&gt;$A$15)),
        IF(Import.TipoArredondamento&lt;&gt;"TransfereGOV",
              ROUND(OFFSET($P84,0,AI$13),15-13*ORÇAMENTO!$AF$7)/$H84*OFFSET(ORÇAMENTO!$X$15,ROW(AI84)-ROW(AI$15),0),
              ROUND(ROUND(OFFSET($P84,0,AI$13),15-13*ORÇAMENTO!$AF$7)*OFFSET(ORÇAMENTO!$W$15,ROW(AI84)-ROW(AI$15),0),15-13*ORÇAMENTO!$AF$11)),
         0)</f>
        <v>0</v>
      </c>
      <c r="AJ84" s="454">
        <f ca="1">IF(AND($D84="Serviço",AJ$12&lt;&gt;0,$H84&gt;0,OR(AUTOEVENTO&lt;&gt;"manual",$M84&lt;&gt;$A$15)),
        IF(Import.TipoArredondamento&lt;&gt;"TransfereGOV",
              ROUND(OFFSET($P84,0,AJ$13),15-13*ORÇAMENTO!$AF$7)/$H84*OFFSET(ORÇAMENTO!$X$15,ROW(AJ84)-ROW(AJ$15),0),
              ROUND(ROUND(OFFSET($P84,0,AJ$13),15-13*ORÇAMENTO!$AF$7)*OFFSET(ORÇAMENTO!$W$15,ROW(AJ84)-ROW(AJ$15),0),15-13*ORÇAMENTO!$AF$11)),
         0)</f>
        <v>0</v>
      </c>
      <c r="AK84" s="454">
        <f ca="1">IF(AND($D84="Serviço",AK$12&lt;&gt;0,$H84&gt;0,OR(AUTOEVENTO&lt;&gt;"manual",$M84&lt;&gt;$A$15)),
        IF(Import.TipoArredondamento&lt;&gt;"TransfereGOV",
              ROUND(OFFSET($P84,0,AK$13),15-13*ORÇAMENTO!$AF$7)/$H84*OFFSET(ORÇAMENTO!$X$15,ROW(AK84)-ROW(AK$15),0),
              ROUND(ROUND(OFFSET($P84,0,AK$13),15-13*ORÇAMENTO!$AF$7)*OFFSET(ORÇAMENTO!$W$15,ROW(AK84)-ROW(AK$15),0),15-13*ORÇAMENTO!$AF$11)),
         0)</f>
        <v>0</v>
      </c>
      <c r="AM84" s="172">
        <f ca="1">IF(OR($D84&lt;&gt;"Serviço",AND(AUTOEVENTO="Manual",$M84=$A$15)),0,
         IF(OFFSET(CRONOPLE!$F$15,$M84-$A$15,AM$13)="",10^12,OFFSET(CRONOPLE!$F$15,$M84-$A$15,AM$13)))</f>
        <v>1000000000000</v>
      </c>
      <c r="AN84" s="172">
        <f ca="1">IF(OR($D84&lt;&gt;"Serviço",AND(AUTOEVENTO="Manual",$M84=$A$15)),0,
         IF(OFFSET(CRONOPLE!$F$15,$M84-$A$15,AN$13)="",10^12,OFFSET(CRONOPLE!$F$15,$M84-$A$15,AN$13)))</f>
        <v>1000000000000</v>
      </c>
      <c r="AO84" s="172">
        <f ca="1">IF(OR($D84&lt;&gt;"Serviço",AND(AUTOEVENTO="Manual",$M84=$A$15)),0,
         IF(OFFSET(CRONOPLE!$F$15,$M84-$A$15,AO$13)="",10^12,OFFSET(CRONOPLE!$F$15,$M84-$A$15,AO$13)))</f>
        <v>1000000000000</v>
      </c>
      <c r="AP84" s="172">
        <f ca="1">IF(OR($D84&lt;&gt;"Serviço",AND(AUTOEVENTO="Manual",$M84=$A$15)),0,
         IF(OFFSET(CRONOPLE!$F$15,$M84-$A$15,AP$13)="",10^12,OFFSET(CRONOPLE!$F$15,$M84-$A$15,AP$13)))</f>
        <v>1000000000000</v>
      </c>
      <c r="AQ84" s="172">
        <f ca="1">IF(OR($D84&lt;&gt;"Serviço",AND(AUTOEVENTO="Manual",$M84=$A$15)),0,
         IF(OFFSET(CRONOPLE!$F$15,$M84-$A$15,AQ$13)="",10^12,OFFSET(CRONOPLE!$F$15,$M84-$A$15,AQ$13)))</f>
        <v>1000000000000</v>
      </c>
      <c r="AR84" s="172">
        <f ca="1">IF(OR($D84&lt;&gt;"Serviço",AND(AUTOEVENTO="Manual",$M84=$A$15)),0,
         IF(OFFSET(CRONOPLE!$F$15,$M84-$A$15,AR$13)="",10^12,OFFSET(CRONOPLE!$F$15,$M84-$A$15,AR$13)))</f>
        <v>1000000000000</v>
      </c>
      <c r="AS84" s="172">
        <f ca="1">IF(OR($D84&lt;&gt;"Serviço",AND(AUTOEVENTO="Manual",$M84=$A$15)),0,
         IF(OFFSET(CRONOPLE!$F$15,$M84-$A$15,AS$13)="",10^12,OFFSET(CRONOPLE!$F$15,$M84-$A$15,AS$13)))</f>
        <v>1000000000000</v>
      </c>
      <c r="AT84" s="172">
        <f ca="1">IF(OR($D84&lt;&gt;"Serviço",AND(AUTOEVENTO="Manual",$M84=$A$15)),0,
         IF(OFFSET(CRONOPLE!$F$15,$M84-$A$15,AT$13)="",10^12,OFFSET(CRONOPLE!$F$15,$M84-$A$15,AT$13)))</f>
        <v>1000000000000</v>
      </c>
      <c r="AU84" s="172">
        <f ca="1">IF(OR($D84&lt;&gt;"Serviço",AND(AUTOEVENTO="Manual",$M84=$A$15)),0,
         IF(OFFSET(CRONOPLE!$F$15,$M84-$A$15,AU$13)="",10^12,OFFSET(CRONOPLE!$F$15,$M84-$A$15,AU$13)))</f>
        <v>1000000000000</v>
      </c>
      <c r="AV84" s="172">
        <f ca="1">IF(OR($D84&lt;&gt;"Serviço",AND(AUTOEVENTO="Manual",$M84=$A$15)),0,
         IF(OFFSET(CRONOPLE!$F$15,$M84-$A$15,AV$13)="",10^12,OFFSET(CRONOPLE!$F$15,$M84-$A$15,AV$13)))</f>
        <v>1000000000000</v>
      </c>
      <c r="AX84" s="173">
        <f ca="1">IF(OR($D84&lt;&gt;"Serviço",AND(AUTOEVENTO="Manual",$M84=$A$15),$M84&gt;(ROW(PLE.lastrow)-ROW(PLE.firstrow))),0,
           IF(OFFSET(PLE!$G$15,$M84-$A$15,AX$13)="",10^12,OFFSET(PLE!$G$15,$M84-$A$15,AX$13)))</f>
        <v>1000000000000</v>
      </c>
      <c r="AY84" s="173">
        <f ca="1">IF(OR($D84&lt;&gt;"Serviço",AND(AUTOEVENTO="Manual",$M84=$A$15),$M84&gt;(ROW(PLE.lastrow)-ROW(PLE.firstrow))),0,
           IF(OFFSET(PLE!$G$15,$M84-$A$15,AY$13)="",10^12,OFFSET(PLE!$G$15,$M84-$A$15,AY$13)))</f>
        <v>1000000000000</v>
      </c>
      <c r="AZ84" s="173">
        <f ca="1">IF(OR($D84&lt;&gt;"Serviço",AND(AUTOEVENTO="Manual",$M84=$A$15),$M84&gt;(ROW(PLE.lastrow)-ROW(PLE.firstrow))),0,
           IF(OFFSET(PLE!$G$15,$M84-$A$15,AZ$13)="",10^12,OFFSET(PLE!$G$15,$M84-$A$15,AZ$13)))</f>
        <v>1000000000000</v>
      </c>
      <c r="BA84" s="173">
        <f ca="1">IF(OR($D84&lt;&gt;"Serviço",AND(AUTOEVENTO="Manual",$M84=$A$15),$M84&gt;(ROW(PLE.lastrow)-ROW(PLE.firstrow))),0,
           IF(OFFSET(PLE!$G$15,$M84-$A$15,BA$13)="",10^12,OFFSET(PLE!$G$15,$M84-$A$15,BA$13)))</f>
        <v>1000000000000</v>
      </c>
      <c r="BB84" s="173">
        <f ca="1">IF(OR($D84&lt;&gt;"Serviço",AND(AUTOEVENTO="Manual",$M84=$A$15),$M84&gt;(ROW(PLE.lastrow)-ROW(PLE.firstrow))),0,
           IF(OFFSET(PLE!$G$15,$M84-$A$15,BB$13)="",10^12,OFFSET(PLE!$G$15,$M84-$A$15,BB$13)))</f>
        <v>1000000000000</v>
      </c>
      <c r="BC84" s="173">
        <f ca="1">IF(OR($D84&lt;&gt;"Serviço",AND(AUTOEVENTO="Manual",$M84=$A$15),$M84&gt;(ROW(PLE.lastrow)-ROW(PLE.firstrow))),0,
           IF(OFFSET(PLE!$G$15,$M84-$A$15,BC$13)="",10^12,OFFSET(PLE!$G$15,$M84-$A$15,BC$13)))</f>
        <v>1000000000000</v>
      </c>
      <c r="BD84" s="173">
        <f ca="1">IF(OR($D84&lt;&gt;"Serviço",AND(AUTOEVENTO="Manual",$M84=$A$15),$M84&gt;(ROW(PLE.lastrow)-ROW(PLE.firstrow))),0,
           IF(OFFSET(PLE!$G$15,$M84-$A$15,BD$13)="",10^12,OFFSET(PLE!$G$15,$M84-$A$15,BD$13)))</f>
        <v>1000000000000</v>
      </c>
      <c r="BE84" s="173">
        <f ca="1">IF(OR($D84&lt;&gt;"Serviço",AND(AUTOEVENTO="Manual",$M84=$A$15),$M84&gt;(ROW(PLE.lastrow)-ROW(PLE.firstrow))),0,
           IF(OFFSET(PLE!$G$15,$M84-$A$15,BE$13)="",10^12,OFFSET(PLE!$G$15,$M84-$A$15,BE$13)))</f>
        <v>1000000000000</v>
      </c>
      <c r="BF84" s="173">
        <f ca="1">IF(OR($D84&lt;&gt;"Serviço",AND(AUTOEVENTO="Manual",$M84=$A$15),$M84&gt;(ROW(PLE.lastrow)-ROW(PLE.firstrow))),0,
           IF(OFFSET(PLE!$G$15,$M84-$A$15,BF$13)="",10^12,OFFSET(PLE!$G$15,$M84-$A$15,BF$13)))</f>
        <v>1000000000000</v>
      </c>
      <c r="BG84" s="173">
        <f ca="1">IF(OR($D84&lt;&gt;"Serviço",AND(AUTOEVENTO="Manual",$M84=$A$15),$M84&gt;(ROW(PLE.lastrow)-ROW(PLE.firstrow))),0,
           IF(OFFSET(PLE!$G$15,$M84-$A$15,BG$13)="",10^12,OFFSET(PLE!$G$15,$M84-$A$15,BG$13)))</f>
        <v>1000000000000</v>
      </c>
    </row>
    <row r="85" spans="1:59" ht="38.25" x14ac:dyDescent="0.2">
      <c r="A85" s="7" t="str">
        <f t="shared" ca="1" si="9"/>
        <v>39</v>
      </c>
      <c r="B85" s="7" t="str">
        <f ca="1">OFFSET(ORÇAMENTO!C$15,ROW(B85)-ROW(B$15),0)</f>
        <v>S</v>
      </c>
      <c r="C85" s="7" t="str">
        <f ca="1">OFFSET(ORÇAMENTO!L$15,ROW(C85)-ROW(C$15),0)</f>
        <v/>
      </c>
      <c r="D85" s="117" t="str">
        <f ca="1">OFFSET(ORÇAMENTO!N$15,ROW(D85)-ROW(D$15),0)</f>
        <v>Serviço</v>
      </c>
      <c r="E85" s="118" t="str">
        <f ca="1">OFFSET(ORÇAMENTO!O$15,ROW(E85)-ROW(E$15),0)</f>
        <v>-</v>
      </c>
      <c r="F85" s="164" t="str">
        <f ca="1">OFFSET(ORÇAMENTO!R$15,ROW(F85)-ROW(F$15),0)</f>
        <v>ELETRODUTO FLEXÍVEL CORRUGADO, PEAD, DN 63 (2"), PARA REDE ENTERRADA DE DISTRIBUIÇÃO DE ENERGIA ELÉTRICA - FORNECIMENTO E INSTALAÇÃO. AF_12/2021</v>
      </c>
      <c r="G85" s="165" t="str">
        <f ca="1">IF($D85&lt;&gt;"Serviço","",OFFSET(ORÇAMENTO!S$15,ROW(G85)-ROW(G$15),0))</f>
        <v>M</v>
      </c>
      <c r="H85" s="123">
        <f ca="1">IF($D85&lt;&gt;"Serviço",0,IF(ACOMPANHAMENTO="BM",ROUND(OFFSET(ORÇAMENTO!AJ$15,ROW(H85)-ROW(H$15),0),15-13*ORÇAMENTO!$AF$7),SUMPRODUCT(($Q$1:$AA$1=1)*ROUND($Q85:$AA85,15-13*ORÇAMENTO!$AF$7))))</f>
        <v>90</v>
      </c>
      <c r="I85" s="469"/>
      <c r="J85" s="577" t="str" cm="1">
        <f t="array" aca="1" ref="J85" ca="1">IF(B85&lt;&gt;"S","",IF(AND(ACOMPANHAMENTO="PLE",AUTOEVENTO="Manual",OR(H85&gt;0,ORÇAMENTO!AC85="QUANT."),OR(K85="",M85=0,N85="")),"►",IF(AND(ACOMPANHAMENTO="PLE",ORÇAMENTO!AC85="QUANT."),"►►",IF(AND(COUNTIF($P$11:$AA$11,"▼")=0,H85&gt;0,I85=""),"◄",""))))</f>
        <v>◄</v>
      </c>
      <c r="K85" s="626"/>
      <c r="L85" s="166" t="s">
        <v>765</v>
      </c>
      <c r="M85" s="167">
        <f ca="1">IF($D85&lt;&gt;"Serviço","",
          IF(AUTOEVENTO="manual",$A85,
                IF(ISERROR(MATCH($A85,$A$15:OFFSET($A85,-1,0),0)),MAX($M$15:OFFSET(M85,-1,0))+1,
                      INDEX($M$15:OFFSET(M85,-1,0),MATCH($A85,$A$15:OFFSET($A85,-1,0),0)))))</f>
        <v>9</v>
      </c>
      <c r="N85" s="168" t="str">
        <f ca="1">IF($D85&lt;&gt;"Serviço","",
         IF(AUTOEVENTO="Manual",
                IF($A85=0,"&lt;-- defina o número do agrupador",
                       OFFSET(EVENTOS!$D$15,$A85-$A$15,0)),
                OFFSET($F$15,$A85,0)))</f>
        <v>INSTALAÇÕES ELÉTRICAS</v>
      </c>
      <c r="O85" s="169"/>
      <c r="Q85" s="169"/>
      <c r="R85" s="170"/>
      <c r="S85" s="170"/>
      <c r="T85" s="170"/>
      <c r="U85" s="170"/>
      <c r="V85" s="170"/>
      <c r="W85" s="170"/>
      <c r="X85" s="170"/>
      <c r="Y85" s="170"/>
      <c r="Z85" s="171"/>
      <c r="AB85" s="454">
        <f ca="1">IF(AND($D85="Serviço",AB$12&lt;&gt;0,$H85&gt;0,OR(AUTOEVENTO&lt;&gt;"manual",$M85&lt;&gt;$A$15)),
        IF(Import.TipoArredondamento&lt;&gt;"TransfereGOV",
              ROUND(OFFSET($P85,0,AB$13),15-13*ORÇAMENTO!$AF$7)/$H85*OFFSET(ORÇAMENTO!$X$15,ROW(AB85)-ROW(AB$15),0),
              ROUND(ROUND(OFFSET($P85,0,AB$13),15-13*ORÇAMENTO!$AF$7)*OFFSET(ORÇAMENTO!$W$15,ROW(AB85)-ROW(AB$15),0),15-13*ORÇAMENTO!$AF$11)),
         0)</f>
        <v>0</v>
      </c>
      <c r="AC85" s="454">
        <f ca="1">IF(AND($D85="Serviço",AC$12&lt;&gt;0,$H85&gt;0,OR(AUTOEVENTO&lt;&gt;"manual",$M85&lt;&gt;$A$15)),
        IF(Import.TipoArredondamento&lt;&gt;"TransfereGOV",
              ROUND(OFFSET($P85,0,AC$13),15-13*ORÇAMENTO!$AF$7)/$H85*OFFSET(ORÇAMENTO!$X$15,ROW(AC85)-ROW(AC$15),0),
              ROUND(ROUND(OFFSET($P85,0,AC$13),15-13*ORÇAMENTO!$AF$7)*OFFSET(ORÇAMENTO!$W$15,ROW(AC85)-ROW(AC$15),0),15-13*ORÇAMENTO!$AF$11)),
         0)</f>
        <v>0</v>
      </c>
      <c r="AD85" s="454">
        <f ca="1">IF(AND($D85="Serviço",AD$12&lt;&gt;0,$H85&gt;0,OR(AUTOEVENTO&lt;&gt;"manual",$M85&lt;&gt;$A$15)),
        IF(Import.TipoArredondamento&lt;&gt;"TransfereGOV",
              ROUND(OFFSET($P85,0,AD$13),15-13*ORÇAMENTO!$AF$7)/$H85*OFFSET(ORÇAMENTO!$X$15,ROW(AD85)-ROW(AD$15),0),
              ROUND(ROUND(OFFSET($P85,0,AD$13),15-13*ORÇAMENTO!$AF$7)*OFFSET(ORÇAMENTO!$W$15,ROW(AD85)-ROW(AD$15),0),15-13*ORÇAMENTO!$AF$11)),
         0)</f>
        <v>0</v>
      </c>
      <c r="AE85" s="454">
        <f ca="1">IF(AND($D85="Serviço",AE$12&lt;&gt;0,$H85&gt;0,OR(AUTOEVENTO&lt;&gt;"manual",$M85&lt;&gt;$A$15)),
        IF(Import.TipoArredondamento&lt;&gt;"TransfereGOV",
              ROUND(OFFSET($P85,0,AE$13),15-13*ORÇAMENTO!$AF$7)/$H85*OFFSET(ORÇAMENTO!$X$15,ROW(AE85)-ROW(AE$15),0),
              ROUND(ROUND(OFFSET($P85,0,AE$13),15-13*ORÇAMENTO!$AF$7)*OFFSET(ORÇAMENTO!$W$15,ROW(AE85)-ROW(AE$15),0),15-13*ORÇAMENTO!$AF$11)),
         0)</f>
        <v>0</v>
      </c>
      <c r="AF85" s="454">
        <f ca="1">IF(AND($D85="Serviço",AF$12&lt;&gt;0,$H85&gt;0,OR(AUTOEVENTO&lt;&gt;"manual",$M85&lt;&gt;$A$15)),
        IF(Import.TipoArredondamento&lt;&gt;"TransfereGOV",
              ROUND(OFFSET($P85,0,AF$13),15-13*ORÇAMENTO!$AF$7)/$H85*OFFSET(ORÇAMENTO!$X$15,ROW(AF85)-ROW(AF$15),0),
              ROUND(ROUND(OFFSET($P85,0,AF$13),15-13*ORÇAMENTO!$AF$7)*OFFSET(ORÇAMENTO!$W$15,ROW(AF85)-ROW(AF$15),0),15-13*ORÇAMENTO!$AF$11)),
         0)</f>
        <v>0</v>
      </c>
      <c r="AG85" s="454">
        <f ca="1">IF(AND($D85="Serviço",AG$12&lt;&gt;0,$H85&gt;0,OR(AUTOEVENTO&lt;&gt;"manual",$M85&lt;&gt;$A$15)),
        IF(Import.TipoArredondamento&lt;&gt;"TransfereGOV",
              ROUND(OFFSET($P85,0,AG$13),15-13*ORÇAMENTO!$AF$7)/$H85*OFFSET(ORÇAMENTO!$X$15,ROW(AG85)-ROW(AG$15),0),
              ROUND(ROUND(OFFSET($P85,0,AG$13),15-13*ORÇAMENTO!$AF$7)*OFFSET(ORÇAMENTO!$W$15,ROW(AG85)-ROW(AG$15),0),15-13*ORÇAMENTO!$AF$11)),
         0)</f>
        <v>0</v>
      </c>
      <c r="AH85" s="454">
        <f ca="1">IF(AND($D85="Serviço",AH$12&lt;&gt;0,$H85&gt;0,OR(AUTOEVENTO&lt;&gt;"manual",$M85&lt;&gt;$A$15)),
        IF(Import.TipoArredondamento&lt;&gt;"TransfereGOV",
              ROUND(OFFSET($P85,0,AH$13),15-13*ORÇAMENTO!$AF$7)/$H85*OFFSET(ORÇAMENTO!$X$15,ROW(AH85)-ROW(AH$15),0),
              ROUND(ROUND(OFFSET($P85,0,AH$13),15-13*ORÇAMENTO!$AF$7)*OFFSET(ORÇAMENTO!$W$15,ROW(AH85)-ROW(AH$15),0),15-13*ORÇAMENTO!$AF$11)),
         0)</f>
        <v>0</v>
      </c>
      <c r="AI85" s="454">
        <f ca="1">IF(AND($D85="Serviço",AI$12&lt;&gt;0,$H85&gt;0,OR(AUTOEVENTO&lt;&gt;"manual",$M85&lt;&gt;$A$15)),
        IF(Import.TipoArredondamento&lt;&gt;"TransfereGOV",
              ROUND(OFFSET($P85,0,AI$13),15-13*ORÇAMENTO!$AF$7)/$H85*OFFSET(ORÇAMENTO!$X$15,ROW(AI85)-ROW(AI$15),0),
              ROUND(ROUND(OFFSET($P85,0,AI$13),15-13*ORÇAMENTO!$AF$7)*OFFSET(ORÇAMENTO!$W$15,ROW(AI85)-ROW(AI$15),0),15-13*ORÇAMENTO!$AF$11)),
         0)</f>
        <v>0</v>
      </c>
      <c r="AJ85" s="454">
        <f ca="1">IF(AND($D85="Serviço",AJ$12&lt;&gt;0,$H85&gt;0,OR(AUTOEVENTO&lt;&gt;"manual",$M85&lt;&gt;$A$15)),
        IF(Import.TipoArredondamento&lt;&gt;"TransfereGOV",
              ROUND(OFFSET($P85,0,AJ$13),15-13*ORÇAMENTO!$AF$7)/$H85*OFFSET(ORÇAMENTO!$X$15,ROW(AJ85)-ROW(AJ$15),0),
              ROUND(ROUND(OFFSET($P85,0,AJ$13),15-13*ORÇAMENTO!$AF$7)*OFFSET(ORÇAMENTO!$W$15,ROW(AJ85)-ROW(AJ$15),0),15-13*ORÇAMENTO!$AF$11)),
         0)</f>
        <v>0</v>
      </c>
      <c r="AK85" s="454">
        <f ca="1">IF(AND($D85="Serviço",AK$12&lt;&gt;0,$H85&gt;0,OR(AUTOEVENTO&lt;&gt;"manual",$M85&lt;&gt;$A$15)),
        IF(Import.TipoArredondamento&lt;&gt;"TransfereGOV",
              ROUND(OFFSET($P85,0,AK$13),15-13*ORÇAMENTO!$AF$7)/$H85*OFFSET(ORÇAMENTO!$X$15,ROW(AK85)-ROW(AK$15),0),
              ROUND(ROUND(OFFSET($P85,0,AK$13),15-13*ORÇAMENTO!$AF$7)*OFFSET(ORÇAMENTO!$W$15,ROW(AK85)-ROW(AK$15),0),15-13*ORÇAMENTO!$AF$11)),
         0)</f>
        <v>0</v>
      </c>
      <c r="AM85" s="172">
        <f ca="1">IF(OR($D85&lt;&gt;"Serviço",AND(AUTOEVENTO="Manual",$M85=$A$15)),0,
         IF(OFFSET(CRONOPLE!$F$15,$M85-$A$15,AM$13)="",10^12,OFFSET(CRONOPLE!$F$15,$M85-$A$15,AM$13)))</f>
        <v>1000000000000</v>
      </c>
      <c r="AN85" s="172">
        <f ca="1">IF(OR($D85&lt;&gt;"Serviço",AND(AUTOEVENTO="Manual",$M85=$A$15)),0,
         IF(OFFSET(CRONOPLE!$F$15,$M85-$A$15,AN$13)="",10^12,OFFSET(CRONOPLE!$F$15,$M85-$A$15,AN$13)))</f>
        <v>1000000000000</v>
      </c>
      <c r="AO85" s="172">
        <f ca="1">IF(OR($D85&lt;&gt;"Serviço",AND(AUTOEVENTO="Manual",$M85=$A$15)),0,
         IF(OFFSET(CRONOPLE!$F$15,$M85-$A$15,AO$13)="",10^12,OFFSET(CRONOPLE!$F$15,$M85-$A$15,AO$13)))</f>
        <v>1000000000000</v>
      </c>
      <c r="AP85" s="172">
        <f ca="1">IF(OR($D85&lt;&gt;"Serviço",AND(AUTOEVENTO="Manual",$M85=$A$15)),0,
         IF(OFFSET(CRONOPLE!$F$15,$M85-$A$15,AP$13)="",10^12,OFFSET(CRONOPLE!$F$15,$M85-$A$15,AP$13)))</f>
        <v>1000000000000</v>
      </c>
      <c r="AQ85" s="172">
        <f ca="1">IF(OR($D85&lt;&gt;"Serviço",AND(AUTOEVENTO="Manual",$M85=$A$15)),0,
         IF(OFFSET(CRONOPLE!$F$15,$M85-$A$15,AQ$13)="",10^12,OFFSET(CRONOPLE!$F$15,$M85-$A$15,AQ$13)))</f>
        <v>1000000000000</v>
      </c>
      <c r="AR85" s="172">
        <f ca="1">IF(OR($D85&lt;&gt;"Serviço",AND(AUTOEVENTO="Manual",$M85=$A$15)),0,
         IF(OFFSET(CRONOPLE!$F$15,$M85-$A$15,AR$13)="",10^12,OFFSET(CRONOPLE!$F$15,$M85-$A$15,AR$13)))</f>
        <v>1000000000000</v>
      </c>
      <c r="AS85" s="172">
        <f ca="1">IF(OR($D85&lt;&gt;"Serviço",AND(AUTOEVENTO="Manual",$M85=$A$15)),0,
         IF(OFFSET(CRONOPLE!$F$15,$M85-$A$15,AS$13)="",10^12,OFFSET(CRONOPLE!$F$15,$M85-$A$15,AS$13)))</f>
        <v>1000000000000</v>
      </c>
      <c r="AT85" s="172">
        <f ca="1">IF(OR($D85&lt;&gt;"Serviço",AND(AUTOEVENTO="Manual",$M85=$A$15)),0,
         IF(OFFSET(CRONOPLE!$F$15,$M85-$A$15,AT$13)="",10^12,OFFSET(CRONOPLE!$F$15,$M85-$A$15,AT$13)))</f>
        <v>1000000000000</v>
      </c>
      <c r="AU85" s="172">
        <f ca="1">IF(OR($D85&lt;&gt;"Serviço",AND(AUTOEVENTO="Manual",$M85=$A$15)),0,
         IF(OFFSET(CRONOPLE!$F$15,$M85-$A$15,AU$13)="",10^12,OFFSET(CRONOPLE!$F$15,$M85-$A$15,AU$13)))</f>
        <v>1000000000000</v>
      </c>
      <c r="AV85" s="172">
        <f ca="1">IF(OR($D85&lt;&gt;"Serviço",AND(AUTOEVENTO="Manual",$M85=$A$15)),0,
         IF(OFFSET(CRONOPLE!$F$15,$M85-$A$15,AV$13)="",10^12,OFFSET(CRONOPLE!$F$15,$M85-$A$15,AV$13)))</f>
        <v>1000000000000</v>
      </c>
      <c r="AX85" s="173">
        <f ca="1">IF(OR($D85&lt;&gt;"Serviço",AND(AUTOEVENTO="Manual",$M85=$A$15),$M85&gt;(ROW(PLE.lastrow)-ROW(PLE.firstrow))),0,
           IF(OFFSET(PLE!$G$15,$M85-$A$15,AX$13)="",10^12,OFFSET(PLE!$G$15,$M85-$A$15,AX$13)))</f>
        <v>1000000000000</v>
      </c>
      <c r="AY85" s="173">
        <f ca="1">IF(OR($D85&lt;&gt;"Serviço",AND(AUTOEVENTO="Manual",$M85=$A$15),$M85&gt;(ROW(PLE.lastrow)-ROW(PLE.firstrow))),0,
           IF(OFFSET(PLE!$G$15,$M85-$A$15,AY$13)="",10^12,OFFSET(PLE!$G$15,$M85-$A$15,AY$13)))</f>
        <v>1000000000000</v>
      </c>
      <c r="AZ85" s="173">
        <f ca="1">IF(OR($D85&lt;&gt;"Serviço",AND(AUTOEVENTO="Manual",$M85=$A$15),$M85&gt;(ROW(PLE.lastrow)-ROW(PLE.firstrow))),0,
           IF(OFFSET(PLE!$G$15,$M85-$A$15,AZ$13)="",10^12,OFFSET(PLE!$G$15,$M85-$A$15,AZ$13)))</f>
        <v>1000000000000</v>
      </c>
      <c r="BA85" s="173">
        <f ca="1">IF(OR($D85&lt;&gt;"Serviço",AND(AUTOEVENTO="Manual",$M85=$A$15),$M85&gt;(ROW(PLE.lastrow)-ROW(PLE.firstrow))),0,
           IF(OFFSET(PLE!$G$15,$M85-$A$15,BA$13)="",10^12,OFFSET(PLE!$G$15,$M85-$A$15,BA$13)))</f>
        <v>1000000000000</v>
      </c>
      <c r="BB85" s="173">
        <f ca="1">IF(OR($D85&lt;&gt;"Serviço",AND(AUTOEVENTO="Manual",$M85=$A$15),$M85&gt;(ROW(PLE.lastrow)-ROW(PLE.firstrow))),0,
           IF(OFFSET(PLE!$G$15,$M85-$A$15,BB$13)="",10^12,OFFSET(PLE!$G$15,$M85-$A$15,BB$13)))</f>
        <v>1000000000000</v>
      </c>
      <c r="BC85" s="173">
        <f ca="1">IF(OR($D85&lt;&gt;"Serviço",AND(AUTOEVENTO="Manual",$M85=$A$15),$M85&gt;(ROW(PLE.lastrow)-ROW(PLE.firstrow))),0,
           IF(OFFSET(PLE!$G$15,$M85-$A$15,BC$13)="",10^12,OFFSET(PLE!$G$15,$M85-$A$15,BC$13)))</f>
        <v>1000000000000</v>
      </c>
      <c r="BD85" s="173">
        <f ca="1">IF(OR($D85&lt;&gt;"Serviço",AND(AUTOEVENTO="Manual",$M85=$A$15),$M85&gt;(ROW(PLE.lastrow)-ROW(PLE.firstrow))),0,
           IF(OFFSET(PLE!$G$15,$M85-$A$15,BD$13)="",10^12,OFFSET(PLE!$G$15,$M85-$A$15,BD$13)))</f>
        <v>1000000000000</v>
      </c>
      <c r="BE85" s="173">
        <f ca="1">IF(OR($D85&lt;&gt;"Serviço",AND(AUTOEVENTO="Manual",$M85=$A$15),$M85&gt;(ROW(PLE.lastrow)-ROW(PLE.firstrow))),0,
           IF(OFFSET(PLE!$G$15,$M85-$A$15,BE$13)="",10^12,OFFSET(PLE!$G$15,$M85-$A$15,BE$13)))</f>
        <v>1000000000000</v>
      </c>
      <c r="BF85" s="173">
        <f ca="1">IF(OR($D85&lt;&gt;"Serviço",AND(AUTOEVENTO="Manual",$M85=$A$15),$M85&gt;(ROW(PLE.lastrow)-ROW(PLE.firstrow))),0,
           IF(OFFSET(PLE!$G$15,$M85-$A$15,BF$13)="",10^12,OFFSET(PLE!$G$15,$M85-$A$15,BF$13)))</f>
        <v>1000000000000</v>
      </c>
      <c r="BG85" s="173">
        <f ca="1">IF(OR($D85&lt;&gt;"Serviço",AND(AUTOEVENTO="Manual",$M85=$A$15),$M85&gt;(ROW(PLE.lastrow)-ROW(PLE.firstrow))),0,
           IF(OFFSET(PLE!$G$15,$M85-$A$15,BG$13)="",10^12,OFFSET(PLE!$G$15,$M85-$A$15,BG$13)))</f>
        <v>1000000000000</v>
      </c>
    </row>
    <row r="86" spans="1:59" ht="38.25" x14ac:dyDescent="0.2">
      <c r="A86" s="7" t="str">
        <f t="shared" ca="1" si="9"/>
        <v>39</v>
      </c>
      <c r="B86" s="7" t="str">
        <f ca="1">OFFSET(ORÇAMENTO!C$15,ROW(B86)-ROW(B$15),0)</f>
        <v>S</v>
      </c>
      <c r="C86" s="7" t="str">
        <f ca="1">OFFSET(ORÇAMENTO!L$15,ROW(C86)-ROW(C$15),0)</f>
        <v/>
      </c>
      <c r="D86" s="117" t="str">
        <f ca="1">OFFSET(ORÇAMENTO!N$15,ROW(D86)-ROW(D$15),0)</f>
        <v>Serviço</v>
      </c>
      <c r="E86" s="118" t="str">
        <f ca="1">OFFSET(ORÇAMENTO!O$15,ROW(E86)-ROW(E$15),0)</f>
        <v>-</v>
      </c>
      <c r="F86" s="164" t="str">
        <f ca="1">OFFSET(ORÇAMENTO!R$15,ROW(F86)-ROW(F$15),0)</f>
        <v>ELETRODUTO FLEXÍVEL CORRUGADO, PEAD, DN 40 MM (1 1/4"), PARA CIRCUITOS TERMINAIS, INSTALADO EM FORRO - FORNECIMENTO E INSTALAÇÃO. AF_03/2023_PA</v>
      </c>
      <c r="G86" s="165" t="str">
        <f ca="1">IF($D86&lt;&gt;"Serviço","",OFFSET(ORÇAMENTO!S$15,ROW(G86)-ROW(G$15),0))</f>
        <v>M</v>
      </c>
      <c r="H86" s="123">
        <f ca="1">IF($D86&lt;&gt;"Serviço",0,IF(ACOMPANHAMENTO="BM",ROUND(OFFSET(ORÇAMENTO!AJ$15,ROW(H86)-ROW(H$15),0),15-13*ORÇAMENTO!$AF$7),SUMPRODUCT(($Q$1:$AA$1=1)*ROUND($Q86:$AA86,15-13*ORÇAMENTO!$AF$7))))</f>
        <v>60</v>
      </c>
      <c r="I86" s="469"/>
      <c r="J86" s="577" t="str" cm="1">
        <f t="array" aca="1" ref="J86" ca="1">IF(B86&lt;&gt;"S","",IF(AND(ACOMPANHAMENTO="PLE",AUTOEVENTO="Manual",OR(H86&gt;0,ORÇAMENTO!AC86="QUANT."),OR(K86="",M86=0,N86="")),"►",IF(AND(ACOMPANHAMENTO="PLE",ORÇAMENTO!AC86="QUANT."),"►►",IF(AND(COUNTIF($P$11:$AA$11,"▼")=0,H86&gt;0,I86=""),"◄",""))))</f>
        <v>◄</v>
      </c>
      <c r="K86" s="626"/>
      <c r="L86" s="166" t="s">
        <v>765</v>
      </c>
      <c r="M86" s="167">
        <f ca="1">IF($D86&lt;&gt;"Serviço","",
          IF(AUTOEVENTO="manual",$A86,
                IF(ISERROR(MATCH($A86,$A$15:OFFSET($A86,-1,0),0)),MAX($M$15:OFFSET(M86,-1,0))+1,
                      INDEX($M$15:OFFSET(M86,-1,0),MATCH($A86,$A$15:OFFSET($A86,-1,0),0)))))</f>
        <v>9</v>
      </c>
      <c r="N86" s="168" t="str">
        <f ca="1">IF($D86&lt;&gt;"Serviço","",
         IF(AUTOEVENTO="Manual",
                IF($A86=0,"&lt;-- defina o número do agrupador",
                       OFFSET(EVENTOS!$D$15,$A86-$A$15,0)),
                OFFSET($F$15,$A86,0)))</f>
        <v>INSTALAÇÕES ELÉTRICAS</v>
      </c>
      <c r="O86" s="169"/>
      <c r="Q86" s="169"/>
      <c r="R86" s="170"/>
      <c r="S86" s="170"/>
      <c r="T86" s="170"/>
      <c r="U86" s="170"/>
      <c r="V86" s="170"/>
      <c r="W86" s="170"/>
      <c r="X86" s="170"/>
      <c r="Y86" s="170"/>
      <c r="Z86" s="171"/>
      <c r="AB86" s="454">
        <f ca="1">IF(AND($D86="Serviço",AB$12&lt;&gt;0,$H86&gt;0,OR(AUTOEVENTO&lt;&gt;"manual",$M86&lt;&gt;$A$15)),
        IF(Import.TipoArredondamento&lt;&gt;"TransfereGOV",
              ROUND(OFFSET($P86,0,AB$13),15-13*ORÇAMENTO!$AF$7)/$H86*OFFSET(ORÇAMENTO!$X$15,ROW(AB86)-ROW(AB$15),0),
              ROUND(ROUND(OFFSET($P86,0,AB$13),15-13*ORÇAMENTO!$AF$7)*OFFSET(ORÇAMENTO!$W$15,ROW(AB86)-ROW(AB$15),0),15-13*ORÇAMENTO!$AF$11)),
         0)</f>
        <v>0</v>
      </c>
      <c r="AC86" s="454">
        <f ca="1">IF(AND($D86="Serviço",AC$12&lt;&gt;0,$H86&gt;0,OR(AUTOEVENTO&lt;&gt;"manual",$M86&lt;&gt;$A$15)),
        IF(Import.TipoArredondamento&lt;&gt;"TransfereGOV",
              ROUND(OFFSET($P86,0,AC$13),15-13*ORÇAMENTO!$AF$7)/$H86*OFFSET(ORÇAMENTO!$X$15,ROW(AC86)-ROW(AC$15),0),
              ROUND(ROUND(OFFSET($P86,0,AC$13),15-13*ORÇAMENTO!$AF$7)*OFFSET(ORÇAMENTO!$W$15,ROW(AC86)-ROW(AC$15),0),15-13*ORÇAMENTO!$AF$11)),
         0)</f>
        <v>0</v>
      </c>
      <c r="AD86" s="454">
        <f ca="1">IF(AND($D86="Serviço",AD$12&lt;&gt;0,$H86&gt;0,OR(AUTOEVENTO&lt;&gt;"manual",$M86&lt;&gt;$A$15)),
        IF(Import.TipoArredondamento&lt;&gt;"TransfereGOV",
              ROUND(OFFSET($P86,0,AD$13),15-13*ORÇAMENTO!$AF$7)/$H86*OFFSET(ORÇAMENTO!$X$15,ROW(AD86)-ROW(AD$15),0),
              ROUND(ROUND(OFFSET($P86,0,AD$13),15-13*ORÇAMENTO!$AF$7)*OFFSET(ORÇAMENTO!$W$15,ROW(AD86)-ROW(AD$15),0),15-13*ORÇAMENTO!$AF$11)),
         0)</f>
        <v>0</v>
      </c>
      <c r="AE86" s="454">
        <f ca="1">IF(AND($D86="Serviço",AE$12&lt;&gt;0,$H86&gt;0,OR(AUTOEVENTO&lt;&gt;"manual",$M86&lt;&gt;$A$15)),
        IF(Import.TipoArredondamento&lt;&gt;"TransfereGOV",
              ROUND(OFFSET($P86,0,AE$13),15-13*ORÇAMENTO!$AF$7)/$H86*OFFSET(ORÇAMENTO!$X$15,ROW(AE86)-ROW(AE$15),0),
              ROUND(ROUND(OFFSET($P86,0,AE$13),15-13*ORÇAMENTO!$AF$7)*OFFSET(ORÇAMENTO!$W$15,ROW(AE86)-ROW(AE$15),0),15-13*ORÇAMENTO!$AF$11)),
         0)</f>
        <v>0</v>
      </c>
      <c r="AF86" s="454">
        <f ca="1">IF(AND($D86="Serviço",AF$12&lt;&gt;0,$H86&gt;0,OR(AUTOEVENTO&lt;&gt;"manual",$M86&lt;&gt;$A$15)),
        IF(Import.TipoArredondamento&lt;&gt;"TransfereGOV",
              ROUND(OFFSET($P86,0,AF$13),15-13*ORÇAMENTO!$AF$7)/$H86*OFFSET(ORÇAMENTO!$X$15,ROW(AF86)-ROW(AF$15),0),
              ROUND(ROUND(OFFSET($P86,0,AF$13),15-13*ORÇAMENTO!$AF$7)*OFFSET(ORÇAMENTO!$W$15,ROW(AF86)-ROW(AF$15),0),15-13*ORÇAMENTO!$AF$11)),
         0)</f>
        <v>0</v>
      </c>
      <c r="AG86" s="454">
        <f ca="1">IF(AND($D86="Serviço",AG$12&lt;&gt;0,$H86&gt;0,OR(AUTOEVENTO&lt;&gt;"manual",$M86&lt;&gt;$A$15)),
        IF(Import.TipoArredondamento&lt;&gt;"TransfereGOV",
              ROUND(OFFSET($P86,0,AG$13),15-13*ORÇAMENTO!$AF$7)/$H86*OFFSET(ORÇAMENTO!$X$15,ROW(AG86)-ROW(AG$15),0),
              ROUND(ROUND(OFFSET($P86,0,AG$13),15-13*ORÇAMENTO!$AF$7)*OFFSET(ORÇAMENTO!$W$15,ROW(AG86)-ROW(AG$15),0),15-13*ORÇAMENTO!$AF$11)),
         0)</f>
        <v>0</v>
      </c>
      <c r="AH86" s="454">
        <f ca="1">IF(AND($D86="Serviço",AH$12&lt;&gt;0,$H86&gt;0,OR(AUTOEVENTO&lt;&gt;"manual",$M86&lt;&gt;$A$15)),
        IF(Import.TipoArredondamento&lt;&gt;"TransfereGOV",
              ROUND(OFFSET($P86,0,AH$13),15-13*ORÇAMENTO!$AF$7)/$H86*OFFSET(ORÇAMENTO!$X$15,ROW(AH86)-ROW(AH$15),0),
              ROUND(ROUND(OFFSET($P86,0,AH$13),15-13*ORÇAMENTO!$AF$7)*OFFSET(ORÇAMENTO!$W$15,ROW(AH86)-ROW(AH$15),0),15-13*ORÇAMENTO!$AF$11)),
         0)</f>
        <v>0</v>
      </c>
      <c r="AI86" s="454">
        <f ca="1">IF(AND($D86="Serviço",AI$12&lt;&gt;0,$H86&gt;0,OR(AUTOEVENTO&lt;&gt;"manual",$M86&lt;&gt;$A$15)),
        IF(Import.TipoArredondamento&lt;&gt;"TransfereGOV",
              ROUND(OFFSET($P86,0,AI$13),15-13*ORÇAMENTO!$AF$7)/$H86*OFFSET(ORÇAMENTO!$X$15,ROW(AI86)-ROW(AI$15),0),
              ROUND(ROUND(OFFSET($P86,0,AI$13),15-13*ORÇAMENTO!$AF$7)*OFFSET(ORÇAMENTO!$W$15,ROW(AI86)-ROW(AI$15),0),15-13*ORÇAMENTO!$AF$11)),
         0)</f>
        <v>0</v>
      </c>
      <c r="AJ86" s="454">
        <f ca="1">IF(AND($D86="Serviço",AJ$12&lt;&gt;0,$H86&gt;0,OR(AUTOEVENTO&lt;&gt;"manual",$M86&lt;&gt;$A$15)),
        IF(Import.TipoArredondamento&lt;&gt;"TransfereGOV",
              ROUND(OFFSET($P86,0,AJ$13),15-13*ORÇAMENTO!$AF$7)/$H86*OFFSET(ORÇAMENTO!$X$15,ROW(AJ86)-ROW(AJ$15),0),
              ROUND(ROUND(OFFSET($P86,0,AJ$13),15-13*ORÇAMENTO!$AF$7)*OFFSET(ORÇAMENTO!$W$15,ROW(AJ86)-ROW(AJ$15),0),15-13*ORÇAMENTO!$AF$11)),
         0)</f>
        <v>0</v>
      </c>
      <c r="AK86" s="454">
        <f ca="1">IF(AND($D86="Serviço",AK$12&lt;&gt;0,$H86&gt;0,OR(AUTOEVENTO&lt;&gt;"manual",$M86&lt;&gt;$A$15)),
        IF(Import.TipoArredondamento&lt;&gt;"TransfereGOV",
              ROUND(OFFSET($P86,0,AK$13),15-13*ORÇAMENTO!$AF$7)/$H86*OFFSET(ORÇAMENTO!$X$15,ROW(AK86)-ROW(AK$15),0),
              ROUND(ROUND(OFFSET($P86,0,AK$13),15-13*ORÇAMENTO!$AF$7)*OFFSET(ORÇAMENTO!$W$15,ROW(AK86)-ROW(AK$15),0),15-13*ORÇAMENTO!$AF$11)),
         0)</f>
        <v>0</v>
      </c>
      <c r="AM86" s="172">
        <f ca="1">IF(OR($D86&lt;&gt;"Serviço",AND(AUTOEVENTO="Manual",$M86=$A$15)),0,
         IF(OFFSET(CRONOPLE!$F$15,$M86-$A$15,AM$13)="",10^12,OFFSET(CRONOPLE!$F$15,$M86-$A$15,AM$13)))</f>
        <v>1000000000000</v>
      </c>
      <c r="AN86" s="172">
        <f ca="1">IF(OR($D86&lt;&gt;"Serviço",AND(AUTOEVENTO="Manual",$M86=$A$15)),0,
         IF(OFFSET(CRONOPLE!$F$15,$M86-$A$15,AN$13)="",10^12,OFFSET(CRONOPLE!$F$15,$M86-$A$15,AN$13)))</f>
        <v>1000000000000</v>
      </c>
      <c r="AO86" s="172">
        <f ca="1">IF(OR($D86&lt;&gt;"Serviço",AND(AUTOEVENTO="Manual",$M86=$A$15)),0,
         IF(OFFSET(CRONOPLE!$F$15,$M86-$A$15,AO$13)="",10^12,OFFSET(CRONOPLE!$F$15,$M86-$A$15,AO$13)))</f>
        <v>1000000000000</v>
      </c>
      <c r="AP86" s="172">
        <f ca="1">IF(OR($D86&lt;&gt;"Serviço",AND(AUTOEVENTO="Manual",$M86=$A$15)),0,
         IF(OFFSET(CRONOPLE!$F$15,$M86-$A$15,AP$13)="",10^12,OFFSET(CRONOPLE!$F$15,$M86-$A$15,AP$13)))</f>
        <v>1000000000000</v>
      </c>
      <c r="AQ86" s="172">
        <f ca="1">IF(OR($D86&lt;&gt;"Serviço",AND(AUTOEVENTO="Manual",$M86=$A$15)),0,
         IF(OFFSET(CRONOPLE!$F$15,$M86-$A$15,AQ$13)="",10^12,OFFSET(CRONOPLE!$F$15,$M86-$A$15,AQ$13)))</f>
        <v>1000000000000</v>
      </c>
      <c r="AR86" s="172">
        <f ca="1">IF(OR($D86&lt;&gt;"Serviço",AND(AUTOEVENTO="Manual",$M86=$A$15)),0,
         IF(OFFSET(CRONOPLE!$F$15,$M86-$A$15,AR$13)="",10^12,OFFSET(CRONOPLE!$F$15,$M86-$A$15,AR$13)))</f>
        <v>1000000000000</v>
      </c>
      <c r="AS86" s="172">
        <f ca="1">IF(OR($D86&lt;&gt;"Serviço",AND(AUTOEVENTO="Manual",$M86=$A$15)),0,
         IF(OFFSET(CRONOPLE!$F$15,$M86-$A$15,AS$13)="",10^12,OFFSET(CRONOPLE!$F$15,$M86-$A$15,AS$13)))</f>
        <v>1000000000000</v>
      </c>
      <c r="AT86" s="172">
        <f ca="1">IF(OR($D86&lt;&gt;"Serviço",AND(AUTOEVENTO="Manual",$M86=$A$15)),0,
         IF(OFFSET(CRONOPLE!$F$15,$M86-$A$15,AT$13)="",10^12,OFFSET(CRONOPLE!$F$15,$M86-$A$15,AT$13)))</f>
        <v>1000000000000</v>
      </c>
      <c r="AU86" s="172">
        <f ca="1">IF(OR($D86&lt;&gt;"Serviço",AND(AUTOEVENTO="Manual",$M86=$A$15)),0,
         IF(OFFSET(CRONOPLE!$F$15,$M86-$A$15,AU$13)="",10^12,OFFSET(CRONOPLE!$F$15,$M86-$A$15,AU$13)))</f>
        <v>1000000000000</v>
      </c>
      <c r="AV86" s="172">
        <f ca="1">IF(OR($D86&lt;&gt;"Serviço",AND(AUTOEVENTO="Manual",$M86=$A$15)),0,
         IF(OFFSET(CRONOPLE!$F$15,$M86-$A$15,AV$13)="",10^12,OFFSET(CRONOPLE!$F$15,$M86-$A$15,AV$13)))</f>
        <v>1000000000000</v>
      </c>
      <c r="AX86" s="173">
        <f ca="1">IF(OR($D86&lt;&gt;"Serviço",AND(AUTOEVENTO="Manual",$M86=$A$15),$M86&gt;(ROW(PLE.lastrow)-ROW(PLE.firstrow))),0,
           IF(OFFSET(PLE!$G$15,$M86-$A$15,AX$13)="",10^12,OFFSET(PLE!$G$15,$M86-$A$15,AX$13)))</f>
        <v>1000000000000</v>
      </c>
      <c r="AY86" s="173">
        <f ca="1">IF(OR($D86&lt;&gt;"Serviço",AND(AUTOEVENTO="Manual",$M86=$A$15),$M86&gt;(ROW(PLE.lastrow)-ROW(PLE.firstrow))),0,
           IF(OFFSET(PLE!$G$15,$M86-$A$15,AY$13)="",10^12,OFFSET(PLE!$G$15,$M86-$A$15,AY$13)))</f>
        <v>1000000000000</v>
      </c>
      <c r="AZ86" s="173">
        <f ca="1">IF(OR($D86&lt;&gt;"Serviço",AND(AUTOEVENTO="Manual",$M86=$A$15),$M86&gt;(ROW(PLE.lastrow)-ROW(PLE.firstrow))),0,
           IF(OFFSET(PLE!$G$15,$M86-$A$15,AZ$13)="",10^12,OFFSET(PLE!$G$15,$M86-$A$15,AZ$13)))</f>
        <v>1000000000000</v>
      </c>
      <c r="BA86" s="173">
        <f ca="1">IF(OR($D86&lt;&gt;"Serviço",AND(AUTOEVENTO="Manual",$M86=$A$15),$M86&gt;(ROW(PLE.lastrow)-ROW(PLE.firstrow))),0,
           IF(OFFSET(PLE!$G$15,$M86-$A$15,BA$13)="",10^12,OFFSET(PLE!$G$15,$M86-$A$15,BA$13)))</f>
        <v>1000000000000</v>
      </c>
      <c r="BB86" s="173">
        <f ca="1">IF(OR($D86&lt;&gt;"Serviço",AND(AUTOEVENTO="Manual",$M86=$A$15),$M86&gt;(ROW(PLE.lastrow)-ROW(PLE.firstrow))),0,
           IF(OFFSET(PLE!$G$15,$M86-$A$15,BB$13)="",10^12,OFFSET(PLE!$G$15,$M86-$A$15,BB$13)))</f>
        <v>1000000000000</v>
      </c>
      <c r="BC86" s="173">
        <f ca="1">IF(OR($D86&lt;&gt;"Serviço",AND(AUTOEVENTO="Manual",$M86=$A$15),$M86&gt;(ROW(PLE.lastrow)-ROW(PLE.firstrow))),0,
           IF(OFFSET(PLE!$G$15,$M86-$A$15,BC$13)="",10^12,OFFSET(PLE!$G$15,$M86-$A$15,BC$13)))</f>
        <v>1000000000000</v>
      </c>
      <c r="BD86" s="173">
        <f ca="1">IF(OR($D86&lt;&gt;"Serviço",AND(AUTOEVENTO="Manual",$M86=$A$15),$M86&gt;(ROW(PLE.lastrow)-ROW(PLE.firstrow))),0,
           IF(OFFSET(PLE!$G$15,$M86-$A$15,BD$13)="",10^12,OFFSET(PLE!$G$15,$M86-$A$15,BD$13)))</f>
        <v>1000000000000</v>
      </c>
      <c r="BE86" s="173">
        <f ca="1">IF(OR($D86&lt;&gt;"Serviço",AND(AUTOEVENTO="Manual",$M86=$A$15),$M86&gt;(ROW(PLE.lastrow)-ROW(PLE.firstrow))),0,
           IF(OFFSET(PLE!$G$15,$M86-$A$15,BE$13)="",10^12,OFFSET(PLE!$G$15,$M86-$A$15,BE$13)))</f>
        <v>1000000000000</v>
      </c>
      <c r="BF86" s="173">
        <f ca="1">IF(OR($D86&lt;&gt;"Serviço",AND(AUTOEVENTO="Manual",$M86=$A$15),$M86&gt;(ROW(PLE.lastrow)-ROW(PLE.firstrow))),0,
           IF(OFFSET(PLE!$G$15,$M86-$A$15,BF$13)="",10^12,OFFSET(PLE!$G$15,$M86-$A$15,BF$13)))</f>
        <v>1000000000000</v>
      </c>
      <c r="BG86" s="173">
        <f ca="1">IF(OR($D86&lt;&gt;"Serviço",AND(AUTOEVENTO="Manual",$M86=$A$15),$M86&gt;(ROW(PLE.lastrow)-ROW(PLE.firstrow))),0,
           IF(OFFSET(PLE!$G$15,$M86-$A$15,BG$13)="",10^12,OFFSET(PLE!$G$15,$M86-$A$15,BG$13)))</f>
        <v>1000000000000</v>
      </c>
    </row>
    <row r="87" spans="1:59" ht="25.5" x14ac:dyDescent="0.2">
      <c r="A87" s="7" t="str">
        <f t="shared" ca="1" si="9"/>
        <v>39</v>
      </c>
      <c r="B87" s="7" t="str">
        <f ca="1">OFFSET(ORÇAMENTO!C$15,ROW(B87)-ROW(B$15),0)</f>
        <v>S</v>
      </c>
      <c r="C87" s="7" t="str">
        <f ca="1">OFFSET(ORÇAMENTO!L$15,ROW(C87)-ROW(C$15),0)</f>
        <v/>
      </c>
      <c r="D87" s="117" t="str">
        <f ca="1">OFFSET(ORÇAMENTO!N$15,ROW(D87)-ROW(D$15),0)</f>
        <v>Serviço</v>
      </c>
      <c r="E87" s="118" t="str">
        <f ca="1">OFFSET(ORÇAMENTO!O$15,ROW(E87)-ROW(E$15),0)</f>
        <v>-</v>
      </c>
      <c r="F87" s="164" t="str">
        <f ca="1">OFFSET(ORÇAMENTO!R$15,ROW(F87)-ROW(F$15),0)</f>
        <v>ELETROCALHA PERFURADA TIPO C, 50x50x3000mm, CHAPA 18 GALVANIZADA</v>
      </c>
      <c r="G87" s="165" t="str">
        <f ca="1">IF($D87&lt;&gt;"Serviço","",OFFSET(ORÇAMENTO!S$15,ROW(G87)-ROW(G$15),0))</f>
        <v>UN</v>
      </c>
      <c r="H87" s="123">
        <f ca="1">IF($D87&lt;&gt;"Serviço",0,IF(ACOMPANHAMENTO="BM",ROUND(OFFSET(ORÇAMENTO!AJ$15,ROW(H87)-ROW(H$15),0),15-13*ORÇAMENTO!$AF$7),SUMPRODUCT(($Q$1:$AA$1=1)*ROUND($Q87:$AA87,15-13*ORÇAMENTO!$AF$7))))</f>
        <v>21</v>
      </c>
      <c r="I87" s="469"/>
      <c r="J87" s="577" t="str" cm="1">
        <f t="array" aca="1" ref="J87" ca="1">IF(B87&lt;&gt;"S","",IF(AND(ACOMPANHAMENTO="PLE",AUTOEVENTO="Manual",OR(H87&gt;0,ORÇAMENTO!AC87="QUANT."),OR(K87="",M87=0,N87="")),"►",IF(AND(ACOMPANHAMENTO="PLE",ORÇAMENTO!AC87="QUANT."),"►►",IF(AND(COUNTIF($P$11:$AA$11,"▼")=0,H87&gt;0,I87=""),"◄",""))))</f>
        <v>◄</v>
      </c>
      <c r="K87" s="626"/>
      <c r="L87" s="166" t="s">
        <v>765</v>
      </c>
      <c r="M87" s="167">
        <f ca="1">IF($D87&lt;&gt;"Serviço","",
          IF(AUTOEVENTO="manual",$A87,
                IF(ISERROR(MATCH($A87,$A$15:OFFSET($A87,-1,0),0)),MAX($M$15:OFFSET(M87,-1,0))+1,
                      INDEX($M$15:OFFSET(M87,-1,0),MATCH($A87,$A$15:OFFSET($A87,-1,0),0)))))</f>
        <v>9</v>
      </c>
      <c r="N87" s="168" t="str">
        <f ca="1">IF($D87&lt;&gt;"Serviço","",
         IF(AUTOEVENTO="Manual",
                IF($A87=0,"&lt;-- defina o número do agrupador",
                       OFFSET(EVENTOS!$D$15,$A87-$A$15,0)),
                OFFSET($F$15,$A87,0)))</f>
        <v>INSTALAÇÕES ELÉTRICAS</v>
      </c>
      <c r="O87" s="169"/>
      <c r="Q87" s="169"/>
      <c r="R87" s="170"/>
      <c r="S87" s="170"/>
      <c r="T87" s="170"/>
      <c r="U87" s="170"/>
      <c r="V87" s="170"/>
      <c r="W87" s="170"/>
      <c r="X87" s="170"/>
      <c r="Y87" s="170"/>
      <c r="Z87" s="171"/>
      <c r="AB87" s="454">
        <f ca="1">IF(AND($D87="Serviço",AB$12&lt;&gt;0,$H87&gt;0,OR(AUTOEVENTO&lt;&gt;"manual",$M87&lt;&gt;$A$15)),
        IF(Import.TipoArredondamento&lt;&gt;"TransfereGOV",
              ROUND(OFFSET($P87,0,AB$13),15-13*ORÇAMENTO!$AF$7)/$H87*OFFSET(ORÇAMENTO!$X$15,ROW(AB87)-ROW(AB$15),0),
              ROUND(ROUND(OFFSET($P87,0,AB$13),15-13*ORÇAMENTO!$AF$7)*OFFSET(ORÇAMENTO!$W$15,ROW(AB87)-ROW(AB$15),0),15-13*ORÇAMENTO!$AF$11)),
         0)</f>
        <v>0</v>
      </c>
      <c r="AC87" s="454">
        <f ca="1">IF(AND($D87="Serviço",AC$12&lt;&gt;0,$H87&gt;0,OR(AUTOEVENTO&lt;&gt;"manual",$M87&lt;&gt;$A$15)),
        IF(Import.TipoArredondamento&lt;&gt;"TransfereGOV",
              ROUND(OFFSET($P87,0,AC$13),15-13*ORÇAMENTO!$AF$7)/$H87*OFFSET(ORÇAMENTO!$X$15,ROW(AC87)-ROW(AC$15),0),
              ROUND(ROUND(OFFSET($P87,0,AC$13),15-13*ORÇAMENTO!$AF$7)*OFFSET(ORÇAMENTO!$W$15,ROW(AC87)-ROW(AC$15),0),15-13*ORÇAMENTO!$AF$11)),
         0)</f>
        <v>0</v>
      </c>
      <c r="AD87" s="454">
        <f ca="1">IF(AND($D87="Serviço",AD$12&lt;&gt;0,$H87&gt;0,OR(AUTOEVENTO&lt;&gt;"manual",$M87&lt;&gt;$A$15)),
        IF(Import.TipoArredondamento&lt;&gt;"TransfereGOV",
              ROUND(OFFSET($P87,0,AD$13),15-13*ORÇAMENTO!$AF$7)/$H87*OFFSET(ORÇAMENTO!$X$15,ROW(AD87)-ROW(AD$15),0),
              ROUND(ROUND(OFFSET($P87,0,AD$13),15-13*ORÇAMENTO!$AF$7)*OFFSET(ORÇAMENTO!$W$15,ROW(AD87)-ROW(AD$15),0),15-13*ORÇAMENTO!$AF$11)),
         0)</f>
        <v>0</v>
      </c>
      <c r="AE87" s="454">
        <f ca="1">IF(AND($D87="Serviço",AE$12&lt;&gt;0,$H87&gt;0,OR(AUTOEVENTO&lt;&gt;"manual",$M87&lt;&gt;$A$15)),
        IF(Import.TipoArredondamento&lt;&gt;"TransfereGOV",
              ROUND(OFFSET($P87,0,AE$13),15-13*ORÇAMENTO!$AF$7)/$H87*OFFSET(ORÇAMENTO!$X$15,ROW(AE87)-ROW(AE$15),0),
              ROUND(ROUND(OFFSET($P87,0,AE$13),15-13*ORÇAMENTO!$AF$7)*OFFSET(ORÇAMENTO!$W$15,ROW(AE87)-ROW(AE$15),0),15-13*ORÇAMENTO!$AF$11)),
         0)</f>
        <v>0</v>
      </c>
      <c r="AF87" s="454">
        <f ca="1">IF(AND($D87="Serviço",AF$12&lt;&gt;0,$H87&gt;0,OR(AUTOEVENTO&lt;&gt;"manual",$M87&lt;&gt;$A$15)),
        IF(Import.TipoArredondamento&lt;&gt;"TransfereGOV",
              ROUND(OFFSET($P87,0,AF$13),15-13*ORÇAMENTO!$AF$7)/$H87*OFFSET(ORÇAMENTO!$X$15,ROW(AF87)-ROW(AF$15),0),
              ROUND(ROUND(OFFSET($P87,0,AF$13),15-13*ORÇAMENTO!$AF$7)*OFFSET(ORÇAMENTO!$W$15,ROW(AF87)-ROW(AF$15),0),15-13*ORÇAMENTO!$AF$11)),
         0)</f>
        <v>0</v>
      </c>
      <c r="AG87" s="454">
        <f ca="1">IF(AND($D87="Serviço",AG$12&lt;&gt;0,$H87&gt;0,OR(AUTOEVENTO&lt;&gt;"manual",$M87&lt;&gt;$A$15)),
        IF(Import.TipoArredondamento&lt;&gt;"TransfereGOV",
              ROUND(OFFSET($P87,0,AG$13),15-13*ORÇAMENTO!$AF$7)/$H87*OFFSET(ORÇAMENTO!$X$15,ROW(AG87)-ROW(AG$15),0),
              ROUND(ROUND(OFFSET($P87,0,AG$13),15-13*ORÇAMENTO!$AF$7)*OFFSET(ORÇAMENTO!$W$15,ROW(AG87)-ROW(AG$15),0),15-13*ORÇAMENTO!$AF$11)),
         0)</f>
        <v>0</v>
      </c>
      <c r="AH87" s="454">
        <f ca="1">IF(AND($D87="Serviço",AH$12&lt;&gt;0,$H87&gt;0,OR(AUTOEVENTO&lt;&gt;"manual",$M87&lt;&gt;$A$15)),
        IF(Import.TipoArredondamento&lt;&gt;"TransfereGOV",
              ROUND(OFFSET($P87,0,AH$13),15-13*ORÇAMENTO!$AF$7)/$H87*OFFSET(ORÇAMENTO!$X$15,ROW(AH87)-ROW(AH$15),0),
              ROUND(ROUND(OFFSET($P87,0,AH$13),15-13*ORÇAMENTO!$AF$7)*OFFSET(ORÇAMENTO!$W$15,ROW(AH87)-ROW(AH$15),0),15-13*ORÇAMENTO!$AF$11)),
         0)</f>
        <v>0</v>
      </c>
      <c r="AI87" s="454">
        <f ca="1">IF(AND($D87="Serviço",AI$12&lt;&gt;0,$H87&gt;0,OR(AUTOEVENTO&lt;&gt;"manual",$M87&lt;&gt;$A$15)),
        IF(Import.TipoArredondamento&lt;&gt;"TransfereGOV",
              ROUND(OFFSET($P87,0,AI$13),15-13*ORÇAMENTO!$AF$7)/$H87*OFFSET(ORÇAMENTO!$X$15,ROW(AI87)-ROW(AI$15),0),
              ROUND(ROUND(OFFSET($P87,0,AI$13),15-13*ORÇAMENTO!$AF$7)*OFFSET(ORÇAMENTO!$W$15,ROW(AI87)-ROW(AI$15),0),15-13*ORÇAMENTO!$AF$11)),
         0)</f>
        <v>0</v>
      </c>
      <c r="AJ87" s="454">
        <f ca="1">IF(AND($D87="Serviço",AJ$12&lt;&gt;0,$H87&gt;0,OR(AUTOEVENTO&lt;&gt;"manual",$M87&lt;&gt;$A$15)),
        IF(Import.TipoArredondamento&lt;&gt;"TransfereGOV",
              ROUND(OFFSET($P87,0,AJ$13),15-13*ORÇAMENTO!$AF$7)/$H87*OFFSET(ORÇAMENTO!$X$15,ROW(AJ87)-ROW(AJ$15),0),
              ROUND(ROUND(OFFSET($P87,0,AJ$13),15-13*ORÇAMENTO!$AF$7)*OFFSET(ORÇAMENTO!$W$15,ROW(AJ87)-ROW(AJ$15),0),15-13*ORÇAMENTO!$AF$11)),
         0)</f>
        <v>0</v>
      </c>
      <c r="AK87" s="454">
        <f ca="1">IF(AND($D87="Serviço",AK$12&lt;&gt;0,$H87&gt;0,OR(AUTOEVENTO&lt;&gt;"manual",$M87&lt;&gt;$A$15)),
        IF(Import.TipoArredondamento&lt;&gt;"TransfereGOV",
              ROUND(OFFSET($P87,0,AK$13),15-13*ORÇAMENTO!$AF$7)/$H87*OFFSET(ORÇAMENTO!$X$15,ROW(AK87)-ROW(AK$15),0),
              ROUND(ROUND(OFFSET($P87,0,AK$13),15-13*ORÇAMENTO!$AF$7)*OFFSET(ORÇAMENTO!$W$15,ROW(AK87)-ROW(AK$15),0),15-13*ORÇAMENTO!$AF$11)),
         0)</f>
        <v>0</v>
      </c>
      <c r="AM87" s="172">
        <f ca="1">IF(OR($D87&lt;&gt;"Serviço",AND(AUTOEVENTO="Manual",$M87=$A$15)),0,
         IF(OFFSET(CRONOPLE!$F$15,$M87-$A$15,AM$13)="",10^12,OFFSET(CRONOPLE!$F$15,$M87-$A$15,AM$13)))</f>
        <v>1000000000000</v>
      </c>
      <c r="AN87" s="172">
        <f ca="1">IF(OR($D87&lt;&gt;"Serviço",AND(AUTOEVENTO="Manual",$M87=$A$15)),0,
         IF(OFFSET(CRONOPLE!$F$15,$M87-$A$15,AN$13)="",10^12,OFFSET(CRONOPLE!$F$15,$M87-$A$15,AN$13)))</f>
        <v>1000000000000</v>
      </c>
      <c r="AO87" s="172">
        <f ca="1">IF(OR($D87&lt;&gt;"Serviço",AND(AUTOEVENTO="Manual",$M87=$A$15)),0,
         IF(OFFSET(CRONOPLE!$F$15,$M87-$A$15,AO$13)="",10^12,OFFSET(CRONOPLE!$F$15,$M87-$A$15,AO$13)))</f>
        <v>1000000000000</v>
      </c>
      <c r="AP87" s="172">
        <f ca="1">IF(OR($D87&lt;&gt;"Serviço",AND(AUTOEVENTO="Manual",$M87=$A$15)),0,
         IF(OFFSET(CRONOPLE!$F$15,$M87-$A$15,AP$13)="",10^12,OFFSET(CRONOPLE!$F$15,$M87-$A$15,AP$13)))</f>
        <v>1000000000000</v>
      </c>
      <c r="AQ87" s="172">
        <f ca="1">IF(OR($D87&lt;&gt;"Serviço",AND(AUTOEVENTO="Manual",$M87=$A$15)),0,
         IF(OFFSET(CRONOPLE!$F$15,$M87-$A$15,AQ$13)="",10^12,OFFSET(CRONOPLE!$F$15,$M87-$A$15,AQ$13)))</f>
        <v>1000000000000</v>
      </c>
      <c r="AR87" s="172">
        <f ca="1">IF(OR($D87&lt;&gt;"Serviço",AND(AUTOEVENTO="Manual",$M87=$A$15)),0,
         IF(OFFSET(CRONOPLE!$F$15,$M87-$A$15,AR$13)="",10^12,OFFSET(CRONOPLE!$F$15,$M87-$A$15,AR$13)))</f>
        <v>1000000000000</v>
      </c>
      <c r="AS87" s="172">
        <f ca="1">IF(OR($D87&lt;&gt;"Serviço",AND(AUTOEVENTO="Manual",$M87=$A$15)),0,
         IF(OFFSET(CRONOPLE!$F$15,$M87-$A$15,AS$13)="",10^12,OFFSET(CRONOPLE!$F$15,$M87-$A$15,AS$13)))</f>
        <v>1000000000000</v>
      </c>
      <c r="AT87" s="172">
        <f ca="1">IF(OR($D87&lt;&gt;"Serviço",AND(AUTOEVENTO="Manual",$M87=$A$15)),0,
         IF(OFFSET(CRONOPLE!$F$15,$M87-$A$15,AT$13)="",10^12,OFFSET(CRONOPLE!$F$15,$M87-$A$15,AT$13)))</f>
        <v>1000000000000</v>
      </c>
      <c r="AU87" s="172">
        <f ca="1">IF(OR($D87&lt;&gt;"Serviço",AND(AUTOEVENTO="Manual",$M87=$A$15)),0,
         IF(OFFSET(CRONOPLE!$F$15,$M87-$A$15,AU$13)="",10^12,OFFSET(CRONOPLE!$F$15,$M87-$A$15,AU$13)))</f>
        <v>1000000000000</v>
      </c>
      <c r="AV87" s="172">
        <f ca="1">IF(OR($D87&lt;&gt;"Serviço",AND(AUTOEVENTO="Manual",$M87=$A$15)),0,
         IF(OFFSET(CRONOPLE!$F$15,$M87-$A$15,AV$13)="",10^12,OFFSET(CRONOPLE!$F$15,$M87-$A$15,AV$13)))</f>
        <v>1000000000000</v>
      </c>
      <c r="AX87" s="173">
        <f ca="1">IF(OR($D87&lt;&gt;"Serviço",AND(AUTOEVENTO="Manual",$M87=$A$15),$M87&gt;(ROW(PLE.lastrow)-ROW(PLE.firstrow))),0,
           IF(OFFSET(PLE!$G$15,$M87-$A$15,AX$13)="",10^12,OFFSET(PLE!$G$15,$M87-$A$15,AX$13)))</f>
        <v>1000000000000</v>
      </c>
      <c r="AY87" s="173">
        <f ca="1">IF(OR($D87&lt;&gt;"Serviço",AND(AUTOEVENTO="Manual",$M87=$A$15),$M87&gt;(ROW(PLE.lastrow)-ROW(PLE.firstrow))),0,
           IF(OFFSET(PLE!$G$15,$M87-$A$15,AY$13)="",10^12,OFFSET(PLE!$G$15,$M87-$A$15,AY$13)))</f>
        <v>1000000000000</v>
      </c>
      <c r="AZ87" s="173">
        <f ca="1">IF(OR($D87&lt;&gt;"Serviço",AND(AUTOEVENTO="Manual",$M87=$A$15),$M87&gt;(ROW(PLE.lastrow)-ROW(PLE.firstrow))),0,
           IF(OFFSET(PLE!$G$15,$M87-$A$15,AZ$13)="",10^12,OFFSET(PLE!$G$15,$M87-$A$15,AZ$13)))</f>
        <v>1000000000000</v>
      </c>
      <c r="BA87" s="173">
        <f ca="1">IF(OR($D87&lt;&gt;"Serviço",AND(AUTOEVENTO="Manual",$M87=$A$15),$M87&gt;(ROW(PLE.lastrow)-ROW(PLE.firstrow))),0,
           IF(OFFSET(PLE!$G$15,$M87-$A$15,BA$13)="",10^12,OFFSET(PLE!$G$15,$M87-$A$15,BA$13)))</f>
        <v>1000000000000</v>
      </c>
      <c r="BB87" s="173">
        <f ca="1">IF(OR($D87&lt;&gt;"Serviço",AND(AUTOEVENTO="Manual",$M87=$A$15),$M87&gt;(ROW(PLE.lastrow)-ROW(PLE.firstrow))),0,
           IF(OFFSET(PLE!$G$15,$M87-$A$15,BB$13)="",10^12,OFFSET(PLE!$G$15,$M87-$A$15,BB$13)))</f>
        <v>1000000000000</v>
      </c>
      <c r="BC87" s="173">
        <f ca="1">IF(OR($D87&lt;&gt;"Serviço",AND(AUTOEVENTO="Manual",$M87=$A$15),$M87&gt;(ROW(PLE.lastrow)-ROW(PLE.firstrow))),0,
           IF(OFFSET(PLE!$G$15,$M87-$A$15,BC$13)="",10^12,OFFSET(PLE!$G$15,$M87-$A$15,BC$13)))</f>
        <v>1000000000000</v>
      </c>
      <c r="BD87" s="173">
        <f ca="1">IF(OR($D87&lt;&gt;"Serviço",AND(AUTOEVENTO="Manual",$M87=$A$15),$M87&gt;(ROW(PLE.lastrow)-ROW(PLE.firstrow))),0,
           IF(OFFSET(PLE!$G$15,$M87-$A$15,BD$13)="",10^12,OFFSET(PLE!$G$15,$M87-$A$15,BD$13)))</f>
        <v>1000000000000</v>
      </c>
      <c r="BE87" s="173">
        <f ca="1">IF(OR($D87&lt;&gt;"Serviço",AND(AUTOEVENTO="Manual",$M87=$A$15),$M87&gt;(ROW(PLE.lastrow)-ROW(PLE.firstrow))),0,
           IF(OFFSET(PLE!$G$15,$M87-$A$15,BE$13)="",10^12,OFFSET(PLE!$G$15,$M87-$A$15,BE$13)))</f>
        <v>1000000000000</v>
      </c>
      <c r="BF87" s="173">
        <f ca="1">IF(OR($D87&lt;&gt;"Serviço",AND(AUTOEVENTO="Manual",$M87=$A$15),$M87&gt;(ROW(PLE.lastrow)-ROW(PLE.firstrow))),0,
           IF(OFFSET(PLE!$G$15,$M87-$A$15,BF$13)="",10^12,OFFSET(PLE!$G$15,$M87-$A$15,BF$13)))</f>
        <v>1000000000000</v>
      </c>
      <c r="BG87" s="173">
        <f ca="1">IF(OR($D87&lt;&gt;"Serviço",AND(AUTOEVENTO="Manual",$M87=$A$15),$M87&gt;(ROW(PLE.lastrow)-ROW(PLE.firstrow))),0,
           IF(OFFSET(PLE!$G$15,$M87-$A$15,BG$13)="",10^12,OFFSET(PLE!$G$15,$M87-$A$15,BG$13)))</f>
        <v>1000000000000</v>
      </c>
    </row>
    <row r="88" spans="1:59" ht="25.5" x14ac:dyDescent="0.2">
      <c r="A88" s="7" t="str">
        <f t="shared" ca="1" si="9"/>
        <v>39</v>
      </c>
      <c r="B88" s="7" t="str">
        <f ca="1">OFFSET(ORÇAMENTO!C$15,ROW(B88)-ROW(B$15),0)</f>
        <v>S</v>
      </c>
      <c r="C88" s="7" t="str">
        <f ca="1">OFFSET(ORÇAMENTO!L$15,ROW(C88)-ROW(C$15),0)</f>
        <v/>
      </c>
      <c r="D88" s="117" t="str">
        <f ca="1">OFFSET(ORÇAMENTO!N$15,ROW(D88)-ROW(D$15),0)</f>
        <v>Serviço</v>
      </c>
      <c r="E88" s="118" t="str">
        <f ca="1">OFFSET(ORÇAMENTO!O$15,ROW(E88)-ROW(E$15),0)</f>
        <v>-</v>
      </c>
      <c r="F88" s="164" t="str">
        <f ca="1">OFFSET(ORÇAMENTO!R$15,ROW(F88)-ROW(F$15),0)</f>
        <v>ELETROCALHA PERFURADA TIPO C, 50x250x3000mm, CHAPA 18 GALVANIZADA</v>
      </c>
      <c r="G88" s="165" t="str">
        <f ca="1">IF($D88&lt;&gt;"Serviço","",OFFSET(ORÇAMENTO!S$15,ROW(G88)-ROW(G$15),0))</f>
        <v>UN</v>
      </c>
      <c r="H88" s="123">
        <f ca="1">IF($D88&lt;&gt;"Serviço",0,IF(ACOMPANHAMENTO="BM",ROUND(OFFSET(ORÇAMENTO!AJ$15,ROW(H88)-ROW(H$15),0),15-13*ORÇAMENTO!$AF$7),SUMPRODUCT(($Q$1:$AA$1=1)*ROUND($Q88:$AA88,15-13*ORÇAMENTO!$AF$7))))</f>
        <v>34</v>
      </c>
      <c r="I88" s="469"/>
      <c r="J88" s="577" t="str" cm="1">
        <f t="array" aca="1" ref="J88" ca="1">IF(B88&lt;&gt;"S","",IF(AND(ACOMPANHAMENTO="PLE",AUTOEVENTO="Manual",OR(H88&gt;0,ORÇAMENTO!AC88="QUANT."),OR(K88="",M88=0,N88="")),"►",IF(AND(ACOMPANHAMENTO="PLE",ORÇAMENTO!AC88="QUANT."),"►►",IF(AND(COUNTIF($P$11:$AA$11,"▼")=0,H88&gt;0,I88=""),"◄",""))))</f>
        <v>◄</v>
      </c>
      <c r="K88" s="626"/>
      <c r="L88" s="166" t="s">
        <v>765</v>
      </c>
      <c r="M88" s="167">
        <f ca="1">IF($D88&lt;&gt;"Serviço","",
          IF(AUTOEVENTO="manual",$A88,
                IF(ISERROR(MATCH($A88,$A$15:OFFSET($A88,-1,0),0)),MAX($M$15:OFFSET(M88,-1,0))+1,
                      INDEX($M$15:OFFSET(M88,-1,0),MATCH($A88,$A$15:OFFSET($A88,-1,0),0)))))</f>
        <v>9</v>
      </c>
      <c r="N88" s="168" t="str">
        <f ca="1">IF($D88&lt;&gt;"Serviço","",
         IF(AUTOEVENTO="Manual",
                IF($A88=0,"&lt;-- defina o número do agrupador",
                       OFFSET(EVENTOS!$D$15,$A88-$A$15,0)),
                OFFSET($F$15,$A88,0)))</f>
        <v>INSTALAÇÕES ELÉTRICAS</v>
      </c>
      <c r="O88" s="169"/>
      <c r="Q88" s="169"/>
      <c r="R88" s="170"/>
      <c r="S88" s="170"/>
      <c r="T88" s="170"/>
      <c r="U88" s="170"/>
      <c r="V88" s="170"/>
      <c r="W88" s="170"/>
      <c r="X88" s="170"/>
      <c r="Y88" s="170"/>
      <c r="Z88" s="171"/>
      <c r="AB88" s="454">
        <f ca="1">IF(AND($D88="Serviço",AB$12&lt;&gt;0,$H88&gt;0,OR(AUTOEVENTO&lt;&gt;"manual",$M88&lt;&gt;$A$15)),
        IF(Import.TipoArredondamento&lt;&gt;"TransfereGOV",
              ROUND(OFFSET($P88,0,AB$13),15-13*ORÇAMENTO!$AF$7)/$H88*OFFSET(ORÇAMENTO!$X$15,ROW(AB88)-ROW(AB$15),0),
              ROUND(ROUND(OFFSET($P88,0,AB$13),15-13*ORÇAMENTO!$AF$7)*OFFSET(ORÇAMENTO!$W$15,ROW(AB88)-ROW(AB$15),0),15-13*ORÇAMENTO!$AF$11)),
         0)</f>
        <v>0</v>
      </c>
      <c r="AC88" s="454">
        <f ca="1">IF(AND($D88="Serviço",AC$12&lt;&gt;0,$H88&gt;0,OR(AUTOEVENTO&lt;&gt;"manual",$M88&lt;&gt;$A$15)),
        IF(Import.TipoArredondamento&lt;&gt;"TransfereGOV",
              ROUND(OFFSET($P88,0,AC$13),15-13*ORÇAMENTO!$AF$7)/$H88*OFFSET(ORÇAMENTO!$X$15,ROW(AC88)-ROW(AC$15),0),
              ROUND(ROUND(OFFSET($P88,0,AC$13),15-13*ORÇAMENTO!$AF$7)*OFFSET(ORÇAMENTO!$W$15,ROW(AC88)-ROW(AC$15),0),15-13*ORÇAMENTO!$AF$11)),
         0)</f>
        <v>0</v>
      </c>
      <c r="AD88" s="454">
        <f ca="1">IF(AND($D88="Serviço",AD$12&lt;&gt;0,$H88&gt;0,OR(AUTOEVENTO&lt;&gt;"manual",$M88&lt;&gt;$A$15)),
        IF(Import.TipoArredondamento&lt;&gt;"TransfereGOV",
              ROUND(OFFSET($P88,0,AD$13),15-13*ORÇAMENTO!$AF$7)/$H88*OFFSET(ORÇAMENTO!$X$15,ROW(AD88)-ROW(AD$15),0),
              ROUND(ROUND(OFFSET($P88,0,AD$13),15-13*ORÇAMENTO!$AF$7)*OFFSET(ORÇAMENTO!$W$15,ROW(AD88)-ROW(AD$15),0),15-13*ORÇAMENTO!$AF$11)),
         0)</f>
        <v>0</v>
      </c>
      <c r="AE88" s="454">
        <f ca="1">IF(AND($D88="Serviço",AE$12&lt;&gt;0,$H88&gt;0,OR(AUTOEVENTO&lt;&gt;"manual",$M88&lt;&gt;$A$15)),
        IF(Import.TipoArredondamento&lt;&gt;"TransfereGOV",
              ROUND(OFFSET($P88,0,AE$13),15-13*ORÇAMENTO!$AF$7)/$H88*OFFSET(ORÇAMENTO!$X$15,ROW(AE88)-ROW(AE$15),0),
              ROUND(ROUND(OFFSET($P88,0,AE$13),15-13*ORÇAMENTO!$AF$7)*OFFSET(ORÇAMENTO!$W$15,ROW(AE88)-ROW(AE$15),0),15-13*ORÇAMENTO!$AF$11)),
         0)</f>
        <v>0</v>
      </c>
      <c r="AF88" s="454">
        <f ca="1">IF(AND($D88="Serviço",AF$12&lt;&gt;0,$H88&gt;0,OR(AUTOEVENTO&lt;&gt;"manual",$M88&lt;&gt;$A$15)),
        IF(Import.TipoArredondamento&lt;&gt;"TransfereGOV",
              ROUND(OFFSET($P88,0,AF$13),15-13*ORÇAMENTO!$AF$7)/$H88*OFFSET(ORÇAMENTO!$X$15,ROW(AF88)-ROW(AF$15),0),
              ROUND(ROUND(OFFSET($P88,0,AF$13),15-13*ORÇAMENTO!$AF$7)*OFFSET(ORÇAMENTO!$W$15,ROW(AF88)-ROW(AF$15),0),15-13*ORÇAMENTO!$AF$11)),
         0)</f>
        <v>0</v>
      </c>
      <c r="AG88" s="454">
        <f ca="1">IF(AND($D88="Serviço",AG$12&lt;&gt;0,$H88&gt;0,OR(AUTOEVENTO&lt;&gt;"manual",$M88&lt;&gt;$A$15)),
        IF(Import.TipoArredondamento&lt;&gt;"TransfereGOV",
              ROUND(OFFSET($P88,0,AG$13),15-13*ORÇAMENTO!$AF$7)/$H88*OFFSET(ORÇAMENTO!$X$15,ROW(AG88)-ROW(AG$15),0),
              ROUND(ROUND(OFFSET($P88,0,AG$13),15-13*ORÇAMENTO!$AF$7)*OFFSET(ORÇAMENTO!$W$15,ROW(AG88)-ROW(AG$15),0),15-13*ORÇAMENTO!$AF$11)),
         0)</f>
        <v>0</v>
      </c>
      <c r="AH88" s="454">
        <f ca="1">IF(AND($D88="Serviço",AH$12&lt;&gt;0,$H88&gt;0,OR(AUTOEVENTO&lt;&gt;"manual",$M88&lt;&gt;$A$15)),
        IF(Import.TipoArredondamento&lt;&gt;"TransfereGOV",
              ROUND(OFFSET($P88,0,AH$13),15-13*ORÇAMENTO!$AF$7)/$H88*OFFSET(ORÇAMENTO!$X$15,ROW(AH88)-ROW(AH$15),0),
              ROUND(ROUND(OFFSET($P88,0,AH$13),15-13*ORÇAMENTO!$AF$7)*OFFSET(ORÇAMENTO!$W$15,ROW(AH88)-ROW(AH$15),0),15-13*ORÇAMENTO!$AF$11)),
         0)</f>
        <v>0</v>
      </c>
      <c r="AI88" s="454">
        <f ca="1">IF(AND($D88="Serviço",AI$12&lt;&gt;0,$H88&gt;0,OR(AUTOEVENTO&lt;&gt;"manual",$M88&lt;&gt;$A$15)),
        IF(Import.TipoArredondamento&lt;&gt;"TransfereGOV",
              ROUND(OFFSET($P88,0,AI$13),15-13*ORÇAMENTO!$AF$7)/$H88*OFFSET(ORÇAMENTO!$X$15,ROW(AI88)-ROW(AI$15),0),
              ROUND(ROUND(OFFSET($P88,0,AI$13),15-13*ORÇAMENTO!$AF$7)*OFFSET(ORÇAMENTO!$W$15,ROW(AI88)-ROW(AI$15),0),15-13*ORÇAMENTO!$AF$11)),
         0)</f>
        <v>0</v>
      </c>
      <c r="AJ88" s="454">
        <f ca="1">IF(AND($D88="Serviço",AJ$12&lt;&gt;0,$H88&gt;0,OR(AUTOEVENTO&lt;&gt;"manual",$M88&lt;&gt;$A$15)),
        IF(Import.TipoArredondamento&lt;&gt;"TransfereGOV",
              ROUND(OFFSET($P88,0,AJ$13),15-13*ORÇAMENTO!$AF$7)/$H88*OFFSET(ORÇAMENTO!$X$15,ROW(AJ88)-ROW(AJ$15),0),
              ROUND(ROUND(OFFSET($P88,0,AJ$13),15-13*ORÇAMENTO!$AF$7)*OFFSET(ORÇAMENTO!$W$15,ROW(AJ88)-ROW(AJ$15),0),15-13*ORÇAMENTO!$AF$11)),
         0)</f>
        <v>0</v>
      </c>
      <c r="AK88" s="454">
        <f ca="1">IF(AND($D88="Serviço",AK$12&lt;&gt;0,$H88&gt;0,OR(AUTOEVENTO&lt;&gt;"manual",$M88&lt;&gt;$A$15)),
        IF(Import.TipoArredondamento&lt;&gt;"TransfereGOV",
              ROUND(OFFSET($P88,0,AK$13),15-13*ORÇAMENTO!$AF$7)/$H88*OFFSET(ORÇAMENTO!$X$15,ROW(AK88)-ROW(AK$15),0),
              ROUND(ROUND(OFFSET($P88,0,AK$13),15-13*ORÇAMENTO!$AF$7)*OFFSET(ORÇAMENTO!$W$15,ROW(AK88)-ROW(AK$15),0),15-13*ORÇAMENTO!$AF$11)),
         0)</f>
        <v>0</v>
      </c>
      <c r="AM88" s="172">
        <f ca="1">IF(OR($D88&lt;&gt;"Serviço",AND(AUTOEVENTO="Manual",$M88=$A$15)),0,
         IF(OFFSET(CRONOPLE!$F$15,$M88-$A$15,AM$13)="",10^12,OFFSET(CRONOPLE!$F$15,$M88-$A$15,AM$13)))</f>
        <v>1000000000000</v>
      </c>
      <c r="AN88" s="172">
        <f ca="1">IF(OR($D88&lt;&gt;"Serviço",AND(AUTOEVENTO="Manual",$M88=$A$15)),0,
         IF(OFFSET(CRONOPLE!$F$15,$M88-$A$15,AN$13)="",10^12,OFFSET(CRONOPLE!$F$15,$M88-$A$15,AN$13)))</f>
        <v>1000000000000</v>
      </c>
      <c r="AO88" s="172">
        <f ca="1">IF(OR($D88&lt;&gt;"Serviço",AND(AUTOEVENTO="Manual",$M88=$A$15)),0,
         IF(OFFSET(CRONOPLE!$F$15,$M88-$A$15,AO$13)="",10^12,OFFSET(CRONOPLE!$F$15,$M88-$A$15,AO$13)))</f>
        <v>1000000000000</v>
      </c>
      <c r="AP88" s="172">
        <f ca="1">IF(OR($D88&lt;&gt;"Serviço",AND(AUTOEVENTO="Manual",$M88=$A$15)),0,
         IF(OFFSET(CRONOPLE!$F$15,$M88-$A$15,AP$13)="",10^12,OFFSET(CRONOPLE!$F$15,$M88-$A$15,AP$13)))</f>
        <v>1000000000000</v>
      </c>
      <c r="AQ88" s="172">
        <f ca="1">IF(OR($D88&lt;&gt;"Serviço",AND(AUTOEVENTO="Manual",$M88=$A$15)),0,
         IF(OFFSET(CRONOPLE!$F$15,$M88-$A$15,AQ$13)="",10^12,OFFSET(CRONOPLE!$F$15,$M88-$A$15,AQ$13)))</f>
        <v>1000000000000</v>
      </c>
      <c r="AR88" s="172">
        <f ca="1">IF(OR($D88&lt;&gt;"Serviço",AND(AUTOEVENTO="Manual",$M88=$A$15)),0,
         IF(OFFSET(CRONOPLE!$F$15,$M88-$A$15,AR$13)="",10^12,OFFSET(CRONOPLE!$F$15,$M88-$A$15,AR$13)))</f>
        <v>1000000000000</v>
      </c>
      <c r="AS88" s="172">
        <f ca="1">IF(OR($D88&lt;&gt;"Serviço",AND(AUTOEVENTO="Manual",$M88=$A$15)),0,
         IF(OFFSET(CRONOPLE!$F$15,$M88-$A$15,AS$13)="",10^12,OFFSET(CRONOPLE!$F$15,$M88-$A$15,AS$13)))</f>
        <v>1000000000000</v>
      </c>
      <c r="AT88" s="172">
        <f ca="1">IF(OR($D88&lt;&gt;"Serviço",AND(AUTOEVENTO="Manual",$M88=$A$15)),0,
         IF(OFFSET(CRONOPLE!$F$15,$M88-$A$15,AT$13)="",10^12,OFFSET(CRONOPLE!$F$15,$M88-$A$15,AT$13)))</f>
        <v>1000000000000</v>
      </c>
      <c r="AU88" s="172">
        <f ca="1">IF(OR($D88&lt;&gt;"Serviço",AND(AUTOEVENTO="Manual",$M88=$A$15)),0,
         IF(OFFSET(CRONOPLE!$F$15,$M88-$A$15,AU$13)="",10^12,OFFSET(CRONOPLE!$F$15,$M88-$A$15,AU$13)))</f>
        <v>1000000000000</v>
      </c>
      <c r="AV88" s="172">
        <f ca="1">IF(OR($D88&lt;&gt;"Serviço",AND(AUTOEVENTO="Manual",$M88=$A$15)),0,
         IF(OFFSET(CRONOPLE!$F$15,$M88-$A$15,AV$13)="",10^12,OFFSET(CRONOPLE!$F$15,$M88-$A$15,AV$13)))</f>
        <v>1000000000000</v>
      </c>
      <c r="AX88" s="173">
        <f ca="1">IF(OR($D88&lt;&gt;"Serviço",AND(AUTOEVENTO="Manual",$M88=$A$15),$M88&gt;(ROW(PLE.lastrow)-ROW(PLE.firstrow))),0,
           IF(OFFSET(PLE!$G$15,$M88-$A$15,AX$13)="",10^12,OFFSET(PLE!$G$15,$M88-$A$15,AX$13)))</f>
        <v>1000000000000</v>
      </c>
      <c r="AY88" s="173">
        <f ca="1">IF(OR($D88&lt;&gt;"Serviço",AND(AUTOEVENTO="Manual",$M88=$A$15),$M88&gt;(ROW(PLE.lastrow)-ROW(PLE.firstrow))),0,
           IF(OFFSET(PLE!$G$15,$M88-$A$15,AY$13)="",10^12,OFFSET(PLE!$G$15,$M88-$A$15,AY$13)))</f>
        <v>1000000000000</v>
      </c>
      <c r="AZ88" s="173">
        <f ca="1">IF(OR($D88&lt;&gt;"Serviço",AND(AUTOEVENTO="Manual",$M88=$A$15),$M88&gt;(ROW(PLE.lastrow)-ROW(PLE.firstrow))),0,
           IF(OFFSET(PLE!$G$15,$M88-$A$15,AZ$13)="",10^12,OFFSET(PLE!$G$15,$M88-$A$15,AZ$13)))</f>
        <v>1000000000000</v>
      </c>
      <c r="BA88" s="173">
        <f ca="1">IF(OR($D88&lt;&gt;"Serviço",AND(AUTOEVENTO="Manual",$M88=$A$15),$M88&gt;(ROW(PLE.lastrow)-ROW(PLE.firstrow))),0,
           IF(OFFSET(PLE!$G$15,$M88-$A$15,BA$13)="",10^12,OFFSET(PLE!$G$15,$M88-$A$15,BA$13)))</f>
        <v>1000000000000</v>
      </c>
      <c r="BB88" s="173">
        <f ca="1">IF(OR($D88&lt;&gt;"Serviço",AND(AUTOEVENTO="Manual",$M88=$A$15),$M88&gt;(ROW(PLE.lastrow)-ROW(PLE.firstrow))),0,
           IF(OFFSET(PLE!$G$15,$M88-$A$15,BB$13)="",10^12,OFFSET(PLE!$G$15,$M88-$A$15,BB$13)))</f>
        <v>1000000000000</v>
      </c>
      <c r="BC88" s="173">
        <f ca="1">IF(OR($D88&lt;&gt;"Serviço",AND(AUTOEVENTO="Manual",$M88=$A$15),$M88&gt;(ROW(PLE.lastrow)-ROW(PLE.firstrow))),0,
           IF(OFFSET(PLE!$G$15,$M88-$A$15,BC$13)="",10^12,OFFSET(PLE!$G$15,$M88-$A$15,BC$13)))</f>
        <v>1000000000000</v>
      </c>
      <c r="BD88" s="173">
        <f ca="1">IF(OR($D88&lt;&gt;"Serviço",AND(AUTOEVENTO="Manual",$M88=$A$15),$M88&gt;(ROW(PLE.lastrow)-ROW(PLE.firstrow))),0,
           IF(OFFSET(PLE!$G$15,$M88-$A$15,BD$13)="",10^12,OFFSET(PLE!$G$15,$M88-$A$15,BD$13)))</f>
        <v>1000000000000</v>
      </c>
      <c r="BE88" s="173">
        <f ca="1">IF(OR($D88&lt;&gt;"Serviço",AND(AUTOEVENTO="Manual",$M88=$A$15),$M88&gt;(ROW(PLE.lastrow)-ROW(PLE.firstrow))),0,
           IF(OFFSET(PLE!$G$15,$M88-$A$15,BE$13)="",10^12,OFFSET(PLE!$G$15,$M88-$A$15,BE$13)))</f>
        <v>1000000000000</v>
      </c>
      <c r="BF88" s="173">
        <f ca="1">IF(OR($D88&lt;&gt;"Serviço",AND(AUTOEVENTO="Manual",$M88=$A$15),$M88&gt;(ROW(PLE.lastrow)-ROW(PLE.firstrow))),0,
           IF(OFFSET(PLE!$G$15,$M88-$A$15,BF$13)="",10^12,OFFSET(PLE!$G$15,$M88-$A$15,BF$13)))</f>
        <v>1000000000000</v>
      </c>
      <c r="BG88" s="173">
        <f ca="1">IF(OR($D88&lt;&gt;"Serviço",AND(AUTOEVENTO="Manual",$M88=$A$15),$M88&gt;(ROW(PLE.lastrow)-ROW(PLE.firstrow))),0,
           IF(OFFSET(PLE!$G$15,$M88-$A$15,BG$13)="",10^12,OFFSET(PLE!$G$15,$M88-$A$15,BG$13)))</f>
        <v>1000000000000</v>
      </c>
    </row>
    <row r="89" spans="1:59" ht="51" x14ac:dyDescent="0.2">
      <c r="A89" s="7" t="str">
        <f t="shared" ca="1" si="9"/>
        <v>39</v>
      </c>
      <c r="B89" s="7" t="str">
        <f ca="1">OFFSET(ORÇAMENTO!C$15,ROW(B89)-ROW(B$15),0)</f>
        <v>S</v>
      </c>
      <c r="C89" s="7" t="str">
        <f ca="1">OFFSET(ORÇAMENTO!L$15,ROW(C89)-ROW(C$15),0)</f>
        <v/>
      </c>
      <c r="D89" s="117" t="str">
        <f ca="1">OFFSET(ORÇAMENTO!N$15,ROW(D89)-ROW(D$15),0)</f>
        <v>Serviço</v>
      </c>
      <c r="E89" s="118" t="str">
        <f ca="1">OFFSET(ORÇAMENTO!O$15,ROW(E89)-ROW(E$15),0)</f>
        <v>-</v>
      </c>
      <c r="F89" s="164" t="str">
        <f ca="1">OFFSET(ORÇAMENTO!R$15,ROW(F89)-ROW(F$15),0)</f>
        <v>SUPORTE PARA ELETROCALHA LISA OU PERFURADA EM AÇO GALVANIZADO, LARGURA 400 MM, EM PERFILADO COM COMPRIMENTO DE 45 CM FIXADO EM LAJE, POR METRO DE ELETROCALHA FIXADA. AF_09/2023</v>
      </c>
      <c r="G89" s="165" t="str">
        <f ca="1">IF($D89&lt;&gt;"Serviço","",OFFSET(ORÇAMENTO!S$15,ROW(G89)-ROW(G$15),0))</f>
        <v>M</v>
      </c>
      <c r="H89" s="123">
        <f ca="1">IF($D89&lt;&gt;"Serviço",0,IF(ACOMPANHAMENTO="BM",ROUND(OFFSET(ORÇAMENTO!AJ$15,ROW(H89)-ROW(H$15),0),15-13*ORÇAMENTO!$AF$7),SUMPRODUCT(($Q$1:$AA$1=1)*ROUND($Q89:$AA89,15-13*ORÇAMENTO!$AF$7))))</f>
        <v>50</v>
      </c>
      <c r="I89" s="469"/>
      <c r="J89" s="577" t="str" cm="1">
        <f t="array" aca="1" ref="J89" ca="1">IF(B89&lt;&gt;"S","",IF(AND(ACOMPANHAMENTO="PLE",AUTOEVENTO="Manual",OR(H89&gt;0,ORÇAMENTO!AC89="QUANT."),OR(K89="",M89=0,N89="")),"►",IF(AND(ACOMPANHAMENTO="PLE",ORÇAMENTO!AC89="QUANT."),"►►",IF(AND(COUNTIF($P$11:$AA$11,"▼")=0,H89&gt;0,I89=""),"◄",""))))</f>
        <v>◄</v>
      </c>
      <c r="K89" s="626"/>
      <c r="L89" s="166" t="s">
        <v>765</v>
      </c>
      <c r="M89" s="167">
        <f ca="1">IF($D89&lt;&gt;"Serviço","",
          IF(AUTOEVENTO="manual",$A89,
                IF(ISERROR(MATCH($A89,$A$15:OFFSET($A89,-1,0),0)),MAX($M$15:OFFSET(M89,-1,0))+1,
                      INDEX($M$15:OFFSET(M89,-1,0),MATCH($A89,$A$15:OFFSET($A89,-1,0),0)))))</f>
        <v>9</v>
      </c>
      <c r="N89" s="168" t="str">
        <f ca="1">IF($D89&lt;&gt;"Serviço","",
         IF(AUTOEVENTO="Manual",
                IF($A89=0,"&lt;-- defina o número do agrupador",
                       OFFSET(EVENTOS!$D$15,$A89-$A$15,0)),
                OFFSET($F$15,$A89,0)))</f>
        <v>INSTALAÇÕES ELÉTRICAS</v>
      </c>
      <c r="O89" s="169"/>
      <c r="Q89" s="169"/>
      <c r="R89" s="170"/>
      <c r="S89" s="170"/>
      <c r="T89" s="170"/>
      <c r="U89" s="170"/>
      <c r="V89" s="170"/>
      <c r="W89" s="170"/>
      <c r="X89" s="170"/>
      <c r="Y89" s="170"/>
      <c r="Z89" s="171"/>
      <c r="AB89" s="454">
        <f ca="1">IF(AND($D89="Serviço",AB$12&lt;&gt;0,$H89&gt;0,OR(AUTOEVENTO&lt;&gt;"manual",$M89&lt;&gt;$A$15)),
        IF(Import.TipoArredondamento&lt;&gt;"TransfereGOV",
              ROUND(OFFSET($P89,0,AB$13),15-13*ORÇAMENTO!$AF$7)/$H89*OFFSET(ORÇAMENTO!$X$15,ROW(AB89)-ROW(AB$15),0),
              ROUND(ROUND(OFFSET($P89,0,AB$13),15-13*ORÇAMENTO!$AF$7)*OFFSET(ORÇAMENTO!$W$15,ROW(AB89)-ROW(AB$15),0),15-13*ORÇAMENTO!$AF$11)),
         0)</f>
        <v>0</v>
      </c>
      <c r="AC89" s="454">
        <f ca="1">IF(AND($D89="Serviço",AC$12&lt;&gt;0,$H89&gt;0,OR(AUTOEVENTO&lt;&gt;"manual",$M89&lt;&gt;$A$15)),
        IF(Import.TipoArredondamento&lt;&gt;"TransfereGOV",
              ROUND(OFFSET($P89,0,AC$13),15-13*ORÇAMENTO!$AF$7)/$H89*OFFSET(ORÇAMENTO!$X$15,ROW(AC89)-ROW(AC$15),0),
              ROUND(ROUND(OFFSET($P89,0,AC$13),15-13*ORÇAMENTO!$AF$7)*OFFSET(ORÇAMENTO!$W$15,ROW(AC89)-ROW(AC$15),0),15-13*ORÇAMENTO!$AF$11)),
         0)</f>
        <v>0</v>
      </c>
      <c r="AD89" s="454">
        <f ca="1">IF(AND($D89="Serviço",AD$12&lt;&gt;0,$H89&gt;0,OR(AUTOEVENTO&lt;&gt;"manual",$M89&lt;&gt;$A$15)),
        IF(Import.TipoArredondamento&lt;&gt;"TransfereGOV",
              ROUND(OFFSET($P89,0,AD$13),15-13*ORÇAMENTO!$AF$7)/$H89*OFFSET(ORÇAMENTO!$X$15,ROW(AD89)-ROW(AD$15),0),
              ROUND(ROUND(OFFSET($P89,0,AD$13),15-13*ORÇAMENTO!$AF$7)*OFFSET(ORÇAMENTO!$W$15,ROW(AD89)-ROW(AD$15),0),15-13*ORÇAMENTO!$AF$11)),
         0)</f>
        <v>0</v>
      </c>
      <c r="AE89" s="454">
        <f ca="1">IF(AND($D89="Serviço",AE$12&lt;&gt;0,$H89&gt;0,OR(AUTOEVENTO&lt;&gt;"manual",$M89&lt;&gt;$A$15)),
        IF(Import.TipoArredondamento&lt;&gt;"TransfereGOV",
              ROUND(OFFSET($P89,0,AE$13),15-13*ORÇAMENTO!$AF$7)/$H89*OFFSET(ORÇAMENTO!$X$15,ROW(AE89)-ROW(AE$15),0),
              ROUND(ROUND(OFFSET($P89,0,AE$13),15-13*ORÇAMENTO!$AF$7)*OFFSET(ORÇAMENTO!$W$15,ROW(AE89)-ROW(AE$15),0),15-13*ORÇAMENTO!$AF$11)),
         0)</f>
        <v>0</v>
      </c>
      <c r="AF89" s="454">
        <f ca="1">IF(AND($D89="Serviço",AF$12&lt;&gt;0,$H89&gt;0,OR(AUTOEVENTO&lt;&gt;"manual",$M89&lt;&gt;$A$15)),
        IF(Import.TipoArredondamento&lt;&gt;"TransfereGOV",
              ROUND(OFFSET($P89,0,AF$13),15-13*ORÇAMENTO!$AF$7)/$H89*OFFSET(ORÇAMENTO!$X$15,ROW(AF89)-ROW(AF$15),0),
              ROUND(ROUND(OFFSET($P89,0,AF$13),15-13*ORÇAMENTO!$AF$7)*OFFSET(ORÇAMENTO!$W$15,ROW(AF89)-ROW(AF$15),0),15-13*ORÇAMENTO!$AF$11)),
         0)</f>
        <v>0</v>
      </c>
      <c r="AG89" s="454">
        <f ca="1">IF(AND($D89="Serviço",AG$12&lt;&gt;0,$H89&gt;0,OR(AUTOEVENTO&lt;&gt;"manual",$M89&lt;&gt;$A$15)),
        IF(Import.TipoArredondamento&lt;&gt;"TransfereGOV",
              ROUND(OFFSET($P89,0,AG$13),15-13*ORÇAMENTO!$AF$7)/$H89*OFFSET(ORÇAMENTO!$X$15,ROW(AG89)-ROW(AG$15),0),
              ROUND(ROUND(OFFSET($P89,0,AG$13),15-13*ORÇAMENTO!$AF$7)*OFFSET(ORÇAMENTO!$W$15,ROW(AG89)-ROW(AG$15),0),15-13*ORÇAMENTO!$AF$11)),
         0)</f>
        <v>0</v>
      </c>
      <c r="AH89" s="454">
        <f ca="1">IF(AND($D89="Serviço",AH$12&lt;&gt;0,$H89&gt;0,OR(AUTOEVENTO&lt;&gt;"manual",$M89&lt;&gt;$A$15)),
        IF(Import.TipoArredondamento&lt;&gt;"TransfereGOV",
              ROUND(OFFSET($P89,0,AH$13),15-13*ORÇAMENTO!$AF$7)/$H89*OFFSET(ORÇAMENTO!$X$15,ROW(AH89)-ROW(AH$15),0),
              ROUND(ROUND(OFFSET($P89,0,AH$13),15-13*ORÇAMENTO!$AF$7)*OFFSET(ORÇAMENTO!$W$15,ROW(AH89)-ROW(AH$15),0),15-13*ORÇAMENTO!$AF$11)),
         0)</f>
        <v>0</v>
      </c>
      <c r="AI89" s="454">
        <f ca="1">IF(AND($D89="Serviço",AI$12&lt;&gt;0,$H89&gt;0,OR(AUTOEVENTO&lt;&gt;"manual",$M89&lt;&gt;$A$15)),
        IF(Import.TipoArredondamento&lt;&gt;"TransfereGOV",
              ROUND(OFFSET($P89,0,AI$13),15-13*ORÇAMENTO!$AF$7)/$H89*OFFSET(ORÇAMENTO!$X$15,ROW(AI89)-ROW(AI$15),0),
              ROUND(ROUND(OFFSET($P89,0,AI$13),15-13*ORÇAMENTO!$AF$7)*OFFSET(ORÇAMENTO!$W$15,ROW(AI89)-ROW(AI$15),0),15-13*ORÇAMENTO!$AF$11)),
         0)</f>
        <v>0</v>
      </c>
      <c r="AJ89" s="454">
        <f ca="1">IF(AND($D89="Serviço",AJ$12&lt;&gt;0,$H89&gt;0,OR(AUTOEVENTO&lt;&gt;"manual",$M89&lt;&gt;$A$15)),
        IF(Import.TipoArredondamento&lt;&gt;"TransfereGOV",
              ROUND(OFFSET($P89,0,AJ$13),15-13*ORÇAMENTO!$AF$7)/$H89*OFFSET(ORÇAMENTO!$X$15,ROW(AJ89)-ROW(AJ$15),0),
              ROUND(ROUND(OFFSET($P89,0,AJ$13),15-13*ORÇAMENTO!$AF$7)*OFFSET(ORÇAMENTO!$W$15,ROW(AJ89)-ROW(AJ$15),0),15-13*ORÇAMENTO!$AF$11)),
         0)</f>
        <v>0</v>
      </c>
      <c r="AK89" s="454">
        <f ca="1">IF(AND($D89="Serviço",AK$12&lt;&gt;0,$H89&gt;0,OR(AUTOEVENTO&lt;&gt;"manual",$M89&lt;&gt;$A$15)),
        IF(Import.TipoArredondamento&lt;&gt;"TransfereGOV",
              ROUND(OFFSET($P89,0,AK$13),15-13*ORÇAMENTO!$AF$7)/$H89*OFFSET(ORÇAMENTO!$X$15,ROW(AK89)-ROW(AK$15),0),
              ROUND(ROUND(OFFSET($P89,0,AK$13),15-13*ORÇAMENTO!$AF$7)*OFFSET(ORÇAMENTO!$W$15,ROW(AK89)-ROW(AK$15),0),15-13*ORÇAMENTO!$AF$11)),
         0)</f>
        <v>0</v>
      </c>
      <c r="AM89" s="172">
        <f ca="1">IF(OR($D89&lt;&gt;"Serviço",AND(AUTOEVENTO="Manual",$M89=$A$15)),0,
         IF(OFFSET(CRONOPLE!$F$15,$M89-$A$15,AM$13)="",10^12,OFFSET(CRONOPLE!$F$15,$M89-$A$15,AM$13)))</f>
        <v>1000000000000</v>
      </c>
      <c r="AN89" s="172">
        <f ca="1">IF(OR($D89&lt;&gt;"Serviço",AND(AUTOEVENTO="Manual",$M89=$A$15)),0,
         IF(OFFSET(CRONOPLE!$F$15,$M89-$A$15,AN$13)="",10^12,OFFSET(CRONOPLE!$F$15,$M89-$A$15,AN$13)))</f>
        <v>1000000000000</v>
      </c>
      <c r="AO89" s="172">
        <f ca="1">IF(OR($D89&lt;&gt;"Serviço",AND(AUTOEVENTO="Manual",$M89=$A$15)),0,
         IF(OFFSET(CRONOPLE!$F$15,$M89-$A$15,AO$13)="",10^12,OFFSET(CRONOPLE!$F$15,$M89-$A$15,AO$13)))</f>
        <v>1000000000000</v>
      </c>
      <c r="AP89" s="172">
        <f ca="1">IF(OR($D89&lt;&gt;"Serviço",AND(AUTOEVENTO="Manual",$M89=$A$15)),0,
         IF(OFFSET(CRONOPLE!$F$15,$M89-$A$15,AP$13)="",10^12,OFFSET(CRONOPLE!$F$15,$M89-$A$15,AP$13)))</f>
        <v>1000000000000</v>
      </c>
      <c r="AQ89" s="172">
        <f ca="1">IF(OR($D89&lt;&gt;"Serviço",AND(AUTOEVENTO="Manual",$M89=$A$15)),0,
         IF(OFFSET(CRONOPLE!$F$15,$M89-$A$15,AQ$13)="",10^12,OFFSET(CRONOPLE!$F$15,$M89-$A$15,AQ$13)))</f>
        <v>1000000000000</v>
      </c>
      <c r="AR89" s="172">
        <f ca="1">IF(OR($D89&lt;&gt;"Serviço",AND(AUTOEVENTO="Manual",$M89=$A$15)),0,
         IF(OFFSET(CRONOPLE!$F$15,$M89-$A$15,AR$13)="",10^12,OFFSET(CRONOPLE!$F$15,$M89-$A$15,AR$13)))</f>
        <v>1000000000000</v>
      </c>
      <c r="AS89" s="172">
        <f ca="1">IF(OR($D89&lt;&gt;"Serviço",AND(AUTOEVENTO="Manual",$M89=$A$15)),0,
         IF(OFFSET(CRONOPLE!$F$15,$M89-$A$15,AS$13)="",10^12,OFFSET(CRONOPLE!$F$15,$M89-$A$15,AS$13)))</f>
        <v>1000000000000</v>
      </c>
      <c r="AT89" s="172">
        <f ca="1">IF(OR($D89&lt;&gt;"Serviço",AND(AUTOEVENTO="Manual",$M89=$A$15)),0,
         IF(OFFSET(CRONOPLE!$F$15,$M89-$A$15,AT$13)="",10^12,OFFSET(CRONOPLE!$F$15,$M89-$A$15,AT$13)))</f>
        <v>1000000000000</v>
      </c>
      <c r="AU89" s="172">
        <f ca="1">IF(OR($D89&lt;&gt;"Serviço",AND(AUTOEVENTO="Manual",$M89=$A$15)),0,
         IF(OFFSET(CRONOPLE!$F$15,$M89-$A$15,AU$13)="",10^12,OFFSET(CRONOPLE!$F$15,$M89-$A$15,AU$13)))</f>
        <v>1000000000000</v>
      </c>
      <c r="AV89" s="172">
        <f ca="1">IF(OR($D89&lt;&gt;"Serviço",AND(AUTOEVENTO="Manual",$M89=$A$15)),0,
         IF(OFFSET(CRONOPLE!$F$15,$M89-$A$15,AV$13)="",10^12,OFFSET(CRONOPLE!$F$15,$M89-$A$15,AV$13)))</f>
        <v>1000000000000</v>
      </c>
      <c r="AX89" s="173">
        <f ca="1">IF(OR($D89&lt;&gt;"Serviço",AND(AUTOEVENTO="Manual",$M89=$A$15),$M89&gt;(ROW(PLE.lastrow)-ROW(PLE.firstrow))),0,
           IF(OFFSET(PLE!$G$15,$M89-$A$15,AX$13)="",10^12,OFFSET(PLE!$G$15,$M89-$A$15,AX$13)))</f>
        <v>1000000000000</v>
      </c>
      <c r="AY89" s="173">
        <f ca="1">IF(OR($D89&lt;&gt;"Serviço",AND(AUTOEVENTO="Manual",$M89=$A$15),$M89&gt;(ROW(PLE.lastrow)-ROW(PLE.firstrow))),0,
           IF(OFFSET(PLE!$G$15,$M89-$A$15,AY$13)="",10^12,OFFSET(PLE!$G$15,$M89-$A$15,AY$13)))</f>
        <v>1000000000000</v>
      </c>
      <c r="AZ89" s="173">
        <f ca="1">IF(OR($D89&lt;&gt;"Serviço",AND(AUTOEVENTO="Manual",$M89=$A$15),$M89&gt;(ROW(PLE.lastrow)-ROW(PLE.firstrow))),0,
           IF(OFFSET(PLE!$G$15,$M89-$A$15,AZ$13)="",10^12,OFFSET(PLE!$G$15,$M89-$A$15,AZ$13)))</f>
        <v>1000000000000</v>
      </c>
      <c r="BA89" s="173">
        <f ca="1">IF(OR($D89&lt;&gt;"Serviço",AND(AUTOEVENTO="Manual",$M89=$A$15),$M89&gt;(ROW(PLE.lastrow)-ROW(PLE.firstrow))),0,
           IF(OFFSET(PLE!$G$15,$M89-$A$15,BA$13)="",10^12,OFFSET(PLE!$G$15,$M89-$A$15,BA$13)))</f>
        <v>1000000000000</v>
      </c>
      <c r="BB89" s="173">
        <f ca="1">IF(OR($D89&lt;&gt;"Serviço",AND(AUTOEVENTO="Manual",$M89=$A$15),$M89&gt;(ROW(PLE.lastrow)-ROW(PLE.firstrow))),0,
           IF(OFFSET(PLE!$G$15,$M89-$A$15,BB$13)="",10^12,OFFSET(PLE!$G$15,$M89-$A$15,BB$13)))</f>
        <v>1000000000000</v>
      </c>
      <c r="BC89" s="173">
        <f ca="1">IF(OR($D89&lt;&gt;"Serviço",AND(AUTOEVENTO="Manual",$M89=$A$15),$M89&gt;(ROW(PLE.lastrow)-ROW(PLE.firstrow))),0,
           IF(OFFSET(PLE!$G$15,$M89-$A$15,BC$13)="",10^12,OFFSET(PLE!$G$15,$M89-$A$15,BC$13)))</f>
        <v>1000000000000</v>
      </c>
      <c r="BD89" s="173">
        <f ca="1">IF(OR($D89&lt;&gt;"Serviço",AND(AUTOEVENTO="Manual",$M89=$A$15),$M89&gt;(ROW(PLE.lastrow)-ROW(PLE.firstrow))),0,
           IF(OFFSET(PLE!$G$15,$M89-$A$15,BD$13)="",10^12,OFFSET(PLE!$G$15,$M89-$A$15,BD$13)))</f>
        <v>1000000000000</v>
      </c>
      <c r="BE89" s="173">
        <f ca="1">IF(OR($D89&lt;&gt;"Serviço",AND(AUTOEVENTO="Manual",$M89=$A$15),$M89&gt;(ROW(PLE.lastrow)-ROW(PLE.firstrow))),0,
           IF(OFFSET(PLE!$G$15,$M89-$A$15,BE$13)="",10^12,OFFSET(PLE!$G$15,$M89-$A$15,BE$13)))</f>
        <v>1000000000000</v>
      </c>
      <c r="BF89" s="173">
        <f ca="1">IF(OR($D89&lt;&gt;"Serviço",AND(AUTOEVENTO="Manual",$M89=$A$15),$M89&gt;(ROW(PLE.lastrow)-ROW(PLE.firstrow))),0,
           IF(OFFSET(PLE!$G$15,$M89-$A$15,BF$13)="",10^12,OFFSET(PLE!$G$15,$M89-$A$15,BF$13)))</f>
        <v>1000000000000</v>
      </c>
      <c r="BG89" s="173">
        <f ca="1">IF(OR($D89&lt;&gt;"Serviço",AND(AUTOEVENTO="Manual",$M89=$A$15),$M89&gt;(ROW(PLE.lastrow)-ROW(PLE.firstrow))),0,
           IF(OFFSET(PLE!$G$15,$M89-$A$15,BG$13)="",10^12,OFFSET(PLE!$G$15,$M89-$A$15,BG$13)))</f>
        <v>1000000000000</v>
      </c>
    </row>
    <row r="90" spans="1:59" ht="25.5" x14ac:dyDescent="0.2">
      <c r="A90" s="7" t="str">
        <f t="shared" ca="1" si="9"/>
        <v>39</v>
      </c>
      <c r="B90" s="7" t="str">
        <f ca="1">OFFSET(ORÇAMENTO!C$15,ROW(B90)-ROW(B$15),0)</f>
        <v>S</v>
      </c>
      <c r="C90" s="7" t="str">
        <f ca="1">OFFSET(ORÇAMENTO!L$15,ROW(C90)-ROW(C$15),0)</f>
        <v/>
      </c>
      <c r="D90" s="117" t="str">
        <f ca="1">OFFSET(ORÇAMENTO!N$15,ROW(D90)-ROW(D$15),0)</f>
        <v>Serviço</v>
      </c>
      <c r="E90" s="118" t="str">
        <f ca="1">OFFSET(ORÇAMENTO!O$15,ROW(E90)-ROW(E$15),0)</f>
        <v>-</v>
      </c>
      <c r="F90" s="164" t="str">
        <f ca="1">OFFSET(ORÇAMENTO!R$15,ROW(F90)-ROW(F$15),0)</f>
        <v>LUMINÁRIA LED QUADRADA, DE SOBREPOR, 25 W - FORNECIMENTO E INSTALAÇÃO</v>
      </c>
      <c r="G90" s="165" t="str">
        <f ca="1">IF($D90&lt;&gt;"Serviço","",OFFSET(ORÇAMENTO!S$15,ROW(G90)-ROW(G$15),0))</f>
        <v xml:space="preserve">UN    </v>
      </c>
      <c r="H90" s="123">
        <f ca="1">IF($D90&lt;&gt;"Serviço",0,IF(ACOMPANHAMENTO="BM",ROUND(OFFSET(ORÇAMENTO!AJ$15,ROW(H90)-ROW(H$15),0),15-13*ORÇAMENTO!$AF$7),SUMPRODUCT(($Q$1:$AA$1=1)*ROUND($Q90:$AA90,15-13*ORÇAMENTO!$AF$7))))</f>
        <v>166</v>
      </c>
      <c r="I90" s="469"/>
      <c r="J90" s="577" t="str" cm="1">
        <f t="array" aca="1" ref="J90" ca="1">IF(B90&lt;&gt;"S","",IF(AND(ACOMPANHAMENTO="PLE",AUTOEVENTO="Manual",OR(H90&gt;0,ORÇAMENTO!AC90="QUANT."),OR(K90="",M90=0,N90="")),"►",IF(AND(ACOMPANHAMENTO="PLE",ORÇAMENTO!AC90="QUANT."),"►►",IF(AND(COUNTIF($P$11:$AA$11,"▼")=0,H90&gt;0,I90=""),"◄",""))))</f>
        <v>◄</v>
      </c>
      <c r="K90" s="626"/>
      <c r="L90" s="166" t="s">
        <v>765</v>
      </c>
      <c r="M90" s="167">
        <f ca="1">IF($D90&lt;&gt;"Serviço","",
          IF(AUTOEVENTO="manual",$A90,
                IF(ISERROR(MATCH($A90,$A$15:OFFSET($A90,-1,0),0)),MAX($M$15:OFFSET(M90,-1,0))+1,
                      INDEX($M$15:OFFSET(M90,-1,0),MATCH($A90,$A$15:OFFSET($A90,-1,0),0)))))</f>
        <v>9</v>
      </c>
      <c r="N90" s="168" t="str">
        <f ca="1">IF($D90&lt;&gt;"Serviço","",
         IF(AUTOEVENTO="Manual",
                IF($A90=0,"&lt;-- defina o número do agrupador",
                       OFFSET(EVENTOS!$D$15,$A90-$A$15,0)),
                OFFSET($F$15,$A90,0)))</f>
        <v>INSTALAÇÕES ELÉTRICAS</v>
      </c>
      <c r="O90" s="169"/>
      <c r="Q90" s="169"/>
      <c r="R90" s="170"/>
      <c r="S90" s="170"/>
      <c r="T90" s="170"/>
      <c r="U90" s="170"/>
      <c r="V90" s="170"/>
      <c r="W90" s="170"/>
      <c r="X90" s="170"/>
      <c r="Y90" s="170"/>
      <c r="Z90" s="171"/>
      <c r="AB90" s="454">
        <f ca="1">IF(AND($D90="Serviço",AB$12&lt;&gt;0,$H90&gt;0,OR(AUTOEVENTO&lt;&gt;"manual",$M90&lt;&gt;$A$15)),
        IF(Import.TipoArredondamento&lt;&gt;"TransfereGOV",
              ROUND(OFFSET($P90,0,AB$13),15-13*ORÇAMENTO!$AF$7)/$H90*OFFSET(ORÇAMENTO!$X$15,ROW(AB90)-ROW(AB$15),0),
              ROUND(ROUND(OFFSET($P90,0,AB$13),15-13*ORÇAMENTO!$AF$7)*OFFSET(ORÇAMENTO!$W$15,ROW(AB90)-ROW(AB$15),0),15-13*ORÇAMENTO!$AF$11)),
         0)</f>
        <v>0</v>
      </c>
      <c r="AC90" s="454">
        <f ca="1">IF(AND($D90="Serviço",AC$12&lt;&gt;0,$H90&gt;0,OR(AUTOEVENTO&lt;&gt;"manual",$M90&lt;&gt;$A$15)),
        IF(Import.TipoArredondamento&lt;&gt;"TransfereGOV",
              ROUND(OFFSET($P90,0,AC$13),15-13*ORÇAMENTO!$AF$7)/$H90*OFFSET(ORÇAMENTO!$X$15,ROW(AC90)-ROW(AC$15),0),
              ROUND(ROUND(OFFSET($P90,0,AC$13),15-13*ORÇAMENTO!$AF$7)*OFFSET(ORÇAMENTO!$W$15,ROW(AC90)-ROW(AC$15),0),15-13*ORÇAMENTO!$AF$11)),
         0)</f>
        <v>0</v>
      </c>
      <c r="AD90" s="454">
        <f ca="1">IF(AND($D90="Serviço",AD$12&lt;&gt;0,$H90&gt;0,OR(AUTOEVENTO&lt;&gt;"manual",$M90&lt;&gt;$A$15)),
        IF(Import.TipoArredondamento&lt;&gt;"TransfereGOV",
              ROUND(OFFSET($P90,0,AD$13),15-13*ORÇAMENTO!$AF$7)/$H90*OFFSET(ORÇAMENTO!$X$15,ROW(AD90)-ROW(AD$15),0),
              ROUND(ROUND(OFFSET($P90,0,AD$13),15-13*ORÇAMENTO!$AF$7)*OFFSET(ORÇAMENTO!$W$15,ROW(AD90)-ROW(AD$15),0),15-13*ORÇAMENTO!$AF$11)),
         0)</f>
        <v>0</v>
      </c>
      <c r="AE90" s="454">
        <f ca="1">IF(AND($D90="Serviço",AE$12&lt;&gt;0,$H90&gt;0,OR(AUTOEVENTO&lt;&gt;"manual",$M90&lt;&gt;$A$15)),
        IF(Import.TipoArredondamento&lt;&gt;"TransfereGOV",
              ROUND(OFFSET($P90,0,AE$13),15-13*ORÇAMENTO!$AF$7)/$H90*OFFSET(ORÇAMENTO!$X$15,ROW(AE90)-ROW(AE$15),0),
              ROUND(ROUND(OFFSET($P90,0,AE$13),15-13*ORÇAMENTO!$AF$7)*OFFSET(ORÇAMENTO!$W$15,ROW(AE90)-ROW(AE$15),0),15-13*ORÇAMENTO!$AF$11)),
         0)</f>
        <v>0</v>
      </c>
      <c r="AF90" s="454">
        <f ca="1">IF(AND($D90="Serviço",AF$12&lt;&gt;0,$H90&gt;0,OR(AUTOEVENTO&lt;&gt;"manual",$M90&lt;&gt;$A$15)),
        IF(Import.TipoArredondamento&lt;&gt;"TransfereGOV",
              ROUND(OFFSET($P90,0,AF$13),15-13*ORÇAMENTO!$AF$7)/$H90*OFFSET(ORÇAMENTO!$X$15,ROW(AF90)-ROW(AF$15),0),
              ROUND(ROUND(OFFSET($P90,0,AF$13),15-13*ORÇAMENTO!$AF$7)*OFFSET(ORÇAMENTO!$W$15,ROW(AF90)-ROW(AF$15),0),15-13*ORÇAMENTO!$AF$11)),
         0)</f>
        <v>0</v>
      </c>
      <c r="AG90" s="454">
        <f ca="1">IF(AND($D90="Serviço",AG$12&lt;&gt;0,$H90&gt;0,OR(AUTOEVENTO&lt;&gt;"manual",$M90&lt;&gt;$A$15)),
        IF(Import.TipoArredondamento&lt;&gt;"TransfereGOV",
              ROUND(OFFSET($P90,0,AG$13),15-13*ORÇAMENTO!$AF$7)/$H90*OFFSET(ORÇAMENTO!$X$15,ROW(AG90)-ROW(AG$15),0),
              ROUND(ROUND(OFFSET($P90,0,AG$13),15-13*ORÇAMENTO!$AF$7)*OFFSET(ORÇAMENTO!$W$15,ROW(AG90)-ROW(AG$15),0),15-13*ORÇAMENTO!$AF$11)),
         0)</f>
        <v>0</v>
      </c>
      <c r="AH90" s="454">
        <f ca="1">IF(AND($D90="Serviço",AH$12&lt;&gt;0,$H90&gt;0,OR(AUTOEVENTO&lt;&gt;"manual",$M90&lt;&gt;$A$15)),
        IF(Import.TipoArredondamento&lt;&gt;"TransfereGOV",
              ROUND(OFFSET($P90,0,AH$13),15-13*ORÇAMENTO!$AF$7)/$H90*OFFSET(ORÇAMENTO!$X$15,ROW(AH90)-ROW(AH$15),0),
              ROUND(ROUND(OFFSET($P90,0,AH$13),15-13*ORÇAMENTO!$AF$7)*OFFSET(ORÇAMENTO!$W$15,ROW(AH90)-ROW(AH$15),0),15-13*ORÇAMENTO!$AF$11)),
         0)</f>
        <v>0</v>
      </c>
      <c r="AI90" s="454">
        <f ca="1">IF(AND($D90="Serviço",AI$12&lt;&gt;0,$H90&gt;0,OR(AUTOEVENTO&lt;&gt;"manual",$M90&lt;&gt;$A$15)),
        IF(Import.TipoArredondamento&lt;&gt;"TransfereGOV",
              ROUND(OFFSET($P90,0,AI$13),15-13*ORÇAMENTO!$AF$7)/$H90*OFFSET(ORÇAMENTO!$X$15,ROW(AI90)-ROW(AI$15),0),
              ROUND(ROUND(OFFSET($P90,0,AI$13),15-13*ORÇAMENTO!$AF$7)*OFFSET(ORÇAMENTO!$W$15,ROW(AI90)-ROW(AI$15),0),15-13*ORÇAMENTO!$AF$11)),
         0)</f>
        <v>0</v>
      </c>
      <c r="AJ90" s="454">
        <f ca="1">IF(AND($D90="Serviço",AJ$12&lt;&gt;0,$H90&gt;0,OR(AUTOEVENTO&lt;&gt;"manual",$M90&lt;&gt;$A$15)),
        IF(Import.TipoArredondamento&lt;&gt;"TransfereGOV",
              ROUND(OFFSET($P90,0,AJ$13),15-13*ORÇAMENTO!$AF$7)/$H90*OFFSET(ORÇAMENTO!$X$15,ROW(AJ90)-ROW(AJ$15),0),
              ROUND(ROUND(OFFSET($P90,0,AJ$13),15-13*ORÇAMENTO!$AF$7)*OFFSET(ORÇAMENTO!$W$15,ROW(AJ90)-ROW(AJ$15),0),15-13*ORÇAMENTO!$AF$11)),
         0)</f>
        <v>0</v>
      </c>
      <c r="AK90" s="454">
        <f ca="1">IF(AND($D90="Serviço",AK$12&lt;&gt;0,$H90&gt;0,OR(AUTOEVENTO&lt;&gt;"manual",$M90&lt;&gt;$A$15)),
        IF(Import.TipoArredondamento&lt;&gt;"TransfereGOV",
              ROUND(OFFSET($P90,0,AK$13),15-13*ORÇAMENTO!$AF$7)/$H90*OFFSET(ORÇAMENTO!$X$15,ROW(AK90)-ROW(AK$15),0),
              ROUND(ROUND(OFFSET($P90,0,AK$13),15-13*ORÇAMENTO!$AF$7)*OFFSET(ORÇAMENTO!$W$15,ROW(AK90)-ROW(AK$15),0),15-13*ORÇAMENTO!$AF$11)),
         0)</f>
        <v>0</v>
      </c>
      <c r="AM90" s="172">
        <f ca="1">IF(OR($D90&lt;&gt;"Serviço",AND(AUTOEVENTO="Manual",$M90=$A$15)),0,
         IF(OFFSET(CRONOPLE!$F$15,$M90-$A$15,AM$13)="",10^12,OFFSET(CRONOPLE!$F$15,$M90-$A$15,AM$13)))</f>
        <v>1000000000000</v>
      </c>
      <c r="AN90" s="172">
        <f ca="1">IF(OR($D90&lt;&gt;"Serviço",AND(AUTOEVENTO="Manual",$M90=$A$15)),0,
         IF(OFFSET(CRONOPLE!$F$15,$M90-$A$15,AN$13)="",10^12,OFFSET(CRONOPLE!$F$15,$M90-$A$15,AN$13)))</f>
        <v>1000000000000</v>
      </c>
      <c r="AO90" s="172">
        <f ca="1">IF(OR($D90&lt;&gt;"Serviço",AND(AUTOEVENTO="Manual",$M90=$A$15)),0,
         IF(OFFSET(CRONOPLE!$F$15,$M90-$A$15,AO$13)="",10^12,OFFSET(CRONOPLE!$F$15,$M90-$A$15,AO$13)))</f>
        <v>1000000000000</v>
      </c>
      <c r="AP90" s="172">
        <f ca="1">IF(OR($D90&lt;&gt;"Serviço",AND(AUTOEVENTO="Manual",$M90=$A$15)),0,
         IF(OFFSET(CRONOPLE!$F$15,$M90-$A$15,AP$13)="",10^12,OFFSET(CRONOPLE!$F$15,$M90-$A$15,AP$13)))</f>
        <v>1000000000000</v>
      </c>
      <c r="AQ90" s="172">
        <f ca="1">IF(OR($D90&lt;&gt;"Serviço",AND(AUTOEVENTO="Manual",$M90=$A$15)),0,
         IF(OFFSET(CRONOPLE!$F$15,$M90-$A$15,AQ$13)="",10^12,OFFSET(CRONOPLE!$F$15,$M90-$A$15,AQ$13)))</f>
        <v>1000000000000</v>
      </c>
      <c r="AR90" s="172">
        <f ca="1">IF(OR($D90&lt;&gt;"Serviço",AND(AUTOEVENTO="Manual",$M90=$A$15)),0,
         IF(OFFSET(CRONOPLE!$F$15,$M90-$A$15,AR$13)="",10^12,OFFSET(CRONOPLE!$F$15,$M90-$A$15,AR$13)))</f>
        <v>1000000000000</v>
      </c>
      <c r="AS90" s="172">
        <f ca="1">IF(OR($D90&lt;&gt;"Serviço",AND(AUTOEVENTO="Manual",$M90=$A$15)),0,
         IF(OFFSET(CRONOPLE!$F$15,$M90-$A$15,AS$13)="",10^12,OFFSET(CRONOPLE!$F$15,$M90-$A$15,AS$13)))</f>
        <v>1000000000000</v>
      </c>
      <c r="AT90" s="172">
        <f ca="1">IF(OR($D90&lt;&gt;"Serviço",AND(AUTOEVENTO="Manual",$M90=$A$15)),0,
         IF(OFFSET(CRONOPLE!$F$15,$M90-$A$15,AT$13)="",10^12,OFFSET(CRONOPLE!$F$15,$M90-$A$15,AT$13)))</f>
        <v>1000000000000</v>
      </c>
      <c r="AU90" s="172">
        <f ca="1">IF(OR($D90&lt;&gt;"Serviço",AND(AUTOEVENTO="Manual",$M90=$A$15)),0,
         IF(OFFSET(CRONOPLE!$F$15,$M90-$A$15,AU$13)="",10^12,OFFSET(CRONOPLE!$F$15,$M90-$A$15,AU$13)))</f>
        <v>1000000000000</v>
      </c>
      <c r="AV90" s="172">
        <f ca="1">IF(OR($D90&lt;&gt;"Serviço",AND(AUTOEVENTO="Manual",$M90=$A$15)),0,
         IF(OFFSET(CRONOPLE!$F$15,$M90-$A$15,AV$13)="",10^12,OFFSET(CRONOPLE!$F$15,$M90-$A$15,AV$13)))</f>
        <v>1000000000000</v>
      </c>
      <c r="AX90" s="173">
        <f ca="1">IF(OR($D90&lt;&gt;"Serviço",AND(AUTOEVENTO="Manual",$M90=$A$15),$M90&gt;(ROW(PLE.lastrow)-ROW(PLE.firstrow))),0,
           IF(OFFSET(PLE!$G$15,$M90-$A$15,AX$13)="",10^12,OFFSET(PLE!$G$15,$M90-$A$15,AX$13)))</f>
        <v>1000000000000</v>
      </c>
      <c r="AY90" s="173">
        <f ca="1">IF(OR($D90&lt;&gt;"Serviço",AND(AUTOEVENTO="Manual",$M90=$A$15),$M90&gt;(ROW(PLE.lastrow)-ROW(PLE.firstrow))),0,
           IF(OFFSET(PLE!$G$15,$M90-$A$15,AY$13)="",10^12,OFFSET(PLE!$G$15,$M90-$A$15,AY$13)))</f>
        <v>1000000000000</v>
      </c>
      <c r="AZ90" s="173">
        <f ca="1">IF(OR($D90&lt;&gt;"Serviço",AND(AUTOEVENTO="Manual",$M90=$A$15),$M90&gt;(ROW(PLE.lastrow)-ROW(PLE.firstrow))),0,
           IF(OFFSET(PLE!$G$15,$M90-$A$15,AZ$13)="",10^12,OFFSET(PLE!$G$15,$M90-$A$15,AZ$13)))</f>
        <v>1000000000000</v>
      </c>
      <c r="BA90" s="173">
        <f ca="1">IF(OR($D90&lt;&gt;"Serviço",AND(AUTOEVENTO="Manual",$M90=$A$15),$M90&gt;(ROW(PLE.lastrow)-ROW(PLE.firstrow))),0,
           IF(OFFSET(PLE!$G$15,$M90-$A$15,BA$13)="",10^12,OFFSET(PLE!$G$15,$M90-$A$15,BA$13)))</f>
        <v>1000000000000</v>
      </c>
      <c r="BB90" s="173">
        <f ca="1">IF(OR($D90&lt;&gt;"Serviço",AND(AUTOEVENTO="Manual",$M90=$A$15),$M90&gt;(ROW(PLE.lastrow)-ROW(PLE.firstrow))),0,
           IF(OFFSET(PLE!$G$15,$M90-$A$15,BB$13)="",10^12,OFFSET(PLE!$G$15,$M90-$A$15,BB$13)))</f>
        <v>1000000000000</v>
      </c>
      <c r="BC90" s="173">
        <f ca="1">IF(OR($D90&lt;&gt;"Serviço",AND(AUTOEVENTO="Manual",$M90=$A$15),$M90&gt;(ROW(PLE.lastrow)-ROW(PLE.firstrow))),0,
           IF(OFFSET(PLE!$G$15,$M90-$A$15,BC$13)="",10^12,OFFSET(PLE!$G$15,$M90-$A$15,BC$13)))</f>
        <v>1000000000000</v>
      </c>
      <c r="BD90" s="173">
        <f ca="1">IF(OR($D90&lt;&gt;"Serviço",AND(AUTOEVENTO="Manual",$M90=$A$15),$M90&gt;(ROW(PLE.lastrow)-ROW(PLE.firstrow))),0,
           IF(OFFSET(PLE!$G$15,$M90-$A$15,BD$13)="",10^12,OFFSET(PLE!$G$15,$M90-$A$15,BD$13)))</f>
        <v>1000000000000</v>
      </c>
      <c r="BE90" s="173">
        <f ca="1">IF(OR($D90&lt;&gt;"Serviço",AND(AUTOEVENTO="Manual",$M90=$A$15),$M90&gt;(ROW(PLE.lastrow)-ROW(PLE.firstrow))),0,
           IF(OFFSET(PLE!$G$15,$M90-$A$15,BE$13)="",10^12,OFFSET(PLE!$G$15,$M90-$A$15,BE$13)))</f>
        <v>1000000000000</v>
      </c>
      <c r="BF90" s="173">
        <f ca="1">IF(OR($D90&lt;&gt;"Serviço",AND(AUTOEVENTO="Manual",$M90=$A$15),$M90&gt;(ROW(PLE.lastrow)-ROW(PLE.firstrow))),0,
           IF(OFFSET(PLE!$G$15,$M90-$A$15,BF$13)="",10^12,OFFSET(PLE!$G$15,$M90-$A$15,BF$13)))</f>
        <v>1000000000000</v>
      </c>
      <c r="BG90" s="173">
        <f ca="1">IF(OR($D90&lt;&gt;"Serviço",AND(AUTOEVENTO="Manual",$M90=$A$15),$M90&gt;(ROW(PLE.lastrow)-ROW(PLE.firstrow))),0,
           IF(OFFSET(PLE!$G$15,$M90-$A$15,BG$13)="",10^12,OFFSET(PLE!$G$15,$M90-$A$15,BG$13)))</f>
        <v>1000000000000</v>
      </c>
    </row>
    <row r="91" spans="1:59" ht="25.5" x14ac:dyDescent="0.2">
      <c r="A91" s="7" t="str">
        <f t="shared" ca="1" si="9"/>
        <v>39</v>
      </c>
      <c r="B91" s="7" t="str">
        <f ca="1">OFFSET(ORÇAMENTO!C$15,ROW(B91)-ROW(B$15),0)</f>
        <v>S</v>
      </c>
      <c r="C91" s="7" t="str">
        <f ca="1">OFFSET(ORÇAMENTO!L$15,ROW(C91)-ROW(C$15),0)</f>
        <v/>
      </c>
      <c r="D91" s="117" t="str">
        <f ca="1">OFFSET(ORÇAMENTO!N$15,ROW(D91)-ROW(D$15),0)</f>
        <v>Serviço</v>
      </c>
      <c r="E91" s="118" t="str">
        <f ca="1">OFFSET(ORÇAMENTO!O$15,ROW(E91)-ROW(E$15),0)</f>
        <v>-</v>
      </c>
      <c r="F91" s="164" t="str">
        <f ca="1">OFFSET(ORÇAMENTO!R$15,ROW(F91)-ROW(F$15),0)</f>
        <v>LUMINÁRIA LED QUADRADA, DE SOBREPOR, 15 W - FORNECIMENTO E INSTALAÇÃO</v>
      </c>
      <c r="G91" s="165" t="str">
        <f ca="1">IF($D91&lt;&gt;"Serviço","",OFFSET(ORÇAMENTO!S$15,ROW(G91)-ROW(G$15),0))</f>
        <v xml:space="preserve">UN    </v>
      </c>
      <c r="H91" s="123">
        <f ca="1">IF($D91&lt;&gt;"Serviço",0,IF(ACOMPANHAMENTO="BM",ROUND(OFFSET(ORÇAMENTO!AJ$15,ROW(H91)-ROW(H$15),0),15-13*ORÇAMENTO!$AF$7),SUMPRODUCT(($Q$1:$AA$1=1)*ROUND($Q91:$AA91,15-13*ORÇAMENTO!$AF$7))))</f>
        <v>2</v>
      </c>
      <c r="I91" s="469"/>
      <c r="J91" s="577" t="str" cm="1">
        <f t="array" aca="1" ref="J91" ca="1">IF(B91&lt;&gt;"S","",IF(AND(ACOMPANHAMENTO="PLE",AUTOEVENTO="Manual",OR(H91&gt;0,ORÇAMENTO!AC91="QUANT."),OR(K91="",M91=0,N91="")),"►",IF(AND(ACOMPANHAMENTO="PLE",ORÇAMENTO!AC91="QUANT."),"►►",IF(AND(COUNTIF($P$11:$AA$11,"▼")=0,H91&gt;0,I91=""),"◄",""))))</f>
        <v>◄</v>
      </c>
      <c r="K91" s="626"/>
      <c r="L91" s="166" t="s">
        <v>765</v>
      </c>
      <c r="M91" s="167">
        <f ca="1">IF($D91&lt;&gt;"Serviço","",
          IF(AUTOEVENTO="manual",$A91,
                IF(ISERROR(MATCH($A91,$A$15:OFFSET($A91,-1,0),0)),MAX($M$15:OFFSET(M91,-1,0))+1,
                      INDEX($M$15:OFFSET(M91,-1,0),MATCH($A91,$A$15:OFFSET($A91,-1,0),0)))))</f>
        <v>9</v>
      </c>
      <c r="N91" s="168" t="str">
        <f ca="1">IF($D91&lt;&gt;"Serviço","",
         IF(AUTOEVENTO="Manual",
                IF($A91=0,"&lt;-- defina o número do agrupador",
                       OFFSET(EVENTOS!$D$15,$A91-$A$15,0)),
                OFFSET($F$15,$A91,0)))</f>
        <v>INSTALAÇÕES ELÉTRICAS</v>
      </c>
      <c r="O91" s="169"/>
      <c r="Q91" s="169"/>
      <c r="R91" s="170"/>
      <c r="S91" s="170"/>
      <c r="T91" s="170"/>
      <c r="U91" s="170"/>
      <c r="V91" s="170"/>
      <c r="W91" s="170"/>
      <c r="X91" s="170"/>
      <c r="Y91" s="170"/>
      <c r="Z91" s="171"/>
      <c r="AB91" s="454">
        <f ca="1">IF(AND($D91="Serviço",AB$12&lt;&gt;0,$H91&gt;0,OR(AUTOEVENTO&lt;&gt;"manual",$M91&lt;&gt;$A$15)),
        IF(Import.TipoArredondamento&lt;&gt;"TransfereGOV",
              ROUND(OFFSET($P91,0,AB$13),15-13*ORÇAMENTO!$AF$7)/$H91*OFFSET(ORÇAMENTO!$X$15,ROW(AB91)-ROW(AB$15),0),
              ROUND(ROUND(OFFSET($P91,0,AB$13),15-13*ORÇAMENTO!$AF$7)*OFFSET(ORÇAMENTO!$W$15,ROW(AB91)-ROW(AB$15),0),15-13*ORÇAMENTO!$AF$11)),
         0)</f>
        <v>0</v>
      </c>
      <c r="AC91" s="454">
        <f ca="1">IF(AND($D91="Serviço",AC$12&lt;&gt;0,$H91&gt;0,OR(AUTOEVENTO&lt;&gt;"manual",$M91&lt;&gt;$A$15)),
        IF(Import.TipoArredondamento&lt;&gt;"TransfereGOV",
              ROUND(OFFSET($P91,0,AC$13),15-13*ORÇAMENTO!$AF$7)/$H91*OFFSET(ORÇAMENTO!$X$15,ROW(AC91)-ROW(AC$15),0),
              ROUND(ROUND(OFFSET($P91,0,AC$13),15-13*ORÇAMENTO!$AF$7)*OFFSET(ORÇAMENTO!$W$15,ROW(AC91)-ROW(AC$15),0),15-13*ORÇAMENTO!$AF$11)),
         0)</f>
        <v>0</v>
      </c>
      <c r="AD91" s="454">
        <f ca="1">IF(AND($D91="Serviço",AD$12&lt;&gt;0,$H91&gt;0,OR(AUTOEVENTO&lt;&gt;"manual",$M91&lt;&gt;$A$15)),
        IF(Import.TipoArredondamento&lt;&gt;"TransfereGOV",
              ROUND(OFFSET($P91,0,AD$13),15-13*ORÇAMENTO!$AF$7)/$H91*OFFSET(ORÇAMENTO!$X$15,ROW(AD91)-ROW(AD$15),0),
              ROUND(ROUND(OFFSET($P91,0,AD$13),15-13*ORÇAMENTO!$AF$7)*OFFSET(ORÇAMENTO!$W$15,ROW(AD91)-ROW(AD$15),0),15-13*ORÇAMENTO!$AF$11)),
         0)</f>
        <v>0</v>
      </c>
      <c r="AE91" s="454">
        <f ca="1">IF(AND($D91="Serviço",AE$12&lt;&gt;0,$H91&gt;0,OR(AUTOEVENTO&lt;&gt;"manual",$M91&lt;&gt;$A$15)),
        IF(Import.TipoArredondamento&lt;&gt;"TransfereGOV",
              ROUND(OFFSET($P91,0,AE$13),15-13*ORÇAMENTO!$AF$7)/$H91*OFFSET(ORÇAMENTO!$X$15,ROW(AE91)-ROW(AE$15),0),
              ROUND(ROUND(OFFSET($P91,0,AE$13),15-13*ORÇAMENTO!$AF$7)*OFFSET(ORÇAMENTO!$W$15,ROW(AE91)-ROW(AE$15),0),15-13*ORÇAMENTO!$AF$11)),
         0)</f>
        <v>0</v>
      </c>
      <c r="AF91" s="454">
        <f ca="1">IF(AND($D91="Serviço",AF$12&lt;&gt;0,$H91&gt;0,OR(AUTOEVENTO&lt;&gt;"manual",$M91&lt;&gt;$A$15)),
        IF(Import.TipoArredondamento&lt;&gt;"TransfereGOV",
              ROUND(OFFSET($P91,0,AF$13),15-13*ORÇAMENTO!$AF$7)/$H91*OFFSET(ORÇAMENTO!$X$15,ROW(AF91)-ROW(AF$15),0),
              ROUND(ROUND(OFFSET($P91,0,AF$13),15-13*ORÇAMENTO!$AF$7)*OFFSET(ORÇAMENTO!$W$15,ROW(AF91)-ROW(AF$15),0),15-13*ORÇAMENTO!$AF$11)),
         0)</f>
        <v>0</v>
      </c>
      <c r="AG91" s="454">
        <f ca="1">IF(AND($D91="Serviço",AG$12&lt;&gt;0,$H91&gt;0,OR(AUTOEVENTO&lt;&gt;"manual",$M91&lt;&gt;$A$15)),
        IF(Import.TipoArredondamento&lt;&gt;"TransfereGOV",
              ROUND(OFFSET($P91,0,AG$13),15-13*ORÇAMENTO!$AF$7)/$H91*OFFSET(ORÇAMENTO!$X$15,ROW(AG91)-ROW(AG$15),0),
              ROUND(ROUND(OFFSET($P91,0,AG$13),15-13*ORÇAMENTO!$AF$7)*OFFSET(ORÇAMENTO!$W$15,ROW(AG91)-ROW(AG$15),0),15-13*ORÇAMENTO!$AF$11)),
         0)</f>
        <v>0</v>
      </c>
      <c r="AH91" s="454">
        <f ca="1">IF(AND($D91="Serviço",AH$12&lt;&gt;0,$H91&gt;0,OR(AUTOEVENTO&lt;&gt;"manual",$M91&lt;&gt;$A$15)),
        IF(Import.TipoArredondamento&lt;&gt;"TransfereGOV",
              ROUND(OFFSET($P91,0,AH$13),15-13*ORÇAMENTO!$AF$7)/$H91*OFFSET(ORÇAMENTO!$X$15,ROW(AH91)-ROW(AH$15),0),
              ROUND(ROUND(OFFSET($P91,0,AH$13),15-13*ORÇAMENTO!$AF$7)*OFFSET(ORÇAMENTO!$W$15,ROW(AH91)-ROW(AH$15),0),15-13*ORÇAMENTO!$AF$11)),
         0)</f>
        <v>0</v>
      </c>
      <c r="AI91" s="454">
        <f ca="1">IF(AND($D91="Serviço",AI$12&lt;&gt;0,$H91&gt;0,OR(AUTOEVENTO&lt;&gt;"manual",$M91&lt;&gt;$A$15)),
        IF(Import.TipoArredondamento&lt;&gt;"TransfereGOV",
              ROUND(OFFSET($P91,0,AI$13),15-13*ORÇAMENTO!$AF$7)/$H91*OFFSET(ORÇAMENTO!$X$15,ROW(AI91)-ROW(AI$15),0),
              ROUND(ROUND(OFFSET($P91,0,AI$13),15-13*ORÇAMENTO!$AF$7)*OFFSET(ORÇAMENTO!$W$15,ROW(AI91)-ROW(AI$15),0),15-13*ORÇAMENTO!$AF$11)),
         0)</f>
        <v>0</v>
      </c>
      <c r="AJ91" s="454">
        <f ca="1">IF(AND($D91="Serviço",AJ$12&lt;&gt;0,$H91&gt;0,OR(AUTOEVENTO&lt;&gt;"manual",$M91&lt;&gt;$A$15)),
        IF(Import.TipoArredondamento&lt;&gt;"TransfereGOV",
              ROUND(OFFSET($P91,0,AJ$13),15-13*ORÇAMENTO!$AF$7)/$H91*OFFSET(ORÇAMENTO!$X$15,ROW(AJ91)-ROW(AJ$15),0),
              ROUND(ROUND(OFFSET($P91,0,AJ$13),15-13*ORÇAMENTO!$AF$7)*OFFSET(ORÇAMENTO!$W$15,ROW(AJ91)-ROW(AJ$15),0),15-13*ORÇAMENTO!$AF$11)),
         0)</f>
        <v>0</v>
      </c>
      <c r="AK91" s="454">
        <f ca="1">IF(AND($D91="Serviço",AK$12&lt;&gt;0,$H91&gt;0,OR(AUTOEVENTO&lt;&gt;"manual",$M91&lt;&gt;$A$15)),
        IF(Import.TipoArredondamento&lt;&gt;"TransfereGOV",
              ROUND(OFFSET($P91,0,AK$13),15-13*ORÇAMENTO!$AF$7)/$H91*OFFSET(ORÇAMENTO!$X$15,ROW(AK91)-ROW(AK$15),0),
              ROUND(ROUND(OFFSET($P91,0,AK$13),15-13*ORÇAMENTO!$AF$7)*OFFSET(ORÇAMENTO!$W$15,ROW(AK91)-ROW(AK$15),0),15-13*ORÇAMENTO!$AF$11)),
         0)</f>
        <v>0</v>
      </c>
      <c r="AM91" s="172">
        <f ca="1">IF(OR($D91&lt;&gt;"Serviço",AND(AUTOEVENTO="Manual",$M91=$A$15)),0,
         IF(OFFSET(CRONOPLE!$F$15,$M91-$A$15,AM$13)="",10^12,OFFSET(CRONOPLE!$F$15,$M91-$A$15,AM$13)))</f>
        <v>1000000000000</v>
      </c>
      <c r="AN91" s="172">
        <f ca="1">IF(OR($D91&lt;&gt;"Serviço",AND(AUTOEVENTO="Manual",$M91=$A$15)),0,
         IF(OFFSET(CRONOPLE!$F$15,$M91-$A$15,AN$13)="",10^12,OFFSET(CRONOPLE!$F$15,$M91-$A$15,AN$13)))</f>
        <v>1000000000000</v>
      </c>
      <c r="AO91" s="172">
        <f ca="1">IF(OR($D91&lt;&gt;"Serviço",AND(AUTOEVENTO="Manual",$M91=$A$15)),0,
         IF(OFFSET(CRONOPLE!$F$15,$M91-$A$15,AO$13)="",10^12,OFFSET(CRONOPLE!$F$15,$M91-$A$15,AO$13)))</f>
        <v>1000000000000</v>
      </c>
      <c r="AP91" s="172">
        <f ca="1">IF(OR($D91&lt;&gt;"Serviço",AND(AUTOEVENTO="Manual",$M91=$A$15)),0,
         IF(OFFSET(CRONOPLE!$F$15,$M91-$A$15,AP$13)="",10^12,OFFSET(CRONOPLE!$F$15,$M91-$A$15,AP$13)))</f>
        <v>1000000000000</v>
      </c>
      <c r="AQ91" s="172">
        <f ca="1">IF(OR($D91&lt;&gt;"Serviço",AND(AUTOEVENTO="Manual",$M91=$A$15)),0,
         IF(OFFSET(CRONOPLE!$F$15,$M91-$A$15,AQ$13)="",10^12,OFFSET(CRONOPLE!$F$15,$M91-$A$15,AQ$13)))</f>
        <v>1000000000000</v>
      </c>
      <c r="AR91" s="172">
        <f ca="1">IF(OR($D91&lt;&gt;"Serviço",AND(AUTOEVENTO="Manual",$M91=$A$15)),0,
         IF(OFFSET(CRONOPLE!$F$15,$M91-$A$15,AR$13)="",10^12,OFFSET(CRONOPLE!$F$15,$M91-$A$15,AR$13)))</f>
        <v>1000000000000</v>
      </c>
      <c r="AS91" s="172">
        <f ca="1">IF(OR($D91&lt;&gt;"Serviço",AND(AUTOEVENTO="Manual",$M91=$A$15)),0,
         IF(OFFSET(CRONOPLE!$F$15,$M91-$A$15,AS$13)="",10^12,OFFSET(CRONOPLE!$F$15,$M91-$A$15,AS$13)))</f>
        <v>1000000000000</v>
      </c>
      <c r="AT91" s="172">
        <f ca="1">IF(OR($D91&lt;&gt;"Serviço",AND(AUTOEVENTO="Manual",$M91=$A$15)),0,
         IF(OFFSET(CRONOPLE!$F$15,$M91-$A$15,AT$13)="",10^12,OFFSET(CRONOPLE!$F$15,$M91-$A$15,AT$13)))</f>
        <v>1000000000000</v>
      </c>
      <c r="AU91" s="172">
        <f ca="1">IF(OR($D91&lt;&gt;"Serviço",AND(AUTOEVENTO="Manual",$M91=$A$15)),0,
         IF(OFFSET(CRONOPLE!$F$15,$M91-$A$15,AU$13)="",10^12,OFFSET(CRONOPLE!$F$15,$M91-$A$15,AU$13)))</f>
        <v>1000000000000</v>
      </c>
      <c r="AV91" s="172">
        <f ca="1">IF(OR($D91&lt;&gt;"Serviço",AND(AUTOEVENTO="Manual",$M91=$A$15)),0,
         IF(OFFSET(CRONOPLE!$F$15,$M91-$A$15,AV$13)="",10^12,OFFSET(CRONOPLE!$F$15,$M91-$A$15,AV$13)))</f>
        <v>1000000000000</v>
      </c>
      <c r="AX91" s="173">
        <f ca="1">IF(OR($D91&lt;&gt;"Serviço",AND(AUTOEVENTO="Manual",$M91=$A$15),$M91&gt;(ROW(PLE.lastrow)-ROW(PLE.firstrow))),0,
           IF(OFFSET(PLE!$G$15,$M91-$A$15,AX$13)="",10^12,OFFSET(PLE!$G$15,$M91-$A$15,AX$13)))</f>
        <v>1000000000000</v>
      </c>
      <c r="AY91" s="173">
        <f ca="1">IF(OR($D91&lt;&gt;"Serviço",AND(AUTOEVENTO="Manual",$M91=$A$15),$M91&gt;(ROW(PLE.lastrow)-ROW(PLE.firstrow))),0,
           IF(OFFSET(PLE!$G$15,$M91-$A$15,AY$13)="",10^12,OFFSET(PLE!$G$15,$M91-$A$15,AY$13)))</f>
        <v>1000000000000</v>
      </c>
      <c r="AZ91" s="173">
        <f ca="1">IF(OR($D91&lt;&gt;"Serviço",AND(AUTOEVENTO="Manual",$M91=$A$15),$M91&gt;(ROW(PLE.lastrow)-ROW(PLE.firstrow))),0,
           IF(OFFSET(PLE!$G$15,$M91-$A$15,AZ$13)="",10^12,OFFSET(PLE!$G$15,$M91-$A$15,AZ$13)))</f>
        <v>1000000000000</v>
      </c>
      <c r="BA91" s="173">
        <f ca="1">IF(OR($D91&lt;&gt;"Serviço",AND(AUTOEVENTO="Manual",$M91=$A$15),$M91&gt;(ROW(PLE.lastrow)-ROW(PLE.firstrow))),0,
           IF(OFFSET(PLE!$G$15,$M91-$A$15,BA$13)="",10^12,OFFSET(PLE!$G$15,$M91-$A$15,BA$13)))</f>
        <v>1000000000000</v>
      </c>
      <c r="BB91" s="173">
        <f ca="1">IF(OR($D91&lt;&gt;"Serviço",AND(AUTOEVENTO="Manual",$M91=$A$15),$M91&gt;(ROW(PLE.lastrow)-ROW(PLE.firstrow))),0,
           IF(OFFSET(PLE!$G$15,$M91-$A$15,BB$13)="",10^12,OFFSET(PLE!$G$15,$M91-$A$15,BB$13)))</f>
        <v>1000000000000</v>
      </c>
      <c r="BC91" s="173">
        <f ca="1">IF(OR($D91&lt;&gt;"Serviço",AND(AUTOEVENTO="Manual",$M91=$A$15),$M91&gt;(ROW(PLE.lastrow)-ROW(PLE.firstrow))),0,
           IF(OFFSET(PLE!$G$15,$M91-$A$15,BC$13)="",10^12,OFFSET(PLE!$G$15,$M91-$A$15,BC$13)))</f>
        <v>1000000000000</v>
      </c>
      <c r="BD91" s="173">
        <f ca="1">IF(OR($D91&lt;&gt;"Serviço",AND(AUTOEVENTO="Manual",$M91=$A$15),$M91&gt;(ROW(PLE.lastrow)-ROW(PLE.firstrow))),0,
           IF(OFFSET(PLE!$G$15,$M91-$A$15,BD$13)="",10^12,OFFSET(PLE!$G$15,$M91-$A$15,BD$13)))</f>
        <v>1000000000000</v>
      </c>
      <c r="BE91" s="173">
        <f ca="1">IF(OR($D91&lt;&gt;"Serviço",AND(AUTOEVENTO="Manual",$M91=$A$15),$M91&gt;(ROW(PLE.lastrow)-ROW(PLE.firstrow))),0,
           IF(OFFSET(PLE!$G$15,$M91-$A$15,BE$13)="",10^12,OFFSET(PLE!$G$15,$M91-$A$15,BE$13)))</f>
        <v>1000000000000</v>
      </c>
      <c r="BF91" s="173">
        <f ca="1">IF(OR($D91&lt;&gt;"Serviço",AND(AUTOEVENTO="Manual",$M91=$A$15),$M91&gt;(ROW(PLE.lastrow)-ROW(PLE.firstrow))),0,
           IF(OFFSET(PLE!$G$15,$M91-$A$15,BF$13)="",10^12,OFFSET(PLE!$G$15,$M91-$A$15,BF$13)))</f>
        <v>1000000000000</v>
      </c>
      <c r="BG91" s="173">
        <f ca="1">IF(OR($D91&lt;&gt;"Serviço",AND(AUTOEVENTO="Manual",$M91=$A$15),$M91&gt;(ROW(PLE.lastrow)-ROW(PLE.firstrow))),0,
           IF(OFFSET(PLE!$G$15,$M91-$A$15,BG$13)="",10^12,OFFSET(PLE!$G$15,$M91-$A$15,BG$13)))</f>
        <v>1000000000000</v>
      </c>
    </row>
    <row r="92" spans="1:59" ht="25.5" x14ac:dyDescent="0.2">
      <c r="A92" s="7" t="str">
        <f t="shared" ca="1" si="9"/>
        <v>39</v>
      </c>
      <c r="B92" s="7" t="str">
        <f ca="1">OFFSET(ORÇAMENTO!C$15,ROW(B92)-ROW(B$15),0)</f>
        <v>S</v>
      </c>
      <c r="C92" s="7" t="str">
        <f ca="1">OFFSET(ORÇAMENTO!L$15,ROW(C92)-ROW(C$15),0)</f>
        <v/>
      </c>
      <c r="D92" s="117" t="str">
        <f ca="1">OFFSET(ORÇAMENTO!N$15,ROW(D92)-ROW(D$15),0)</f>
        <v>Serviço</v>
      </c>
      <c r="E92" s="118" t="str">
        <f ca="1">OFFSET(ORÇAMENTO!O$15,ROW(E92)-ROW(E$15),0)</f>
        <v>-</v>
      </c>
      <c r="F92" s="164" t="str">
        <f ca="1">OFFSET(ORÇAMENTO!R$15,ROW(F92)-ROW(F$15),0)</f>
        <v>LUMINÁRIA LED SLIM DE SOBREPOR, 40 W - FORNECIMENTO E INSTALAÇÃO</v>
      </c>
      <c r="G92" s="165" t="str">
        <f ca="1">IF($D92&lt;&gt;"Serviço","",OFFSET(ORÇAMENTO!S$15,ROW(G92)-ROW(G$15),0))</f>
        <v xml:space="preserve">UN    </v>
      </c>
      <c r="H92" s="123">
        <f ca="1">IF($D92&lt;&gt;"Serviço",0,IF(ACOMPANHAMENTO="BM",ROUND(OFFSET(ORÇAMENTO!AJ$15,ROW(H92)-ROW(H$15),0),15-13*ORÇAMENTO!$AF$7),SUMPRODUCT(($Q$1:$AA$1=1)*ROUND($Q92:$AA92,15-13*ORÇAMENTO!$AF$7))))</f>
        <v>25</v>
      </c>
      <c r="I92" s="469"/>
      <c r="J92" s="577" t="str" cm="1">
        <f t="array" aca="1" ref="J92" ca="1">IF(B92&lt;&gt;"S","",IF(AND(ACOMPANHAMENTO="PLE",AUTOEVENTO="Manual",OR(H92&gt;0,ORÇAMENTO!AC92="QUANT."),OR(K92="",M92=0,N92="")),"►",IF(AND(ACOMPANHAMENTO="PLE",ORÇAMENTO!AC92="QUANT."),"►►",IF(AND(COUNTIF($P$11:$AA$11,"▼")=0,H92&gt;0,I92=""),"◄",""))))</f>
        <v>◄</v>
      </c>
      <c r="K92" s="626"/>
      <c r="L92" s="166" t="s">
        <v>765</v>
      </c>
      <c r="M92" s="167">
        <f ca="1">IF($D92&lt;&gt;"Serviço","",
          IF(AUTOEVENTO="manual",$A92,
                IF(ISERROR(MATCH($A92,$A$15:OFFSET($A92,-1,0),0)),MAX($M$15:OFFSET(M92,-1,0))+1,
                      INDEX($M$15:OFFSET(M92,-1,0),MATCH($A92,$A$15:OFFSET($A92,-1,0),0)))))</f>
        <v>9</v>
      </c>
      <c r="N92" s="168" t="str">
        <f ca="1">IF($D92&lt;&gt;"Serviço","",
         IF(AUTOEVENTO="Manual",
                IF($A92=0,"&lt;-- defina o número do agrupador",
                       OFFSET(EVENTOS!$D$15,$A92-$A$15,0)),
                OFFSET($F$15,$A92,0)))</f>
        <v>INSTALAÇÕES ELÉTRICAS</v>
      </c>
      <c r="O92" s="169"/>
      <c r="Q92" s="169"/>
      <c r="R92" s="170"/>
      <c r="S92" s="170"/>
      <c r="T92" s="170"/>
      <c r="U92" s="170"/>
      <c r="V92" s="170"/>
      <c r="W92" s="170"/>
      <c r="X92" s="170"/>
      <c r="Y92" s="170"/>
      <c r="Z92" s="171"/>
      <c r="AB92" s="454">
        <f ca="1">IF(AND($D92="Serviço",AB$12&lt;&gt;0,$H92&gt;0,OR(AUTOEVENTO&lt;&gt;"manual",$M92&lt;&gt;$A$15)),
        IF(Import.TipoArredondamento&lt;&gt;"TransfereGOV",
              ROUND(OFFSET($P92,0,AB$13),15-13*ORÇAMENTO!$AF$7)/$H92*OFFSET(ORÇAMENTO!$X$15,ROW(AB92)-ROW(AB$15),0),
              ROUND(ROUND(OFFSET($P92,0,AB$13),15-13*ORÇAMENTO!$AF$7)*OFFSET(ORÇAMENTO!$W$15,ROW(AB92)-ROW(AB$15),0),15-13*ORÇAMENTO!$AF$11)),
         0)</f>
        <v>0</v>
      </c>
      <c r="AC92" s="454">
        <f ca="1">IF(AND($D92="Serviço",AC$12&lt;&gt;0,$H92&gt;0,OR(AUTOEVENTO&lt;&gt;"manual",$M92&lt;&gt;$A$15)),
        IF(Import.TipoArredondamento&lt;&gt;"TransfereGOV",
              ROUND(OFFSET($P92,0,AC$13),15-13*ORÇAMENTO!$AF$7)/$H92*OFFSET(ORÇAMENTO!$X$15,ROW(AC92)-ROW(AC$15),0),
              ROUND(ROUND(OFFSET($P92,0,AC$13),15-13*ORÇAMENTO!$AF$7)*OFFSET(ORÇAMENTO!$W$15,ROW(AC92)-ROW(AC$15),0),15-13*ORÇAMENTO!$AF$11)),
         0)</f>
        <v>0</v>
      </c>
      <c r="AD92" s="454">
        <f ca="1">IF(AND($D92="Serviço",AD$12&lt;&gt;0,$H92&gt;0,OR(AUTOEVENTO&lt;&gt;"manual",$M92&lt;&gt;$A$15)),
        IF(Import.TipoArredondamento&lt;&gt;"TransfereGOV",
              ROUND(OFFSET($P92,0,AD$13),15-13*ORÇAMENTO!$AF$7)/$H92*OFFSET(ORÇAMENTO!$X$15,ROW(AD92)-ROW(AD$15),0),
              ROUND(ROUND(OFFSET($P92,0,AD$13),15-13*ORÇAMENTO!$AF$7)*OFFSET(ORÇAMENTO!$W$15,ROW(AD92)-ROW(AD$15),0),15-13*ORÇAMENTO!$AF$11)),
         0)</f>
        <v>0</v>
      </c>
      <c r="AE92" s="454">
        <f ca="1">IF(AND($D92="Serviço",AE$12&lt;&gt;0,$H92&gt;0,OR(AUTOEVENTO&lt;&gt;"manual",$M92&lt;&gt;$A$15)),
        IF(Import.TipoArredondamento&lt;&gt;"TransfereGOV",
              ROUND(OFFSET($P92,0,AE$13),15-13*ORÇAMENTO!$AF$7)/$H92*OFFSET(ORÇAMENTO!$X$15,ROW(AE92)-ROW(AE$15),0),
              ROUND(ROUND(OFFSET($P92,0,AE$13),15-13*ORÇAMENTO!$AF$7)*OFFSET(ORÇAMENTO!$W$15,ROW(AE92)-ROW(AE$15),0),15-13*ORÇAMENTO!$AF$11)),
         0)</f>
        <v>0</v>
      </c>
      <c r="AF92" s="454">
        <f ca="1">IF(AND($D92="Serviço",AF$12&lt;&gt;0,$H92&gt;0,OR(AUTOEVENTO&lt;&gt;"manual",$M92&lt;&gt;$A$15)),
        IF(Import.TipoArredondamento&lt;&gt;"TransfereGOV",
              ROUND(OFFSET($P92,0,AF$13),15-13*ORÇAMENTO!$AF$7)/$H92*OFFSET(ORÇAMENTO!$X$15,ROW(AF92)-ROW(AF$15),0),
              ROUND(ROUND(OFFSET($P92,0,AF$13),15-13*ORÇAMENTO!$AF$7)*OFFSET(ORÇAMENTO!$W$15,ROW(AF92)-ROW(AF$15),0),15-13*ORÇAMENTO!$AF$11)),
         0)</f>
        <v>0</v>
      </c>
      <c r="AG92" s="454">
        <f ca="1">IF(AND($D92="Serviço",AG$12&lt;&gt;0,$H92&gt;0,OR(AUTOEVENTO&lt;&gt;"manual",$M92&lt;&gt;$A$15)),
        IF(Import.TipoArredondamento&lt;&gt;"TransfereGOV",
              ROUND(OFFSET($P92,0,AG$13),15-13*ORÇAMENTO!$AF$7)/$H92*OFFSET(ORÇAMENTO!$X$15,ROW(AG92)-ROW(AG$15),0),
              ROUND(ROUND(OFFSET($P92,0,AG$13),15-13*ORÇAMENTO!$AF$7)*OFFSET(ORÇAMENTO!$W$15,ROW(AG92)-ROW(AG$15),0),15-13*ORÇAMENTO!$AF$11)),
         0)</f>
        <v>0</v>
      </c>
      <c r="AH92" s="454">
        <f ca="1">IF(AND($D92="Serviço",AH$12&lt;&gt;0,$H92&gt;0,OR(AUTOEVENTO&lt;&gt;"manual",$M92&lt;&gt;$A$15)),
        IF(Import.TipoArredondamento&lt;&gt;"TransfereGOV",
              ROUND(OFFSET($P92,0,AH$13),15-13*ORÇAMENTO!$AF$7)/$H92*OFFSET(ORÇAMENTO!$X$15,ROW(AH92)-ROW(AH$15),0),
              ROUND(ROUND(OFFSET($P92,0,AH$13),15-13*ORÇAMENTO!$AF$7)*OFFSET(ORÇAMENTO!$W$15,ROW(AH92)-ROW(AH$15),0),15-13*ORÇAMENTO!$AF$11)),
         0)</f>
        <v>0</v>
      </c>
      <c r="AI92" s="454">
        <f ca="1">IF(AND($D92="Serviço",AI$12&lt;&gt;0,$H92&gt;0,OR(AUTOEVENTO&lt;&gt;"manual",$M92&lt;&gt;$A$15)),
        IF(Import.TipoArredondamento&lt;&gt;"TransfereGOV",
              ROUND(OFFSET($P92,0,AI$13),15-13*ORÇAMENTO!$AF$7)/$H92*OFFSET(ORÇAMENTO!$X$15,ROW(AI92)-ROW(AI$15),0),
              ROUND(ROUND(OFFSET($P92,0,AI$13),15-13*ORÇAMENTO!$AF$7)*OFFSET(ORÇAMENTO!$W$15,ROW(AI92)-ROW(AI$15),0),15-13*ORÇAMENTO!$AF$11)),
         0)</f>
        <v>0</v>
      </c>
      <c r="AJ92" s="454">
        <f ca="1">IF(AND($D92="Serviço",AJ$12&lt;&gt;0,$H92&gt;0,OR(AUTOEVENTO&lt;&gt;"manual",$M92&lt;&gt;$A$15)),
        IF(Import.TipoArredondamento&lt;&gt;"TransfereGOV",
              ROUND(OFFSET($P92,0,AJ$13),15-13*ORÇAMENTO!$AF$7)/$H92*OFFSET(ORÇAMENTO!$X$15,ROW(AJ92)-ROW(AJ$15),0),
              ROUND(ROUND(OFFSET($P92,0,AJ$13),15-13*ORÇAMENTO!$AF$7)*OFFSET(ORÇAMENTO!$W$15,ROW(AJ92)-ROW(AJ$15),0),15-13*ORÇAMENTO!$AF$11)),
         0)</f>
        <v>0</v>
      </c>
      <c r="AK92" s="454">
        <f ca="1">IF(AND($D92="Serviço",AK$12&lt;&gt;0,$H92&gt;0,OR(AUTOEVENTO&lt;&gt;"manual",$M92&lt;&gt;$A$15)),
        IF(Import.TipoArredondamento&lt;&gt;"TransfereGOV",
              ROUND(OFFSET($P92,0,AK$13),15-13*ORÇAMENTO!$AF$7)/$H92*OFFSET(ORÇAMENTO!$X$15,ROW(AK92)-ROW(AK$15),0),
              ROUND(ROUND(OFFSET($P92,0,AK$13),15-13*ORÇAMENTO!$AF$7)*OFFSET(ORÇAMENTO!$W$15,ROW(AK92)-ROW(AK$15),0),15-13*ORÇAMENTO!$AF$11)),
         0)</f>
        <v>0</v>
      </c>
      <c r="AM92" s="172">
        <f ca="1">IF(OR($D92&lt;&gt;"Serviço",AND(AUTOEVENTO="Manual",$M92=$A$15)),0,
         IF(OFFSET(CRONOPLE!$F$15,$M92-$A$15,AM$13)="",10^12,OFFSET(CRONOPLE!$F$15,$M92-$A$15,AM$13)))</f>
        <v>1000000000000</v>
      </c>
      <c r="AN92" s="172">
        <f ca="1">IF(OR($D92&lt;&gt;"Serviço",AND(AUTOEVENTO="Manual",$M92=$A$15)),0,
         IF(OFFSET(CRONOPLE!$F$15,$M92-$A$15,AN$13)="",10^12,OFFSET(CRONOPLE!$F$15,$M92-$A$15,AN$13)))</f>
        <v>1000000000000</v>
      </c>
      <c r="AO92" s="172">
        <f ca="1">IF(OR($D92&lt;&gt;"Serviço",AND(AUTOEVENTO="Manual",$M92=$A$15)),0,
         IF(OFFSET(CRONOPLE!$F$15,$M92-$A$15,AO$13)="",10^12,OFFSET(CRONOPLE!$F$15,$M92-$A$15,AO$13)))</f>
        <v>1000000000000</v>
      </c>
      <c r="AP92" s="172">
        <f ca="1">IF(OR($D92&lt;&gt;"Serviço",AND(AUTOEVENTO="Manual",$M92=$A$15)),0,
         IF(OFFSET(CRONOPLE!$F$15,$M92-$A$15,AP$13)="",10^12,OFFSET(CRONOPLE!$F$15,$M92-$A$15,AP$13)))</f>
        <v>1000000000000</v>
      </c>
      <c r="AQ92" s="172">
        <f ca="1">IF(OR($D92&lt;&gt;"Serviço",AND(AUTOEVENTO="Manual",$M92=$A$15)),0,
         IF(OFFSET(CRONOPLE!$F$15,$M92-$A$15,AQ$13)="",10^12,OFFSET(CRONOPLE!$F$15,$M92-$A$15,AQ$13)))</f>
        <v>1000000000000</v>
      </c>
      <c r="AR92" s="172">
        <f ca="1">IF(OR($D92&lt;&gt;"Serviço",AND(AUTOEVENTO="Manual",$M92=$A$15)),0,
         IF(OFFSET(CRONOPLE!$F$15,$M92-$A$15,AR$13)="",10^12,OFFSET(CRONOPLE!$F$15,$M92-$A$15,AR$13)))</f>
        <v>1000000000000</v>
      </c>
      <c r="AS92" s="172">
        <f ca="1">IF(OR($D92&lt;&gt;"Serviço",AND(AUTOEVENTO="Manual",$M92=$A$15)),0,
         IF(OFFSET(CRONOPLE!$F$15,$M92-$A$15,AS$13)="",10^12,OFFSET(CRONOPLE!$F$15,$M92-$A$15,AS$13)))</f>
        <v>1000000000000</v>
      </c>
      <c r="AT92" s="172">
        <f ca="1">IF(OR($D92&lt;&gt;"Serviço",AND(AUTOEVENTO="Manual",$M92=$A$15)),0,
         IF(OFFSET(CRONOPLE!$F$15,$M92-$A$15,AT$13)="",10^12,OFFSET(CRONOPLE!$F$15,$M92-$A$15,AT$13)))</f>
        <v>1000000000000</v>
      </c>
      <c r="AU92" s="172">
        <f ca="1">IF(OR($D92&lt;&gt;"Serviço",AND(AUTOEVENTO="Manual",$M92=$A$15)),0,
         IF(OFFSET(CRONOPLE!$F$15,$M92-$A$15,AU$13)="",10^12,OFFSET(CRONOPLE!$F$15,$M92-$A$15,AU$13)))</f>
        <v>1000000000000</v>
      </c>
      <c r="AV92" s="172">
        <f ca="1">IF(OR($D92&lt;&gt;"Serviço",AND(AUTOEVENTO="Manual",$M92=$A$15)),0,
         IF(OFFSET(CRONOPLE!$F$15,$M92-$A$15,AV$13)="",10^12,OFFSET(CRONOPLE!$F$15,$M92-$A$15,AV$13)))</f>
        <v>1000000000000</v>
      </c>
      <c r="AX92" s="173">
        <f ca="1">IF(OR($D92&lt;&gt;"Serviço",AND(AUTOEVENTO="Manual",$M92=$A$15),$M92&gt;(ROW(PLE.lastrow)-ROW(PLE.firstrow))),0,
           IF(OFFSET(PLE!$G$15,$M92-$A$15,AX$13)="",10^12,OFFSET(PLE!$G$15,$M92-$A$15,AX$13)))</f>
        <v>1000000000000</v>
      </c>
      <c r="AY92" s="173">
        <f ca="1">IF(OR($D92&lt;&gt;"Serviço",AND(AUTOEVENTO="Manual",$M92=$A$15),$M92&gt;(ROW(PLE.lastrow)-ROW(PLE.firstrow))),0,
           IF(OFFSET(PLE!$G$15,$M92-$A$15,AY$13)="",10^12,OFFSET(PLE!$G$15,$M92-$A$15,AY$13)))</f>
        <v>1000000000000</v>
      </c>
      <c r="AZ92" s="173">
        <f ca="1">IF(OR($D92&lt;&gt;"Serviço",AND(AUTOEVENTO="Manual",$M92=$A$15),$M92&gt;(ROW(PLE.lastrow)-ROW(PLE.firstrow))),0,
           IF(OFFSET(PLE!$G$15,$M92-$A$15,AZ$13)="",10^12,OFFSET(PLE!$G$15,$M92-$A$15,AZ$13)))</f>
        <v>1000000000000</v>
      </c>
      <c r="BA92" s="173">
        <f ca="1">IF(OR($D92&lt;&gt;"Serviço",AND(AUTOEVENTO="Manual",$M92=$A$15),$M92&gt;(ROW(PLE.lastrow)-ROW(PLE.firstrow))),0,
           IF(OFFSET(PLE!$G$15,$M92-$A$15,BA$13)="",10^12,OFFSET(PLE!$G$15,$M92-$A$15,BA$13)))</f>
        <v>1000000000000</v>
      </c>
      <c r="BB92" s="173">
        <f ca="1">IF(OR($D92&lt;&gt;"Serviço",AND(AUTOEVENTO="Manual",$M92=$A$15),$M92&gt;(ROW(PLE.lastrow)-ROW(PLE.firstrow))),0,
           IF(OFFSET(PLE!$G$15,$M92-$A$15,BB$13)="",10^12,OFFSET(PLE!$G$15,$M92-$A$15,BB$13)))</f>
        <v>1000000000000</v>
      </c>
      <c r="BC92" s="173">
        <f ca="1">IF(OR($D92&lt;&gt;"Serviço",AND(AUTOEVENTO="Manual",$M92=$A$15),$M92&gt;(ROW(PLE.lastrow)-ROW(PLE.firstrow))),0,
           IF(OFFSET(PLE!$G$15,$M92-$A$15,BC$13)="",10^12,OFFSET(PLE!$G$15,$M92-$A$15,BC$13)))</f>
        <v>1000000000000</v>
      </c>
      <c r="BD92" s="173">
        <f ca="1">IF(OR($D92&lt;&gt;"Serviço",AND(AUTOEVENTO="Manual",$M92=$A$15),$M92&gt;(ROW(PLE.lastrow)-ROW(PLE.firstrow))),0,
           IF(OFFSET(PLE!$G$15,$M92-$A$15,BD$13)="",10^12,OFFSET(PLE!$G$15,$M92-$A$15,BD$13)))</f>
        <v>1000000000000</v>
      </c>
      <c r="BE92" s="173">
        <f ca="1">IF(OR($D92&lt;&gt;"Serviço",AND(AUTOEVENTO="Manual",$M92=$A$15),$M92&gt;(ROW(PLE.lastrow)-ROW(PLE.firstrow))),0,
           IF(OFFSET(PLE!$G$15,$M92-$A$15,BE$13)="",10^12,OFFSET(PLE!$G$15,$M92-$A$15,BE$13)))</f>
        <v>1000000000000</v>
      </c>
      <c r="BF92" s="173">
        <f ca="1">IF(OR($D92&lt;&gt;"Serviço",AND(AUTOEVENTO="Manual",$M92=$A$15),$M92&gt;(ROW(PLE.lastrow)-ROW(PLE.firstrow))),0,
           IF(OFFSET(PLE!$G$15,$M92-$A$15,BF$13)="",10^12,OFFSET(PLE!$G$15,$M92-$A$15,BF$13)))</f>
        <v>1000000000000</v>
      </c>
      <c r="BG92" s="173">
        <f ca="1">IF(OR($D92&lt;&gt;"Serviço",AND(AUTOEVENTO="Manual",$M92=$A$15),$M92&gt;(ROW(PLE.lastrow)-ROW(PLE.firstrow))),0,
           IF(OFFSET(PLE!$G$15,$M92-$A$15,BG$13)="",10^12,OFFSET(PLE!$G$15,$M92-$A$15,BG$13)))</f>
        <v>1000000000000</v>
      </c>
    </row>
    <row r="93" spans="1:59" ht="12.75" x14ac:dyDescent="0.2">
      <c r="A93" s="7" t="str">
        <f t="shared" ca="1" si="9"/>
        <v>39</v>
      </c>
      <c r="B93" s="7" t="str">
        <f ca="1">OFFSET(ORÇAMENTO!C$15,ROW(B93)-ROW(B$15),0)</f>
        <v>S</v>
      </c>
      <c r="C93" s="7" t="str">
        <f ca="1">OFFSET(ORÇAMENTO!L$15,ROW(C93)-ROW(C$15),0)</f>
        <v/>
      </c>
      <c r="D93" s="117" t="str">
        <f ca="1">OFFSET(ORÇAMENTO!N$15,ROW(D93)-ROW(D$15),0)</f>
        <v>Serviço</v>
      </c>
      <c r="E93" s="118" t="str">
        <f ca="1">OFFSET(ORÇAMENTO!O$15,ROW(E93)-ROW(E$15),0)</f>
        <v>-</v>
      </c>
      <c r="F93" s="164" t="str">
        <f ca="1">OFFSET(ORÇAMENTO!R$15,ROW(F93)-ROW(F$15),0)</f>
        <v>LUMINÁRIA FLOODLIGHT 50W</v>
      </c>
      <c r="G93" s="165" t="str">
        <f ca="1">IF($D93&lt;&gt;"Serviço","",OFFSET(ORÇAMENTO!S$15,ROW(G93)-ROW(G$15),0))</f>
        <v>UN</v>
      </c>
      <c r="H93" s="123">
        <f ca="1">IF($D93&lt;&gt;"Serviço",0,IF(ACOMPANHAMENTO="BM",ROUND(OFFSET(ORÇAMENTO!AJ$15,ROW(H93)-ROW(H$15),0),15-13*ORÇAMENTO!$AF$7),SUMPRODUCT(($Q$1:$AA$1=1)*ROUND($Q93:$AA93,15-13*ORÇAMENTO!$AF$7))))</f>
        <v>3</v>
      </c>
      <c r="I93" s="469"/>
      <c r="J93" s="577" t="str" cm="1">
        <f t="array" aca="1" ref="J93" ca="1">IF(B93&lt;&gt;"S","",IF(AND(ACOMPANHAMENTO="PLE",AUTOEVENTO="Manual",OR(H93&gt;0,ORÇAMENTO!AC93="QUANT."),OR(K93="",M93=0,N93="")),"►",IF(AND(ACOMPANHAMENTO="PLE",ORÇAMENTO!AC93="QUANT."),"►►",IF(AND(COUNTIF($P$11:$AA$11,"▼")=0,H93&gt;0,I93=""),"◄",""))))</f>
        <v>◄</v>
      </c>
      <c r="K93" s="626"/>
      <c r="L93" s="166" t="s">
        <v>765</v>
      </c>
      <c r="M93" s="167">
        <f ca="1">IF($D93&lt;&gt;"Serviço","",
          IF(AUTOEVENTO="manual",$A93,
                IF(ISERROR(MATCH($A93,$A$15:OFFSET($A93,-1,0),0)),MAX($M$15:OFFSET(M93,-1,0))+1,
                      INDEX($M$15:OFFSET(M93,-1,0),MATCH($A93,$A$15:OFFSET($A93,-1,0),0)))))</f>
        <v>9</v>
      </c>
      <c r="N93" s="168" t="str">
        <f ca="1">IF($D93&lt;&gt;"Serviço","",
         IF(AUTOEVENTO="Manual",
                IF($A93=0,"&lt;-- defina o número do agrupador",
                       OFFSET(EVENTOS!$D$15,$A93-$A$15,0)),
                OFFSET($F$15,$A93,0)))</f>
        <v>INSTALAÇÕES ELÉTRICAS</v>
      </c>
      <c r="O93" s="169"/>
      <c r="Q93" s="169"/>
      <c r="R93" s="170"/>
      <c r="S93" s="170"/>
      <c r="T93" s="170"/>
      <c r="U93" s="170"/>
      <c r="V93" s="170"/>
      <c r="W93" s="170"/>
      <c r="X93" s="170"/>
      <c r="Y93" s="170"/>
      <c r="Z93" s="171"/>
      <c r="AB93" s="454">
        <f ca="1">IF(AND($D93="Serviço",AB$12&lt;&gt;0,$H93&gt;0,OR(AUTOEVENTO&lt;&gt;"manual",$M93&lt;&gt;$A$15)),
        IF(Import.TipoArredondamento&lt;&gt;"TransfereGOV",
              ROUND(OFFSET($P93,0,AB$13),15-13*ORÇAMENTO!$AF$7)/$H93*OFFSET(ORÇAMENTO!$X$15,ROW(AB93)-ROW(AB$15),0),
              ROUND(ROUND(OFFSET($P93,0,AB$13),15-13*ORÇAMENTO!$AF$7)*OFFSET(ORÇAMENTO!$W$15,ROW(AB93)-ROW(AB$15),0),15-13*ORÇAMENTO!$AF$11)),
         0)</f>
        <v>0</v>
      </c>
      <c r="AC93" s="454">
        <f ca="1">IF(AND($D93="Serviço",AC$12&lt;&gt;0,$H93&gt;0,OR(AUTOEVENTO&lt;&gt;"manual",$M93&lt;&gt;$A$15)),
        IF(Import.TipoArredondamento&lt;&gt;"TransfereGOV",
              ROUND(OFFSET($P93,0,AC$13),15-13*ORÇAMENTO!$AF$7)/$H93*OFFSET(ORÇAMENTO!$X$15,ROW(AC93)-ROW(AC$15),0),
              ROUND(ROUND(OFFSET($P93,0,AC$13),15-13*ORÇAMENTO!$AF$7)*OFFSET(ORÇAMENTO!$W$15,ROW(AC93)-ROW(AC$15),0),15-13*ORÇAMENTO!$AF$11)),
         0)</f>
        <v>0</v>
      </c>
      <c r="AD93" s="454">
        <f ca="1">IF(AND($D93="Serviço",AD$12&lt;&gt;0,$H93&gt;0,OR(AUTOEVENTO&lt;&gt;"manual",$M93&lt;&gt;$A$15)),
        IF(Import.TipoArredondamento&lt;&gt;"TransfereGOV",
              ROUND(OFFSET($P93,0,AD$13),15-13*ORÇAMENTO!$AF$7)/$H93*OFFSET(ORÇAMENTO!$X$15,ROW(AD93)-ROW(AD$15),0),
              ROUND(ROUND(OFFSET($P93,0,AD$13),15-13*ORÇAMENTO!$AF$7)*OFFSET(ORÇAMENTO!$W$15,ROW(AD93)-ROW(AD$15),0),15-13*ORÇAMENTO!$AF$11)),
         0)</f>
        <v>0</v>
      </c>
      <c r="AE93" s="454">
        <f ca="1">IF(AND($D93="Serviço",AE$12&lt;&gt;0,$H93&gt;0,OR(AUTOEVENTO&lt;&gt;"manual",$M93&lt;&gt;$A$15)),
        IF(Import.TipoArredondamento&lt;&gt;"TransfereGOV",
              ROUND(OFFSET($P93,0,AE$13),15-13*ORÇAMENTO!$AF$7)/$H93*OFFSET(ORÇAMENTO!$X$15,ROW(AE93)-ROW(AE$15),0),
              ROUND(ROUND(OFFSET($P93,0,AE$13),15-13*ORÇAMENTO!$AF$7)*OFFSET(ORÇAMENTO!$W$15,ROW(AE93)-ROW(AE$15),0),15-13*ORÇAMENTO!$AF$11)),
         0)</f>
        <v>0</v>
      </c>
      <c r="AF93" s="454">
        <f ca="1">IF(AND($D93="Serviço",AF$12&lt;&gt;0,$H93&gt;0,OR(AUTOEVENTO&lt;&gt;"manual",$M93&lt;&gt;$A$15)),
        IF(Import.TipoArredondamento&lt;&gt;"TransfereGOV",
              ROUND(OFFSET($P93,0,AF$13),15-13*ORÇAMENTO!$AF$7)/$H93*OFFSET(ORÇAMENTO!$X$15,ROW(AF93)-ROW(AF$15),0),
              ROUND(ROUND(OFFSET($P93,0,AF$13),15-13*ORÇAMENTO!$AF$7)*OFFSET(ORÇAMENTO!$W$15,ROW(AF93)-ROW(AF$15),0),15-13*ORÇAMENTO!$AF$11)),
         0)</f>
        <v>0</v>
      </c>
      <c r="AG93" s="454">
        <f ca="1">IF(AND($D93="Serviço",AG$12&lt;&gt;0,$H93&gt;0,OR(AUTOEVENTO&lt;&gt;"manual",$M93&lt;&gt;$A$15)),
        IF(Import.TipoArredondamento&lt;&gt;"TransfereGOV",
              ROUND(OFFSET($P93,0,AG$13),15-13*ORÇAMENTO!$AF$7)/$H93*OFFSET(ORÇAMENTO!$X$15,ROW(AG93)-ROW(AG$15),0),
              ROUND(ROUND(OFFSET($P93,0,AG$13),15-13*ORÇAMENTO!$AF$7)*OFFSET(ORÇAMENTO!$W$15,ROW(AG93)-ROW(AG$15),0),15-13*ORÇAMENTO!$AF$11)),
         0)</f>
        <v>0</v>
      </c>
      <c r="AH93" s="454">
        <f ca="1">IF(AND($D93="Serviço",AH$12&lt;&gt;0,$H93&gt;0,OR(AUTOEVENTO&lt;&gt;"manual",$M93&lt;&gt;$A$15)),
        IF(Import.TipoArredondamento&lt;&gt;"TransfereGOV",
              ROUND(OFFSET($P93,0,AH$13),15-13*ORÇAMENTO!$AF$7)/$H93*OFFSET(ORÇAMENTO!$X$15,ROW(AH93)-ROW(AH$15),0),
              ROUND(ROUND(OFFSET($P93,0,AH$13),15-13*ORÇAMENTO!$AF$7)*OFFSET(ORÇAMENTO!$W$15,ROW(AH93)-ROW(AH$15),0),15-13*ORÇAMENTO!$AF$11)),
         0)</f>
        <v>0</v>
      </c>
      <c r="AI93" s="454">
        <f ca="1">IF(AND($D93="Serviço",AI$12&lt;&gt;0,$H93&gt;0,OR(AUTOEVENTO&lt;&gt;"manual",$M93&lt;&gt;$A$15)),
        IF(Import.TipoArredondamento&lt;&gt;"TransfereGOV",
              ROUND(OFFSET($P93,0,AI$13),15-13*ORÇAMENTO!$AF$7)/$H93*OFFSET(ORÇAMENTO!$X$15,ROW(AI93)-ROW(AI$15),0),
              ROUND(ROUND(OFFSET($P93,0,AI$13),15-13*ORÇAMENTO!$AF$7)*OFFSET(ORÇAMENTO!$W$15,ROW(AI93)-ROW(AI$15),0),15-13*ORÇAMENTO!$AF$11)),
         0)</f>
        <v>0</v>
      </c>
      <c r="AJ93" s="454">
        <f ca="1">IF(AND($D93="Serviço",AJ$12&lt;&gt;0,$H93&gt;0,OR(AUTOEVENTO&lt;&gt;"manual",$M93&lt;&gt;$A$15)),
        IF(Import.TipoArredondamento&lt;&gt;"TransfereGOV",
              ROUND(OFFSET($P93,0,AJ$13),15-13*ORÇAMENTO!$AF$7)/$H93*OFFSET(ORÇAMENTO!$X$15,ROW(AJ93)-ROW(AJ$15),0),
              ROUND(ROUND(OFFSET($P93,0,AJ$13),15-13*ORÇAMENTO!$AF$7)*OFFSET(ORÇAMENTO!$W$15,ROW(AJ93)-ROW(AJ$15),0),15-13*ORÇAMENTO!$AF$11)),
         0)</f>
        <v>0</v>
      </c>
      <c r="AK93" s="454">
        <f ca="1">IF(AND($D93="Serviço",AK$12&lt;&gt;0,$H93&gt;0,OR(AUTOEVENTO&lt;&gt;"manual",$M93&lt;&gt;$A$15)),
        IF(Import.TipoArredondamento&lt;&gt;"TransfereGOV",
              ROUND(OFFSET($P93,0,AK$13),15-13*ORÇAMENTO!$AF$7)/$H93*OFFSET(ORÇAMENTO!$X$15,ROW(AK93)-ROW(AK$15),0),
              ROUND(ROUND(OFFSET($P93,0,AK$13),15-13*ORÇAMENTO!$AF$7)*OFFSET(ORÇAMENTO!$W$15,ROW(AK93)-ROW(AK$15),0),15-13*ORÇAMENTO!$AF$11)),
         0)</f>
        <v>0</v>
      </c>
      <c r="AM93" s="172">
        <f ca="1">IF(OR($D93&lt;&gt;"Serviço",AND(AUTOEVENTO="Manual",$M93=$A$15)),0,
         IF(OFFSET(CRONOPLE!$F$15,$M93-$A$15,AM$13)="",10^12,OFFSET(CRONOPLE!$F$15,$M93-$A$15,AM$13)))</f>
        <v>1000000000000</v>
      </c>
      <c r="AN93" s="172">
        <f ca="1">IF(OR($D93&lt;&gt;"Serviço",AND(AUTOEVENTO="Manual",$M93=$A$15)),0,
         IF(OFFSET(CRONOPLE!$F$15,$M93-$A$15,AN$13)="",10^12,OFFSET(CRONOPLE!$F$15,$M93-$A$15,AN$13)))</f>
        <v>1000000000000</v>
      </c>
      <c r="AO93" s="172">
        <f ca="1">IF(OR($D93&lt;&gt;"Serviço",AND(AUTOEVENTO="Manual",$M93=$A$15)),0,
         IF(OFFSET(CRONOPLE!$F$15,$M93-$A$15,AO$13)="",10^12,OFFSET(CRONOPLE!$F$15,$M93-$A$15,AO$13)))</f>
        <v>1000000000000</v>
      </c>
      <c r="AP93" s="172">
        <f ca="1">IF(OR($D93&lt;&gt;"Serviço",AND(AUTOEVENTO="Manual",$M93=$A$15)),0,
         IF(OFFSET(CRONOPLE!$F$15,$M93-$A$15,AP$13)="",10^12,OFFSET(CRONOPLE!$F$15,$M93-$A$15,AP$13)))</f>
        <v>1000000000000</v>
      </c>
      <c r="AQ93" s="172">
        <f ca="1">IF(OR($D93&lt;&gt;"Serviço",AND(AUTOEVENTO="Manual",$M93=$A$15)),0,
         IF(OFFSET(CRONOPLE!$F$15,$M93-$A$15,AQ$13)="",10^12,OFFSET(CRONOPLE!$F$15,$M93-$A$15,AQ$13)))</f>
        <v>1000000000000</v>
      </c>
      <c r="AR93" s="172">
        <f ca="1">IF(OR($D93&lt;&gt;"Serviço",AND(AUTOEVENTO="Manual",$M93=$A$15)),0,
         IF(OFFSET(CRONOPLE!$F$15,$M93-$A$15,AR$13)="",10^12,OFFSET(CRONOPLE!$F$15,$M93-$A$15,AR$13)))</f>
        <v>1000000000000</v>
      </c>
      <c r="AS93" s="172">
        <f ca="1">IF(OR($D93&lt;&gt;"Serviço",AND(AUTOEVENTO="Manual",$M93=$A$15)),0,
         IF(OFFSET(CRONOPLE!$F$15,$M93-$A$15,AS$13)="",10^12,OFFSET(CRONOPLE!$F$15,$M93-$A$15,AS$13)))</f>
        <v>1000000000000</v>
      </c>
      <c r="AT93" s="172">
        <f ca="1">IF(OR($D93&lt;&gt;"Serviço",AND(AUTOEVENTO="Manual",$M93=$A$15)),0,
         IF(OFFSET(CRONOPLE!$F$15,$M93-$A$15,AT$13)="",10^12,OFFSET(CRONOPLE!$F$15,$M93-$A$15,AT$13)))</f>
        <v>1000000000000</v>
      </c>
      <c r="AU93" s="172">
        <f ca="1">IF(OR($D93&lt;&gt;"Serviço",AND(AUTOEVENTO="Manual",$M93=$A$15)),0,
         IF(OFFSET(CRONOPLE!$F$15,$M93-$A$15,AU$13)="",10^12,OFFSET(CRONOPLE!$F$15,$M93-$A$15,AU$13)))</f>
        <v>1000000000000</v>
      </c>
      <c r="AV93" s="172">
        <f ca="1">IF(OR($D93&lt;&gt;"Serviço",AND(AUTOEVENTO="Manual",$M93=$A$15)),0,
         IF(OFFSET(CRONOPLE!$F$15,$M93-$A$15,AV$13)="",10^12,OFFSET(CRONOPLE!$F$15,$M93-$A$15,AV$13)))</f>
        <v>1000000000000</v>
      </c>
      <c r="AX93" s="173">
        <f ca="1">IF(OR($D93&lt;&gt;"Serviço",AND(AUTOEVENTO="Manual",$M93=$A$15),$M93&gt;(ROW(PLE.lastrow)-ROW(PLE.firstrow))),0,
           IF(OFFSET(PLE!$G$15,$M93-$A$15,AX$13)="",10^12,OFFSET(PLE!$G$15,$M93-$A$15,AX$13)))</f>
        <v>1000000000000</v>
      </c>
      <c r="AY93" s="173">
        <f ca="1">IF(OR($D93&lt;&gt;"Serviço",AND(AUTOEVENTO="Manual",$M93=$A$15),$M93&gt;(ROW(PLE.lastrow)-ROW(PLE.firstrow))),0,
           IF(OFFSET(PLE!$G$15,$M93-$A$15,AY$13)="",10^12,OFFSET(PLE!$G$15,$M93-$A$15,AY$13)))</f>
        <v>1000000000000</v>
      </c>
      <c r="AZ93" s="173">
        <f ca="1">IF(OR($D93&lt;&gt;"Serviço",AND(AUTOEVENTO="Manual",$M93=$A$15),$M93&gt;(ROW(PLE.lastrow)-ROW(PLE.firstrow))),0,
           IF(OFFSET(PLE!$G$15,$M93-$A$15,AZ$13)="",10^12,OFFSET(PLE!$G$15,$M93-$A$15,AZ$13)))</f>
        <v>1000000000000</v>
      </c>
      <c r="BA93" s="173">
        <f ca="1">IF(OR($D93&lt;&gt;"Serviço",AND(AUTOEVENTO="Manual",$M93=$A$15),$M93&gt;(ROW(PLE.lastrow)-ROW(PLE.firstrow))),0,
           IF(OFFSET(PLE!$G$15,$M93-$A$15,BA$13)="",10^12,OFFSET(PLE!$G$15,$M93-$A$15,BA$13)))</f>
        <v>1000000000000</v>
      </c>
      <c r="BB93" s="173">
        <f ca="1">IF(OR($D93&lt;&gt;"Serviço",AND(AUTOEVENTO="Manual",$M93=$A$15),$M93&gt;(ROW(PLE.lastrow)-ROW(PLE.firstrow))),0,
           IF(OFFSET(PLE!$G$15,$M93-$A$15,BB$13)="",10^12,OFFSET(PLE!$G$15,$M93-$A$15,BB$13)))</f>
        <v>1000000000000</v>
      </c>
      <c r="BC93" s="173">
        <f ca="1">IF(OR($D93&lt;&gt;"Serviço",AND(AUTOEVENTO="Manual",$M93=$A$15),$M93&gt;(ROW(PLE.lastrow)-ROW(PLE.firstrow))),0,
           IF(OFFSET(PLE!$G$15,$M93-$A$15,BC$13)="",10^12,OFFSET(PLE!$G$15,$M93-$A$15,BC$13)))</f>
        <v>1000000000000</v>
      </c>
      <c r="BD93" s="173">
        <f ca="1">IF(OR($D93&lt;&gt;"Serviço",AND(AUTOEVENTO="Manual",$M93=$A$15),$M93&gt;(ROW(PLE.lastrow)-ROW(PLE.firstrow))),0,
           IF(OFFSET(PLE!$G$15,$M93-$A$15,BD$13)="",10^12,OFFSET(PLE!$G$15,$M93-$A$15,BD$13)))</f>
        <v>1000000000000</v>
      </c>
      <c r="BE93" s="173">
        <f ca="1">IF(OR($D93&lt;&gt;"Serviço",AND(AUTOEVENTO="Manual",$M93=$A$15),$M93&gt;(ROW(PLE.lastrow)-ROW(PLE.firstrow))),0,
           IF(OFFSET(PLE!$G$15,$M93-$A$15,BE$13)="",10^12,OFFSET(PLE!$G$15,$M93-$A$15,BE$13)))</f>
        <v>1000000000000</v>
      </c>
      <c r="BF93" s="173">
        <f ca="1">IF(OR($D93&lt;&gt;"Serviço",AND(AUTOEVENTO="Manual",$M93=$A$15),$M93&gt;(ROW(PLE.lastrow)-ROW(PLE.firstrow))),0,
           IF(OFFSET(PLE!$G$15,$M93-$A$15,BF$13)="",10^12,OFFSET(PLE!$G$15,$M93-$A$15,BF$13)))</f>
        <v>1000000000000</v>
      </c>
      <c r="BG93" s="173">
        <f ca="1">IF(OR($D93&lt;&gt;"Serviço",AND(AUTOEVENTO="Manual",$M93=$A$15),$M93&gt;(ROW(PLE.lastrow)-ROW(PLE.firstrow))),0,
           IF(OFFSET(PLE!$G$15,$M93-$A$15,BG$13)="",10^12,OFFSET(PLE!$G$15,$M93-$A$15,BG$13)))</f>
        <v>1000000000000</v>
      </c>
    </row>
    <row r="94" spans="1:59" ht="25.5" x14ac:dyDescent="0.2">
      <c r="A94" s="7" t="str">
        <f t="shared" ca="1" si="9"/>
        <v>39</v>
      </c>
      <c r="B94" s="7" t="str">
        <f ca="1">OFFSET(ORÇAMENTO!C$15,ROW(B94)-ROW(B$15),0)</f>
        <v>S</v>
      </c>
      <c r="C94" s="7" t="str">
        <f ca="1">OFFSET(ORÇAMENTO!L$15,ROW(C94)-ROW(C$15),0)</f>
        <v/>
      </c>
      <c r="D94" s="117" t="str">
        <f ca="1">OFFSET(ORÇAMENTO!N$15,ROW(D94)-ROW(D$15),0)</f>
        <v>Serviço</v>
      </c>
      <c r="E94" s="118" t="str">
        <f ca="1">OFFSET(ORÇAMENTO!O$15,ROW(E94)-ROW(E$15),0)</f>
        <v>-</v>
      </c>
      <c r="F94" s="164" t="str">
        <f ca="1">OFFSET(ORÇAMENTO!R$15,ROW(F94)-ROW(F$15),0)</f>
        <v>LUMINÁRIA ARANDELA, DE SOBREPOR, 24 W, EXTERNA IP65 - FORNECIMENTO E INSTALAÇÃO. AF_09/2024</v>
      </c>
      <c r="G94" s="165" t="str">
        <f ca="1">IF($D94&lt;&gt;"Serviço","",OFFSET(ORÇAMENTO!S$15,ROW(G94)-ROW(G$15),0))</f>
        <v xml:space="preserve">UN    </v>
      </c>
      <c r="H94" s="123">
        <f ca="1">IF($D94&lt;&gt;"Serviço",0,IF(ACOMPANHAMENTO="BM",ROUND(OFFSET(ORÇAMENTO!AJ$15,ROW(H94)-ROW(H$15),0),15-13*ORÇAMENTO!$AF$7),SUMPRODUCT(($Q$1:$AA$1=1)*ROUND($Q94:$AA94,15-13*ORÇAMENTO!$AF$7))))</f>
        <v>22</v>
      </c>
      <c r="I94" s="469"/>
      <c r="J94" s="577" t="str" cm="1">
        <f t="array" aca="1" ref="J94" ca="1">IF(B94&lt;&gt;"S","",IF(AND(ACOMPANHAMENTO="PLE",AUTOEVENTO="Manual",OR(H94&gt;0,ORÇAMENTO!AC94="QUANT."),OR(K94="",M94=0,N94="")),"►",IF(AND(ACOMPANHAMENTO="PLE",ORÇAMENTO!AC94="QUANT."),"►►",IF(AND(COUNTIF($P$11:$AA$11,"▼")=0,H94&gt;0,I94=""),"◄",""))))</f>
        <v>◄</v>
      </c>
      <c r="K94" s="626"/>
      <c r="L94" s="166" t="s">
        <v>765</v>
      </c>
      <c r="M94" s="167">
        <f ca="1">IF($D94&lt;&gt;"Serviço","",
          IF(AUTOEVENTO="manual",$A94,
                IF(ISERROR(MATCH($A94,$A$15:OFFSET($A94,-1,0),0)),MAX($M$15:OFFSET(M94,-1,0))+1,
                      INDEX($M$15:OFFSET(M94,-1,0),MATCH($A94,$A$15:OFFSET($A94,-1,0),0)))))</f>
        <v>9</v>
      </c>
      <c r="N94" s="168" t="str">
        <f ca="1">IF($D94&lt;&gt;"Serviço","",
         IF(AUTOEVENTO="Manual",
                IF($A94=0,"&lt;-- defina o número do agrupador",
                       OFFSET(EVENTOS!$D$15,$A94-$A$15,0)),
                OFFSET($F$15,$A94,0)))</f>
        <v>INSTALAÇÕES ELÉTRICAS</v>
      </c>
      <c r="O94" s="169"/>
      <c r="Q94" s="169"/>
      <c r="R94" s="170"/>
      <c r="S94" s="170"/>
      <c r="T94" s="170"/>
      <c r="U94" s="170"/>
      <c r="V94" s="170"/>
      <c r="W94" s="170"/>
      <c r="X94" s="170"/>
      <c r="Y94" s="170"/>
      <c r="Z94" s="171"/>
      <c r="AB94" s="454">
        <f ca="1">IF(AND($D94="Serviço",AB$12&lt;&gt;0,$H94&gt;0,OR(AUTOEVENTO&lt;&gt;"manual",$M94&lt;&gt;$A$15)),
        IF(Import.TipoArredondamento&lt;&gt;"TransfereGOV",
              ROUND(OFFSET($P94,0,AB$13),15-13*ORÇAMENTO!$AF$7)/$H94*OFFSET(ORÇAMENTO!$X$15,ROW(AB94)-ROW(AB$15),0),
              ROUND(ROUND(OFFSET($P94,0,AB$13),15-13*ORÇAMENTO!$AF$7)*OFFSET(ORÇAMENTO!$W$15,ROW(AB94)-ROW(AB$15),0),15-13*ORÇAMENTO!$AF$11)),
         0)</f>
        <v>0</v>
      </c>
      <c r="AC94" s="454">
        <f ca="1">IF(AND($D94="Serviço",AC$12&lt;&gt;0,$H94&gt;0,OR(AUTOEVENTO&lt;&gt;"manual",$M94&lt;&gt;$A$15)),
        IF(Import.TipoArredondamento&lt;&gt;"TransfereGOV",
              ROUND(OFFSET($P94,0,AC$13),15-13*ORÇAMENTO!$AF$7)/$H94*OFFSET(ORÇAMENTO!$X$15,ROW(AC94)-ROW(AC$15),0),
              ROUND(ROUND(OFFSET($P94,0,AC$13),15-13*ORÇAMENTO!$AF$7)*OFFSET(ORÇAMENTO!$W$15,ROW(AC94)-ROW(AC$15),0),15-13*ORÇAMENTO!$AF$11)),
         0)</f>
        <v>0</v>
      </c>
      <c r="AD94" s="454">
        <f ca="1">IF(AND($D94="Serviço",AD$12&lt;&gt;0,$H94&gt;0,OR(AUTOEVENTO&lt;&gt;"manual",$M94&lt;&gt;$A$15)),
        IF(Import.TipoArredondamento&lt;&gt;"TransfereGOV",
              ROUND(OFFSET($P94,0,AD$13),15-13*ORÇAMENTO!$AF$7)/$H94*OFFSET(ORÇAMENTO!$X$15,ROW(AD94)-ROW(AD$15),0),
              ROUND(ROUND(OFFSET($P94,0,AD$13),15-13*ORÇAMENTO!$AF$7)*OFFSET(ORÇAMENTO!$W$15,ROW(AD94)-ROW(AD$15),0),15-13*ORÇAMENTO!$AF$11)),
         0)</f>
        <v>0</v>
      </c>
      <c r="AE94" s="454">
        <f ca="1">IF(AND($D94="Serviço",AE$12&lt;&gt;0,$H94&gt;0,OR(AUTOEVENTO&lt;&gt;"manual",$M94&lt;&gt;$A$15)),
        IF(Import.TipoArredondamento&lt;&gt;"TransfereGOV",
              ROUND(OFFSET($P94,0,AE$13),15-13*ORÇAMENTO!$AF$7)/$H94*OFFSET(ORÇAMENTO!$X$15,ROW(AE94)-ROW(AE$15),0),
              ROUND(ROUND(OFFSET($P94,0,AE$13),15-13*ORÇAMENTO!$AF$7)*OFFSET(ORÇAMENTO!$W$15,ROW(AE94)-ROW(AE$15),0),15-13*ORÇAMENTO!$AF$11)),
         0)</f>
        <v>0</v>
      </c>
      <c r="AF94" s="454">
        <f ca="1">IF(AND($D94="Serviço",AF$12&lt;&gt;0,$H94&gt;0,OR(AUTOEVENTO&lt;&gt;"manual",$M94&lt;&gt;$A$15)),
        IF(Import.TipoArredondamento&lt;&gt;"TransfereGOV",
              ROUND(OFFSET($P94,0,AF$13),15-13*ORÇAMENTO!$AF$7)/$H94*OFFSET(ORÇAMENTO!$X$15,ROW(AF94)-ROW(AF$15),0),
              ROUND(ROUND(OFFSET($P94,0,AF$13),15-13*ORÇAMENTO!$AF$7)*OFFSET(ORÇAMENTO!$W$15,ROW(AF94)-ROW(AF$15),0),15-13*ORÇAMENTO!$AF$11)),
         0)</f>
        <v>0</v>
      </c>
      <c r="AG94" s="454">
        <f ca="1">IF(AND($D94="Serviço",AG$12&lt;&gt;0,$H94&gt;0,OR(AUTOEVENTO&lt;&gt;"manual",$M94&lt;&gt;$A$15)),
        IF(Import.TipoArredondamento&lt;&gt;"TransfereGOV",
              ROUND(OFFSET($P94,0,AG$13),15-13*ORÇAMENTO!$AF$7)/$H94*OFFSET(ORÇAMENTO!$X$15,ROW(AG94)-ROW(AG$15),0),
              ROUND(ROUND(OFFSET($P94,0,AG$13),15-13*ORÇAMENTO!$AF$7)*OFFSET(ORÇAMENTO!$W$15,ROW(AG94)-ROW(AG$15),0),15-13*ORÇAMENTO!$AF$11)),
         0)</f>
        <v>0</v>
      </c>
      <c r="AH94" s="454">
        <f ca="1">IF(AND($D94="Serviço",AH$12&lt;&gt;0,$H94&gt;0,OR(AUTOEVENTO&lt;&gt;"manual",$M94&lt;&gt;$A$15)),
        IF(Import.TipoArredondamento&lt;&gt;"TransfereGOV",
              ROUND(OFFSET($P94,0,AH$13),15-13*ORÇAMENTO!$AF$7)/$H94*OFFSET(ORÇAMENTO!$X$15,ROW(AH94)-ROW(AH$15),0),
              ROUND(ROUND(OFFSET($P94,0,AH$13),15-13*ORÇAMENTO!$AF$7)*OFFSET(ORÇAMENTO!$W$15,ROW(AH94)-ROW(AH$15),0),15-13*ORÇAMENTO!$AF$11)),
         0)</f>
        <v>0</v>
      </c>
      <c r="AI94" s="454">
        <f ca="1">IF(AND($D94="Serviço",AI$12&lt;&gt;0,$H94&gt;0,OR(AUTOEVENTO&lt;&gt;"manual",$M94&lt;&gt;$A$15)),
        IF(Import.TipoArredondamento&lt;&gt;"TransfereGOV",
              ROUND(OFFSET($P94,0,AI$13),15-13*ORÇAMENTO!$AF$7)/$H94*OFFSET(ORÇAMENTO!$X$15,ROW(AI94)-ROW(AI$15),0),
              ROUND(ROUND(OFFSET($P94,0,AI$13),15-13*ORÇAMENTO!$AF$7)*OFFSET(ORÇAMENTO!$W$15,ROW(AI94)-ROW(AI$15),0),15-13*ORÇAMENTO!$AF$11)),
         0)</f>
        <v>0</v>
      </c>
      <c r="AJ94" s="454">
        <f ca="1">IF(AND($D94="Serviço",AJ$12&lt;&gt;0,$H94&gt;0,OR(AUTOEVENTO&lt;&gt;"manual",$M94&lt;&gt;$A$15)),
        IF(Import.TipoArredondamento&lt;&gt;"TransfereGOV",
              ROUND(OFFSET($P94,0,AJ$13),15-13*ORÇAMENTO!$AF$7)/$H94*OFFSET(ORÇAMENTO!$X$15,ROW(AJ94)-ROW(AJ$15),0),
              ROUND(ROUND(OFFSET($P94,0,AJ$13),15-13*ORÇAMENTO!$AF$7)*OFFSET(ORÇAMENTO!$W$15,ROW(AJ94)-ROW(AJ$15),0),15-13*ORÇAMENTO!$AF$11)),
         0)</f>
        <v>0</v>
      </c>
      <c r="AK94" s="454">
        <f ca="1">IF(AND($D94="Serviço",AK$12&lt;&gt;0,$H94&gt;0,OR(AUTOEVENTO&lt;&gt;"manual",$M94&lt;&gt;$A$15)),
        IF(Import.TipoArredondamento&lt;&gt;"TransfereGOV",
              ROUND(OFFSET($P94,0,AK$13),15-13*ORÇAMENTO!$AF$7)/$H94*OFFSET(ORÇAMENTO!$X$15,ROW(AK94)-ROW(AK$15),0),
              ROUND(ROUND(OFFSET($P94,0,AK$13),15-13*ORÇAMENTO!$AF$7)*OFFSET(ORÇAMENTO!$W$15,ROW(AK94)-ROW(AK$15),0),15-13*ORÇAMENTO!$AF$11)),
         0)</f>
        <v>0</v>
      </c>
      <c r="AM94" s="172">
        <f ca="1">IF(OR($D94&lt;&gt;"Serviço",AND(AUTOEVENTO="Manual",$M94=$A$15)),0,
         IF(OFFSET(CRONOPLE!$F$15,$M94-$A$15,AM$13)="",10^12,OFFSET(CRONOPLE!$F$15,$M94-$A$15,AM$13)))</f>
        <v>1000000000000</v>
      </c>
      <c r="AN94" s="172">
        <f ca="1">IF(OR($D94&lt;&gt;"Serviço",AND(AUTOEVENTO="Manual",$M94=$A$15)),0,
         IF(OFFSET(CRONOPLE!$F$15,$M94-$A$15,AN$13)="",10^12,OFFSET(CRONOPLE!$F$15,$M94-$A$15,AN$13)))</f>
        <v>1000000000000</v>
      </c>
      <c r="AO94" s="172">
        <f ca="1">IF(OR($D94&lt;&gt;"Serviço",AND(AUTOEVENTO="Manual",$M94=$A$15)),0,
         IF(OFFSET(CRONOPLE!$F$15,$M94-$A$15,AO$13)="",10^12,OFFSET(CRONOPLE!$F$15,$M94-$A$15,AO$13)))</f>
        <v>1000000000000</v>
      </c>
      <c r="AP94" s="172">
        <f ca="1">IF(OR($D94&lt;&gt;"Serviço",AND(AUTOEVENTO="Manual",$M94=$A$15)),0,
         IF(OFFSET(CRONOPLE!$F$15,$M94-$A$15,AP$13)="",10^12,OFFSET(CRONOPLE!$F$15,$M94-$A$15,AP$13)))</f>
        <v>1000000000000</v>
      </c>
      <c r="AQ94" s="172">
        <f ca="1">IF(OR($D94&lt;&gt;"Serviço",AND(AUTOEVENTO="Manual",$M94=$A$15)),0,
         IF(OFFSET(CRONOPLE!$F$15,$M94-$A$15,AQ$13)="",10^12,OFFSET(CRONOPLE!$F$15,$M94-$A$15,AQ$13)))</f>
        <v>1000000000000</v>
      </c>
      <c r="AR94" s="172">
        <f ca="1">IF(OR($D94&lt;&gt;"Serviço",AND(AUTOEVENTO="Manual",$M94=$A$15)),0,
         IF(OFFSET(CRONOPLE!$F$15,$M94-$A$15,AR$13)="",10^12,OFFSET(CRONOPLE!$F$15,$M94-$A$15,AR$13)))</f>
        <v>1000000000000</v>
      </c>
      <c r="AS94" s="172">
        <f ca="1">IF(OR($D94&lt;&gt;"Serviço",AND(AUTOEVENTO="Manual",$M94=$A$15)),0,
         IF(OFFSET(CRONOPLE!$F$15,$M94-$A$15,AS$13)="",10^12,OFFSET(CRONOPLE!$F$15,$M94-$A$15,AS$13)))</f>
        <v>1000000000000</v>
      </c>
      <c r="AT94" s="172">
        <f ca="1">IF(OR($D94&lt;&gt;"Serviço",AND(AUTOEVENTO="Manual",$M94=$A$15)),0,
         IF(OFFSET(CRONOPLE!$F$15,$M94-$A$15,AT$13)="",10^12,OFFSET(CRONOPLE!$F$15,$M94-$A$15,AT$13)))</f>
        <v>1000000000000</v>
      </c>
      <c r="AU94" s="172">
        <f ca="1">IF(OR($D94&lt;&gt;"Serviço",AND(AUTOEVENTO="Manual",$M94=$A$15)),0,
         IF(OFFSET(CRONOPLE!$F$15,$M94-$A$15,AU$13)="",10^12,OFFSET(CRONOPLE!$F$15,$M94-$A$15,AU$13)))</f>
        <v>1000000000000</v>
      </c>
      <c r="AV94" s="172">
        <f ca="1">IF(OR($D94&lt;&gt;"Serviço",AND(AUTOEVENTO="Manual",$M94=$A$15)),0,
         IF(OFFSET(CRONOPLE!$F$15,$M94-$A$15,AV$13)="",10^12,OFFSET(CRONOPLE!$F$15,$M94-$A$15,AV$13)))</f>
        <v>1000000000000</v>
      </c>
      <c r="AX94" s="173">
        <f ca="1">IF(OR($D94&lt;&gt;"Serviço",AND(AUTOEVENTO="Manual",$M94=$A$15),$M94&gt;(ROW(PLE.lastrow)-ROW(PLE.firstrow))),0,
           IF(OFFSET(PLE!$G$15,$M94-$A$15,AX$13)="",10^12,OFFSET(PLE!$G$15,$M94-$A$15,AX$13)))</f>
        <v>1000000000000</v>
      </c>
      <c r="AY94" s="173">
        <f ca="1">IF(OR($D94&lt;&gt;"Serviço",AND(AUTOEVENTO="Manual",$M94=$A$15),$M94&gt;(ROW(PLE.lastrow)-ROW(PLE.firstrow))),0,
           IF(OFFSET(PLE!$G$15,$M94-$A$15,AY$13)="",10^12,OFFSET(PLE!$G$15,$M94-$A$15,AY$13)))</f>
        <v>1000000000000</v>
      </c>
      <c r="AZ94" s="173">
        <f ca="1">IF(OR($D94&lt;&gt;"Serviço",AND(AUTOEVENTO="Manual",$M94=$A$15),$M94&gt;(ROW(PLE.lastrow)-ROW(PLE.firstrow))),0,
           IF(OFFSET(PLE!$G$15,$M94-$A$15,AZ$13)="",10^12,OFFSET(PLE!$G$15,$M94-$A$15,AZ$13)))</f>
        <v>1000000000000</v>
      </c>
      <c r="BA94" s="173">
        <f ca="1">IF(OR($D94&lt;&gt;"Serviço",AND(AUTOEVENTO="Manual",$M94=$A$15),$M94&gt;(ROW(PLE.lastrow)-ROW(PLE.firstrow))),0,
           IF(OFFSET(PLE!$G$15,$M94-$A$15,BA$13)="",10^12,OFFSET(PLE!$G$15,$M94-$A$15,BA$13)))</f>
        <v>1000000000000</v>
      </c>
      <c r="BB94" s="173">
        <f ca="1">IF(OR($D94&lt;&gt;"Serviço",AND(AUTOEVENTO="Manual",$M94=$A$15),$M94&gt;(ROW(PLE.lastrow)-ROW(PLE.firstrow))),0,
           IF(OFFSET(PLE!$G$15,$M94-$A$15,BB$13)="",10^12,OFFSET(PLE!$G$15,$M94-$A$15,BB$13)))</f>
        <v>1000000000000</v>
      </c>
      <c r="BC94" s="173">
        <f ca="1">IF(OR($D94&lt;&gt;"Serviço",AND(AUTOEVENTO="Manual",$M94=$A$15),$M94&gt;(ROW(PLE.lastrow)-ROW(PLE.firstrow))),0,
           IF(OFFSET(PLE!$G$15,$M94-$A$15,BC$13)="",10^12,OFFSET(PLE!$G$15,$M94-$A$15,BC$13)))</f>
        <v>1000000000000</v>
      </c>
      <c r="BD94" s="173">
        <f ca="1">IF(OR($D94&lt;&gt;"Serviço",AND(AUTOEVENTO="Manual",$M94=$A$15),$M94&gt;(ROW(PLE.lastrow)-ROW(PLE.firstrow))),0,
           IF(OFFSET(PLE!$G$15,$M94-$A$15,BD$13)="",10^12,OFFSET(PLE!$G$15,$M94-$A$15,BD$13)))</f>
        <v>1000000000000</v>
      </c>
      <c r="BE94" s="173">
        <f ca="1">IF(OR($D94&lt;&gt;"Serviço",AND(AUTOEVENTO="Manual",$M94=$A$15),$M94&gt;(ROW(PLE.lastrow)-ROW(PLE.firstrow))),0,
           IF(OFFSET(PLE!$G$15,$M94-$A$15,BE$13)="",10^12,OFFSET(PLE!$G$15,$M94-$A$15,BE$13)))</f>
        <v>1000000000000</v>
      </c>
      <c r="BF94" s="173">
        <f ca="1">IF(OR($D94&lt;&gt;"Serviço",AND(AUTOEVENTO="Manual",$M94=$A$15),$M94&gt;(ROW(PLE.lastrow)-ROW(PLE.firstrow))),0,
           IF(OFFSET(PLE!$G$15,$M94-$A$15,BF$13)="",10^12,OFFSET(PLE!$G$15,$M94-$A$15,BF$13)))</f>
        <v>1000000000000</v>
      </c>
      <c r="BG94" s="173">
        <f ca="1">IF(OR($D94&lt;&gt;"Serviço",AND(AUTOEVENTO="Manual",$M94=$A$15),$M94&gt;(ROW(PLE.lastrow)-ROW(PLE.firstrow))),0,
           IF(OFFSET(PLE!$G$15,$M94-$A$15,BG$13)="",10^12,OFFSET(PLE!$G$15,$M94-$A$15,BG$13)))</f>
        <v>1000000000000</v>
      </c>
    </row>
    <row r="95" spans="1:59" ht="25.5" x14ac:dyDescent="0.2">
      <c r="A95" s="7" t="str">
        <f t="shared" ca="1" si="9"/>
        <v>39</v>
      </c>
      <c r="B95" s="7" t="str">
        <f ca="1">OFFSET(ORÇAMENTO!C$15,ROW(B95)-ROW(B$15),0)</f>
        <v>S</v>
      </c>
      <c r="C95" s="7" t="str">
        <f ca="1">OFFSET(ORÇAMENTO!L$15,ROW(C95)-ROW(C$15),0)</f>
        <v/>
      </c>
      <c r="D95" s="117" t="str">
        <f ca="1">OFFSET(ORÇAMENTO!N$15,ROW(D95)-ROW(D$15),0)</f>
        <v>Serviço</v>
      </c>
      <c r="E95" s="118" t="str">
        <f ca="1">OFFSET(ORÇAMENTO!O$15,ROW(E95)-ROW(E$15),0)</f>
        <v>-</v>
      </c>
      <c r="F95" s="164" t="str">
        <f ca="1">OFFSET(ORÇAMENTO!R$15,ROW(F95)-ROW(F$15),0)</f>
        <v xml:space="preserve">SOQUETE DE PORCELANA BASE E27, PARA USO AO TEMPO, PARA LAMPADAS                                                                                                                                                                                           </v>
      </c>
      <c r="G95" s="165" t="str">
        <f ca="1">IF($D95&lt;&gt;"Serviço","",OFFSET(ORÇAMENTO!S$15,ROW(G95)-ROW(G$15),0))</f>
        <v xml:space="preserve">UN    </v>
      </c>
      <c r="H95" s="123">
        <f ca="1">IF($D95&lt;&gt;"Serviço",0,IF(ACOMPANHAMENTO="BM",ROUND(OFFSET(ORÇAMENTO!AJ$15,ROW(H95)-ROW(H$15),0),15-13*ORÇAMENTO!$AF$7),SUMPRODUCT(($Q$1:$AA$1=1)*ROUND($Q95:$AA95,15-13*ORÇAMENTO!$AF$7))))</f>
        <v>9</v>
      </c>
      <c r="I95" s="469"/>
      <c r="J95" s="577" t="str" cm="1">
        <f t="array" aca="1" ref="J95" ca="1">IF(B95&lt;&gt;"S","",IF(AND(ACOMPANHAMENTO="PLE",AUTOEVENTO="Manual",OR(H95&gt;0,ORÇAMENTO!AC95="QUANT."),OR(K95="",M95=0,N95="")),"►",IF(AND(ACOMPANHAMENTO="PLE",ORÇAMENTO!AC95="QUANT."),"►►",IF(AND(COUNTIF($P$11:$AA$11,"▼")=0,H95&gt;0,I95=""),"◄",""))))</f>
        <v>◄</v>
      </c>
      <c r="K95" s="626"/>
      <c r="L95" s="166" t="s">
        <v>765</v>
      </c>
      <c r="M95" s="167">
        <f ca="1">IF($D95&lt;&gt;"Serviço","",
          IF(AUTOEVENTO="manual",$A95,
                IF(ISERROR(MATCH($A95,$A$15:OFFSET($A95,-1,0),0)),MAX($M$15:OFFSET(M95,-1,0))+1,
                      INDEX($M$15:OFFSET(M95,-1,0),MATCH($A95,$A$15:OFFSET($A95,-1,0),0)))))</f>
        <v>9</v>
      </c>
      <c r="N95" s="168" t="str">
        <f ca="1">IF($D95&lt;&gt;"Serviço","",
         IF(AUTOEVENTO="Manual",
                IF($A95=0,"&lt;-- defina o número do agrupador",
                       OFFSET(EVENTOS!$D$15,$A95-$A$15,0)),
                OFFSET($F$15,$A95,0)))</f>
        <v>INSTALAÇÕES ELÉTRICAS</v>
      </c>
      <c r="O95" s="169"/>
      <c r="Q95" s="169"/>
      <c r="R95" s="170"/>
      <c r="S95" s="170"/>
      <c r="T95" s="170"/>
      <c r="U95" s="170"/>
      <c r="V95" s="170"/>
      <c r="W95" s="170"/>
      <c r="X95" s="170"/>
      <c r="Y95" s="170"/>
      <c r="Z95" s="171"/>
      <c r="AB95" s="454">
        <f ca="1">IF(AND($D95="Serviço",AB$12&lt;&gt;0,$H95&gt;0,OR(AUTOEVENTO&lt;&gt;"manual",$M95&lt;&gt;$A$15)),
        IF(Import.TipoArredondamento&lt;&gt;"TransfereGOV",
              ROUND(OFFSET($P95,0,AB$13),15-13*ORÇAMENTO!$AF$7)/$H95*OFFSET(ORÇAMENTO!$X$15,ROW(AB95)-ROW(AB$15),0),
              ROUND(ROUND(OFFSET($P95,0,AB$13),15-13*ORÇAMENTO!$AF$7)*OFFSET(ORÇAMENTO!$W$15,ROW(AB95)-ROW(AB$15),0),15-13*ORÇAMENTO!$AF$11)),
         0)</f>
        <v>0</v>
      </c>
      <c r="AC95" s="454">
        <f ca="1">IF(AND($D95="Serviço",AC$12&lt;&gt;0,$H95&gt;0,OR(AUTOEVENTO&lt;&gt;"manual",$M95&lt;&gt;$A$15)),
        IF(Import.TipoArredondamento&lt;&gt;"TransfereGOV",
              ROUND(OFFSET($P95,0,AC$13),15-13*ORÇAMENTO!$AF$7)/$H95*OFFSET(ORÇAMENTO!$X$15,ROW(AC95)-ROW(AC$15),0),
              ROUND(ROUND(OFFSET($P95,0,AC$13),15-13*ORÇAMENTO!$AF$7)*OFFSET(ORÇAMENTO!$W$15,ROW(AC95)-ROW(AC$15),0),15-13*ORÇAMENTO!$AF$11)),
         0)</f>
        <v>0</v>
      </c>
      <c r="AD95" s="454">
        <f ca="1">IF(AND($D95="Serviço",AD$12&lt;&gt;0,$H95&gt;0,OR(AUTOEVENTO&lt;&gt;"manual",$M95&lt;&gt;$A$15)),
        IF(Import.TipoArredondamento&lt;&gt;"TransfereGOV",
              ROUND(OFFSET($P95,0,AD$13),15-13*ORÇAMENTO!$AF$7)/$H95*OFFSET(ORÇAMENTO!$X$15,ROW(AD95)-ROW(AD$15),0),
              ROUND(ROUND(OFFSET($P95,0,AD$13),15-13*ORÇAMENTO!$AF$7)*OFFSET(ORÇAMENTO!$W$15,ROW(AD95)-ROW(AD$15),0),15-13*ORÇAMENTO!$AF$11)),
         0)</f>
        <v>0</v>
      </c>
      <c r="AE95" s="454">
        <f ca="1">IF(AND($D95="Serviço",AE$12&lt;&gt;0,$H95&gt;0,OR(AUTOEVENTO&lt;&gt;"manual",$M95&lt;&gt;$A$15)),
        IF(Import.TipoArredondamento&lt;&gt;"TransfereGOV",
              ROUND(OFFSET($P95,0,AE$13),15-13*ORÇAMENTO!$AF$7)/$H95*OFFSET(ORÇAMENTO!$X$15,ROW(AE95)-ROW(AE$15),0),
              ROUND(ROUND(OFFSET($P95,0,AE$13),15-13*ORÇAMENTO!$AF$7)*OFFSET(ORÇAMENTO!$W$15,ROW(AE95)-ROW(AE$15),0),15-13*ORÇAMENTO!$AF$11)),
         0)</f>
        <v>0</v>
      </c>
      <c r="AF95" s="454">
        <f ca="1">IF(AND($D95="Serviço",AF$12&lt;&gt;0,$H95&gt;0,OR(AUTOEVENTO&lt;&gt;"manual",$M95&lt;&gt;$A$15)),
        IF(Import.TipoArredondamento&lt;&gt;"TransfereGOV",
              ROUND(OFFSET($P95,0,AF$13),15-13*ORÇAMENTO!$AF$7)/$H95*OFFSET(ORÇAMENTO!$X$15,ROW(AF95)-ROW(AF$15),0),
              ROUND(ROUND(OFFSET($P95,0,AF$13),15-13*ORÇAMENTO!$AF$7)*OFFSET(ORÇAMENTO!$W$15,ROW(AF95)-ROW(AF$15),0),15-13*ORÇAMENTO!$AF$11)),
         0)</f>
        <v>0</v>
      </c>
      <c r="AG95" s="454">
        <f ca="1">IF(AND($D95="Serviço",AG$12&lt;&gt;0,$H95&gt;0,OR(AUTOEVENTO&lt;&gt;"manual",$M95&lt;&gt;$A$15)),
        IF(Import.TipoArredondamento&lt;&gt;"TransfereGOV",
              ROUND(OFFSET($P95,0,AG$13),15-13*ORÇAMENTO!$AF$7)/$H95*OFFSET(ORÇAMENTO!$X$15,ROW(AG95)-ROW(AG$15),0),
              ROUND(ROUND(OFFSET($P95,0,AG$13),15-13*ORÇAMENTO!$AF$7)*OFFSET(ORÇAMENTO!$W$15,ROW(AG95)-ROW(AG$15),0),15-13*ORÇAMENTO!$AF$11)),
         0)</f>
        <v>0</v>
      </c>
      <c r="AH95" s="454">
        <f ca="1">IF(AND($D95="Serviço",AH$12&lt;&gt;0,$H95&gt;0,OR(AUTOEVENTO&lt;&gt;"manual",$M95&lt;&gt;$A$15)),
        IF(Import.TipoArredondamento&lt;&gt;"TransfereGOV",
              ROUND(OFFSET($P95,0,AH$13),15-13*ORÇAMENTO!$AF$7)/$H95*OFFSET(ORÇAMENTO!$X$15,ROW(AH95)-ROW(AH$15),0),
              ROUND(ROUND(OFFSET($P95,0,AH$13),15-13*ORÇAMENTO!$AF$7)*OFFSET(ORÇAMENTO!$W$15,ROW(AH95)-ROW(AH$15),0),15-13*ORÇAMENTO!$AF$11)),
         0)</f>
        <v>0</v>
      </c>
      <c r="AI95" s="454">
        <f ca="1">IF(AND($D95="Serviço",AI$12&lt;&gt;0,$H95&gt;0,OR(AUTOEVENTO&lt;&gt;"manual",$M95&lt;&gt;$A$15)),
        IF(Import.TipoArredondamento&lt;&gt;"TransfereGOV",
              ROUND(OFFSET($P95,0,AI$13),15-13*ORÇAMENTO!$AF$7)/$H95*OFFSET(ORÇAMENTO!$X$15,ROW(AI95)-ROW(AI$15),0),
              ROUND(ROUND(OFFSET($P95,0,AI$13),15-13*ORÇAMENTO!$AF$7)*OFFSET(ORÇAMENTO!$W$15,ROW(AI95)-ROW(AI$15),0),15-13*ORÇAMENTO!$AF$11)),
         0)</f>
        <v>0</v>
      </c>
      <c r="AJ95" s="454">
        <f ca="1">IF(AND($D95="Serviço",AJ$12&lt;&gt;0,$H95&gt;0,OR(AUTOEVENTO&lt;&gt;"manual",$M95&lt;&gt;$A$15)),
        IF(Import.TipoArredondamento&lt;&gt;"TransfereGOV",
              ROUND(OFFSET($P95,0,AJ$13),15-13*ORÇAMENTO!$AF$7)/$H95*OFFSET(ORÇAMENTO!$X$15,ROW(AJ95)-ROW(AJ$15),0),
              ROUND(ROUND(OFFSET($P95,0,AJ$13),15-13*ORÇAMENTO!$AF$7)*OFFSET(ORÇAMENTO!$W$15,ROW(AJ95)-ROW(AJ$15),0),15-13*ORÇAMENTO!$AF$11)),
         0)</f>
        <v>0</v>
      </c>
      <c r="AK95" s="454">
        <f ca="1">IF(AND($D95="Serviço",AK$12&lt;&gt;0,$H95&gt;0,OR(AUTOEVENTO&lt;&gt;"manual",$M95&lt;&gt;$A$15)),
        IF(Import.TipoArredondamento&lt;&gt;"TransfereGOV",
              ROUND(OFFSET($P95,0,AK$13),15-13*ORÇAMENTO!$AF$7)/$H95*OFFSET(ORÇAMENTO!$X$15,ROW(AK95)-ROW(AK$15),0),
              ROUND(ROUND(OFFSET($P95,0,AK$13),15-13*ORÇAMENTO!$AF$7)*OFFSET(ORÇAMENTO!$W$15,ROW(AK95)-ROW(AK$15),0),15-13*ORÇAMENTO!$AF$11)),
         0)</f>
        <v>0</v>
      </c>
      <c r="AM95" s="172">
        <f ca="1">IF(OR($D95&lt;&gt;"Serviço",AND(AUTOEVENTO="Manual",$M95=$A$15)),0,
         IF(OFFSET(CRONOPLE!$F$15,$M95-$A$15,AM$13)="",10^12,OFFSET(CRONOPLE!$F$15,$M95-$A$15,AM$13)))</f>
        <v>1000000000000</v>
      </c>
      <c r="AN95" s="172">
        <f ca="1">IF(OR($D95&lt;&gt;"Serviço",AND(AUTOEVENTO="Manual",$M95=$A$15)),0,
         IF(OFFSET(CRONOPLE!$F$15,$M95-$A$15,AN$13)="",10^12,OFFSET(CRONOPLE!$F$15,$M95-$A$15,AN$13)))</f>
        <v>1000000000000</v>
      </c>
      <c r="AO95" s="172">
        <f ca="1">IF(OR($D95&lt;&gt;"Serviço",AND(AUTOEVENTO="Manual",$M95=$A$15)),0,
         IF(OFFSET(CRONOPLE!$F$15,$M95-$A$15,AO$13)="",10^12,OFFSET(CRONOPLE!$F$15,$M95-$A$15,AO$13)))</f>
        <v>1000000000000</v>
      </c>
      <c r="AP95" s="172">
        <f ca="1">IF(OR($D95&lt;&gt;"Serviço",AND(AUTOEVENTO="Manual",$M95=$A$15)),0,
         IF(OFFSET(CRONOPLE!$F$15,$M95-$A$15,AP$13)="",10^12,OFFSET(CRONOPLE!$F$15,$M95-$A$15,AP$13)))</f>
        <v>1000000000000</v>
      </c>
      <c r="AQ95" s="172">
        <f ca="1">IF(OR($D95&lt;&gt;"Serviço",AND(AUTOEVENTO="Manual",$M95=$A$15)),0,
         IF(OFFSET(CRONOPLE!$F$15,$M95-$A$15,AQ$13)="",10^12,OFFSET(CRONOPLE!$F$15,$M95-$A$15,AQ$13)))</f>
        <v>1000000000000</v>
      </c>
      <c r="AR95" s="172">
        <f ca="1">IF(OR($D95&lt;&gt;"Serviço",AND(AUTOEVENTO="Manual",$M95=$A$15)),0,
         IF(OFFSET(CRONOPLE!$F$15,$M95-$A$15,AR$13)="",10^12,OFFSET(CRONOPLE!$F$15,$M95-$A$15,AR$13)))</f>
        <v>1000000000000</v>
      </c>
      <c r="AS95" s="172">
        <f ca="1">IF(OR($D95&lt;&gt;"Serviço",AND(AUTOEVENTO="Manual",$M95=$A$15)),0,
         IF(OFFSET(CRONOPLE!$F$15,$M95-$A$15,AS$13)="",10^12,OFFSET(CRONOPLE!$F$15,$M95-$A$15,AS$13)))</f>
        <v>1000000000000</v>
      </c>
      <c r="AT95" s="172">
        <f ca="1">IF(OR($D95&lt;&gt;"Serviço",AND(AUTOEVENTO="Manual",$M95=$A$15)),0,
         IF(OFFSET(CRONOPLE!$F$15,$M95-$A$15,AT$13)="",10^12,OFFSET(CRONOPLE!$F$15,$M95-$A$15,AT$13)))</f>
        <v>1000000000000</v>
      </c>
      <c r="AU95" s="172">
        <f ca="1">IF(OR($D95&lt;&gt;"Serviço",AND(AUTOEVENTO="Manual",$M95=$A$15)),0,
         IF(OFFSET(CRONOPLE!$F$15,$M95-$A$15,AU$13)="",10^12,OFFSET(CRONOPLE!$F$15,$M95-$A$15,AU$13)))</f>
        <v>1000000000000</v>
      </c>
      <c r="AV95" s="172">
        <f ca="1">IF(OR($D95&lt;&gt;"Serviço",AND(AUTOEVENTO="Manual",$M95=$A$15)),0,
         IF(OFFSET(CRONOPLE!$F$15,$M95-$A$15,AV$13)="",10^12,OFFSET(CRONOPLE!$F$15,$M95-$A$15,AV$13)))</f>
        <v>1000000000000</v>
      </c>
      <c r="AX95" s="173">
        <f ca="1">IF(OR($D95&lt;&gt;"Serviço",AND(AUTOEVENTO="Manual",$M95=$A$15),$M95&gt;(ROW(PLE.lastrow)-ROW(PLE.firstrow))),0,
           IF(OFFSET(PLE!$G$15,$M95-$A$15,AX$13)="",10^12,OFFSET(PLE!$G$15,$M95-$A$15,AX$13)))</f>
        <v>1000000000000</v>
      </c>
      <c r="AY95" s="173">
        <f ca="1">IF(OR($D95&lt;&gt;"Serviço",AND(AUTOEVENTO="Manual",$M95=$A$15),$M95&gt;(ROW(PLE.lastrow)-ROW(PLE.firstrow))),0,
           IF(OFFSET(PLE!$G$15,$M95-$A$15,AY$13)="",10^12,OFFSET(PLE!$G$15,$M95-$A$15,AY$13)))</f>
        <v>1000000000000</v>
      </c>
      <c r="AZ95" s="173">
        <f ca="1">IF(OR($D95&lt;&gt;"Serviço",AND(AUTOEVENTO="Manual",$M95=$A$15),$M95&gt;(ROW(PLE.lastrow)-ROW(PLE.firstrow))),0,
           IF(OFFSET(PLE!$G$15,$M95-$A$15,AZ$13)="",10^12,OFFSET(PLE!$G$15,$M95-$A$15,AZ$13)))</f>
        <v>1000000000000</v>
      </c>
      <c r="BA95" s="173">
        <f ca="1">IF(OR($D95&lt;&gt;"Serviço",AND(AUTOEVENTO="Manual",$M95=$A$15),$M95&gt;(ROW(PLE.lastrow)-ROW(PLE.firstrow))),0,
           IF(OFFSET(PLE!$G$15,$M95-$A$15,BA$13)="",10^12,OFFSET(PLE!$G$15,$M95-$A$15,BA$13)))</f>
        <v>1000000000000</v>
      </c>
      <c r="BB95" s="173">
        <f ca="1">IF(OR($D95&lt;&gt;"Serviço",AND(AUTOEVENTO="Manual",$M95=$A$15),$M95&gt;(ROW(PLE.lastrow)-ROW(PLE.firstrow))),0,
           IF(OFFSET(PLE!$G$15,$M95-$A$15,BB$13)="",10^12,OFFSET(PLE!$G$15,$M95-$A$15,BB$13)))</f>
        <v>1000000000000</v>
      </c>
      <c r="BC95" s="173">
        <f ca="1">IF(OR($D95&lt;&gt;"Serviço",AND(AUTOEVENTO="Manual",$M95=$A$15),$M95&gt;(ROW(PLE.lastrow)-ROW(PLE.firstrow))),0,
           IF(OFFSET(PLE!$G$15,$M95-$A$15,BC$13)="",10^12,OFFSET(PLE!$G$15,$M95-$A$15,BC$13)))</f>
        <v>1000000000000</v>
      </c>
      <c r="BD95" s="173">
        <f ca="1">IF(OR($D95&lt;&gt;"Serviço",AND(AUTOEVENTO="Manual",$M95=$A$15),$M95&gt;(ROW(PLE.lastrow)-ROW(PLE.firstrow))),0,
           IF(OFFSET(PLE!$G$15,$M95-$A$15,BD$13)="",10^12,OFFSET(PLE!$G$15,$M95-$A$15,BD$13)))</f>
        <v>1000000000000</v>
      </c>
      <c r="BE95" s="173">
        <f ca="1">IF(OR($D95&lt;&gt;"Serviço",AND(AUTOEVENTO="Manual",$M95=$A$15),$M95&gt;(ROW(PLE.lastrow)-ROW(PLE.firstrow))),0,
           IF(OFFSET(PLE!$G$15,$M95-$A$15,BE$13)="",10^12,OFFSET(PLE!$G$15,$M95-$A$15,BE$13)))</f>
        <v>1000000000000</v>
      </c>
      <c r="BF95" s="173">
        <f ca="1">IF(OR($D95&lt;&gt;"Serviço",AND(AUTOEVENTO="Manual",$M95=$A$15),$M95&gt;(ROW(PLE.lastrow)-ROW(PLE.firstrow))),0,
           IF(OFFSET(PLE!$G$15,$M95-$A$15,BF$13)="",10^12,OFFSET(PLE!$G$15,$M95-$A$15,BF$13)))</f>
        <v>1000000000000</v>
      </c>
      <c r="BG95" s="173">
        <f ca="1">IF(OR($D95&lt;&gt;"Serviço",AND(AUTOEVENTO="Manual",$M95=$A$15),$M95&gt;(ROW(PLE.lastrow)-ROW(PLE.firstrow))),0,
           IF(OFFSET(PLE!$G$15,$M95-$A$15,BG$13)="",10^12,OFFSET(PLE!$G$15,$M95-$A$15,BG$13)))</f>
        <v>1000000000000</v>
      </c>
    </row>
    <row r="96" spans="1:59" ht="12.75" x14ac:dyDescent="0.2">
      <c r="A96" s="7" t="str">
        <f t="shared" ca="1" si="9"/>
        <v>39</v>
      </c>
      <c r="B96" s="7" t="str">
        <f ca="1">OFFSET(ORÇAMENTO!C$15,ROW(B96)-ROW(B$15),0)</f>
        <v>S</v>
      </c>
      <c r="C96" s="7" t="str">
        <f ca="1">OFFSET(ORÇAMENTO!L$15,ROW(C96)-ROW(C$15),0)</f>
        <v/>
      </c>
      <c r="D96" s="117" t="str">
        <f ca="1">OFFSET(ORÇAMENTO!N$15,ROW(D96)-ROW(D$15),0)</f>
        <v>Serviço</v>
      </c>
      <c r="E96" s="118" t="str">
        <f ca="1">OFFSET(ORÇAMENTO!O$15,ROW(E96)-ROW(E$15),0)</f>
        <v>-</v>
      </c>
      <c r="F96" s="164" t="str">
        <f ca="1">OFFSET(ORÇAMENTO!R$15,ROW(F96)-ROW(F$15),0)</f>
        <v>SPOT DE EMBUTIR NO PISO 9W, PARA ÁREA EXTERNA</v>
      </c>
      <c r="G96" s="165" t="str">
        <f ca="1">IF($D96&lt;&gt;"Serviço","",OFFSET(ORÇAMENTO!S$15,ROW(G96)-ROW(G$15),0))</f>
        <v>UN</v>
      </c>
      <c r="H96" s="123">
        <f ca="1">IF($D96&lt;&gt;"Serviço",0,IF(ACOMPANHAMENTO="BM",ROUND(OFFSET(ORÇAMENTO!AJ$15,ROW(H96)-ROW(H$15),0),15-13*ORÇAMENTO!$AF$7),SUMPRODUCT(($Q$1:$AA$1=1)*ROUND($Q96:$AA96,15-13*ORÇAMENTO!$AF$7))))</f>
        <v>9</v>
      </c>
      <c r="I96" s="469"/>
      <c r="J96" s="577" t="str" cm="1">
        <f t="array" aca="1" ref="J96" ca="1">IF(B96&lt;&gt;"S","",IF(AND(ACOMPANHAMENTO="PLE",AUTOEVENTO="Manual",OR(H96&gt;0,ORÇAMENTO!AC96="QUANT."),OR(K96="",M96=0,N96="")),"►",IF(AND(ACOMPANHAMENTO="PLE",ORÇAMENTO!AC96="QUANT."),"►►",IF(AND(COUNTIF($P$11:$AA$11,"▼")=0,H96&gt;0,I96=""),"◄",""))))</f>
        <v>◄</v>
      </c>
      <c r="K96" s="626"/>
      <c r="L96" s="166" t="s">
        <v>765</v>
      </c>
      <c r="M96" s="167">
        <f ca="1">IF($D96&lt;&gt;"Serviço","",
          IF(AUTOEVENTO="manual",$A96,
                IF(ISERROR(MATCH($A96,$A$15:OFFSET($A96,-1,0),0)),MAX($M$15:OFFSET(M96,-1,0))+1,
                      INDEX($M$15:OFFSET(M96,-1,0),MATCH($A96,$A$15:OFFSET($A96,-1,0),0)))))</f>
        <v>9</v>
      </c>
      <c r="N96" s="168" t="str">
        <f ca="1">IF($D96&lt;&gt;"Serviço","",
         IF(AUTOEVENTO="Manual",
                IF($A96=0,"&lt;-- defina o número do agrupador",
                       OFFSET(EVENTOS!$D$15,$A96-$A$15,0)),
                OFFSET($F$15,$A96,0)))</f>
        <v>INSTALAÇÕES ELÉTRICAS</v>
      </c>
      <c r="O96" s="169"/>
      <c r="Q96" s="169"/>
      <c r="R96" s="170"/>
      <c r="S96" s="170"/>
      <c r="T96" s="170"/>
      <c r="U96" s="170"/>
      <c r="V96" s="170"/>
      <c r="W96" s="170"/>
      <c r="X96" s="170"/>
      <c r="Y96" s="170"/>
      <c r="Z96" s="171"/>
      <c r="AB96" s="454">
        <f ca="1">IF(AND($D96="Serviço",AB$12&lt;&gt;0,$H96&gt;0,OR(AUTOEVENTO&lt;&gt;"manual",$M96&lt;&gt;$A$15)),
        IF(Import.TipoArredondamento&lt;&gt;"TransfereGOV",
              ROUND(OFFSET($P96,0,AB$13),15-13*ORÇAMENTO!$AF$7)/$H96*OFFSET(ORÇAMENTO!$X$15,ROW(AB96)-ROW(AB$15),0),
              ROUND(ROUND(OFFSET($P96,0,AB$13),15-13*ORÇAMENTO!$AF$7)*OFFSET(ORÇAMENTO!$W$15,ROW(AB96)-ROW(AB$15),0),15-13*ORÇAMENTO!$AF$11)),
         0)</f>
        <v>0</v>
      </c>
      <c r="AC96" s="454">
        <f ca="1">IF(AND($D96="Serviço",AC$12&lt;&gt;0,$H96&gt;0,OR(AUTOEVENTO&lt;&gt;"manual",$M96&lt;&gt;$A$15)),
        IF(Import.TipoArredondamento&lt;&gt;"TransfereGOV",
              ROUND(OFFSET($P96,0,AC$13),15-13*ORÇAMENTO!$AF$7)/$H96*OFFSET(ORÇAMENTO!$X$15,ROW(AC96)-ROW(AC$15),0),
              ROUND(ROUND(OFFSET($P96,0,AC$13),15-13*ORÇAMENTO!$AF$7)*OFFSET(ORÇAMENTO!$W$15,ROW(AC96)-ROW(AC$15),0),15-13*ORÇAMENTO!$AF$11)),
         0)</f>
        <v>0</v>
      </c>
      <c r="AD96" s="454">
        <f ca="1">IF(AND($D96="Serviço",AD$12&lt;&gt;0,$H96&gt;0,OR(AUTOEVENTO&lt;&gt;"manual",$M96&lt;&gt;$A$15)),
        IF(Import.TipoArredondamento&lt;&gt;"TransfereGOV",
              ROUND(OFFSET($P96,0,AD$13),15-13*ORÇAMENTO!$AF$7)/$H96*OFFSET(ORÇAMENTO!$X$15,ROW(AD96)-ROW(AD$15),0),
              ROUND(ROUND(OFFSET($P96,0,AD$13),15-13*ORÇAMENTO!$AF$7)*OFFSET(ORÇAMENTO!$W$15,ROW(AD96)-ROW(AD$15),0),15-13*ORÇAMENTO!$AF$11)),
         0)</f>
        <v>0</v>
      </c>
      <c r="AE96" s="454">
        <f ca="1">IF(AND($D96="Serviço",AE$12&lt;&gt;0,$H96&gt;0,OR(AUTOEVENTO&lt;&gt;"manual",$M96&lt;&gt;$A$15)),
        IF(Import.TipoArredondamento&lt;&gt;"TransfereGOV",
              ROUND(OFFSET($P96,0,AE$13),15-13*ORÇAMENTO!$AF$7)/$H96*OFFSET(ORÇAMENTO!$X$15,ROW(AE96)-ROW(AE$15),0),
              ROUND(ROUND(OFFSET($P96,0,AE$13),15-13*ORÇAMENTO!$AF$7)*OFFSET(ORÇAMENTO!$W$15,ROW(AE96)-ROW(AE$15),0),15-13*ORÇAMENTO!$AF$11)),
         0)</f>
        <v>0</v>
      </c>
      <c r="AF96" s="454">
        <f ca="1">IF(AND($D96="Serviço",AF$12&lt;&gt;0,$H96&gt;0,OR(AUTOEVENTO&lt;&gt;"manual",$M96&lt;&gt;$A$15)),
        IF(Import.TipoArredondamento&lt;&gt;"TransfereGOV",
              ROUND(OFFSET($P96,0,AF$13),15-13*ORÇAMENTO!$AF$7)/$H96*OFFSET(ORÇAMENTO!$X$15,ROW(AF96)-ROW(AF$15),0),
              ROUND(ROUND(OFFSET($P96,0,AF$13),15-13*ORÇAMENTO!$AF$7)*OFFSET(ORÇAMENTO!$W$15,ROW(AF96)-ROW(AF$15),0),15-13*ORÇAMENTO!$AF$11)),
         0)</f>
        <v>0</v>
      </c>
      <c r="AG96" s="454">
        <f ca="1">IF(AND($D96="Serviço",AG$12&lt;&gt;0,$H96&gt;0,OR(AUTOEVENTO&lt;&gt;"manual",$M96&lt;&gt;$A$15)),
        IF(Import.TipoArredondamento&lt;&gt;"TransfereGOV",
              ROUND(OFFSET($P96,0,AG$13),15-13*ORÇAMENTO!$AF$7)/$H96*OFFSET(ORÇAMENTO!$X$15,ROW(AG96)-ROW(AG$15),0),
              ROUND(ROUND(OFFSET($P96,0,AG$13),15-13*ORÇAMENTO!$AF$7)*OFFSET(ORÇAMENTO!$W$15,ROW(AG96)-ROW(AG$15),0),15-13*ORÇAMENTO!$AF$11)),
         0)</f>
        <v>0</v>
      </c>
      <c r="AH96" s="454">
        <f ca="1">IF(AND($D96="Serviço",AH$12&lt;&gt;0,$H96&gt;0,OR(AUTOEVENTO&lt;&gt;"manual",$M96&lt;&gt;$A$15)),
        IF(Import.TipoArredondamento&lt;&gt;"TransfereGOV",
              ROUND(OFFSET($P96,0,AH$13),15-13*ORÇAMENTO!$AF$7)/$H96*OFFSET(ORÇAMENTO!$X$15,ROW(AH96)-ROW(AH$15),0),
              ROUND(ROUND(OFFSET($P96,0,AH$13),15-13*ORÇAMENTO!$AF$7)*OFFSET(ORÇAMENTO!$W$15,ROW(AH96)-ROW(AH$15),0),15-13*ORÇAMENTO!$AF$11)),
         0)</f>
        <v>0</v>
      </c>
      <c r="AI96" s="454">
        <f ca="1">IF(AND($D96="Serviço",AI$12&lt;&gt;0,$H96&gt;0,OR(AUTOEVENTO&lt;&gt;"manual",$M96&lt;&gt;$A$15)),
        IF(Import.TipoArredondamento&lt;&gt;"TransfereGOV",
              ROUND(OFFSET($P96,0,AI$13),15-13*ORÇAMENTO!$AF$7)/$H96*OFFSET(ORÇAMENTO!$X$15,ROW(AI96)-ROW(AI$15),0),
              ROUND(ROUND(OFFSET($P96,0,AI$13),15-13*ORÇAMENTO!$AF$7)*OFFSET(ORÇAMENTO!$W$15,ROW(AI96)-ROW(AI$15),0),15-13*ORÇAMENTO!$AF$11)),
         0)</f>
        <v>0</v>
      </c>
      <c r="AJ96" s="454">
        <f ca="1">IF(AND($D96="Serviço",AJ$12&lt;&gt;0,$H96&gt;0,OR(AUTOEVENTO&lt;&gt;"manual",$M96&lt;&gt;$A$15)),
        IF(Import.TipoArredondamento&lt;&gt;"TransfereGOV",
              ROUND(OFFSET($P96,0,AJ$13),15-13*ORÇAMENTO!$AF$7)/$H96*OFFSET(ORÇAMENTO!$X$15,ROW(AJ96)-ROW(AJ$15),0),
              ROUND(ROUND(OFFSET($P96,0,AJ$13),15-13*ORÇAMENTO!$AF$7)*OFFSET(ORÇAMENTO!$W$15,ROW(AJ96)-ROW(AJ$15),0),15-13*ORÇAMENTO!$AF$11)),
         0)</f>
        <v>0</v>
      </c>
      <c r="AK96" s="454">
        <f ca="1">IF(AND($D96="Serviço",AK$12&lt;&gt;0,$H96&gt;0,OR(AUTOEVENTO&lt;&gt;"manual",$M96&lt;&gt;$A$15)),
        IF(Import.TipoArredondamento&lt;&gt;"TransfereGOV",
              ROUND(OFFSET($P96,0,AK$13),15-13*ORÇAMENTO!$AF$7)/$H96*OFFSET(ORÇAMENTO!$X$15,ROW(AK96)-ROW(AK$15),0),
              ROUND(ROUND(OFFSET($P96,0,AK$13),15-13*ORÇAMENTO!$AF$7)*OFFSET(ORÇAMENTO!$W$15,ROW(AK96)-ROW(AK$15),0),15-13*ORÇAMENTO!$AF$11)),
         0)</f>
        <v>0</v>
      </c>
      <c r="AM96" s="172">
        <f ca="1">IF(OR($D96&lt;&gt;"Serviço",AND(AUTOEVENTO="Manual",$M96=$A$15)),0,
         IF(OFFSET(CRONOPLE!$F$15,$M96-$A$15,AM$13)="",10^12,OFFSET(CRONOPLE!$F$15,$M96-$A$15,AM$13)))</f>
        <v>1000000000000</v>
      </c>
      <c r="AN96" s="172">
        <f ca="1">IF(OR($D96&lt;&gt;"Serviço",AND(AUTOEVENTO="Manual",$M96=$A$15)),0,
         IF(OFFSET(CRONOPLE!$F$15,$M96-$A$15,AN$13)="",10^12,OFFSET(CRONOPLE!$F$15,$M96-$A$15,AN$13)))</f>
        <v>1000000000000</v>
      </c>
      <c r="AO96" s="172">
        <f ca="1">IF(OR($D96&lt;&gt;"Serviço",AND(AUTOEVENTO="Manual",$M96=$A$15)),0,
         IF(OFFSET(CRONOPLE!$F$15,$M96-$A$15,AO$13)="",10^12,OFFSET(CRONOPLE!$F$15,$M96-$A$15,AO$13)))</f>
        <v>1000000000000</v>
      </c>
      <c r="AP96" s="172">
        <f ca="1">IF(OR($D96&lt;&gt;"Serviço",AND(AUTOEVENTO="Manual",$M96=$A$15)),0,
         IF(OFFSET(CRONOPLE!$F$15,$M96-$A$15,AP$13)="",10^12,OFFSET(CRONOPLE!$F$15,$M96-$A$15,AP$13)))</f>
        <v>1000000000000</v>
      </c>
      <c r="AQ96" s="172">
        <f ca="1">IF(OR($D96&lt;&gt;"Serviço",AND(AUTOEVENTO="Manual",$M96=$A$15)),0,
         IF(OFFSET(CRONOPLE!$F$15,$M96-$A$15,AQ$13)="",10^12,OFFSET(CRONOPLE!$F$15,$M96-$A$15,AQ$13)))</f>
        <v>1000000000000</v>
      </c>
      <c r="AR96" s="172">
        <f ca="1">IF(OR($D96&lt;&gt;"Serviço",AND(AUTOEVENTO="Manual",$M96=$A$15)),0,
         IF(OFFSET(CRONOPLE!$F$15,$M96-$A$15,AR$13)="",10^12,OFFSET(CRONOPLE!$F$15,$M96-$A$15,AR$13)))</f>
        <v>1000000000000</v>
      </c>
      <c r="AS96" s="172">
        <f ca="1">IF(OR($D96&lt;&gt;"Serviço",AND(AUTOEVENTO="Manual",$M96=$A$15)),0,
         IF(OFFSET(CRONOPLE!$F$15,$M96-$A$15,AS$13)="",10^12,OFFSET(CRONOPLE!$F$15,$M96-$A$15,AS$13)))</f>
        <v>1000000000000</v>
      </c>
      <c r="AT96" s="172">
        <f ca="1">IF(OR($D96&lt;&gt;"Serviço",AND(AUTOEVENTO="Manual",$M96=$A$15)),0,
         IF(OFFSET(CRONOPLE!$F$15,$M96-$A$15,AT$13)="",10^12,OFFSET(CRONOPLE!$F$15,$M96-$A$15,AT$13)))</f>
        <v>1000000000000</v>
      </c>
      <c r="AU96" s="172">
        <f ca="1">IF(OR($D96&lt;&gt;"Serviço",AND(AUTOEVENTO="Manual",$M96=$A$15)),0,
         IF(OFFSET(CRONOPLE!$F$15,$M96-$A$15,AU$13)="",10^12,OFFSET(CRONOPLE!$F$15,$M96-$A$15,AU$13)))</f>
        <v>1000000000000</v>
      </c>
      <c r="AV96" s="172">
        <f ca="1">IF(OR($D96&lt;&gt;"Serviço",AND(AUTOEVENTO="Manual",$M96=$A$15)),0,
         IF(OFFSET(CRONOPLE!$F$15,$M96-$A$15,AV$13)="",10^12,OFFSET(CRONOPLE!$F$15,$M96-$A$15,AV$13)))</f>
        <v>1000000000000</v>
      </c>
      <c r="AX96" s="173">
        <f ca="1">IF(OR($D96&lt;&gt;"Serviço",AND(AUTOEVENTO="Manual",$M96=$A$15),$M96&gt;(ROW(PLE.lastrow)-ROW(PLE.firstrow))),0,
           IF(OFFSET(PLE!$G$15,$M96-$A$15,AX$13)="",10^12,OFFSET(PLE!$G$15,$M96-$A$15,AX$13)))</f>
        <v>1000000000000</v>
      </c>
      <c r="AY96" s="173">
        <f ca="1">IF(OR($D96&lt;&gt;"Serviço",AND(AUTOEVENTO="Manual",$M96=$A$15),$M96&gt;(ROW(PLE.lastrow)-ROW(PLE.firstrow))),0,
           IF(OFFSET(PLE!$G$15,$M96-$A$15,AY$13)="",10^12,OFFSET(PLE!$G$15,$M96-$A$15,AY$13)))</f>
        <v>1000000000000</v>
      </c>
      <c r="AZ96" s="173">
        <f ca="1">IF(OR($D96&lt;&gt;"Serviço",AND(AUTOEVENTO="Manual",$M96=$A$15),$M96&gt;(ROW(PLE.lastrow)-ROW(PLE.firstrow))),0,
           IF(OFFSET(PLE!$G$15,$M96-$A$15,AZ$13)="",10^12,OFFSET(PLE!$G$15,$M96-$A$15,AZ$13)))</f>
        <v>1000000000000</v>
      </c>
      <c r="BA96" s="173">
        <f ca="1">IF(OR($D96&lt;&gt;"Serviço",AND(AUTOEVENTO="Manual",$M96=$A$15),$M96&gt;(ROW(PLE.lastrow)-ROW(PLE.firstrow))),0,
           IF(OFFSET(PLE!$G$15,$M96-$A$15,BA$13)="",10^12,OFFSET(PLE!$G$15,$M96-$A$15,BA$13)))</f>
        <v>1000000000000</v>
      </c>
      <c r="BB96" s="173">
        <f ca="1">IF(OR($D96&lt;&gt;"Serviço",AND(AUTOEVENTO="Manual",$M96=$A$15),$M96&gt;(ROW(PLE.lastrow)-ROW(PLE.firstrow))),0,
           IF(OFFSET(PLE!$G$15,$M96-$A$15,BB$13)="",10^12,OFFSET(PLE!$G$15,$M96-$A$15,BB$13)))</f>
        <v>1000000000000</v>
      </c>
      <c r="BC96" s="173">
        <f ca="1">IF(OR($D96&lt;&gt;"Serviço",AND(AUTOEVENTO="Manual",$M96=$A$15),$M96&gt;(ROW(PLE.lastrow)-ROW(PLE.firstrow))),0,
           IF(OFFSET(PLE!$G$15,$M96-$A$15,BC$13)="",10^12,OFFSET(PLE!$G$15,$M96-$A$15,BC$13)))</f>
        <v>1000000000000</v>
      </c>
      <c r="BD96" s="173">
        <f ca="1">IF(OR($D96&lt;&gt;"Serviço",AND(AUTOEVENTO="Manual",$M96=$A$15),$M96&gt;(ROW(PLE.lastrow)-ROW(PLE.firstrow))),0,
           IF(OFFSET(PLE!$G$15,$M96-$A$15,BD$13)="",10^12,OFFSET(PLE!$G$15,$M96-$A$15,BD$13)))</f>
        <v>1000000000000</v>
      </c>
      <c r="BE96" s="173">
        <f ca="1">IF(OR($D96&lt;&gt;"Serviço",AND(AUTOEVENTO="Manual",$M96=$A$15),$M96&gt;(ROW(PLE.lastrow)-ROW(PLE.firstrow))),0,
           IF(OFFSET(PLE!$G$15,$M96-$A$15,BE$13)="",10^12,OFFSET(PLE!$G$15,$M96-$A$15,BE$13)))</f>
        <v>1000000000000</v>
      </c>
      <c r="BF96" s="173">
        <f ca="1">IF(OR($D96&lt;&gt;"Serviço",AND(AUTOEVENTO="Manual",$M96=$A$15),$M96&gt;(ROW(PLE.lastrow)-ROW(PLE.firstrow))),0,
           IF(OFFSET(PLE!$G$15,$M96-$A$15,BF$13)="",10^12,OFFSET(PLE!$G$15,$M96-$A$15,BF$13)))</f>
        <v>1000000000000</v>
      </c>
      <c r="BG96" s="173">
        <f ca="1">IF(OR($D96&lt;&gt;"Serviço",AND(AUTOEVENTO="Manual",$M96=$A$15),$M96&gt;(ROW(PLE.lastrow)-ROW(PLE.firstrow))),0,
           IF(OFFSET(PLE!$G$15,$M96-$A$15,BG$13)="",10^12,OFFSET(PLE!$G$15,$M96-$A$15,BG$13)))</f>
        <v>1000000000000</v>
      </c>
    </row>
    <row r="97" spans="1:59" ht="25.5" x14ac:dyDescent="0.2">
      <c r="A97" s="7" t="str">
        <f t="shared" ca="1" si="9"/>
        <v>39</v>
      </c>
      <c r="B97" s="7" t="str">
        <f ca="1">OFFSET(ORÇAMENTO!C$15,ROW(B97)-ROW(B$15),0)</f>
        <v>S</v>
      </c>
      <c r="C97" s="7" t="str">
        <f ca="1">OFFSET(ORÇAMENTO!L$15,ROW(C97)-ROW(C$15),0)</f>
        <v/>
      </c>
      <c r="D97" s="117" t="str">
        <f ca="1">OFFSET(ORÇAMENTO!N$15,ROW(D97)-ROW(D$15),0)</f>
        <v>Serviço</v>
      </c>
      <c r="E97" s="118" t="str">
        <f ca="1">OFFSET(ORÇAMENTO!O$15,ROW(E97)-ROW(E$15),0)</f>
        <v>-</v>
      </c>
      <c r="F97" s="164" t="str">
        <f ca="1">OFFSET(ORÇAMENTO!R$15,ROW(F97)-ROW(F$15),0)</f>
        <v>HASTE DE ATERRAMENTO, DIÂMETRO 3/4", COM 3 METROS - FORNECIMENTO E INSTALAÇÃO. AF_08/2023</v>
      </c>
      <c r="G97" s="165" t="str">
        <f ca="1">IF($D97&lt;&gt;"Serviço","",OFFSET(ORÇAMENTO!S$15,ROW(G97)-ROW(G$15),0))</f>
        <v>UN</v>
      </c>
      <c r="H97" s="123">
        <f ca="1">IF($D97&lt;&gt;"Serviço",0,IF(ACOMPANHAMENTO="BM",ROUND(OFFSET(ORÇAMENTO!AJ$15,ROW(H97)-ROW(H$15),0),15-13*ORÇAMENTO!$AF$7),SUMPRODUCT(($Q$1:$AA$1=1)*ROUND($Q97:$AA97,15-13*ORÇAMENTO!$AF$7))))</f>
        <v>50</v>
      </c>
      <c r="I97" s="469"/>
      <c r="J97" s="577" t="str" cm="1">
        <f t="array" aca="1" ref="J97" ca="1">IF(B97&lt;&gt;"S","",IF(AND(ACOMPANHAMENTO="PLE",AUTOEVENTO="Manual",OR(H97&gt;0,ORÇAMENTO!AC97="QUANT."),OR(K97="",M97=0,N97="")),"►",IF(AND(ACOMPANHAMENTO="PLE",ORÇAMENTO!AC97="QUANT."),"►►",IF(AND(COUNTIF($P$11:$AA$11,"▼")=0,H97&gt;0,I97=""),"◄",""))))</f>
        <v>◄</v>
      </c>
      <c r="K97" s="626"/>
      <c r="L97" s="166" t="s">
        <v>765</v>
      </c>
      <c r="M97" s="167">
        <f ca="1">IF($D97&lt;&gt;"Serviço","",
          IF(AUTOEVENTO="manual",$A97,
                IF(ISERROR(MATCH($A97,$A$15:OFFSET($A97,-1,0),0)),MAX($M$15:OFFSET(M97,-1,0))+1,
                      INDEX($M$15:OFFSET(M97,-1,0),MATCH($A97,$A$15:OFFSET($A97,-1,0),0)))))</f>
        <v>9</v>
      </c>
      <c r="N97" s="168" t="str">
        <f ca="1">IF($D97&lt;&gt;"Serviço","",
         IF(AUTOEVENTO="Manual",
                IF($A97=0,"&lt;-- defina o número do agrupador",
                       OFFSET(EVENTOS!$D$15,$A97-$A$15,0)),
                OFFSET($F$15,$A97,0)))</f>
        <v>INSTALAÇÕES ELÉTRICAS</v>
      </c>
      <c r="O97" s="169"/>
      <c r="Q97" s="169"/>
      <c r="R97" s="170"/>
      <c r="S97" s="170"/>
      <c r="T97" s="170"/>
      <c r="U97" s="170"/>
      <c r="V97" s="170"/>
      <c r="W97" s="170"/>
      <c r="X97" s="170"/>
      <c r="Y97" s="170"/>
      <c r="Z97" s="171"/>
      <c r="AB97" s="454">
        <f ca="1">IF(AND($D97="Serviço",AB$12&lt;&gt;0,$H97&gt;0,OR(AUTOEVENTO&lt;&gt;"manual",$M97&lt;&gt;$A$15)),
        IF(Import.TipoArredondamento&lt;&gt;"TransfereGOV",
              ROUND(OFFSET($P97,0,AB$13),15-13*ORÇAMENTO!$AF$7)/$H97*OFFSET(ORÇAMENTO!$X$15,ROW(AB97)-ROW(AB$15),0),
              ROUND(ROUND(OFFSET($P97,0,AB$13),15-13*ORÇAMENTO!$AF$7)*OFFSET(ORÇAMENTO!$W$15,ROW(AB97)-ROW(AB$15),0),15-13*ORÇAMENTO!$AF$11)),
         0)</f>
        <v>0</v>
      </c>
      <c r="AC97" s="454">
        <f ca="1">IF(AND($D97="Serviço",AC$12&lt;&gt;0,$H97&gt;0,OR(AUTOEVENTO&lt;&gt;"manual",$M97&lt;&gt;$A$15)),
        IF(Import.TipoArredondamento&lt;&gt;"TransfereGOV",
              ROUND(OFFSET($P97,0,AC$13),15-13*ORÇAMENTO!$AF$7)/$H97*OFFSET(ORÇAMENTO!$X$15,ROW(AC97)-ROW(AC$15),0),
              ROUND(ROUND(OFFSET($P97,0,AC$13),15-13*ORÇAMENTO!$AF$7)*OFFSET(ORÇAMENTO!$W$15,ROW(AC97)-ROW(AC$15),0),15-13*ORÇAMENTO!$AF$11)),
         0)</f>
        <v>0</v>
      </c>
      <c r="AD97" s="454">
        <f ca="1">IF(AND($D97="Serviço",AD$12&lt;&gt;0,$H97&gt;0,OR(AUTOEVENTO&lt;&gt;"manual",$M97&lt;&gt;$A$15)),
        IF(Import.TipoArredondamento&lt;&gt;"TransfereGOV",
              ROUND(OFFSET($P97,0,AD$13),15-13*ORÇAMENTO!$AF$7)/$H97*OFFSET(ORÇAMENTO!$X$15,ROW(AD97)-ROW(AD$15),0),
              ROUND(ROUND(OFFSET($P97,0,AD$13),15-13*ORÇAMENTO!$AF$7)*OFFSET(ORÇAMENTO!$W$15,ROW(AD97)-ROW(AD$15),0),15-13*ORÇAMENTO!$AF$11)),
         0)</f>
        <v>0</v>
      </c>
      <c r="AE97" s="454">
        <f ca="1">IF(AND($D97="Serviço",AE$12&lt;&gt;0,$H97&gt;0,OR(AUTOEVENTO&lt;&gt;"manual",$M97&lt;&gt;$A$15)),
        IF(Import.TipoArredondamento&lt;&gt;"TransfereGOV",
              ROUND(OFFSET($P97,0,AE$13),15-13*ORÇAMENTO!$AF$7)/$H97*OFFSET(ORÇAMENTO!$X$15,ROW(AE97)-ROW(AE$15),0),
              ROUND(ROUND(OFFSET($P97,0,AE$13),15-13*ORÇAMENTO!$AF$7)*OFFSET(ORÇAMENTO!$W$15,ROW(AE97)-ROW(AE$15),0),15-13*ORÇAMENTO!$AF$11)),
         0)</f>
        <v>0</v>
      </c>
      <c r="AF97" s="454">
        <f ca="1">IF(AND($D97="Serviço",AF$12&lt;&gt;0,$H97&gt;0,OR(AUTOEVENTO&lt;&gt;"manual",$M97&lt;&gt;$A$15)),
        IF(Import.TipoArredondamento&lt;&gt;"TransfereGOV",
              ROUND(OFFSET($P97,0,AF$13),15-13*ORÇAMENTO!$AF$7)/$H97*OFFSET(ORÇAMENTO!$X$15,ROW(AF97)-ROW(AF$15),0),
              ROUND(ROUND(OFFSET($P97,0,AF$13),15-13*ORÇAMENTO!$AF$7)*OFFSET(ORÇAMENTO!$W$15,ROW(AF97)-ROW(AF$15),0),15-13*ORÇAMENTO!$AF$11)),
         0)</f>
        <v>0</v>
      </c>
      <c r="AG97" s="454">
        <f ca="1">IF(AND($D97="Serviço",AG$12&lt;&gt;0,$H97&gt;0,OR(AUTOEVENTO&lt;&gt;"manual",$M97&lt;&gt;$A$15)),
        IF(Import.TipoArredondamento&lt;&gt;"TransfereGOV",
              ROUND(OFFSET($P97,0,AG$13),15-13*ORÇAMENTO!$AF$7)/$H97*OFFSET(ORÇAMENTO!$X$15,ROW(AG97)-ROW(AG$15),0),
              ROUND(ROUND(OFFSET($P97,0,AG$13),15-13*ORÇAMENTO!$AF$7)*OFFSET(ORÇAMENTO!$W$15,ROW(AG97)-ROW(AG$15),0),15-13*ORÇAMENTO!$AF$11)),
         0)</f>
        <v>0</v>
      </c>
      <c r="AH97" s="454">
        <f ca="1">IF(AND($D97="Serviço",AH$12&lt;&gt;0,$H97&gt;0,OR(AUTOEVENTO&lt;&gt;"manual",$M97&lt;&gt;$A$15)),
        IF(Import.TipoArredondamento&lt;&gt;"TransfereGOV",
              ROUND(OFFSET($P97,0,AH$13),15-13*ORÇAMENTO!$AF$7)/$H97*OFFSET(ORÇAMENTO!$X$15,ROW(AH97)-ROW(AH$15),0),
              ROUND(ROUND(OFFSET($P97,0,AH$13),15-13*ORÇAMENTO!$AF$7)*OFFSET(ORÇAMENTO!$W$15,ROW(AH97)-ROW(AH$15),0),15-13*ORÇAMENTO!$AF$11)),
         0)</f>
        <v>0</v>
      </c>
      <c r="AI97" s="454">
        <f ca="1">IF(AND($D97="Serviço",AI$12&lt;&gt;0,$H97&gt;0,OR(AUTOEVENTO&lt;&gt;"manual",$M97&lt;&gt;$A$15)),
        IF(Import.TipoArredondamento&lt;&gt;"TransfereGOV",
              ROUND(OFFSET($P97,0,AI$13),15-13*ORÇAMENTO!$AF$7)/$H97*OFFSET(ORÇAMENTO!$X$15,ROW(AI97)-ROW(AI$15),0),
              ROUND(ROUND(OFFSET($P97,0,AI$13),15-13*ORÇAMENTO!$AF$7)*OFFSET(ORÇAMENTO!$W$15,ROW(AI97)-ROW(AI$15),0),15-13*ORÇAMENTO!$AF$11)),
         0)</f>
        <v>0</v>
      </c>
      <c r="AJ97" s="454">
        <f ca="1">IF(AND($D97="Serviço",AJ$12&lt;&gt;0,$H97&gt;0,OR(AUTOEVENTO&lt;&gt;"manual",$M97&lt;&gt;$A$15)),
        IF(Import.TipoArredondamento&lt;&gt;"TransfereGOV",
              ROUND(OFFSET($P97,0,AJ$13),15-13*ORÇAMENTO!$AF$7)/$H97*OFFSET(ORÇAMENTO!$X$15,ROW(AJ97)-ROW(AJ$15),0),
              ROUND(ROUND(OFFSET($P97,0,AJ$13),15-13*ORÇAMENTO!$AF$7)*OFFSET(ORÇAMENTO!$W$15,ROW(AJ97)-ROW(AJ$15),0),15-13*ORÇAMENTO!$AF$11)),
         0)</f>
        <v>0</v>
      </c>
      <c r="AK97" s="454">
        <f ca="1">IF(AND($D97="Serviço",AK$12&lt;&gt;0,$H97&gt;0,OR(AUTOEVENTO&lt;&gt;"manual",$M97&lt;&gt;$A$15)),
        IF(Import.TipoArredondamento&lt;&gt;"TransfereGOV",
              ROUND(OFFSET($P97,0,AK$13),15-13*ORÇAMENTO!$AF$7)/$H97*OFFSET(ORÇAMENTO!$X$15,ROW(AK97)-ROW(AK$15),0),
              ROUND(ROUND(OFFSET($P97,0,AK$13),15-13*ORÇAMENTO!$AF$7)*OFFSET(ORÇAMENTO!$W$15,ROW(AK97)-ROW(AK$15),0),15-13*ORÇAMENTO!$AF$11)),
         0)</f>
        <v>0</v>
      </c>
      <c r="AM97" s="172">
        <f ca="1">IF(OR($D97&lt;&gt;"Serviço",AND(AUTOEVENTO="Manual",$M97=$A$15)),0,
         IF(OFFSET(CRONOPLE!$F$15,$M97-$A$15,AM$13)="",10^12,OFFSET(CRONOPLE!$F$15,$M97-$A$15,AM$13)))</f>
        <v>1000000000000</v>
      </c>
      <c r="AN97" s="172">
        <f ca="1">IF(OR($D97&lt;&gt;"Serviço",AND(AUTOEVENTO="Manual",$M97=$A$15)),0,
         IF(OFFSET(CRONOPLE!$F$15,$M97-$A$15,AN$13)="",10^12,OFFSET(CRONOPLE!$F$15,$M97-$A$15,AN$13)))</f>
        <v>1000000000000</v>
      </c>
      <c r="AO97" s="172">
        <f ca="1">IF(OR($D97&lt;&gt;"Serviço",AND(AUTOEVENTO="Manual",$M97=$A$15)),0,
         IF(OFFSET(CRONOPLE!$F$15,$M97-$A$15,AO$13)="",10^12,OFFSET(CRONOPLE!$F$15,$M97-$A$15,AO$13)))</f>
        <v>1000000000000</v>
      </c>
      <c r="AP97" s="172">
        <f ca="1">IF(OR($D97&lt;&gt;"Serviço",AND(AUTOEVENTO="Manual",$M97=$A$15)),0,
         IF(OFFSET(CRONOPLE!$F$15,$M97-$A$15,AP$13)="",10^12,OFFSET(CRONOPLE!$F$15,$M97-$A$15,AP$13)))</f>
        <v>1000000000000</v>
      </c>
      <c r="AQ97" s="172">
        <f ca="1">IF(OR($D97&lt;&gt;"Serviço",AND(AUTOEVENTO="Manual",$M97=$A$15)),0,
         IF(OFFSET(CRONOPLE!$F$15,$M97-$A$15,AQ$13)="",10^12,OFFSET(CRONOPLE!$F$15,$M97-$A$15,AQ$13)))</f>
        <v>1000000000000</v>
      </c>
      <c r="AR97" s="172">
        <f ca="1">IF(OR($D97&lt;&gt;"Serviço",AND(AUTOEVENTO="Manual",$M97=$A$15)),0,
         IF(OFFSET(CRONOPLE!$F$15,$M97-$A$15,AR$13)="",10^12,OFFSET(CRONOPLE!$F$15,$M97-$A$15,AR$13)))</f>
        <v>1000000000000</v>
      </c>
      <c r="AS97" s="172">
        <f ca="1">IF(OR($D97&lt;&gt;"Serviço",AND(AUTOEVENTO="Manual",$M97=$A$15)),0,
         IF(OFFSET(CRONOPLE!$F$15,$M97-$A$15,AS$13)="",10^12,OFFSET(CRONOPLE!$F$15,$M97-$A$15,AS$13)))</f>
        <v>1000000000000</v>
      </c>
      <c r="AT97" s="172">
        <f ca="1">IF(OR($D97&lt;&gt;"Serviço",AND(AUTOEVENTO="Manual",$M97=$A$15)),0,
         IF(OFFSET(CRONOPLE!$F$15,$M97-$A$15,AT$13)="",10^12,OFFSET(CRONOPLE!$F$15,$M97-$A$15,AT$13)))</f>
        <v>1000000000000</v>
      </c>
      <c r="AU97" s="172">
        <f ca="1">IF(OR($D97&lt;&gt;"Serviço",AND(AUTOEVENTO="Manual",$M97=$A$15)),0,
         IF(OFFSET(CRONOPLE!$F$15,$M97-$A$15,AU$13)="",10^12,OFFSET(CRONOPLE!$F$15,$M97-$A$15,AU$13)))</f>
        <v>1000000000000</v>
      </c>
      <c r="AV97" s="172">
        <f ca="1">IF(OR($D97&lt;&gt;"Serviço",AND(AUTOEVENTO="Manual",$M97=$A$15)),0,
         IF(OFFSET(CRONOPLE!$F$15,$M97-$A$15,AV$13)="",10^12,OFFSET(CRONOPLE!$F$15,$M97-$A$15,AV$13)))</f>
        <v>1000000000000</v>
      </c>
      <c r="AX97" s="173">
        <f ca="1">IF(OR($D97&lt;&gt;"Serviço",AND(AUTOEVENTO="Manual",$M97=$A$15),$M97&gt;(ROW(PLE.lastrow)-ROW(PLE.firstrow))),0,
           IF(OFFSET(PLE!$G$15,$M97-$A$15,AX$13)="",10^12,OFFSET(PLE!$G$15,$M97-$A$15,AX$13)))</f>
        <v>1000000000000</v>
      </c>
      <c r="AY97" s="173">
        <f ca="1">IF(OR($D97&lt;&gt;"Serviço",AND(AUTOEVENTO="Manual",$M97=$A$15),$M97&gt;(ROW(PLE.lastrow)-ROW(PLE.firstrow))),0,
           IF(OFFSET(PLE!$G$15,$M97-$A$15,AY$13)="",10^12,OFFSET(PLE!$G$15,$M97-$A$15,AY$13)))</f>
        <v>1000000000000</v>
      </c>
      <c r="AZ97" s="173">
        <f ca="1">IF(OR($D97&lt;&gt;"Serviço",AND(AUTOEVENTO="Manual",$M97=$A$15),$M97&gt;(ROW(PLE.lastrow)-ROW(PLE.firstrow))),0,
           IF(OFFSET(PLE!$G$15,$M97-$A$15,AZ$13)="",10^12,OFFSET(PLE!$G$15,$M97-$A$15,AZ$13)))</f>
        <v>1000000000000</v>
      </c>
      <c r="BA97" s="173">
        <f ca="1">IF(OR($D97&lt;&gt;"Serviço",AND(AUTOEVENTO="Manual",$M97=$A$15),$M97&gt;(ROW(PLE.lastrow)-ROW(PLE.firstrow))),0,
           IF(OFFSET(PLE!$G$15,$M97-$A$15,BA$13)="",10^12,OFFSET(PLE!$G$15,$M97-$A$15,BA$13)))</f>
        <v>1000000000000</v>
      </c>
      <c r="BB97" s="173">
        <f ca="1">IF(OR($D97&lt;&gt;"Serviço",AND(AUTOEVENTO="Manual",$M97=$A$15),$M97&gt;(ROW(PLE.lastrow)-ROW(PLE.firstrow))),0,
           IF(OFFSET(PLE!$G$15,$M97-$A$15,BB$13)="",10^12,OFFSET(PLE!$G$15,$M97-$A$15,BB$13)))</f>
        <v>1000000000000</v>
      </c>
      <c r="BC97" s="173">
        <f ca="1">IF(OR($D97&lt;&gt;"Serviço",AND(AUTOEVENTO="Manual",$M97=$A$15),$M97&gt;(ROW(PLE.lastrow)-ROW(PLE.firstrow))),0,
           IF(OFFSET(PLE!$G$15,$M97-$A$15,BC$13)="",10^12,OFFSET(PLE!$G$15,$M97-$A$15,BC$13)))</f>
        <v>1000000000000</v>
      </c>
      <c r="BD97" s="173">
        <f ca="1">IF(OR($D97&lt;&gt;"Serviço",AND(AUTOEVENTO="Manual",$M97=$A$15),$M97&gt;(ROW(PLE.lastrow)-ROW(PLE.firstrow))),0,
           IF(OFFSET(PLE!$G$15,$M97-$A$15,BD$13)="",10^12,OFFSET(PLE!$G$15,$M97-$A$15,BD$13)))</f>
        <v>1000000000000</v>
      </c>
      <c r="BE97" s="173">
        <f ca="1">IF(OR($D97&lt;&gt;"Serviço",AND(AUTOEVENTO="Manual",$M97=$A$15),$M97&gt;(ROW(PLE.lastrow)-ROW(PLE.firstrow))),0,
           IF(OFFSET(PLE!$G$15,$M97-$A$15,BE$13)="",10^12,OFFSET(PLE!$G$15,$M97-$A$15,BE$13)))</f>
        <v>1000000000000</v>
      </c>
      <c r="BF97" s="173">
        <f ca="1">IF(OR($D97&lt;&gt;"Serviço",AND(AUTOEVENTO="Manual",$M97=$A$15),$M97&gt;(ROW(PLE.lastrow)-ROW(PLE.firstrow))),0,
           IF(OFFSET(PLE!$G$15,$M97-$A$15,BF$13)="",10^12,OFFSET(PLE!$G$15,$M97-$A$15,BF$13)))</f>
        <v>1000000000000</v>
      </c>
      <c r="BG97" s="173">
        <f ca="1">IF(OR($D97&lt;&gt;"Serviço",AND(AUTOEVENTO="Manual",$M97=$A$15),$M97&gt;(ROW(PLE.lastrow)-ROW(PLE.firstrow))),0,
           IF(OFFSET(PLE!$G$15,$M97-$A$15,BG$13)="",10^12,OFFSET(PLE!$G$15,$M97-$A$15,BG$13)))</f>
        <v>1000000000000</v>
      </c>
    </row>
    <row r="98" spans="1:59" ht="25.5" x14ac:dyDescent="0.2">
      <c r="A98" s="7" t="str">
        <f t="shared" ca="1" si="9"/>
        <v>39</v>
      </c>
      <c r="B98" s="7" t="str">
        <f ca="1">OFFSET(ORÇAMENTO!C$15,ROW(B98)-ROW(B$15),0)</f>
        <v>S</v>
      </c>
      <c r="C98" s="7" t="str">
        <f ca="1">OFFSET(ORÇAMENTO!L$15,ROW(C98)-ROW(C$15),0)</f>
        <v/>
      </c>
      <c r="D98" s="117" t="str">
        <f ca="1">OFFSET(ORÇAMENTO!N$15,ROW(D98)-ROW(D$15),0)</f>
        <v>Serviço</v>
      </c>
      <c r="E98" s="118" t="str">
        <f ca="1">OFFSET(ORÇAMENTO!O$15,ROW(E98)-ROW(E$15),0)</f>
        <v>-</v>
      </c>
      <c r="F98" s="164" t="str">
        <f ca="1">OFFSET(ORÇAMENTO!R$15,ROW(F98)-ROW(F$15),0)</f>
        <v>CAIXA DE INSPEÇÃO PARA ATERRAMENTO, CIRCULAR, EM POLIETILENO, DIÂMETRO INTERNO = 0,3 M. AF_12/2020</v>
      </c>
      <c r="G98" s="165" t="str">
        <f ca="1">IF($D98&lt;&gt;"Serviço","",OFFSET(ORÇAMENTO!S$15,ROW(G98)-ROW(G$15),0))</f>
        <v>UN</v>
      </c>
      <c r="H98" s="123">
        <f ca="1">IF($D98&lt;&gt;"Serviço",0,IF(ACOMPANHAMENTO="BM",ROUND(OFFSET(ORÇAMENTO!AJ$15,ROW(H98)-ROW(H$15),0),15-13*ORÇAMENTO!$AF$7),SUMPRODUCT(($Q$1:$AA$1=1)*ROUND($Q98:$AA98,15-13*ORÇAMENTO!$AF$7))))</f>
        <v>50</v>
      </c>
      <c r="I98" s="469"/>
      <c r="J98" s="577" t="str" cm="1">
        <f t="array" aca="1" ref="J98" ca="1">IF(B98&lt;&gt;"S","",IF(AND(ACOMPANHAMENTO="PLE",AUTOEVENTO="Manual",OR(H98&gt;0,ORÇAMENTO!AC98="QUANT."),OR(K98="",M98=0,N98="")),"►",IF(AND(ACOMPANHAMENTO="PLE",ORÇAMENTO!AC98="QUANT."),"►►",IF(AND(COUNTIF($P$11:$AA$11,"▼")=0,H98&gt;0,I98=""),"◄",""))))</f>
        <v>◄</v>
      </c>
      <c r="K98" s="626"/>
      <c r="L98" s="166" t="s">
        <v>765</v>
      </c>
      <c r="M98" s="167">
        <f ca="1">IF($D98&lt;&gt;"Serviço","",
          IF(AUTOEVENTO="manual",$A98,
                IF(ISERROR(MATCH($A98,$A$15:OFFSET($A98,-1,0),0)),MAX($M$15:OFFSET(M98,-1,0))+1,
                      INDEX($M$15:OFFSET(M98,-1,0),MATCH($A98,$A$15:OFFSET($A98,-1,0),0)))))</f>
        <v>9</v>
      </c>
      <c r="N98" s="168" t="str">
        <f ca="1">IF($D98&lt;&gt;"Serviço","",
         IF(AUTOEVENTO="Manual",
                IF($A98=0,"&lt;-- defina o número do agrupador",
                       OFFSET(EVENTOS!$D$15,$A98-$A$15,0)),
                OFFSET($F$15,$A98,0)))</f>
        <v>INSTALAÇÕES ELÉTRICAS</v>
      </c>
      <c r="O98" s="169"/>
      <c r="Q98" s="169"/>
      <c r="R98" s="170"/>
      <c r="S98" s="170"/>
      <c r="T98" s="170"/>
      <c r="U98" s="170"/>
      <c r="V98" s="170"/>
      <c r="W98" s="170"/>
      <c r="X98" s="170"/>
      <c r="Y98" s="170"/>
      <c r="Z98" s="171"/>
      <c r="AB98" s="454">
        <f ca="1">IF(AND($D98="Serviço",AB$12&lt;&gt;0,$H98&gt;0,OR(AUTOEVENTO&lt;&gt;"manual",$M98&lt;&gt;$A$15)),
        IF(Import.TipoArredondamento&lt;&gt;"TransfereGOV",
              ROUND(OFFSET($P98,0,AB$13),15-13*ORÇAMENTO!$AF$7)/$H98*OFFSET(ORÇAMENTO!$X$15,ROW(AB98)-ROW(AB$15),0),
              ROUND(ROUND(OFFSET($P98,0,AB$13),15-13*ORÇAMENTO!$AF$7)*OFFSET(ORÇAMENTO!$W$15,ROW(AB98)-ROW(AB$15),0),15-13*ORÇAMENTO!$AF$11)),
         0)</f>
        <v>0</v>
      </c>
      <c r="AC98" s="454">
        <f ca="1">IF(AND($D98="Serviço",AC$12&lt;&gt;0,$H98&gt;0,OR(AUTOEVENTO&lt;&gt;"manual",$M98&lt;&gt;$A$15)),
        IF(Import.TipoArredondamento&lt;&gt;"TransfereGOV",
              ROUND(OFFSET($P98,0,AC$13),15-13*ORÇAMENTO!$AF$7)/$H98*OFFSET(ORÇAMENTO!$X$15,ROW(AC98)-ROW(AC$15),0),
              ROUND(ROUND(OFFSET($P98,0,AC$13),15-13*ORÇAMENTO!$AF$7)*OFFSET(ORÇAMENTO!$W$15,ROW(AC98)-ROW(AC$15),0),15-13*ORÇAMENTO!$AF$11)),
         0)</f>
        <v>0</v>
      </c>
      <c r="AD98" s="454">
        <f ca="1">IF(AND($D98="Serviço",AD$12&lt;&gt;0,$H98&gt;0,OR(AUTOEVENTO&lt;&gt;"manual",$M98&lt;&gt;$A$15)),
        IF(Import.TipoArredondamento&lt;&gt;"TransfereGOV",
              ROUND(OFFSET($P98,0,AD$13),15-13*ORÇAMENTO!$AF$7)/$H98*OFFSET(ORÇAMENTO!$X$15,ROW(AD98)-ROW(AD$15),0),
              ROUND(ROUND(OFFSET($P98,0,AD$13),15-13*ORÇAMENTO!$AF$7)*OFFSET(ORÇAMENTO!$W$15,ROW(AD98)-ROW(AD$15),0),15-13*ORÇAMENTO!$AF$11)),
         0)</f>
        <v>0</v>
      </c>
      <c r="AE98" s="454">
        <f ca="1">IF(AND($D98="Serviço",AE$12&lt;&gt;0,$H98&gt;0,OR(AUTOEVENTO&lt;&gt;"manual",$M98&lt;&gt;$A$15)),
        IF(Import.TipoArredondamento&lt;&gt;"TransfereGOV",
              ROUND(OFFSET($P98,0,AE$13),15-13*ORÇAMENTO!$AF$7)/$H98*OFFSET(ORÇAMENTO!$X$15,ROW(AE98)-ROW(AE$15),0),
              ROUND(ROUND(OFFSET($P98,0,AE$13),15-13*ORÇAMENTO!$AF$7)*OFFSET(ORÇAMENTO!$W$15,ROW(AE98)-ROW(AE$15),0),15-13*ORÇAMENTO!$AF$11)),
         0)</f>
        <v>0</v>
      </c>
      <c r="AF98" s="454">
        <f ca="1">IF(AND($D98="Serviço",AF$12&lt;&gt;0,$H98&gt;0,OR(AUTOEVENTO&lt;&gt;"manual",$M98&lt;&gt;$A$15)),
        IF(Import.TipoArredondamento&lt;&gt;"TransfereGOV",
              ROUND(OFFSET($P98,0,AF$13),15-13*ORÇAMENTO!$AF$7)/$H98*OFFSET(ORÇAMENTO!$X$15,ROW(AF98)-ROW(AF$15),0),
              ROUND(ROUND(OFFSET($P98,0,AF$13),15-13*ORÇAMENTO!$AF$7)*OFFSET(ORÇAMENTO!$W$15,ROW(AF98)-ROW(AF$15),0),15-13*ORÇAMENTO!$AF$11)),
         0)</f>
        <v>0</v>
      </c>
      <c r="AG98" s="454">
        <f ca="1">IF(AND($D98="Serviço",AG$12&lt;&gt;0,$H98&gt;0,OR(AUTOEVENTO&lt;&gt;"manual",$M98&lt;&gt;$A$15)),
        IF(Import.TipoArredondamento&lt;&gt;"TransfereGOV",
              ROUND(OFFSET($P98,0,AG$13),15-13*ORÇAMENTO!$AF$7)/$H98*OFFSET(ORÇAMENTO!$X$15,ROW(AG98)-ROW(AG$15),0),
              ROUND(ROUND(OFFSET($P98,0,AG$13),15-13*ORÇAMENTO!$AF$7)*OFFSET(ORÇAMENTO!$W$15,ROW(AG98)-ROW(AG$15),0),15-13*ORÇAMENTO!$AF$11)),
         0)</f>
        <v>0</v>
      </c>
      <c r="AH98" s="454">
        <f ca="1">IF(AND($D98="Serviço",AH$12&lt;&gt;0,$H98&gt;0,OR(AUTOEVENTO&lt;&gt;"manual",$M98&lt;&gt;$A$15)),
        IF(Import.TipoArredondamento&lt;&gt;"TransfereGOV",
              ROUND(OFFSET($P98,0,AH$13),15-13*ORÇAMENTO!$AF$7)/$H98*OFFSET(ORÇAMENTO!$X$15,ROW(AH98)-ROW(AH$15),0),
              ROUND(ROUND(OFFSET($P98,0,AH$13),15-13*ORÇAMENTO!$AF$7)*OFFSET(ORÇAMENTO!$W$15,ROW(AH98)-ROW(AH$15),0),15-13*ORÇAMENTO!$AF$11)),
         0)</f>
        <v>0</v>
      </c>
      <c r="AI98" s="454">
        <f ca="1">IF(AND($D98="Serviço",AI$12&lt;&gt;0,$H98&gt;0,OR(AUTOEVENTO&lt;&gt;"manual",$M98&lt;&gt;$A$15)),
        IF(Import.TipoArredondamento&lt;&gt;"TransfereGOV",
              ROUND(OFFSET($P98,0,AI$13),15-13*ORÇAMENTO!$AF$7)/$H98*OFFSET(ORÇAMENTO!$X$15,ROW(AI98)-ROW(AI$15),0),
              ROUND(ROUND(OFFSET($P98,0,AI$13),15-13*ORÇAMENTO!$AF$7)*OFFSET(ORÇAMENTO!$W$15,ROW(AI98)-ROW(AI$15),0),15-13*ORÇAMENTO!$AF$11)),
         0)</f>
        <v>0</v>
      </c>
      <c r="AJ98" s="454">
        <f ca="1">IF(AND($D98="Serviço",AJ$12&lt;&gt;0,$H98&gt;0,OR(AUTOEVENTO&lt;&gt;"manual",$M98&lt;&gt;$A$15)),
        IF(Import.TipoArredondamento&lt;&gt;"TransfereGOV",
              ROUND(OFFSET($P98,0,AJ$13),15-13*ORÇAMENTO!$AF$7)/$H98*OFFSET(ORÇAMENTO!$X$15,ROW(AJ98)-ROW(AJ$15),0),
              ROUND(ROUND(OFFSET($P98,0,AJ$13),15-13*ORÇAMENTO!$AF$7)*OFFSET(ORÇAMENTO!$W$15,ROW(AJ98)-ROW(AJ$15),0),15-13*ORÇAMENTO!$AF$11)),
         0)</f>
        <v>0</v>
      </c>
      <c r="AK98" s="454">
        <f ca="1">IF(AND($D98="Serviço",AK$12&lt;&gt;0,$H98&gt;0,OR(AUTOEVENTO&lt;&gt;"manual",$M98&lt;&gt;$A$15)),
        IF(Import.TipoArredondamento&lt;&gt;"TransfereGOV",
              ROUND(OFFSET($P98,0,AK$13),15-13*ORÇAMENTO!$AF$7)/$H98*OFFSET(ORÇAMENTO!$X$15,ROW(AK98)-ROW(AK$15),0),
              ROUND(ROUND(OFFSET($P98,0,AK$13),15-13*ORÇAMENTO!$AF$7)*OFFSET(ORÇAMENTO!$W$15,ROW(AK98)-ROW(AK$15),0),15-13*ORÇAMENTO!$AF$11)),
         0)</f>
        <v>0</v>
      </c>
      <c r="AM98" s="172">
        <f ca="1">IF(OR($D98&lt;&gt;"Serviço",AND(AUTOEVENTO="Manual",$M98=$A$15)),0,
         IF(OFFSET(CRONOPLE!$F$15,$M98-$A$15,AM$13)="",10^12,OFFSET(CRONOPLE!$F$15,$M98-$A$15,AM$13)))</f>
        <v>1000000000000</v>
      </c>
      <c r="AN98" s="172">
        <f ca="1">IF(OR($D98&lt;&gt;"Serviço",AND(AUTOEVENTO="Manual",$M98=$A$15)),0,
         IF(OFFSET(CRONOPLE!$F$15,$M98-$A$15,AN$13)="",10^12,OFFSET(CRONOPLE!$F$15,$M98-$A$15,AN$13)))</f>
        <v>1000000000000</v>
      </c>
      <c r="AO98" s="172">
        <f ca="1">IF(OR($D98&lt;&gt;"Serviço",AND(AUTOEVENTO="Manual",$M98=$A$15)),0,
         IF(OFFSET(CRONOPLE!$F$15,$M98-$A$15,AO$13)="",10^12,OFFSET(CRONOPLE!$F$15,$M98-$A$15,AO$13)))</f>
        <v>1000000000000</v>
      </c>
      <c r="AP98" s="172">
        <f ca="1">IF(OR($D98&lt;&gt;"Serviço",AND(AUTOEVENTO="Manual",$M98=$A$15)),0,
         IF(OFFSET(CRONOPLE!$F$15,$M98-$A$15,AP$13)="",10^12,OFFSET(CRONOPLE!$F$15,$M98-$A$15,AP$13)))</f>
        <v>1000000000000</v>
      </c>
      <c r="AQ98" s="172">
        <f ca="1">IF(OR($D98&lt;&gt;"Serviço",AND(AUTOEVENTO="Manual",$M98=$A$15)),0,
         IF(OFFSET(CRONOPLE!$F$15,$M98-$A$15,AQ$13)="",10^12,OFFSET(CRONOPLE!$F$15,$M98-$A$15,AQ$13)))</f>
        <v>1000000000000</v>
      </c>
      <c r="AR98" s="172">
        <f ca="1">IF(OR($D98&lt;&gt;"Serviço",AND(AUTOEVENTO="Manual",$M98=$A$15)),0,
         IF(OFFSET(CRONOPLE!$F$15,$M98-$A$15,AR$13)="",10^12,OFFSET(CRONOPLE!$F$15,$M98-$A$15,AR$13)))</f>
        <v>1000000000000</v>
      </c>
      <c r="AS98" s="172">
        <f ca="1">IF(OR($D98&lt;&gt;"Serviço",AND(AUTOEVENTO="Manual",$M98=$A$15)),0,
         IF(OFFSET(CRONOPLE!$F$15,$M98-$A$15,AS$13)="",10^12,OFFSET(CRONOPLE!$F$15,$M98-$A$15,AS$13)))</f>
        <v>1000000000000</v>
      </c>
      <c r="AT98" s="172">
        <f ca="1">IF(OR($D98&lt;&gt;"Serviço",AND(AUTOEVENTO="Manual",$M98=$A$15)),0,
         IF(OFFSET(CRONOPLE!$F$15,$M98-$A$15,AT$13)="",10^12,OFFSET(CRONOPLE!$F$15,$M98-$A$15,AT$13)))</f>
        <v>1000000000000</v>
      </c>
      <c r="AU98" s="172">
        <f ca="1">IF(OR($D98&lt;&gt;"Serviço",AND(AUTOEVENTO="Manual",$M98=$A$15)),0,
         IF(OFFSET(CRONOPLE!$F$15,$M98-$A$15,AU$13)="",10^12,OFFSET(CRONOPLE!$F$15,$M98-$A$15,AU$13)))</f>
        <v>1000000000000</v>
      </c>
      <c r="AV98" s="172">
        <f ca="1">IF(OR($D98&lt;&gt;"Serviço",AND(AUTOEVENTO="Manual",$M98=$A$15)),0,
         IF(OFFSET(CRONOPLE!$F$15,$M98-$A$15,AV$13)="",10^12,OFFSET(CRONOPLE!$F$15,$M98-$A$15,AV$13)))</f>
        <v>1000000000000</v>
      </c>
      <c r="AX98" s="173">
        <f ca="1">IF(OR($D98&lt;&gt;"Serviço",AND(AUTOEVENTO="Manual",$M98=$A$15),$M98&gt;(ROW(PLE.lastrow)-ROW(PLE.firstrow))),0,
           IF(OFFSET(PLE!$G$15,$M98-$A$15,AX$13)="",10^12,OFFSET(PLE!$G$15,$M98-$A$15,AX$13)))</f>
        <v>1000000000000</v>
      </c>
      <c r="AY98" s="173">
        <f ca="1">IF(OR($D98&lt;&gt;"Serviço",AND(AUTOEVENTO="Manual",$M98=$A$15),$M98&gt;(ROW(PLE.lastrow)-ROW(PLE.firstrow))),0,
           IF(OFFSET(PLE!$G$15,$M98-$A$15,AY$13)="",10^12,OFFSET(PLE!$G$15,$M98-$A$15,AY$13)))</f>
        <v>1000000000000</v>
      </c>
      <c r="AZ98" s="173">
        <f ca="1">IF(OR($D98&lt;&gt;"Serviço",AND(AUTOEVENTO="Manual",$M98=$A$15),$M98&gt;(ROW(PLE.lastrow)-ROW(PLE.firstrow))),0,
           IF(OFFSET(PLE!$G$15,$M98-$A$15,AZ$13)="",10^12,OFFSET(PLE!$G$15,$M98-$A$15,AZ$13)))</f>
        <v>1000000000000</v>
      </c>
      <c r="BA98" s="173">
        <f ca="1">IF(OR($D98&lt;&gt;"Serviço",AND(AUTOEVENTO="Manual",$M98=$A$15),$M98&gt;(ROW(PLE.lastrow)-ROW(PLE.firstrow))),0,
           IF(OFFSET(PLE!$G$15,$M98-$A$15,BA$13)="",10^12,OFFSET(PLE!$G$15,$M98-$A$15,BA$13)))</f>
        <v>1000000000000</v>
      </c>
      <c r="BB98" s="173">
        <f ca="1">IF(OR($D98&lt;&gt;"Serviço",AND(AUTOEVENTO="Manual",$M98=$A$15),$M98&gt;(ROW(PLE.lastrow)-ROW(PLE.firstrow))),0,
           IF(OFFSET(PLE!$G$15,$M98-$A$15,BB$13)="",10^12,OFFSET(PLE!$G$15,$M98-$A$15,BB$13)))</f>
        <v>1000000000000</v>
      </c>
      <c r="BC98" s="173">
        <f ca="1">IF(OR($D98&lt;&gt;"Serviço",AND(AUTOEVENTO="Manual",$M98=$A$15),$M98&gt;(ROW(PLE.lastrow)-ROW(PLE.firstrow))),0,
           IF(OFFSET(PLE!$G$15,$M98-$A$15,BC$13)="",10^12,OFFSET(PLE!$G$15,$M98-$A$15,BC$13)))</f>
        <v>1000000000000</v>
      </c>
      <c r="BD98" s="173">
        <f ca="1">IF(OR($D98&lt;&gt;"Serviço",AND(AUTOEVENTO="Manual",$M98=$A$15),$M98&gt;(ROW(PLE.lastrow)-ROW(PLE.firstrow))),0,
           IF(OFFSET(PLE!$G$15,$M98-$A$15,BD$13)="",10^12,OFFSET(PLE!$G$15,$M98-$A$15,BD$13)))</f>
        <v>1000000000000</v>
      </c>
      <c r="BE98" s="173">
        <f ca="1">IF(OR($D98&lt;&gt;"Serviço",AND(AUTOEVENTO="Manual",$M98=$A$15),$M98&gt;(ROW(PLE.lastrow)-ROW(PLE.firstrow))),0,
           IF(OFFSET(PLE!$G$15,$M98-$A$15,BE$13)="",10^12,OFFSET(PLE!$G$15,$M98-$A$15,BE$13)))</f>
        <v>1000000000000</v>
      </c>
      <c r="BF98" s="173">
        <f ca="1">IF(OR($D98&lt;&gt;"Serviço",AND(AUTOEVENTO="Manual",$M98=$A$15),$M98&gt;(ROW(PLE.lastrow)-ROW(PLE.firstrow))),0,
           IF(OFFSET(PLE!$G$15,$M98-$A$15,BF$13)="",10^12,OFFSET(PLE!$G$15,$M98-$A$15,BF$13)))</f>
        <v>1000000000000</v>
      </c>
      <c r="BG98" s="173">
        <f ca="1">IF(OR($D98&lt;&gt;"Serviço",AND(AUTOEVENTO="Manual",$M98=$A$15),$M98&gt;(ROW(PLE.lastrow)-ROW(PLE.firstrow))),0,
           IF(OFFSET(PLE!$G$15,$M98-$A$15,BG$13)="",10^12,OFFSET(PLE!$G$15,$M98-$A$15,BG$13)))</f>
        <v>1000000000000</v>
      </c>
    </row>
    <row r="99" spans="1:59" ht="25.5" x14ac:dyDescent="0.2">
      <c r="A99" s="7" t="str">
        <f t="shared" ca="1" si="9"/>
        <v>39</v>
      </c>
      <c r="B99" s="7" t="str">
        <f ca="1">OFFSET(ORÇAMENTO!C$15,ROW(B99)-ROW(B$15),0)</f>
        <v>S</v>
      </c>
      <c r="C99" s="7" t="str">
        <f ca="1">OFFSET(ORÇAMENTO!L$15,ROW(C99)-ROW(C$15),0)</f>
        <v/>
      </c>
      <c r="D99" s="117" t="str">
        <f ca="1">OFFSET(ORÇAMENTO!N$15,ROW(D99)-ROW(D$15),0)</f>
        <v>Serviço</v>
      </c>
      <c r="E99" s="118" t="str">
        <f ca="1">OFFSET(ORÇAMENTO!O$15,ROW(E99)-ROW(E$15),0)</f>
        <v>-</v>
      </c>
      <c r="F99" s="164" t="str">
        <f ca="1">OFFSET(ORÇAMENTO!R$15,ROW(F99)-ROW(F$15),0)</f>
        <v xml:space="preserve">CAIXA DE PASSAGEM ELETRICA, PARA PISO, EM PVC, DIMENSOES DE 3/4" A 4"                                                                                                                                                                                     </v>
      </c>
      <c r="G99" s="165" t="str">
        <f ca="1">IF($D99&lt;&gt;"Serviço","",OFFSET(ORÇAMENTO!S$15,ROW(G99)-ROW(G$15),0))</f>
        <v xml:space="preserve">UN    </v>
      </c>
      <c r="H99" s="123">
        <f ca="1">IF($D99&lt;&gt;"Serviço",0,IF(ACOMPANHAMENTO="BM",ROUND(OFFSET(ORÇAMENTO!AJ$15,ROW(H99)-ROW(H$15),0),15-13*ORÇAMENTO!$AF$7),SUMPRODUCT(($Q$1:$AA$1=1)*ROUND($Q99:$AA99,15-13*ORÇAMENTO!$AF$7))))</f>
        <v>4</v>
      </c>
      <c r="I99" s="469"/>
      <c r="J99" s="577" t="str" cm="1">
        <f t="array" aca="1" ref="J99" ca="1">IF(B99&lt;&gt;"S","",IF(AND(ACOMPANHAMENTO="PLE",AUTOEVENTO="Manual",OR(H99&gt;0,ORÇAMENTO!AC99="QUANT."),OR(K99="",M99=0,N99="")),"►",IF(AND(ACOMPANHAMENTO="PLE",ORÇAMENTO!AC99="QUANT."),"►►",IF(AND(COUNTIF($P$11:$AA$11,"▼")=0,H99&gt;0,I99=""),"◄",""))))</f>
        <v>◄</v>
      </c>
      <c r="K99" s="626"/>
      <c r="L99" s="166" t="s">
        <v>765</v>
      </c>
      <c r="M99" s="167">
        <f ca="1">IF($D99&lt;&gt;"Serviço","",
          IF(AUTOEVENTO="manual",$A99,
                IF(ISERROR(MATCH($A99,$A$15:OFFSET($A99,-1,0),0)),MAX($M$15:OFFSET(M99,-1,0))+1,
                      INDEX($M$15:OFFSET(M99,-1,0),MATCH($A99,$A$15:OFFSET($A99,-1,0),0)))))</f>
        <v>9</v>
      </c>
      <c r="N99" s="168" t="str">
        <f ca="1">IF($D99&lt;&gt;"Serviço","",
         IF(AUTOEVENTO="Manual",
                IF($A99=0,"&lt;-- defina o número do agrupador",
                       OFFSET(EVENTOS!$D$15,$A99-$A$15,0)),
                OFFSET($F$15,$A99,0)))</f>
        <v>INSTALAÇÕES ELÉTRICAS</v>
      </c>
      <c r="O99" s="169"/>
      <c r="Q99" s="169"/>
      <c r="R99" s="170"/>
      <c r="S99" s="170"/>
      <c r="T99" s="170"/>
      <c r="U99" s="170"/>
      <c r="V99" s="170"/>
      <c r="W99" s="170"/>
      <c r="X99" s="170"/>
      <c r="Y99" s="170"/>
      <c r="Z99" s="171"/>
      <c r="AB99" s="454">
        <f ca="1">IF(AND($D99="Serviço",AB$12&lt;&gt;0,$H99&gt;0,OR(AUTOEVENTO&lt;&gt;"manual",$M99&lt;&gt;$A$15)),
        IF(Import.TipoArredondamento&lt;&gt;"TransfereGOV",
              ROUND(OFFSET($P99,0,AB$13),15-13*ORÇAMENTO!$AF$7)/$H99*OFFSET(ORÇAMENTO!$X$15,ROW(AB99)-ROW(AB$15),0),
              ROUND(ROUND(OFFSET($P99,0,AB$13),15-13*ORÇAMENTO!$AF$7)*OFFSET(ORÇAMENTO!$W$15,ROW(AB99)-ROW(AB$15),0),15-13*ORÇAMENTO!$AF$11)),
         0)</f>
        <v>0</v>
      </c>
      <c r="AC99" s="454">
        <f ca="1">IF(AND($D99="Serviço",AC$12&lt;&gt;0,$H99&gt;0,OR(AUTOEVENTO&lt;&gt;"manual",$M99&lt;&gt;$A$15)),
        IF(Import.TipoArredondamento&lt;&gt;"TransfereGOV",
              ROUND(OFFSET($P99,0,AC$13),15-13*ORÇAMENTO!$AF$7)/$H99*OFFSET(ORÇAMENTO!$X$15,ROW(AC99)-ROW(AC$15),0),
              ROUND(ROUND(OFFSET($P99,0,AC$13),15-13*ORÇAMENTO!$AF$7)*OFFSET(ORÇAMENTO!$W$15,ROW(AC99)-ROW(AC$15),0),15-13*ORÇAMENTO!$AF$11)),
         0)</f>
        <v>0</v>
      </c>
      <c r="AD99" s="454">
        <f ca="1">IF(AND($D99="Serviço",AD$12&lt;&gt;0,$H99&gt;0,OR(AUTOEVENTO&lt;&gt;"manual",$M99&lt;&gt;$A$15)),
        IF(Import.TipoArredondamento&lt;&gt;"TransfereGOV",
              ROUND(OFFSET($P99,0,AD$13),15-13*ORÇAMENTO!$AF$7)/$H99*OFFSET(ORÇAMENTO!$X$15,ROW(AD99)-ROW(AD$15),0),
              ROUND(ROUND(OFFSET($P99,0,AD$13),15-13*ORÇAMENTO!$AF$7)*OFFSET(ORÇAMENTO!$W$15,ROW(AD99)-ROW(AD$15),0),15-13*ORÇAMENTO!$AF$11)),
         0)</f>
        <v>0</v>
      </c>
      <c r="AE99" s="454">
        <f ca="1">IF(AND($D99="Serviço",AE$12&lt;&gt;0,$H99&gt;0,OR(AUTOEVENTO&lt;&gt;"manual",$M99&lt;&gt;$A$15)),
        IF(Import.TipoArredondamento&lt;&gt;"TransfereGOV",
              ROUND(OFFSET($P99,0,AE$13),15-13*ORÇAMENTO!$AF$7)/$H99*OFFSET(ORÇAMENTO!$X$15,ROW(AE99)-ROW(AE$15),0),
              ROUND(ROUND(OFFSET($P99,0,AE$13),15-13*ORÇAMENTO!$AF$7)*OFFSET(ORÇAMENTO!$W$15,ROW(AE99)-ROW(AE$15),0),15-13*ORÇAMENTO!$AF$11)),
         0)</f>
        <v>0</v>
      </c>
      <c r="AF99" s="454">
        <f ca="1">IF(AND($D99="Serviço",AF$12&lt;&gt;0,$H99&gt;0,OR(AUTOEVENTO&lt;&gt;"manual",$M99&lt;&gt;$A$15)),
        IF(Import.TipoArredondamento&lt;&gt;"TransfereGOV",
              ROUND(OFFSET($P99,0,AF$13),15-13*ORÇAMENTO!$AF$7)/$H99*OFFSET(ORÇAMENTO!$X$15,ROW(AF99)-ROW(AF$15),0),
              ROUND(ROUND(OFFSET($P99,0,AF$13),15-13*ORÇAMENTO!$AF$7)*OFFSET(ORÇAMENTO!$W$15,ROW(AF99)-ROW(AF$15),0),15-13*ORÇAMENTO!$AF$11)),
         0)</f>
        <v>0</v>
      </c>
      <c r="AG99" s="454">
        <f ca="1">IF(AND($D99="Serviço",AG$12&lt;&gt;0,$H99&gt;0,OR(AUTOEVENTO&lt;&gt;"manual",$M99&lt;&gt;$A$15)),
        IF(Import.TipoArredondamento&lt;&gt;"TransfereGOV",
              ROUND(OFFSET($P99,0,AG$13),15-13*ORÇAMENTO!$AF$7)/$H99*OFFSET(ORÇAMENTO!$X$15,ROW(AG99)-ROW(AG$15),0),
              ROUND(ROUND(OFFSET($P99,0,AG$13),15-13*ORÇAMENTO!$AF$7)*OFFSET(ORÇAMENTO!$W$15,ROW(AG99)-ROW(AG$15),0),15-13*ORÇAMENTO!$AF$11)),
         0)</f>
        <v>0</v>
      </c>
      <c r="AH99" s="454">
        <f ca="1">IF(AND($D99="Serviço",AH$12&lt;&gt;0,$H99&gt;0,OR(AUTOEVENTO&lt;&gt;"manual",$M99&lt;&gt;$A$15)),
        IF(Import.TipoArredondamento&lt;&gt;"TransfereGOV",
              ROUND(OFFSET($P99,0,AH$13),15-13*ORÇAMENTO!$AF$7)/$H99*OFFSET(ORÇAMENTO!$X$15,ROW(AH99)-ROW(AH$15),0),
              ROUND(ROUND(OFFSET($P99,0,AH$13),15-13*ORÇAMENTO!$AF$7)*OFFSET(ORÇAMENTO!$W$15,ROW(AH99)-ROW(AH$15),0),15-13*ORÇAMENTO!$AF$11)),
         0)</f>
        <v>0</v>
      </c>
      <c r="AI99" s="454">
        <f ca="1">IF(AND($D99="Serviço",AI$12&lt;&gt;0,$H99&gt;0,OR(AUTOEVENTO&lt;&gt;"manual",$M99&lt;&gt;$A$15)),
        IF(Import.TipoArredondamento&lt;&gt;"TransfereGOV",
              ROUND(OFFSET($P99,0,AI$13),15-13*ORÇAMENTO!$AF$7)/$H99*OFFSET(ORÇAMENTO!$X$15,ROW(AI99)-ROW(AI$15),0),
              ROUND(ROUND(OFFSET($P99,0,AI$13),15-13*ORÇAMENTO!$AF$7)*OFFSET(ORÇAMENTO!$W$15,ROW(AI99)-ROW(AI$15),0),15-13*ORÇAMENTO!$AF$11)),
         0)</f>
        <v>0</v>
      </c>
      <c r="AJ99" s="454">
        <f ca="1">IF(AND($D99="Serviço",AJ$12&lt;&gt;0,$H99&gt;0,OR(AUTOEVENTO&lt;&gt;"manual",$M99&lt;&gt;$A$15)),
        IF(Import.TipoArredondamento&lt;&gt;"TransfereGOV",
              ROUND(OFFSET($P99,0,AJ$13),15-13*ORÇAMENTO!$AF$7)/$H99*OFFSET(ORÇAMENTO!$X$15,ROW(AJ99)-ROW(AJ$15),0),
              ROUND(ROUND(OFFSET($P99,0,AJ$13),15-13*ORÇAMENTO!$AF$7)*OFFSET(ORÇAMENTO!$W$15,ROW(AJ99)-ROW(AJ$15),0),15-13*ORÇAMENTO!$AF$11)),
         0)</f>
        <v>0</v>
      </c>
      <c r="AK99" s="454">
        <f ca="1">IF(AND($D99="Serviço",AK$12&lt;&gt;0,$H99&gt;0,OR(AUTOEVENTO&lt;&gt;"manual",$M99&lt;&gt;$A$15)),
        IF(Import.TipoArredondamento&lt;&gt;"TransfereGOV",
              ROUND(OFFSET($P99,0,AK$13),15-13*ORÇAMENTO!$AF$7)/$H99*OFFSET(ORÇAMENTO!$X$15,ROW(AK99)-ROW(AK$15),0),
              ROUND(ROUND(OFFSET($P99,0,AK$13),15-13*ORÇAMENTO!$AF$7)*OFFSET(ORÇAMENTO!$W$15,ROW(AK99)-ROW(AK$15),0),15-13*ORÇAMENTO!$AF$11)),
         0)</f>
        <v>0</v>
      </c>
      <c r="AM99" s="172">
        <f ca="1">IF(OR($D99&lt;&gt;"Serviço",AND(AUTOEVENTO="Manual",$M99=$A$15)),0,
         IF(OFFSET(CRONOPLE!$F$15,$M99-$A$15,AM$13)="",10^12,OFFSET(CRONOPLE!$F$15,$M99-$A$15,AM$13)))</f>
        <v>1000000000000</v>
      </c>
      <c r="AN99" s="172">
        <f ca="1">IF(OR($D99&lt;&gt;"Serviço",AND(AUTOEVENTO="Manual",$M99=$A$15)),0,
         IF(OFFSET(CRONOPLE!$F$15,$M99-$A$15,AN$13)="",10^12,OFFSET(CRONOPLE!$F$15,$M99-$A$15,AN$13)))</f>
        <v>1000000000000</v>
      </c>
      <c r="AO99" s="172">
        <f ca="1">IF(OR($D99&lt;&gt;"Serviço",AND(AUTOEVENTO="Manual",$M99=$A$15)),0,
         IF(OFFSET(CRONOPLE!$F$15,$M99-$A$15,AO$13)="",10^12,OFFSET(CRONOPLE!$F$15,$M99-$A$15,AO$13)))</f>
        <v>1000000000000</v>
      </c>
      <c r="AP99" s="172">
        <f ca="1">IF(OR($D99&lt;&gt;"Serviço",AND(AUTOEVENTO="Manual",$M99=$A$15)),0,
         IF(OFFSET(CRONOPLE!$F$15,$M99-$A$15,AP$13)="",10^12,OFFSET(CRONOPLE!$F$15,$M99-$A$15,AP$13)))</f>
        <v>1000000000000</v>
      </c>
      <c r="AQ99" s="172">
        <f ca="1">IF(OR($D99&lt;&gt;"Serviço",AND(AUTOEVENTO="Manual",$M99=$A$15)),0,
         IF(OFFSET(CRONOPLE!$F$15,$M99-$A$15,AQ$13)="",10^12,OFFSET(CRONOPLE!$F$15,$M99-$A$15,AQ$13)))</f>
        <v>1000000000000</v>
      </c>
      <c r="AR99" s="172">
        <f ca="1">IF(OR($D99&lt;&gt;"Serviço",AND(AUTOEVENTO="Manual",$M99=$A$15)),0,
         IF(OFFSET(CRONOPLE!$F$15,$M99-$A$15,AR$13)="",10^12,OFFSET(CRONOPLE!$F$15,$M99-$A$15,AR$13)))</f>
        <v>1000000000000</v>
      </c>
      <c r="AS99" s="172">
        <f ca="1">IF(OR($D99&lt;&gt;"Serviço",AND(AUTOEVENTO="Manual",$M99=$A$15)),0,
         IF(OFFSET(CRONOPLE!$F$15,$M99-$A$15,AS$13)="",10^12,OFFSET(CRONOPLE!$F$15,$M99-$A$15,AS$13)))</f>
        <v>1000000000000</v>
      </c>
      <c r="AT99" s="172">
        <f ca="1">IF(OR($D99&lt;&gt;"Serviço",AND(AUTOEVENTO="Manual",$M99=$A$15)),0,
         IF(OFFSET(CRONOPLE!$F$15,$M99-$A$15,AT$13)="",10^12,OFFSET(CRONOPLE!$F$15,$M99-$A$15,AT$13)))</f>
        <v>1000000000000</v>
      </c>
      <c r="AU99" s="172">
        <f ca="1">IF(OR($D99&lt;&gt;"Serviço",AND(AUTOEVENTO="Manual",$M99=$A$15)),0,
         IF(OFFSET(CRONOPLE!$F$15,$M99-$A$15,AU$13)="",10^12,OFFSET(CRONOPLE!$F$15,$M99-$A$15,AU$13)))</f>
        <v>1000000000000</v>
      </c>
      <c r="AV99" s="172">
        <f ca="1">IF(OR($D99&lt;&gt;"Serviço",AND(AUTOEVENTO="Manual",$M99=$A$15)),0,
         IF(OFFSET(CRONOPLE!$F$15,$M99-$A$15,AV$13)="",10^12,OFFSET(CRONOPLE!$F$15,$M99-$A$15,AV$13)))</f>
        <v>1000000000000</v>
      </c>
      <c r="AX99" s="173">
        <f ca="1">IF(OR($D99&lt;&gt;"Serviço",AND(AUTOEVENTO="Manual",$M99=$A$15),$M99&gt;(ROW(PLE.lastrow)-ROW(PLE.firstrow))),0,
           IF(OFFSET(PLE!$G$15,$M99-$A$15,AX$13)="",10^12,OFFSET(PLE!$G$15,$M99-$A$15,AX$13)))</f>
        <v>1000000000000</v>
      </c>
      <c r="AY99" s="173">
        <f ca="1">IF(OR($D99&lt;&gt;"Serviço",AND(AUTOEVENTO="Manual",$M99=$A$15),$M99&gt;(ROW(PLE.lastrow)-ROW(PLE.firstrow))),0,
           IF(OFFSET(PLE!$G$15,$M99-$A$15,AY$13)="",10^12,OFFSET(PLE!$G$15,$M99-$A$15,AY$13)))</f>
        <v>1000000000000</v>
      </c>
      <c r="AZ99" s="173">
        <f ca="1">IF(OR($D99&lt;&gt;"Serviço",AND(AUTOEVENTO="Manual",$M99=$A$15),$M99&gt;(ROW(PLE.lastrow)-ROW(PLE.firstrow))),0,
           IF(OFFSET(PLE!$G$15,$M99-$A$15,AZ$13)="",10^12,OFFSET(PLE!$G$15,$M99-$A$15,AZ$13)))</f>
        <v>1000000000000</v>
      </c>
      <c r="BA99" s="173">
        <f ca="1">IF(OR($D99&lt;&gt;"Serviço",AND(AUTOEVENTO="Manual",$M99=$A$15),$M99&gt;(ROW(PLE.lastrow)-ROW(PLE.firstrow))),0,
           IF(OFFSET(PLE!$G$15,$M99-$A$15,BA$13)="",10^12,OFFSET(PLE!$G$15,$M99-$A$15,BA$13)))</f>
        <v>1000000000000</v>
      </c>
      <c r="BB99" s="173">
        <f ca="1">IF(OR($D99&lt;&gt;"Serviço",AND(AUTOEVENTO="Manual",$M99=$A$15),$M99&gt;(ROW(PLE.lastrow)-ROW(PLE.firstrow))),0,
           IF(OFFSET(PLE!$G$15,$M99-$A$15,BB$13)="",10^12,OFFSET(PLE!$G$15,$M99-$A$15,BB$13)))</f>
        <v>1000000000000</v>
      </c>
      <c r="BC99" s="173">
        <f ca="1">IF(OR($D99&lt;&gt;"Serviço",AND(AUTOEVENTO="Manual",$M99=$A$15),$M99&gt;(ROW(PLE.lastrow)-ROW(PLE.firstrow))),0,
           IF(OFFSET(PLE!$G$15,$M99-$A$15,BC$13)="",10^12,OFFSET(PLE!$G$15,$M99-$A$15,BC$13)))</f>
        <v>1000000000000</v>
      </c>
      <c r="BD99" s="173">
        <f ca="1">IF(OR($D99&lt;&gt;"Serviço",AND(AUTOEVENTO="Manual",$M99=$A$15),$M99&gt;(ROW(PLE.lastrow)-ROW(PLE.firstrow))),0,
           IF(OFFSET(PLE!$G$15,$M99-$A$15,BD$13)="",10^12,OFFSET(PLE!$G$15,$M99-$A$15,BD$13)))</f>
        <v>1000000000000</v>
      </c>
      <c r="BE99" s="173">
        <f ca="1">IF(OR($D99&lt;&gt;"Serviço",AND(AUTOEVENTO="Manual",$M99=$A$15),$M99&gt;(ROW(PLE.lastrow)-ROW(PLE.firstrow))),0,
           IF(OFFSET(PLE!$G$15,$M99-$A$15,BE$13)="",10^12,OFFSET(PLE!$G$15,$M99-$A$15,BE$13)))</f>
        <v>1000000000000</v>
      </c>
      <c r="BF99" s="173">
        <f ca="1">IF(OR($D99&lt;&gt;"Serviço",AND(AUTOEVENTO="Manual",$M99=$A$15),$M99&gt;(ROW(PLE.lastrow)-ROW(PLE.firstrow))),0,
           IF(OFFSET(PLE!$G$15,$M99-$A$15,BF$13)="",10^12,OFFSET(PLE!$G$15,$M99-$A$15,BF$13)))</f>
        <v>1000000000000</v>
      </c>
      <c r="BG99" s="173">
        <f ca="1">IF(OR($D99&lt;&gt;"Serviço",AND(AUTOEVENTO="Manual",$M99=$A$15),$M99&gt;(ROW(PLE.lastrow)-ROW(PLE.firstrow))),0,
           IF(OFFSET(PLE!$G$15,$M99-$A$15,BG$13)="",10^12,OFFSET(PLE!$G$15,$M99-$A$15,BG$13)))</f>
        <v>1000000000000</v>
      </c>
    </row>
    <row r="100" spans="1:59" ht="38.25" x14ac:dyDescent="0.2">
      <c r="A100" s="7" t="str">
        <f t="shared" ca="1" si="9"/>
        <v>39</v>
      </c>
      <c r="B100" s="7" t="str">
        <f ca="1">OFFSET(ORÇAMENTO!C$15,ROW(B100)-ROW(B$15),0)</f>
        <v>S</v>
      </c>
      <c r="C100" s="7" t="str">
        <f ca="1">OFFSET(ORÇAMENTO!L$15,ROW(C100)-ROW(C$15),0)</f>
        <v/>
      </c>
      <c r="D100" s="117" t="str">
        <f ca="1">OFFSET(ORÇAMENTO!N$15,ROW(D100)-ROW(D$15),0)</f>
        <v>Serviço</v>
      </c>
      <c r="E100" s="118" t="str">
        <f ca="1">OFFSET(ORÇAMENTO!O$15,ROW(E100)-ROW(E$15),0)</f>
        <v>-</v>
      </c>
      <c r="F100" s="164" t="str">
        <f ca="1">OFFSET(ORÇAMENTO!R$15,ROW(F100)-ROW(F$15),0)</f>
        <v>CABO DE COBRE FLEXÍVEL ISOLADO, 1,5 MM², ANTI-CHAMA 0,6/1,0 KV, PARA CIRCUITOS TERMINAIS - FORNECIMENTO E INSTALAÇÃO. AF_03/2023</v>
      </c>
      <c r="G100" s="165" t="str">
        <f ca="1">IF($D100&lt;&gt;"Serviço","",OFFSET(ORÇAMENTO!S$15,ROW(G100)-ROW(G$15),0))</f>
        <v>M</v>
      </c>
      <c r="H100" s="123">
        <f ca="1">IF($D100&lt;&gt;"Serviço",0,IF(ACOMPANHAMENTO="BM",ROUND(OFFSET(ORÇAMENTO!AJ$15,ROW(H100)-ROW(H$15),0),15-13*ORÇAMENTO!$AF$7),SUMPRODUCT(($Q$1:$AA$1=1)*ROUND($Q100:$AA100,15-13*ORÇAMENTO!$AF$7))))</f>
        <v>155</v>
      </c>
      <c r="I100" s="469"/>
      <c r="J100" s="577" t="str" cm="1">
        <f t="array" aca="1" ref="J100" ca="1">IF(B100&lt;&gt;"S","",IF(AND(ACOMPANHAMENTO="PLE",AUTOEVENTO="Manual",OR(H100&gt;0,ORÇAMENTO!AC100="QUANT."),OR(K100="",M100=0,N100="")),"►",IF(AND(ACOMPANHAMENTO="PLE",ORÇAMENTO!AC100="QUANT."),"►►",IF(AND(COUNTIF($P$11:$AA$11,"▼")=0,H100&gt;0,I100=""),"◄",""))))</f>
        <v>◄</v>
      </c>
      <c r="K100" s="626"/>
      <c r="L100" s="166" t="s">
        <v>765</v>
      </c>
      <c r="M100" s="167">
        <f ca="1">IF($D100&lt;&gt;"Serviço","",
          IF(AUTOEVENTO="manual",$A100,
                IF(ISERROR(MATCH($A100,$A$15:OFFSET($A100,-1,0),0)),MAX($M$15:OFFSET(M100,-1,0))+1,
                      INDEX($M$15:OFFSET(M100,-1,0),MATCH($A100,$A$15:OFFSET($A100,-1,0),0)))))</f>
        <v>9</v>
      </c>
      <c r="N100" s="168" t="str">
        <f ca="1">IF($D100&lt;&gt;"Serviço","",
         IF(AUTOEVENTO="Manual",
                IF($A100=0,"&lt;-- defina o número do agrupador",
                       OFFSET(EVENTOS!$D$15,$A100-$A$15,0)),
                OFFSET($F$15,$A100,0)))</f>
        <v>INSTALAÇÕES ELÉTRICAS</v>
      </c>
      <c r="O100" s="169"/>
      <c r="Q100" s="169"/>
      <c r="R100" s="170"/>
      <c r="S100" s="170"/>
      <c r="T100" s="170"/>
      <c r="U100" s="170"/>
      <c r="V100" s="170"/>
      <c r="W100" s="170"/>
      <c r="X100" s="170"/>
      <c r="Y100" s="170"/>
      <c r="Z100" s="171"/>
      <c r="AB100" s="454">
        <f ca="1">IF(AND($D100="Serviço",AB$12&lt;&gt;0,$H100&gt;0,OR(AUTOEVENTO&lt;&gt;"manual",$M100&lt;&gt;$A$15)),
        IF(Import.TipoArredondamento&lt;&gt;"TransfereGOV",
              ROUND(OFFSET($P100,0,AB$13),15-13*ORÇAMENTO!$AF$7)/$H100*OFFSET(ORÇAMENTO!$X$15,ROW(AB100)-ROW(AB$15),0),
              ROUND(ROUND(OFFSET($P100,0,AB$13),15-13*ORÇAMENTO!$AF$7)*OFFSET(ORÇAMENTO!$W$15,ROW(AB100)-ROW(AB$15),0),15-13*ORÇAMENTO!$AF$11)),
         0)</f>
        <v>0</v>
      </c>
      <c r="AC100" s="454">
        <f ca="1">IF(AND($D100="Serviço",AC$12&lt;&gt;0,$H100&gt;0,OR(AUTOEVENTO&lt;&gt;"manual",$M100&lt;&gt;$A$15)),
        IF(Import.TipoArredondamento&lt;&gt;"TransfereGOV",
              ROUND(OFFSET($P100,0,AC$13),15-13*ORÇAMENTO!$AF$7)/$H100*OFFSET(ORÇAMENTO!$X$15,ROW(AC100)-ROW(AC$15),0),
              ROUND(ROUND(OFFSET($P100,0,AC$13),15-13*ORÇAMENTO!$AF$7)*OFFSET(ORÇAMENTO!$W$15,ROW(AC100)-ROW(AC$15),0),15-13*ORÇAMENTO!$AF$11)),
         0)</f>
        <v>0</v>
      </c>
      <c r="AD100" s="454">
        <f ca="1">IF(AND($D100="Serviço",AD$12&lt;&gt;0,$H100&gt;0,OR(AUTOEVENTO&lt;&gt;"manual",$M100&lt;&gt;$A$15)),
        IF(Import.TipoArredondamento&lt;&gt;"TransfereGOV",
              ROUND(OFFSET($P100,0,AD$13),15-13*ORÇAMENTO!$AF$7)/$H100*OFFSET(ORÇAMENTO!$X$15,ROW(AD100)-ROW(AD$15),0),
              ROUND(ROUND(OFFSET($P100,0,AD$13),15-13*ORÇAMENTO!$AF$7)*OFFSET(ORÇAMENTO!$W$15,ROW(AD100)-ROW(AD$15),0),15-13*ORÇAMENTO!$AF$11)),
         0)</f>
        <v>0</v>
      </c>
      <c r="AE100" s="454">
        <f ca="1">IF(AND($D100="Serviço",AE$12&lt;&gt;0,$H100&gt;0,OR(AUTOEVENTO&lt;&gt;"manual",$M100&lt;&gt;$A$15)),
        IF(Import.TipoArredondamento&lt;&gt;"TransfereGOV",
              ROUND(OFFSET($P100,0,AE$13),15-13*ORÇAMENTO!$AF$7)/$H100*OFFSET(ORÇAMENTO!$X$15,ROW(AE100)-ROW(AE$15),0),
              ROUND(ROUND(OFFSET($P100,0,AE$13),15-13*ORÇAMENTO!$AF$7)*OFFSET(ORÇAMENTO!$W$15,ROW(AE100)-ROW(AE$15),0),15-13*ORÇAMENTO!$AF$11)),
         0)</f>
        <v>0</v>
      </c>
      <c r="AF100" s="454">
        <f ca="1">IF(AND($D100="Serviço",AF$12&lt;&gt;0,$H100&gt;0,OR(AUTOEVENTO&lt;&gt;"manual",$M100&lt;&gt;$A$15)),
        IF(Import.TipoArredondamento&lt;&gt;"TransfereGOV",
              ROUND(OFFSET($P100,0,AF$13),15-13*ORÇAMENTO!$AF$7)/$H100*OFFSET(ORÇAMENTO!$X$15,ROW(AF100)-ROW(AF$15),0),
              ROUND(ROUND(OFFSET($P100,0,AF$13),15-13*ORÇAMENTO!$AF$7)*OFFSET(ORÇAMENTO!$W$15,ROW(AF100)-ROW(AF$15),0),15-13*ORÇAMENTO!$AF$11)),
         0)</f>
        <v>0</v>
      </c>
      <c r="AG100" s="454">
        <f ca="1">IF(AND($D100="Serviço",AG$12&lt;&gt;0,$H100&gt;0,OR(AUTOEVENTO&lt;&gt;"manual",$M100&lt;&gt;$A$15)),
        IF(Import.TipoArredondamento&lt;&gt;"TransfereGOV",
              ROUND(OFFSET($P100,0,AG$13),15-13*ORÇAMENTO!$AF$7)/$H100*OFFSET(ORÇAMENTO!$X$15,ROW(AG100)-ROW(AG$15),0),
              ROUND(ROUND(OFFSET($P100,0,AG$13),15-13*ORÇAMENTO!$AF$7)*OFFSET(ORÇAMENTO!$W$15,ROW(AG100)-ROW(AG$15),0),15-13*ORÇAMENTO!$AF$11)),
         0)</f>
        <v>0</v>
      </c>
      <c r="AH100" s="454">
        <f ca="1">IF(AND($D100="Serviço",AH$12&lt;&gt;0,$H100&gt;0,OR(AUTOEVENTO&lt;&gt;"manual",$M100&lt;&gt;$A$15)),
        IF(Import.TipoArredondamento&lt;&gt;"TransfereGOV",
              ROUND(OFFSET($P100,0,AH$13),15-13*ORÇAMENTO!$AF$7)/$H100*OFFSET(ORÇAMENTO!$X$15,ROW(AH100)-ROW(AH$15),0),
              ROUND(ROUND(OFFSET($P100,0,AH$13),15-13*ORÇAMENTO!$AF$7)*OFFSET(ORÇAMENTO!$W$15,ROW(AH100)-ROW(AH$15),0),15-13*ORÇAMENTO!$AF$11)),
         0)</f>
        <v>0</v>
      </c>
      <c r="AI100" s="454">
        <f ca="1">IF(AND($D100="Serviço",AI$12&lt;&gt;0,$H100&gt;0,OR(AUTOEVENTO&lt;&gt;"manual",$M100&lt;&gt;$A$15)),
        IF(Import.TipoArredondamento&lt;&gt;"TransfereGOV",
              ROUND(OFFSET($P100,0,AI$13),15-13*ORÇAMENTO!$AF$7)/$H100*OFFSET(ORÇAMENTO!$X$15,ROW(AI100)-ROW(AI$15),0),
              ROUND(ROUND(OFFSET($P100,0,AI$13),15-13*ORÇAMENTO!$AF$7)*OFFSET(ORÇAMENTO!$W$15,ROW(AI100)-ROW(AI$15),0),15-13*ORÇAMENTO!$AF$11)),
         0)</f>
        <v>0</v>
      </c>
      <c r="AJ100" s="454">
        <f ca="1">IF(AND($D100="Serviço",AJ$12&lt;&gt;0,$H100&gt;0,OR(AUTOEVENTO&lt;&gt;"manual",$M100&lt;&gt;$A$15)),
        IF(Import.TipoArredondamento&lt;&gt;"TransfereGOV",
              ROUND(OFFSET($P100,0,AJ$13),15-13*ORÇAMENTO!$AF$7)/$H100*OFFSET(ORÇAMENTO!$X$15,ROW(AJ100)-ROW(AJ$15),0),
              ROUND(ROUND(OFFSET($P100,0,AJ$13),15-13*ORÇAMENTO!$AF$7)*OFFSET(ORÇAMENTO!$W$15,ROW(AJ100)-ROW(AJ$15),0),15-13*ORÇAMENTO!$AF$11)),
         0)</f>
        <v>0</v>
      </c>
      <c r="AK100" s="454">
        <f ca="1">IF(AND($D100="Serviço",AK$12&lt;&gt;0,$H100&gt;0,OR(AUTOEVENTO&lt;&gt;"manual",$M100&lt;&gt;$A$15)),
        IF(Import.TipoArredondamento&lt;&gt;"TransfereGOV",
              ROUND(OFFSET($P100,0,AK$13),15-13*ORÇAMENTO!$AF$7)/$H100*OFFSET(ORÇAMENTO!$X$15,ROW(AK100)-ROW(AK$15),0),
              ROUND(ROUND(OFFSET($P100,0,AK$13),15-13*ORÇAMENTO!$AF$7)*OFFSET(ORÇAMENTO!$W$15,ROW(AK100)-ROW(AK$15),0),15-13*ORÇAMENTO!$AF$11)),
         0)</f>
        <v>0</v>
      </c>
      <c r="AM100" s="172">
        <f ca="1">IF(OR($D100&lt;&gt;"Serviço",AND(AUTOEVENTO="Manual",$M100=$A$15)),0,
         IF(OFFSET(CRONOPLE!$F$15,$M100-$A$15,AM$13)="",10^12,OFFSET(CRONOPLE!$F$15,$M100-$A$15,AM$13)))</f>
        <v>1000000000000</v>
      </c>
      <c r="AN100" s="172">
        <f ca="1">IF(OR($D100&lt;&gt;"Serviço",AND(AUTOEVENTO="Manual",$M100=$A$15)),0,
         IF(OFFSET(CRONOPLE!$F$15,$M100-$A$15,AN$13)="",10^12,OFFSET(CRONOPLE!$F$15,$M100-$A$15,AN$13)))</f>
        <v>1000000000000</v>
      </c>
      <c r="AO100" s="172">
        <f ca="1">IF(OR($D100&lt;&gt;"Serviço",AND(AUTOEVENTO="Manual",$M100=$A$15)),0,
         IF(OFFSET(CRONOPLE!$F$15,$M100-$A$15,AO$13)="",10^12,OFFSET(CRONOPLE!$F$15,$M100-$A$15,AO$13)))</f>
        <v>1000000000000</v>
      </c>
      <c r="AP100" s="172">
        <f ca="1">IF(OR($D100&lt;&gt;"Serviço",AND(AUTOEVENTO="Manual",$M100=$A$15)),0,
         IF(OFFSET(CRONOPLE!$F$15,$M100-$A$15,AP$13)="",10^12,OFFSET(CRONOPLE!$F$15,$M100-$A$15,AP$13)))</f>
        <v>1000000000000</v>
      </c>
      <c r="AQ100" s="172">
        <f ca="1">IF(OR($D100&lt;&gt;"Serviço",AND(AUTOEVENTO="Manual",$M100=$A$15)),0,
         IF(OFFSET(CRONOPLE!$F$15,$M100-$A$15,AQ$13)="",10^12,OFFSET(CRONOPLE!$F$15,$M100-$A$15,AQ$13)))</f>
        <v>1000000000000</v>
      </c>
      <c r="AR100" s="172">
        <f ca="1">IF(OR($D100&lt;&gt;"Serviço",AND(AUTOEVENTO="Manual",$M100=$A$15)),0,
         IF(OFFSET(CRONOPLE!$F$15,$M100-$A$15,AR$13)="",10^12,OFFSET(CRONOPLE!$F$15,$M100-$A$15,AR$13)))</f>
        <v>1000000000000</v>
      </c>
      <c r="AS100" s="172">
        <f ca="1">IF(OR($D100&lt;&gt;"Serviço",AND(AUTOEVENTO="Manual",$M100=$A$15)),0,
         IF(OFFSET(CRONOPLE!$F$15,$M100-$A$15,AS$13)="",10^12,OFFSET(CRONOPLE!$F$15,$M100-$A$15,AS$13)))</f>
        <v>1000000000000</v>
      </c>
      <c r="AT100" s="172">
        <f ca="1">IF(OR($D100&lt;&gt;"Serviço",AND(AUTOEVENTO="Manual",$M100=$A$15)),0,
         IF(OFFSET(CRONOPLE!$F$15,$M100-$A$15,AT$13)="",10^12,OFFSET(CRONOPLE!$F$15,$M100-$A$15,AT$13)))</f>
        <v>1000000000000</v>
      </c>
      <c r="AU100" s="172">
        <f ca="1">IF(OR($D100&lt;&gt;"Serviço",AND(AUTOEVENTO="Manual",$M100=$A$15)),0,
         IF(OFFSET(CRONOPLE!$F$15,$M100-$A$15,AU$13)="",10^12,OFFSET(CRONOPLE!$F$15,$M100-$A$15,AU$13)))</f>
        <v>1000000000000</v>
      </c>
      <c r="AV100" s="172">
        <f ca="1">IF(OR($D100&lt;&gt;"Serviço",AND(AUTOEVENTO="Manual",$M100=$A$15)),0,
         IF(OFFSET(CRONOPLE!$F$15,$M100-$A$15,AV$13)="",10^12,OFFSET(CRONOPLE!$F$15,$M100-$A$15,AV$13)))</f>
        <v>1000000000000</v>
      </c>
      <c r="AX100" s="173">
        <f ca="1">IF(OR($D100&lt;&gt;"Serviço",AND(AUTOEVENTO="Manual",$M100=$A$15),$M100&gt;(ROW(PLE.lastrow)-ROW(PLE.firstrow))),0,
           IF(OFFSET(PLE!$G$15,$M100-$A$15,AX$13)="",10^12,OFFSET(PLE!$G$15,$M100-$A$15,AX$13)))</f>
        <v>1000000000000</v>
      </c>
      <c r="AY100" s="173">
        <f ca="1">IF(OR($D100&lt;&gt;"Serviço",AND(AUTOEVENTO="Manual",$M100=$A$15),$M100&gt;(ROW(PLE.lastrow)-ROW(PLE.firstrow))),0,
           IF(OFFSET(PLE!$G$15,$M100-$A$15,AY$13)="",10^12,OFFSET(PLE!$G$15,$M100-$A$15,AY$13)))</f>
        <v>1000000000000</v>
      </c>
      <c r="AZ100" s="173">
        <f ca="1">IF(OR($D100&lt;&gt;"Serviço",AND(AUTOEVENTO="Manual",$M100=$A$15),$M100&gt;(ROW(PLE.lastrow)-ROW(PLE.firstrow))),0,
           IF(OFFSET(PLE!$G$15,$M100-$A$15,AZ$13)="",10^12,OFFSET(PLE!$G$15,$M100-$A$15,AZ$13)))</f>
        <v>1000000000000</v>
      </c>
      <c r="BA100" s="173">
        <f ca="1">IF(OR($D100&lt;&gt;"Serviço",AND(AUTOEVENTO="Manual",$M100=$A$15),$M100&gt;(ROW(PLE.lastrow)-ROW(PLE.firstrow))),0,
           IF(OFFSET(PLE!$G$15,$M100-$A$15,BA$13)="",10^12,OFFSET(PLE!$G$15,$M100-$A$15,BA$13)))</f>
        <v>1000000000000</v>
      </c>
      <c r="BB100" s="173">
        <f ca="1">IF(OR($D100&lt;&gt;"Serviço",AND(AUTOEVENTO="Manual",$M100=$A$15),$M100&gt;(ROW(PLE.lastrow)-ROW(PLE.firstrow))),0,
           IF(OFFSET(PLE!$G$15,$M100-$A$15,BB$13)="",10^12,OFFSET(PLE!$G$15,$M100-$A$15,BB$13)))</f>
        <v>1000000000000</v>
      </c>
      <c r="BC100" s="173">
        <f ca="1">IF(OR($D100&lt;&gt;"Serviço",AND(AUTOEVENTO="Manual",$M100=$A$15),$M100&gt;(ROW(PLE.lastrow)-ROW(PLE.firstrow))),0,
           IF(OFFSET(PLE!$G$15,$M100-$A$15,BC$13)="",10^12,OFFSET(PLE!$G$15,$M100-$A$15,BC$13)))</f>
        <v>1000000000000</v>
      </c>
      <c r="BD100" s="173">
        <f ca="1">IF(OR($D100&lt;&gt;"Serviço",AND(AUTOEVENTO="Manual",$M100=$A$15),$M100&gt;(ROW(PLE.lastrow)-ROW(PLE.firstrow))),0,
           IF(OFFSET(PLE!$G$15,$M100-$A$15,BD$13)="",10^12,OFFSET(PLE!$G$15,$M100-$A$15,BD$13)))</f>
        <v>1000000000000</v>
      </c>
      <c r="BE100" s="173">
        <f ca="1">IF(OR($D100&lt;&gt;"Serviço",AND(AUTOEVENTO="Manual",$M100=$A$15),$M100&gt;(ROW(PLE.lastrow)-ROW(PLE.firstrow))),0,
           IF(OFFSET(PLE!$G$15,$M100-$A$15,BE$13)="",10^12,OFFSET(PLE!$G$15,$M100-$A$15,BE$13)))</f>
        <v>1000000000000</v>
      </c>
      <c r="BF100" s="173">
        <f ca="1">IF(OR($D100&lt;&gt;"Serviço",AND(AUTOEVENTO="Manual",$M100=$A$15),$M100&gt;(ROW(PLE.lastrow)-ROW(PLE.firstrow))),0,
           IF(OFFSET(PLE!$G$15,$M100-$A$15,BF$13)="",10^12,OFFSET(PLE!$G$15,$M100-$A$15,BF$13)))</f>
        <v>1000000000000</v>
      </c>
      <c r="BG100" s="173">
        <f ca="1">IF(OR($D100&lt;&gt;"Serviço",AND(AUTOEVENTO="Manual",$M100=$A$15),$M100&gt;(ROW(PLE.lastrow)-ROW(PLE.firstrow))),0,
           IF(OFFSET(PLE!$G$15,$M100-$A$15,BG$13)="",10^12,OFFSET(PLE!$G$15,$M100-$A$15,BG$13)))</f>
        <v>1000000000000</v>
      </c>
    </row>
    <row r="101" spans="1:59" ht="38.25" x14ac:dyDescent="0.2">
      <c r="A101" s="7" t="str">
        <f t="shared" ca="1" si="9"/>
        <v>39</v>
      </c>
      <c r="B101" s="7" t="str">
        <f ca="1">OFFSET(ORÇAMENTO!C$15,ROW(B101)-ROW(B$15),0)</f>
        <v>S</v>
      </c>
      <c r="C101" s="7" t="str">
        <f ca="1">OFFSET(ORÇAMENTO!L$15,ROW(C101)-ROW(C$15),0)</f>
        <v/>
      </c>
      <c r="D101" s="117" t="str">
        <f ca="1">OFFSET(ORÇAMENTO!N$15,ROW(D101)-ROW(D$15),0)</f>
        <v>Serviço</v>
      </c>
      <c r="E101" s="118" t="str">
        <f ca="1">OFFSET(ORÇAMENTO!O$15,ROW(E101)-ROW(E$15),0)</f>
        <v>-</v>
      </c>
      <c r="F101" s="164" t="str">
        <f ca="1">OFFSET(ORÇAMENTO!R$15,ROW(F101)-ROW(F$15),0)</f>
        <v>CABO DE COBRE FLEXÍVEL ISOLADO, 10 MM², ANTI-CHAMA 0,6/1,0 KV, PARA CIRCUITOS TERMINAIS - FORNECIMENTO E INSTALAÇÃO. AF_03/2023</v>
      </c>
      <c r="G101" s="165" t="str">
        <f ca="1">IF($D101&lt;&gt;"Serviço","",OFFSET(ORÇAMENTO!S$15,ROW(G101)-ROW(G$15),0))</f>
        <v>M</v>
      </c>
      <c r="H101" s="123">
        <f ca="1">IF($D101&lt;&gt;"Serviço",0,IF(ACOMPANHAMENTO="BM",ROUND(OFFSET(ORÇAMENTO!AJ$15,ROW(H101)-ROW(H$15),0),15-13*ORÇAMENTO!$AF$7),SUMPRODUCT(($Q$1:$AA$1=1)*ROUND($Q101:$AA101,15-13*ORÇAMENTO!$AF$7))))</f>
        <v>480</v>
      </c>
      <c r="I101" s="469"/>
      <c r="J101" s="577" t="str" cm="1">
        <f t="array" aca="1" ref="J101" ca="1">IF(B101&lt;&gt;"S","",IF(AND(ACOMPANHAMENTO="PLE",AUTOEVENTO="Manual",OR(H101&gt;0,ORÇAMENTO!AC101="QUANT."),OR(K101="",M101=0,N101="")),"►",IF(AND(ACOMPANHAMENTO="PLE",ORÇAMENTO!AC101="QUANT."),"►►",IF(AND(COUNTIF($P$11:$AA$11,"▼")=0,H101&gt;0,I101=""),"◄",""))))</f>
        <v>◄</v>
      </c>
      <c r="K101" s="626"/>
      <c r="L101" s="166" t="s">
        <v>765</v>
      </c>
      <c r="M101" s="167">
        <f ca="1">IF($D101&lt;&gt;"Serviço","",
          IF(AUTOEVENTO="manual",$A101,
                IF(ISERROR(MATCH($A101,$A$15:OFFSET($A101,-1,0),0)),MAX($M$15:OFFSET(M101,-1,0))+1,
                      INDEX($M$15:OFFSET(M101,-1,0),MATCH($A101,$A$15:OFFSET($A101,-1,0),0)))))</f>
        <v>9</v>
      </c>
      <c r="N101" s="168" t="str">
        <f ca="1">IF($D101&lt;&gt;"Serviço","",
         IF(AUTOEVENTO="Manual",
                IF($A101=0,"&lt;-- defina o número do agrupador",
                       OFFSET(EVENTOS!$D$15,$A101-$A$15,0)),
                OFFSET($F$15,$A101,0)))</f>
        <v>INSTALAÇÕES ELÉTRICAS</v>
      </c>
      <c r="O101" s="169"/>
      <c r="Q101" s="169"/>
      <c r="R101" s="170"/>
      <c r="S101" s="170"/>
      <c r="T101" s="170"/>
      <c r="U101" s="170"/>
      <c r="V101" s="170"/>
      <c r="W101" s="170"/>
      <c r="X101" s="170"/>
      <c r="Y101" s="170"/>
      <c r="Z101" s="171"/>
      <c r="AB101" s="454">
        <f ca="1">IF(AND($D101="Serviço",AB$12&lt;&gt;0,$H101&gt;0,OR(AUTOEVENTO&lt;&gt;"manual",$M101&lt;&gt;$A$15)),
        IF(Import.TipoArredondamento&lt;&gt;"TransfereGOV",
              ROUND(OFFSET($P101,0,AB$13),15-13*ORÇAMENTO!$AF$7)/$H101*OFFSET(ORÇAMENTO!$X$15,ROW(AB101)-ROW(AB$15),0),
              ROUND(ROUND(OFFSET($P101,0,AB$13),15-13*ORÇAMENTO!$AF$7)*OFFSET(ORÇAMENTO!$W$15,ROW(AB101)-ROW(AB$15),0),15-13*ORÇAMENTO!$AF$11)),
         0)</f>
        <v>0</v>
      </c>
      <c r="AC101" s="454">
        <f ca="1">IF(AND($D101="Serviço",AC$12&lt;&gt;0,$H101&gt;0,OR(AUTOEVENTO&lt;&gt;"manual",$M101&lt;&gt;$A$15)),
        IF(Import.TipoArredondamento&lt;&gt;"TransfereGOV",
              ROUND(OFFSET($P101,0,AC$13),15-13*ORÇAMENTO!$AF$7)/$H101*OFFSET(ORÇAMENTO!$X$15,ROW(AC101)-ROW(AC$15),0),
              ROUND(ROUND(OFFSET($P101,0,AC$13),15-13*ORÇAMENTO!$AF$7)*OFFSET(ORÇAMENTO!$W$15,ROW(AC101)-ROW(AC$15),0),15-13*ORÇAMENTO!$AF$11)),
         0)</f>
        <v>0</v>
      </c>
      <c r="AD101" s="454">
        <f ca="1">IF(AND($D101="Serviço",AD$12&lt;&gt;0,$H101&gt;0,OR(AUTOEVENTO&lt;&gt;"manual",$M101&lt;&gt;$A$15)),
        IF(Import.TipoArredondamento&lt;&gt;"TransfereGOV",
              ROUND(OFFSET($P101,0,AD$13),15-13*ORÇAMENTO!$AF$7)/$H101*OFFSET(ORÇAMENTO!$X$15,ROW(AD101)-ROW(AD$15),0),
              ROUND(ROUND(OFFSET($P101,0,AD$13),15-13*ORÇAMENTO!$AF$7)*OFFSET(ORÇAMENTO!$W$15,ROW(AD101)-ROW(AD$15),0),15-13*ORÇAMENTO!$AF$11)),
         0)</f>
        <v>0</v>
      </c>
      <c r="AE101" s="454">
        <f ca="1">IF(AND($D101="Serviço",AE$12&lt;&gt;0,$H101&gt;0,OR(AUTOEVENTO&lt;&gt;"manual",$M101&lt;&gt;$A$15)),
        IF(Import.TipoArredondamento&lt;&gt;"TransfereGOV",
              ROUND(OFFSET($P101,0,AE$13),15-13*ORÇAMENTO!$AF$7)/$H101*OFFSET(ORÇAMENTO!$X$15,ROW(AE101)-ROW(AE$15),0),
              ROUND(ROUND(OFFSET($P101,0,AE$13),15-13*ORÇAMENTO!$AF$7)*OFFSET(ORÇAMENTO!$W$15,ROW(AE101)-ROW(AE$15),0),15-13*ORÇAMENTO!$AF$11)),
         0)</f>
        <v>0</v>
      </c>
      <c r="AF101" s="454">
        <f ca="1">IF(AND($D101="Serviço",AF$12&lt;&gt;0,$H101&gt;0,OR(AUTOEVENTO&lt;&gt;"manual",$M101&lt;&gt;$A$15)),
        IF(Import.TipoArredondamento&lt;&gt;"TransfereGOV",
              ROUND(OFFSET($P101,0,AF$13),15-13*ORÇAMENTO!$AF$7)/$H101*OFFSET(ORÇAMENTO!$X$15,ROW(AF101)-ROW(AF$15),0),
              ROUND(ROUND(OFFSET($P101,0,AF$13),15-13*ORÇAMENTO!$AF$7)*OFFSET(ORÇAMENTO!$W$15,ROW(AF101)-ROW(AF$15),0),15-13*ORÇAMENTO!$AF$11)),
         0)</f>
        <v>0</v>
      </c>
      <c r="AG101" s="454">
        <f ca="1">IF(AND($D101="Serviço",AG$12&lt;&gt;0,$H101&gt;0,OR(AUTOEVENTO&lt;&gt;"manual",$M101&lt;&gt;$A$15)),
        IF(Import.TipoArredondamento&lt;&gt;"TransfereGOV",
              ROUND(OFFSET($P101,0,AG$13),15-13*ORÇAMENTO!$AF$7)/$H101*OFFSET(ORÇAMENTO!$X$15,ROW(AG101)-ROW(AG$15),0),
              ROUND(ROUND(OFFSET($P101,0,AG$13),15-13*ORÇAMENTO!$AF$7)*OFFSET(ORÇAMENTO!$W$15,ROW(AG101)-ROW(AG$15),0),15-13*ORÇAMENTO!$AF$11)),
         0)</f>
        <v>0</v>
      </c>
      <c r="AH101" s="454">
        <f ca="1">IF(AND($D101="Serviço",AH$12&lt;&gt;0,$H101&gt;0,OR(AUTOEVENTO&lt;&gt;"manual",$M101&lt;&gt;$A$15)),
        IF(Import.TipoArredondamento&lt;&gt;"TransfereGOV",
              ROUND(OFFSET($P101,0,AH$13),15-13*ORÇAMENTO!$AF$7)/$H101*OFFSET(ORÇAMENTO!$X$15,ROW(AH101)-ROW(AH$15),0),
              ROUND(ROUND(OFFSET($P101,0,AH$13),15-13*ORÇAMENTO!$AF$7)*OFFSET(ORÇAMENTO!$W$15,ROW(AH101)-ROW(AH$15),0),15-13*ORÇAMENTO!$AF$11)),
         0)</f>
        <v>0</v>
      </c>
      <c r="AI101" s="454">
        <f ca="1">IF(AND($D101="Serviço",AI$12&lt;&gt;0,$H101&gt;0,OR(AUTOEVENTO&lt;&gt;"manual",$M101&lt;&gt;$A$15)),
        IF(Import.TipoArredondamento&lt;&gt;"TransfereGOV",
              ROUND(OFFSET($P101,0,AI$13),15-13*ORÇAMENTO!$AF$7)/$H101*OFFSET(ORÇAMENTO!$X$15,ROW(AI101)-ROW(AI$15),0),
              ROUND(ROUND(OFFSET($P101,0,AI$13),15-13*ORÇAMENTO!$AF$7)*OFFSET(ORÇAMENTO!$W$15,ROW(AI101)-ROW(AI$15),0),15-13*ORÇAMENTO!$AF$11)),
         0)</f>
        <v>0</v>
      </c>
      <c r="AJ101" s="454">
        <f ca="1">IF(AND($D101="Serviço",AJ$12&lt;&gt;0,$H101&gt;0,OR(AUTOEVENTO&lt;&gt;"manual",$M101&lt;&gt;$A$15)),
        IF(Import.TipoArredondamento&lt;&gt;"TransfereGOV",
              ROUND(OFFSET($P101,0,AJ$13),15-13*ORÇAMENTO!$AF$7)/$H101*OFFSET(ORÇAMENTO!$X$15,ROW(AJ101)-ROW(AJ$15),0),
              ROUND(ROUND(OFFSET($P101,0,AJ$13),15-13*ORÇAMENTO!$AF$7)*OFFSET(ORÇAMENTO!$W$15,ROW(AJ101)-ROW(AJ$15),0),15-13*ORÇAMENTO!$AF$11)),
         0)</f>
        <v>0</v>
      </c>
      <c r="AK101" s="454">
        <f ca="1">IF(AND($D101="Serviço",AK$12&lt;&gt;0,$H101&gt;0,OR(AUTOEVENTO&lt;&gt;"manual",$M101&lt;&gt;$A$15)),
        IF(Import.TipoArredondamento&lt;&gt;"TransfereGOV",
              ROUND(OFFSET($P101,0,AK$13),15-13*ORÇAMENTO!$AF$7)/$H101*OFFSET(ORÇAMENTO!$X$15,ROW(AK101)-ROW(AK$15),0),
              ROUND(ROUND(OFFSET($P101,0,AK$13),15-13*ORÇAMENTO!$AF$7)*OFFSET(ORÇAMENTO!$W$15,ROW(AK101)-ROW(AK$15),0),15-13*ORÇAMENTO!$AF$11)),
         0)</f>
        <v>0</v>
      </c>
      <c r="AM101" s="172">
        <f ca="1">IF(OR($D101&lt;&gt;"Serviço",AND(AUTOEVENTO="Manual",$M101=$A$15)),0,
         IF(OFFSET(CRONOPLE!$F$15,$M101-$A$15,AM$13)="",10^12,OFFSET(CRONOPLE!$F$15,$M101-$A$15,AM$13)))</f>
        <v>1000000000000</v>
      </c>
      <c r="AN101" s="172">
        <f ca="1">IF(OR($D101&lt;&gt;"Serviço",AND(AUTOEVENTO="Manual",$M101=$A$15)),0,
         IF(OFFSET(CRONOPLE!$F$15,$M101-$A$15,AN$13)="",10^12,OFFSET(CRONOPLE!$F$15,$M101-$A$15,AN$13)))</f>
        <v>1000000000000</v>
      </c>
      <c r="AO101" s="172">
        <f ca="1">IF(OR($D101&lt;&gt;"Serviço",AND(AUTOEVENTO="Manual",$M101=$A$15)),0,
         IF(OFFSET(CRONOPLE!$F$15,$M101-$A$15,AO$13)="",10^12,OFFSET(CRONOPLE!$F$15,$M101-$A$15,AO$13)))</f>
        <v>1000000000000</v>
      </c>
      <c r="AP101" s="172">
        <f ca="1">IF(OR($D101&lt;&gt;"Serviço",AND(AUTOEVENTO="Manual",$M101=$A$15)),0,
         IF(OFFSET(CRONOPLE!$F$15,$M101-$A$15,AP$13)="",10^12,OFFSET(CRONOPLE!$F$15,$M101-$A$15,AP$13)))</f>
        <v>1000000000000</v>
      </c>
      <c r="AQ101" s="172">
        <f ca="1">IF(OR($D101&lt;&gt;"Serviço",AND(AUTOEVENTO="Manual",$M101=$A$15)),0,
         IF(OFFSET(CRONOPLE!$F$15,$M101-$A$15,AQ$13)="",10^12,OFFSET(CRONOPLE!$F$15,$M101-$A$15,AQ$13)))</f>
        <v>1000000000000</v>
      </c>
      <c r="AR101" s="172">
        <f ca="1">IF(OR($D101&lt;&gt;"Serviço",AND(AUTOEVENTO="Manual",$M101=$A$15)),0,
         IF(OFFSET(CRONOPLE!$F$15,$M101-$A$15,AR$13)="",10^12,OFFSET(CRONOPLE!$F$15,$M101-$A$15,AR$13)))</f>
        <v>1000000000000</v>
      </c>
      <c r="AS101" s="172">
        <f ca="1">IF(OR($D101&lt;&gt;"Serviço",AND(AUTOEVENTO="Manual",$M101=$A$15)),0,
         IF(OFFSET(CRONOPLE!$F$15,$M101-$A$15,AS$13)="",10^12,OFFSET(CRONOPLE!$F$15,$M101-$A$15,AS$13)))</f>
        <v>1000000000000</v>
      </c>
      <c r="AT101" s="172">
        <f ca="1">IF(OR($D101&lt;&gt;"Serviço",AND(AUTOEVENTO="Manual",$M101=$A$15)),0,
         IF(OFFSET(CRONOPLE!$F$15,$M101-$A$15,AT$13)="",10^12,OFFSET(CRONOPLE!$F$15,$M101-$A$15,AT$13)))</f>
        <v>1000000000000</v>
      </c>
      <c r="AU101" s="172">
        <f ca="1">IF(OR($D101&lt;&gt;"Serviço",AND(AUTOEVENTO="Manual",$M101=$A$15)),0,
         IF(OFFSET(CRONOPLE!$F$15,$M101-$A$15,AU$13)="",10^12,OFFSET(CRONOPLE!$F$15,$M101-$A$15,AU$13)))</f>
        <v>1000000000000</v>
      </c>
      <c r="AV101" s="172">
        <f ca="1">IF(OR($D101&lt;&gt;"Serviço",AND(AUTOEVENTO="Manual",$M101=$A$15)),0,
         IF(OFFSET(CRONOPLE!$F$15,$M101-$A$15,AV$13)="",10^12,OFFSET(CRONOPLE!$F$15,$M101-$A$15,AV$13)))</f>
        <v>1000000000000</v>
      </c>
      <c r="AX101" s="173">
        <f ca="1">IF(OR($D101&lt;&gt;"Serviço",AND(AUTOEVENTO="Manual",$M101=$A$15),$M101&gt;(ROW(PLE.lastrow)-ROW(PLE.firstrow))),0,
           IF(OFFSET(PLE!$G$15,$M101-$A$15,AX$13)="",10^12,OFFSET(PLE!$G$15,$M101-$A$15,AX$13)))</f>
        <v>1000000000000</v>
      </c>
      <c r="AY101" s="173">
        <f ca="1">IF(OR($D101&lt;&gt;"Serviço",AND(AUTOEVENTO="Manual",$M101=$A$15),$M101&gt;(ROW(PLE.lastrow)-ROW(PLE.firstrow))),0,
           IF(OFFSET(PLE!$G$15,$M101-$A$15,AY$13)="",10^12,OFFSET(PLE!$G$15,$M101-$A$15,AY$13)))</f>
        <v>1000000000000</v>
      </c>
      <c r="AZ101" s="173">
        <f ca="1">IF(OR($D101&lt;&gt;"Serviço",AND(AUTOEVENTO="Manual",$M101=$A$15),$M101&gt;(ROW(PLE.lastrow)-ROW(PLE.firstrow))),0,
           IF(OFFSET(PLE!$G$15,$M101-$A$15,AZ$13)="",10^12,OFFSET(PLE!$G$15,$M101-$A$15,AZ$13)))</f>
        <v>1000000000000</v>
      </c>
      <c r="BA101" s="173">
        <f ca="1">IF(OR($D101&lt;&gt;"Serviço",AND(AUTOEVENTO="Manual",$M101=$A$15),$M101&gt;(ROW(PLE.lastrow)-ROW(PLE.firstrow))),0,
           IF(OFFSET(PLE!$G$15,$M101-$A$15,BA$13)="",10^12,OFFSET(PLE!$G$15,$M101-$A$15,BA$13)))</f>
        <v>1000000000000</v>
      </c>
      <c r="BB101" s="173">
        <f ca="1">IF(OR($D101&lt;&gt;"Serviço",AND(AUTOEVENTO="Manual",$M101=$A$15),$M101&gt;(ROW(PLE.lastrow)-ROW(PLE.firstrow))),0,
           IF(OFFSET(PLE!$G$15,$M101-$A$15,BB$13)="",10^12,OFFSET(PLE!$G$15,$M101-$A$15,BB$13)))</f>
        <v>1000000000000</v>
      </c>
      <c r="BC101" s="173">
        <f ca="1">IF(OR($D101&lt;&gt;"Serviço",AND(AUTOEVENTO="Manual",$M101=$A$15),$M101&gt;(ROW(PLE.lastrow)-ROW(PLE.firstrow))),0,
           IF(OFFSET(PLE!$G$15,$M101-$A$15,BC$13)="",10^12,OFFSET(PLE!$G$15,$M101-$A$15,BC$13)))</f>
        <v>1000000000000</v>
      </c>
      <c r="BD101" s="173">
        <f ca="1">IF(OR($D101&lt;&gt;"Serviço",AND(AUTOEVENTO="Manual",$M101=$A$15),$M101&gt;(ROW(PLE.lastrow)-ROW(PLE.firstrow))),0,
           IF(OFFSET(PLE!$G$15,$M101-$A$15,BD$13)="",10^12,OFFSET(PLE!$G$15,$M101-$A$15,BD$13)))</f>
        <v>1000000000000</v>
      </c>
      <c r="BE101" s="173">
        <f ca="1">IF(OR($D101&lt;&gt;"Serviço",AND(AUTOEVENTO="Manual",$M101=$A$15),$M101&gt;(ROW(PLE.lastrow)-ROW(PLE.firstrow))),0,
           IF(OFFSET(PLE!$G$15,$M101-$A$15,BE$13)="",10^12,OFFSET(PLE!$G$15,$M101-$A$15,BE$13)))</f>
        <v>1000000000000</v>
      </c>
      <c r="BF101" s="173">
        <f ca="1">IF(OR($D101&lt;&gt;"Serviço",AND(AUTOEVENTO="Manual",$M101=$A$15),$M101&gt;(ROW(PLE.lastrow)-ROW(PLE.firstrow))),0,
           IF(OFFSET(PLE!$G$15,$M101-$A$15,BF$13)="",10^12,OFFSET(PLE!$G$15,$M101-$A$15,BF$13)))</f>
        <v>1000000000000</v>
      </c>
      <c r="BG101" s="173">
        <f ca="1">IF(OR($D101&lt;&gt;"Serviço",AND(AUTOEVENTO="Manual",$M101=$A$15),$M101&gt;(ROW(PLE.lastrow)-ROW(PLE.firstrow))),0,
           IF(OFFSET(PLE!$G$15,$M101-$A$15,BG$13)="",10^12,OFFSET(PLE!$G$15,$M101-$A$15,BG$13)))</f>
        <v>1000000000000</v>
      </c>
    </row>
    <row r="102" spans="1:59" ht="38.25" x14ac:dyDescent="0.2">
      <c r="A102" s="7" t="str">
        <f t="shared" ca="1" si="9"/>
        <v>39</v>
      </c>
      <c r="B102" s="7" t="str">
        <f ca="1">OFFSET(ORÇAMENTO!C$15,ROW(B102)-ROW(B$15),0)</f>
        <v>S</v>
      </c>
      <c r="C102" s="7" t="str">
        <f ca="1">OFFSET(ORÇAMENTO!L$15,ROW(C102)-ROW(C$15),0)</f>
        <v/>
      </c>
      <c r="D102" s="117" t="str">
        <f ca="1">OFFSET(ORÇAMENTO!N$15,ROW(D102)-ROW(D$15),0)</f>
        <v>Serviço</v>
      </c>
      <c r="E102" s="118" t="str">
        <f ca="1">OFFSET(ORÇAMENTO!O$15,ROW(E102)-ROW(E$15),0)</f>
        <v>-</v>
      </c>
      <c r="F102" s="164" t="str">
        <f ca="1">OFFSET(ORÇAMENTO!R$15,ROW(F102)-ROW(F$15),0)</f>
        <v>CABO DE COBRE FLEXÍVEL ISOLADO, 16 MM², ANTI-CHAMA 0,6/1,0 KV, PARA CIRCUITOS TERMINAIS - FORNECIMENTO E INSTALAÇÃO. AF_03/2023</v>
      </c>
      <c r="G102" s="165" t="str">
        <f ca="1">IF($D102&lt;&gt;"Serviço","",OFFSET(ORÇAMENTO!S$15,ROW(G102)-ROW(G$15),0))</f>
        <v>M</v>
      </c>
      <c r="H102" s="123">
        <f ca="1">IF($D102&lt;&gt;"Serviço",0,IF(ACOMPANHAMENTO="BM",ROUND(OFFSET(ORÇAMENTO!AJ$15,ROW(H102)-ROW(H$15),0),15-13*ORÇAMENTO!$AF$7),SUMPRODUCT(($Q$1:$AA$1=1)*ROUND($Q102:$AA102,15-13*ORÇAMENTO!$AF$7))))</f>
        <v>155</v>
      </c>
      <c r="I102" s="469"/>
      <c r="J102" s="577" t="str" cm="1">
        <f t="array" aca="1" ref="J102" ca="1">IF(B102&lt;&gt;"S","",IF(AND(ACOMPANHAMENTO="PLE",AUTOEVENTO="Manual",OR(H102&gt;0,ORÇAMENTO!AC102="QUANT."),OR(K102="",M102=0,N102="")),"►",IF(AND(ACOMPANHAMENTO="PLE",ORÇAMENTO!AC102="QUANT."),"►►",IF(AND(COUNTIF($P$11:$AA$11,"▼")=0,H102&gt;0,I102=""),"◄",""))))</f>
        <v>◄</v>
      </c>
      <c r="K102" s="626"/>
      <c r="L102" s="166" t="s">
        <v>765</v>
      </c>
      <c r="M102" s="167">
        <f ca="1">IF($D102&lt;&gt;"Serviço","",
          IF(AUTOEVENTO="manual",$A102,
                IF(ISERROR(MATCH($A102,$A$15:OFFSET($A102,-1,0),0)),MAX($M$15:OFFSET(M102,-1,0))+1,
                      INDEX($M$15:OFFSET(M102,-1,0),MATCH($A102,$A$15:OFFSET($A102,-1,0),0)))))</f>
        <v>9</v>
      </c>
      <c r="N102" s="168" t="str">
        <f ca="1">IF($D102&lt;&gt;"Serviço","",
         IF(AUTOEVENTO="Manual",
                IF($A102=0,"&lt;-- defina o número do agrupador",
                       OFFSET(EVENTOS!$D$15,$A102-$A$15,0)),
                OFFSET($F$15,$A102,0)))</f>
        <v>INSTALAÇÕES ELÉTRICAS</v>
      </c>
      <c r="O102" s="169"/>
      <c r="Q102" s="169"/>
      <c r="R102" s="170"/>
      <c r="S102" s="170"/>
      <c r="T102" s="170"/>
      <c r="U102" s="170"/>
      <c r="V102" s="170"/>
      <c r="W102" s="170"/>
      <c r="X102" s="170"/>
      <c r="Y102" s="170"/>
      <c r="Z102" s="171"/>
      <c r="AB102" s="454">
        <f ca="1">IF(AND($D102="Serviço",AB$12&lt;&gt;0,$H102&gt;0,OR(AUTOEVENTO&lt;&gt;"manual",$M102&lt;&gt;$A$15)),
        IF(Import.TipoArredondamento&lt;&gt;"TransfereGOV",
              ROUND(OFFSET($P102,0,AB$13),15-13*ORÇAMENTO!$AF$7)/$H102*OFFSET(ORÇAMENTO!$X$15,ROW(AB102)-ROW(AB$15),0),
              ROUND(ROUND(OFFSET($P102,0,AB$13),15-13*ORÇAMENTO!$AF$7)*OFFSET(ORÇAMENTO!$W$15,ROW(AB102)-ROW(AB$15),0),15-13*ORÇAMENTO!$AF$11)),
         0)</f>
        <v>0</v>
      </c>
      <c r="AC102" s="454">
        <f ca="1">IF(AND($D102="Serviço",AC$12&lt;&gt;0,$H102&gt;0,OR(AUTOEVENTO&lt;&gt;"manual",$M102&lt;&gt;$A$15)),
        IF(Import.TipoArredondamento&lt;&gt;"TransfereGOV",
              ROUND(OFFSET($P102,0,AC$13),15-13*ORÇAMENTO!$AF$7)/$H102*OFFSET(ORÇAMENTO!$X$15,ROW(AC102)-ROW(AC$15),0),
              ROUND(ROUND(OFFSET($P102,0,AC$13),15-13*ORÇAMENTO!$AF$7)*OFFSET(ORÇAMENTO!$W$15,ROW(AC102)-ROW(AC$15),0),15-13*ORÇAMENTO!$AF$11)),
         0)</f>
        <v>0</v>
      </c>
      <c r="AD102" s="454">
        <f ca="1">IF(AND($D102="Serviço",AD$12&lt;&gt;0,$H102&gt;0,OR(AUTOEVENTO&lt;&gt;"manual",$M102&lt;&gt;$A$15)),
        IF(Import.TipoArredondamento&lt;&gt;"TransfereGOV",
              ROUND(OFFSET($P102,0,AD$13),15-13*ORÇAMENTO!$AF$7)/$H102*OFFSET(ORÇAMENTO!$X$15,ROW(AD102)-ROW(AD$15),0),
              ROUND(ROUND(OFFSET($P102,0,AD$13),15-13*ORÇAMENTO!$AF$7)*OFFSET(ORÇAMENTO!$W$15,ROW(AD102)-ROW(AD$15),0),15-13*ORÇAMENTO!$AF$11)),
         0)</f>
        <v>0</v>
      </c>
      <c r="AE102" s="454">
        <f ca="1">IF(AND($D102="Serviço",AE$12&lt;&gt;0,$H102&gt;0,OR(AUTOEVENTO&lt;&gt;"manual",$M102&lt;&gt;$A$15)),
        IF(Import.TipoArredondamento&lt;&gt;"TransfereGOV",
              ROUND(OFFSET($P102,0,AE$13),15-13*ORÇAMENTO!$AF$7)/$H102*OFFSET(ORÇAMENTO!$X$15,ROW(AE102)-ROW(AE$15),0),
              ROUND(ROUND(OFFSET($P102,0,AE$13),15-13*ORÇAMENTO!$AF$7)*OFFSET(ORÇAMENTO!$W$15,ROW(AE102)-ROW(AE$15),0),15-13*ORÇAMENTO!$AF$11)),
         0)</f>
        <v>0</v>
      </c>
      <c r="AF102" s="454">
        <f ca="1">IF(AND($D102="Serviço",AF$12&lt;&gt;0,$H102&gt;0,OR(AUTOEVENTO&lt;&gt;"manual",$M102&lt;&gt;$A$15)),
        IF(Import.TipoArredondamento&lt;&gt;"TransfereGOV",
              ROUND(OFFSET($P102,0,AF$13),15-13*ORÇAMENTO!$AF$7)/$H102*OFFSET(ORÇAMENTO!$X$15,ROW(AF102)-ROW(AF$15),0),
              ROUND(ROUND(OFFSET($P102,0,AF$13),15-13*ORÇAMENTO!$AF$7)*OFFSET(ORÇAMENTO!$W$15,ROW(AF102)-ROW(AF$15),0),15-13*ORÇAMENTO!$AF$11)),
         0)</f>
        <v>0</v>
      </c>
      <c r="AG102" s="454">
        <f ca="1">IF(AND($D102="Serviço",AG$12&lt;&gt;0,$H102&gt;0,OR(AUTOEVENTO&lt;&gt;"manual",$M102&lt;&gt;$A$15)),
        IF(Import.TipoArredondamento&lt;&gt;"TransfereGOV",
              ROUND(OFFSET($P102,0,AG$13),15-13*ORÇAMENTO!$AF$7)/$H102*OFFSET(ORÇAMENTO!$X$15,ROW(AG102)-ROW(AG$15),0),
              ROUND(ROUND(OFFSET($P102,0,AG$13),15-13*ORÇAMENTO!$AF$7)*OFFSET(ORÇAMENTO!$W$15,ROW(AG102)-ROW(AG$15),0),15-13*ORÇAMENTO!$AF$11)),
         0)</f>
        <v>0</v>
      </c>
      <c r="AH102" s="454">
        <f ca="1">IF(AND($D102="Serviço",AH$12&lt;&gt;0,$H102&gt;0,OR(AUTOEVENTO&lt;&gt;"manual",$M102&lt;&gt;$A$15)),
        IF(Import.TipoArredondamento&lt;&gt;"TransfereGOV",
              ROUND(OFFSET($P102,0,AH$13),15-13*ORÇAMENTO!$AF$7)/$H102*OFFSET(ORÇAMENTO!$X$15,ROW(AH102)-ROW(AH$15),0),
              ROUND(ROUND(OFFSET($P102,0,AH$13),15-13*ORÇAMENTO!$AF$7)*OFFSET(ORÇAMENTO!$W$15,ROW(AH102)-ROW(AH$15),0),15-13*ORÇAMENTO!$AF$11)),
         0)</f>
        <v>0</v>
      </c>
      <c r="AI102" s="454">
        <f ca="1">IF(AND($D102="Serviço",AI$12&lt;&gt;0,$H102&gt;0,OR(AUTOEVENTO&lt;&gt;"manual",$M102&lt;&gt;$A$15)),
        IF(Import.TipoArredondamento&lt;&gt;"TransfereGOV",
              ROUND(OFFSET($P102,0,AI$13),15-13*ORÇAMENTO!$AF$7)/$H102*OFFSET(ORÇAMENTO!$X$15,ROW(AI102)-ROW(AI$15),0),
              ROUND(ROUND(OFFSET($P102,0,AI$13),15-13*ORÇAMENTO!$AF$7)*OFFSET(ORÇAMENTO!$W$15,ROW(AI102)-ROW(AI$15),0),15-13*ORÇAMENTO!$AF$11)),
         0)</f>
        <v>0</v>
      </c>
      <c r="AJ102" s="454">
        <f ca="1">IF(AND($D102="Serviço",AJ$12&lt;&gt;0,$H102&gt;0,OR(AUTOEVENTO&lt;&gt;"manual",$M102&lt;&gt;$A$15)),
        IF(Import.TipoArredondamento&lt;&gt;"TransfereGOV",
              ROUND(OFFSET($P102,0,AJ$13),15-13*ORÇAMENTO!$AF$7)/$H102*OFFSET(ORÇAMENTO!$X$15,ROW(AJ102)-ROW(AJ$15),0),
              ROUND(ROUND(OFFSET($P102,0,AJ$13),15-13*ORÇAMENTO!$AF$7)*OFFSET(ORÇAMENTO!$W$15,ROW(AJ102)-ROW(AJ$15),0),15-13*ORÇAMENTO!$AF$11)),
         0)</f>
        <v>0</v>
      </c>
      <c r="AK102" s="454">
        <f ca="1">IF(AND($D102="Serviço",AK$12&lt;&gt;0,$H102&gt;0,OR(AUTOEVENTO&lt;&gt;"manual",$M102&lt;&gt;$A$15)),
        IF(Import.TipoArredondamento&lt;&gt;"TransfereGOV",
              ROUND(OFFSET($P102,0,AK$13),15-13*ORÇAMENTO!$AF$7)/$H102*OFFSET(ORÇAMENTO!$X$15,ROW(AK102)-ROW(AK$15),0),
              ROUND(ROUND(OFFSET($P102,0,AK$13),15-13*ORÇAMENTO!$AF$7)*OFFSET(ORÇAMENTO!$W$15,ROW(AK102)-ROW(AK$15),0),15-13*ORÇAMENTO!$AF$11)),
         0)</f>
        <v>0</v>
      </c>
      <c r="AM102" s="172">
        <f ca="1">IF(OR($D102&lt;&gt;"Serviço",AND(AUTOEVENTO="Manual",$M102=$A$15)),0,
         IF(OFFSET(CRONOPLE!$F$15,$M102-$A$15,AM$13)="",10^12,OFFSET(CRONOPLE!$F$15,$M102-$A$15,AM$13)))</f>
        <v>1000000000000</v>
      </c>
      <c r="AN102" s="172">
        <f ca="1">IF(OR($D102&lt;&gt;"Serviço",AND(AUTOEVENTO="Manual",$M102=$A$15)),0,
         IF(OFFSET(CRONOPLE!$F$15,$M102-$A$15,AN$13)="",10^12,OFFSET(CRONOPLE!$F$15,$M102-$A$15,AN$13)))</f>
        <v>1000000000000</v>
      </c>
      <c r="AO102" s="172">
        <f ca="1">IF(OR($D102&lt;&gt;"Serviço",AND(AUTOEVENTO="Manual",$M102=$A$15)),0,
         IF(OFFSET(CRONOPLE!$F$15,$M102-$A$15,AO$13)="",10^12,OFFSET(CRONOPLE!$F$15,$M102-$A$15,AO$13)))</f>
        <v>1000000000000</v>
      </c>
      <c r="AP102" s="172">
        <f ca="1">IF(OR($D102&lt;&gt;"Serviço",AND(AUTOEVENTO="Manual",$M102=$A$15)),0,
         IF(OFFSET(CRONOPLE!$F$15,$M102-$A$15,AP$13)="",10^12,OFFSET(CRONOPLE!$F$15,$M102-$A$15,AP$13)))</f>
        <v>1000000000000</v>
      </c>
      <c r="AQ102" s="172">
        <f ca="1">IF(OR($D102&lt;&gt;"Serviço",AND(AUTOEVENTO="Manual",$M102=$A$15)),0,
         IF(OFFSET(CRONOPLE!$F$15,$M102-$A$15,AQ$13)="",10^12,OFFSET(CRONOPLE!$F$15,$M102-$A$15,AQ$13)))</f>
        <v>1000000000000</v>
      </c>
      <c r="AR102" s="172">
        <f ca="1">IF(OR($D102&lt;&gt;"Serviço",AND(AUTOEVENTO="Manual",$M102=$A$15)),0,
         IF(OFFSET(CRONOPLE!$F$15,$M102-$A$15,AR$13)="",10^12,OFFSET(CRONOPLE!$F$15,$M102-$A$15,AR$13)))</f>
        <v>1000000000000</v>
      </c>
      <c r="AS102" s="172">
        <f ca="1">IF(OR($D102&lt;&gt;"Serviço",AND(AUTOEVENTO="Manual",$M102=$A$15)),0,
         IF(OFFSET(CRONOPLE!$F$15,$M102-$A$15,AS$13)="",10^12,OFFSET(CRONOPLE!$F$15,$M102-$A$15,AS$13)))</f>
        <v>1000000000000</v>
      </c>
      <c r="AT102" s="172">
        <f ca="1">IF(OR($D102&lt;&gt;"Serviço",AND(AUTOEVENTO="Manual",$M102=$A$15)),0,
         IF(OFFSET(CRONOPLE!$F$15,$M102-$A$15,AT$13)="",10^12,OFFSET(CRONOPLE!$F$15,$M102-$A$15,AT$13)))</f>
        <v>1000000000000</v>
      </c>
      <c r="AU102" s="172">
        <f ca="1">IF(OR($D102&lt;&gt;"Serviço",AND(AUTOEVENTO="Manual",$M102=$A$15)),0,
         IF(OFFSET(CRONOPLE!$F$15,$M102-$A$15,AU$13)="",10^12,OFFSET(CRONOPLE!$F$15,$M102-$A$15,AU$13)))</f>
        <v>1000000000000</v>
      </c>
      <c r="AV102" s="172">
        <f ca="1">IF(OR($D102&lt;&gt;"Serviço",AND(AUTOEVENTO="Manual",$M102=$A$15)),0,
         IF(OFFSET(CRONOPLE!$F$15,$M102-$A$15,AV$13)="",10^12,OFFSET(CRONOPLE!$F$15,$M102-$A$15,AV$13)))</f>
        <v>1000000000000</v>
      </c>
      <c r="AX102" s="173">
        <f ca="1">IF(OR($D102&lt;&gt;"Serviço",AND(AUTOEVENTO="Manual",$M102=$A$15),$M102&gt;(ROW(PLE.lastrow)-ROW(PLE.firstrow))),0,
           IF(OFFSET(PLE!$G$15,$M102-$A$15,AX$13)="",10^12,OFFSET(PLE!$G$15,$M102-$A$15,AX$13)))</f>
        <v>1000000000000</v>
      </c>
      <c r="AY102" s="173">
        <f ca="1">IF(OR($D102&lt;&gt;"Serviço",AND(AUTOEVENTO="Manual",$M102=$A$15),$M102&gt;(ROW(PLE.lastrow)-ROW(PLE.firstrow))),0,
           IF(OFFSET(PLE!$G$15,$M102-$A$15,AY$13)="",10^12,OFFSET(PLE!$G$15,$M102-$A$15,AY$13)))</f>
        <v>1000000000000</v>
      </c>
      <c r="AZ102" s="173">
        <f ca="1">IF(OR($D102&lt;&gt;"Serviço",AND(AUTOEVENTO="Manual",$M102=$A$15),$M102&gt;(ROW(PLE.lastrow)-ROW(PLE.firstrow))),0,
           IF(OFFSET(PLE!$G$15,$M102-$A$15,AZ$13)="",10^12,OFFSET(PLE!$G$15,$M102-$A$15,AZ$13)))</f>
        <v>1000000000000</v>
      </c>
      <c r="BA102" s="173">
        <f ca="1">IF(OR($D102&lt;&gt;"Serviço",AND(AUTOEVENTO="Manual",$M102=$A$15),$M102&gt;(ROW(PLE.lastrow)-ROW(PLE.firstrow))),0,
           IF(OFFSET(PLE!$G$15,$M102-$A$15,BA$13)="",10^12,OFFSET(PLE!$G$15,$M102-$A$15,BA$13)))</f>
        <v>1000000000000</v>
      </c>
      <c r="BB102" s="173">
        <f ca="1">IF(OR($D102&lt;&gt;"Serviço",AND(AUTOEVENTO="Manual",$M102=$A$15),$M102&gt;(ROW(PLE.lastrow)-ROW(PLE.firstrow))),0,
           IF(OFFSET(PLE!$G$15,$M102-$A$15,BB$13)="",10^12,OFFSET(PLE!$G$15,$M102-$A$15,BB$13)))</f>
        <v>1000000000000</v>
      </c>
      <c r="BC102" s="173">
        <f ca="1">IF(OR($D102&lt;&gt;"Serviço",AND(AUTOEVENTO="Manual",$M102=$A$15),$M102&gt;(ROW(PLE.lastrow)-ROW(PLE.firstrow))),0,
           IF(OFFSET(PLE!$G$15,$M102-$A$15,BC$13)="",10^12,OFFSET(PLE!$G$15,$M102-$A$15,BC$13)))</f>
        <v>1000000000000</v>
      </c>
      <c r="BD102" s="173">
        <f ca="1">IF(OR($D102&lt;&gt;"Serviço",AND(AUTOEVENTO="Manual",$M102=$A$15),$M102&gt;(ROW(PLE.lastrow)-ROW(PLE.firstrow))),0,
           IF(OFFSET(PLE!$G$15,$M102-$A$15,BD$13)="",10^12,OFFSET(PLE!$G$15,$M102-$A$15,BD$13)))</f>
        <v>1000000000000</v>
      </c>
      <c r="BE102" s="173">
        <f ca="1">IF(OR($D102&lt;&gt;"Serviço",AND(AUTOEVENTO="Manual",$M102=$A$15),$M102&gt;(ROW(PLE.lastrow)-ROW(PLE.firstrow))),0,
           IF(OFFSET(PLE!$G$15,$M102-$A$15,BE$13)="",10^12,OFFSET(PLE!$G$15,$M102-$A$15,BE$13)))</f>
        <v>1000000000000</v>
      </c>
      <c r="BF102" s="173">
        <f ca="1">IF(OR($D102&lt;&gt;"Serviço",AND(AUTOEVENTO="Manual",$M102=$A$15),$M102&gt;(ROW(PLE.lastrow)-ROW(PLE.firstrow))),0,
           IF(OFFSET(PLE!$G$15,$M102-$A$15,BF$13)="",10^12,OFFSET(PLE!$G$15,$M102-$A$15,BF$13)))</f>
        <v>1000000000000</v>
      </c>
      <c r="BG102" s="173">
        <f ca="1">IF(OR($D102&lt;&gt;"Serviço",AND(AUTOEVENTO="Manual",$M102=$A$15),$M102&gt;(ROW(PLE.lastrow)-ROW(PLE.firstrow))),0,
           IF(OFFSET(PLE!$G$15,$M102-$A$15,BG$13)="",10^12,OFFSET(PLE!$G$15,$M102-$A$15,BG$13)))</f>
        <v>1000000000000</v>
      </c>
    </row>
    <row r="103" spans="1:59" ht="38.25" x14ac:dyDescent="0.2">
      <c r="A103" s="7" t="str">
        <f t="shared" ca="1" si="9"/>
        <v>39</v>
      </c>
      <c r="B103" s="7" t="str">
        <f ca="1">OFFSET(ORÇAMENTO!C$15,ROW(B103)-ROW(B$15),0)</f>
        <v>S</v>
      </c>
      <c r="C103" s="7" t="str">
        <f ca="1">OFFSET(ORÇAMENTO!L$15,ROW(C103)-ROW(C$15),0)</f>
        <v/>
      </c>
      <c r="D103" s="117" t="str">
        <f ca="1">OFFSET(ORÇAMENTO!N$15,ROW(D103)-ROW(D$15),0)</f>
        <v>Serviço</v>
      </c>
      <c r="E103" s="118" t="str">
        <f ca="1">OFFSET(ORÇAMENTO!O$15,ROW(E103)-ROW(E$15),0)</f>
        <v>-</v>
      </c>
      <c r="F103" s="164" t="str">
        <f ca="1">OFFSET(ORÇAMENTO!R$15,ROW(F103)-ROW(F$15),0)</f>
        <v>CABO DE COBRE FLEXÍVEL ISOLADO, 35 MM², ANTI-CHAMA 0,6/1,0 KV, PARA REDE ENTERRADA DE DISTRIBUIÇÃO DE ENERGIA ELÉTRICA - FORNECIMENTO E INSTALAÇÃO. AF_12/2021</v>
      </c>
      <c r="G103" s="165" t="str">
        <f ca="1">IF($D103&lt;&gt;"Serviço","",OFFSET(ORÇAMENTO!S$15,ROW(G103)-ROW(G$15),0))</f>
        <v>M</v>
      </c>
      <c r="H103" s="123">
        <f ca="1">IF($D103&lt;&gt;"Serviço",0,IF(ACOMPANHAMENTO="BM",ROUND(OFFSET(ORÇAMENTO!AJ$15,ROW(H103)-ROW(H$15),0),15-13*ORÇAMENTO!$AF$7),SUMPRODUCT(($Q$1:$AA$1=1)*ROUND($Q103:$AA103,15-13*ORÇAMENTO!$AF$7))))</f>
        <v>65</v>
      </c>
      <c r="I103" s="469"/>
      <c r="J103" s="577" t="str" cm="1">
        <f t="array" aca="1" ref="J103" ca="1">IF(B103&lt;&gt;"S","",IF(AND(ACOMPANHAMENTO="PLE",AUTOEVENTO="Manual",OR(H103&gt;0,ORÇAMENTO!AC103="QUANT."),OR(K103="",M103=0,N103="")),"►",IF(AND(ACOMPANHAMENTO="PLE",ORÇAMENTO!AC103="QUANT."),"►►",IF(AND(COUNTIF($P$11:$AA$11,"▼")=0,H103&gt;0,I103=""),"◄",""))))</f>
        <v>◄</v>
      </c>
      <c r="K103" s="626"/>
      <c r="L103" s="166" t="s">
        <v>765</v>
      </c>
      <c r="M103" s="167">
        <f ca="1">IF($D103&lt;&gt;"Serviço","",
          IF(AUTOEVENTO="manual",$A103,
                IF(ISERROR(MATCH($A103,$A$15:OFFSET($A103,-1,0),0)),MAX($M$15:OFFSET(M103,-1,0))+1,
                      INDEX($M$15:OFFSET(M103,-1,0),MATCH($A103,$A$15:OFFSET($A103,-1,0),0)))))</f>
        <v>9</v>
      </c>
      <c r="N103" s="168" t="str">
        <f ca="1">IF($D103&lt;&gt;"Serviço","",
         IF(AUTOEVENTO="Manual",
                IF($A103=0,"&lt;-- defina o número do agrupador",
                       OFFSET(EVENTOS!$D$15,$A103-$A$15,0)),
                OFFSET($F$15,$A103,0)))</f>
        <v>INSTALAÇÕES ELÉTRICAS</v>
      </c>
      <c r="O103" s="169"/>
      <c r="Q103" s="169"/>
      <c r="R103" s="170"/>
      <c r="S103" s="170"/>
      <c r="T103" s="170"/>
      <c r="U103" s="170"/>
      <c r="V103" s="170"/>
      <c r="W103" s="170"/>
      <c r="X103" s="170"/>
      <c r="Y103" s="170"/>
      <c r="Z103" s="171"/>
      <c r="AB103" s="454">
        <f ca="1">IF(AND($D103="Serviço",AB$12&lt;&gt;0,$H103&gt;0,OR(AUTOEVENTO&lt;&gt;"manual",$M103&lt;&gt;$A$15)),
        IF(Import.TipoArredondamento&lt;&gt;"TransfereGOV",
              ROUND(OFFSET($P103,0,AB$13),15-13*ORÇAMENTO!$AF$7)/$H103*OFFSET(ORÇAMENTO!$X$15,ROW(AB103)-ROW(AB$15),0),
              ROUND(ROUND(OFFSET($P103,0,AB$13),15-13*ORÇAMENTO!$AF$7)*OFFSET(ORÇAMENTO!$W$15,ROW(AB103)-ROW(AB$15),0),15-13*ORÇAMENTO!$AF$11)),
         0)</f>
        <v>0</v>
      </c>
      <c r="AC103" s="454">
        <f ca="1">IF(AND($D103="Serviço",AC$12&lt;&gt;0,$H103&gt;0,OR(AUTOEVENTO&lt;&gt;"manual",$M103&lt;&gt;$A$15)),
        IF(Import.TipoArredondamento&lt;&gt;"TransfereGOV",
              ROUND(OFFSET($P103,0,AC$13),15-13*ORÇAMENTO!$AF$7)/$H103*OFFSET(ORÇAMENTO!$X$15,ROW(AC103)-ROW(AC$15),0),
              ROUND(ROUND(OFFSET($P103,0,AC$13),15-13*ORÇAMENTO!$AF$7)*OFFSET(ORÇAMENTO!$W$15,ROW(AC103)-ROW(AC$15),0),15-13*ORÇAMENTO!$AF$11)),
         0)</f>
        <v>0</v>
      </c>
      <c r="AD103" s="454">
        <f ca="1">IF(AND($D103="Serviço",AD$12&lt;&gt;0,$H103&gt;0,OR(AUTOEVENTO&lt;&gt;"manual",$M103&lt;&gt;$A$15)),
        IF(Import.TipoArredondamento&lt;&gt;"TransfereGOV",
              ROUND(OFFSET($P103,0,AD$13),15-13*ORÇAMENTO!$AF$7)/$H103*OFFSET(ORÇAMENTO!$X$15,ROW(AD103)-ROW(AD$15),0),
              ROUND(ROUND(OFFSET($P103,0,AD$13),15-13*ORÇAMENTO!$AF$7)*OFFSET(ORÇAMENTO!$W$15,ROW(AD103)-ROW(AD$15),0),15-13*ORÇAMENTO!$AF$11)),
         0)</f>
        <v>0</v>
      </c>
      <c r="AE103" s="454">
        <f ca="1">IF(AND($D103="Serviço",AE$12&lt;&gt;0,$H103&gt;0,OR(AUTOEVENTO&lt;&gt;"manual",$M103&lt;&gt;$A$15)),
        IF(Import.TipoArredondamento&lt;&gt;"TransfereGOV",
              ROUND(OFFSET($P103,0,AE$13),15-13*ORÇAMENTO!$AF$7)/$H103*OFFSET(ORÇAMENTO!$X$15,ROW(AE103)-ROW(AE$15),0),
              ROUND(ROUND(OFFSET($P103,0,AE$13),15-13*ORÇAMENTO!$AF$7)*OFFSET(ORÇAMENTO!$W$15,ROW(AE103)-ROW(AE$15),0),15-13*ORÇAMENTO!$AF$11)),
         0)</f>
        <v>0</v>
      </c>
      <c r="AF103" s="454">
        <f ca="1">IF(AND($D103="Serviço",AF$12&lt;&gt;0,$H103&gt;0,OR(AUTOEVENTO&lt;&gt;"manual",$M103&lt;&gt;$A$15)),
        IF(Import.TipoArredondamento&lt;&gt;"TransfereGOV",
              ROUND(OFFSET($P103,0,AF$13),15-13*ORÇAMENTO!$AF$7)/$H103*OFFSET(ORÇAMENTO!$X$15,ROW(AF103)-ROW(AF$15),0),
              ROUND(ROUND(OFFSET($P103,0,AF$13),15-13*ORÇAMENTO!$AF$7)*OFFSET(ORÇAMENTO!$W$15,ROW(AF103)-ROW(AF$15),0),15-13*ORÇAMENTO!$AF$11)),
         0)</f>
        <v>0</v>
      </c>
      <c r="AG103" s="454">
        <f ca="1">IF(AND($D103="Serviço",AG$12&lt;&gt;0,$H103&gt;0,OR(AUTOEVENTO&lt;&gt;"manual",$M103&lt;&gt;$A$15)),
        IF(Import.TipoArredondamento&lt;&gt;"TransfereGOV",
              ROUND(OFFSET($P103,0,AG$13),15-13*ORÇAMENTO!$AF$7)/$H103*OFFSET(ORÇAMENTO!$X$15,ROW(AG103)-ROW(AG$15),0),
              ROUND(ROUND(OFFSET($P103,0,AG$13),15-13*ORÇAMENTO!$AF$7)*OFFSET(ORÇAMENTO!$W$15,ROW(AG103)-ROW(AG$15),0),15-13*ORÇAMENTO!$AF$11)),
         0)</f>
        <v>0</v>
      </c>
      <c r="AH103" s="454">
        <f ca="1">IF(AND($D103="Serviço",AH$12&lt;&gt;0,$H103&gt;0,OR(AUTOEVENTO&lt;&gt;"manual",$M103&lt;&gt;$A$15)),
        IF(Import.TipoArredondamento&lt;&gt;"TransfereGOV",
              ROUND(OFFSET($P103,0,AH$13),15-13*ORÇAMENTO!$AF$7)/$H103*OFFSET(ORÇAMENTO!$X$15,ROW(AH103)-ROW(AH$15),0),
              ROUND(ROUND(OFFSET($P103,0,AH$13),15-13*ORÇAMENTO!$AF$7)*OFFSET(ORÇAMENTO!$W$15,ROW(AH103)-ROW(AH$15),0),15-13*ORÇAMENTO!$AF$11)),
         0)</f>
        <v>0</v>
      </c>
      <c r="AI103" s="454">
        <f ca="1">IF(AND($D103="Serviço",AI$12&lt;&gt;0,$H103&gt;0,OR(AUTOEVENTO&lt;&gt;"manual",$M103&lt;&gt;$A$15)),
        IF(Import.TipoArredondamento&lt;&gt;"TransfereGOV",
              ROUND(OFFSET($P103,0,AI$13),15-13*ORÇAMENTO!$AF$7)/$H103*OFFSET(ORÇAMENTO!$X$15,ROW(AI103)-ROW(AI$15),0),
              ROUND(ROUND(OFFSET($P103,0,AI$13),15-13*ORÇAMENTO!$AF$7)*OFFSET(ORÇAMENTO!$W$15,ROW(AI103)-ROW(AI$15),0),15-13*ORÇAMENTO!$AF$11)),
         0)</f>
        <v>0</v>
      </c>
      <c r="AJ103" s="454">
        <f ca="1">IF(AND($D103="Serviço",AJ$12&lt;&gt;0,$H103&gt;0,OR(AUTOEVENTO&lt;&gt;"manual",$M103&lt;&gt;$A$15)),
        IF(Import.TipoArredondamento&lt;&gt;"TransfereGOV",
              ROUND(OFFSET($P103,0,AJ$13),15-13*ORÇAMENTO!$AF$7)/$H103*OFFSET(ORÇAMENTO!$X$15,ROW(AJ103)-ROW(AJ$15),0),
              ROUND(ROUND(OFFSET($P103,0,AJ$13),15-13*ORÇAMENTO!$AF$7)*OFFSET(ORÇAMENTO!$W$15,ROW(AJ103)-ROW(AJ$15),0),15-13*ORÇAMENTO!$AF$11)),
         0)</f>
        <v>0</v>
      </c>
      <c r="AK103" s="454">
        <f ca="1">IF(AND($D103="Serviço",AK$12&lt;&gt;0,$H103&gt;0,OR(AUTOEVENTO&lt;&gt;"manual",$M103&lt;&gt;$A$15)),
        IF(Import.TipoArredondamento&lt;&gt;"TransfereGOV",
              ROUND(OFFSET($P103,0,AK$13),15-13*ORÇAMENTO!$AF$7)/$H103*OFFSET(ORÇAMENTO!$X$15,ROW(AK103)-ROW(AK$15),0),
              ROUND(ROUND(OFFSET($P103,0,AK$13),15-13*ORÇAMENTO!$AF$7)*OFFSET(ORÇAMENTO!$W$15,ROW(AK103)-ROW(AK$15),0),15-13*ORÇAMENTO!$AF$11)),
         0)</f>
        <v>0</v>
      </c>
      <c r="AM103" s="172">
        <f ca="1">IF(OR($D103&lt;&gt;"Serviço",AND(AUTOEVENTO="Manual",$M103=$A$15)),0,
         IF(OFFSET(CRONOPLE!$F$15,$M103-$A$15,AM$13)="",10^12,OFFSET(CRONOPLE!$F$15,$M103-$A$15,AM$13)))</f>
        <v>1000000000000</v>
      </c>
      <c r="AN103" s="172">
        <f ca="1">IF(OR($D103&lt;&gt;"Serviço",AND(AUTOEVENTO="Manual",$M103=$A$15)),0,
         IF(OFFSET(CRONOPLE!$F$15,$M103-$A$15,AN$13)="",10^12,OFFSET(CRONOPLE!$F$15,$M103-$A$15,AN$13)))</f>
        <v>1000000000000</v>
      </c>
      <c r="AO103" s="172">
        <f ca="1">IF(OR($D103&lt;&gt;"Serviço",AND(AUTOEVENTO="Manual",$M103=$A$15)),0,
         IF(OFFSET(CRONOPLE!$F$15,$M103-$A$15,AO$13)="",10^12,OFFSET(CRONOPLE!$F$15,$M103-$A$15,AO$13)))</f>
        <v>1000000000000</v>
      </c>
      <c r="AP103" s="172">
        <f ca="1">IF(OR($D103&lt;&gt;"Serviço",AND(AUTOEVENTO="Manual",$M103=$A$15)),0,
         IF(OFFSET(CRONOPLE!$F$15,$M103-$A$15,AP$13)="",10^12,OFFSET(CRONOPLE!$F$15,$M103-$A$15,AP$13)))</f>
        <v>1000000000000</v>
      </c>
      <c r="AQ103" s="172">
        <f ca="1">IF(OR($D103&lt;&gt;"Serviço",AND(AUTOEVENTO="Manual",$M103=$A$15)),0,
         IF(OFFSET(CRONOPLE!$F$15,$M103-$A$15,AQ$13)="",10^12,OFFSET(CRONOPLE!$F$15,$M103-$A$15,AQ$13)))</f>
        <v>1000000000000</v>
      </c>
      <c r="AR103" s="172">
        <f ca="1">IF(OR($D103&lt;&gt;"Serviço",AND(AUTOEVENTO="Manual",$M103=$A$15)),0,
         IF(OFFSET(CRONOPLE!$F$15,$M103-$A$15,AR$13)="",10^12,OFFSET(CRONOPLE!$F$15,$M103-$A$15,AR$13)))</f>
        <v>1000000000000</v>
      </c>
      <c r="AS103" s="172">
        <f ca="1">IF(OR($D103&lt;&gt;"Serviço",AND(AUTOEVENTO="Manual",$M103=$A$15)),0,
         IF(OFFSET(CRONOPLE!$F$15,$M103-$A$15,AS$13)="",10^12,OFFSET(CRONOPLE!$F$15,$M103-$A$15,AS$13)))</f>
        <v>1000000000000</v>
      </c>
      <c r="AT103" s="172">
        <f ca="1">IF(OR($D103&lt;&gt;"Serviço",AND(AUTOEVENTO="Manual",$M103=$A$15)),0,
         IF(OFFSET(CRONOPLE!$F$15,$M103-$A$15,AT$13)="",10^12,OFFSET(CRONOPLE!$F$15,$M103-$A$15,AT$13)))</f>
        <v>1000000000000</v>
      </c>
      <c r="AU103" s="172">
        <f ca="1">IF(OR($D103&lt;&gt;"Serviço",AND(AUTOEVENTO="Manual",$M103=$A$15)),0,
         IF(OFFSET(CRONOPLE!$F$15,$M103-$A$15,AU$13)="",10^12,OFFSET(CRONOPLE!$F$15,$M103-$A$15,AU$13)))</f>
        <v>1000000000000</v>
      </c>
      <c r="AV103" s="172">
        <f ca="1">IF(OR($D103&lt;&gt;"Serviço",AND(AUTOEVENTO="Manual",$M103=$A$15)),0,
         IF(OFFSET(CRONOPLE!$F$15,$M103-$A$15,AV$13)="",10^12,OFFSET(CRONOPLE!$F$15,$M103-$A$15,AV$13)))</f>
        <v>1000000000000</v>
      </c>
      <c r="AX103" s="173">
        <f ca="1">IF(OR($D103&lt;&gt;"Serviço",AND(AUTOEVENTO="Manual",$M103=$A$15),$M103&gt;(ROW(PLE.lastrow)-ROW(PLE.firstrow))),0,
           IF(OFFSET(PLE!$G$15,$M103-$A$15,AX$13)="",10^12,OFFSET(PLE!$G$15,$M103-$A$15,AX$13)))</f>
        <v>1000000000000</v>
      </c>
      <c r="AY103" s="173">
        <f ca="1">IF(OR($D103&lt;&gt;"Serviço",AND(AUTOEVENTO="Manual",$M103=$A$15),$M103&gt;(ROW(PLE.lastrow)-ROW(PLE.firstrow))),0,
           IF(OFFSET(PLE!$G$15,$M103-$A$15,AY$13)="",10^12,OFFSET(PLE!$G$15,$M103-$A$15,AY$13)))</f>
        <v>1000000000000</v>
      </c>
      <c r="AZ103" s="173">
        <f ca="1">IF(OR($D103&lt;&gt;"Serviço",AND(AUTOEVENTO="Manual",$M103=$A$15),$M103&gt;(ROW(PLE.lastrow)-ROW(PLE.firstrow))),0,
           IF(OFFSET(PLE!$G$15,$M103-$A$15,AZ$13)="",10^12,OFFSET(PLE!$G$15,$M103-$A$15,AZ$13)))</f>
        <v>1000000000000</v>
      </c>
      <c r="BA103" s="173">
        <f ca="1">IF(OR($D103&lt;&gt;"Serviço",AND(AUTOEVENTO="Manual",$M103=$A$15),$M103&gt;(ROW(PLE.lastrow)-ROW(PLE.firstrow))),0,
           IF(OFFSET(PLE!$G$15,$M103-$A$15,BA$13)="",10^12,OFFSET(PLE!$G$15,$M103-$A$15,BA$13)))</f>
        <v>1000000000000</v>
      </c>
      <c r="BB103" s="173">
        <f ca="1">IF(OR($D103&lt;&gt;"Serviço",AND(AUTOEVENTO="Manual",$M103=$A$15),$M103&gt;(ROW(PLE.lastrow)-ROW(PLE.firstrow))),0,
           IF(OFFSET(PLE!$G$15,$M103-$A$15,BB$13)="",10^12,OFFSET(PLE!$G$15,$M103-$A$15,BB$13)))</f>
        <v>1000000000000</v>
      </c>
      <c r="BC103" s="173">
        <f ca="1">IF(OR($D103&lt;&gt;"Serviço",AND(AUTOEVENTO="Manual",$M103=$A$15),$M103&gt;(ROW(PLE.lastrow)-ROW(PLE.firstrow))),0,
           IF(OFFSET(PLE!$G$15,$M103-$A$15,BC$13)="",10^12,OFFSET(PLE!$G$15,$M103-$A$15,BC$13)))</f>
        <v>1000000000000</v>
      </c>
      <c r="BD103" s="173">
        <f ca="1">IF(OR($D103&lt;&gt;"Serviço",AND(AUTOEVENTO="Manual",$M103=$A$15),$M103&gt;(ROW(PLE.lastrow)-ROW(PLE.firstrow))),0,
           IF(OFFSET(PLE!$G$15,$M103-$A$15,BD$13)="",10^12,OFFSET(PLE!$G$15,$M103-$A$15,BD$13)))</f>
        <v>1000000000000</v>
      </c>
      <c r="BE103" s="173">
        <f ca="1">IF(OR($D103&lt;&gt;"Serviço",AND(AUTOEVENTO="Manual",$M103=$A$15),$M103&gt;(ROW(PLE.lastrow)-ROW(PLE.firstrow))),0,
           IF(OFFSET(PLE!$G$15,$M103-$A$15,BE$13)="",10^12,OFFSET(PLE!$G$15,$M103-$A$15,BE$13)))</f>
        <v>1000000000000</v>
      </c>
      <c r="BF103" s="173">
        <f ca="1">IF(OR($D103&lt;&gt;"Serviço",AND(AUTOEVENTO="Manual",$M103=$A$15),$M103&gt;(ROW(PLE.lastrow)-ROW(PLE.firstrow))),0,
           IF(OFFSET(PLE!$G$15,$M103-$A$15,BF$13)="",10^12,OFFSET(PLE!$G$15,$M103-$A$15,BF$13)))</f>
        <v>1000000000000</v>
      </c>
      <c r="BG103" s="173">
        <f ca="1">IF(OR($D103&lt;&gt;"Serviço",AND(AUTOEVENTO="Manual",$M103=$A$15),$M103&gt;(ROW(PLE.lastrow)-ROW(PLE.firstrow))),0,
           IF(OFFSET(PLE!$G$15,$M103-$A$15,BG$13)="",10^12,OFFSET(PLE!$G$15,$M103-$A$15,BG$13)))</f>
        <v>1000000000000</v>
      </c>
    </row>
    <row r="104" spans="1:59" ht="38.25" x14ac:dyDescent="0.2">
      <c r="A104" s="7" t="str">
        <f t="shared" ca="1" si="9"/>
        <v>39</v>
      </c>
      <c r="B104" s="7" t="str">
        <f ca="1">OFFSET(ORÇAMENTO!C$15,ROW(B104)-ROW(B$15),0)</f>
        <v>S</v>
      </c>
      <c r="C104" s="7" t="str">
        <f ca="1">OFFSET(ORÇAMENTO!L$15,ROW(C104)-ROW(C$15),0)</f>
        <v/>
      </c>
      <c r="D104" s="117" t="str">
        <f ca="1">OFFSET(ORÇAMENTO!N$15,ROW(D104)-ROW(D$15),0)</f>
        <v>Serviço</v>
      </c>
      <c r="E104" s="118" t="str">
        <f ca="1">OFFSET(ORÇAMENTO!O$15,ROW(E104)-ROW(E$15),0)</f>
        <v>-</v>
      </c>
      <c r="F104" s="164" t="str">
        <f ca="1">OFFSET(ORÇAMENTO!R$15,ROW(F104)-ROW(F$15),0)</f>
        <v>CABO DE COBRE FLEXÍVEL ISOLADO, 4 MM², ANTI-CHAMA 0,6/1,0 KV, PARA CIRCUITOS TERMINAIS - FORNECIMENTO E INSTALAÇÃO. AF_03/2023</v>
      </c>
      <c r="G104" s="165" t="str">
        <f ca="1">IF($D104&lt;&gt;"Serviço","",OFFSET(ORÇAMENTO!S$15,ROW(G104)-ROW(G$15),0))</f>
        <v>M</v>
      </c>
      <c r="H104" s="123">
        <f ca="1">IF($D104&lt;&gt;"Serviço",0,IF(ACOMPANHAMENTO="BM",ROUND(OFFSET(ORÇAMENTO!AJ$15,ROW(H104)-ROW(H$15),0),15-13*ORÇAMENTO!$AF$7),SUMPRODUCT(($Q$1:$AA$1=1)*ROUND($Q104:$AA104,15-13*ORÇAMENTO!$AF$7))))</f>
        <v>312</v>
      </c>
      <c r="I104" s="469"/>
      <c r="J104" s="577" t="str" cm="1">
        <f t="array" aca="1" ref="J104" ca="1">IF(B104&lt;&gt;"S","",IF(AND(ACOMPANHAMENTO="PLE",AUTOEVENTO="Manual",OR(H104&gt;0,ORÇAMENTO!AC104="QUANT."),OR(K104="",M104=0,N104="")),"►",IF(AND(ACOMPANHAMENTO="PLE",ORÇAMENTO!AC104="QUANT."),"►►",IF(AND(COUNTIF($P$11:$AA$11,"▼")=0,H104&gt;0,I104=""),"◄",""))))</f>
        <v>◄</v>
      </c>
      <c r="K104" s="626"/>
      <c r="L104" s="166" t="s">
        <v>765</v>
      </c>
      <c r="M104" s="167">
        <f ca="1">IF($D104&lt;&gt;"Serviço","",
          IF(AUTOEVENTO="manual",$A104,
                IF(ISERROR(MATCH($A104,$A$15:OFFSET($A104,-1,0),0)),MAX($M$15:OFFSET(M104,-1,0))+1,
                      INDEX($M$15:OFFSET(M104,-1,0),MATCH($A104,$A$15:OFFSET($A104,-1,0),0)))))</f>
        <v>9</v>
      </c>
      <c r="N104" s="168" t="str">
        <f ca="1">IF($D104&lt;&gt;"Serviço","",
         IF(AUTOEVENTO="Manual",
                IF($A104=0,"&lt;-- defina o número do agrupador",
                       OFFSET(EVENTOS!$D$15,$A104-$A$15,0)),
                OFFSET($F$15,$A104,0)))</f>
        <v>INSTALAÇÕES ELÉTRICAS</v>
      </c>
      <c r="O104" s="169"/>
      <c r="Q104" s="169"/>
      <c r="R104" s="170"/>
      <c r="S104" s="170"/>
      <c r="T104" s="170"/>
      <c r="U104" s="170"/>
      <c r="V104" s="170"/>
      <c r="W104" s="170"/>
      <c r="X104" s="170"/>
      <c r="Y104" s="170"/>
      <c r="Z104" s="171"/>
      <c r="AB104" s="454">
        <f ca="1">IF(AND($D104="Serviço",AB$12&lt;&gt;0,$H104&gt;0,OR(AUTOEVENTO&lt;&gt;"manual",$M104&lt;&gt;$A$15)),
        IF(Import.TipoArredondamento&lt;&gt;"TransfereGOV",
              ROUND(OFFSET($P104,0,AB$13),15-13*ORÇAMENTO!$AF$7)/$H104*OFFSET(ORÇAMENTO!$X$15,ROW(AB104)-ROW(AB$15),0),
              ROUND(ROUND(OFFSET($P104,0,AB$13),15-13*ORÇAMENTO!$AF$7)*OFFSET(ORÇAMENTO!$W$15,ROW(AB104)-ROW(AB$15),0),15-13*ORÇAMENTO!$AF$11)),
         0)</f>
        <v>0</v>
      </c>
      <c r="AC104" s="454">
        <f ca="1">IF(AND($D104="Serviço",AC$12&lt;&gt;0,$H104&gt;0,OR(AUTOEVENTO&lt;&gt;"manual",$M104&lt;&gt;$A$15)),
        IF(Import.TipoArredondamento&lt;&gt;"TransfereGOV",
              ROUND(OFFSET($P104,0,AC$13),15-13*ORÇAMENTO!$AF$7)/$H104*OFFSET(ORÇAMENTO!$X$15,ROW(AC104)-ROW(AC$15),0),
              ROUND(ROUND(OFFSET($P104,0,AC$13),15-13*ORÇAMENTO!$AF$7)*OFFSET(ORÇAMENTO!$W$15,ROW(AC104)-ROW(AC$15),0),15-13*ORÇAMENTO!$AF$11)),
         0)</f>
        <v>0</v>
      </c>
      <c r="AD104" s="454">
        <f ca="1">IF(AND($D104="Serviço",AD$12&lt;&gt;0,$H104&gt;0,OR(AUTOEVENTO&lt;&gt;"manual",$M104&lt;&gt;$A$15)),
        IF(Import.TipoArredondamento&lt;&gt;"TransfereGOV",
              ROUND(OFFSET($P104,0,AD$13),15-13*ORÇAMENTO!$AF$7)/$H104*OFFSET(ORÇAMENTO!$X$15,ROW(AD104)-ROW(AD$15),0),
              ROUND(ROUND(OFFSET($P104,0,AD$13),15-13*ORÇAMENTO!$AF$7)*OFFSET(ORÇAMENTO!$W$15,ROW(AD104)-ROW(AD$15),0),15-13*ORÇAMENTO!$AF$11)),
         0)</f>
        <v>0</v>
      </c>
      <c r="AE104" s="454">
        <f ca="1">IF(AND($D104="Serviço",AE$12&lt;&gt;0,$H104&gt;0,OR(AUTOEVENTO&lt;&gt;"manual",$M104&lt;&gt;$A$15)),
        IF(Import.TipoArredondamento&lt;&gt;"TransfereGOV",
              ROUND(OFFSET($P104,0,AE$13),15-13*ORÇAMENTO!$AF$7)/$H104*OFFSET(ORÇAMENTO!$X$15,ROW(AE104)-ROW(AE$15),0),
              ROUND(ROUND(OFFSET($P104,0,AE$13),15-13*ORÇAMENTO!$AF$7)*OFFSET(ORÇAMENTO!$W$15,ROW(AE104)-ROW(AE$15),0),15-13*ORÇAMENTO!$AF$11)),
         0)</f>
        <v>0</v>
      </c>
      <c r="AF104" s="454">
        <f ca="1">IF(AND($D104="Serviço",AF$12&lt;&gt;0,$H104&gt;0,OR(AUTOEVENTO&lt;&gt;"manual",$M104&lt;&gt;$A$15)),
        IF(Import.TipoArredondamento&lt;&gt;"TransfereGOV",
              ROUND(OFFSET($P104,0,AF$13),15-13*ORÇAMENTO!$AF$7)/$H104*OFFSET(ORÇAMENTO!$X$15,ROW(AF104)-ROW(AF$15),0),
              ROUND(ROUND(OFFSET($P104,0,AF$13),15-13*ORÇAMENTO!$AF$7)*OFFSET(ORÇAMENTO!$W$15,ROW(AF104)-ROW(AF$15),0),15-13*ORÇAMENTO!$AF$11)),
         0)</f>
        <v>0</v>
      </c>
      <c r="AG104" s="454">
        <f ca="1">IF(AND($D104="Serviço",AG$12&lt;&gt;0,$H104&gt;0,OR(AUTOEVENTO&lt;&gt;"manual",$M104&lt;&gt;$A$15)),
        IF(Import.TipoArredondamento&lt;&gt;"TransfereGOV",
              ROUND(OFFSET($P104,0,AG$13),15-13*ORÇAMENTO!$AF$7)/$H104*OFFSET(ORÇAMENTO!$X$15,ROW(AG104)-ROW(AG$15),0),
              ROUND(ROUND(OFFSET($P104,0,AG$13),15-13*ORÇAMENTO!$AF$7)*OFFSET(ORÇAMENTO!$W$15,ROW(AG104)-ROW(AG$15),0),15-13*ORÇAMENTO!$AF$11)),
         0)</f>
        <v>0</v>
      </c>
      <c r="AH104" s="454">
        <f ca="1">IF(AND($D104="Serviço",AH$12&lt;&gt;0,$H104&gt;0,OR(AUTOEVENTO&lt;&gt;"manual",$M104&lt;&gt;$A$15)),
        IF(Import.TipoArredondamento&lt;&gt;"TransfereGOV",
              ROUND(OFFSET($P104,0,AH$13),15-13*ORÇAMENTO!$AF$7)/$H104*OFFSET(ORÇAMENTO!$X$15,ROW(AH104)-ROW(AH$15),0),
              ROUND(ROUND(OFFSET($P104,0,AH$13),15-13*ORÇAMENTO!$AF$7)*OFFSET(ORÇAMENTO!$W$15,ROW(AH104)-ROW(AH$15),0),15-13*ORÇAMENTO!$AF$11)),
         0)</f>
        <v>0</v>
      </c>
      <c r="AI104" s="454">
        <f ca="1">IF(AND($D104="Serviço",AI$12&lt;&gt;0,$H104&gt;0,OR(AUTOEVENTO&lt;&gt;"manual",$M104&lt;&gt;$A$15)),
        IF(Import.TipoArredondamento&lt;&gt;"TransfereGOV",
              ROUND(OFFSET($P104,0,AI$13),15-13*ORÇAMENTO!$AF$7)/$H104*OFFSET(ORÇAMENTO!$X$15,ROW(AI104)-ROW(AI$15),0),
              ROUND(ROUND(OFFSET($P104,0,AI$13),15-13*ORÇAMENTO!$AF$7)*OFFSET(ORÇAMENTO!$W$15,ROW(AI104)-ROW(AI$15),0),15-13*ORÇAMENTO!$AF$11)),
         0)</f>
        <v>0</v>
      </c>
      <c r="AJ104" s="454">
        <f ca="1">IF(AND($D104="Serviço",AJ$12&lt;&gt;0,$H104&gt;0,OR(AUTOEVENTO&lt;&gt;"manual",$M104&lt;&gt;$A$15)),
        IF(Import.TipoArredondamento&lt;&gt;"TransfereGOV",
              ROUND(OFFSET($P104,0,AJ$13),15-13*ORÇAMENTO!$AF$7)/$H104*OFFSET(ORÇAMENTO!$X$15,ROW(AJ104)-ROW(AJ$15),0),
              ROUND(ROUND(OFFSET($P104,0,AJ$13),15-13*ORÇAMENTO!$AF$7)*OFFSET(ORÇAMENTO!$W$15,ROW(AJ104)-ROW(AJ$15),0),15-13*ORÇAMENTO!$AF$11)),
         0)</f>
        <v>0</v>
      </c>
      <c r="AK104" s="454">
        <f ca="1">IF(AND($D104="Serviço",AK$12&lt;&gt;0,$H104&gt;0,OR(AUTOEVENTO&lt;&gt;"manual",$M104&lt;&gt;$A$15)),
        IF(Import.TipoArredondamento&lt;&gt;"TransfereGOV",
              ROUND(OFFSET($P104,0,AK$13),15-13*ORÇAMENTO!$AF$7)/$H104*OFFSET(ORÇAMENTO!$X$15,ROW(AK104)-ROW(AK$15),0),
              ROUND(ROUND(OFFSET($P104,0,AK$13),15-13*ORÇAMENTO!$AF$7)*OFFSET(ORÇAMENTO!$W$15,ROW(AK104)-ROW(AK$15),0),15-13*ORÇAMENTO!$AF$11)),
         0)</f>
        <v>0</v>
      </c>
      <c r="AM104" s="172">
        <f ca="1">IF(OR($D104&lt;&gt;"Serviço",AND(AUTOEVENTO="Manual",$M104=$A$15)),0,
         IF(OFFSET(CRONOPLE!$F$15,$M104-$A$15,AM$13)="",10^12,OFFSET(CRONOPLE!$F$15,$M104-$A$15,AM$13)))</f>
        <v>1000000000000</v>
      </c>
      <c r="AN104" s="172">
        <f ca="1">IF(OR($D104&lt;&gt;"Serviço",AND(AUTOEVENTO="Manual",$M104=$A$15)),0,
         IF(OFFSET(CRONOPLE!$F$15,$M104-$A$15,AN$13)="",10^12,OFFSET(CRONOPLE!$F$15,$M104-$A$15,AN$13)))</f>
        <v>1000000000000</v>
      </c>
      <c r="AO104" s="172">
        <f ca="1">IF(OR($D104&lt;&gt;"Serviço",AND(AUTOEVENTO="Manual",$M104=$A$15)),0,
         IF(OFFSET(CRONOPLE!$F$15,$M104-$A$15,AO$13)="",10^12,OFFSET(CRONOPLE!$F$15,$M104-$A$15,AO$13)))</f>
        <v>1000000000000</v>
      </c>
      <c r="AP104" s="172">
        <f ca="1">IF(OR($D104&lt;&gt;"Serviço",AND(AUTOEVENTO="Manual",$M104=$A$15)),0,
         IF(OFFSET(CRONOPLE!$F$15,$M104-$A$15,AP$13)="",10^12,OFFSET(CRONOPLE!$F$15,$M104-$A$15,AP$13)))</f>
        <v>1000000000000</v>
      </c>
      <c r="AQ104" s="172">
        <f ca="1">IF(OR($D104&lt;&gt;"Serviço",AND(AUTOEVENTO="Manual",$M104=$A$15)),0,
         IF(OFFSET(CRONOPLE!$F$15,$M104-$A$15,AQ$13)="",10^12,OFFSET(CRONOPLE!$F$15,$M104-$A$15,AQ$13)))</f>
        <v>1000000000000</v>
      </c>
      <c r="AR104" s="172">
        <f ca="1">IF(OR($D104&lt;&gt;"Serviço",AND(AUTOEVENTO="Manual",$M104=$A$15)),0,
         IF(OFFSET(CRONOPLE!$F$15,$M104-$A$15,AR$13)="",10^12,OFFSET(CRONOPLE!$F$15,$M104-$A$15,AR$13)))</f>
        <v>1000000000000</v>
      </c>
      <c r="AS104" s="172">
        <f ca="1">IF(OR($D104&lt;&gt;"Serviço",AND(AUTOEVENTO="Manual",$M104=$A$15)),0,
         IF(OFFSET(CRONOPLE!$F$15,$M104-$A$15,AS$13)="",10^12,OFFSET(CRONOPLE!$F$15,$M104-$A$15,AS$13)))</f>
        <v>1000000000000</v>
      </c>
      <c r="AT104" s="172">
        <f ca="1">IF(OR($D104&lt;&gt;"Serviço",AND(AUTOEVENTO="Manual",$M104=$A$15)),0,
         IF(OFFSET(CRONOPLE!$F$15,$M104-$A$15,AT$13)="",10^12,OFFSET(CRONOPLE!$F$15,$M104-$A$15,AT$13)))</f>
        <v>1000000000000</v>
      </c>
      <c r="AU104" s="172">
        <f ca="1">IF(OR($D104&lt;&gt;"Serviço",AND(AUTOEVENTO="Manual",$M104=$A$15)),0,
         IF(OFFSET(CRONOPLE!$F$15,$M104-$A$15,AU$13)="",10^12,OFFSET(CRONOPLE!$F$15,$M104-$A$15,AU$13)))</f>
        <v>1000000000000</v>
      </c>
      <c r="AV104" s="172">
        <f ca="1">IF(OR($D104&lt;&gt;"Serviço",AND(AUTOEVENTO="Manual",$M104=$A$15)),0,
         IF(OFFSET(CRONOPLE!$F$15,$M104-$A$15,AV$13)="",10^12,OFFSET(CRONOPLE!$F$15,$M104-$A$15,AV$13)))</f>
        <v>1000000000000</v>
      </c>
      <c r="AX104" s="173">
        <f ca="1">IF(OR($D104&lt;&gt;"Serviço",AND(AUTOEVENTO="Manual",$M104=$A$15),$M104&gt;(ROW(PLE.lastrow)-ROW(PLE.firstrow))),0,
           IF(OFFSET(PLE!$G$15,$M104-$A$15,AX$13)="",10^12,OFFSET(PLE!$G$15,$M104-$A$15,AX$13)))</f>
        <v>1000000000000</v>
      </c>
      <c r="AY104" s="173">
        <f ca="1">IF(OR($D104&lt;&gt;"Serviço",AND(AUTOEVENTO="Manual",$M104=$A$15),$M104&gt;(ROW(PLE.lastrow)-ROW(PLE.firstrow))),0,
           IF(OFFSET(PLE!$G$15,$M104-$A$15,AY$13)="",10^12,OFFSET(PLE!$G$15,$M104-$A$15,AY$13)))</f>
        <v>1000000000000</v>
      </c>
      <c r="AZ104" s="173">
        <f ca="1">IF(OR($D104&lt;&gt;"Serviço",AND(AUTOEVENTO="Manual",$M104=$A$15),$M104&gt;(ROW(PLE.lastrow)-ROW(PLE.firstrow))),0,
           IF(OFFSET(PLE!$G$15,$M104-$A$15,AZ$13)="",10^12,OFFSET(PLE!$G$15,$M104-$A$15,AZ$13)))</f>
        <v>1000000000000</v>
      </c>
      <c r="BA104" s="173">
        <f ca="1">IF(OR($D104&lt;&gt;"Serviço",AND(AUTOEVENTO="Manual",$M104=$A$15),$M104&gt;(ROW(PLE.lastrow)-ROW(PLE.firstrow))),0,
           IF(OFFSET(PLE!$G$15,$M104-$A$15,BA$13)="",10^12,OFFSET(PLE!$G$15,$M104-$A$15,BA$13)))</f>
        <v>1000000000000</v>
      </c>
      <c r="BB104" s="173">
        <f ca="1">IF(OR($D104&lt;&gt;"Serviço",AND(AUTOEVENTO="Manual",$M104=$A$15),$M104&gt;(ROW(PLE.lastrow)-ROW(PLE.firstrow))),0,
           IF(OFFSET(PLE!$G$15,$M104-$A$15,BB$13)="",10^12,OFFSET(PLE!$G$15,$M104-$A$15,BB$13)))</f>
        <v>1000000000000</v>
      </c>
      <c r="BC104" s="173">
        <f ca="1">IF(OR($D104&lt;&gt;"Serviço",AND(AUTOEVENTO="Manual",$M104=$A$15),$M104&gt;(ROW(PLE.lastrow)-ROW(PLE.firstrow))),0,
           IF(OFFSET(PLE!$G$15,$M104-$A$15,BC$13)="",10^12,OFFSET(PLE!$G$15,$M104-$A$15,BC$13)))</f>
        <v>1000000000000</v>
      </c>
      <c r="BD104" s="173">
        <f ca="1">IF(OR($D104&lt;&gt;"Serviço",AND(AUTOEVENTO="Manual",$M104=$A$15),$M104&gt;(ROW(PLE.lastrow)-ROW(PLE.firstrow))),0,
           IF(OFFSET(PLE!$G$15,$M104-$A$15,BD$13)="",10^12,OFFSET(PLE!$G$15,$M104-$A$15,BD$13)))</f>
        <v>1000000000000</v>
      </c>
      <c r="BE104" s="173">
        <f ca="1">IF(OR($D104&lt;&gt;"Serviço",AND(AUTOEVENTO="Manual",$M104=$A$15),$M104&gt;(ROW(PLE.lastrow)-ROW(PLE.firstrow))),0,
           IF(OFFSET(PLE!$G$15,$M104-$A$15,BE$13)="",10^12,OFFSET(PLE!$G$15,$M104-$A$15,BE$13)))</f>
        <v>1000000000000</v>
      </c>
      <c r="BF104" s="173">
        <f ca="1">IF(OR($D104&lt;&gt;"Serviço",AND(AUTOEVENTO="Manual",$M104=$A$15),$M104&gt;(ROW(PLE.lastrow)-ROW(PLE.firstrow))),0,
           IF(OFFSET(PLE!$G$15,$M104-$A$15,BF$13)="",10^12,OFFSET(PLE!$G$15,$M104-$A$15,BF$13)))</f>
        <v>1000000000000</v>
      </c>
      <c r="BG104" s="173">
        <f ca="1">IF(OR($D104&lt;&gt;"Serviço",AND(AUTOEVENTO="Manual",$M104=$A$15),$M104&gt;(ROW(PLE.lastrow)-ROW(PLE.firstrow))),0,
           IF(OFFSET(PLE!$G$15,$M104-$A$15,BG$13)="",10^12,OFFSET(PLE!$G$15,$M104-$A$15,BG$13)))</f>
        <v>1000000000000</v>
      </c>
    </row>
    <row r="105" spans="1:59" ht="38.25" x14ac:dyDescent="0.2">
      <c r="A105" s="7" t="str">
        <f t="shared" ca="1" si="9"/>
        <v>39</v>
      </c>
      <c r="B105" s="7" t="str">
        <f ca="1">OFFSET(ORÇAMENTO!C$15,ROW(B105)-ROW(B$15),0)</f>
        <v>S</v>
      </c>
      <c r="C105" s="7" t="str">
        <f ca="1">OFFSET(ORÇAMENTO!L$15,ROW(C105)-ROW(C$15),0)</f>
        <v/>
      </c>
      <c r="D105" s="117" t="str">
        <f ca="1">OFFSET(ORÇAMENTO!N$15,ROW(D105)-ROW(D$15),0)</f>
        <v>Serviço</v>
      </c>
      <c r="E105" s="118" t="str">
        <f ca="1">OFFSET(ORÇAMENTO!O$15,ROW(E105)-ROW(E$15),0)</f>
        <v>-</v>
      </c>
      <c r="F105" s="164" t="str">
        <f ca="1">OFFSET(ORÇAMENTO!R$15,ROW(F105)-ROW(F$15),0)</f>
        <v>CABO DE COBRE FLEXÍVEL ISOLADO, 70 MM², ANTI-CHAMA 0,6/1,0 KV, PARA REDE ENTERRADA DE DISTRIBUIÇÃO DE ENERGIA ELÉTRICA - FORNECIMENTO E INSTALAÇÃO. AF_12/2021</v>
      </c>
      <c r="G105" s="165" t="str">
        <f ca="1">IF($D105&lt;&gt;"Serviço","",OFFSET(ORÇAMENTO!S$15,ROW(G105)-ROW(G$15),0))</f>
        <v>M</v>
      </c>
      <c r="H105" s="123">
        <f ca="1">IF($D105&lt;&gt;"Serviço",0,IF(ACOMPANHAMENTO="BM",ROUND(OFFSET(ORÇAMENTO!AJ$15,ROW(H105)-ROW(H$15),0),15-13*ORÇAMENTO!$AF$7),SUMPRODUCT(($Q$1:$AA$1=1)*ROUND($Q105:$AA105,15-13*ORÇAMENTO!$AF$7))))</f>
        <v>175</v>
      </c>
      <c r="I105" s="469"/>
      <c r="J105" s="577" t="str" cm="1">
        <f t="array" aca="1" ref="J105" ca="1">IF(B105&lt;&gt;"S","",IF(AND(ACOMPANHAMENTO="PLE",AUTOEVENTO="Manual",OR(H105&gt;0,ORÇAMENTO!AC105="QUANT."),OR(K105="",M105=0,N105="")),"►",IF(AND(ACOMPANHAMENTO="PLE",ORÇAMENTO!AC105="QUANT."),"►►",IF(AND(COUNTIF($P$11:$AA$11,"▼")=0,H105&gt;0,I105=""),"◄",""))))</f>
        <v>◄</v>
      </c>
      <c r="K105" s="626"/>
      <c r="L105" s="166" t="s">
        <v>765</v>
      </c>
      <c r="M105" s="167">
        <f ca="1">IF($D105&lt;&gt;"Serviço","",
          IF(AUTOEVENTO="manual",$A105,
                IF(ISERROR(MATCH($A105,$A$15:OFFSET($A105,-1,0),0)),MAX($M$15:OFFSET(M105,-1,0))+1,
                      INDEX($M$15:OFFSET(M105,-1,0),MATCH($A105,$A$15:OFFSET($A105,-1,0),0)))))</f>
        <v>9</v>
      </c>
      <c r="N105" s="168" t="str">
        <f ca="1">IF($D105&lt;&gt;"Serviço","",
         IF(AUTOEVENTO="Manual",
                IF($A105=0,"&lt;-- defina o número do agrupador",
                       OFFSET(EVENTOS!$D$15,$A105-$A$15,0)),
                OFFSET($F$15,$A105,0)))</f>
        <v>INSTALAÇÕES ELÉTRICAS</v>
      </c>
      <c r="O105" s="169"/>
      <c r="Q105" s="169"/>
      <c r="R105" s="170"/>
      <c r="S105" s="170"/>
      <c r="T105" s="170"/>
      <c r="U105" s="170"/>
      <c r="V105" s="170"/>
      <c r="W105" s="170"/>
      <c r="X105" s="170"/>
      <c r="Y105" s="170"/>
      <c r="Z105" s="171"/>
      <c r="AB105" s="454">
        <f ca="1">IF(AND($D105="Serviço",AB$12&lt;&gt;0,$H105&gt;0,OR(AUTOEVENTO&lt;&gt;"manual",$M105&lt;&gt;$A$15)),
        IF(Import.TipoArredondamento&lt;&gt;"TransfereGOV",
              ROUND(OFFSET($P105,0,AB$13),15-13*ORÇAMENTO!$AF$7)/$H105*OFFSET(ORÇAMENTO!$X$15,ROW(AB105)-ROW(AB$15),0),
              ROUND(ROUND(OFFSET($P105,0,AB$13),15-13*ORÇAMENTO!$AF$7)*OFFSET(ORÇAMENTO!$W$15,ROW(AB105)-ROW(AB$15),0),15-13*ORÇAMENTO!$AF$11)),
         0)</f>
        <v>0</v>
      </c>
      <c r="AC105" s="454">
        <f ca="1">IF(AND($D105="Serviço",AC$12&lt;&gt;0,$H105&gt;0,OR(AUTOEVENTO&lt;&gt;"manual",$M105&lt;&gt;$A$15)),
        IF(Import.TipoArredondamento&lt;&gt;"TransfereGOV",
              ROUND(OFFSET($P105,0,AC$13),15-13*ORÇAMENTO!$AF$7)/$H105*OFFSET(ORÇAMENTO!$X$15,ROW(AC105)-ROW(AC$15),0),
              ROUND(ROUND(OFFSET($P105,0,AC$13),15-13*ORÇAMENTO!$AF$7)*OFFSET(ORÇAMENTO!$W$15,ROW(AC105)-ROW(AC$15),0),15-13*ORÇAMENTO!$AF$11)),
         0)</f>
        <v>0</v>
      </c>
      <c r="AD105" s="454">
        <f ca="1">IF(AND($D105="Serviço",AD$12&lt;&gt;0,$H105&gt;0,OR(AUTOEVENTO&lt;&gt;"manual",$M105&lt;&gt;$A$15)),
        IF(Import.TipoArredondamento&lt;&gt;"TransfereGOV",
              ROUND(OFFSET($P105,0,AD$13),15-13*ORÇAMENTO!$AF$7)/$H105*OFFSET(ORÇAMENTO!$X$15,ROW(AD105)-ROW(AD$15),0),
              ROUND(ROUND(OFFSET($P105,0,AD$13),15-13*ORÇAMENTO!$AF$7)*OFFSET(ORÇAMENTO!$W$15,ROW(AD105)-ROW(AD$15),0),15-13*ORÇAMENTO!$AF$11)),
         0)</f>
        <v>0</v>
      </c>
      <c r="AE105" s="454">
        <f ca="1">IF(AND($D105="Serviço",AE$12&lt;&gt;0,$H105&gt;0,OR(AUTOEVENTO&lt;&gt;"manual",$M105&lt;&gt;$A$15)),
        IF(Import.TipoArredondamento&lt;&gt;"TransfereGOV",
              ROUND(OFFSET($P105,0,AE$13),15-13*ORÇAMENTO!$AF$7)/$H105*OFFSET(ORÇAMENTO!$X$15,ROW(AE105)-ROW(AE$15),0),
              ROUND(ROUND(OFFSET($P105,0,AE$13),15-13*ORÇAMENTO!$AF$7)*OFFSET(ORÇAMENTO!$W$15,ROW(AE105)-ROW(AE$15),0),15-13*ORÇAMENTO!$AF$11)),
         0)</f>
        <v>0</v>
      </c>
      <c r="AF105" s="454">
        <f ca="1">IF(AND($D105="Serviço",AF$12&lt;&gt;0,$H105&gt;0,OR(AUTOEVENTO&lt;&gt;"manual",$M105&lt;&gt;$A$15)),
        IF(Import.TipoArredondamento&lt;&gt;"TransfereGOV",
              ROUND(OFFSET($P105,0,AF$13),15-13*ORÇAMENTO!$AF$7)/$H105*OFFSET(ORÇAMENTO!$X$15,ROW(AF105)-ROW(AF$15),0),
              ROUND(ROUND(OFFSET($P105,0,AF$13),15-13*ORÇAMENTO!$AF$7)*OFFSET(ORÇAMENTO!$W$15,ROW(AF105)-ROW(AF$15),0),15-13*ORÇAMENTO!$AF$11)),
         0)</f>
        <v>0</v>
      </c>
      <c r="AG105" s="454">
        <f ca="1">IF(AND($D105="Serviço",AG$12&lt;&gt;0,$H105&gt;0,OR(AUTOEVENTO&lt;&gt;"manual",$M105&lt;&gt;$A$15)),
        IF(Import.TipoArredondamento&lt;&gt;"TransfereGOV",
              ROUND(OFFSET($P105,0,AG$13),15-13*ORÇAMENTO!$AF$7)/$H105*OFFSET(ORÇAMENTO!$X$15,ROW(AG105)-ROW(AG$15),0),
              ROUND(ROUND(OFFSET($P105,0,AG$13),15-13*ORÇAMENTO!$AF$7)*OFFSET(ORÇAMENTO!$W$15,ROW(AG105)-ROW(AG$15),0),15-13*ORÇAMENTO!$AF$11)),
         0)</f>
        <v>0</v>
      </c>
      <c r="AH105" s="454">
        <f ca="1">IF(AND($D105="Serviço",AH$12&lt;&gt;0,$H105&gt;0,OR(AUTOEVENTO&lt;&gt;"manual",$M105&lt;&gt;$A$15)),
        IF(Import.TipoArredondamento&lt;&gt;"TransfereGOV",
              ROUND(OFFSET($P105,0,AH$13),15-13*ORÇAMENTO!$AF$7)/$H105*OFFSET(ORÇAMENTO!$X$15,ROW(AH105)-ROW(AH$15),0),
              ROUND(ROUND(OFFSET($P105,0,AH$13),15-13*ORÇAMENTO!$AF$7)*OFFSET(ORÇAMENTO!$W$15,ROW(AH105)-ROW(AH$15),0),15-13*ORÇAMENTO!$AF$11)),
         0)</f>
        <v>0</v>
      </c>
      <c r="AI105" s="454">
        <f ca="1">IF(AND($D105="Serviço",AI$12&lt;&gt;0,$H105&gt;0,OR(AUTOEVENTO&lt;&gt;"manual",$M105&lt;&gt;$A$15)),
        IF(Import.TipoArredondamento&lt;&gt;"TransfereGOV",
              ROUND(OFFSET($P105,0,AI$13),15-13*ORÇAMENTO!$AF$7)/$H105*OFFSET(ORÇAMENTO!$X$15,ROW(AI105)-ROW(AI$15),0),
              ROUND(ROUND(OFFSET($P105,0,AI$13),15-13*ORÇAMENTO!$AF$7)*OFFSET(ORÇAMENTO!$W$15,ROW(AI105)-ROW(AI$15),0),15-13*ORÇAMENTO!$AF$11)),
         0)</f>
        <v>0</v>
      </c>
      <c r="AJ105" s="454">
        <f ca="1">IF(AND($D105="Serviço",AJ$12&lt;&gt;0,$H105&gt;0,OR(AUTOEVENTO&lt;&gt;"manual",$M105&lt;&gt;$A$15)),
        IF(Import.TipoArredondamento&lt;&gt;"TransfereGOV",
              ROUND(OFFSET($P105,0,AJ$13),15-13*ORÇAMENTO!$AF$7)/$H105*OFFSET(ORÇAMENTO!$X$15,ROW(AJ105)-ROW(AJ$15),0),
              ROUND(ROUND(OFFSET($P105,0,AJ$13),15-13*ORÇAMENTO!$AF$7)*OFFSET(ORÇAMENTO!$W$15,ROW(AJ105)-ROW(AJ$15),0),15-13*ORÇAMENTO!$AF$11)),
         0)</f>
        <v>0</v>
      </c>
      <c r="AK105" s="454">
        <f ca="1">IF(AND($D105="Serviço",AK$12&lt;&gt;0,$H105&gt;0,OR(AUTOEVENTO&lt;&gt;"manual",$M105&lt;&gt;$A$15)),
        IF(Import.TipoArredondamento&lt;&gt;"TransfereGOV",
              ROUND(OFFSET($P105,0,AK$13),15-13*ORÇAMENTO!$AF$7)/$H105*OFFSET(ORÇAMENTO!$X$15,ROW(AK105)-ROW(AK$15),0),
              ROUND(ROUND(OFFSET($P105,0,AK$13),15-13*ORÇAMENTO!$AF$7)*OFFSET(ORÇAMENTO!$W$15,ROW(AK105)-ROW(AK$15),0),15-13*ORÇAMENTO!$AF$11)),
         0)</f>
        <v>0</v>
      </c>
      <c r="AM105" s="172">
        <f ca="1">IF(OR($D105&lt;&gt;"Serviço",AND(AUTOEVENTO="Manual",$M105=$A$15)),0,
         IF(OFFSET(CRONOPLE!$F$15,$M105-$A$15,AM$13)="",10^12,OFFSET(CRONOPLE!$F$15,$M105-$A$15,AM$13)))</f>
        <v>1000000000000</v>
      </c>
      <c r="AN105" s="172">
        <f ca="1">IF(OR($D105&lt;&gt;"Serviço",AND(AUTOEVENTO="Manual",$M105=$A$15)),0,
         IF(OFFSET(CRONOPLE!$F$15,$M105-$A$15,AN$13)="",10^12,OFFSET(CRONOPLE!$F$15,$M105-$A$15,AN$13)))</f>
        <v>1000000000000</v>
      </c>
      <c r="AO105" s="172">
        <f ca="1">IF(OR($D105&lt;&gt;"Serviço",AND(AUTOEVENTO="Manual",$M105=$A$15)),0,
         IF(OFFSET(CRONOPLE!$F$15,$M105-$A$15,AO$13)="",10^12,OFFSET(CRONOPLE!$F$15,$M105-$A$15,AO$13)))</f>
        <v>1000000000000</v>
      </c>
      <c r="AP105" s="172">
        <f ca="1">IF(OR($D105&lt;&gt;"Serviço",AND(AUTOEVENTO="Manual",$M105=$A$15)),0,
         IF(OFFSET(CRONOPLE!$F$15,$M105-$A$15,AP$13)="",10^12,OFFSET(CRONOPLE!$F$15,$M105-$A$15,AP$13)))</f>
        <v>1000000000000</v>
      </c>
      <c r="AQ105" s="172">
        <f ca="1">IF(OR($D105&lt;&gt;"Serviço",AND(AUTOEVENTO="Manual",$M105=$A$15)),0,
         IF(OFFSET(CRONOPLE!$F$15,$M105-$A$15,AQ$13)="",10^12,OFFSET(CRONOPLE!$F$15,$M105-$A$15,AQ$13)))</f>
        <v>1000000000000</v>
      </c>
      <c r="AR105" s="172">
        <f ca="1">IF(OR($D105&lt;&gt;"Serviço",AND(AUTOEVENTO="Manual",$M105=$A$15)),0,
         IF(OFFSET(CRONOPLE!$F$15,$M105-$A$15,AR$13)="",10^12,OFFSET(CRONOPLE!$F$15,$M105-$A$15,AR$13)))</f>
        <v>1000000000000</v>
      </c>
      <c r="AS105" s="172">
        <f ca="1">IF(OR($D105&lt;&gt;"Serviço",AND(AUTOEVENTO="Manual",$M105=$A$15)),0,
         IF(OFFSET(CRONOPLE!$F$15,$M105-$A$15,AS$13)="",10^12,OFFSET(CRONOPLE!$F$15,$M105-$A$15,AS$13)))</f>
        <v>1000000000000</v>
      </c>
      <c r="AT105" s="172">
        <f ca="1">IF(OR($D105&lt;&gt;"Serviço",AND(AUTOEVENTO="Manual",$M105=$A$15)),0,
         IF(OFFSET(CRONOPLE!$F$15,$M105-$A$15,AT$13)="",10^12,OFFSET(CRONOPLE!$F$15,$M105-$A$15,AT$13)))</f>
        <v>1000000000000</v>
      </c>
      <c r="AU105" s="172">
        <f ca="1">IF(OR($D105&lt;&gt;"Serviço",AND(AUTOEVENTO="Manual",$M105=$A$15)),0,
         IF(OFFSET(CRONOPLE!$F$15,$M105-$A$15,AU$13)="",10^12,OFFSET(CRONOPLE!$F$15,$M105-$A$15,AU$13)))</f>
        <v>1000000000000</v>
      </c>
      <c r="AV105" s="172">
        <f ca="1">IF(OR($D105&lt;&gt;"Serviço",AND(AUTOEVENTO="Manual",$M105=$A$15)),0,
         IF(OFFSET(CRONOPLE!$F$15,$M105-$A$15,AV$13)="",10^12,OFFSET(CRONOPLE!$F$15,$M105-$A$15,AV$13)))</f>
        <v>1000000000000</v>
      </c>
      <c r="AX105" s="173">
        <f ca="1">IF(OR($D105&lt;&gt;"Serviço",AND(AUTOEVENTO="Manual",$M105=$A$15),$M105&gt;(ROW(PLE.lastrow)-ROW(PLE.firstrow))),0,
           IF(OFFSET(PLE!$G$15,$M105-$A$15,AX$13)="",10^12,OFFSET(PLE!$G$15,$M105-$A$15,AX$13)))</f>
        <v>1000000000000</v>
      </c>
      <c r="AY105" s="173">
        <f ca="1">IF(OR($D105&lt;&gt;"Serviço",AND(AUTOEVENTO="Manual",$M105=$A$15),$M105&gt;(ROW(PLE.lastrow)-ROW(PLE.firstrow))),0,
           IF(OFFSET(PLE!$G$15,$M105-$A$15,AY$13)="",10^12,OFFSET(PLE!$G$15,$M105-$A$15,AY$13)))</f>
        <v>1000000000000</v>
      </c>
      <c r="AZ105" s="173">
        <f ca="1">IF(OR($D105&lt;&gt;"Serviço",AND(AUTOEVENTO="Manual",$M105=$A$15),$M105&gt;(ROW(PLE.lastrow)-ROW(PLE.firstrow))),0,
           IF(OFFSET(PLE!$G$15,$M105-$A$15,AZ$13)="",10^12,OFFSET(PLE!$G$15,$M105-$A$15,AZ$13)))</f>
        <v>1000000000000</v>
      </c>
      <c r="BA105" s="173">
        <f ca="1">IF(OR($D105&lt;&gt;"Serviço",AND(AUTOEVENTO="Manual",$M105=$A$15),$M105&gt;(ROW(PLE.lastrow)-ROW(PLE.firstrow))),0,
           IF(OFFSET(PLE!$G$15,$M105-$A$15,BA$13)="",10^12,OFFSET(PLE!$G$15,$M105-$A$15,BA$13)))</f>
        <v>1000000000000</v>
      </c>
      <c r="BB105" s="173">
        <f ca="1">IF(OR($D105&lt;&gt;"Serviço",AND(AUTOEVENTO="Manual",$M105=$A$15),$M105&gt;(ROW(PLE.lastrow)-ROW(PLE.firstrow))),0,
           IF(OFFSET(PLE!$G$15,$M105-$A$15,BB$13)="",10^12,OFFSET(PLE!$G$15,$M105-$A$15,BB$13)))</f>
        <v>1000000000000</v>
      </c>
      <c r="BC105" s="173">
        <f ca="1">IF(OR($D105&lt;&gt;"Serviço",AND(AUTOEVENTO="Manual",$M105=$A$15),$M105&gt;(ROW(PLE.lastrow)-ROW(PLE.firstrow))),0,
           IF(OFFSET(PLE!$G$15,$M105-$A$15,BC$13)="",10^12,OFFSET(PLE!$G$15,$M105-$A$15,BC$13)))</f>
        <v>1000000000000</v>
      </c>
      <c r="BD105" s="173">
        <f ca="1">IF(OR($D105&lt;&gt;"Serviço",AND(AUTOEVENTO="Manual",$M105=$A$15),$M105&gt;(ROW(PLE.lastrow)-ROW(PLE.firstrow))),0,
           IF(OFFSET(PLE!$G$15,$M105-$A$15,BD$13)="",10^12,OFFSET(PLE!$G$15,$M105-$A$15,BD$13)))</f>
        <v>1000000000000</v>
      </c>
      <c r="BE105" s="173">
        <f ca="1">IF(OR($D105&lt;&gt;"Serviço",AND(AUTOEVENTO="Manual",$M105=$A$15),$M105&gt;(ROW(PLE.lastrow)-ROW(PLE.firstrow))),0,
           IF(OFFSET(PLE!$G$15,$M105-$A$15,BE$13)="",10^12,OFFSET(PLE!$G$15,$M105-$A$15,BE$13)))</f>
        <v>1000000000000</v>
      </c>
      <c r="BF105" s="173">
        <f ca="1">IF(OR($D105&lt;&gt;"Serviço",AND(AUTOEVENTO="Manual",$M105=$A$15),$M105&gt;(ROW(PLE.lastrow)-ROW(PLE.firstrow))),0,
           IF(OFFSET(PLE!$G$15,$M105-$A$15,BF$13)="",10^12,OFFSET(PLE!$G$15,$M105-$A$15,BF$13)))</f>
        <v>1000000000000</v>
      </c>
      <c r="BG105" s="173">
        <f ca="1">IF(OR($D105&lt;&gt;"Serviço",AND(AUTOEVENTO="Manual",$M105=$A$15),$M105&gt;(ROW(PLE.lastrow)-ROW(PLE.firstrow))),0,
           IF(OFFSET(PLE!$G$15,$M105-$A$15,BG$13)="",10^12,OFFSET(PLE!$G$15,$M105-$A$15,BG$13)))</f>
        <v>1000000000000</v>
      </c>
    </row>
    <row r="106" spans="1:59" ht="38.25" x14ac:dyDescent="0.2">
      <c r="A106" s="7" t="str">
        <f t="shared" ca="1" si="9"/>
        <v>39</v>
      </c>
      <c r="B106" s="7" t="str">
        <f ca="1">OFFSET(ORÇAMENTO!C$15,ROW(B106)-ROW(B$15),0)</f>
        <v>S</v>
      </c>
      <c r="C106" s="7" t="str">
        <f ca="1">OFFSET(ORÇAMENTO!L$15,ROW(C106)-ROW(C$15),0)</f>
        <v/>
      </c>
      <c r="D106" s="117" t="str">
        <f ca="1">OFFSET(ORÇAMENTO!N$15,ROW(D106)-ROW(D$15),0)</f>
        <v>Serviço</v>
      </c>
      <c r="E106" s="118" t="str">
        <f ca="1">OFFSET(ORÇAMENTO!O$15,ROW(E106)-ROW(E$15),0)</f>
        <v>-</v>
      </c>
      <c r="F106" s="164" t="str">
        <f ca="1">OFFSET(ORÇAMENTO!R$15,ROW(F106)-ROW(F$15),0)</f>
        <v>CABO DE COBRE FLEXÍVEL ISOLADO, 1,5 MM², ANTI-CHAMA 450/750 V, PARA CIRCUITOS TERMINAIS - FORNECIMENTO E INSTALAÇÃO. AF_03/2023</v>
      </c>
      <c r="G106" s="165" t="str">
        <f ca="1">IF($D106&lt;&gt;"Serviço","",OFFSET(ORÇAMENTO!S$15,ROW(G106)-ROW(G$15),0))</f>
        <v>M</v>
      </c>
      <c r="H106" s="123">
        <f ca="1">IF($D106&lt;&gt;"Serviço",0,IF(ACOMPANHAMENTO="BM",ROUND(OFFSET(ORÇAMENTO!AJ$15,ROW(H106)-ROW(H$15),0),15-13*ORÇAMENTO!$AF$7),SUMPRODUCT(($Q$1:$AA$1=1)*ROUND($Q106:$AA106,15-13*ORÇAMENTO!$AF$7))))</f>
        <v>430</v>
      </c>
      <c r="I106" s="469"/>
      <c r="J106" s="577" t="str" cm="1">
        <f t="array" aca="1" ref="J106" ca="1">IF(B106&lt;&gt;"S","",IF(AND(ACOMPANHAMENTO="PLE",AUTOEVENTO="Manual",OR(H106&gt;0,ORÇAMENTO!AC106="QUANT."),OR(K106="",M106=0,N106="")),"►",IF(AND(ACOMPANHAMENTO="PLE",ORÇAMENTO!AC106="QUANT."),"►►",IF(AND(COUNTIF($P$11:$AA$11,"▼")=0,H106&gt;0,I106=""),"◄",""))))</f>
        <v>◄</v>
      </c>
      <c r="K106" s="626"/>
      <c r="L106" s="166" t="s">
        <v>765</v>
      </c>
      <c r="M106" s="167">
        <f ca="1">IF($D106&lt;&gt;"Serviço","",
          IF(AUTOEVENTO="manual",$A106,
                IF(ISERROR(MATCH($A106,$A$15:OFFSET($A106,-1,0),0)),MAX($M$15:OFFSET(M106,-1,0))+1,
                      INDEX($M$15:OFFSET(M106,-1,0),MATCH($A106,$A$15:OFFSET($A106,-1,0),0)))))</f>
        <v>9</v>
      </c>
      <c r="N106" s="168" t="str">
        <f ca="1">IF($D106&lt;&gt;"Serviço","",
         IF(AUTOEVENTO="Manual",
                IF($A106=0,"&lt;-- defina o número do agrupador",
                       OFFSET(EVENTOS!$D$15,$A106-$A$15,0)),
                OFFSET($F$15,$A106,0)))</f>
        <v>INSTALAÇÕES ELÉTRICAS</v>
      </c>
      <c r="O106" s="169"/>
      <c r="Q106" s="169"/>
      <c r="R106" s="170"/>
      <c r="S106" s="170"/>
      <c r="T106" s="170"/>
      <c r="U106" s="170"/>
      <c r="V106" s="170"/>
      <c r="W106" s="170"/>
      <c r="X106" s="170"/>
      <c r="Y106" s="170"/>
      <c r="Z106" s="171"/>
      <c r="AB106" s="454">
        <f ca="1">IF(AND($D106="Serviço",AB$12&lt;&gt;0,$H106&gt;0,OR(AUTOEVENTO&lt;&gt;"manual",$M106&lt;&gt;$A$15)),
        IF(Import.TipoArredondamento&lt;&gt;"TransfereGOV",
              ROUND(OFFSET($P106,0,AB$13),15-13*ORÇAMENTO!$AF$7)/$H106*OFFSET(ORÇAMENTO!$X$15,ROW(AB106)-ROW(AB$15),0),
              ROUND(ROUND(OFFSET($P106,0,AB$13),15-13*ORÇAMENTO!$AF$7)*OFFSET(ORÇAMENTO!$W$15,ROW(AB106)-ROW(AB$15),0),15-13*ORÇAMENTO!$AF$11)),
         0)</f>
        <v>0</v>
      </c>
      <c r="AC106" s="454">
        <f ca="1">IF(AND($D106="Serviço",AC$12&lt;&gt;0,$H106&gt;0,OR(AUTOEVENTO&lt;&gt;"manual",$M106&lt;&gt;$A$15)),
        IF(Import.TipoArredondamento&lt;&gt;"TransfereGOV",
              ROUND(OFFSET($P106,0,AC$13),15-13*ORÇAMENTO!$AF$7)/$H106*OFFSET(ORÇAMENTO!$X$15,ROW(AC106)-ROW(AC$15),0),
              ROUND(ROUND(OFFSET($P106,0,AC$13),15-13*ORÇAMENTO!$AF$7)*OFFSET(ORÇAMENTO!$W$15,ROW(AC106)-ROW(AC$15),0),15-13*ORÇAMENTO!$AF$11)),
         0)</f>
        <v>0</v>
      </c>
      <c r="AD106" s="454">
        <f ca="1">IF(AND($D106="Serviço",AD$12&lt;&gt;0,$H106&gt;0,OR(AUTOEVENTO&lt;&gt;"manual",$M106&lt;&gt;$A$15)),
        IF(Import.TipoArredondamento&lt;&gt;"TransfereGOV",
              ROUND(OFFSET($P106,0,AD$13),15-13*ORÇAMENTO!$AF$7)/$H106*OFFSET(ORÇAMENTO!$X$15,ROW(AD106)-ROW(AD$15),0),
              ROUND(ROUND(OFFSET($P106,0,AD$13),15-13*ORÇAMENTO!$AF$7)*OFFSET(ORÇAMENTO!$W$15,ROW(AD106)-ROW(AD$15),0),15-13*ORÇAMENTO!$AF$11)),
         0)</f>
        <v>0</v>
      </c>
      <c r="AE106" s="454">
        <f ca="1">IF(AND($D106="Serviço",AE$12&lt;&gt;0,$H106&gt;0,OR(AUTOEVENTO&lt;&gt;"manual",$M106&lt;&gt;$A$15)),
        IF(Import.TipoArredondamento&lt;&gt;"TransfereGOV",
              ROUND(OFFSET($P106,0,AE$13),15-13*ORÇAMENTO!$AF$7)/$H106*OFFSET(ORÇAMENTO!$X$15,ROW(AE106)-ROW(AE$15),0),
              ROUND(ROUND(OFFSET($P106,0,AE$13),15-13*ORÇAMENTO!$AF$7)*OFFSET(ORÇAMENTO!$W$15,ROW(AE106)-ROW(AE$15),0),15-13*ORÇAMENTO!$AF$11)),
         0)</f>
        <v>0</v>
      </c>
      <c r="AF106" s="454">
        <f ca="1">IF(AND($D106="Serviço",AF$12&lt;&gt;0,$H106&gt;0,OR(AUTOEVENTO&lt;&gt;"manual",$M106&lt;&gt;$A$15)),
        IF(Import.TipoArredondamento&lt;&gt;"TransfereGOV",
              ROUND(OFFSET($P106,0,AF$13),15-13*ORÇAMENTO!$AF$7)/$H106*OFFSET(ORÇAMENTO!$X$15,ROW(AF106)-ROW(AF$15),0),
              ROUND(ROUND(OFFSET($P106,0,AF$13),15-13*ORÇAMENTO!$AF$7)*OFFSET(ORÇAMENTO!$W$15,ROW(AF106)-ROW(AF$15),0),15-13*ORÇAMENTO!$AF$11)),
         0)</f>
        <v>0</v>
      </c>
      <c r="AG106" s="454">
        <f ca="1">IF(AND($D106="Serviço",AG$12&lt;&gt;0,$H106&gt;0,OR(AUTOEVENTO&lt;&gt;"manual",$M106&lt;&gt;$A$15)),
        IF(Import.TipoArredondamento&lt;&gt;"TransfereGOV",
              ROUND(OFFSET($P106,0,AG$13),15-13*ORÇAMENTO!$AF$7)/$H106*OFFSET(ORÇAMENTO!$X$15,ROW(AG106)-ROW(AG$15),0),
              ROUND(ROUND(OFFSET($P106,0,AG$13),15-13*ORÇAMENTO!$AF$7)*OFFSET(ORÇAMENTO!$W$15,ROW(AG106)-ROW(AG$15),0),15-13*ORÇAMENTO!$AF$11)),
         0)</f>
        <v>0</v>
      </c>
      <c r="AH106" s="454">
        <f ca="1">IF(AND($D106="Serviço",AH$12&lt;&gt;0,$H106&gt;0,OR(AUTOEVENTO&lt;&gt;"manual",$M106&lt;&gt;$A$15)),
        IF(Import.TipoArredondamento&lt;&gt;"TransfereGOV",
              ROUND(OFFSET($P106,0,AH$13),15-13*ORÇAMENTO!$AF$7)/$H106*OFFSET(ORÇAMENTO!$X$15,ROW(AH106)-ROW(AH$15),0),
              ROUND(ROUND(OFFSET($P106,0,AH$13),15-13*ORÇAMENTO!$AF$7)*OFFSET(ORÇAMENTO!$W$15,ROW(AH106)-ROW(AH$15),0),15-13*ORÇAMENTO!$AF$11)),
         0)</f>
        <v>0</v>
      </c>
      <c r="AI106" s="454">
        <f ca="1">IF(AND($D106="Serviço",AI$12&lt;&gt;0,$H106&gt;0,OR(AUTOEVENTO&lt;&gt;"manual",$M106&lt;&gt;$A$15)),
        IF(Import.TipoArredondamento&lt;&gt;"TransfereGOV",
              ROUND(OFFSET($P106,0,AI$13),15-13*ORÇAMENTO!$AF$7)/$H106*OFFSET(ORÇAMENTO!$X$15,ROW(AI106)-ROW(AI$15),0),
              ROUND(ROUND(OFFSET($P106,0,AI$13),15-13*ORÇAMENTO!$AF$7)*OFFSET(ORÇAMENTO!$W$15,ROW(AI106)-ROW(AI$15),0),15-13*ORÇAMENTO!$AF$11)),
         0)</f>
        <v>0</v>
      </c>
      <c r="AJ106" s="454">
        <f ca="1">IF(AND($D106="Serviço",AJ$12&lt;&gt;0,$H106&gt;0,OR(AUTOEVENTO&lt;&gt;"manual",$M106&lt;&gt;$A$15)),
        IF(Import.TipoArredondamento&lt;&gt;"TransfereGOV",
              ROUND(OFFSET($P106,0,AJ$13),15-13*ORÇAMENTO!$AF$7)/$H106*OFFSET(ORÇAMENTO!$X$15,ROW(AJ106)-ROW(AJ$15),0),
              ROUND(ROUND(OFFSET($P106,0,AJ$13),15-13*ORÇAMENTO!$AF$7)*OFFSET(ORÇAMENTO!$W$15,ROW(AJ106)-ROW(AJ$15),0),15-13*ORÇAMENTO!$AF$11)),
         0)</f>
        <v>0</v>
      </c>
      <c r="AK106" s="454">
        <f ca="1">IF(AND($D106="Serviço",AK$12&lt;&gt;0,$H106&gt;0,OR(AUTOEVENTO&lt;&gt;"manual",$M106&lt;&gt;$A$15)),
        IF(Import.TipoArredondamento&lt;&gt;"TransfereGOV",
              ROUND(OFFSET($P106,0,AK$13),15-13*ORÇAMENTO!$AF$7)/$H106*OFFSET(ORÇAMENTO!$X$15,ROW(AK106)-ROW(AK$15),0),
              ROUND(ROUND(OFFSET($P106,0,AK$13),15-13*ORÇAMENTO!$AF$7)*OFFSET(ORÇAMENTO!$W$15,ROW(AK106)-ROW(AK$15),0),15-13*ORÇAMENTO!$AF$11)),
         0)</f>
        <v>0</v>
      </c>
      <c r="AM106" s="172">
        <f ca="1">IF(OR($D106&lt;&gt;"Serviço",AND(AUTOEVENTO="Manual",$M106=$A$15)),0,
         IF(OFFSET(CRONOPLE!$F$15,$M106-$A$15,AM$13)="",10^12,OFFSET(CRONOPLE!$F$15,$M106-$A$15,AM$13)))</f>
        <v>1000000000000</v>
      </c>
      <c r="AN106" s="172">
        <f ca="1">IF(OR($D106&lt;&gt;"Serviço",AND(AUTOEVENTO="Manual",$M106=$A$15)),0,
         IF(OFFSET(CRONOPLE!$F$15,$M106-$A$15,AN$13)="",10^12,OFFSET(CRONOPLE!$F$15,$M106-$A$15,AN$13)))</f>
        <v>1000000000000</v>
      </c>
      <c r="AO106" s="172">
        <f ca="1">IF(OR($D106&lt;&gt;"Serviço",AND(AUTOEVENTO="Manual",$M106=$A$15)),0,
         IF(OFFSET(CRONOPLE!$F$15,$M106-$A$15,AO$13)="",10^12,OFFSET(CRONOPLE!$F$15,$M106-$A$15,AO$13)))</f>
        <v>1000000000000</v>
      </c>
      <c r="AP106" s="172">
        <f ca="1">IF(OR($D106&lt;&gt;"Serviço",AND(AUTOEVENTO="Manual",$M106=$A$15)),0,
         IF(OFFSET(CRONOPLE!$F$15,$M106-$A$15,AP$13)="",10^12,OFFSET(CRONOPLE!$F$15,$M106-$A$15,AP$13)))</f>
        <v>1000000000000</v>
      </c>
      <c r="AQ106" s="172">
        <f ca="1">IF(OR($D106&lt;&gt;"Serviço",AND(AUTOEVENTO="Manual",$M106=$A$15)),0,
         IF(OFFSET(CRONOPLE!$F$15,$M106-$A$15,AQ$13)="",10^12,OFFSET(CRONOPLE!$F$15,$M106-$A$15,AQ$13)))</f>
        <v>1000000000000</v>
      </c>
      <c r="AR106" s="172">
        <f ca="1">IF(OR($D106&lt;&gt;"Serviço",AND(AUTOEVENTO="Manual",$M106=$A$15)),0,
         IF(OFFSET(CRONOPLE!$F$15,$M106-$A$15,AR$13)="",10^12,OFFSET(CRONOPLE!$F$15,$M106-$A$15,AR$13)))</f>
        <v>1000000000000</v>
      </c>
      <c r="AS106" s="172">
        <f ca="1">IF(OR($D106&lt;&gt;"Serviço",AND(AUTOEVENTO="Manual",$M106=$A$15)),0,
         IF(OFFSET(CRONOPLE!$F$15,$M106-$A$15,AS$13)="",10^12,OFFSET(CRONOPLE!$F$15,$M106-$A$15,AS$13)))</f>
        <v>1000000000000</v>
      </c>
      <c r="AT106" s="172">
        <f ca="1">IF(OR($D106&lt;&gt;"Serviço",AND(AUTOEVENTO="Manual",$M106=$A$15)),0,
         IF(OFFSET(CRONOPLE!$F$15,$M106-$A$15,AT$13)="",10^12,OFFSET(CRONOPLE!$F$15,$M106-$A$15,AT$13)))</f>
        <v>1000000000000</v>
      </c>
      <c r="AU106" s="172">
        <f ca="1">IF(OR($D106&lt;&gt;"Serviço",AND(AUTOEVENTO="Manual",$M106=$A$15)),0,
         IF(OFFSET(CRONOPLE!$F$15,$M106-$A$15,AU$13)="",10^12,OFFSET(CRONOPLE!$F$15,$M106-$A$15,AU$13)))</f>
        <v>1000000000000</v>
      </c>
      <c r="AV106" s="172">
        <f ca="1">IF(OR($D106&lt;&gt;"Serviço",AND(AUTOEVENTO="Manual",$M106=$A$15)),0,
         IF(OFFSET(CRONOPLE!$F$15,$M106-$A$15,AV$13)="",10^12,OFFSET(CRONOPLE!$F$15,$M106-$A$15,AV$13)))</f>
        <v>1000000000000</v>
      </c>
      <c r="AX106" s="173">
        <f ca="1">IF(OR($D106&lt;&gt;"Serviço",AND(AUTOEVENTO="Manual",$M106=$A$15),$M106&gt;(ROW(PLE.lastrow)-ROW(PLE.firstrow))),0,
           IF(OFFSET(PLE!$G$15,$M106-$A$15,AX$13)="",10^12,OFFSET(PLE!$G$15,$M106-$A$15,AX$13)))</f>
        <v>1000000000000</v>
      </c>
      <c r="AY106" s="173">
        <f ca="1">IF(OR($D106&lt;&gt;"Serviço",AND(AUTOEVENTO="Manual",$M106=$A$15),$M106&gt;(ROW(PLE.lastrow)-ROW(PLE.firstrow))),0,
           IF(OFFSET(PLE!$G$15,$M106-$A$15,AY$13)="",10^12,OFFSET(PLE!$G$15,$M106-$A$15,AY$13)))</f>
        <v>1000000000000</v>
      </c>
      <c r="AZ106" s="173">
        <f ca="1">IF(OR($D106&lt;&gt;"Serviço",AND(AUTOEVENTO="Manual",$M106=$A$15),$M106&gt;(ROW(PLE.lastrow)-ROW(PLE.firstrow))),0,
           IF(OFFSET(PLE!$G$15,$M106-$A$15,AZ$13)="",10^12,OFFSET(PLE!$G$15,$M106-$A$15,AZ$13)))</f>
        <v>1000000000000</v>
      </c>
      <c r="BA106" s="173">
        <f ca="1">IF(OR($D106&lt;&gt;"Serviço",AND(AUTOEVENTO="Manual",$M106=$A$15),$M106&gt;(ROW(PLE.lastrow)-ROW(PLE.firstrow))),0,
           IF(OFFSET(PLE!$G$15,$M106-$A$15,BA$13)="",10^12,OFFSET(PLE!$G$15,$M106-$A$15,BA$13)))</f>
        <v>1000000000000</v>
      </c>
      <c r="BB106" s="173">
        <f ca="1">IF(OR($D106&lt;&gt;"Serviço",AND(AUTOEVENTO="Manual",$M106=$A$15),$M106&gt;(ROW(PLE.lastrow)-ROW(PLE.firstrow))),0,
           IF(OFFSET(PLE!$G$15,$M106-$A$15,BB$13)="",10^12,OFFSET(PLE!$G$15,$M106-$A$15,BB$13)))</f>
        <v>1000000000000</v>
      </c>
      <c r="BC106" s="173">
        <f ca="1">IF(OR($D106&lt;&gt;"Serviço",AND(AUTOEVENTO="Manual",$M106=$A$15),$M106&gt;(ROW(PLE.lastrow)-ROW(PLE.firstrow))),0,
           IF(OFFSET(PLE!$G$15,$M106-$A$15,BC$13)="",10^12,OFFSET(PLE!$G$15,$M106-$A$15,BC$13)))</f>
        <v>1000000000000</v>
      </c>
      <c r="BD106" s="173">
        <f ca="1">IF(OR($D106&lt;&gt;"Serviço",AND(AUTOEVENTO="Manual",$M106=$A$15),$M106&gt;(ROW(PLE.lastrow)-ROW(PLE.firstrow))),0,
           IF(OFFSET(PLE!$G$15,$M106-$A$15,BD$13)="",10^12,OFFSET(PLE!$G$15,$M106-$A$15,BD$13)))</f>
        <v>1000000000000</v>
      </c>
      <c r="BE106" s="173">
        <f ca="1">IF(OR($D106&lt;&gt;"Serviço",AND(AUTOEVENTO="Manual",$M106=$A$15),$M106&gt;(ROW(PLE.lastrow)-ROW(PLE.firstrow))),0,
           IF(OFFSET(PLE!$G$15,$M106-$A$15,BE$13)="",10^12,OFFSET(PLE!$G$15,$M106-$A$15,BE$13)))</f>
        <v>1000000000000</v>
      </c>
      <c r="BF106" s="173">
        <f ca="1">IF(OR($D106&lt;&gt;"Serviço",AND(AUTOEVENTO="Manual",$M106=$A$15),$M106&gt;(ROW(PLE.lastrow)-ROW(PLE.firstrow))),0,
           IF(OFFSET(PLE!$G$15,$M106-$A$15,BF$13)="",10^12,OFFSET(PLE!$G$15,$M106-$A$15,BF$13)))</f>
        <v>1000000000000</v>
      </c>
      <c r="BG106" s="173">
        <f ca="1">IF(OR($D106&lt;&gt;"Serviço",AND(AUTOEVENTO="Manual",$M106=$A$15),$M106&gt;(ROW(PLE.lastrow)-ROW(PLE.firstrow))),0,
           IF(OFFSET(PLE!$G$15,$M106-$A$15,BG$13)="",10^12,OFFSET(PLE!$G$15,$M106-$A$15,BG$13)))</f>
        <v>1000000000000</v>
      </c>
    </row>
    <row r="107" spans="1:59" ht="38.25" x14ac:dyDescent="0.2">
      <c r="A107" s="7" t="str">
        <f t="shared" ca="1" si="9"/>
        <v>39</v>
      </c>
      <c r="B107" s="7" t="str">
        <f ca="1">OFFSET(ORÇAMENTO!C$15,ROW(B107)-ROW(B$15),0)</f>
        <v>S</v>
      </c>
      <c r="C107" s="7" t="str">
        <f ca="1">OFFSET(ORÇAMENTO!L$15,ROW(C107)-ROW(C$15),0)</f>
        <v/>
      </c>
      <c r="D107" s="117" t="str">
        <f ca="1">OFFSET(ORÇAMENTO!N$15,ROW(D107)-ROW(D$15),0)</f>
        <v>Serviço</v>
      </c>
      <c r="E107" s="118" t="str">
        <f ca="1">OFFSET(ORÇAMENTO!O$15,ROW(E107)-ROW(E$15),0)</f>
        <v>-</v>
      </c>
      <c r="F107" s="164" t="str">
        <f ca="1">OFFSET(ORÇAMENTO!R$15,ROW(F107)-ROW(F$15),0)</f>
        <v>CABO DE COBRE FLEXÍVEL ISOLADO, 10 MM², ANTI-CHAMA 450/750 V, PARA CIRCUITOS TERMINAIS - FORNECIMENTO E INSTALAÇÃO. AF_03/2023</v>
      </c>
      <c r="G107" s="165" t="str">
        <f ca="1">IF($D107&lt;&gt;"Serviço","",OFFSET(ORÇAMENTO!S$15,ROW(G107)-ROW(G$15),0))</f>
        <v>M</v>
      </c>
      <c r="H107" s="123">
        <f ca="1">IF($D107&lt;&gt;"Serviço",0,IF(ACOMPANHAMENTO="BM",ROUND(OFFSET(ORÇAMENTO!AJ$15,ROW(H107)-ROW(H$15),0),15-13*ORÇAMENTO!$AF$7),SUMPRODUCT(($Q$1:$AA$1=1)*ROUND($Q107:$AA107,15-13*ORÇAMENTO!$AF$7))))</f>
        <v>595</v>
      </c>
      <c r="I107" s="469"/>
      <c r="J107" s="577" t="str" cm="1">
        <f t="array" aca="1" ref="J107" ca="1">IF(B107&lt;&gt;"S","",IF(AND(ACOMPANHAMENTO="PLE",AUTOEVENTO="Manual",OR(H107&gt;0,ORÇAMENTO!AC107="QUANT."),OR(K107="",M107=0,N107="")),"►",IF(AND(ACOMPANHAMENTO="PLE",ORÇAMENTO!AC107="QUANT."),"►►",IF(AND(COUNTIF($P$11:$AA$11,"▼")=0,H107&gt;0,I107=""),"◄",""))))</f>
        <v>◄</v>
      </c>
      <c r="K107" s="626"/>
      <c r="L107" s="166" t="s">
        <v>765</v>
      </c>
      <c r="M107" s="167">
        <f ca="1">IF($D107&lt;&gt;"Serviço","",
          IF(AUTOEVENTO="manual",$A107,
                IF(ISERROR(MATCH($A107,$A$15:OFFSET($A107,-1,0),0)),MAX($M$15:OFFSET(M107,-1,0))+1,
                      INDEX($M$15:OFFSET(M107,-1,0),MATCH($A107,$A$15:OFFSET($A107,-1,0),0)))))</f>
        <v>9</v>
      </c>
      <c r="N107" s="168" t="str">
        <f ca="1">IF($D107&lt;&gt;"Serviço","",
         IF(AUTOEVENTO="Manual",
                IF($A107=0,"&lt;-- defina o número do agrupador",
                       OFFSET(EVENTOS!$D$15,$A107-$A$15,0)),
                OFFSET($F$15,$A107,0)))</f>
        <v>INSTALAÇÕES ELÉTRICAS</v>
      </c>
      <c r="O107" s="169"/>
      <c r="Q107" s="169"/>
      <c r="R107" s="170"/>
      <c r="S107" s="170"/>
      <c r="T107" s="170"/>
      <c r="U107" s="170"/>
      <c r="V107" s="170"/>
      <c r="W107" s="170"/>
      <c r="X107" s="170"/>
      <c r="Y107" s="170"/>
      <c r="Z107" s="171"/>
      <c r="AB107" s="454">
        <f ca="1">IF(AND($D107="Serviço",AB$12&lt;&gt;0,$H107&gt;0,OR(AUTOEVENTO&lt;&gt;"manual",$M107&lt;&gt;$A$15)),
        IF(Import.TipoArredondamento&lt;&gt;"TransfereGOV",
              ROUND(OFFSET($P107,0,AB$13),15-13*ORÇAMENTO!$AF$7)/$H107*OFFSET(ORÇAMENTO!$X$15,ROW(AB107)-ROW(AB$15),0),
              ROUND(ROUND(OFFSET($P107,0,AB$13),15-13*ORÇAMENTO!$AF$7)*OFFSET(ORÇAMENTO!$W$15,ROW(AB107)-ROW(AB$15),0),15-13*ORÇAMENTO!$AF$11)),
         0)</f>
        <v>0</v>
      </c>
      <c r="AC107" s="454">
        <f ca="1">IF(AND($D107="Serviço",AC$12&lt;&gt;0,$H107&gt;0,OR(AUTOEVENTO&lt;&gt;"manual",$M107&lt;&gt;$A$15)),
        IF(Import.TipoArredondamento&lt;&gt;"TransfereGOV",
              ROUND(OFFSET($P107,0,AC$13),15-13*ORÇAMENTO!$AF$7)/$H107*OFFSET(ORÇAMENTO!$X$15,ROW(AC107)-ROW(AC$15),0),
              ROUND(ROUND(OFFSET($P107,0,AC$13),15-13*ORÇAMENTO!$AF$7)*OFFSET(ORÇAMENTO!$W$15,ROW(AC107)-ROW(AC$15),0),15-13*ORÇAMENTO!$AF$11)),
         0)</f>
        <v>0</v>
      </c>
      <c r="AD107" s="454">
        <f ca="1">IF(AND($D107="Serviço",AD$12&lt;&gt;0,$H107&gt;0,OR(AUTOEVENTO&lt;&gt;"manual",$M107&lt;&gt;$A$15)),
        IF(Import.TipoArredondamento&lt;&gt;"TransfereGOV",
              ROUND(OFFSET($P107,0,AD$13),15-13*ORÇAMENTO!$AF$7)/$H107*OFFSET(ORÇAMENTO!$X$15,ROW(AD107)-ROW(AD$15),0),
              ROUND(ROUND(OFFSET($P107,0,AD$13),15-13*ORÇAMENTO!$AF$7)*OFFSET(ORÇAMENTO!$W$15,ROW(AD107)-ROW(AD$15),0),15-13*ORÇAMENTO!$AF$11)),
         0)</f>
        <v>0</v>
      </c>
      <c r="AE107" s="454">
        <f ca="1">IF(AND($D107="Serviço",AE$12&lt;&gt;0,$H107&gt;0,OR(AUTOEVENTO&lt;&gt;"manual",$M107&lt;&gt;$A$15)),
        IF(Import.TipoArredondamento&lt;&gt;"TransfereGOV",
              ROUND(OFFSET($P107,0,AE$13),15-13*ORÇAMENTO!$AF$7)/$H107*OFFSET(ORÇAMENTO!$X$15,ROW(AE107)-ROW(AE$15),0),
              ROUND(ROUND(OFFSET($P107,0,AE$13),15-13*ORÇAMENTO!$AF$7)*OFFSET(ORÇAMENTO!$W$15,ROW(AE107)-ROW(AE$15),0),15-13*ORÇAMENTO!$AF$11)),
         0)</f>
        <v>0</v>
      </c>
      <c r="AF107" s="454">
        <f ca="1">IF(AND($D107="Serviço",AF$12&lt;&gt;0,$H107&gt;0,OR(AUTOEVENTO&lt;&gt;"manual",$M107&lt;&gt;$A$15)),
        IF(Import.TipoArredondamento&lt;&gt;"TransfereGOV",
              ROUND(OFFSET($P107,0,AF$13),15-13*ORÇAMENTO!$AF$7)/$H107*OFFSET(ORÇAMENTO!$X$15,ROW(AF107)-ROW(AF$15),0),
              ROUND(ROUND(OFFSET($P107,0,AF$13),15-13*ORÇAMENTO!$AF$7)*OFFSET(ORÇAMENTO!$W$15,ROW(AF107)-ROW(AF$15),0),15-13*ORÇAMENTO!$AF$11)),
         0)</f>
        <v>0</v>
      </c>
      <c r="AG107" s="454">
        <f ca="1">IF(AND($D107="Serviço",AG$12&lt;&gt;0,$H107&gt;0,OR(AUTOEVENTO&lt;&gt;"manual",$M107&lt;&gt;$A$15)),
        IF(Import.TipoArredondamento&lt;&gt;"TransfereGOV",
              ROUND(OFFSET($P107,0,AG$13),15-13*ORÇAMENTO!$AF$7)/$H107*OFFSET(ORÇAMENTO!$X$15,ROW(AG107)-ROW(AG$15),0),
              ROUND(ROUND(OFFSET($P107,0,AG$13),15-13*ORÇAMENTO!$AF$7)*OFFSET(ORÇAMENTO!$W$15,ROW(AG107)-ROW(AG$15),0),15-13*ORÇAMENTO!$AF$11)),
         0)</f>
        <v>0</v>
      </c>
      <c r="AH107" s="454">
        <f ca="1">IF(AND($D107="Serviço",AH$12&lt;&gt;0,$H107&gt;0,OR(AUTOEVENTO&lt;&gt;"manual",$M107&lt;&gt;$A$15)),
        IF(Import.TipoArredondamento&lt;&gt;"TransfereGOV",
              ROUND(OFFSET($P107,0,AH$13),15-13*ORÇAMENTO!$AF$7)/$H107*OFFSET(ORÇAMENTO!$X$15,ROW(AH107)-ROW(AH$15),0),
              ROUND(ROUND(OFFSET($P107,0,AH$13),15-13*ORÇAMENTO!$AF$7)*OFFSET(ORÇAMENTO!$W$15,ROW(AH107)-ROW(AH$15),0),15-13*ORÇAMENTO!$AF$11)),
         0)</f>
        <v>0</v>
      </c>
      <c r="AI107" s="454">
        <f ca="1">IF(AND($D107="Serviço",AI$12&lt;&gt;0,$H107&gt;0,OR(AUTOEVENTO&lt;&gt;"manual",$M107&lt;&gt;$A$15)),
        IF(Import.TipoArredondamento&lt;&gt;"TransfereGOV",
              ROUND(OFFSET($P107,0,AI$13),15-13*ORÇAMENTO!$AF$7)/$H107*OFFSET(ORÇAMENTO!$X$15,ROW(AI107)-ROW(AI$15),0),
              ROUND(ROUND(OFFSET($P107,0,AI$13),15-13*ORÇAMENTO!$AF$7)*OFFSET(ORÇAMENTO!$W$15,ROW(AI107)-ROW(AI$15),0),15-13*ORÇAMENTO!$AF$11)),
         0)</f>
        <v>0</v>
      </c>
      <c r="AJ107" s="454">
        <f ca="1">IF(AND($D107="Serviço",AJ$12&lt;&gt;0,$H107&gt;0,OR(AUTOEVENTO&lt;&gt;"manual",$M107&lt;&gt;$A$15)),
        IF(Import.TipoArredondamento&lt;&gt;"TransfereGOV",
              ROUND(OFFSET($P107,0,AJ$13),15-13*ORÇAMENTO!$AF$7)/$H107*OFFSET(ORÇAMENTO!$X$15,ROW(AJ107)-ROW(AJ$15),0),
              ROUND(ROUND(OFFSET($P107,0,AJ$13),15-13*ORÇAMENTO!$AF$7)*OFFSET(ORÇAMENTO!$W$15,ROW(AJ107)-ROW(AJ$15),0),15-13*ORÇAMENTO!$AF$11)),
         0)</f>
        <v>0</v>
      </c>
      <c r="AK107" s="454">
        <f ca="1">IF(AND($D107="Serviço",AK$12&lt;&gt;0,$H107&gt;0,OR(AUTOEVENTO&lt;&gt;"manual",$M107&lt;&gt;$A$15)),
        IF(Import.TipoArredondamento&lt;&gt;"TransfereGOV",
              ROUND(OFFSET($P107,0,AK$13),15-13*ORÇAMENTO!$AF$7)/$H107*OFFSET(ORÇAMENTO!$X$15,ROW(AK107)-ROW(AK$15),0),
              ROUND(ROUND(OFFSET($P107,0,AK$13),15-13*ORÇAMENTO!$AF$7)*OFFSET(ORÇAMENTO!$W$15,ROW(AK107)-ROW(AK$15),0),15-13*ORÇAMENTO!$AF$11)),
         0)</f>
        <v>0</v>
      </c>
      <c r="AM107" s="172">
        <f ca="1">IF(OR($D107&lt;&gt;"Serviço",AND(AUTOEVENTO="Manual",$M107=$A$15)),0,
         IF(OFFSET(CRONOPLE!$F$15,$M107-$A$15,AM$13)="",10^12,OFFSET(CRONOPLE!$F$15,$M107-$A$15,AM$13)))</f>
        <v>1000000000000</v>
      </c>
      <c r="AN107" s="172">
        <f ca="1">IF(OR($D107&lt;&gt;"Serviço",AND(AUTOEVENTO="Manual",$M107=$A$15)),0,
         IF(OFFSET(CRONOPLE!$F$15,$M107-$A$15,AN$13)="",10^12,OFFSET(CRONOPLE!$F$15,$M107-$A$15,AN$13)))</f>
        <v>1000000000000</v>
      </c>
      <c r="AO107" s="172">
        <f ca="1">IF(OR($D107&lt;&gt;"Serviço",AND(AUTOEVENTO="Manual",$M107=$A$15)),0,
         IF(OFFSET(CRONOPLE!$F$15,$M107-$A$15,AO$13)="",10^12,OFFSET(CRONOPLE!$F$15,$M107-$A$15,AO$13)))</f>
        <v>1000000000000</v>
      </c>
      <c r="AP107" s="172">
        <f ca="1">IF(OR($D107&lt;&gt;"Serviço",AND(AUTOEVENTO="Manual",$M107=$A$15)),0,
         IF(OFFSET(CRONOPLE!$F$15,$M107-$A$15,AP$13)="",10^12,OFFSET(CRONOPLE!$F$15,$M107-$A$15,AP$13)))</f>
        <v>1000000000000</v>
      </c>
      <c r="AQ107" s="172">
        <f ca="1">IF(OR($D107&lt;&gt;"Serviço",AND(AUTOEVENTO="Manual",$M107=$A$15)),0,
         IF(OFFSET(CRONOPLE!$F$15,$M107-$A$15,AQ$13)="",10^12,OFFSET(CRONOPLE!$F$15,$M107-$A$15,AQ$13)))</f>
        <v>1000000000000</v>
      </c>
      <c r="AR107" s="172">
        <f ca="1">IF(OR($D107&lt;&gt;"Serviço",AND(AUTOEVENTO="Manual",$M107=$A$15)),0,
         IF(OFFSET(CRONOPLE!$F$15,$M107-$A$15,AR$13)="",10^12,OFFSET(CRONOPLE!$F$15,$M107-$A$15,AR$13)))</f>
        <v>1000000000000</v>
      </c>
      <c r="AS107" s="172">
        <f ca="1">IF(OR($D107&lt;&gt;"Serviço",AND(AUTOEVENTO="Manual",$M107=$A$15)),0,
         IF(OFFSET(CRONOPLE!$F$15,$M107-$A$15,AS$13)="",10^12,OFFSET(CRONOPLE!$F$15,$M107-$A$15,AS$13)))</f>
        <v>1000000000000</v>
      </c>
      <c r="AT107" s="172">
        <f ca="1">IF(OR($D107&lt;&gt;"Serviço",AND(AUTOEVENTO="Manual",$M107=$A$15)),0,
         IF(OFFSET(CRONOPLE!$F$15,$M107-$A$15,AT$13)="",10^12,OFFSET(CRONOPLE!$F$15,$M107-$A$15,AT$13)))</f>
        <v>1000000000000</v>
      </c>
      <c r="AU107" s="172">
        <f ca="1">IF(OR($D107&lt;&gt;"Serviço",AND(AUTOEVENTO="Manual",$M107=$A$15)),0,
         IF(OFFSET(CRONOPLE!$F$15,$M107-$A$15,AU$13)="",10^12,OFFSET(CRONOPLE!$F$15,$M107-$A$15,AU$13)))</f>
        <v>1000000000000</v>
      </c>
      <c r="AV107" s="172">
        <f ca="1">IF(OR($D107&lt;&gt;"Serviço",AND(AUTOEVENTO="Manual",$M107=$A$15)),0,
         IF(OFFSET(CRONOPLE!$F$15,$M107-$A$15,AV$13)="",10^12,OFFSET(CRONOPLE!$F$15,$M107-$A$15,AV$13)))</f>
        <v>1000000000000</v>
      </c>
      <c r="AX107" s="173">
        <f ca="1">IF(OR($D107&lt;&gt;"Serviço",AND(AUTOEVENTO="Manual",$M107=$A$15),$M107&gt;(ROW(PLE.lastrow)-ROW(PLE.firstrow))),0,
           IF(OFFSET(PLE!$G$15,$M107-$A$15,AX$13)="",10^12,OFFSET(PLE!$G$15,$M107-$A$15,AX$13)))</f>
        <v>1000000000000</v>
      </c>
      <c r="AY107" s="173">
        <f ca="1">IF(OR($D107&lt;&gt;"Serviço",AND(AUTOEVENTO="Manual",$M107=$A$15),$M107&gt;(ROW(PLE.lastrow)-ROW(PLE.firstrow))),0,
           IF(OFFSET(PLE!$G$15,$M107-$A$15,AY$13)="",10^12,OFFSET(PLE!$G$15,$M107-$A$15,AY$13)))</f>
        <v>1000000000000</v>
      </c>
      <c r="AZ107" s="173">
        <f ca="1">IF(OR($D107&lt;&gt;"Serviço",AND(AUTOEVENTO="Manual",$M107=$A$15),$M107&gt;(ROW(PLE.lastrow)-ROW(PLE.firstrow))),0,
           IF(OFFSET(PLE!$G$15,$M107-$A$15,AZ$13)="",10^12,OFFSET(PLE!$G$15,$M107-$A$15,AZ$13)))</f>
        <v>1000000000000</v>
      </c>
      <c r="BA107" s="173">
        <f ca="1">IF(OR($D107&lt;&gt;"Serviço",AND(AUTOEVENTO="Manual",$M107=$A$15),$M107&gt;(ROW(PLE.lastrow)-ROW(PLE.firstrow))),0,
           IF(OFFSET(PLE!$G$15,$M107-$A$15,BA$13)="",10^12,OFFSET(PLE!$G$15,$M107-$A$15,BA$13)))</f>
        <v>1000000000000</v>
      </c>
      <c r="BB107" s="173">
        <f ca="1">IF(OR($D107&lt;&gt;"Serviço",AND(AUTOEVENTO="Manual",$M107=$A$15),$M107&gt;(ROW(PLE.lastrow)-ROW(PLE.firstrow))),0,
           IF(OFFSET(PLE!$G$15,$M107-$A$15,BB$13)="",10^12,OFFSET(PLE!$G$15,$M107-$A$15,BB$13)))</f>
        <v>1000000000000</v>
      </c>
      <c r="BC107" s="173">
        <f ca="1">IF(OR($D107&lt;&gt;"Serviço",AND(AUTOEVENTO="Manual",$M107=$A$15),$M107&gt;(ROW(PLE.lastrow)-ROW(PLE.firstrow))),0,
           IF(OFFSET(PLE!$G$15,$M107-$A$15,BC$13)="",10^12,OFFSET(PLE!$G$15,$M107-$A$15,BC$13)))</f>
        <v>1000000000000</v>
      </c>
      <c r="BD107" s="173">
        <f ca="1">IF(OR($D107&lt;&gt;"Serviço",AND(AUTOEVENTO="Manual",$M107=$A$15),$M107&gt;(ROW(PLE.lastrow)-ROW(PLE.firstrow))),0,
           IF(OFFSET(PLE!$G$15,$M107-$A$15,BD$13)="",10^12,OFFSET(PLE!$G$15,$M107-$A$15,BD$13)))</f>
        <v>1000000000000</v>
      </c>
      <c r="BE107" s="173">
        <f ca="1">IF(OR($D107&lt;&gt;"Serviço",AND(AUTOEVENTO="Manual",$M107=$A$15),$M107&gt;(ROW(PLE.lastrow)-ROW(PLE.firstrow))),0,
           IF(OFFSET(PLE!$G$15,$M107-$A$15,BE$13)="",10^12,OFFSET(PLE!$G$15,$M107-$A$15,BE$13)))</f>
        <v>1000000000000</v>
      </c>
      <c r="BF107" s="173">
        <f ca="1">IF(OR($D107&lt;&gt;"Serviço",AND(AUTOEVENTO="Manual",$M107=$A$15),$M107&gt;(ROW(PLE.lastrow)-ROW(PLE.firstrow))),0,
           IF(OFFSET(PLE!$G$15,$M107-$A$15,BF$13)="",10^12,OFFSET(PLE!$G$15,$M107-$A$15,BF$13)))</f>
        <v>1000000000000</v>
      </c>
      <c r="BG107" s="173">
        <f ca="1">IF(OR($D107&lt;&gt;"Serviço",AND(AUTOEVENTO="Manual",$M107=$A$15),$M107&gt;(ROW(PLE.lastrow)-ROW(PLE.firstrow))),0,
           IF(OFFSET(PLE!$G$15,$M107-$A$15,BG$13)="",10^12,OFFSET(PLE!$G$15,$M107-$A$15,BG$13)))</f>
        <v>1000000000000</v>
      </c>
    </row>
    <row r="108" spans="1:59" ht="38.25" x14ac:dyDescent="0.2">
      <c r="A108" s="7" t="str">
        <f t="shared" ca="1" si="9"/>
        <v>39</v>
      </c>
      <c r="B108" s="7" t="str">
        <f ca="1">OFFSET(ORÇAMENTO!C$15,ROW(B108)-ROW(B$15),0)</f>
        <v>S</v>
      </c>
      <c r="C108" s="7" t="str">
        <f ca="1">OFFSET(ORÇAMENTO!L$15,ROW(C108)-ROW(C$15),0)</f>
        <v/>
      </c>
      <c r="D108" s="117" t="str">
        <f ca="1">OFFSET(ORÇAMENTO!N$15,ROW(D108)-ROW(D$15),0)</f>
        <v>Serviço</v>
      </c>
      <c r="E108" s="118" t="str">
        <f ca="1">OFFSET(ORÇAMENTO!O$15,ROW(E108)-ROW(E$15),0)</f>
        <v>-</v>
      </c>
      <c r="F108" s="164" t="str">
        <f ca="1">OFFSET(ORÇAMENTO!R$15,ROW(F108)-ROW(F$15),0)</f>
        <v>CABO DE COBRE FLEXÍVEL ISOLADO, 2,5 MM², ANTI-CHAMA 450/750 V, PARA CIRCUITOS TERMINAIS - FORNECIMENTO E INSTALAÇÃO. AF_03/2023</v>
      </c>
      <c r="G108" s="165" t="str">
        <f ca="1">IF($D108&lt;&gt;"Serviço","",OFFSET(ORÇAMENTO!S$15,ROW(G108)-ROW(G$15),0))</f>
        <v>M</v>
      </c>
      <c r="H108" s="123">
        <f ca="1">IF($D108&lt;&gt;"Serviço",0,IF(ACOMPANHAMENTO="BM",ROUND(OFFSET(ORÇAMENTO!AJ$15,ROW(H108)-ROW(H$15),0),15-13*ORÇAMENTO!$AF$7),SUMPRODUCT(($Q$1:$AA$1=1)*ROUND($Q108:$AA108,15-13*ORÇAMENTO!$AF$7))))</f>
        <v>3576.4</v>
      </c>
      <c r="I108" s="469"/>
      <c r="J108" s="577" t="str" cm="1">
        <f t="array" aca="1" ref="J108" ca="1">IF(B108&lt;&gt;"S","",IF(AND(ACOMPANHAMENTO="PLE",AUTOEVENTO="Manual",OR(H108&gt;0,ORÇAMENTO!AC108="QUANT."),OR(K108="",M108=0,N108="")),"►",IF(AND(ACOMPANHAMENTO="PLE",ORÇAMENTO!AC108="QUANT."),"►►",IF(AND(COUNTIF($P$11:$AA$11,"▼")=0,H108&gt;0,I108=""),"◄",""))))</f>
        <v>◄</v>
      </c>
      <c r="K108" s="626"/>
      <c r="L108" s="166" t="s">
        <v>765</v>
      </c>
      <c r="M108" s="167">
        <f ca="1">IF($D108&lt;&gt;"Serviço","",
          IF(AUTOEVENTO="manual",$A108,
                IF(ISERROR(MATCH($A108,$A$15:OFFSET($A108,-1,0),0)),MAX($M$15:OFFSET(M108,-1,0))+1,
                      INDEX($M$15:OFFSET(M108,-1,0),MATCH($A108,$A$15:OFFSET($A108,-1,0),0)))))</f>
        <v>9</v>
      </c>
      <c r="N108" s="168" t="str">
        <f ca="1">IF($D108&lt;&gt;"Serviço","",
         IF(AUTOEVENTO="Manual",
                IF($A108=0,"&lt;-- defina o número do agrupador",
                       OFFSET(EVENTOS!$D$15,$A108-$A$15,0)),
                OFFSET($F$15,$A108,0)))</f>
        <v>INSTALAÇÕES ELÉTRICAS</v>
      </c>
      <c r="O108" s="169"/>
      <c r="Q108" s="169"/>
      <c r="R108" s="170"/>
      <c r="S108" s="170"/>
      <c r="T108" s="170"/>
      <c r="U108" s="170"/>
      <c r="V108" s="170"/>
      <c r="W108" s="170"/>
      <c r="X108" s="170"/>
      <c r="Y108" s="170"/>
      <c r="Z108" s="171"/>
      <c r="AB108" s="454">
        <f ca="1">IF(AND($D108="Serviço",AB$12&lt;&gt;0,$H108&gt;0,OR(AUTOEVENTO&lt;&gt;"manual",$M108&lt;&gt;$A$15)),
        IF(Import.TipoArredondamento&lt;&gt;"TransfereGOV",
              ROUND(OFFSET($P108,0,AB$13),15-13*ORÇAMENTO!$AF$7)/$H108*OFFSET(ORÇAMENTO!$X$15,ROW(AB108)-ROW(AB$15),0),
              ROUND(ROUND(OFFSET($P108,0,AB$13),15-13*ORÇAMENTO!$AF$7)*OFFSET(ORÇAMENTO!$W$15,ROW(AB108)-ROW(AB$15),0),15-13*ORÇAMENTO!$AF$11)),
         0)</f>
        <v>0</v>
      </c>
      <c r="AC108" s="454">
        <f ca="1">IF(AND($D108="Serviço",AC$12&lt;&gt;0,$H108&gt;0,OR(AUTOEVENTO&lt;&gt;"manual",$M108&lt;&gt;$A$15)),
        IF(Import.TipoArredondamento&lt;&gt;"TransfereGOV",
              ROUND(OFFSET($P108,0,AC$13),15-13*ORÇAMENTO!$AF$7)/$H108*OFFSET(ORÇAMENTO!$X$15,ROW(AC108)-ROW(AC$15),0),
              ROUND(ROUND(OFFSET($P108,0,AC$13),15-13*ORÇAMENTO!$AF$7)*OFFSET(ORÇAMENTO!$W$15,ROW(AC108)-ROW(AC$15),0),15-13*ORÇAMENTO!$AF$11)),
         0)</f>
        <v>0</v>
      </c>
      <c r="AD108" s="454">
        <f ca="1">IF(AND($D108="Serviço",AD$12&lt;&gt;0,$H108&gt;0,OR(AUTOEVENTO&lt;&gt;"manual",$M108&lt;&gt;$A$15)),
        IF(Import.TipoArredondamento&lt;&gt;"TransfereGOV",
              ROUND(OFFSET($P108,0,AD$13),15-13*ORÇAMENTO!$AF$7)/$H108*OFFSET(ORÇAMENTO!$X$15,ROW(AD108)-ROW(AD$15),0),
              ROUND(ROUND(OFFSET($P108,0,AD$13),15-13*ORÇAMENTO!$AF$7)*OFFSET(ORÇAMENTO!$W$15,ROW(AD108)-ROW(AD$15),0),15-13*ORÇAMENTO!$AF$11)),
         0)</f>
        <v>0</v>
      </c>
      <c r="AE108" s="454">
        <f ca="1">IF(AND($D108="Serviço",AE$12&lt;&gt;0,$H108&gt;0,OR(AUTOEVENTO&lt;&gt;"manual",$M108&lt;&gt;$A$15)),
        IF(Import.TipoArredondamento&lt;&gt;"TransfereGOV",
              ROUND(OFFSET($P108,0,AE$13),15-13*ORÇAMENTO!$AF$7)/$H108*OFFSET(ORÇAMENTO!$X$15,ROW(AE108)-ROW(AE$15),0),
              ROUND(ROUND(OFFSET($P108,0,AE$13),15-13*ORÇAMENTO!$AF$7)*OFFSET(ORÇAMENTO!$W$15,ROW(AE108)-ROW(AE$15),0),15-13*ORÇAMENTO!$AF$11)),
         0)</f>
        <v>0</v>
      </c>
      <c r="AF108" s="454">
        <f ca="1">IF(AND($D108="Serviço",AF$12&lt;&gt;0,$H108&gt;0,OR(AUTOEVENTO&lt;&gt;"manual",$M108&lt;&gt;$A$15)),
        IF(Import.TipoArredondamento&lt;&gt;"TransfereGOV",
              ROUND(OFFSET($P108,0,AF$13),15-13*ORÇAMENTO!$AF$7)/$H108*OFFSET(ORÇAMENTO!$X$15,ROW(AF108)-ROW(AF$15),0),
              ROUND(ROUND(OFFSET($P108,0,AF$13),15-13*ORÇAMENTO!$AF$7)*OFFSET(ORÇAMENTO!$W$15,ROW(AF108)-ROW(AF$15),0),15-13*ORÇAMENTO!$AF$11)),
         0)</f>
        <v>0</v>
      </c>
      <c r="AG108" s="454">
        <f ca="1">IF(AND($D108="Serviço",AG$12&lt;&gt;0,$H108&gt;0,OR(AUTOEVENTO&lt;&gt;"manual",$M108&lt;&gt;$A$15)),
        IF(Import.TipoArredondamento&lt;&gt;"TransfereGOV",
              ROUND(OFFSET($P108,0,AG$13),15-13*ORÇAMENTO!$AF$7)/$H108*OFFSET(ORÇAMENTO!$X$15,ROW(AG108)-ROW(AG$15),0),
              ROUND(ROUND(OFFSET($P108,0,AG$13),15-13*ORÇAMENTO!$AF$7)*OFFSET(ORÇAMENTO!$W$15,ROW(AG108)-ROW(AG$15),0),15-13*ORÇAMENTO!$AF$11)),
         0)</f>
        <v>0</v>
      </c>
      <c r="AH108" s="454">
        <f ca="1">IF(AND($D108="Serviço",AH$12&lt;&gt;0,$H108&gt;0,OR(AUTOEVENTO&lt;&gt;"manual",$M108&lt;&gt;$A$15)),
        IF(Import.TipoArredondamento&lt;&gt;"TransfereGOV",
              ROUND(OFFSET($P108,0,AH$13),15-13*ORÇAMENTO!$AF$7)/$H108*OFFSET(ORÇAMENTO!$X$15,ROW(AH108)-ROW(AH$15),0),
              ROUND(ROUND(OFFSET($P108,0,AH$13),15-13*ORÇAMENTO!$AF$7)*OFFSET(ORÇAMENTO!$W$15,ROW(AH108)-ROW(AH$15),0),15-13*ORÇAMENTO!$AF$11)),
         0)</f>
        <v>0</v>
      </c>
      <c r="AI108" s="454">
        <f ca="1">IF(AND($D108="Serviço",AI$12&lt;&gt;0,$H108&gt;0,OR(AUTOEVENTO&lt;&gt;"manual",$M108&lt;&gt;$A$15)),
        IF(Import.TipoArredondamento&lt;&gt;"TransfereGOV",
              ROUND(OFFSET($P108,0,AI$13),15-13*ORÇAMENTO!$AF$7)/$H108*OFFSET(ORÇAMENTO!$X$15,ROW(AI108)-ROW(AI$15),0),
              ROUND(ROUND(OFFSET($P108,0,AI$13),15-13*ORÇAMENTO!$AF$7)*OFFSET(ORÇAMENTO!$W$15,ROW(AI108)-ROW(AI$15),0),15-13*ORÇAMENTO!$AF$11)),
         0)</f>
        <v>0</v>
      </c>
      <c r="AJ108" s="454">
        <f ca="1">IF(AND($D108="Serviço",AJ$12&lt;&gt;0,$H108&gt;0,OR(AUTOEVENTO&lt;&gt;"manual",$M108&lt;&gt;$A$15)),
        IF(Import.TipoArredondamento&lt;&gt;"TransfereGOV",
              ROUND(OFFSET($P108,0,AJ$13),15-13*ORÇAMENTO!$AF$7)/$H108*OFFSET(ORÇAMENTO!$X$15,ROW(AJ108)-ROW(AJ$15),0),
              ROUND(ROUND(OFFSET($P108,0,AJ$13),15-13*ORÇAMENTO!$AF$7)*OFFSET(ORÇAMENTO!$W$15,ROW(AJ108)-ROW(AJ$15),0),15-13*ORÇAMENTO!$AF$11)),
         0)</f>
        <v>0</v>
      </c>
      <c r="AK108" s="454">
        <f ca="1">IF(AND($D108="Serviço",AK$12&lt;&gt;0,$H108&gt;0,OR(AUTOEVENTO&lt;&gt;"manual",$M108&lt;&gt;$A$15)),
        IF(Import.TipoArredondamento&lt;&gt;"TransfereGOV",
              ROUND(OFFSET($P108,0,AK$13),15-13*ORÇAMENTO!$AF$7)/$H108*OFFSET(ORÇAMENTO!$X$15,ROW(AK108)-ROW(AK$15),0),
              ROUND(ROUND(OFFSET($P108,0,AK$13),15-13*ORÇAMENTO!$AF$7)*OFFSET(ORÇAMENTO!$W$15,ROW(AK108)-ROW(AK$15),0),15-13*ORÇAMENTO!$AF$11)),
         0)</f>
        <v>0</v>
      </c>
      <c r="AM108" s="172">
        <f ca="1">IF(OR($D108&lt;&gt;"Serviço",AND(AUTOEVENTO="Manual",$M108=$A$15)),0,
         IF(OFFSET(CRONOPLE!$F$15,$M108-$A$15,AM$13)="",10^12,OFFSET(CRONOPLE!$F$15,$M108-$A$15,AM$13)))</f>
        <v>1000000000000</v>
      </c>
      <c r="AN108" s="172">
        <f ca="1">IF(OR($D108&lt;&gt;"Serviço",AND(AUTOEVENTO="Manual",$M108=$A$15)),0,
         IF(OFFSET(CRONOPLE!$F$15,$M108-$A$15,AN$13)="",10^12,OFFSET(CRONOPLE!$F$15,$M108-$A$15,AN$13)))</f>
        <v>1000000000000</v>
      </c>
      <c r="AO108" s="172">
        <f ca="1">IF(OR($D108&lt;&gt;"Serviço",AND(AUTOEVENTO="Manual",$M108=$A$15)),0,
         IF(OFFSET(CRONOPLE!$F$15,$M108-$A$15,AO$13)="",10^12,OFFSET(CRONOPLE!$F$15,$M108-$A$15,AO$13)))</f>
        <v>1000000000000</v>
      </c>
      <c r="AP108" s="172">
        <f ca="1">IF(OR($D108&lt;&gt;"Serviço",AND(AUTOEVENTO="Manual",$M108=$A$15)),0,
         IF(OFFSET(CRONOPLE!$F$15,$M108-$A$15,AP$13)="",10^12,OFFSET(CRONOPLE!$F$15,$M108-$A$15,AP$13)))</f>
        <v>1000000000000</v>
      </c>
      <c r="AQ108" s="172">
        <f ca="1">IF(OR($D108&lt;&gt;"Serviço",AND(AUTOEVENTO="Manual",$M108=$A$15)),0,
         IF(OFFSET(CRONOPLE!$F$15,$M108-$A$15,AQ$13)="",10^12,OFFSET(CRONOPLE!$F$15,$M108-$A$15,AQ$13)))</f>
        <v>1000000000000</v>
      </c>
      <c r="AR108" s="172">
        <f ca="1">IF(OR($D108&lt;&gt;"Serviço",AND(AUTOEVENTO="Manual",$M108=$A$15)),0,
         IF(OFFSET(CRONOPLE!$F$15,$M108-$A$15,AR$13)="",10^12,OFFSET(CRONOPLE!$F$15,$M108-$A$15,AR$13)))</f>
        <v>1000000000000</v>
      </c>
      <c r="AS108" s="172">
        <f ca="1">IF(OR($D108&lt;&gt;"Serviço",AND(AUTOEVENTO="Manual",$M108=$A$15)),0,
         IF(OFFSET(CRONOPLE!$F$15,$M108-$A$15,AS$13)="",10^12,OFFSET(CRONOPLE!$F$15,$M108-$A$15,AS$13)))</f>
        <v>1000000000000</v>
      </c>
      <c r="AT108" s="172">
        <f ca="1">IF(OR($D108&lt;&gt;"Serviço",AND(AUTOEVENTO="Manual",$M108=$A$15)),0,
         IF(OFFSET(CRONOPLE!$F$15,$M108-$A$15,AT$13)="",10^12,OFFSET(CRONOPLE!$F$15,$M108-$A$15,AT$13)))</f>
        <v>1000000000000</v>
      </c>
      <c r="AU108" s="172">
        <f ca="1">IF(OR($D108&lt;&gt;"Serviço",AND(AUTOEVENTO="Manual",$M108=$A$15)),0,
         IF(OFFSET(CRONOPLE!$F$15,$M108-$A$15,AU$13)="",10^12,OFFSET(CRONOPLE!$F$15,$M108-$A$15,AU$13)))</f>
        <v>1000000000000</v>
      </c>
      <c r="AV108" s="172">
        <f ca="1">IF(OR($D108&lt;&gt;"Serviço",AND(AUTOEVENTO="Manual",$M108=$A$15)),0,
         IF(OFFSET(CRONOPLE!$F$15,$M108-$A$15,AV$13)="",10^12,OFFSET(CRONOPLE!$F$15,$M108-$A$15,AV$13)))</f>
        <v>1000000000000</v>
      </c>
      <c r="AX108" s="173">
        <f ca="1">IF(OR($D108&lt;&gt;"Serviço",AND(AUTOEVENTO="Manual",$M108=$A$15),$M108&gt;(ROW(PLE.lastrow)-ROW(PLE.firstrow))),0,
           IF(OFFSET(PLE!$G$15,$M108-$A$15,AX$13)="",10^12,OFFSET(PLE!$G$15,$M108-$A$15,AX$13)))</f>
        <v>1000000000000</v>
      </c>
      <c r="AY108" s="173">
        <f ca="1">IF(OR($D108&lt;&gt;"Serviço",AND(AUTOEVENTO="Manual",$M108=$A$15),$M108&gt;(ROW(PLE.lastrow)-ROW(PLE.firstrow))),0,
           IF(OFFSET(PLE!$G$15,$M108-$A$15,AY$13)="",10^12,OFFSET(PLE!$G$15,$M108-$A$15,AY$13)))</f>
        <v>1000000000000</v>
      </c>
      <c r="AZ108" s="173">
        <f ca="1">IF(OR($D108&lt;&gt;"Serviço",AND(AUTOEVENTO="Manual",$M108=$A$15),$M108&gt;(ROW(PLE.lastrow)-ROW(PLE.firstrow))),0,
           IF(OFFSET(PLE!$G$15,$M108-$A$15,AZ$13)="",10^12,OFFSET(PLE!$G$15,$M108-$A$15,AZ$13)))</f>
        <v>1000000000000</v>
      </c>
      <c r="BA108" s="173">
        <f ca="1">IF(OR($D108&lt;&gt;"Serviço",AND(AUTOEVENTO="Manual",$M108=$A$15),$M108&gt;(ROW(PLE.lastrow)-ROW(PLE.firstrow))),0,
           IF(OFFSET(PLE!$G$15,$M108-$A$15,BA$13)="",10^12,OFFSET(PLE!$G$15,$M108-$A$15,BA$13)))</f>
        <v>1000000000000</v>
      </c>
      <c r="BB108" s="173">
        <f ca="1">IF(OR($D108&lt;&gt;"Serviço",AND(AUTOEVENTO="Manual",$M108=$A$15),$M108&gt;(ROW(PLE.lastrow)-ROW(PLE.firstrow))),0,
           IF(OFFSET(PLE!$G$15,$M108-$A$15,BB$13)="",10^12,OFFSET(PLE!$G$15,$M108-$A$15,BB$13)))</f>
        <v>1000000000000</v>
      </c>
      <c r="BC108" s="173">
        <f ca="1">IF(OR($D108&lt;&gt;"Serviço",AND(AUTOEVENTO="Manual",$M108=$A$15),$M108&gt;(ROW(PLE.lastrow)-ROW(PLE.firstrow))),0,
           IF(OFFSET(PLE!$G$15,$M108-$A$15,BC$13)="",10^12,OFFSET(PLE!$G$15,$M108-$A$15,BC$13)))</f>
        <v>1000000000000</v>
      </c>
      <c r="BD108" s="173">
        <f ca="1">IF(OR($D108&lt;&gt;"Serviço",AND(AUTOEVENTO="Manual",$M108=$A$15),$M108&gt;(ROW(PLE.lastrow)-ROW(PLE.firstrow))),0,
           IF(OFFSET(PLE!$G$15,$M108-$A$15,BD$13)="",10^12,OFFSET(PLE!$G$15,$M108-$A$15,BD$13)))</f>
        <v>1000000000000</v>
      </c>
      <c r="BE108" s="173">
        <f ca="1">IF(OR($D108&lt;&gt;"Serviço",AND(AUTOEVENTO="Manual",$M108=$A$15),$M108&gt;(ROW(PLE.lastrow)-ROW(PLE.firstrow))),0,
           IF(OFFSET(PLE!$G$15,$M108-$A$15,BE$13)="",10^12,OFFSET(PLE!$G$15,$M108-$A$15,BE$13)))</f>
        <v>1000000000000</v>
      </c>
      <c r="BF108" s="173">
        <f ca="1">IF(OR($D108&lt;&gt;"Serviço",AND(AUTOEVENTO="Manual",$M108=$A$15),$M108&gt;(ROW(PLE.lastrow)-ROW(PLE.firstrow))),0,
           IF(OFFSET(PLE!$G$15,$M108-$A$15,BF$13)="",10^12,OFFSET(PLE!$G$15,$M108-$A$15,BF$13)))</f>
        <v>1000000000000</v>
      </c>
      <c r="BG108" s="173">
        <f ca="1">IF(OR($D108&lt;&gt;"Serviço",AND(AUTOEVENTO="Manual",$M108=$A$15),$M108&gt;(ROW(PLE.lastrow)-ROW(PLE.firstrow))),0,
           IF(OFFSET(PLE!$G$15,$M108-$A$15,BG$13)="",10^12,OFFSET(PLE!$G$15,$M108-$A$15,BG$13)))</f>
        <v>1000000000000</v>
      </c>
    </row>
    <row r="109" spans="1:59" ht="38.25" x14ac:dyDescent="0.2">
      <c r="A109" s="7" t="str">
        <f t="shared" ca="1" si="9"/>
        <v>39</v>
      </c>
      <c r="B109" s="7" t="str">
        <f ca="1">OFFSET(ORÇAMENTO!C$15,ROW(B109)-ROW(B$15),0)</f>
        <v>S</v>
      </c>
      <c r="C109" s="7" t="str">
        <f ca="1">OFFSET(ORÇAMENTO!L$15,ROW(C109)-ROW(C$15),0)</f>
        <v/>
      </c>
      <c r="D109" s="117" t="str">
        <f ca="1">OFFSET(ORÇAMENTO!N$15,ROW(D109)-ROW(D$15),0)</f>
        <v>Serviço</v>
      </c>
      <c r="E109" s="118" t="str">
        <f ca="1">OFFSET(ORÇAMENTO!O$15,ROW(E109)-ROW(E$15),0)</f>
        <v>-</v>
      </c>
      <c r="F109" s="164" t="str">
        <f ca="1">OFFSET(ORÇAMENTO!R$15,ROW(F109)-ROW(F$15),0)</f>
        <v>CABO DE COBRE FLEXÍVEL ISOLADO, 4 MM², ANTI-CHAMA 450/750 V, PARA CIRCUITOS TERMINAIS - FORNECIMENTO E INSTALAÇÃO. AF_03/2023</v>
      </c>
      <c r="G109" s="165" t="str">
        <f ca="1">IF($D109&lt;&gt;"Serviço","",OFFSET(ORÇAMENTO!S$15,ROW(G109)-ROW(G$15),0))</f>
        <v>M</v>
      </c>
      <c r="H109" s="123">
        <f ca="1">IF($D109&lt;&gt;"Serviço",0,IF(ACOMPANHAMENTO="BM",ROUND(OFFSET(ORÇAMENTO!AJ$15,ROW(H109)-ROW(H$15),0),15-13*ORÇAMENTO!$AF$7),SUMPRODUCT(($Q$1:$AA$1=1)*ROUND($Q109:$AA109,15-13*ORÇAMENTO!$AF$7))))</f>
        <v>1900</v>
      </c>
      <c r="I109" s="469"/>
      <c r="J109" s="577" t="str" cm="1">
        <f t="array" aca="1" ref="J109" ca="1">IF(B109&lt;&gt;"S","",IF(AND(ACOMPANHAMENTO="PLE",AUTOEVENTO="Manual",OR(H109&gt;0,ORÇAMENTO!AC109="QUANT."),OR(K109="",M109=0,N109="")),"►",IF(AND(ACOMPANHAMENTO="PLE",ORÇAMENTO!AC109="QUANT."),"►►",IF(AND(COUNTIF($P$11:$AA$11,"▼")=0,H109&gt;0,I109=""),"◄",""))))</f>
        <v>◄</v>
      </c>
      <c r="K109" s="626"/>
      <c r="L109" s="166" t="s">
        <v>765</v>
      </c>
      <c r="M109" s="167">
        <f ca="1">IF($D109&lt;&gt;"Serviço","",
          IF(AUTOEVENTO="manual",$A109,
                IF(ISERROR(MATCH($A109,$A$15:OFFSET($A109,-1,0),0)),MAX($M$15:OFFSET(M109,-1,0))+1,
                      INDEX($M$15:OFFSET(M109,-1,0),MATCH($A109,$A$15:OFFSET($A109,-1,0),0)))))</f>
        <v>9</v>
      </c>
      <c r="N109" s="168" t="str">
        <f ca="1">IF($D109&lt;&gt;"Serviço","",
         IF(AUTOEVENTO="Manual",
                IF($A109=0,"&lt;-- defina o número do agrupador",
                       OFFSET(EVENTOS!$D$15,$A109-$A$15,0)),
                OFFSET($F$15,$A109,0)))</f>
        <v>INSTALAÇÕES ELÉTRICAS</v>
      </c>
      <c r="O109" s="169"/>
      <c r="Q109" s="169"/>
      <c r="R109" s="170"/>
      <c r="S109" s="170"/>
      <c r="T109" s="170"/>
      <c r="U109" s="170"/>
      <c r="V109" s="170"/>
      <c r="W109" s="170"/>
      <c r="X109" s="170"/>
      <c r="Y109" s="170"/>
      <c r="Z109" s="171"/>
      <c r="AB109" s="454">
        <f ca="1">IF(AND($D109="Serviço",AB$12&lt;&gt;0,$H109&gt;0,OR(AUTOEVENTO&lt;&gt;"manual",$M109&lt;&gt;$A$15)),
        IF(Import.TipoArredondamento&lt;&gt;"TransfereGOV",
              ROUND(OFFSET($P109,0,AB$13),15-13*ORÇAMENTO!$AF$7)/$H109*OFFSET(ORÇAMENTO!$X$15,ROW(AB109)-ROW(AB$15),0),
              ROUND(ROUND(OFFSET($P109,0,AB$13),15-13*ORÇAMENTO!$AF$7)*OFFSET(ORÇAMENTO!$W$15,ROW(AB109)-ROW(AB$15),0),15-13*ORÇAMENTO!$AF$11)),
         0)</f>
        <v>0</v>
      </c>
      <c r="AC109" s="454">
        <f ca="1">IF(AND($D109="Serviço",AC$12&lt;&gt;0,$H109&gt;0,OR(AUTOEVENTO&lt;&gt;"manual",$M109&lt;&gt;$A$15)),
        IF(Import.TipoArredondamento&lt;&gt;"TransfereGOV",
              ROUND(OFFSET($P109,0,AC$13),15-13*ORÇAMENTO!$AF$7)/$H109*OFFSET(ORÇAMENTO!$X$15,ROW(AC109)-ROW(AC$15),0),
              ROUND(ROUND(OFFSET($P109,0,AC$13),15-13*ORÇAMENTO!$AF$7)*OFFSET(ORÇAMENTO!$W$15,ROW(AC109)-ROW(AC$15),0),15-13*ORÇAMENTO!$AF$11)),
         0)</f>
        <v>0</v>
      </c>
      <c r="AD109" s="454">
        <f ca="1">IF(AND($D109="Serviço",AD$12&lt;&gt;0,$H109&gt;0,OR(AUTOEVENTO&lt;&gt;"manual",$M109&lt;&gt;$A$15)),
        IF(Import.TipoArredondamento&lt;&gt;"TransfereGOV",
              ROUND(OFFSET($P109,0,AD$13),15-13*ORÇAMENTO!$AF$7)/$H109*OFFSET(ORÇAMENTO!$X$15,ROW(AD109)-ROW(AD$15),0),
              ROUND(ROUND(OFFSET($P109,0,AD$13),15-13*ORÇAMENTO!$AF$7)*OFFSET(ORÇAMENTO!$W$15,ROW(AD109)-ROW(AD$15),0),15-13*ORÇAMENTO!$AF$11)),
         0)</f>
        <v>0</v>
      </c>
      <c r="AE109" s="454">
        <f ca="1">IF(AND($D109="Serviço",AE$12&lt;&gt;0,$H109&gt;0,OR(AUTOEVENTO&lt;&gt;"manual",$M109&lt;&gt;$A$15)),
        IF(Import.TipoArredondamento&lt;&gt;"TransfereGOV",
              ROUND(OFFSET($P109,0,AE$13),15-13*ORÇAMENTO!$AF$7)/$H109*OFFSET(ORÇAMENTO!$X$15,ROW(AE109)-ROW(AE$15),0),
              ROUND(ROUND(OFFSET($P109,0,AE$13),15-13*ORÇAMENTO!$AF$7)*OFFSET(ORÇAMENTO!$W$15,ROW(AE109)-ROW(AE$15),0),15-13*ORÇAMENTO!$AF$11)),
         0)</f>
        <v>0</v>
      </c>
      <c r="AF109" s="454">
        <f ca="1">IF(AND($D109="Serviço",AF$12&lt;&gt;0,$H109&gt;0,OR(AUTOEVENTO&lt;&gt;"manual",$M109&lt;&gt;$A$15)),
        IF(Import.TipoArredondamento&lt;&gt;"TransfereGOV",
              ROUND(OFFSET($P109,0,AF$13),15-13*ORÇAMENTO!$AF$7)/$H109*OFFSET(ORÇAMENTO!$X$15,ROW(AF109)-ROW(AF$15),0),
              ROUND(ROUND(OFFSET($P109,0,AF$13),15-13*ORÇAMENTO!$AF$7)*OFFSET(ORÇAMENTO!$W$15,ROW(AF109)-ROW(AF$15),0),15-13*ORÇAMENTO!$AF$11)),
         0)</f>
        <v>0</v>
      </c>
      <c r="AG109" s="454">
        <f ca="1">IF(AND($D109="Serviço",AG$12&lt;&gt;0,$H109&gt;0,OR(AUTOEVENTO&lt;&gt;"manual",$M109&lt;&gt;$A$15)),
        IF(Import.TipoArredondamento&lt;&gt;"TransfereGOV",
              ROUND(OFFSET($P109,0,AG$13),15-13*ORÇAMENTO!$AF$7)/$H109*OFFSET(ORÇAMENTO!$X$15,ROW(AG109)-ROW(AG$15),0),
              ROUND(ROUND(OFFSET($P109,0,AG$13),15-13*ORÇAMENTO!$AF$7)*OFFSET(ORÇAMENTO!$W$15,ROW(AG109)-ROW(AG$15),0),15-13*ORÇAMENTO!$AF$11)),
         0)</f>
        <v>0</v>
      </c>
      <c r="AH109" s="454">
        <f ca="1">IF(AND($D109="Serviço",AH$12&lt;&gt;0,$H109&gt;0,OR(AUTOEVENTO&lt;&gt;"manual",$M109&lt;&gt;$A$15)),
        IF(Import.TipoArredondamento&lt;&gt;"TransfereGOV",
              ROUND(OFFSET($P109,0,AH$13),15-13*ORÇAMENTO!$AF$7)/$H109*OFFSET(ORÇAMENTO!$X$15,ROW(AH109)-ROW(AH$15),0),
              ROUND(ROUND(OFFSET($P109,0,AH$13),15-13*ORÇAMENTO!$AF$7)*OFFSET(ORÇAMENTO!$W$15,ROW(AH109)-ROW(AH$15),0),15-13*ORÇAMENTO!$AF$11)),
         0)</f>
        <v>0</v>
      </c>
      <c r="AI109" s="454">
        <f ca="1">IF(AND($D109="Serviço",AI$12&lt;&gt;0,$H109&gt;0,OR(AUTOEVENTO&lt;&gt;"manual",$M109&lt;&gt;$A$15)),
        IF(Import.TipoArredondamento&lt;&gt;"TransfereGOV",
              ROUND(OFFSET($P109,0,AI$13),15-13*ORÇAMENTO!$AF$7)/$H109*OFFSET(ORÇAMENTO!$X$15,ROW(AI109)-ROW(AI$15),0),
              ROUND(ROUND(OFFSET($P109,0,AI$13),15-13*ORÇAMENTO!$AF$7)*OFFSET(ORÇAMENTO!$W$15,ROW(AI109)-ROW(AI$15),0),15-13*ORÇAMENTO!$AF$11)),
         0)</f>
        <v>0</v>
      </c>
      <c r="AJ109" s="454">
        <f ca="1">IF(AND($D109="Serviço",AJ$12&lt;&gt;0,$H109&gt;0,OR(AUTOEVENTO&lt;&gt;"manual",$M109&lt;&gt;$A$15)),
        IF(Import.TipoArredondamento&lt;&gt;"TransfereGOV",
              ROUND(OFFSET($P109,0,AJ$13),15-13*ORÇAMENTO!$AF$7)/$H109*OFFSET(ORÇAMENTO!$X$15,ROW(AJ109)-ROW(AJ$15),0),
              ROUND(ROUND(OFFSET($P109,0,AJ$13),15-13*ORÇAMENTO!$AF$7)*OFFSET(ORÇAMENTO!$W$15,ROW(AJ109)-ROW(AJ$15),0),15-13*ORÇAMENTO!$AF$11)),
         0)</f>
        <v>0</v>
      </c>
      <c r="AK109" s="454">
        <f ca="1">IF(AND($D109="Serviço",AK$12&lt;&gt;0,$H109&gt;0,OR(AUTOEVENTO&lt;&gt;"manual",$M109&lt;&gt;$A$15)),
        IF(Import.TipoArredondamento&lt;&gt;"TransfereGOV",
              ROUND(OFFSET($P109,0,AK$13),15-13*ORÇAMENTO!$AF$7)/$H109*OFFSET(ORÇAMENTO!$X$15,ROW(AK109)-ROW(AK$15),0),
              ROUND(ROUND(OFFSET($P109,0,AK$13),15-13*ORÇAMENTO!$AF$7)*OFFSET(ORÇAMENTO!$W$15,ROW(AK109)-ROW(AK$15),0),15-13*ORÇAMENTO!$AF$11)),
         0)</f>
        <v>0</v>
      </c>
      <c r="AM109" s="172">
        <f ca="1">IF(OR($D109&lt;&gt;"Serviço",AND(AUTOEVENTO="Manual",$M109=$A$15)),0,
         IF(OFFSET(CRONOPLE!$F$15,$M109-$A$15,AM$13)="",10^12,OFFSET(CRONOPLE!$F$15,$M109-$A$15,AM$13)))</f>
        <v>1000000000000</v>
      </c>
      <c r="AN109" s="172">
        <f ca="1">IF(OR($D109&lt;&gt;"Serviço",AND(AUTOEVENTO="Manual",$M109=$A$15)),0,
         IF(OFFSET(CRONOPLE!$F$15,$M109-$A$15,AN$13)="",10^12,OFFSET(CRONOPLE!$F$15,$M109-$A$15,AN$13)))</f>
        <v>1000000000000</v>
      </c>
      <c r="AO109" s="172">
        <f ca="1">IF(OR($D109&lt;&gt;"Serviço",AND(AUTOEVENTO="Manual",$M109=$A$15)),0,
         IF(OFFSET(CRONOPLE!$F$15,$M109-$A$15,AO$13)="",10^12,OFFSET(CRONOPLE!$F$15,$M109-$A$15,AO$13)))</f>
        <v>1000000000000</v>
      </c>
      <c r="AP109" s="172">
        <f ca="1">IF(OR($D109&lt;&gt;"Serviço",AND(AUTOEVENTO="Manual",$M109=$A$15)),0,
         IF(OFFSET(CRONOPLE!$F$15,$M109-$A$15,AP$13)="",10^12,OFFSET(CRONOPLE!$F$15,$M109-$A$15,AP$13)))</f>
        <v>1000000000000</v>
      </c>
      <c r="AQ109" s="172">
        <f ca="1">IF(OR($D109&lt;&gt;"Serviço",AND(AUTOEVENTO="Manual",$M109=$A$15)),0,
         IF(OFFSET(CRONOPLE!$F$15,$M109-$A$15,AQ$13)="",10^12,OFFSET(CRONOPLE!$F$15,$M109-$A$15,AQ$13)))</f>
        <v>1000000000000</v>
      </c>
      <c r="AR109" s="172">
        <f ca="1">IF(OR($D109&lt;&gt;"Serviço",AND(AUTOEVENTO="Manual",$M109=$A$15)),0,
         IF(OFFSET(CRONOPLE!$F$15,$M109-$A$15,AR$13)="",10^12,OFFSET(CRONOPLE!$F$15,$M109-$A$15,AR$13)))</f>
        <v>1000000000000</v>
      </c>
      <c r="AS109" s="172">
        <f ca="1">IF(OR($D109&lt;&gt;"Serviço",AND(AUTOEVENTO="Manual",$M109=$A$15)),0,
         IF(OFFSET(CRONOPLE!$F$15,$M109-$A$15,AS$13)="",10^12,OFFSET(CRONOPLE!$F$15,$M109-$A$15,AS$13)))</f>
        <v>1000000000000</v>
      </c>
      <c r="AT109" s="172">
        <f ca="1">IF(OR($D109&lt;&gt;"Serviço",AND(AUTOEVENTO="Manual",$M109=$A$15)),0,
         IF(OFFSET(CRONOPLE!$F$15,$M109-$A$15,AT$13)="",10^12,OFFSET(CRONOPLE!$F$15,$M109-$A$15,AT$13)))</f>
        <v>1000000000000</v>
      </c>
      <c r="AU109" s="172">
        <f ca="1">IF(OR($D109&lt;&gt;"Serviço",AND(AUTOEVENTO="Manual",$M109=$A$15)),0,
         IF(OFFSET(CRONOPLE!$F$15,$M109-$A$15,AU$13)="",10^12,OFFSET(CRONOPLE!$F$15,$M109-$A$15,AU$13)))</f>
        <v>1000000000000</v>
      </c>
      <c r="AV109" s="172">
        <f ca="1">IF(OR($D109&lt;&gt;"Serviço",AND(AUTOEVENTO="Manual",$M109=$A$15)),0,
         IF(OFFSET(CRONOPLE!$F$15,$M109-$A$15,AV$13)="",10^12,OFFSET(CRONOPLE!$F$15,$M109-$A$15,AV$13)))</f>
        <v>1000000000000</v>
      </c>
      <c r="AX109" s="173">
        <f ca="1">IF(OR($D109&lt;&gt;"Serviço",AND(AUTOEVENTO="Manual",$M109=$A$15),$M109&gt;(ROW(PLE.lastrow)-ROW(PLE.firstrow))),0,
           IF(OFFSET(PLE!$G$15,$M109-$A$15,AX$13)="",10^12,OFFSET(PLE!$G$15,$M109-$A$15,AX$13)))</f>
        <v>1000000000000</v>
      </c>
      <c r="AY109" s="173">
        <f ca="1">IF(OR($D109&lt;&gt;"Serviço",AND(AUTOEVENTO="Manual",$M109=$A$15),$M109&gt;(ROW(PLE.lastrow)-ROW(PLE.firstrow))),0,
           IF(OFFSET(PLE!$G$15,$M109-$A$15,AY$13)="",10^12,OFFSET(PLE!$G$15,$M109-$A$15,AY$13)))</f>
        <v>1000000000000</v>
      </c>
      <c r="AZ109" s="173">
        <f ca="1">IF(OR($D109&lt;&gt;"Serviço",AND(AUTOEVENTO="Manual",$M109=$A$15),$M109&gt;(ROW(PLE.lastrow)-ROW(PLE.firstrow))),0,
           IF(OFFSET(PLE!$G$15,$M109-$A$15,AZ$13)="",10^12,OFFSET(PLE!$G$15,$M109-$A$15,AZ$13)))</f>
        <v>1000000000000</v>
      </c>
      <c r="BA109" s="173">
        <f ca="1">IF(OR($D109&lt;&gt;"Serviço",AND(AUTOEVENTO="Manual",$M109=$A$15),$M109&gt;(ROW(PLE.lastrow)-ROW(PLE.firstrow))),0,
           IF(OFFSET(PLE!$G$15,$M109-$A$15,BA$13)="",10^12,OFFSET(PLE!$G$15,$M109-$A$15,BA$13)))</f>
        <v>1000000000000</v>
      </c>
      <c r="BB109" s="173">
        <f ca="1">IF(OR($D109&lt;&gt;"Serviço",AND(AUTOEVENTO="Manual",$M109=$A$15),$M109&gt;(ROW(PLE.lastrow)-ROW(PLE.firstrow))),0,
           IF(OFFSET(PLE!$G$15,$M109-$A$15,BB$13)="",10^12,OFFSET(PLE!$G$15,$M109-$A$15,BB$13)))</f>
        <v>1000000000000</v>
      </c>
      <c r="BC109" s="173">
        <f ca="1">IF(OR($D109&lt;&gt;"Serviço",AND(AUTOEVENTO="Manual",$M109=$A$15),$M109&gt;(ROW(PLE.lastrow)-ROW(PLE.firstrow))),0,
           IF(OFFSET(PLE!$G$15,$M109-$A$15,BC$13)="",10^12,OFFSET(PLE!$G$15,$M109-$A$15,BC$13)))</f>
        <v>1000000000000</v>
      </c>
      <c r="BD109" s="173">
        <f ca="1">IF(OR($D109&lt;&gt;"Serviço",AND(AUTOEVENTO="Manual",$M109=$A$15),$M109&gt;(ROW(PLE.lastrow)-ROW(PLE.firstrow))),0,
           IF(OFFSET(PLE!$G$15,$M109-$A$15,BD$13)="",10^12,OFFSET(PLE!$G$15,$M109-$A$15,BD$13)))</f>
        <v>1000000000000</v>
      </c>
      <c r="BE109" s="173">
        <f ca="1">IF(OR($D109&lt;&gt;"Serviço",AND(AUTOEVENTO="Manual",$M109=$A$15),$M109&gt;(ROW(PLE.lastrow)-ROW(PLE.firstrow))),0,
           IF(OFFSET(PLE!$G$15,$M109-$A$15,BE$13)="",10^12,OFFSET(PLE!$G$15,$M109-$A$15,BE$13)))</f>
        <v>1000000000000</v>
      </c>
      <c r="BF109" s="173">
        <f ca="1">IF(OR($D109&lt;&gt;"Serviço",AND(AUTOEVENTO="Manual",$M109=$A$15),$M109&gt;(ROW(PLE.lastrow)-ROW(PLE.firstrow))),0,
           IF(OFFSET(PLE!$G$15,$M109-$A$15,BF$13)="",10^12,OFFSET(PLE!$G$15,$M109-$A$15,BF$13)))</f>
        <v>1000000000000</v>
      </c>
      <c r="BG109" s="173">
        <f ca="1">IF(OR($D109&lt;&gt;"Serviço",AND(AUTOEVENTO="Manual",$M109=$A$15),$M109&gt;(ROW(PLE.lastrow)-ROW(PLE.firstrow))),0,
           IF(OFFSET(PLE!$G$15,$M109-$A$15,BG$13)="",10^12,OFFSET(PLE!$G$15,$M109-$A$15,BG$13)))</f>
        <v>1000000000000</v>
      </c>
    </row>
    <row r="110" spans="1:59" ht="38.25" x14ac:dyDescent="0.2">
      <c r="A110" s="7" t="str">
        <f t="shared" ca="1" si="9"/>
        <v>39</v>
      </c>
      <c r="B110" s="7" t="str">
        <f ca="1">OFFSET(ORÇAMENTO!C$15,ROW(B110)-ROW(B$15),0)</f>
        <v>S</v>
      </c>
      <c r="C110" s="7" t="str">
        <f ca="1">OFFSET(ORÇAMENTO!L$15,ROW(C110)-ROW(C$15),0)</f>
        <v/>
      </c>
      <c r="D110" s="117" t="str">
        <f ca="1">OFFSET(ORÇAMENTO!N$15,ROW(D110)-ROW(D$15),0)</f>
        <v>Serviço</v>
      </c>
      <c r="E110" s="118" t="str">
        <f ca="1">OFFSET(ORÇAMENTO!O$15,ROW(E110)-ROW(E$15),0)</f>
        <v>-</v>
      </c>
      <c r="F110" s="164" t="str">
        <f ca="1">OFFSET(ORÇAMENTO!R$15,ROW(F110)-ROW(F$15),0)</f>
        <v>CABO DE COBRE FLEXÍVEL ISOLADO, 6 MM², ANTI-CHAMA 450/750 V, PARA CIRCUITOS TERMINAIS - FORNECIMENTO E INSTALAÇÃO. AF_03/2023</v>
      </c>
      <c r="G110" s="165" t="str">
        <f ca="1">IF($D110&lt;&gt;"Serviço","",OFFSET(ORÇAMENTO!S$15,ROW(G110)-ROW(G$15),0))</f>
        <v>M</v>
      </c>
      <c r="H110" s="123">
        <f ca="1">IF($D110&lt;&gt;"Serviço",0,IF(ACOMPANHAMENTO="BM",ROUND(OFFSET(ORÇAMENTO!AJ$15,ROW(H110)-ROW(H$15),0),15-13*ORÇAMENTO!$AF$7),SUMPRODUCT(($Q$1:$AA$1=1)*ROUND($Q110:$AA110,15-13*ORÇAMENTO!$AF$7))))</f>
        <v>90</v>
      </c>
      <c r="I110" s="469"/>
      <c r="J110" s="577" t="str" cm="1">
        <f t="array" aca="1" ref="J110" ca="1">IF(B110&lt;&gt;"S","",IF(AND(ACOMPANHAMENTO="PLE",AUTOEVENTO="Manual",OR(H110&gt;0,ORÇAMENTO!AC110="QUANT."),OR(K110="",M110=0,N110="")),"►",IF(AND(ACOMPANHAMENTO="PLE",ORÇAMENTO!AC110="QUANT."),"►►",IF(AND(COUNTIF($P$11:$AA$11,"▼")=0,H110&gt;0,I110=""),"◄",""))))</f>
        <v>◄</v>
      </c>
      <c r="K110" s="626"/>
      <c r="L110" s="166" t="s">
        <v>765</v>
      </c>
      <c r="M110" s="167">
        <f ca="1">IF($D110&lt;&gt;"Serviço","",
          IF(AUTOEVENTO="manual",$A110,
                IF(ISERROR(MATCH($A110,$A$15:OFFSET($A110,-1,0),0)),MAX($M$15:OFFSET(M110,-1,0))+1,
                      INDEX($M$15:OFFSET(M110,-1,0),MATCH($A110,$A$15:OFFSET($A110,-1,0),0)))))</f>
        <v>9</v>
      </c>
      <c r="N110" s="168" t="str">
        <f ca="1">IF($D110&lt;&gt;"Serviço","",
         IF(AUTOEVENTO="Manual",
                IF($A110=0,"&lt;-- defina o número do agrupador",
                       OFFSET(EVENTOS!$D$15,$A110-$A$15,0)),
                OFFSET($F$15,$A110,0)))</f>
        <v>INSTALAÇÕES ELÉTRICAS</v>
      </c>
      <c r="O110" s="169"/>
      <c r="Q110" s="169"/>
      <c r="R110" s="170"/>
      <c r="S110" s="170"/>
      <c r="T110" s="170"/>
      <c r="U110" s="170"/>
      <c r="V110" s="170"/>
      <c r="W110" s="170"/>
      <c r="X110" s="170"/>
      <c r="Y110" s="170"/>
      <c r="Z110" s="171"/>
      <c r="AB110" s="454">
        <f ca="1">IF(AND($D110="Serviço",AB$12&lt;&gt;0,$H110&gt;0,OR(AUTOEVENTO&lt;&gt;"manual",$M110&lt;&gt;$A$15)),
        IF(Import.TipoArredondamento&lt;&gt;"TransfereGOV",
              ROUND(OFFSET($P110,0,AB$13),15-13*ORÇAMENTO!$AF$7)/$H110*OFFSET(ORÇAMENTO!$X$15,ROW(AB110)-ROW(AB$15),0),
              ROUND(ROUND(OFFSET($P110,0,AB$13),15-13*ORÇAMENTO!$AF$7)*OFFSET(ORÇAMENTO!$W$15,ROW(AB110)-ROW(AB$15),0),15-13*ORÇAMENTO!$AF$11)),
         0)</f>
        <v>0</v>
      </c>
      <c r="AC110" s="454">
        <f ca="1">IF(AND($D110="Serviço",AC$12&lt;&gt;0,$H110&gt;0,OR(AUTOEVENTO&lt;&gt;"manual",$M110&lt;&gt;$A$15)),
        IF(Import.TipoArredondamento&lt;&gt;"TransfereGOV",
              ROUND(OFFSET($P110,0,AC$13),15-13*ORÇAMENTO!$AF$7)/$H110*OFFSET(ORÇAMENTO!$X$15,ROW(AC110)-ROW(AC$15),0),
              ROUND(ROUND(OFFSET($P110,0,AC$13),15-13*ORÇAMENTO!$AF$7)*OFFSET(ORÇAMENTO!$W$15,ROW(AC110)-ROW(AC$15),0),15-13*ORÇAMENTO!$AF$11)),
         0)</f>
        <v>0</v>
      </c>
      <c r="AD110" s="454">
        <f ca="1">IF(AND($D110="Serviço",AD$12&lt;&gt;0,$H110&gt;0,OR(AUTOEVENTO&lt;&gt;"manual",$M110&lt;&gt;$A$15)),
        IF(Import.TipoArredondamento&lt;&gt;"TransfereGOV",
              ROUND(OFFSET($P110,0,AD$13),15-13*ORÇAMENTO!$AF$7)/$H110*OFFSET(ORÇAMENTO!$X$15,ROW(AD110)-ROW(AD$15),0),
              ROUND(ROUND(OFFSET($P110,0,AD$13),15-13*ORÇAMENTO!$AF$7)*OFFSET(ORÇAMENTO!$W$15,ROW(AD110)-ROW(AD$15),0),15-13*ORÇAMENTO!$AF$11)),
         0)</f>
        <v>0</v>
      </c>
      <c r="AE110" s="454">
        <f ca="1">IF(AND($D110="Serviço",AE$12&lt;&gt;0,$H110&gt;0,OR(AUTOEVENTO&lt;&gt;"manual",$M110&lt;&gt;$A$15)),
        IF(Import.TipoArredondamento&lt;&gt;"TransfereGOV",
              ROUND(OFFSET($P110,0,AE$13),15-13*ORÇAMENTO!$AF$7)/$H110*OFFSET(ORÇAMENTO!$X$15,ROW(AE110)-ROW(AE$15),0),
              ROUND(ROUND(OFFSET($P110,0,AE$13),15-13*ORÇAMENTO!$AF$7)*OFFSET(ORÇAMENTO!$W$15,ROW(AE110)-ROW(AE$15),0),15-13*ORÇAMENTO!$AF$11)),
         0)</f>
        <v>0</v>
      </c>
      <c r="AF110" s="454">
        <f ca="1">IF(AND($D110="Serviço",AF$12&lt;&gt;0,$H110&gt;0,OR(AUTOEVENTO&lt;&gt;"manual",$M110&lt;&gt;$A$15)),
        IF(Import.TipoArredondamento&lt;&gt;"TransfereGOV",
              ROUND(OFFSET($P110,0,AF$13),15-13*ORÇAMENTO!$AF$7)/$H110*OFFSET(ORÇAMENTO!$X$15,ROW(AF110)-ROW(AF$15),0),
              ROUND(ROUND(OFFSET($P110,0,AF$13),15-13*ORÇAMENTO!$AF$7)*OFFSET(ORÇAMENTO!$W$15,ROW(AF110)-ROW(AF$15),0),15-13*ORÇAMENTO!$AF$11)),
         0)</f>
        <v>0</v>
      </c>
      <c r="AG110" s="454">
        <f ca="1">IF(AND($D110="Serviço",AG$12&lt;&gt;0,$H110&gt;0,OR(AUTOEVENTO&lt;&gt;"manual",$M110&lt;&gt;$A$15)),
        IF(Import.TipoArredondamento&lt;&gt;"TransfereGOV",
              ROUND(OFFSET($P110,0,AG$13),15-13*ORÇAMENTO!$AF$7)/$H110*OFFSET(ORÇAMENTO!$X$15,ROW(AG110)-ROW(AG$15),0),
              ROUND(ROUND(OFFSET($P110,0,AG$13),15-13*ORÇAMENTO!$AF$7)*OFFSET(ORÇAMENTO!$W$15,ROW(AG110)-ROW(AG$15),0),15-13*ORÇAMENTO!$AF$11)),
         0)</f>
        <v>0</v>
      </c>
      <c r="AH110" s="454">
        <f ca="1">IF(AND($D110="Serviço",AH$12&lt;&gt;0,$H110&gt;0,OR(AUTOEVENTO&lt;&gt;"manual",$M110&lt;&gt;$A$15)),
        IF(Import.TipoArredondamento&lt;&gt;"TransfereGOV",
              ROUND(OFFSET($P110,0,AH$13),15-13*ORÇAMENTO!$AF$7)/$H110*OFFSET(ORÇAMENTO!$X$15,ROW(AH110)-ROW(AH$15),0),
              ROUND(ROUND(OFFSET($P110,0,AH$13),15-13*ORÇAMENTO!$AF$7)*OFFSET(ORÇAMENTO!$W$15,ROW(AH110)-ROW(AH$15),0),15-13*ORÇAMENTO!$AF$11)),
         0)</f>
        <v>0</v>
      </c>
      <c r="AI110" s="454">
        <f ca="1">IF(AND($D110="Serviço",AI$12&lt;&gt;0,$H110&gt;0,OR(AUTOEVENTO&lt;&gt;"manual",$M110&lt;&gt;$A$15)),
        IF(Import.TipoArredondamento&lt;&gt;"TransfereGOV",
              ROUND(OFFSET($P110,0,AI$13),15-13*ORÇAMENTO!$AF$7)/$H110*OFFSET(ORÇAMENTO!$X$15,ROW(AI110)-ROW(AI$15),0),
              ROUND(ROUND(OFFSET($P110,0,AI$13),15-13*ORÇAMENTO!$AF$7)*OFFSET(ORÇAMENTO!$W$15,ROW(AI110)-ROW(AI$15),0),15-13*ORÇAMENTO!$AF$11)),
         0)</f>
        <v>0</v>
      </c>
      <c r="AJ110" s="454">
        <f ca="1">IF(AND($D110="Serviço",AJ$12&lt;&gt;0,$H110&gt;0,OR(AUTOEVENTO&lt;&gt;"manual",$M110&lt;&gt;$A$15)),
        IF(Import.TipoArredondamento&lt;&gt;"TransfereGOV",
              ROUND(OFFSET($P110,0,AJ$13),15-13*ORÇAMENTO!$AF$7)/$H110*OFFSET(ORÇAMENTO!$X$15,ROW(AJ110)-ROW(AJ$15),0),
              ROUND(ROUND(OFFSET($P110,0,AJ$13),15-13*ORÇAMENTO!$AF$7)*OFFSET(ORÇAMENTO!$W$15,ROW(AJ110)-ROW(AJ$15),0),15-13*ORÇAMENTO!$AF$11)),
         0)</f>
        <v>0</v>
      </c>
      <c r="AK110" s="454">
        <f ca="1">IF(AND($D110="Serviço",AK$12&lt;&gt;0,$H110&gt;0,OR(AUTOEVENTO&lt;&gt;"manual",$M110&lt;&gt;$A$15)),
        IF(Import.TipoArredondamento&lt;&gt;"TransfereGOV",
              ROUND(OFFSET($P110,0,AK$13),15-13*ORÇAMENTO!$AF$7)/$H110*OFFSET(ORÇAMENTO!$X$15,ROW(AK110)-ROW(AK$15),0),
              ROUND(ROUND(OFFSET($P110,0,AK$13),15-13*ORÇAMENTO!$AF$7)*OFFSET(ORÇAMENTO!$W$15,ROW(AK110)-ROW(AK$15),0),15-13*ORÇAMENTO!$AF$11)),
         0)</f>
        <v>0</v>
      </c>
      <c r="AM110" s="172">
        <f ca="1">IF(OR($D110&lt;&gt;"Serviço",AND(AUTOEVENTO="Manual",$M110=$A$15)),0,
         IF(OFFSET(CRONOPLE!$F$15,$M110-$A$15,AM$13)="",10^12,OFFSET(CRONOPLE!$F$15,$M110-$A$15,AM$13)))</f>
        <v>1000000000000</v>
      </c>
      <c r="AN110" s="172">
        <f ca="1">IF(OR($D110&lt;&gt;"Serviço",AND(AUTOEVENTO="Manual",$M110=$A$15)),0,
         IF(OFFSET(CRONOPLE!$F$15,$M110-$A$15,AN$13)="",10^12,OFFSET(CRONOPLE!$F$15,$M110-$A$15,AN$13)))</f>
        <v>1000000000000</v>
      </c>
      <c r="AO110" s="172">
        <f ca="1">IF(OR($D110&lt;&gt;"Serviço",AND(AUTOEVENTO="Manual",$M110=$A$15)),0,
         IF(OFFSET(CRONOPLE!$F$15,$M110-$A$15,AO$13)="",10^12,OFFSET(CRONOPLE!$F$15,$M110-$A$15,AO$13)))</f>
        <v>1000000000000</v>
      </c>
      <c r="AP110" s="172">
        <f ca="1">IF(OR($D110&lt;&gt;"Serviço",AND(AUTOEVENTO="Manual",$M110=$A$15)),0,
         IF(OFFSET(CRONOPLE!$F$15,$M110-$A$15,AP$13)="",10^12,OFFSET(CRONOPLE!$F$15,$M110-$A$15,AP$13)))</f>
        <v>1000000000000</v>
      </c>
      <c r="AQ110" s="172">
        <f ca="1">IF(OR($D110&lt;&gt;"Serviço",AND(AUTOEVENTO="Manual",$M110=$A$15)),0,
         IF(OFFSET(CRONOPLE!$F$15,$M110-$A$15,AQ$13)="",10^12,OFFSET(CRONOPLE!$F$15,$M110-$A$15,AQ$13)))</f>
        <v>1000000000000</v>
      </c>
      <c r="AR110" s="172">
        <f ca="1">IF(OR($D110&lt;&gt;"Serviço",AND(AUTOEVENTO="Manual",$M110=$A$15)),0,
         IF(OFFSET(CRONOPLE!$F$15,$M110-$A$15,AR$13)="",10^12,OFFSET(CRONOPLE!$F$15,$M110-$A$15,AR$13)))</f>
        <v>1000000000000</v>
      </c>
      <c r="AS110" s="172">
        <f ca="1">IF(OR($D110&lt;&gt;"Serviço",AND(AUTOEVENTO="Manual",$M110=$A$15)),0,
         IF(OFFSET(CRONOPLE!$F$15,$M110-$A$15,AS$13)="",10^12,OFFSET(CRONOPLE!$F$15,$M110-$A$15,AS$13)))</f>
        <v>1000000000000</v>
      </c>
      <c r="AT110" s="172">
        <f ca="1">IF(OR($D110&lt;&gt;"Serviço",AND(AUTOEVENTO="Manual",$M110=$A$15)),0,
         IF(OFFSET(CRONOPLE!$F$15,$M110-$A$15,AT$13)="",10^12,OFFSET(CRONOPLE!$F$15,$M110-$A$15,AT$13)))</f>
        <v>1000000000000</v>
      </c>
      <c r="AU110" s="172">
        <f ca="1">IF(OR($D110&lt;&gt;"Serviço",AND(AUTOEVENTO="Manual",$M110=$A$15)),0,
         IF(OFFSET(CRONOPLE!$F$15,$M110-$A$15,AU$13)="",10^12,OFFSET(CRONOPLE!$F$15,$M110-$A$15,AU$13)))</f>
        <v>1000000000000</v>
      </c>
      <c r="AV110" s="172">
        <f ca="1">IF(OR($D110&lt;&gt;"Serviço",AND(AUTOEVENTO="Manual",$M110=$A$15)),0,
         IF(OFFSET(CRONOPLE!$F$15,$M110-$A$15,AV$13)="",10^12,OFFSET(CRONOPLE!$F$15,$M110-$A$15,AV$13)))</f>
        <v>1000000000000</v>
      </c>
      <c r="AX110" s="173">
        <f ca="1">IF(OR($D110&lt;&gt;"Serviço",AND(AUTOEVENTO="Manual",$M110=$A$15),$M110&gt;(ROW(PLE.lastrow)-ROW(PLE.firstrow))),0,
           IF(OFFSET(PLE!$G$15,$M110-$A$15,AX$13)="",10^12,OFFSET(PLE!$G$15,$M110-$A$15,AX$13)))</f>
        <v>1000000000000</v>
      </c>
      <c r="AY110" s="173">
        <f ca="1">IF(OR($D110&lt;&gt;"Serviço",AND(AUTOEVENTO="Manual",$M110=$A$15),$M110&gt;(ROW(PLE.lastrow)-ROW(PLE.firstrow))),0,
           IF(OFFSET(PLE!$G$15,$M110-$A$15,AY$13)="",10^12,OFFSET(PLE!$G$15,$M110-$A$15,AY$13)))</f>
        <v>1000000000000</v>
      </c>
      <c r="AZ110" s="173">
        <f ca="1">IF(OR($D110&lt;&gt;"Serviço",AND(AUTOEVENTO="Manual",$M110=$A$15),$M110&gt;(ROW(PLE.lastrow)-ROW(PLE.firstrow))),0,
           IF(OFFSET(PLE!$G$15,$M110-$A$15,AZ$13)="",10^12,OFFSET(PLE!$G$15,$M110-$A$15,AZ$13)))</f>
        <v>1000000000000</v>
      </c>
      <c r="BA110" s="173">
        <f ca="1">IF(OR($D110&lt;&gt;"Serviço",AND(AUTOEVENTO="Manual",$M110=$A$15),$M110&gt;(ROW(PLE.lastrow)-ROW(PLE.firstrow))),0,
           IF(OFFSET(PLE!$G$15,$M110-$A$15,BA$13)="",10^12,OFFSET(PLE!$G$15,$M110-$A$15,BA$13)))</f>
        <v>1000000000000</v>
      </c>
      <c r="BB110" s="173">
        <f ca="1">IF(OR($D110&lt;&gt;"Serviço",AND(AUTOEVENTO="Manual",$M110=$A$15),$M110&gt;(ROW(PLE.lastrow)-ROW(PLE.firstrow))),0,
           IF(OFFSET(PLE!$G$15,$M110-$A$15,BB$13)="",10^12,OFFSET(PLE!$G$15,$M110-$A$15,BB$13)))</f>
        <v>1000000000000</v>
      </c>
      <c r="BC110" s="173">
        <f ca="1">IF(OR($D110&lt;&gt;"Serviço",AND(AUTOEVENTO="Manual",$M110=$A$15),$M110&gt;(ROW(PLE.lastrow)-ROW(PLE.firstrow))),0,
           IF(OFFSET(PLE!$G$15,$M110-$A$15,BC$13)="",10^12,OFFSET(PLE!$G$15,$M110-$A$15,BC$13)))</f>
        <v>1000000000000</v>
      </c>
      <c r="BD110" s="173">
        <f ca="1">IF(OR($D110&lt;&gt;"Serviço",AND(AUTOEVENTO="Manual",$M110=$A$15),$M110&gt;(ROW(PLE.lastrow)-ROW(PLE.firstrow))),0,
           IF(OFFSET(PLE!$G$15,$M110-$A$15,BD$13)="",10^12,OFFSET(PLE!$G$15,$M110-$A$15,BD$13)))</f>
        <v>1000000000000</v>
      </c>
      <c r="BE110" s="173">
        <f ca="1">IF(OR($D110&lt;&gt;"Serviço",AND(AUTOEVENTO="Manual",$M110=$A$15),$M110&gt;(ROW(PLE.lastrow)-ROW(PLE.firstrow))),0,
           IF(OFFSET(PLE!$G$15,$M110-$A$15,BE$13)="",10^12,OFFSET(PLE!$G$15,$M110-$A$15,BE$13)))</f>
        <v>1000000000000</v>
      </c>
      <c r="BF110" s="173">
        <f ca="1">IF(OR($D110&lt;&gt;"Serviço",AND(AUTOEVENTO="Manual",$M110=$A$15),$M110&gt;(ROW(PLE.lastrow)-ROW(PLE.firstrow))),0,
           IF(OFFSET(PLE!$G$15,$M110-$A$15,BF$13)="",10^12,OFFSET(PLE!$G$15,$M110-$A$15,BF$13)))</f>
        <v>1000000000000</v>
      </c>
      <c r="BG110" s="173">
        <f ca="1">IF(OR($D110&lt;&gt;"Serviço",AND(AUTOEVENTO="Manual",$M110=$A$15),$M110&gt;(ROW(PLE.lastrow)-ROW(PLE.firstrow))),0,
           IF(OFFSET(PLE!$G$15,$M110-$A$15,BG$13)="",10^12,OFFSET(PLE!$G$15,$M110-$A$15,BG$13)))</f>
        <v>1000000000000</v>
      </c>
    </row>
    <row r="111" spans="1:59" ht="25.5" x14ac:dyDescent="0.2">
      <c r="A111" s="7" t="str">
        <f t="shared" ca="1" si="9"/>
        <v>39</v>
      </c>
      <c r="B111" s="7" t="str">
        <f ca="1">OFFSET(ORÇAMENTO!C$15,ROW(B111)-ROW(B$15),0)</f>
        <v>S</v>
      </c>
      <c r="C111" s="7" t="str">
        <f ca="1">OFFSET(ORÇAMENTO!L$15,ROW(C111)-ROW(C$15),0)</f>
        <v/>
      </c>
      <c r="D111" s="117" t="str">
        <f ca="1">OFFSET(ORÇAMENTO!N$15,ROW(D111)-ROW(D$15),0)</f>
        <v>Serviço</v>
      </c>
      <c r="E111" s="118" t="str">
        <f ca="1">OFFSET(ORÇAMENTO!O$15,ROW(E111)-ROW(E$15),0)</f>
        <v>-</v>
      </c>
      <c r="F111" s="164" t="str">
        <f ca="1">OFFSET(ORÇAMENTO!R$15,ROW(F111)-ROW(F$15),0)</f>
        <v>CABO DE ALUMÍNIO FLEXÍVEL ISOLADO, 70 MM², ANTI-CHAMA 0,6/1,0 KV- FORNECIMENTO E INSTALAÇÃO</v>
      </c>
      <c r="G111" s="165" t="str">
        <f ca="1">IF($D111&lt;&gt;"Serviço","",OFFSET(ORÇAMENTO!S$15,ROW(G111)-ROW(G$15),0))</f>
        <v>M</v>
      </c>
      <c r="H111" s="123">
        <f ca="1">IF($D111&lt;&gt;"Serviço",0,IF(ACOMPANHAMENTO="BM",ROUND(OFFSET(ORÇAMENTO!AJ$15,ROW(H111)-ROW(H$15),0),15-13*ORÇAMENTO!$AF$7),SUMPRODUCT(($Q$1:$AA$1=1)*ROUND($Q111:$AA111,15-13*ORÇAMENTO!$AF$7))))</f>
        <v>90</v>
      </c>
      <c r="I111" s="469"/>
      <c r="J111" s="577" t="str" cm="1">
        <f t="array" aca="1" ref="J111" ca="1">IF(B111&lt;&gt;"S","",IF(AND(ACOMPANHAMENTO="PLE",AUTOEVENTO="Manual",OR(H111&gt;0,ORÇAMENTO!AC111="QUANT."),OR(K111="",M111=0,N111="")),"►",IF(AND(ACOMPANHAMENTO="PLE",ORÇAMENTO!AC111="QUANT."),"►►",IF(AND(COUNTIF($P$11:$AA$11,"▼")=0,H111&gt;0,I111=""),"◄",""))))</f>
        <v>◄</v>
      </c>
      <c r="K111" s="626"/>
      <c r="L111" s="166" t="s">
        <v>765</v>
      </c>
      <c r="M111" s="167">
        <f ca="1">IF($D111&lt;&gt;"Serviço","",
          IF(AUTOEVENTO="manual",$A111,
                IF(ISERROR(MATCH($A111,$A$15:OFFSET($A111,-1,0),0)),MAX($M$15:OFFSET(M111,-1,0))+1,
                      INDEX($M$15:OFFSET(M111,-1,0),MATCH($A111,$A$15:OFFSET($A111,-1,0),0)))))</f>
        <v>9</v>
      </c>
      <c r="N111" s="168" t="str">
        <f ca="1">IF($D111&lt;&gt;"Serviço","",
         IF(AUTOEVENTO="Manual",
                IF($A111=0,"&lt;-- defina o número do agrupador",
                       OFFSET(EVENTOS!$D$15,$A111-$A$15,0)),
                OFFSET($F$15,$A111,0)))</f>
        <v>INSTALAÇÕES ELÉTRICAS</v>
      </c>
      <c r="O111" s="169"/>
      <c r="Q111" s="169"/>
      <c r="R111" s="170"/>
      <c r="S111" s="170"/>
      <c r="T111" s="170"/>
      <c r="U111" s="170"/>
      <c r="V111" s="170"/>
      <c r="W111" s="170"/>
      <c r="X111" s="170"/>
      <c r="Y111" s="170"/>
      <c r="Z111" s="171"/>
      <c r="AB111" s="454">
        <f ca="1">IF(AND($D111="Serviço",AB$12&lt;&gt;0,$H111&gt;0,OR(AUTOEVENTO&lt;&gt;"manual",$M111&lt;&gt;$A$15)),
        IF(Import.TipoArredondamento&lt;&gt;"TransfereGOV",
              ROUND(OFFSET($P111,0,AB$13),15-13*ORÇAMENTO!$AF$7)/$H111*OFFSET(ORÇAMENTO!$X$15,ROW(AB111)-ROW(AB$15),0),
              ROUND(ROUND(OFFSET($P111,0,AB$13),15-13*ORÇAMENTO!$AF$7)*OFFSET(ORÇAMENTO!$W$15,ROW(AB111)-ROW(AB$15),0),15-13*ORÇAMENTO!$AF$11)),
         0)</f>
        <v>0</v>
      </c>
      <c r="AC111" s="454">
        <f ca="1">IF(AND($D111="Serviço",AC$12&lt;&gt;0,$H111&gt;0,OR(AUTOEVENTO&lt;&gt;"manual",$M111&lt;&gt;$A$15)),
        IF(Import.TipoArredondamento&lt;&gt;"TransfereGOV",
              ROUND(OFFSET($P111,0,AC$13),15-13*ORÇAMENTO!$AF$7)/$H111*OFFSET(ORÇAMENTO!$X$15,ROW(AC111)-ROW(AC$15),0),
              ROUND(ROUND(OFFSET($P111,0,AC$13),15-13*ORÇAMENTO!$AF$7)*OFFSET(ORÇAMENTO!$W$15,ROW(AC111)-ROW(AC$15),0),15-13*ORÇAMENTO!$AF$11)),
         0)</f>
        <v>0</v>
      </c>
      <c r="AD111" s="454">
        <f ca="1">IF(AND($D111="Serviço",AD$12&lt;&gt;0,$H111&gt;0,OR(AUTOEVENTO&lt;&gt;"manual",$M111&lt;&gt;$A$15)),
        IF(Import.TipoArredondamento&lt;&gt;"TransfereGOV",
              ROUND(OFFSET($P111,0,AD$13),15-13*ORÇAMENTO!$AF$7)/$H111*OFFSET(ORÇAMENTO!$X$15,ROW(AD111)-ROW(AD$15),0),
              ROUND(ROUND(OFFSET($P111,0,AD$13),15-13*ORÇAMENTO!$AF$7)*OFFSET(ORÇAMENTO!$W$15,ROW(AD111)-ROW(AD$15),0),15-13*ORÇAMENTO!$AF$11)),
         0)</f>
        <v>0</v>
      </c>
      <c r="AE111" s="454">
        <f ca="1">IF(AND($D111="Serviço",AE$12&lt;&gt;0,$H111&gt;0,OR(AUTOEVENTO&lt;&gt;"manual",$M111&lt;&gt;$A$15)),
        IF(Import.TipoArredondamento&lt;&gt;"TransfereGOV",
              ROUND(OFFSET($P111,0,AE$13),15-13*ORÇAMENTO!$AF$7)/$H111*OFFSET(ORÇAMENTO!$X$15,ROW(AE111)-ROW(AE$15),0),
              ROUND(ROUND(OFFSET($P111,0,AE$13),15-13*ORÇAMENTO!$AF$7)*OFFSET(ORÇAMENTO!$W$15,ROW(AE111)-ROW(AE$15),0),15-13*ORÇAMENTO!$AF$11)),
         0)</f>
        <v>0</v>
      </c>
      <c r="AF111" s="454">
        <f ca="1">IF(AND($D111="Serviço",AF$12&lt;&gt;0,$H111&gt;0,OR(AUTOEVENTO&lt;&gt;"manual",$M111&lt;&gt;$A$15)),
        IF(Import.TipoArredondamento&lt;&gt;"TransfereGOV",
              ROUND(OFFSET($P111,0,AF$13),15-13*ORÇAMENTO!$AF$7)/$H111*OFFSET(ORÇAMENTO!$X$15,ROW(AF111)-ROW(AF$15),0),
              ROUND(ROUND(OFFSET($P111,0,AF$13),15-13*ORÇAMENTO!$AF$7)*OFFSET(ORÇAMENTO!$W$15,ROW(AF111)-ROW(AF$15),0),15-13*ORÇAMENTO!$AF$11)),
         0)</f>
        <v>0</v>
      </c>
      <c r="AG111" s="454">
        <f ca="1">IF(AND($D111="Serviço",AG$12&lt;&gt;0,$H111&gt;0,OR(AUTOEVENTO&lt;&gt;"manual",$M111&lt;&gt;$A$15)),
        IF(Import.TipoArredondamento&lt;&gt;"TransfereGOV",
              ROUND(OFFSET($P111,0,AG$13),15-13*ORÇAMENTO!$AF$7)/$H111*OFFSET(ORÇAMENTO!$X$15,ROW(AG111)-ROW(AG$15),0),
              ROUND(ROUND(OFFSET($P111,0,AG$13),15-13*ORÇAMENTO!$AF$7)*OFFSET(ORÇAMENTO!$W$15,ROW(AG111)-ROW(AG$15),0),15-13*ORÇAMENTO!$AF$11)),
         0)</f>
        <v>0</v>
      </c>
      <c r="AH111" s="454">
        <f ca="1">IF(AND($D111="Serviço",AH$12&lt;&gt;0,$H111&gt;0,OR(AUTOEVENTO&lt;&gt;"manual",$M111&lt;&gt;$A$15)),
        IF(Import.TipoArredondamento&lt;&gt;"TransfereGOV",
              ROUND(OFFSET($P111,0,AH$13),15-13*ORÇAMENTO!$AF$7)/$H111*OFFSET(ORÇAMENTO!$X$15,ROW(AH111)-ROW(AH$15),0),
              ROUND(ROUND(OFFSET($P111,0,AH$13),15-13*ORÇAMENTO!$AF$7)*OFFSET(ORÇAMENTO!$W$15,ROW(AH111)-ROW(AH$15),0),15-13*ORÇAMENTO!$AF$11)),
         0)</f>
        <v>0</v>
      </c>
      <c r="AI111" s="454">
        <f ca="1">IF(AND($D111="Serviço",AI$12&lt;&gt;0,$H111&gt;0,OR(AUTOEVENTO&lt;&gt;"manual",$M111&lt;&gt;$A$15)),
        IF(Import.TipoArredondamento&lt;&gt;"TransfereGOV",
              ROUND(OFFSET($P111,0,AI$13),15-13*ORÇAMENTO!$AF$7)/$H111*OFFSET(ORÇAMENTO!$X$15,ROW(AI111)-ROW(AI$15),0),
              ROUND(ROUND(OFFSET($P111,0,AI$13),15-13*ORÇAMENTO!$AF$7)*OFFSET(ORÇAMENTO!$W$15,ROW(AI111)-ROW(AI$15),0),15-13*ORÇAMENTO!$AF$11)),
         0)</f>
        <v>0</v>
      </c>
      <c r="AJ111" s="454">
        <f ca="1">IF(AND($D111="Serviço",AJ$12&lt;&gt;0,$H111&gt;0,OR(AUTOEVENTO&lt;&gt;"manual",$M111&lt;&gt;$A$15)),
        IF(Import.TipoArredondamento&lt;&gt;"TransfereGOV",
              ROUND(OFFSET($P111,0,AJ$13),15-13*ORÇAMENTO!$AF$7)/$H111*OFFSET(ORÇAMENTO!$X$15,ROW(AJ111)-ROW(AJ$15),0),
              ROUND(ROUND(OFFSET($P111,0,AJ$13),15-13*ORÇAMENTO!$AF$7)*OFFSET(ORÇAMENTO!$W$15,ROW(AJ111)-ROW(AJ$15),0),15-13*ORÇAMENTO!$AF$11)),
         0)</f>
        <v>0</v>
      </c>
      <c r="AK111" s="454">
        <f ca="1">IF(AND($D111="Serviço",AK$12&lt;&gt;0,$H111&gt;0,OR(AUTOEVENTO&lt;&gt;"manual",$M111&lt;&gt;$A$15)),
        IF(Import.TipoArredondamento&lt;&gt;"TransfereGOV",
              ROUND(OFFSET($P111,0,AK$13),15-13*ORÇAMENTO!$AF$7)/$H111*OFFSET(ORÇAMENTO!$X$15,ROW(AK111)-ROW(AK$15),0),
              ROUND(ROUND(OFFSET($P111,0,AK$13),15-13*ORÇAMENTO!$AF$7)*OFFSET(ORÇAMENTO!$W$15,ROW(AK111)-ROW(AK$15),0),15-13*ORÇAMENTO!$AF$11)),
         0)</f>
        <v>0</v>
      </c>
      <c r="AM111" s="172">
        <f ca="1">IF(OR($D111&lt;&gt;"Serviço",AND(AUTOEVENTO="Manual",$M111=$A$15)),0,
         IF(OFFSET(CRONOPLE!$F$15,$M111-$A$15,AM$13)="",10^12,OFFSET(CRONOPLE!$F$15,$M111-$A$15,AM$13)))</f>
        <v>1000000000000</v>
      </c>
      <c r="AN111" s="172">
        <f ca="1">IF(OR($D111&lt;&gt;"Serviço",AND(AUTOEVENTO="Manual",$M111=$A$15)),0,
         IF(OFFSET(CRONOPLE!$F$15,$M111-$A$15,AN$13)="",10^12,OFFSET(CRONOPLE!$F$15,$M111-$A$15,AN$13)))</f>
        <v>1000000000000</v>
      </c>
      <c r="AO111" s="172">
        <f ca="1">IF(OR($D111&lt;&gt;"Serviço",AND(AUTOEVENTO="Manual",$M111=$A$15)),0,
         IF(OFFSET(CRONOPLE!$F$15,$M111-$A$15,AO$13)="",10^12,OFFSET(CRONOPLE!$F$15,$M111-$A$15,AO$13)))</f>
        <v>1000000000000</v>
      </c>
      <c r="AP111" s="172">
        <f ca="1">IF(OR($D111&lt;&gt;"Serviço",AND(AUTOEVENTO="Manual",$M111=$A$15)),0,
         IF(OFFSET(CRONOPLE!$F$15,$M111-$A$15,AP$13)="",10^12,OFFSET(CRONOPLE!$F$15,$M111-$A$15,AP$13)))</f>
        <v>1000000000000</v>
      </c>
      <c r="AQ111" s="172">
        <f ca="1">IF(OR($D111&lt;&gt;"Serviço",AND(AUTOEVENTO="Manual",$M111=$A$15)),0,
         IF(OFFSET(CRONOPLE!$F$15,$M111-$A$15,AQ$13)="",10^12,OFFSET(CRONOPLE!$F$15,$M111-$A$15,AQ$13)))</f>
        <v>1000000000000</v>
      </c>
      <c r="AR111" s="172">
        <f ca="1">IF(OR($D111&lt;&gt;"Serviço",AND(AUTOEVENTO="Manual",$M111=$A$15)),0,
         IF(OFFSET(CRONOPLE!$F$15,$M111-$A$15,AR$13)="",10^12,OFFSET(CRONOPLE!$F$15,$M111-$A$15,AR$13)))</f>
        <v>1000000000000</v>
      </c>
      <c r="AS111" s="172">
        <f ca="1">IF(OR($D111&lt;&gt;"Serviço",AND(AUTOEVENTO="Manual",$M111=$A$15)),0,
         IF(OFFSET(CRONOPLE!$F$15,$M111-$A$15,AS$13)="",10^12,OFFSET(CRONOPLE!$F$15,$M111-$A$15,AS$13)))</f>
        <v>1000000000000</v>
      </c>
      <c r="AT111" s="172">
        <f ca="1">IF(OR($D111&lt;&gt;"Serviço",AND(AUTOEVENTO="Manual",$M111=$A$15)),0,
         IF(OFFSET(CRONOPLE!$F$15,$M111-$A$15,AT$13)="",10^12,OFFSET(CRONOPLE!$F$15,$M111-$A$15,AT$13)))</f>
        <v>1000000000000</v>
      </c>
      <c r="AU111" s="172">
        <f ca="1">IF(OR($D111&lt;&gt;"Serviço",AND(AUTOEVENTO="Manual",$M111=$A$15)),0,
         IF(OFFSET(CRONOPLE!$F$15,$M111-$A$15,AU$13)="",10^12,OFFSET(CRONOPLE!$F$15,$M111-$A$15,AU$13)))</f>
        <v>1000000000000</v>
      </c>
      <c r="AV111" s="172">
        <f ca="1">IF(OR($D111&lt;&gt;"Serviço",AND(AUTOEVENTO="Manual",$M111=$A$15)),0,
         IF(OFFSET(CRONOPLE!$F$15,$M111-$A$15,AV$13)="",10^12,OFFSET(CRONOPLE!$F$15,$M111-$A$15,AV$13)))</f>
        <v>1000000000000</v>
      </c>
      <c r="AX111" s="173">
        <f ca="1">IF(OR($D111&lt;&gt;"Serviço",AND(AUTOEVENTO="Manual",$M111=$A$15),$M111&gt;(ROW(PLE.lastrow)-ROW(PLE.firstrow))),0,
           IF(OFFSET(PLE!$G$15,$M111-$A$15,AX$13)="",10^12,OFFSET(PLE!$G$15,$M111-$A$15,AX$13)))</f>
        <v>1000000000000</v>
      </c>
      <c r="AY111" s="173">
        <f ca="1">IF(OR($D111&lt;&gt;"Serviço",AND(AUTOEVENTO="Manual",$M111=$A$15),$M111&gt;(ROW(PLE.lastrow)-ROW(PLE.firstrow))),0,
           IF(OFFSET(PLE!$G$15,$M111-$A$15,AY$13)="",10^12,OFFSET(PLE!$G$15,$M111-$A$15,AY$13)))</f>
        <v>1000000000000</v>
      </c>
      <c r="AZ111" s="173">
        <f ca="1">IF(OR($D111&lt;&gt;"Serviço",AND(AUTOEVENTO="Manual",$M111=$A$15),$M111&gt;(ROW(PLE.lastrow)-ROW(PLE.firstrow))),0,
           IF(OFFSET(PLE!$G$15,$M111-$A$15,AZ$13)="",10^12,OFFSET(PLE!$G$15,$M111-$A$15,AZ$13)))</f>
        <v>1000000000000</v>
      </c>
      <c r="BA111" s="173">
        <f ca="1">IF(OR($D111&lt;&gt;"Serviço",AND(AUTOEVENTO="Manual",$M111=$A$15),$M111&gt;(ROW(PLE.lastrow)-ROW(PLE.firstrow))),0,
           IF(OFFSET(PLE!$G$15,$M111-$A$15,BA$13)="",10^12,OFFSET(PLE!$G$15,$M111-$A$15,BA$13)))</f>
        <v>1000000000000</v>
      </c>
      <c r="BB111" s="173">
        <f ca="1">IF(OR($D111&lt;&gt;"Serviço",AND(AUTOEVENTO="Manual",$M111=$A$15),$M111&gt;(ROW(PLE.lastrow)-ROW(PLE.firstrow))),0,
           IF(OFFSET(PLE!$G$15,$M111-$A$15,BB$13)="",10^12,OFFSET(PLE!$G$15,$M111-$A$15,BB$13)))</f>
        <v>1000000000000</v>
      </c>
      <c r="BC111" s="173">
        <f ca="1">IF(OR($D111&lt;&gt;"Serviço",AND(AUTOEVENTO="Manual",$M111=$A$15),$M111&gt;(ROW(PLE.lastrow)-ROW(PLE.firstrow))),0,
           IF(OFFSET(PLE!$G$15,$M111-$A$15,BC$13)="",10^12,OFFSET(PLE!$G$15,$M111-$A$15,BC$13)))</f>
        <v>1000000000000</v>
      </c>
      <c r="BD111" s="173">
        <f ca="1">IF(OR($D111&lt;&gt;"Serviço",AND(AUTOEVENTO="Manual",$M111=$A$15),$M111&gt;(ROW(PLE.lastrow)-ROW(PLE.firstrow))),0,
           IF(OFFSET(PLE!$G$15,$M111-$A$15,BD$13)="",10^12,OFFSET(PLE!$G$15,$M111-$A$15,BD$13)))</f>
        <v>1000000000000</v>
      </c>
      <c r="BE111" s="173">
        <f ca="1">IF(OR($D111&lt;&gt;"Serviço",AND(AUTOEVENTO="Manual",$M111=$A$15),$M111&gt;(ROW(PLE.lastrow)-ROW(PLE.firstrow))),0,
           IF(OFFSET(PLE!$G$15,$M111-$A$15,BE$13)="",10^12,OFFSET(PLE!$G$15,$M111-$A$15,BE$13)))</f>
        <v>1000000000000</v>
      </c>
      <c r="BF111" s="173">
        <f ca="1">IF(OR($D111&lt;&gt;"Serviço",AND(AUTOEVENTO="Manual",$M111=$A$15),$M111&gt;(ROW(PLE.lastrow)-ROW(PLE.firstrow))),0,
           IF(OFFSET(PLE!$G$15,$M111-$A$15,BF$13)="",10^12,OFFSET(PLE!$G$15,$M111-$A$15,BF$13)))</f>
        <v>1000000000000</v>
      </c>
      <c r="BG111" s="173">
        <f ca="1">IF(OR($D111&lt;&gt;"Serviço",AND(AUTOEVENTO="Manual",$M111=$A$15),$M111&gt;(ROW(PLE.lastrow)-ROW(PLE.firstrow))),0,
           IF(OFFSET(PLE!$G$15,$M111-$A$15,BG$13)="",10^12,OFFSET(PLE!$G$15,$M111-$A$15,BG$13)))</f>
        <v>1000000000000</v>
      </c>
    </row>
    <row r="112" spans="1:59" ht="25.5" x14ac:dyDescent="0.2">
      <c r="A112" s="7" t="str">
        <f t="shared" ca="1" si="9"/>
        <v>39</v>
      </c>
      <c r="B112" s="7" t="str">
        <f ca="1">OFFSET(ORÇAMENTO!C$15,ROW(B112)-ROW(B$15),0)</f>
        <v>S</v>
      </c>
      <c r="C112" s="7" t="str">
        <f ca="1">OFFSET(ORÇAMENTO!L$15,ROW(C112)-ROW(C$15),0)</f>
        <v/>
      </c>
      <c r="D112" s="117" t="str">
        <f ca="1">OFFSET(ORÇAMENTO!N$15,ROW(D112)-ROW(D$15),0)</f>
        <v>Serviço</v>
      </c>
      <c r="E112" s="118" t="str">
        <f ca="1">OFFSET(ORÇAMENTO!O$15,ROW(E112)-ROW(E$15),0)</f>
        <v>-</v>
      </c>
      <c r="F112" s="164" t="str">
        <f ca="1">OFFSET(ORÇAMENTO!R$15,ROW(F112)-ROW(F$15),0)</f>
        <v xml:space="preserve">FITA ISOLANTE ADESIVA ANTICHAMA, USO ATE 750 V, EM ROLO DE 19 MM X 20 M                                                                                                                                                                                   </v>
      </c>
      <c r="G112" s="165" t="str">
        <f ca="1">IF($D112&lt;&gt;"Serviço","",OFFSET(ORÇAMENTO!S$15,ROW(G112)-ROW(G$15),0))</f>
        <v xml:space="preserve">UN    </v>
      </c>
      <c r="H112" s="123">
        <f ca="1">IF($D112&lt;&gt;"Serviço",0,IF(ACOMPANHAMENTO="BM",ROUND(OFFSET(ORÇAMENTO!AJ$15,ROW(H112)-ROW(H$15),0),15-13*ORÇAMENTO!$AF$7),SUMPRODUCT(($Q$1:$AA$1=1)*ROUND($Q112:$AA112,15-13*ORÇAMENTO!$AF$7))))</f>
        <v>20</v>
      </c>
      <c r="I112" s="469"/>
      <c r="J112" s="577" t="str" cm="1">
        <f t="array" aca="1" ref="J112" ca="1">IF(B112&lt;&gt;"S","",IF(AND(ACOMPANHAMENTO="PLE",AUTOEVENTO="Manual",OR(H112&gt;0,ORÇAMENTO!AC112="QUANT."),OR(K112="",M112=0,N112="")),"►",IF(AND(ACOMPANHAMENTO="PLE",ORÇAMENTO!AC112="QUANT."),"►►",IF(AND(COUNTIF($P$11:$AA$11,"▼")=0,H112&gt;0,I112=""),"◄",""))))</f>
        <v>◄</v>
      </c>
      <c r="K112" s="626"/>
      <c r="L112" s="166" t="s">
        <v>765</v>
      </c>
      <c r="M112" s="167">
        <f ca="1">IF($D112&lt;&gt;"Serviço","",
          IF(AUTOEVENTO="manual",$A112,
                IF(ISERROR(MATCH($A112,$A$15:OFFSET($A112,-1,0),0)),MAX($M$15:OFFSET(M112,-1,0))+1,
                      INDEX($M$15:OFFSET(M112,-1,0),MATCH($A112,$A$15:OFFSET($A112,-1,0),0)))))</f>
        <v>9</v>
      </c>
      <c r="N112" s="168" t="str">
        <f ca="1">IF($D112&lt;&gt;"Serviço","",
         IF(AUTOEVENTO="Manual",
                IF($A112=0,"&lt;-- defina o número do agrupador",
                       OFFSET(EVENTOS!$D$15,$A112-$A$15,0)),
                OFFSET($F$15,$A112,0)))</f>
        <v>INSTALAÇÕES ELÉTRICAS</v>
      </c>
      <c r="O112" s="169"/>
      <c r="Q112" s="169"/>
      <c r="R112" s="170"/>
      <c r="S112" s="170"/>
      <c r="T112" s="170"/>
      <c r="U112" s="170"/>
      <c r="V112" s="170"/>
      <c r="W112" s="170"/>
      <c r="X112" s="170"/>
      <c r="Y112" s="170"/>
      <c r="Z112" s="171"/>
      <c r="AB112" s="454">
        <f ca="1">IF(AND($D112="Serviço",AB$12&lt;&gt;0,$H112&gt;0,OR(AUTOEVENTO&lt;&gt;"manual",$M112&lt;&gt;$A$15)),
        IF(Import.TipoArredondamento&lt;&gt;"TransfereGOV",
              ROUND(OFFSET($P112,0,AB$13),15-13*ORÇAMENTO!$AF$7)/$H112*OFFSET(ORÇAMENTO!$X$15,ROW(AB112)-ROW(AB$15),0),
              ROUND(ROUND(OFFSET($P112,0,AB$13),15-13*ORÇAMENTO!$AF$7)*OFFSET(ORÇAMENTO!$W$15,ROW(AB112)-ROW(AB$15),0),15-13*ORÇAMENTO!$AF$11)),
         0)</f>
        <v>0</v>
      </c>
      <c r="AC112" s="454">
        <f ca="1">IF(AND($D112="Serviço",AC$12&lt;&gt;0,$H112&gt;0,OR(AUTOEVENTO&lt;&gt;"manual",$M112&lt;&gt;$A$15)),
        IF(Import.TipoArredondamento&lt;&gt;"TransfereGOV",
              ROUND(OFFSET($P112,0,AC$13),15-13*ORÇAMENTO!$AF$7)/$H112*OFFSET(ORÇAMENTO!$X$15,ROW(AC112)-ROW(AC$15),0),
              ROUND(ROUND(OFFSET($P112,0,AC$13),15-13*ORÇAMENTO!$AF$7)*OFFSET(ORÇAMENTO!$W$15,ROW(AC112)-ROW(AC$15),0),15-13*ORÇAMENTO!$AF$11)),
         0)</f>
        <v>0</v>
      </c>
      <c r="AD112" s="454">
        <f ca="1">IF(AND($D112="Serviço",AD$12&lt;&gt;0,$H112&gt;0,OR(AUTOEVENTO&lt;&gt;"manual",$M112&lt;&gt;$A$15)),
        IF(Import.TipoArredondamento&lt;&gt;"TransfereGOV",
              ROUND(OFFSET($P112,0,AD$13),15-13*ORÇAMENTO!$AF$7)/$H112*OFFSET(ORÇAMENTO!$X$15,ROW(AD112)-ROW(AD$15),0),
              ROUND(ROUND(OFFSET($P112,0,AD$13),15-13*ORÇAMENTO!$AF$7)*OFFSET(ORÇAMENTO!$W$15,ROW(AD112)-ROW(AD$15),0),15-13*ORÇAMENTO!$AF$11)),
         0)</f>
        <v>0</v>
      </c>
      <c r="AE112" s="454">
        <f ca="1">IF(AND($D112="Serviço",AE$12&lt;&gt;0,$H112&gt;0,OR(AUTOEVENTO&lt;&gt;"manual",$M112&lt;&gt;$A$15)),
        IF(Import.TipoArredondamento&lt;&gt;"TransfereGOV",
              ROUND(OFFSET($P112,0,AE$13),15-13*ORÇAMENTO!$AF$7)/$H112*OFFSET(ORÇAMENTO!$X$15,ROW(AE112)-ROW(AE$15),0),
              ROUND(ROUND(OFFSET($P112,0,AE$13),15-13*ORÇAMENTO!$AF$7)*OFFSET(ORÇAMENTO!$W$15,ROW(AE112)-ROW(AE$15),0),15-13*ORÇAMENTO!$AF$11)),
         0)</f>
        <v>0</v>
      </c>
      <c r="AF112" s="454">
        <f ca="1">IF(AND($D112="Serviço",AF$12&lt;&gt;0,$H112&gt;0,OR(AUTOEVENTO&lt;&gt;"manual",$M112&lt;&gt;$A$15)),
        IF(Import.TipoArredondamento&lt;&gt;"TransfereGOV",
              ROUND(OFFSET($P112,0,AF$13),15-13*ORÇAMENTO!$AF$7)/$H112*OFFSET(ORÇAMENTO!$X$15,ROW(AF112)-ROW(AF$15),0),
              ROUND(ROUND(OFFSET($P112,0,AF$13),15-13*ORÇAMENTO!$AF$7)*OFFSET(ORÇAMENTO!$W$15,ROW(AF112)-ROW(AF$15),0),15-13*ORÇAMENTO!$AF$11)),
         0)</f>
        <v>0</v>
      </c>
      <c r="AG112" s="454">
        <f ca="1">IF(AND($D112="Serviço",AG$12&lt;&gt;0,$H112&gt;0,OR(AUTOEVENTO&lt;&gt;"manual",$M112&lt;&gt;$A$15)),
        IF(Import.TipoArredondamento&lt;&gt;"TransfereGOV",
              ROUND(OFFSET($P112,0,AG$13),15-13*ORÇAMENTO!$AF$7)/$H112*OFFSET(ORÇAMENTO!$X$15,ROW(AG112)-ROW(AG$15),0),
              ROUND(ROUND(OFFSET($P112,0,AG$13),15-13*ORÇAMENTO!$AF$7)*OFFSET(ORÇAMENTO!$W$15,ROW(AG112)-ROW(AG$15),0),15-13*ORÇAMENTO!$AF$11)),
         0)</f>
        <v>0</v>
      </c>
      <c r="AH112" s="454">
        <f ca="1">IF(AND($D112="Serviço",AH$12&lt;&gt;0,$H112&gt;0,OR(AUTOEVENTO&lt;&gt;"manual",$M112&lt;&gt;$A$15)),
        IF(Import.TipoArredondamento&lt;&gt;"TransfereGOV",
              ROUND(OFFSET($P112,0,AH$13),15-13*ORÇAMENTO!$AF$7)/$H112*OFFSET(ORÇAMENTO!$X$15,ROW(AH112)-ROW(AH$15),0),
              ROUND(ROUND(OFFSET($P112,0,AH$13),15-13*ORÇAMENTO!$AF$7)*OFFSET(ORÇAMENTO!$W$15,ROW(AH112)-ROW(AH$15),0),15-13*ORÇAMENTO!$AF$11)),
         0)</f>
        <v>0</v>
      </c>
      <c r="AI112" s="454">
        <f ca="1">IF(AND($D112="Serviço",AI$12&lt;&gt;0,$H112&gt;0,OR(AUTOEVENTO&lt;&gt;"manual",$M112&lt;&gt;$A$15)),
        IF(Import.TipoArredondamento&lt;&gt;"TransfereGOV",
              ROUND(OFFSET($P112,0,AI$13),15-13*ORÇAMENTO!$AF$7)/$H112*OFFSET(ORÇAMENTO!$X$15,ROW(AI112)-ROW(AI$15),0),
              ROUND(ROUND(OFFSET($P112,0,AI$13),15-13*ORÇAMENTO!$AF$7)*OFFSET(ORÇAMENTO!$W$15,ROW(AI112)-ROW(AI$15),0),15-13*ORÇAMENTO!$AF$11)),
         0)</f>
        <v>0</v>
      </c>
      <c r="AJ112" s="454">
        <f ca="1">IF(AND($D112="Serviço",AJ$12&lt;&gt;0,$H112&gt;0,OR(AUTOEVENTO&lt;&gt;"manual",$M112&lt;&gt;$A$15)),
        IF(Import.TipoArredondamento&lt;&gt;"TransfereGOV",
              ROUND(OFFSET($P112,0,AJ$13),15-13*ORÇAMENTO!$AF$7)/$H112*OFFSET(ORÇAMENTO!$X$15,ROW(AJ112)-ROW(AJ$15),0),
              ROUND(ROUND(OFFSET($P112,0,AJ$13),15-13*ORÇAMENTO!$AF$7)*OFFSET(ORÇAMENTO!$W$15,ROW(AJ112)-ROW(AJ$15),0),15-13*ORÇAMENTO!$AF$11)),
         0)</f>
        <v>0</v>
      </c>
      <c r="AK112" s="454">
        <f ca="1">IF(AND($D112="Serviço",AK$12&lt;&gt;0,$H112&gt;0,OR(AUTOEVENTO&lt;&gt;"manual",$M112&lt;&gt;$A$15)),
        IF(Import.TipoArredondamento&lt;&gt;"TransfereGOV",
              ROUND(OFFSET($P112,0,AK$13),15-13*ORÇAMENTO!$AF$7)/$H112*OFFSET(ORÇAMENTO!$X$15,ROW(AK112)-ROW(AK$15),0),
              ROUND(ROUND(OFFSET($P112,0,AK$13),15-13*ORÇAMENTO!$AF$7)*OFFSET(ORÇAMENTO!$W$15,ROW(AK112)-ROW(AK$15),0),15-13*ORÇAMENTO!$AF$11)),
         0)</f>
        <v>0</v>
      </c>
      <c r="AM112" s="172">
        <f ca="1">IF(OR($D112&lt;&gt;"Serviço",AND(AUTOEVENTO="Manual",$M112=$A$15)),0,
         IF(OFFSET(CRONOPLE!$F$15,$M112-$A$15,AM$13)="",10^12,OFFSET(CRONOPLE!$F$15,$M112-$A$15,AM$13)))</f>
        <v>1000000000000</v>
      </c>
      <c r="AN112" s="172">
        <f ca="1">IF(OR($D112&lt;&gt;"Serviço",AND(AUTOEVENTO="Manual",$M112=$A$15)),0,
         IF(OFFSET(CRONOPLE!$F$15,$M112-$A$15,AN$13)="",10^12,OFFSET(CRONOPLE!$F$15,$M112-$A$15,AN$13)))</f>
        <v>1000000000000</v>
      </c>
      <c r="AO112" s="172">
        <f ca="1">IF(OR($D112&lt;&gt;"Serviço",AND(AUTOEVENTO="Manual",$M112=$A$15)),0,
         IF(OFFSET(CRONOPLE!$F$15,$M112-$A$15,AO$13)="",10^12,OFFSET(CRONOPLE!$F$15,$M112-$A$15,AO$13)))</f>
        <v>1000000000000</v>
      </c>
      <c r="AP112" s="172">
        <f ca="1">IF(OR($D112&lt;&gt;"Serviço",AND(AUTOEVENTO="Manual",$M112=$A$15)),0,
         IF(OFFSET(CRONOPLE!$F$15,$M112-$A$15,AP$13)="",10^12,OFFSET(CRONOPLE!$F$15,$M112-$A$15,AP$13)))</f>
        <v>1000000000000</v>
      </c>
      <c r="AQ112" s="172">
        <f ca="1">IF(OR($D112&lt;&gt;"Serviço",AND(AUTOEVENTO="Manual",$M112=$A$15)),0,
         IF(OFFSET(CRONOPLE!$F$15,$M112-$A$15,AQ$13)="",10^12,OFFSET(CRONOPLE!$F$15,$M112-$A$15,AQ$13)))</f>
        <v>1000000000000</v>
      </c>
      <c r="AR112" s="172">
        <f ca="1">IF(OR($D112&lt;&gt;"Serviço",AND(AUTOEVENTO="Manual",$M112=$A$15)),0,
         IF(OFFSET(CRONOPLE!$F$15,$M112-$A$15,AR$13)="",10^12,OFFSET(CRONOPLE!$F$15,$M112-$A$15,AR$13)))</f>
        <v>1000000000000</v>
      </c>
      <c r="AS112" s="172">
        <f ca="1">IF(OR($D112&lt;&gt;"Serviço",AND(AUTOEVENTO="Manual",$M112=$A$15)),0,
         IF(OFFSET(CRONOPLE!$F$15,$M112-$A$15,AS$13)="",10^12,OFFSET(CRONOPLE!$F$15,$M112-$A$15,AS$13)))</f>
        <v>1000000000000</v>
      </c>
      <c r="AT112" s="172">
        <f ca="1">IF(OR($D112&lt;&gt;"Serviço",AND(AUTOEVENTO="Manual",$M112=$A$15)),0,
         IF(OFFSET(CRONOPLE!$F$15,$M112-$A$15,AT$13)="",10^12,OFFSET(CRONOPLE!$F$15,$M112-$A$15,AT$13)))</f>
        <v>1000000000000</v>
      </c>
      <c r="AU112" s="172">
        <f ca="1">IF(OR($D112&lt;&gt;"Serviço",AND(AUTOEVENTO="Manual",$M112=$A$15)),0,
         IF(OFFSET(CRONOPLE!$F$15,$M112-$A$15,AU$13)="",10^12,OFFSET(CRONOPLE!$F$15,$M112-$A$15,AU$13)))</f>
        <v>1000000000000</v>
      </c>
      <c r="AV112" s="172">
        <f ca="1">IF(OR($D112&lt;&gt;"Serviço",AND(AUTOEVENTO="Manual",$M112=$A$15)),0,
         IF(OFFSET(CRONOPLE!$F$15,$M112-$A$15,AV$13)="",10^12,OFFSET(CRONOPLE!$F$15,$M112-$A$15,AV$13)))</f>
        <v>1000000000000</v>
      </c>
      <c r="AX112" s="173">
        <f ca="1">IF(OR($D112&lt;&gt;"Serviço",AND(AUTOEVENTO="Manual",$M112=$A$15),$M112&gt;(ROW(PLE.lastrow)-ROW(PLE.firstrow))),0,
           IF(OFFSET(PLE!$G$15,$M112-$A$15,AX$13)="",10^12,OFFSET(PLE!$G$15,$M112-$A$15,AX$13)))</f>
        <v>1000000000000</v>
      </c>
      <c r="AY112" s="173">
        <f ca="1">IF(OR($D112&lt;&gt;"Serviço",AND(AUTOEVENTO="Manual",$M112=$A$15),$M112&gt;(ROW(PLE.lastrow)-ROW(PLE.firstrow))),0,
           IF(OFFSET(PLE!$G$15,$M112-$A$15,AY$13)="",10^12,OFFSET(PLE!$G$15,$M112-$A$15,AY$13)))</f>
        <v>1000000000000</v>
      </c>
      <c r="AZ112" s="173">
        <f ca="1">IF(OR($D112&lt;&gt;"Serviço",AND(AUTOEVENTO="Manual",$M112=$A$15),$M112&gt;(ROW(PLE.lastrow)-ROW(PLE.firstrow))),0,
           IF(OFFSET(PLE!$G$15,$M112-$A$15,AZ$13)="",10^12,OFFSET(PLE!$G$15,$M112-$A$15,AZ$13)))</f>
        <v>1000000000000</v>
      </c>
      <c r="BA112" s="173">
        <f ca="1">IF(OR($D112&lt;&gt;"Serviço",AND(AUTOEVENTO="Manual",$M112=$A$15),$M112&gt;(ROW(PLE.lastrow)-ROW(PLE.firstrow))),0,
           IF(OFFSET(PLE!$G$15,$M112-$A$15,BA$13)="",10^12,OFFSET(PLE!$G$15,$M112-$A$15,BA$13)))</f>
        <v>1000000000000</v>
      </c>
      <c r="BB112" s="173">
        <f ca="1">IF(OR($D112&lt;&gt;"Serviço",AND(AUTOEVENTO="Manual",$M112=$A$15),$M112&gt;(ROW(PLE.lastrow)-ROW(PLE.firstrow))),0,
           IF(OFFSET(PLE!$G$15,$M112-$A$15,BB$13)="",10^12,OFFSET(PLE!$G$15,$M112-$A$15,BB$13)))</f>
        <v>1000000000000</v>
      </c>
      <c r="BC112" s="173">
        <f ca="1">IF(OR($D112&lt;&gt;"Serviço",AND(AUTOEVENTO="Manual",$M112=$A$15),$M112&gt;(ROW(PLE.lastrow)-ROW(PLE.firstrow))),0,
           IF(OFFSET(PLE!$G$15,$M112-$A$15,BC$13)="",10^12,OFFSET(PLE!$G$15,$M112-$A$15,BC$13)))</f>
        <v>1000000000000</v>
      </c>
      <c r="BD112" s="173">
        <f ca="1">IF(OR($D112&lt;&gt;"Serviço",AND(AUTOEVENTO="Manual",$M112=$A$15),$M112&gt;(ROW(PLE.lastrow)-ROW(PLE.firstrow))),0,
           IF(OFFSET(PLE!$G$15,$M112-$A$15,BD$13)="",10^12,OFFSET(PLE!$G$15,$M112-$A$15,BD$13)))</f>
        <v>1000000000000</v>
      </c>
      <c r="BE112" s="173">
        <f ca="1">IF(OR($D112&lt;&gt;"Serviço",AND(AUTOEVENTO="Manual",$M112=$A$15),$M112&gt;(ROW(PLE.lastrow)-ROW(PLE.firstrow))),0,
           IF(OFFSET(PLE!$G$15,$M112-$A$15,BE$13)="",10^12,OFFSET(PLE!$G$15,$M112-$A$15,BE$13)))</f>
        <v>1000000000000</v>
      </c>
      <c r="BF112" s="173">
        <f ca="1">IF(OR($D112&lt;&gt;"Serviço",AND(AUTOEVENTO="Manual",$M112=$A$15),$M112&gt;(ROW(PLE.lastrow)-ROW(PLE.firstrow))),0,
           IF(OFFSET(PLE!$G$15,$M112-$A$15,BF$13)="",10^12,OFFSET(PLE!$G$15,$M112-$A$15,BF$13)))</f>
        <v>1000000000000</v>
      </c>
      <c r="BG112" s="173">
        <f ca="1">IF(OR($D112&lt;&gt;"Serviço",AND(AUTOEVENTO="Manual",$M112=$A$15),$M112&gt;(ROW(PLE.lastrow)-ROW(PLE.firstrow))),0,
           IF(OFFSET(PLE!$G$15,$M112-$A$15,BG$13)="",10^12,OFFSET(PLE!$G$15,$M112-$A$15,BG$13)))</f>
        <v>1000000000000</v>
      </c>
    </row>
    <row r="113" spans="1:59" ht="12.75" x14ac:dyDescent="0.2">
      <c r="A113" s="7" t="str">
        <f t="shared" ca="1" si="9"/>
        <v>39</v>
      </c>
      <c r="B113" s="7" t="str">
        <f ca="1">OFFSET(ORÇAMENTO!C$15,ROW(B113)-ROW(B$15),0)</f>
        <v>S</v>
      </c>
      <c r="C113" s="7" t="str">
        <f ca="1">OFFSET(ORÇAMENTO!L$15,ROW(C113)-ROW(C$15),0)</f>
        <v/>
      </c>
      <c r="D113" s="117" t="str">
        <f ca="1">OFFSET(ORÇAMENTO!N$15,ROW(D113)-ROW(D$15),0)</f>
        <v>Serviço</v>
      </c>
      <c r="E113" s="118" t="str">
        <f ca="1">OFFSET(ORÇAMENTO!O$15,ROW(E113)-ROW(E$15),0)</f>
        <v>-</v>
      </c>
      <c r="F113" s="164" t="str">
        <f ca="1">OFFSET(ORÇAMENTO!R$15,ROW(F113)-ROW(F$15),0)</f>
        <v>AUXILIAR DE ELETRICISTA COM ENCARGOS COMPLEMENTARES</v>
      </c>
      <c r="G113" s="165" t="str">
        <f ca="1">IF($D113&lt;&gt;"Serviço","",OFFSET(ORÇAMENTO!S$15,ROW(G113)-ROW(G$15),0))</f>
        <v>H</v>
      </c>
      <c r="H113" s="123">
        <f ca="1">IF($D113&lt;&gt;"Serviço",0,IF(ACOMPANHAMENTO="BM",ROUND(OFFSET(ORÇAMENTO!AJ$15,ROW(H113)-ROW(H$15),0),15-13*ORÇAMENTO!$AF$7),SUMPRODUCT(($Q$1:$AA$1=1)*ROUND($Q113:$AA113,15-13*ORÇAMENTO!$AF$7))))</f>
        <v>48</v>
      </c>
      <c r="I113" s="469"/>
      <c r="J113" s="577" t="str" cm="1">
        <f t="array" aca="1" ref="J113" ca="1">IF(B113&lt;&gt;"S","",IF(AND(ACOMPANHAMENTO="PLE",AUTOEVENTO="Manual",OR(H113&gt;0,ORÇAMENTO!AC113="QUANT."),OR(K113="",M113=0,N113="")),"►",IF(AND(ACOMPANHAMENTO="PLE",ORÇAMENTO!AC113="QUANT."),"►►",IF(AND(COUNTIF($P$11:$AA$11,"▼")=0,H113&gt;0,I113=""),"◄",""))))</f>
        <v>◄</v>
      </c>
      <c r="K113" s="626"/>
      <c r="L113" s="166" t="s">
        <v>765</v>
      </c>
      <c r="M113" s="167">
        <f ca="1">IF($D113&lt;&gt;"Serviço","",
          IF(AUTOEVENTO="manual",$A113,
                IF(ISERROR(MATCH($A113,$A$15:OFFSET($A113,-1,0),0)),MAX($M$15:OFFSET(M113,-1,0))+1,
                      INDEX($M$15:OFFSET(M113,-1,0),MATCH($A113,$A$15:OFFSET($A113,-1,0),0)))))</f>
        <v>9</v>
      </c>
      <c r="N113" s="168" t="str">
        <f ca="1">IF($D113&lt;&gt;"Serviço","",
         IF(AUTOEVENTO="Manual",
                IF($A113=0,"&lt;-- defina o número do agrupador",
                       OFFSET(EVENTOS!$D$15,$A113-$A$15,0)),
                OFFSET($F$15,$A113,0)))</f>
        <v>INSTALAÇÕES ELÉTRICAS</v>
      </c>
      <c r="O113" s="169"/>
      <c r="Q113" s="169"/>
      <c r="R113" s="170"/>
      <c r="S113" s="170"/>
      <c r="T113" s="170"/>
      <c r="U113" s="170"/>
      <c r="V113" s="170"/>
      <c r="W113" s="170"/>
      <c r="X113" s="170"/>
      <c r="Y113" s="170"/>
      <c r="Z113" s="171"/>
      <c r="AB113" s="454">
        <f ca="1">IF(AND($D113="Serviço",AB$12&lt;&gt;0,$H113&gt;0,OR(AUTOEVENTO&lt;&gt;"manual",$M113&lt;&gt;$A$15)),
        IF(Import.TipoArredondamento&lt;&gt;"TransfereGOV",
              ROUND(OFFSET($P113,0,AB$13),15-13*ORÇAMENTO!$AF$7)/$H113*OFFSET(ORÇAMENTO!$X$15,ROW(AB113)-ROW(AB$15),0),
              ROUND(ROUND(OFFSET($P113,0,AB$13),15-13*ORÇAMENTO!$AF$7)*OFFSET(ORÇAMENTO!$W$15,ROW(AB113)-ROW(AB$15),0),15-13*ORÇAMENTO!$AF$11)),
         0)</f>
        <v>0</v>
      </c>
      <c r="AC113" s="454">
        <f ca="1">IF(AND($D113="Serviço",AC$12&lt;&gt;0,$H113&gt;0,OR(AUTOEVENTO&lt;&gt;"manual",$M113&lt;&gt;$A$15)),
        IF(Import.TipoArredondamento&lt;&gt;"TransfereGOV",
              ROUND(OFFSET($P113,0,AC$13),15-13*ORÇAMENTO!$AF$7)/$H113*OFFSET(ORÇAMENTO!$X$15,ROW(AC113)-ROW(AC$15),0),
              ROUND(ROUND(OFFSET($P113,0,AC$13),15-13*ORÇAMENTO!$AF$7)*OFFSET(ORÇAMENTO!$W$15,ROW(AC113)-ROW(AC$15),0),15-13*ORÇAMENTO!$AF$11)),
         0)</f>
        <v>0</v>
      </c>
      <c r="AD113" s="454">
        <f ca="1">IF(AND($D113="Serviço",AD$12&lt;&gt;0,$H113&gt;0,OR(AUTOEVENTO&lt;&gt;"manual",$M113&lt;&gt;$A$15)),
        IF(Import.TipoArredondamento&lt;&gt;"TransfereGOV",
              ROUND(OFFSET($P113,0,AD$13),15-13*ORÇAMENTO!$AF$7)/$H113*OFFSET(ORÇAMENTO!$X$15,ROW(AD113)-ROW(AD$15),0),
              ROUND(ROUND(OFFSET($P113,0,AD$13),15-13*ORÇAMENTO!$AF$7)*OFFSET(ORÇAMENTO!$W$15,ROW(AD113)-ROW(AD$15),0),15-13*ORÇAMENTO!$AF$11)),
         0)</f>
        <v>0</v>
      </c>
      <c r="AE113" s="454">
        <f ca="1">IF(AND($D113="Serviço",AE$12&lt;&gt;0,$H113&gt;0,OR(AUTOEVENTO&lt;&gt;"manual",$M113&lt;&gt;$A$15)),
        IF(Import.TipoArredondamento&lt;&gt;"TransfereGOV",
              ROUND(OFFSET($P113,0,AE$13),15-13*ORÇAMENTO!$AF$7)/$H113*OFFSET(ORÇAMENTO!$X$15,ROW(AE113)-ROW(AE$15),0),
              ROUND(ROUND(OFFSET($P113,0,AE$13),15-13*ORÇAMENTO!$AF$7)*OFFSET(ORÇAMENTO!$W$15,ROW(AE113)-ROW(AE$15),0),15-13*ORÇAMENTO!$AF$11)),
         0)</f>
        <v>0</v>
      </c>
      <c r="AF113" s="454">
        <f ca="1">IF(AND($D113="Serviço",AF$12&lt;&gt;0,$H113&gt;0,OR(AUTOEVENTO&lt;&gt;"manual",$M113&lt;&gt;$A$15)),
        IF(Import.TipoArredondamento&lt;&gt;"TransfereGOV",
              ROUND(OFFSET($P113,0,AF$13),15-13*ORÇAMENTO!$AF$7)/$H113*OFFSET(ORÇAMENTO!$X$15,ROW(AF113)-ROW(AF$15),0),
              ROUND(ROUND(OFFSET($P113,0,AF$13),15-13*ORÇAMENTO!$AF$7)*OFFSET(ORÇAMENTO!$W$15,ROW(AF113)-ROW(AF$15),0),15-13*ORÇAMENTO!$AF$11)),
         0)</f>
        <v>0</v>
      </c>
      <c r="AG113" s="454">
        <f ca="1">IF(AND($D113="Serviço",AG$12&lt;&gt;0,$H113&gt;0,OR(AUTOEVENTO&lt;&gt;"manual",$M113&lt;&gt;$A$15)),
        IF(Import.TipoArredondamento&lt;&gt;"TransfereGOV",
              ROUND(OFFSET($P113,0,AG$13),15-13*ORÇAMENTO!$AF$7)/$H113*OFFSET(ORÇAMENTO!$X$15,ROW(AG113)-ROW(AG$15),0),
              ROUND(ROUND(OFFSET($P113,0,AG$13),15-13*ORÇAMENTO!$AF$7)*OFFSET(ORÇAMENTO!$W$15,ROW(AG113)-ROW(AG$15),0),15-13*ORÇAMENTO!$AF$11)),
         0)</f>
        <v>0</v>
      </c>
      <c r="AH113" s="454">
        <f ca="1">IF(AND($D113="Serviço",AH$12&lt;&gt;0,$H113&gt;0,OR(AUTOEVENTO&lt;&gt;"manual",$M113&lt;&gt;$A$15)),
        IF(Import.TipoArredondamento&lt;&gt;"TransfereGOV",
              ROUND(OFFSET($P113,0,AH$13),15-13*ORÇAMENTO!$AF$7)/$H113*OFFSET(ORÇAMENTO!$X$15,ROW(AH113)-ROW(AH$15),0),
              ROUND(ROUND(OFFSET($P113,0,AH$13),15-13*ORÇAMENTO!$AF$7)*OFFSET(ORÇAMENTO!$W$15,ROW(AH113)-ROW(AH$15),0),15-13*ORÇAMENTO!$AF$11)),
         0)</f>
        <v>0</v>
      </c>
      <c r="AI113" s="454">
        <f ca="1">IF(AND($D113="Serviço",AI$12&lt;&gt;0,$H113&gt;0,OR(AUTOEVENTO&lt;&gt;"manual",$M113&lt;&gt;$A$15)),
        IF(Import.TipoArredondamento&lt;&gt;"TransfereGOV",
              ROUND(OFFSET($P113,0,AI$13),15-13*ORÇAMENTO!$AF$7)/$H113*OFFSET(ORÇAMENTO!$X$15,ROW(AI113)-ROW(AI$15),0),
              ROUND(ROUND(OFFSET($P113,0,AI$13),15-13*ORÇAMENTO!$AF$7)*OFFSET(ORÇAMENTO!$W$15,ROW(AI113)-ROW(AI$15),0),15-13*ORÇAMENTO!$AF$11)),
         0)</f>
        <v>0</v>
      </c>
      <c r="AJ113" s="454">
        <f ca="1">IF(AND($D113="Serviço",AJ$12&lt;&gt;0,$H113&gt;0,OR(AUTOEVENTO&lt;&gt;"manual",$M113&lt;&gt;$A$15)),
        IF(Import.TipoArredondamento&lt;&gt;"TransfereGOV",
              ROUND(OFFSET($P113,0,AJ$13),15-13*ORÇAMENTO!$AF$7)/$H113*OFFSET(ORÇAMENTO!$X$15,ROW(AJ113)-ROW(AJ$15),0),
              ROUND(ROUND(OFFSET($P113,0,AJ$13),15-13*ORÇAMENTO!$AF$7)*OFFSET(ORÇAMENTO!$W$15,ROW(AJ113)-ROW(AJ$15),0),15-13*ORÇAMENTO!$AF$11)),
         0)</f>
        <v>0</v>
      </c>
      <c r="AK113" s="454">
        <f ca="1">IF(AND($D113="Serviço",AK$12&lt;&gt;0,$H113&gt;0,OR(AUTOEVENTO&lt;&gt;"manual",$M113&lt;&gt;$A$15)),
        IF(Import.TipoArredondamento&lt;&gt;"TransfereGOV",
              ROUND(OFFSET($P113,0,AK$13),15-13*ORÇAMENTO!$AF$7)/$H113*OFFSET(ORÇAMENTO!$X$15,ROW(AK113)-ROW(AK$15),0),
              ROUND(ROUND(OFFSET($P113,0,AK$13),15-13*ORÇAMENTO!$AF$7)*OFFSET(ORÇAMENTO!$W$15,ROW(AK113)-ROW(AK$15),0),15-13*ORÇAMENTO!$AF$11)),
         0)</f>
        <v>0</v>
      </c>
      <c r="AM113" s="172">
        <f ca="1">IF(OR($D113&lt;&gt;"Serviço",AND(AUTOEVENTO="Manual",$M113=$A$15)),0,
         IF(OFFSET(CRONOPLE!$F$15,$M113-$A$15,AM$13)="",10^12,OFFSET(CRONOPLE!$F$15,$M113-$A$15,AM$13)))</f>
        <v>1000000000000</v>
      </c>
      <c r="AN113" s="172">
        <f ca="1">IF(OR($D113&lt;&gt;"Serviço",AND(AUTOEVENTO="Manual",$M113=$A$15)),0,
         IF(OFFSET(CRONOPLE!$F$15,$M113-$A$15,AN$13)="",10^12,OFFSET(CRONOPLE!$F$15,$M113-$A$15,AN$13)))</f>
        <v>1000000000000</v>
      </c>
      <c r="AO113" s="172">
        <f ca="1">IF(OR($D113&lt;&gt;"Serviço",AND(AUTOEVENTO="Manual",$M113=$A$15)),0,
         IF(OFFSET(CRONOPLE!$F$15,$M113-$A$15,AO$13)="",10^12,OFFSET(CRONOPLE!$F$15,$M113-$A$15,AO$13)))</f>
        <v>1000000000000</v>
      </c>
      <c r="AP113" s="172">
        <f ca="1">IF(OR($D113&lt;&gt;"Serviço",AND(AUTOEVENTO="Manual",$M113=$A$15)),0,
         IF(OFFSET(CRONOPLE!$F$15,$M113-$A$15,AP$13)="",10^12,OFFSET(CRONOPLE!$F$15,$M113-$A$15,AP$13)))</f>
        <v>1000000000000</v>
      </c>
      <c r="AQ113" s="172">
        <f ca="1">IF(OR($D113&lt;&gt;"Serviço",AND(AUTOEVENTO="Manual",$M113=$A$15)),0,
         IF(OFFSET(CRONOPLE!$F$15,$M113-$A$15,AQ$13)="",10^12,OFFSET(CRONOPLE!$F$15,$M113-$A$15,AQ$13)))</f>
        <v>1000000000000</v>
      </c>
      <c r="AR113" s="172">
        <f ca="1">IF(OR($D113&lt;&gt;"Serviço",AND(AUTOEVENTO="Manual",$M113=$A$15)),0,
         IF(OFFSET(CRONOPLE!$F$15,$M113-$A$15,AR$13)="",10^12,OFFSET(CRONOPLE!$F$15,$M113-$A$15,AR$13)))</f>
        <v>1000000000000</v>
      </c>
      <c r="AS113" s="172">
        <f ca="1">IF(OR($D113&lt;&gt;"Serviço",AND(AUTOEVENTO="Manual",$M113=$A$15)),0,
         IF(OFFSET(CRONOPLE!$F$15,$M113-$A$15,AS$13)="",10^12,OFFSET(CRONOPLE!$F$15,$M113-$A$15,AS$13)))</f>
        <v>1000000000000</v>
      </c>
      <c r="AT113" s="172">
        <f ca="1">IF(OR($D113&lt;&gt;"Serviço",AND(AUTOEVENTO="Manual",$M113=$A$15)),0,
         IF(OFFSET(CRONOPLE!$F$15,$M113-$A$15,AT$13)="",10^12,OFFSET(CRONOPLE!$F$15,$M113-$A$15,AT$13)))</f>
        <v>1000000000000</v>
      </c>
      <c r="AU113" s="172">
        <f ca="1">IF(OR($D113&lt;&gt;"Serviço",AND(AUTOEVENTO="Manual",$M113=$A$15)),0,
         IF(OFFSET(CRONOPLE!$F$15,$M113-$A$15,AU$13)="",10^12,OFFSET(CRONOPLE!$F$15,$M113-$A$15,AU$13)))</f>
        <v>1000000000000</v>
      </c>
      <c r="AV113" s="172">
        <f ca="1">IF(OR($D113&lt;&gt;"Serviço",AND(AUTOEVENTO="Manual",$M113=$A$15)),0,
         IF(OFFSET(CRONOPLE!$F$15,$M113-$A$15,AV$13)="",10^12,OFFSET(CRONOPLE!$F$15,$M113-$A$15,AV$13)))</f>
        <v>1000000000000</v>
      </c>
      <c r="AX113" s="173">
        <f ca="1">IF(OR($D113&lt;&gt;"Serviço",AND(AUTOEVENTO="Manual",$M113=$A$15),$M113&gt;(ROW(PLE.lastrow)-ROW(PLE.firstrow))),0,
           IF(OFFSET(PLE!$G$15,$M113-$A$15,AX$13)="",10^12,OFFSET(PLE!$G$15,$M113-$A$15,AX$13)))</f>
        <v>1000000000000</v>
      </c>
      <c r="AY113" s="173">
        <f ca="1">IF(OR($D113&lt;&gt;"Serviço",AND(AUTOEVENTO="Manual",$M113=$A$15),$M113&gt;(ROW(PLE.lastrow)-ROW(PLE.firstrow))),0,
           IF(OFFSET(PLE!$G$15,$M113-$A$15,AY$13)="",10^12,OFFSET(PLE!$G$15,$M113-$A$15,AY$13)))</f>
        <v>1000000000000</v>
      </c>
      <c r="AZ113" s="173">
        <f ca="1">IF(OR($D113&lt;&gt;"Serviço",AND(AUTOEVENTO="Manual",$M113=$A$15),$M113&gt;(ROW(PLE.lastrow)-ROW(PLE.firstrow))),0,
           IF(OFFSET(PLE!$G$15,$M113-$A$15,AZ$13)="",10^12,OFFSET(PLE!$G$15,$M113-$A$15,AZ$13)))</f>
        <v>1000000000000</v>
      </c>
      <c r="BA113" s="173">
        <f ca="1">IF(OR($D113&lt;&gt;"Serviço",AND(AUTOEVENTO="Manual",$M113=$A$15),$M113&gt;(ROW(PLE.lastrow)-ROW(PLE.firstrow))),0,
           IF(OFFSET(PLE!$G$15,$M113-$A$15,BA$13)="",10^12,OFFSET(PLE!$G$15,$M113-$A$15,BA$13)))</f>
        <v>1000000000000</v>
      </c>
      <c r="BB113" s="173">
        <f ca="1">IF(OR($D113&lt;&gt;"Serviço",AND(AUTOEVENTO="Manual",$M113=$A$15),$M113&gt;(ROW(PLE.lastrow)-ROW(PLE.firstrow))),0,
           IF(OFFSET(PLE!$G$15,$M113-$A$15,BB$13)="",10^12,OFFSET(PLE!$G$15,$M113-$A$15,BB$13)))</f>
        <v>1000000000000</v>
      </c>
      <c r="BC113" s="173">
        <f ca="1">IF(OR($D113&lt;&gt;"Serviço",AND(AUTOEVENTO="Manual",$M113=$A$15),$M113&gt;(ROW(PLE.lastrow)-ROW(PLE.firstrow))),0,
           IF(OFFSET(PLE!$G$15,$M113-$A$15,BC$13)="",10^12,OFFSET(PLE!$G$15,$M113-$A$15,BC$13)))</f>
        <v>1000000000000</v>
      </c>
      <c r="BD113" s="173">
        <f ca="1">IF(OR($D113&lt;&gt;"Serviço",AND(AUTOEVENTO="Manual",$M113=$A$15),$M113&gt;(ROW(PLE.lastrow)-ROW(PLE.firstrow))),0,
           IF(OFFSET(PLE!$G$15,$M113-$A$15,BD$13)="",10^12,OFFSET(PLE!$G$15,$M113-$A$15,BD$13)))</f>
        <v>1000000000000</v>
      </c>
      <c r="BE113" s="173">
        <f ca="1">IF(OR($D113&lt;&gt;"Serviço",AND(AUTOEVENTO="Manual",$M113=$A$15),$M113&gt;(ROW(PLE.lastrow)-ROW(PLE.firstrow))),0,
           IF(OFFSET(PLE!$G$15,$M113-$A$15,BE$13)="",10^12,OFFSET(PLE!$G$15,$M113-$A$15,BE$13)))</f>
        <v>1000000000000</v>
      </c>
      <c r="BF113" s="173">
        <f ca="1">IF(OR($D113&lt;&gt;"Serviço",AND(AUTOEVENTO="Manual",$M113=$A$15),$M113&gt;(ROW(PLE.lastrow)-ROW(PLE.firstrow))),0,
           IF(OFFSET(PLE!$G$15,$M113-$A$15,BF$13)="",10^12,OFFSET(PLE!$G$15,$M113-$A$15,BF$13)))</f>
        <v>1000000000000</v>
      </c>
      <c r="BG113" s="173">
        <f ca="1">IF(OR($D113&lt;&gt;"Serviço",AND(AUTOEVENTO="Manual",$M113=$A$15),$M113&gt;(ROW(PLE.lastrow)-ROW(PLE.firstrow))),0,
           IF(OFFSET(PLE!$G$15,$M113-$A$15,BG$13)="",10^12,OFFSET(PLE!$G$15,$M113-$A$15,BG$13)))</f>
        <v>1000000000000</v>
      </c>
    </row>
    <row r="114" spans="1:59" ht="12.75" x14ac:dyDescent="0.2">
      <c r="A114" s="7" t="str">
        <f t="shared" ca="1" si="9"/>
        <v>39</v>
      </c>
      <c r="B114" s="7" t="str">
        <f ca="1">OFFSET(ORÇAMENTO!C$15,ROW(B114)-ROW(B$15),0)</f>
        <v>S</v>
      </c>
      <c r="C114" s="7" t="str">
        <f ca="1">OFFSET(ORÇAMENTO!L$15,ROW(C114)-ROW(C$15),0)</f>
        <v/>
      </c>
      <c r="D114" s="117" t="str">
        <f ca="1">OFFSET(ORÇAMENTO!N$15,ROW(D114)-ROW(D$15),0)</f>
        <v>Serviço</v>
      </c>
      <c r="E114" s="118" t="str">
        <f ca="1">OFFSET(ORÇAMENTO!O$15,ROW(E114)-ROW(E$15),0)</f>
        <v>-</v>
      </c>
      <c r="F114" s="164" t="str">
        <f ca="1">OFFSET(ORÇAMENTO!R$15,ROW(F114)-ROW(F$15),0)</f>
        <v>ELETRICISTA COM ENCARGOS COMPLEMENTARES</v>
      </c>
      <c r="G114" s="165" t="str">
        <f ca="1">IF($D114&lt;&gt;"Serviço","",OFFSET(ORÇAMENTO!S$15,ROW(G114)-ROW(G$15),0))</f>
        <v>H</v>
      </c>
      <c r="H114" s="123">
        <f ca="1">IF($D114&lt;&gt;"Serviço",0,IF(ACOMPANHAMENTO="BM",ROUND(OFFSET(ORÇAMENTO!AJ$15,ROW(H114)-ROW(H$15),0),15-13*ORÇAMENTO!$AF$7),SUMPRODUCT(($Q$1:$AA$1=1)*ROUND($Q114:$AA114,15-13*ORÇAMENTO!$AF$7))))</f>
        <v>48</v>
      </c>
      <c r="I114" s="469"/>
      <c r="J114" s="577" t="str" cm="1">
        <f t="array" aca="1" ref="J114" ca="1">IF(B114&lt;&gt;"S","",IF(AND(ACOMPANHAMENTO="PLE",AUTOEVENTO="Manual",OR(H114&gt;0,ORÇAMENTO!AC114="QUANT."),OR(K114="",M114=0,N114="")),"►",IF(AND(ACOMPANHAMENTO="PLE",ORÇAMENTO!AC114="QUANT."),"►►",IF(AND(COUNTIF($P$11:$AA$11,"▼")=0,H114&gt;0,I114=""),"◄",""))))</f>
        <v>◄</v>
      </c>
      <c r="K114" s="626"/>
      <c r="L114" s="166" t="s">
        <v>765</v>
      </c>
      <c r="M114" s="167">
        <f ca="1">IF($D114&lt;&gt;"Serviço","",
          IF(AUTOEVENTO="manual",$A114,
                IF(ISERROR(MATCH($A114,$A$15:OFFSET($A114,-1,0),0)),MAX($M$15:OFFSET(M114,-1,0))+1,
                      INDEX($M$15:OFFSET(M114,-1,0),MATCH($A114,$A$15:OFFSET($A114,-1,0),0)))))</f>
        <v>9</v>
      </c>
      <c r="N114" s="168" t="str">
        <f ca="1">IF($D114&lt;&gt;"Serviço","",
         IF(AUTOEVENTO="Manual",
                IF($A114=0,"&lt;-- defina o número do agrupador",
                       OFFSET(EVENTOS!$D$15,$A114-$A$15,0)),
                OFFSET($F$15,$A114,0)))</f>
        <v>INSTALAÇÕES ELÉTRICAS</v>
      </c>
      <c r="O114" s="169"/>
      <c r="Q114" s="169"/>
      <c r="R114" s="170"/>
      <c r="S114" s="170"/>
      <c r="T114" s="170"/>
      <c r="U114" s="170"/>
      <c r="V114" s="170"/>
      <c r="W114" s="170"/>
      <c r="X114" s="170"/>
      <c r="Y114" s="170"/>
      <c r="Z114" s="171"/>
      <c r="AB114" s="454">
        <f ca="1">IF(AND($D114="Serviço",AB$12&lt;&gt;0,$H114&gt;0,OR(AUTOEVENTO&lt;&gt;"manual",$M114&lt;&gt;$A$15)),
        IF(Import.TipoArredondamento&lt;&gt;"TransfereGOV",
              ROUND(OFFSET($P114,0,AB$13),15-13*ORÇAMENTO!$AF$7)/$H114*OFFSET(ORÇAMENTO!$X$15,ROW(AB114)-ROW(AB$15),0),
              ROUND(ROUND(OFFSET($P114,0,AB$13),15-13*ORÇAMENTO!$AF$7)*OFFSET(ORÇAMENTO!$W$15,ROW(AB114)-ROW(AB$15),0),15-13*ORÇAMENTO!$AF$11)),
         0)</f>
        <v>0</v>
      </c>
      <c r="AC114" s="454">
        <f ca="1">IF(AND($D114="Serviço",AC$12&lt;&gt;0,$H114&gt;0,OR(AUTOEVENTO&lt;&gt;"manual",$M114&lt;&gt;$A$15)),
        IF(Import.TipoArredondamento&lt;&gt;"TransfereGOV",
              ROUND(OFFSET($P114,0,AC$13),15-13*ORÇAMENTO!$AF$7)/$H114*OFFSET(ORÇAMENTO!$X$15,ROW(AC114)-ROW(AC$15),0),
              ROUND(ROUND(OFFSET($P114,0,AC$13),15-13*ORÇAMENTO!$AF$7)*OFFSET(ORÇAMENTO!$W$15,ROW(AC114)-ROW(AC$15),0),15-13*ORÇAMENTO!$AF$11)),
         0)</f>
        <v>0</v>
      </c>
      <c r="AD114" s="454">
        <f ca="1">IF(AND($D114="Serviço",AD$12&lt;&gt;0,$H114&gt;0,OR(AUTOEVENTO&lt;&gt;"manual",$M114&lt;&gt;$A$15)),
        IF(Import.TipoArredondamento&lt;&gt;"TransfereGOV",
              ROUND(OFFSET($P114,0,AD$13),15-13*ORÇAMENTO!$AF$7)/$H114*OFFSET(ORÇAMENTO!$X$15,ROW(AD114)-ROW(AD$15),0),
              ROUND(ROUND(OFFSET($P114,0,AD$13),15-13*ORÇAMENTO!$AF$7)*OFFSET(ORÇAMENTO!$W$15,ROW(AD114)-ROW(AD$15),0),15-13*ORÇAMENTO!$AF$11)),
         0)</f>
        <v>0</v>
      </c>
      <c r="AE114" s="454">
        <f ca="1">IF(AND($D114="Serviço",AE$12&lt;&gt;0,$H114&gt;0,OR(AUTOEVENTO&lt;&gt;"manual",$M114&lt;&gt;$A$15)),
        IF(Import.TipoArredondamento&lt;&gt;"TransfereGOV",
              ROUND(OFFSET($P114,0,AE$13),15-13*ORÇAMENTO!$AF$7)/$H114*OFFSET(ORÇAMENTO!$X$15,ROW(AE114)-ROW(AE$15),0),
              ROUND(ROUND(OFFSET($P114,0,AE$13),15-13*ORÇAMENTO!$AF$7)*OFFSET(ORÇAMENTO!$W$15,ROW(AE114)-ROW(AE$15),0),15-13*ORÇAMENTO!$AF$11)),
         0)</f>
        <v>0</v>
      </c>
      <c r="AF114" s="454">
        <f ca="1">IF(AND($D114="Serviço",AF$12&lt;&gt;0,$H114&gt;0,OR(AUTOEVENTO&lt;&gt;"manual",$M114&lt;&gt;$A$15)),
        IF(Import.TipoArredondamento&lt;&gt;"TransfereGOV",
              ROUND(OFFSET($P114,0,AF$13),15-13*ORÇAMENTO!$AF$7)/$H114*OFFSET(ORÇAMENTO!$X$15,ROW(AF114)-ROW(AF$15),0),
              ROUND(ROUND(OFFSET($P114,0,AF$13),15-13*ORÇAMENTO!$AF$7)*OFFSET(ORÇAMENTO!$W$15,ROW(AF114)-ROW(AF$15),0),15-13*ORÇAMENTO!$AF$11)),
         0)</f>
        <v>0</v>
      </c>
      <c r="AG114" s="454">
        <f ca="1">IF(AND($D114="Serviço",AG$12&lt;&gt;0,$H114&gt;0,OR(AUTOEVENTO&lt;&gt;"manual",$M114&lt;&gt;$A$15)),
        IF(Import.TipoArredondamento&lt;&gt;"TransfereGOV",
              ROUND(OFFSET($P114,0,AG$13),15-13*ORÇAMENTO!$AF$7)/$H114*OFFSET(ORÇAMENTO!$X$15,ROW(AG114)-ROW(AG$15),0),
              ROUND(ROUND(OFFSET($P114,0,AG$13),15-13*ORÇAMENTO!$AF$7)*OFFSET(ORÇAMENTO!$W$15,ROW(AG114)-ROW(AG$15),0),15-13*ORÇAMENTO!$AF$11)),
         0)</f>
        <v>0</v>
      </c>
      <c r="AH114" s="454">
        <f ca="1">IF(AND($D114="Serviço",AH$12&lt;&gt;0,$H114&gt;0,OR(AUTOEVENTO&lt;&gt;"manual",$M114&lt;&gt;$A$15)),
        IF(Import.TipoArredondamento&lt;&gt;"TransfereGOV",
              ROUND(OFFSET($P114,0,AH$13),15-13*ORÇAMENTO!$AF$7)/$H114*OFFSET(ORÇAMENTO!$X$15,ROW(AH114)-ROW(AH$15),0),
              ROUND(ROUND(OFFSET($P114,0,AH$13),15-13*ORÇAMENTO!$AF$7)*OFFSET(ORÇAMENTO!$W$15,ROW(AH114)-ROW(AH$15),0),15-13*ORÇAMENTO!$AF$11)),
         0)</f>
        <v>0</v>
      </c>
      <c r="AI114" s="454">
        <f ca="1">IF(AND($D114="Serviço",AI$12&lt;&gt;0,$H114&gt;0,OR(AUTOEVENTO&lt;&gt;"manual",$M114&lt;&gt;$A$15)),
        IF(Import.TipoArredondamento&lt;&gt;"TransfereGOV",
              ROUND(OFFSET($P114,0,AI$13),15-13*ORÇAMENTO!$AF$7)/$H114*OFFSET(ORÇAMENTO!$X$15,ROW(AI114)-ROW(AI$15),0),
              ROUND(ROUND(OFFSET($P114,0,AI$13),15-13*ORÇAMENTO!$AF$7)*OFFSET(ORÇAMENTO!$W$15,ROW(AI114)-ROW(AI$15),0),15-13*ORÇAMENTO!$AF$11)),
         0)</f>
        <v>0</v>
      </c>
      <c r="AJ114" s="454">
        <f ca="1">IF(AND($D114="Serviço",AJ$12&lt;&gt;0,$H114&gt;0,OR(AUTOEVENTO&lt;&gt;"manual",$M114&lt;&gt;$A$15)),
        IF(Import.TipoArredondamento&lt;&gt;"TransfereGOV",
              ROUND(OFFSET($P114,0,AJ$13),15-13*ORÇAMENTO!$AF$7)/$H114*OFFSET(ORÇAMENTO!$X$15,ROW(AJ114)-ROW(AJ$15),0),
              ROUND(ROUND(OFFSET($P114,0,AJ$13),15-13*ORÇAMENTO!$AF$7)*OFFSET(ORÇAMENTO!$W$15,ROW(AJ114)-ROW(AJ$15),0),15-13*ORÇAMENTO!$AF$11)),
         0)</f>
        <v>0</v>
      </c>
      <c r="AK114" s="454">
        <f ca="1">IF(AND($D114="Serviço",AK$12&lt;&gt;0,$H114&gt;0,OR(AUTOEVENTO&lt;&gt;"manual",$M114&lt;&gt;$A$15)),
        IF(Import.TipoArredondamento&lt;&gt;"TransfereGOV",
              ROUND(OFFSET($P114,0,AK$13),15-13*ORÇAMENTO!$AF$7)/$H114*OFFSET(ORÇAMENTO!$X$15,ROW(AK114)-ROW(AK$15),0),
              ROUND(ROUND(OFFSET($P114,0,AK$13),15-13*ORÇAMENTO!$AF$7)*OFFSET(ORÇAMENTO!$W$15,ROW(AK114)-ROW(AK$15),0),15-13*ORÇAMENTO!$AF$11)),
         0)</f>
        <v>0</v>
      </c>
      <c r="AM114" s="172">
        <f ca="1">IF(OR($D114&lt;&gt;"Serviço",AND(AUTOEVENTO="Manual",$M114=$A$15)),0,
         IF(OFFSET(CRONOPLE!$F$15,$M114-$A$15,AM$13)="",10^12,OFFSET(CRONOPLE!$F$15,$M114-$A$15,AM$13)))</f>
        <v>1000000000000</v>
      </c>
      <c r="AN114" s="172">
        <f ca="1">IF(OR($D114&lt;&gt;"Serviço",AND(AUTOEVENTO="Manual",$M114=$A$15)),0,
         IF(OFFSET(CRONOPLE!$F$15,$M114-$A$15,AN$13)="",10^12,OFFSET(CRONOPLE!$F$15,$M114-$A$15,AN$13)))</f>
        <v>1000000000000</v>
      </c>
      <c r="AO114" s="172">
        <f ca="1">IF(OR($D114&lt;&gt;"Serviço",AND(AUTOEVENTO="Manual",$M114=$A$15)),0,
         IF(OFFSET(CRONOPLE!$F$15,$M114-$A$15,AO$13)="",10^12,OFFSET(CRONOPLE!$F$15,$M114-$A$15,AO$13)))</f>
        <v>1000000000000</v>
      </c>
      <c r="AP114" s="172">
        <f ca="1">IF(OR($D114&lt;&gt;"Serviço",AND(AUTOEVENTO="Manual",$M114=$A$15)),0,
         IF(OFFSET(CRONOPLE!$F$15,$M114-$A$15,AP$13)="",10^12,OFFSET(CRONOPLE!$F$15,$M114-$A$15,AP$13)))</f>
        <v>1000000000000</v>
      </c>
      <c r="AQ114" s="172">
        <f ca="1">IF(OR($D114&lt;&gt;"Serviço",AND(AUTOEVENTO="Manual",$M114=$A$15)),0,
         IF(OFFSET(CRONOPLE!$F$15,$M114-$A$15,AQ$13)="",10^12,OFFSET(CRONOPLE!$F$15,$M114-$A$15,AQ$13)))</f>
        <v>1000000000000</v>
      </c>
      <c r="AR114" s="172">
        <f ca="1">IF(OR($D114&lt;&gt;"Serviço",AND(AUTOEVENTO="Manual",$M114=$A$15)),0,
         IF(OFFSET(CRONOPLE!$F$15,$M114-$A$15,AR$13)="",10^12,OFFSET(CRONOPLE!$F$15,$M114-$A$15,AR$13)))</f>
        <v>1000000000000</v>
      </c>
      <c r="AS114" s="172">
        <f ca="1">IF(OR($D114&lt;&gt;"Serviço",AND(AUTOEVENTO="Manual",$M114=$A$15)),0,
         IF(OFFSET(CRONOPLE!$F$15,$M114-$A$15,AS$13)="",10^12,OFFSET(CRONOPLE!$F$15,$M114-$A$15,AS$13)))</f>
        <v>1000000000000</v>
      </c>
      <c r="AT114" s="172">
        <f ca="1">IF(OR($D114&lt;&gt;"Serviço",AND(AUTOEVENTO="Manual",$M114=$A$15)),0,
         IF(OFFSET(CRONOPLE!$F$15,$M114-$A$15,AT$13)="",10^12,OFFSET(CRONOPLE!$F$15,$M114-$A$15,AT$13)))</f>
        <v>1000000000000</v>
      </c>
      <c r="AU114" s="172">
        <f ca="1">IF(OR($D114&lt;&gt;"Serviço",AND(AUTOEVENTO="Manual",$M114=$A$15)),0,
         IF(OFFSET(CRONOPLE!$F$15,$M114-$A$15,AU$13)="",10^12,OFFSET(CRONOPLE!$F$15,$M114-$A$15,AU$13)))</f>
        <v>1000000000000</v>
      </c>
      <c r="AV114" s="172">
        <f ca="1">IF(OR($D114&lt;&gt;"Serviço",AND(AUTOEVENTO="Manual",$M114=$A$15)),0,
         IF(OFFSET(CRONOPLE!$F$15,$M114-$A$15,AV$13)="",10^12,OFFSET(CRONOPLE!$F$15,$M114-$A$15,AV$13)))</f>
        <v>1000000000000</v>
      </c>
      <c r="AX114" s="173">
        <f ca="1">IF(OR($D114&lt;&gt;"Serviço",AND(AUTOEVENTO="Manual",$M114=$A$15),$M114&gt;(ROW(PLE.lastrow)-ROW(PLE.firstrow))),0,
           IF(OFFSET(PLE!$G$15,$M114-$A$15,AX$13)="",10^12,OFFSET(PLE!$G$15,$M114-$A$15,AX$13)))</f>
        <v>1000000000000</v>
      </c>
      <c r="AY114" s="173">
        <f ca="1">IF(OR($D114&lt;&gt;"Serviço",AND(AUTOEVENTO="Manual",$M114=$A$15),$M114&gt;(ROW(PLE.lastrow)-ROW(PLE.firstrow))),0,
           IF(OFFSET(PLE!$G$15,$M114-$A$15,AY$13)="",10^12,OFFSET(PLE!$G$15,$M114-$A$15,AY$13)))</f>
        <v>1000000000000</v>
      </c>
      <c r="AZ114" s="173">
        <f ca="1">IF(OR($D114&lt;&gt;"Serviço",AND(AUTOEVENTO="Manual",$M114=$A$15),$M114&gt;(ROW(PLE.lastrow)-ROW(PLE.firstrow))),0,
           IF(OFFSET(PLE!$G$15,$M114-$A$15,AZ$13)="",10^12,OFFSET(PLE!$G$15,$M114-$A$15,AZ$13)))</f>
        <v>1000000000000</v>
      </c>
      <c r="BA114" s="173">
        <f ca="1">IF(OR($D114&lt;&gt;"Serviço",AND(AUTOEVENTO="Manual",$M114=$A$15),$M114&gt;(ROW(PLE.lastrow)-ROW(PLE.firstrow))),0,
           IF(OFFSET(PLE!$G$15,$M114-$A$15,BA$13)="",10^12,OFFSET(PLE!$G$15,$M114-$A$15,BA$13)))</f>
        <v>1000000000000</v>
      </c>
      <c r="BB114" s="173">
        <f ca="1">IF(OR($D114&lt;&gt;"Serviço",AND(AUTOEVENTO="Manual",$M114=$A$15),$M114&gt;(ROW(PLE.lastrow)-ROW(PLE.firstrow))),0,
           IF(OFFSET(PLE!$G$15,$M114-$A$15,BB$13)="",10^12,OFFSET(PLE!$G$15,$M114-$A$15,BB$13)))</f>
        <v>1000000000000</v>
      </c>
      <c r="BC114" s="173">
        <f ca="1">IF(OR($D114&lt;&gt;"Serviço",AND(AUTOEVENTO="Manual",$M114=$A$15),$M114&gt;(ROW(PLE.lastrow)-ROW(PLE.firstrow))),0,
           IF(OFFSET(PLE!$G$15,$M114-$A$15,BC$13)="",10^12,OFFSET(PLE!$G$15,$M114-$A$15,BC$13)))</f>
        <v>1000000000000</v>
      </c>
      <c r="BD114" s="173">
        <f ca="1">IF(OR($D114&lt;&gt;"Serviço",AND(AUTOEVENTO="Manual",$M114=$A$15),$M114&gt;(ROW(PLE.lastrow)-ROW(PLE.firstrow))),0,
           IF(OFFSET(PLE!$G$15,$M114-$A$15,BD$13)="",10^12,OFFSET(PLE!$G$15,$M114-$A$15,BD$13)))</f>
        <v>1000000000000</v>
      </c>
      <c r="BE114" s="173">
        <f ca="1">IF(OR($D114&lt;&gt;"Serviço",AND(AUTOEVENTO="Manual",$M114=$A$15),$M114&gt;(ROW(PLE.lastrow)-ROW(PLE.firstrow))),0,
           IF(OFFSET(PLE!$G$15,$M114-$A$15,BE$13)="",10^12,OFFSET(PLE!$G$15,$M114-$A$15,BE$13)))</f>
        <v>1000000000000</v>
      </c>
      <c r="BF114" s="173">
        <f ca="1">IF(OR($D114&lt;&gt;"Serviço",AND(AUTOEVENTO="Manual",$M114=$A$15),$M114&gt;(ROW(PLE.lastrow)-ROW(PLE.firstrow))),0,
           IF(OFFSET(PLE!$G$15,$M114-$A$15,BF$13)="",10^12,OFFSET(PLE!$G$15,$M114-$A$15,BF$13)))</f>
        <v>1000000000000</v>
      </c>
      <c r="BG114" s="173">
        <f ca="1">IF(OR($D114&lt;&gt;"Serviço",AND(AUTOEVENTO="Manual",$M114=$A$15),$M114&gt;(ROW(PLE.lastrow)-ROW(PLE.firstrow))),0,
           IF(OFFSET(PLE!$G$15,$M114-$A$15,BG$13)="",10^12,OFFSET(PLE!$G$15,$M114-$A$15,BG$13)))</f>
        <v>1000000000000</v>
      </c>
    </row>
    <row r="115" spans="1:59" ht="12.75" x14ac:dyDescent="0.2">
      <c r="A115" s="7" t="str">
        <f t="shared" ca="1" si="9"/>
        <v>100.</v>
      </c>
      <c r="B115" s="7">
        <f ca="1">OFFSET(ORÇAMENTO!C$15,ROW(B115)-ROW(B$15),0)</f>
        <v>2</v>
      </c>
      <c r="C115" s="7" t="str">
        <f ca="1">OFFSET(ORÇAMENTO!L$15,ROW(C115)-ROW(C$15),0)</f>
        <v>F</v>
      </c>
      <c r="D115" s="117" t="str">
        <f ca="1">OFFSET(ORÇAMENTO!N$15,ROW(D115)-ROW(D$15),0)</f>
        <v>Nível 2</v>
      </c>
      <c r="E115" s="118" t="str">
        <f ca="1">OFFSET(ORÇAMENTO!O$15,ROW(E115)-ROW(E$15),0)</f>
        <v>1.10.</v>
      </c>
      <c r="F115" s="164" t="str">
        <f ca="1">OFFSET(ORÇAMENTO!R$15,ROW(F115)-ROW(F$15),0)</f>
        <v>VOZ E DADOS</v>
      </c>
      <c r="G115" s="165" t="str">
        <f ca="1">IF($D115&lt;&gt;"Serviço","",OFFSET(ORÇAMENTO!S$15,ROW(G115)-ROW(G$15),0))</f>
        <v/>
      </c>
      <c r="H115" s="123">
        <f ca="1">IF($D115&lt;&gt;"Serviço",0,IF(ACOMPANHAMENTO="BM",ROUND(OFFSET(ORÇAMENTO!AJ$15,ROW(H115)-ROW(H$15),0),15-13*ORÇAMENTO!$AF$7),SUMPRODUCT(($Q$1:$AA$1=1)*ROUND($Q115:$AA115,15-13*ORÇAMENTO!$AF$7))))</f>
        <v>0</v>
      </c>
      <c r="I115" s="469"/>
      <c r="J115" s="577" t="str" cm="1">
        <f t="array" aca="1" ref="J115" ca="1">IF(B115&lt;&gt;"S","",IF(AND(ACOMPANHAMENTO="PLE",AUTOEVENTO="Manual",OR(H115&gt;0,ORÇAMENTO!AC115="QUANT."),OR(K115="",M115=0,N115="")),"►",IF(AND(ACOMPANHAMENTO="PLE",ORÇAMENTO!AC115="QUANT."),"►►",IF(AND(COUNTIF($P$11:$AA$11,"▼")=0,H115&gt;0,I115=""),"◄",""))))</f>
        <v/>
      </c>
      <c r="K115" s="626"/>
      <c r="L115" s="166" t="s">
        <v>765</v>
      </c>
      <c r="M115" s="167" t="str">
        <f ca="1">IF($D115&lt;&gt;"Serviço","",
          IF(AUTOEVENTO="manual",$A115,
                IF(ISERROR(MATCH($A115,$A$15:OFFSET($A115,-1,0),0)),MAX($M$15:OFFSET(M115,-1,0))+1,
                      INDEX($M$15:OFFSET(M115,-1,0),MATCH($A115,$A$15:OFFSET($A115,-1,0),0)))))</f>
        <v/>
      </c>
      <c r="N115" s="168" t="str">
        <f ca="1">IF($D115&lt;&gt;"Serviço","",
         IF(AUTOEVENTO="Manual",
                IF($A115=0,"&lt;-- defina o número do agrupador",
                       OFFSET(EVENTOS!$D$15,$A115-$A$15,0)),
                OFFSET($F$15,$A115,0)))</f>
        <v/>
      </c>
      <c r="O115" s="169"/>
      <c r="Q115" s="169"/>
      <c r="R115" s="170"/>
      <c r="S115" s="170"/>
      <c r="T115" s="170"/>
      <c r="U115" s="170"/>
      <c r="V115" s="170"/>
      <c r="W115" s="170"/>
      <c r="X115" s="170"/>
      <c r="Y115" s="170"/>
      <c r="Z115" s="171"/>
      <c r="AB115" s="454">
        <f ca="1">IF(AND($D115="Serviço",AB$12&lt;&gt;0,$H115&gt;0,OR(AUTOEVENTO&lt;&gt;"manual",$M115&lt;&gt;$A$15)),
        IF(Import.TipoArredondamento&lt;&gt;"TransfereGOV",
              ROUND(OFFSET($P115,0,AB$13),15-13*ORÇAMENTO!$AF$7)/$H115*OFFSET(ORÇAMENTO!$X$15,ROW(AB115)-ROW(AB$15),0),
              ROUND(ROUND(OFFSET($P115,0,AB$13),15-13*ORÇAMENTO!$AF$7)*OFFSET(ORÇAMENTO!$W$15,ROW(AB115)-ROW(AB$15),0),15-13*ORÇAMENTO!$AF$11)),
         0)</f>
        <v>0</v>
      </c>
      <c r="AC115" s="454">
        <f ca="1">IF(AND($D115="Serviço",AC$12&lt;&gt;0,$H115&gt;0,OR(AUTOEVENTO&lt;&gt;"manual",$M115&lt;&gt;$A$15)),
        IF(Import.TipoArredondamento&lt;&gt;"TransfereGOV",
              ROUND(OFFSET($P115,0,AC$13),15-13*ORÇAMENTO!$AF$7)/$H115*OFFSET(ORÇAMENTO!$X$15,ROW(AC115)-ROW(AC$15),0),
              ROUND(ROUND(OFFSET($P115,0,AC$13),15-13*ORÇAMENTO!$AF$7)*OFFSET(ORÇAMENTO!$W$15,ROW(AC115)-ROW(AC$15),0),15-13*ORÇAMENTO!$AF$11)),
         0)</f>
        <v>0</v>
      </c>
      <c r="AD115" s="454">
        <f ca="1">IF(AND($D115="Serviço",AD$12&lt;&gt;0,$H115&gt;0,OR(AUTOEVENTO&lt;&gt;"manual",$M115&lt;&gt;$A$15)),
        IF(Import.TipoArredondamento&lt;&gt;"TransfereGOV",
              ROUND(OFFSET($P115,0,AD$13),15-13*ORÇAMENTO!$AF$7)/$H115*OFFSET(ORÇAMENTO!$X$15,ROW(AD115)-ROW(AD$15),0),
              ROUND(ROUND(OFFSET($P115,0,AD$13),15-13*ORÇAMENTO!$AF$7)*OFFSET(ORÇAMENTO!$W$15,ROW(AD115)-ROW(AD$15),0),15-13*ORÇAMENTO!$AF$11)),
         0)</f>
        <v>0</v>
      </c>
      <c r="AE115" s="454">
        <f ca="1">IF(AND($D115="Serviço",AE$12&lt;&gt;0,$H115&gt;0,OR(AUTOEVENTO&lt;&gt;"manual",$M115&lt;&gt;$A$15)),
        IF(Import.TipoArredondamento&lt;&gt;"TransfereGOV",
              ROUND(OFFSET($P115,0,AE$13),15-13*ORÇAMENTO!$AF$7)/$H115*OFFSET(ORÇAMENTO!$X$15,ROW(AE115)-ROW(AE$15),0),
              ROUND(ROUND(OFFSET($P115,0,AE$13),15-13*ORÇAMENTO!$AF$7)*OFFSET(ORÇAMENTO!$W$15,ROW(AE115)-ROW(AE$15),0),15-13*ORÇAMENTO!$AF$11)),
         0)</f>
        <v>0</v>
      </c>
      <c r="AF115" s="454">
        <f ca="1">IF(AND($D115="Serviço",AF$12&lt;&gt;0,$H115&gt;0,OR(AUTOEVENTO&lt;&gt;"manual",$M115&lt;&gt;$A$15)),
        IF(Import.TipoArredondamento&lt;&gt;"TransfereGOV",
              ROUND(OFFSET($P115,0,AF$13),15-13*ORÇAMENTO!$AF$7)/$H115*OFFSET(ORÇAMENTO!$X$15,ROW(AF115)-ROW(AF$15),0),
              ROUND(ROUND(OFFSET($P115,0,AF$13),15-13*ORÇAMENTO!$AF$7)*OFFSET(ORÇAMENTO!$W$15,ROW(AF115)-ROW(AF$15),0),15-13*ORÇAMENTO!$AF$11)),
         0)</f>
        <v>0</v>
      </c>
      <c r="AG115" s="454">
        <f ca="1">IF(AND($D115="Serviço",AG$12&lt;&gt;0,$H115&gt;0,OR(AUTOEVENTO&lt;&gt;"manual",$M115&lt;&gt;$A$15)),
        IF(Import.TipoArredondamento&lt;&gt;"TransfereGOV",
              ROUND(OFFSET($P115,0,AG$13),15-13*ORÇAMENTO!$AF$7)/$H115*OFFSET(ORÇAMENTO!$X$15,ROW(AG115)-ROW(AG$15),0),
              ROUND(ROUND(OFFSET($P115,0,AG$13),15-13*ORÇAMENTO!$AF$7)*OFFSET(ORÇAMENTO!$W$15,ROW(AG115)-ROW(AG$15),0),15-13*ORÇAMENTO!$AF$11)),
         0)</f>
        <v>0</v>
      </c>
      <c r="AH115" s="454">
        <f ca="1">IF(AND($D115="Serviço",AH$12&lt;&gt;0,$H115&gt;0,OR(AUTOEVENTO&lt;&gt;"manual",$M115&lt;&gt;$A$15)),
        IF(Import.TipoArredondamento&lt;&gt;"TransfereGOV",
              ROUND(OFFSET($P115,0,AH$13),15-13*ORÇAMENTO!$AF$7)/$H115*OFFSET(ORÇAMENTO!$X$15,ROW(AH115)-ROW(AH$15),0),
              ROUND(ROUND(OFFSET($P115,0,AH$13),15-13*ORÇAMENTO!$AF$7)*OFFSET(ORÇAMENTO!$W$15,ROW(AH115)-ROW(AH$15),0),15-13*ORÇAMENTO!$AF$11)),
         0)</f>
        <v>0</v>
      </c>
      <c r="AI115" s="454">
        <f ca="1">IF(AND($D115="Serviço",AI$12&lt;&gt;0,$H115&gt;0,OR(AUTOEVENTO&lt;&gt;"manual",$M115&lt;&gt;$A$15)),
        IF(Import.TipoArredondamento&lt;&gt;"TransfereGOV",
              ROUND(OFFSET($P115,0,AI$13),15-13*ORÇAMENTO!$AF$7)/$H115*OFFSET(ORÇAMENTO!$X$15,ROW(AI115)-ROW(AI$15),0),
              ROUND(ROUND(OFFSET($P115,0,AI$13),15-13*ORÇAMENTO!$AF$7)*OFFSET(ORÇAMENTO!$W$15,ROW(AI115)-ROW(AI$15),0),15-13*ORÇAMENTO!$AF$11)),
         0)</f>
        <v>0</v>
      </c>
      <c r="AJ115" s="454">
        <f ca="1">IF(AND($D115="Serviço",AJ$12&lt;&gt;0,$H115&gt;0,OR(AUTOEVENTO&lt;&gt;"manual",$M115&lt;&gt;$A$15)),
        IF(Import.TipoArredondamento&lt;&gt;"TransfereGOV",
              ROUND(OFFSET($P115,0,AJ$13),15-13*ORÇAMENTO!$AF$7)/$H115*OFFSET(ORÇAMENTO!$X$15,ROW(AJ115)-ROW(AJ$15),0),
              ROUND(ROUND(OFFSET($P115,0,AJ$13),15-13*ORÇAMENTO!$AF$7)*OFFSET(ORÇAMENTO!$W$15,ROW(AJ115)-ROW(AJ$15),0),15-13*ORÇAMENTO!$AF$11)),
         0)</f>
        <v>0</v>
      </c>
      <c r="AK115" s="454">
        <f ca="1">IF(AND($D115="Serviço",AK$12&lt;&gt;0,$H115&gt;0,OR(AUTOEVENTO&lt;&gt;"manual",$M115&lt;&gt;$A$15)),
        IF(Import.TipoArredondamento&lt;&gt;"TransfereGOV",
              ROUND(OFFSET($P115,0,AK$13),15-13*ORÇAMENTO!$AF$7)/$H115*OFFSET(ORÇAMENTO!$X$15,ROW(AK115)-ROW(AK$15),0),
              ROUND(ROUND(OFFSET($P115,0,AK$13),15-13*ORÇAMENTO!$AF$7)*OFFSET(ORÇAMENTO!$W$15,ROW(AK115)-ROW(AK$15),0),15-13*ORÇAMENTO!$AF$11)),
         0)</f>
        <v>0</v>
      </c>
      <c r="AM115" s="172">
        <f ca="1">IF(OR($D115&lt;&gt;"Serviço",AND(AUTOEVENTO="Manual",$M115=$A$15)),0,
         IF(OFFSET(CRONOPLE!$F$15,$M115-$A$15,AM$13)="",10^12,OFFSET(CRONOPLE!$F$15,$M115-$A$15,AM$13)))</f>
        <v>0</v>
      </c>
      <c r="AN115" s="172">
        <f ca="1">IF(OR($D115&lt;&gt;"Serviço",AND(AUTOEVENTO="Manual",$M115=$A$15)),0,
         IF(OFFSET(CRONOPLE!$F$15,$M115-$A$15,AN$13)="",10^12,OFFSET(CRONOPLE!$F$15,$M115-$A$15,AN$13)))</f>
        <v>0</v>
      </c>
      <c r="AO115" s="172">
        <f ca="1">IF(OR($D115&lt;&gt;"Serviço",AND(AUTOEVENTO="Manual",$M115=$A$15)),0,
         IF(OFFSET(CRONOPLE!$F$15,$M115-$A$15,AO$13)="",10^12,OFFSET(CRONOPLE!$F$15,$M115-$A$15,AO$13)))</f>
        <v>0</v>
      </c>
      <c r="AP115" s="172">
        <f ca="1">IF(OR($D115&lt;&gt;"Serviço",AND(AUTOEVENTO="Manual",$M115=$A$15)),0,
         IF(OFFSET(CRONOPLE!$F$15,$M115-$A$15,AP$13)="",10^12,OFFSET(CRONOPLE!$F$15,$M115-$A$15,AP$13)))</f>
        <v>0</v>
      </c>
      <c r="AQ115" s="172">
        <f ca="1">IF(OR($D115&lt;&gt;"Serviço",AND(AUTOEVENTO="Manual",$M115=$A$15)),0,
         IF(OFFSET(CRONOPLE!$F$15,$M115-$A$15,AQ$13)="",10^12,OFFSET(CRONOPLE!$F$15,$M115-$A$15,AQ$13)))</f>
        <v>0</v>
      </c>
      <c r="AR115" s="172">
        <f ca="1">IF(OR($D115&lt;&gt;"Serviço",AND(AUTOEVENTO="Manual",$M115=$A$15)),0,
         IF(OFFSET(CRONOPLE!$F$15,$M115-$A$15,AR$13)="",10^12,OFFSET(CRONOPLE!$F$15,$M115-$A$15,AR$13)))</f>
        <v>0</v>
      </c>
      <c r="AS115" s="172">
        <f ca="1">IF(OR($D115&lt;&gt;"Serviço",AND(AUTOEVENTO="Manual",$M115=$A$15)),0,
         IF(OFFSET(CRONOPLE!$F$15,$M115-$A$15,AS$13)="",10^12,OFFSET(CRONOPLE!$F$15,$M115-$A$15,AS$13)))</f>
        <v>0</v>
      </c>
      <c r="AT115" s="172">
        <f ca="1">IF(OR($D115&lt;&gt;"Serviço",AND(AUTOEVENTO="Manual",$M115=$A$15)),0,
         IF(OFFSET(CRONOPLE!$F$15,$M115-$A$15,AT$13)="",10^12,OFFSET(CRONOPLE!$F$15,$M115-$A$15,AT$13)))</f>
        <v>0</v>
      </c>
      <c r="AU115" s="172">
        <f ca="1">IF(OR($D115&lt;&gt;"Serviço",AND(AUTOEVENTO="Manual",$M115=$A$15)),0,
         IF(OFFSET(CRONOPLE!$F$15,$M115-$A$15,AU$13)="",10^12,OFFSET(CRONOPLE!$F$15,$M115-$A$15,AU$13)))</f>
        <v>0</v>
      </c>
      <c r="AV115" s="172">
        <f ca="1">IF(OR($D115&lt;&gt;"Serviço",AND(AUTOEVENTO="Manual",$M115=$A$15)),0,
         IF(OFFSET(CRONOPLE!$F$15,$M115-$A$15,AV$13)="",10^12,OFFSET(CRONOPLE!$F$15,$M115-$A$15,AV$13)))</f>
        <v>0</v>
      </c>
      <c r="AX115" s="173">
        <f ca="1">IF(OR($D115&lt;&gt;"Serviço",AND(AUTOEVENTO="Manual",$M115=$A$15),$M115&gt;(ROW(PLE.lastrow)-ROW(PLE.firstrow))),0,
           IF(OFFSET(PLE!$G$15,$M115-$A$15,AX$13)="",10^12,OFFSET(PLE!$G$15,$M115-$A$15,AX$13)))</f>
        <v>0</v>
      </c>
      <c r="AY115" s="173">
        <f ca="1">IF(OR($D115&lt;&gt;"Serviço",AND(AUTOEVENTO="Manual",$M115=$A$15),$M115&gt;(ROW(PLE.lastrow)-ROW(PLE.firstrow))),0,
           IF(OFFSET(PLE!$G$15,$M115-$A$15,AY$13)="",10^12,OFFSET(PLE!$G$15,$M115-$A$15,AY$13)))</f>
        <v>0</v>
      </c>
      <c r="AZ115" s="173">
        <f ca="1">IF(OR($D115&lt;&gt;"Serviço",AND(AUTOEVENTO="Manual",$M115=$A$15),$M115&gt;(ROW(PLE.lastrow)-ROW(PLE.firstrow))),0,
           IF(OFFSET(PLE!$G$15,$M115-$A$15,AZ$13)="",10^12,OFFSET(PLE!$G$15,$M115-$A$15,AZ$13)))</f>
        <v>0</v>
      </c>
      <c r="BA115" s="173">
        <f ca="1">IF(OR($D115&lt;&gt;"Serviço",AND(AUTOEVENTO="Manual",$M115=$A$15),$M115&gt;(ROW(PLE.lastrow)-ROW(PLE.firstrow))),0,
           IF(OFFSET(PLE!$G$15,$M115-$A$15,BA$13)="",10^12,OFFSET(PLE!$G$15,$M115-$A$15,BA$13)))</f>
        <v>0</v>
      </c>
      <c r="BB115" s="173">
        <f ca="1">IF(OR($D115&lt;&gt;"Serviço",AND(AUTOEVENTO="Manual",$M115=$A$15),$M115&gt;(ROW(PLE.lastrow)-ROW(PLE.firstrow))),0,
           IF(OFFSET(PLE!$G$15,$M115-$A$15,BB$13)="",10^12,OFFSET(PLE!$G$15,$M115-$A$15,BB$13)))</f>
        <v>0</v>
      </c>
      <c r="BC115" s="173">
        <f ca="1">IF(OR($D115&lt;&gt;"Serviço",AND(AUTOEVENTO="Manual",$M115=$A$15),$M115&gt;(ROW(PLE.lastrow)-ROW(PLE.firstrow))),0,
           IF(OFFSET(PLE!$G$15,$M115-$A$15,BC$13)="",10^12,OFFSET(PLE!$G$15,$M115-$A$15,BC$13)))</f>
        <v>0</v>
      </c>
      <c r="BD115" s="173">
        <f ca="1">IF(OR($D115&lt;&gt;"Serviço",AND(AUTOEVENTO="Manual",$M115=$A$15),$M115&gt;(ROW(PLE.lastrow)-ROW(PLE.firstrow))),0,
           IF(OFFSET(PLE!$G$15,$M115-$A$15,BD$13)="",10^12,OFFSET(PLE!$G$15,$M115-$A$15,BD$13)))</f>
        <v>0</v>
      </c>
      <c r="BE115" s="173">
        <f ca="1">IF(OR($D115&lt;&gt;"Serviço",AND(AUTOEVENTO="Manual",$M115=$A$15),$M115&gt;(ROW(PLE.lastrow)-ROW(PLE.firstrow))),0,
           IF(OFFSET(PLE!$G$15,$M115-$A$15,BE$13)="",10^12,OFFSET(PLE!$G$15,$M115-$A$15,BE$13)))</f>
        <v>0</v>
      </c>
      <c r="BF115" s="173">
        <f ca="1">IF(OR($D115&lt;&gt;"Serviço",AND(AUTOEVENTO="Manual",$M115=$A$15),$M115&gt;(ROW(PLE.lastrow)-ROW(PLE.firstrow))),0,
           IF(OFFSET(PLE!$G$15,$M115-$A$15,BF$13)="",10^12,OFFSET(PLE!$G$15,$M115-$A$15,BF$13)))</f>
        <v>0</v>
      </c>
      <c r="BG115" s="173">
        <f ca="1">IF(OR($D115&lt;&gt;"Serviço",AND(AUTOEVENTO="Manual",$M115=$A$15),$M115&gt;(ROW(PLE.lastrow)-ROW(PLE.firstrow))),0,
           IF(OFFSET(PLE!$G$15,$M115-$A$15,BG$13)="",10^12,OFFSET(PLE!$G$15,$M115-$A$15,BG$13)))</f>
        <v>0</v>
      </c>
    </row>
    <row r="116" spans="1:59" ht="25.5" x14ac:dyDescent="0.2">
      <c r="A116" s="7" t="str">
        <f t="shared" ca="1" si="9"/>
        <v>100</v>
      </c>
      <c r="B116" s="7" t="str">
        <f ca="1">OFFSET(ORÇAMENTO!C$15,ROW(B116)-ROW(B$15),0)</f>
        <v>S</v>
      </c>
      <c r="C116" s="7" t="str">
        <f ca="1">OFFSET(ORÇAMENTO!L$15,ROW(C116)-ROW(C$15),0)</f>
        <v/>
      </c>
      <c r="D116" s="117" t="str">
        <f ca="1">OFFSET(ORÇAMENTO!N$15,ROW(D116)-ROW(D$15),0)</f>
        <v>Serviço</v>
      </c>
      <c r="E116" s="118" t="str">
        <f ca="1">OFFSET(ORÇAMENTO!O$15,ROW(E116)-ROW(E$15),0)</f>
        <v>-</v>
      </c>
      <c r="F116" s="164" t="str">
        <f ca="1">OFFSET(ORÇAMENTO!R$15,ROW(F116)-ROW(F$15),0)</f>
        <v xml:space="preserve">CAIXA DE PASSAGEM ELETRICA DE PAREDE, DE SOBREPOR, EM PVC, COM TAMPA APARAFUSADA, DIMENSOES 300 X 300 X *100* MM                                                                                                                                          </v>
      </c>
      <c r="G116" s="165" t="str">
        <f ca="1">IF($D116&lt;&gt;"Serviço","",OFFSET(ORÇAMENTO!S$15,ROW(G116)-ROW(G$15),0))</f>
        <v xml:space="preserve">UN    </v>
      </c>
      <c r="H116" s="123">
        <f ca="1">IF($D116&lt;&gt;"Serviço",0,IF(ACOMPANHAMENTO="BM",ROUND(OFFSET(ORÇAMENTO!AJ$15,ROW(H116)-ROW(H$15),0),15-13*ORÇAMENTO!$AF$7),SUMPRODUCT(($Q$1:$AA$1=1)*ROUND($Q116:$AA116,15-13*ORÇAMENTO!$AF$7))))</f>
        <v>2</v>
      </c>
      <c r="I116" s="469"/>
      <c r="J116" s="577" t="str" cm="1">
        <f t="array" aca="1" ref="J116" ca="1">IF(B116&lt;&gt;"S","",IF(AND(ACOMPANHAMENTO="PLE",AUTOEVENTO="Manual",OR(H116&gt;0,ORÇAMENTO!AC116="QUANT."),OR(K116="",M116=0,N116="")),"►",IF(AND(ACOMPANHAMENTO="PLE",ORÇAMENTO!AC116="QUANT."),"►►",IF(AND(COUNTIF($P$11:$AA$11,"▼")=0,H116&gt;0,I116=""),"◄",""))))</f>
        <v>◄</v>
      </c>
      <c r="K116" s="626"/>
      <c r="L116" s="166" t="s">
        <v>765</v>
      </c>
      <c r="M116" s="167">
        <f ca="1">IF($D116&lt;&gt;"Serviço","",
          IF(AUTOEVENTO="manual",$A116,
                IF(ISERROR(MATCH($A116,$A$15:OFFSET($A116,-1,0),0)),MAX($M$15:OFFSET(M116,-1,0))+1,
                      INDEX($M$15:OFFSET(M116,-1,0),MATCH($A116,$A$15:OFFSET($A116,-1,0),0)))))</f>
        <v>10</v>
      </c>
      <c r="N116" s="168" t="str">
        <f ca="1">IF($D116&lt;&gt;"Serviço","",
         IF(AUTOEVENTO="Manual",
                IF($A116=0,"&lt;-- defina o número do agrupador",
                       OFFSET(EVENTOS!$D$15,$A116-$A$15,0)),
                OFFSET($F$15,$A116,0)))</f>
        <v>VOZ E DADOS</v>
      </c>
      <c r="O116" s="169"/>
      <c r="Q116" s="169"/>
      <c r="R116" s="170"/>
      <c r="S116" s="170"/>
      <c r="T116" s="170"/>
      <c r="U116" s="170"/>
      <c r="V116" s="170"/>
      <c r="W116" s="170"/>
      <c r="X116" s="170"/>
      <c r="Y116" s="170"/>
      <c r="Z116" s="171"/>
      <c r="AB116" s="454">
        <f ca="1">IF(AND($D116="Serviço",AB$12&lt;&gt;0,$H116&gt;0,OR(AUTOEVENTO&lt;&gt;"manual",$M116&lt;&gt;$A$15)),
        IF(Import.TipoArredondamento&lt;&gt;"TransfereGOV",
              ROUND(OFFSET($P116,0,AB$13),15-13*ORÇAMENTO!$AF$7)/$H116*OFFSET(ORÇAMENTO!$X$15,ROW(AB116)-ROW(AB$15),0),
              ROUND(ROUND(OFFSET($P116,0,AB$13),15-13*ORÇAMENTO!$AF$7)*OFFSET(ORÇAMENTO!$W$15,ROW(AB116)-ROW(AB$15),0),15-13*ORÇAMENTO!$AF$11)),
         0)</f>
        <v>0</v>
      </c>
      <c r="AC116" s="454">
        <f ca="1">IF(AND($D116="Serviço",AC$12&lt;&gt;0,$H116&gt;0,OR(AUTOEVENTO&lt;&gt;"manual",$M116&lt;&gt;$A$15)),
        IF(Import.TipoArredondamento&lt;&gt;"TransfereGOV",
              ROUND(OFFSET($P116,0,AC$13),15-13*ORÇAMENTO!$AF$7)/$H116*OFFSET(ORÇAMENTO!$X$15,ROW(AC116)-ROW(AC$15),0),
              ROUND(ROUND(OFFSET($P116,0,AC$13),15-13*ORÇAMENTO!$AF$7)*OFFSET(ORÇAMENTO!$W$15,ROW(AC116)-ROW(AC$15),0),15-13*ORÇAMENTO!$AF$11)),
         0)</f>
        <v>0</v>
      </c>
      <c r="AD116" s="454">
        <f ca="1">IF(AND($D116="Serviço",AD$12&lt;&gt;0,$H116&gt;0,OR(AUTOEVENTO&lt;&gt;"manual",$M116&lt;&gt;$A$15)),
        IF(Import.TipoArredondamento&lt;&gt;"TransfereGOV",
              ROUND(OFFSET($P116,0,AD$13),15-13*ORÇAMENTO!$AF$7)/$H116*OFFSET(ORÇAMENTO!$X$15,ROW(AD116)-ROW(AD$15),0),
              ROUND(ROUND(OFFSET($P116,0,AD$13),15-13*ORÇAMENTO!$AF$7)*OFFSET(ORÇAMENTO!$W$15,ROW(AD116)-ROW(AD$15),0),15-13*ORÇAMENTO!$AF$11)),
         0)</f>
        <v>0</v>
      </c>
      <c r="AE116" s="454">
        <f ca="1">IF(AND($D116="Serviço",AE$12&lt;&gt;0,$H116&gt;0,OR(AUTOEVENTO&lt;&gt;"manual",$M116&lt;&gt;$A$15)),
        IF(Import.TipoArredondamento&lt;&gt;"TransfereGOV",
              ROUND(OFFSET($P116,0,AE$13),15-13*ORÇAMENTO!$AF$7)/$H116*OFFSET(ORÇAMENTO!$X$15,ROW(AE116)-ROW(AE$15),0),
              ROUND(ROUND(OFFSET($P116,0,AE$13),15-13*ORÇAMENTO!$AF$7)*OFFSET(ORÇAMENTO!$W$15,ROW(AE116)-ROW(AE$15),0),15-13*ORÇAMENTO!$AF$11)),
         0)</f>
        <v>0</v>
      </c>
      <c r="AF116" s="454">
        <f ca="1">IF(AND($D116="Serviço",AF$12&lt;&gt;0,$H116&gt;0,OR(AUTOEVENTO&lt;&gt;"manual",$M116&lt;&gt;$A$15)),
        IF(Import.TipoArredondamento&lt;&gt;"TransfereGOV",
              ROUND(OFFSET($P116,0,AF$13),15-13*ORÇAMENTO!$AF$7)/$H116*OFFSET(ORÇAMENTO!$X$15,ROW(AF116)-ROW(AF$15),0),
              ROUND(ROUND(OFFSET($P116,0,AF$13),15-13*ORÇAMENTO!$AF$7)*OFFSET(ORÇAMENTO!$W$15,ROW(AF116)-ROW(AF$15),0),15-13*ORÇAMENTO!$AF$11)),
         0)</f>
        <v>0</v>
      </c>
      <c r="AG116" s="454">
        <f ca="1">IF(AND($D116="Serviço",AG$12&lt;&gt;0,$H116&gt;0,OR(AUTOEVENTO&lt;&gt;"manual",$M116&lt;&gt;$A$15)),
        IF(Import.TipoArredondamento&lt;&gt;"TransfereGOV",
              ROUND(OFFSET($P116,0,AG$13),15-13*ORÇAMENTO!$AF$7)/$H116*OFFSET(ORÇAMENTO!$X$15,ROW(AG116)-ROW(AG$15),0),
              ROUND(ROUND(OFFSET($P116,0,AG$13),15-13*ORÇAMENTO!$AF$7)*OFFSET(ORÇAMENTO!$W$15,ROW(AG116)-ROW(AG$15),0),15-13*ORÇAMENTO!$AF$11)),
         0)</f>
        <v>0</v>
      </c>
      <c r="AH116" s="454">
        <f ca="1">IF(AND($D116="Serviço",AH$12&lt;&gt;0,$H116&gt;0,OR(AUTOEVENTO&lt;&gt;"manual",$M116&lt;&gt;$A$15)),
        IF(Import.TipoArredondamento&lt;&gt;"TransfereGOV",
              ROUND(OFFSET($P116,0,AH$13),15-13*ORÇAMENTO!$AF$7)/$H116*OFFSET(ORÇAMENTO!$X$15,ROW(AH116)-ROW(AH$15),0),
              ROUND(ROUND(OFFSET($P116,0,AH$13),15-13*ORÇAMENTO!$AF$7)*OFFSET(ORÇAMENTO!$W$15,ROW(AH116)-ROW(AH$15),0),15-13*ORÇAMENTO!$AF$11)),
         0)</f>
        <v>0</v>
      </c>
      <c r="AI116" s="454">
        <f ca="1">IF(AND($D116="Serviço",AI$12&lt;&gt;0,$H116&gt;0,OR(AUTOEVENTO&lt;&gt;"manual",$M116&lt;&gt;$A$15)),
        IF(Import.TipoArredondamento&lt;&gt;"TransfereGOV",
              ROUND(OFFSET($P116,0,AI$13),15-13*ORÇAMENTO!$AF$7)/$H116*OFFSET(ORÇAMENTO!$X$15,ROW(AI116)-ROW(AI$15),0),
              ROUND(ROUND(OFFSET($P116,0,AI$13),15-13*ORÇAMENTO!$AF$7)*OFFSET(ORÇAMENTO!$W$15,ROW(AI116)-ROW(AI$15),0),15-13*ORÇAMENTO!$AF$11)),
         0)</f>
        <v>0</v>
      </c>
      <c r="AJ116" s="454">
        <f ca="1">IF(AND($D116="Serviço",AJ$12&lt;&gt;0,$H116&gt;0,OR(AUTOEVENTO&lt;&gt;"manual",$M116&lt;&gt;$A$15)),
        IF(Import.TipoArredondamento&lt;&gt;"TransfereGOV",
              ROUND(OFFSET($P116,0,AJ$13),15-13*ORÇAMENTO!$AF$7)/$H116*OFFSET(ORÇAMENTO!$X$15,ROW(AJ116)-ROW(AJ$15),0),
              ROUND(ROUND(OFFSET($P116,0,AJ$13),15-13*ORÇAMENTO!$AF$7)*OFFSET(ORÇAMENTO!$W$15,ROW(AJ116)-ROW(AJ$15),0),15-13*ORÇAMENTO!$AF$11)),
         0)</f>
        <v>0</v>
      </c>
      <c r="AK116" s="454">
        <f ca="1">IF(AND($D116="Serviço",AK$12&lt;&gt;0,$H116&gt;0,OR(AUTOEVENTO&lt;&gt;"manual",$M116&lt;&gt;$A$15)),
        IF(Import.TipoArredondamento&lt;&gt;"TransfereGOV",
              ROUND(OFFSET($P116,0,AK$13),15-13*ORÇAMENTO!$AF$7)/$H116*OFFSET(ORÇAMENTO!$X$15,ROW(AK116)-ROW(AK$15),0),
              ROUND(ROUND(OFFSET($P116,0,AK$13),15-13*ORÇAMENTO!$AF$7)*OFFSET(ORÇAMENTO!$W$15,ROW(AK116)-ROW(AK$15),0),15-13*ORÇAMENTO!$AF$11)),
         0)</f>
        <v>0</v>
      </c>
      <c r="AM116" s="172">
        <f ca="1">IF(OR($D116&lt;&gt;"Serviço",AND(AUTOEVENTO="Manual",$M116=$A$15)),0,
         IF(OFFSET(CRONOPLE!$F$15,$M116-$A$15,AM$13)="",10^12,OFFSET(CRONOPLE!$F$15,$M116-$A$15,AM$13)))</f>
        <v>1000000000000</v>
      </c>
      <c r="AN116" s="172">
        <f ca="1">IF(OR($D116&lt;&gt;"Serviço",AND(AUTOEVENTO="Manual",$M116=$A$15)),0,
         IF(OFFSET(CRONOPLE!$F$15,$M116-$A$15,AN$13)="",10^12,OFFSET(CRONOPLE!$F$15,$M116-$A$15,AN$13)))</f>
        <v>1000000000000</v>
      </c>
      <c r="AO116" s="172">
        <f ca="1">IF(OR($D116&lt;&gt;"Serviço",AND(AUTOEVENTO="Manual",$M116=$A$15)),0,
         IF(OFFSET(CRONOPLE!$F$15,$M116-$A$15,AO$13)="",10^12,OFFSET(CRONOPLE!$F$15,$M116-$A$15,AO$13)))</f>
        <v>1000000000000</v>
      </c>
      <c r="AP116" s="172">
        <f ca="1">IF(OR($D116&lt;&gt;"Serviço",AND(AUTOEVENTO="Manual",$M116=$A$15)),0,
         IF(OFFSET(CRONOPLE!$F$15,$M116-$A$15,AP$13)="",10^12,OFFSET(CRONOPLE!$F$15,$M116-$A$15,AP$13)))</f>
        <v>1000000000000</v>
      </c>
      <c r="AQ116" s="172">
        <f ca="1">IF(OR($D116&lt;&gt;"Serviço",AND(AUTOEVENTO="Manual",$M116=$A$15)),0,
         IF(OFFSET(CRONOPLE!$F$15,$M116-$A$15,AQ$13)="",10^12,OFFSET(CRONOPLE!$F$15,$M116-$A$15,AQ$13)))</f>
        <v>1000000000000</v>
      </c>
      <c r="AR116" s="172">
        <f ca="1">IF(OR($D116&lt;&gt;"Serviço",AND(AUTOEVENTO="Manual",$M116=$A$15)),0,
         IF(OFFSET(CRONOPLE!$F$15,$M116-$A$15,AR$13)="",10^12,OFFSET(CRONOPLE!$F$15,$M116-$A$15,AR$13)))</f>
        <v>1000000000000</v>
      </c>
      <c r="AS116" s="172">
        <f ca="1">IF(OR($D116&lt;&gt;"Serviço",AND(AUTOEVENTO="Manual",$M116=$A$15)),0,
         IF(OFFSET(CRONOPLE!$F$15,$M116-$A$15,AS$13)="",10^12,OFFSET(CRONOPLE!$F$15,$M116-$A$15,AS$13)))</f>
        <v>1000000000000</v>
      </c>
      <c r="AT116" s="172">
        <f ca="1">IF(OR($D116&lt;&gt;"Serviço",AND(AUTOEVENTO="Manual",$M116=$A$15)),0,
         IF(OFFSET(CRONOPLE!$F$15,$M116-$A$15,AT$13)="",10^12,OFFSET(CRONOPLE!$F$15,$M116-$A$15,AT$13)))</f>
        <v>1000000000000</v>
      </c>
      <c r="AU116" s="172">
        <f ca="1">IF(OR($D116&lt;&gt;"Serviço",AND(AUTOEVENTO="Manual",$M116=$A$15)),0,
         IF(OFFSET(CRONOPLE!$F$15,$M116-$A$15,AU$13)="",10^12,OFFSET(CRONOPLE!$F$15,$M116-$A$15,AU$13)))</f>
        <v>1000000000000</v>
      </c>
      <c r="AV116" s="172">
        <f ca="1">IF(OR($D116&lt;&gt;"Serviço",AND(AUTOEVENTO="Manual",$M116=$A$15)),0,
         IF(OFFSET(CRONOPLE!$F$15,$M116-$A$15,AV$13)="",10^12,OFFSET(CRONOPLE!$F$15,$M116-$A$15,AV$13)))</f>
        <v>1000000000000</v>
      </c>
      <c r="AX116" s="173">
        <f ca="1">IF(OR($D116&lt;&gt;"Serviço",AND(AUTOEVENTO="Manual",$M116=$A$15),$M116&gt;(ROW(PLE.lastrow)-ROW(PLE.firstrow))),0,
           IF(OFFSET(PLE!$G$15,$M116-$A$15,AX$13)="",10^12,OFFSET(PLE!$G$15,$M116-$A$15,AX$13)))</f>
        <v>1000000000000</v>
      </c>
      <c r="AY116" s="173">
        <f ca="1">IF(OR($D116&lt;&gt;"Serviço",AND(AUTOEVENTO="Manual",$M116=$A$15),$M116&gt;(ROW(PLE.lastrow)-ROW(PLE.firstrow))),0,
           IF(OFFSET(PLE!$G$15,$M116-$A$15,AY$13)="",10^12,OFFSET(PLE!$G$15,$M116-$A$15,AY$13)))</f>
        <v>1000000000000</v>
      </c>
      <c r="AZ116" s="173">
        <f ca="1">IF(OR($D116&lt;&gt;"Serviço",AND(AUTOEVENTO="Manual",$M116=$A$15),$M116&gt;(ROW(PLE.lastrow)-ROW(PLE.firstrow))),0,
           IF(OFFSET(PLE!$G$15,$M116-$A$15,AZ$13)="",10^12,OFFSET(PLE!$G$15,$M116-$A$15,AZ$13)))</f>
        <v>1000000000000</v>
      </c>
      <c r="BA116" s="173">
        <f ca="1">IF(OR($D116&lt;&gt;"Serviço",AND(AUTOEVENTO="Manual",$M116=$A$15),$M116&gt;(ROW(PLE.lastrow)-ROW(PLE.firstrow))),0,
           IF(OFFSET(PLE!$G$15,$M116-$A$15,BA$13)="",10^12,OFFSET(PLE!$G$15,$M116-$A$15,BA$13)))</f>
        <v>1000000000000</v>
      </c>
      <c r="BB116" s="173">
        <f ca="1">IF(OR($D116&lt;&gt;"Serviço",AND(AUTOEVENTO="Manual",$M116=$A$15),$M116&gt;(ROW(PLE.lastrow)-ROW(PLE.firstrow))),0,
           IF(OFFSET(PLE!$G$15,$M116-$A$15,BB$13)="",10^12,OFFSET(PLE!$G$15,$M116-$A$15,BB$13)))</f>
        <v>1000000000000</v>
      </c>
      <c r="BC116" s="173">
        <f ca="1">IF(OR($D116&lt;&gt;"Serviço",AND(AUTOEVENTO="Manual",$M116=$A$15),$M116&gt;(ROW(PLE.lastrow)-ROW(PLE.firstrow))),0,
           IF(OFFSET(PLE!$G$15,$M116-$A$15,BC$13)="",10^12,OFFSET(PLE!$G$15,$M116-$A$15,BC$13)))</f>
        <v>1000000000000</v>
      </c>
      <c r="BD116" s="173">
        <f ca="1">IF(OR($D116&lt;&gt;"Serviço",AND(AUTOEVENTO="Manual",$M116=$A$15),$M116&gt;(ROW(PLE.lastrow)-ROW(PLE.firstrow))),0,
           IF(OFFSET(PLE!$G$15,$M116-$A$15,BD$13)="",10^12,OFFSET(PLE!$G$15,$M116-$A$15,BD$13)))</f>
        <v>1000000000000</v>
      </c>
      <c r="BE116" s="173">
        <f ca="1">IF(OR($D116&lt;&gt;"Serviço",AND(AUTOEVENTO="Manual",$M116=$A$15),$M116&gt;(ROW(PLE.lastrow)-ROW(PLE.firstrow))),0,
           IF(OFFSET(PLE!$G$15,$M116-$A$15,BE$13)="",10^12,OFFSET(PLE!$G$15,$M116-$A$15,BE$13)))</f>
        <v>1000000000000</v>
      </c>
      <c r="BF116" s="173">
        <f ca="1">IF(OR($D116&lt;&gt;"Serviço",AND(AUTOEVENTO="Manual",$M116=$A$15),$M116&gt;(ROW(PLE.lastrow)-ROW(PLE.firstrow))),0,
           IF(OFFSET(PLE!$G$15,$M116-$A$15,BF$13)="",10^12,OFFSET(PLE!$G$15,$M116-$A$15,BF$13)))</f>
        <v>1000000000000</v>
      </c>
      <c r="BG116" s="173">
        <f ca="1">IF(OR($D116&lt;&gt;"Serviço",AND(AUTOEVENTO="Manual",$M116=$A$15),$M116&gt;(ROW(PLE.lastrow)-ROW(PLE.firstrow))),0,
           IF(OFFSET(PLE!$G$15,$M116-$A$15,BG$13)="",10^12,OFFSET(PLE!$G$15,$M116-$A$15,BG$13)))</f>
        <v>1000000000000</v>
      </c>
    </row>
    <row r="117" spans="1:59" ht="25.5" x14ac:dyDescent="0.2">
      <c r="A117" s="7" t="str">
        <f t="shared" ca="1" si="9"/>
        <v>100</v>
      </c>
      <c r="B117" s="7" t="str">
        <f ca="1">OFFSET(ORÇAMENTO!C$15,ROW(B117)-ROW(B$15),0)</f>
        <v>S</v>
      </c>
      <c r="C117" s="7" t="str">
        <f ca="1">OFFSET(ORÇAMENTO!L$15,ROW(C117)-ROW(C$15),0)</f>
        <v/>
      </c>
      <c r="D117" s="117" t="str">
        <f ca="1">OFFSET(ORÇAMENTO!N$15,ROW(D117)-ROW(D$15),0)</f>
        <v>Serviço</v>
      </c>
      <c r="E117" s="118" t="str">
        <f ca="1">OFFSET(ORÇAMENTO!O$15,ROW(E117)-ROW(E$15),0)</f>
        <v>-</v>
      </c>
      <c r="F117" s="164" t="str">
        <f ca="1">OFFSET(ORÇAMENTO!R$15,ROW(F117)-ROW(F$15),0)</f>
        <v xml:space="preserve">CAIXA DE PASSAGEM ELETRICA DE PAREDE, DE SOBREPOR, EM PVC, COM TAMPA APARAFUSADA, DIMENSOES, 400 X 400 X *120* MM                                                                                                                                         </v>
      </c>
      <c r="G117" s="165" t="str">
        <f ca="1">IF($D117&lt;&gt;"Serviço","",OFFSET(ORÇAMENTO!S$15,ROW(G117)-ROW(G$15),0))</f>
        <v xml:space="preserve">UN    </v>
      </c>
      <c r="H117" s="123">
        <f ca="1">IF($D117&lt;&gt;"Serviço",0,IF(ACOMPANHAMENTO="BM",ROUND(OFFSET(ORÇAMENTO!AJ$15,ROW(H117)-ROW(H$15),0),15-13*ORÇAMENTO!$AF$7),SUMPRODUCT(($Q$1:$AA$1=1)*ROUND($Q117:$AA117,15-13*ORÇAMENTO!$AF$7))))</f>
        <v>1</v>
      </c>
      <c r="I117" s="469"/>
      <c r="J117" s="577" t="str" cm="1">
        <f t="array" aca="1" ref="J117" ca="1">IF(B117&lt;&gt;"S","",IF(AND(ACOMPANHAMENTO="PLE",AUTOEVENTO="Manual",OR(H117&gt;0,ORÇAMENTO!AC117="QUANT."),OR(K117="",M117=0,N117="")),"►",IF(AND(ACOMPANHAMENTO="PLE",ORÇAMENTO!AC117="QUANT."),"►►",IF(AND(COUNTIF($P$11:$AA$11,"▼")=0,H117&gt;0,I117=""),"◄",""))))</f>
        <v>◄</v>
      </c>
      <c r="K117" s="626"/>
      <c r="L117" s="166" t="s">
        <v>765</v>
      </c>
      <c r="M117" s="167">
        <f ca="1">IF($D117&lt;&gt;"Serviço","",
          IF(AUTOEVENTO="manual",$A117,
                IF(ISERROR(MATCH($A117,$A$15:OFFSET($A117,-1,0),0)),MAX($M$15:OFFSET(M117,-1,0))+1,
                      INDEX($M$15:OFFSET(M117,-1,0),MATCH($A117,$A$15:OFFSET($A117,-1,0),0)))))</f>
        <v>10</v>
      </c>
      <c r="N117" s="168" t="str">
        <f ca="1">IF($D117&lt;&gt;"Serviço","",
         IF(AUTOEVENTO="Manual",
                IF($A117=0,"&lt;-- defina o número do agrupador",
                       OFFSET(EVENTOS!$D$15,$A117-$A$15,0)),
                OFFSET($F$15,$A117,0)))</f>
        <v>VOZ E DADOS</v>
      </c>
      <c r="O117" s="169"/>
      <c r="Q117" s="169"/>
      <c r="R117" s="170"/>
      <c r="S117" s="170"/>
      <c r="T117" s="170"/>
      <c r="U117" s="170"/>
      <c r="V117" s="170"/>
      <c r="W117" s="170"/>
      <c r="X117" s="170"/>
      <c r="Y117" s="170"/>
      <c r="Z117" s="171"/>
      <c r="AB117" s="454">
        <f ca="1">IF(AND($D117="Serviço",AB$12&lt;&gt;0,$H117&gt;0,OR(AUTOEVENTO&lt;&gt;"manual",$M117&lt;&gt;$A$15)),
        IF(Import.TipoArredondamento&lt;&gt;"TransfereGOV",
              ROUND(OFFSET($P117,0,AB$13),15-13*ORÇAMENTO!$AF$7)/$H117*OFFSET(ORÇAMENTO!$X$15,ROW(AB117)-ROW(AB$15),0),
              ROUND(ROUND(OFFSET($P117,0,AB$13),15-13*ORÇAMENTO!$AF$7)*OFFSET(ORÇAMENTO!$W$15,ROW(AB117)-ROW(AB$15),0),15-13*ORÇAMENTO!$AF$11)),
         0)</f>
        <v>0</v>
      </c>
      <c r="AC117" s="454">
        <f ca="1">IF(AND($D117="Serviço",AC$12&lt;&gt;0,$H117&gt;0,OR(AUTOEVENTO&lt;&gt;"manual",$M117&lt;&gt;$A$15)),
        IF(Import.TipoArredondamento&lt;&gt;"TransfereGOV",
              ROUND(OFFSET($P117,0,AC$13),15-13*ORÇAMENTO!$AF$7)/$H117*OFFSET(ORÇAMENTO!$X$15,ROW(AC117)-ROW(AC$15),0),
              ROUND(ROUND(OFFSET($P117,0,AC$13),15-13*ORÇAMENTO!$AF$7)*OFFSET(ORÇAMENTO!$W$15,ROW(AC117)-ROW(AC$15),0),15-13*ORÇAMENTO!$AF$11)),
         0)</f>
        <v>0</v>
      </c>
      <c r="AD117" s="454">
        <f ca="1">IF(AND($D117="Serviço",AD$12&lt;&gt;0,$H117&gt;0,OR(AUTOEVENTO&lt;&gt;"manual",$M117&lt;&gt;$A$15)),
        IF(Import.TipoArredondamento&lt;&gt;"TransfereGOV",
              ROUND(OFFSET($P117,0,AD$13),15-13*ORÇAMENTO!$AF$7)/$H117*OFFSET(ORÇAMENTO!$X$15,ROW(AD117)-ROW(AD$15),0),
              ROUND(ROUND(OFFSET($P117,0,AD$13),15-13*ORÇAMENTO!$AF$7)*OFFSET(ORÇAMENTO!$W$15,ROW(AD117)-ROW(AD$15),0),15-13*ORÇAMENTO!$AF$11)),
         0)</f>
        <v>0</v>
      </c>
      <c r="AE117" s="454">
        <f ca="1">IF(AND($D117="Serviço",AE$12&lt;&gt;0,$H117&gt;0,OR(AUTOEVENTO&lt;&gt;"manual",$M117&lt;&gt;$A$15)),
        IF(Import.TipoArredondamento&lt;&gt;"TransfereGOV",
              ROUND(OFFSET($P117,0,AE$13),15-13*ORÇAMENTO!$AF$7)/$H117*OFFSET(ORÇAMENTO!$X$15,ROW(AE117)-ROW(AE$15),0),
              ROUND(ROUND(OFFSET($P117,0,AE$13),15-13*ORÇAMENTO!$AF$7)*OFFSET(ORÇAMENTO!$W$15,ROW(AE117)-ROW(AE$15),0),15-13*ORÇAMENTO!$AF$11)),
         0)</f>
        <v>0</v>
      </c>
      <c r="AF117" s="454">
        <f ca="1">IF(AND($D117="Serviço",AF$12&lt;&gt;0,$H117&gt;0,OR(AUTOEVENTO&lt;&gt;"manual",$M117&lt;&gt;$A$15)),
        IF(Import.TipoArredondamento&lt;&gt;"TransfereGOV",
              ROUND(OFFSET($P117,0,AF$13),15-13*ORÇAMENTO!$AF$7)/$H117*OFFSET(ORÇAMENTO!$X$15,ROW(AF117)-ROW(AF$15),0),
              ROUND(ROUND(OFFSET($P117,0,AF$13),15-13*ORÇAMENTO!$AF$7)*OFFSET(ORÇAMENTO!$W$15,ROW(AF117)-ROW(AF$15),0),15-13*ORÇAMENTO!$AF$11)),
         0)</f>
        <v>0</v>
      </c>
      <c r="AG117" s="454">
        <f ca="1">IF(AND($D117="Serviço",AG$12&lt;&gt;0,$H117&gt;0,OR(AUTOEVENTO&lt;&gt;"manual",$M117&lt;&gt;$A$15)),
        IF(Import.TipoArredondamento&lt;&gt;"TransfereGOV",
              ROUND(OFFSET($P117,0,AG$13),15-13*ORÇAMENTO!$AF$7)/$H117*OFFSET(ORÇAMENTO!$X$15,ROW(AG117)-ROW(AG$15),0),
              ROUND(ROUND(OFFSET($P117,0,AG$13),15-13*ORÇAMENTO!$AF$7)*OFFSET(ORÇAMENTO!$W$15,ROW(AG117)-ROW(AG$15),0),15-13*ORÇAMENTO!$AF$11)),
         0)</f>
        <v>0</v>
      </c>
      <c r="AH117" s="454">
        <f ca="1">IF(AND($D117="Serviço",AH$12&lt;&gt;0,$H117&gt;0,OR(AUTOEVENTO&lt;&gt;"manual",$M117&lt;&gt;$A$15)),
        IF(Import.TipoArredondamento&lt;&gt;"TransfereGOV",
              ROUND(OFFSET($P117,0,AH$13),15-13*ORÇAMENTO!$AF$7)/$H117*OFFSET(ORÇAMENTO!$X$15,ROW(AH117)-ROW(AH$15),0),
              ROUND(ROUND(OFFSET($P117,0,AH$13),15-13*ORÇAMENTO!$AF$7)*OFFSET(ORÇAMENTO!$W$15,ROW(AH117)-ROW(AH$15),0),15-13*ORÇAMENTO!$AF$11)),
         0)</f>
        <v>0</v>
      </c>
      <c r="AI117" s="454">
        <f ca="1">IF(AND($D117="Serviço",AI$12&lt;&gt;0,$H117&gt;0,OR(AUTOEVENTO&lt;&gt;"manual",$M117&lt;&gt;$A$15)),
        IF(Import.TipoArredondamento&lt;&gt;"TransfereGOV",
              ROUND(OFFSET($P117,0,AI$13),15-13*ORÇAMENTO!$AF$7)/$H117*OFFSET(ORÇAMENTO!$X$15,ROW(AI117)-ROW(AI$15),0),
              ROUND(ROUND(OFFSET($P117,0,AI$13),15-13*ORÇAMENTO!$AF$7)*OFFSET(ORÇAMENTO!$W$15,ROW(AI117)-ROW(AI$15),0),15-13*ORÇAMENTO!$AF$11)),
         0)</f>
        <v>0</v>
      </c>
      <c r="AJ117" s="454">
        <f ca="1">IF(AND($D117="Serviço",AJ$12&lt;&gt;0,$H117&gt;0,OR(AUTOEVENTO&lt;&gt;"manual",$M117&lt;&gt;$A$15)),
        IF(Import.TipoArredondamento&lt;&gt;"TransfereGOV",
              ROUND(OFFSET($P117,0,AJ$13),15-13*ORÇAMENTO!$AF$7)/$H117*OFFSET(ORÇAMENTO!$X$15,ROW(AJ117)-ROW(AJ$15),0),
              ROUND(ROUND(OFFSET($P117,0,AJ$13),15-13*ORÇAMENTO!$AF$7)*OFFSET(ORÇAMENTO!$W$15,ROW(AJ117)-ROW(AJ$15),0),15-13*ORÇAMENTO!$AF$11)),
         0)</f>
        <v>0</v>
      </c>
      <c r="AK117" s="454">
        <f ca="1">IF(AND($D117="Serviço",AK$12&lt;&gt;0,$H117&gt;0,OR(AUTOEVENTO&lt;&gt;"manual",$M117&lt;&gt;$A$15)),
        IF(Import.TipoArredondamento&lt;&gt;"TransfereGOV",
              ROUND(OFFSET($P117,0,AK$13),15-13*ORÇAMENTO!$AF$7)/$H117*OFFSET(ORÇAMENTO!$X$15,ROW(AK117)-ROW(AK$15),0),
              ROUND(ROUND(OFFSET($P117,0,AK$13),15-13*ORÇAMENTO!$AF$7)*OFFSET(ORÇAMENTO!$W$15,ROW(AK117)-ROW(AK$15),0),15-13*ORÇAMENTO!$AF$11)),
         0)</f>
        <v>0</v>
      </c>
      <c r="AM117" s="172">
        <f ca="1">IF(OR($D117&lt;&gt;"Serviço",AND(AUTOEVENTO="Manual",$M117=$A$15)),0,
         IF(OFFSET(CRONOPLE!$F$15,$M117-$A$15,AM$13)="",10^12,OFFSET(CRONOPLE!$F$15,$M117-$A$15,AM$13)))</f>
        <v>1000000000000</v>
      </c>
      <c r="AN117" s="172">
        <f ca="1">IF(OR($D117&lt;&gt;"Serviço",AND(AUTOEVENTO="Manual",$M117=$A$15)),0,
         IF(OFFSET(CRONOPLE!$F$15,$M117-$A$15,AN$13)="",10^12,OFFSET(CRONOPLE!$F$15,$M117-$A$15,AN$13)))</f>
        <v>1000000000000</v>
      </c>
      <c r="AO117" s="172">
        <f ca="1">IF(OR($D117&lt;&gt;"Serviço",AND(AUTOEVENTO="Manual",$M117=$A$15)),0,
         IF(OFFSET(CRONOPLE!$F$15,$M117-$A$15,AO$13)="",10^12,OFFSET(CRONOPLE!$F$15,$M117-$A$15,AO$13)))</f>
        <v>1000000000000</v>
      </c>
      <c r="AP117" s="172">
        <f ca="1">IF(OR($D117&lt;&gt;"Serviço",AND(AUTOEVENTO="Manual",$M117=$A$15)),0,
         IF(OFFSET(CRONOPLE!$F$15,$M117-$A$15,AP$13)="",10^12,OFFSET(CRONOPLE!$F$15,$M117-$A$15,AP$13)))</f>
        <v>1000000000000</v>
      </c>
      <c r="AQ117" s="172">
        <f ca="1">IF(OR($D117&lt;&gt;"Serviço",AND(AUTOEVENTO="Manual",$M117=$A$15)),0,
         IF(OFFSET(CRONOPLE!$F$15,$M117-$A$15,AQ$13)="",10^12,OFFSET(CRONOPLE!$F$15,$M117-$A$15,AQ$13)))</f>
        <v>1000000000000</v>
      </c>
      <c r="AR117" s="172">
        <f ca="1">IF(OR($D117&lt;&gt;"Serviço",AND(AUTOEVENTO="Manual",$M117=$A$15)),0,
         IF(OFFSET(CRONOPLE!$F$15,$M117-$A$15,AR$13)="",10^12,OFFSET(CRONOPLE!$F$15,$M117-$A$15,AR$13)))</f>
        <v>1000000000000</v>
      </c>
      <c r="AS117" s="172">
        <f ca="1">IF(OR($D117&lt;&gt;"Serviço",AND(AUTOEVENTO="Manual",$M117=$A$15)),0,
         IF(OFFSET(CRONOPLE!$F$15,$M117-$A$15,AS$13)="",10^12,OFFSET(CRONOPLE!$F$15,$M117-$A$15,AS$13)))</f>
        <v>1000000000000</v>
      </c>
      <c r="AT117" s="172">
        <f ca="1">IF(OR($D117&lt;&gt;"Serviço",AND(AUTOEVENTO="Manual",$M117=$A$15)),0,
         IF(OFFSET(CRONOPLE!$F$15,$M117-$A$15,AT$13)="",10^12,OFFSET(CRONOPLE!$F$15,$M117-$A$15,AT$13)))</f>
        <v>1000000000000</v>
      </c>
      <c r="AU117" s="172">
        <f ca="1">IF(OR($D117&lt;&gt;"Serviço",AND(AUTOEVENTO="Manual",$M117=$A$15)),0,
         IF(OFFSET(CRONOPLE!$F$15,$M117-$A$15,AU$13)="",10^12,OFFSET(CRONOPLE!$F$15,$M117-$A$15,AU$13)))</f>
        <v>1000000000000</v>
      </c>
      <c r="AV117" s="172">
        <f ca="1">IF(OR($D117&lt;&gt;"Serviço",AND(AUTOEVENTO="Manual",$M117=$A$15)),0,
         IF(OFFSET(CRONOPLE!$F$15,$M117-$A$15,AV$13)="",10^12,OFFSET(CRONOPLE!$F$15,$M117-$A$15,AV$13)))</f>
        <v>1000000000000</v>
      </c>
      <c r="AX117" s="173">
        <f ca="1">IF(OR($D117&lt;&gt;"Serviço",AND(AUTOEVENTO="Manual",$M117=$A$15),$M117&gt;(ROW(PLE.lastrow)-ROW(PLE.firstrow))),0,
           IF(OFFSET(PLE!$G$15,$M117-$A$15,AX$13)="",10^12,OFFSET(PLE!$G$15,$M117-$A$15,AX$13)))</f>
        <v>1000000000000</v>
      </c>
      <c r="AY117" s="173">
        <f ca="1">IF(OR($D117&lt;&gt;"Serviço",AND(AUTOEVENTO="Manual",$M117=$A$15),$M117&gt;(ROW(PLE.lastrow)-ROW(PLE.firstrow))),0,
           IF(OFFSET(PLE!$G$15,$M117-$A$15,AY$13)="",10^12,OFFSET(PLE!$G$15,$M117-$A$15,AY$13)))</f>
        <v>1000000000000</v>
      </c>
      <c r="AZ117" s="173">
        <f ca="1">IF(OR($D117&lt;&gt;"Serviço",AND(AUTOEVENTO="Manual",$M117=$A$15),$M117&gt;(ROW(PLE.lastrow)-ROW(PLE.firstrow))),0,
           IF(OFFSET(PLE!$G$15,$M117-$A$15,AZ$13)="",10^12,OFFSET(PLE!$G$15,$M117-$A$15,AZ$13)))</f>
        <v>1000000000000</v>
      </c>
      <c r="BA117" s="173">
        <f ca="1">IF(OR($D117&lt;&gt;"Serviço",AND(AUTOEVENTO="Manual",$M117=$A$15),$M117&gt;(ROW(PLE.lastrow)-ROW(PLE.firstrow))),0,
           IF(OFFSET(PLE!$G$15,$M117-$A$15,BA$13)="",10^12,OFFSET(PLE!$G$15,$M117-$A$15,BA$13)))</f>
        <v>1000000000000</v>
      </c>
      <c r="BB117" s="173">
        <f ca="1">IF(OR($D117&lt;&gt;"Serviço",AND(AUTOEVENTO="Manual",$M117=$A$15),$M117&gt;(ROW(PLE.lastrow)-ROW(PLE.firstrow))),0,
           IF(OFFSET(PLE!$G$15,$M117-$A$15,BB$13)="",10^12,OFFSET(PLE!$G$15,$M117-$A$15,BB$13)))</f>
        <v>1000000000000</v>
      </c>
      <c r="BC117" s="173">
        <f ca="1">IF(OR($D117&lt;&gt;"Serviço",AND(AUTOEVENTO="Manual",$M117=$A$15),$M117&gt;(ROW(PLE.lastrow)-ROW(PLE.firstrow))),0,
           IF(OFFSET(PLE!$G$15,$M117-$A$15,BC$13)="",10^12,OFFSET(PLE!$G$15,$M117-$A$15,BC$13)))</f>
        <v>1000000000000</v>
      </c>
      <c r="BD117" s="173">
        <f ca="1">IF(OR($D117&lt;&gt;"Serviço",AND(AUTOEVENTO="Manual",$M117=$A$15),$M117&gt;(ROW(PLE.lastrow)-ROW(PLE.firstrow))),0,
           IF(OFFSET(PLE!$G$15,$M117-$A$15,BD$13)="",10^12,OFFSET(PLE!$G$15,$M117-$A$15,BD$13)))</f>
        <v>1000000000000</v>
      </c>
      <c r="BE117" s="173">
        <f ca="1">IF(OR($D117&lt;&gt;"Serviço",AND(AUTOEVENTO="Manual",$M117=$A$15),$M117&gt;(ROW(PLE.lastrow)-ROW(PLE.firstrow))),0,
           IF(OFFSET(PLE!$G$15,$M117-$A$15,BE$13)="",10^12,OFFSET(PLE!$G$15,$M117-$A$15,BE$13)))</f>
        <v>1000000000000</v>
      </c>
      <c r="BF117" s="173">
        <f ca="1">IF(OR($D117&lt;&gt;"Serviço",AND(AUTOEVENTO="Manual",$M117=$A$15),$M117&gt;(ROW(PLE.lastrow)-ROW(PLE.firstrow))),0,
           IF(OFFSET(PLE!$G$15,$M117-$A$15,BF$13)="",10^12,OFFSET(PLE!$G$15,$M117-$A$15,BF$13)))</f>
        <v>1000000000000</v>
      </c>
      <c r="BG117" s="173">
        <f ca="1">IF(OR($D117&lt;&gt;"Serviço",AND(AUTOEVENTO="Manual",$M117=$A$15),$M117&gt;(ROW(PLE.lastrow)-ROW(PLE.firstrow))),0,
           IF(OFFSET(PLE!$G$15,$M117-$A$15,BG$13)="",10^12,OFFSET(PLE!$G$15,$M117-$A$15,BG$13)))</f>
        <v>1000000000000</v>
      </c>
    </row>
    <row r="118" spans="1:59" ht="25.5" x14ac:dyDescent="0.2">
      <c r="A118" s="7" t="str">
        <f t="shared" ca="1" si="9"/>
        <v>100</v>
      </c>
      <c r="B118" s="7" t="str">
        <f ca="1">OFFSET(ORÇAMENTO!C$15,ROW(B118)-ROW(B$15),0)</f>
        <v>S</v>
      </c>
      <c r="C118" s="7" t="str">
        <f ca="1">OFFSET(ORÇAMENTO!L$15,ROW(C118)-ROW(C$15),0)</f>
        <v/>
      </c>
      <c r="D118" s="117" t="str">
        <f ca="1">OFFSET(ORÇAMENTO!N$15,ROW(D118)-ROW(D$15),0)</f>
        <v>Serviço</v>
      </c>
      <c r="E118" s="118" t="str">
        <f ca="1">OFFSET(ORÇAMENTO!O$15,ROW(E118)-ROW(E$15),0)</f>
        <v>-</v>
      </c>
      <c r="F118" s="164" t="str">
        <f ca="1">OFFSET(ORÇAMENTO!R$15,ROW(F118)-ROW(F$15),0)</f>
        <v xml:space="preserve">CAIXA DE PASSAGEM ELETRICA, PARA PISO, EM PVC, DIMENSOES DE 3/4" A 4"                                                                                                                                                                                     </v>
      </c>
      <c r="G118" s="165" t="str">
        <f ca="1">IF($D118&lt;&gt;"Serviço","",OFFSET(ORÇAMENTO!S$15,ROW(G118)-ROW(G$15),0))</f>
        <v xml:space="preserve">UN    </v>
      </c>
      <c r="H118" s="123">
        <f ca="1">IF($D118&lt;&gt;"Serviço",0,IF(ACOMPANHAMENTO="BM",ROUND(OFFSET(ORÇAMENTO!AJ$15,ROW(H118)-ROW(H$15),0),15-13*ORÇAMENTO!$AF$7),SUMPRODUCT(($Q$1:$AA$1=1)*ROUND($Q118:$AA118,15-13*ORÇAMENTO!$AF$7))))</f>
        <v>3</v>
      </c>
      <c r="I118" s="469"/>
      <c r="J118" s="577" t="str" cm="1">
        <f t="array" aca="1" ref="J118" ca="1">IF(B118&lt;&gt;"S","",IF(AND(ACOMPANHAMENTO="PLE",AUTOEVENTO="Manual",OR(H118&gt;0,ORÇAMENTO!AC118="QUANT."),OR(K118="",M118=0,N118="")),"►",IF(AND(ACOMPANHAMENTO="PLE",ORÇAMENTO!AC118="QUANT."),"►►",IF(AND(COUNTIF($P$11:$AA$11,"▼")=0,H118&gt;0,I118=""),"◄",""))))</f>
        <v>◄</v>
      </c>
      <c r="K118" s="626"/>
      <c r="L118" s="166" t="s">
        <v>765</v>
      </c>
      <c r="M118" s="167">
        <f ca="1">IF($D118&lt;&gt;"Serviço","",
          IF(AUTOEVENTO="manual",$A118,
                IF(ISERROR(MATCH($A118,$A$15:OFFSET($A118,-1,0),0)),MAX($M$15:OFFSET(M118,-1,0))+1,
                      INDEX($M$15:OFFSET(M118,-1,0),MATCH($A118,$A$15:OFFSET($A118,-1,0),0)))))</f>
        <v>10</v>
      </c>
      <c r="N118" s="168" t="str">
        <f ca="1">IF($D118&lt;&gt;"Serviço","",
         IF(AUTOEVENTO="Manual",
                IF($A118=0,"&lt;-- defina o número do agrupador",
                       OFFSET(EVENTOS!$D$15,$A118-$A$15,0)),
                OFFSET($F$15,$A118,0)))</f>
        <v>VOZ E DADOS</v>
      </c>
      <c r="O118" s="169"/>
      <c r="Q118" s="169"/>
      <c r="R118" s="170"/>
      <c r="S118" s="170"/>
      <c r="T118" s="170"/>
      <c r="U118" s="170"/>
      <c r="V118" s="170"/>
      <c r="W118" s="170"/>
      <c r="X118" s="170"/>
      <c r="Y118" s="170"/>
      <c r="Z118" s="171"/>
      <c r="AB118" s="454">
        <f ca="1">IF(AND($D118="Serviço",AB$12&lt;&gt;0,$H118&gt;0,OR(AUTOEVENTO&lt;&gt;"manual",$M118&lt;&gt;$A$15)),
        IF(Import.TipoArredondamento&lt;&gt;"TransfereGOV",
              ROUND(OFFSET($P118,0,AB$13),15-13*ORÇAMENTO!$AF$7)/$H118*OFFSET(ORÇAMENTO!$X$15,ROW(AB118)-ROW(AB$15),0),
              ROUND(ROUND(OFFSET($P118,0,AB$13),15-13*ORÇAMENTO!$AF$7)*OFFSET(ORÇAMENTO!$W$15,ROW(AB118)-ROW(AB$15),0),15-13*ORÇAMENTO!$AF$11)),
         0)</f>
        <v>0</v>
      </c>
      <c r="AC118" s="454">
        <f ca="1">IF(AND($D118="Serviço",AC$12&lt;&gt;0,$H118&gt;0,OR(AUTOEVENTO&lt;&gt;"manual",$M118&lt;&gt;$A$15)),
        IF(Import.TipoArredondamento&lt;&gt;"TransfereGOV",
              ROUND(OFFSET($P118,0,AC$13),15-13*ORÇAMENTO!$AF$7)/$H118*OFFSET(ORÇAMENTO!$X$15,ROW(AC118)-ROW(AC$15),0),
              ROUND(ROUND(OFFSET($P118,0,AC$13),15-13*ORÇAMENTO!$AF$7)*OFFSET(ORÇAMENTO!$W$15,ROW(AC118)-ROW(AC$15),0),15-13*ORÇAMENTO!$AF$11)),
         0)</f>
        <v>0</v>
      </c>
      <c r="AD118" s="454">
        <f ca="1">IF(AND($D118="Serviço",AD$12&lt;&gt;0,$H118&gt;0,OR(AUTOEVENTO&lt;&gt;"manual",$M118&lt;&gt;$A$15)),
        IF(Import.TipoArredondamento&lt;&gt;"TransfereGOV",
              ROUND(OFFSET($P118,0,AD$13),15-13*ORÇAMENTO!$AF$7)/$H118*OFFSET(ORÇAMENTO!$X$15,ROW(AD118)-ROW(AD$15),0),
              ROUND(ROUND(OFFSET($P118,0,AD$13),15-13*ORÇAMENTO!$AF$7)*OFFSET(ORÇAMENTO!$W$15,ROW(AD118)-ROW(AD$15),0),15-13*ORÇAMENTO!$AF$11)),
         0)</f>
        <v>0</v>
      </c>
      <c r="AE118" s="454">
        <f ca="1">IF(AND($D118="Serviço",AE$12&lt;&gt;0,$H118&gt;0,OR(AUTOEVENTO&lt;&gt;"manual",$M118&lt;&gt;$A$15)),
        IF(Import.TipoArredondamento&lt;&gt;"TransfereGOV",
              ROUND(OFFSET($P118,0,AE$13),15-13*ORÇAMENTO!$AF$7)/$H118*OFFSET(ORÇAMENTO!$X$15,ROW(AE118)-ROW(AE$15),0),
              ROUND(ROUND(OFFSET($P118,0,AE$13),15-13*ORÇAMENTO!$AF$7)*OFFSET(ORÇAMENTO!$W$15,ROW(AE118)-ROW(AE$15),0),15-13*ORÇAMENTO!$AF$11)),
         0)</f>
        <v>0</v>
      </c>
      <c r="AF118" s="454">
        <f ca="1">IF(AND($D118="Serviço",AF$12&lt;&gt;0,$H118&gt;0,OR(AUTOEVENTO&lt;&gt;"manual",$M118&lt;&gt;$A$15)),
        IF(Import.TipoArredondamento&lt;&gt;"TransfereGOV",
              ROUND(OFFSET($P118,0,AF$13),15-13*ORÇAMENTO!$AF$7)/$H118*OFFSET(ORÇAMENTO!$X$15,ROW(AF118)-ROW(AF$15),0),
              ROUND(ROUND(OFFSET($P118,0,AF$13),15-13*ORÇAMENTO!$AF$7)*OFFSET(ORÇAMENTO!$W$15,ROW(AF118)-ROW(AF$15),0),15-13*ORÇAMENTO!$AF$11)),
         0)</f>
        <v>0</v>
      </c>
      <c r="AG118" s="454">
        <f ca="1">IF(AND($D118="Serviço",AG$12&lt;&gt;0,$H118&gt;0,OR(AUTOEVENTO&lt;&gt;"manual",$M118&lt;&gt;$A$15)),
        IF(Import.TipoArredondamento&lt;&gt;"TransfereGOV",
              ROUND(OFFSET($P118,0,AG$13),15-13*ORÇAMENTO!$AF$7)/$H118*OFFSET(ORÇAMENTO!$X$15,ROW(AG118)-ROW(AG$15),0),
              ROUND(ROUND(OFFSET($P118,0,AG$13),15-13*ORÇAMENTO!$AF$7)*OFFSET(ORÇAMENTO!$W$15,ROW(AG118)-ROW(AG$15),0),15-13*ORÇAMENTO!$AF$11)),
         0)</f>
        <v>0</v>
      </c>
      <c r="AH118" s="454">
        <f ca="1">IF(AND($D118="Serviço",AH$12&lt;&gt;0,$H118&gt;0,OR(AUTOEVENTO&lt;&gt;"manual",$M118&lt;&gt;$A$15)),
        IF(Import.TipoArredondamento&lt;&gt;"TransfereGOV",
              ROUND(OFFSET($P118,0,AH$13),15-13*ORÇAMENTO!$AF$7)/$H118*OFFSET(ORÇAMENTO!$X$15,ROW(AH118)-ROW(AH$15),0),
              ROUND(ROUND(OFFSET($P118,0,AH$13),15-13*ORÇAMENTO!$AF$7)*OFFSET(ORÇAMENTO!$W$15,ROW(AH118)-ROW(AH$15),0),15-13*ORÇAMENTO!$AF$11)),
         0)</f>
        <v>0</v>
      </c>
      <c r="AI118" s="454">
        <f ca="1">IF(AND($D118="Serviço",AI$12&lt;&gt;0,$H118&gt;0,OR(AUTOEVENTO&lt;&gt;"manual",$M118&lt;&gt;$A$15)),
        IF(Import.TipoArredondamento&lt;&gt;"TransfereGOV",
              ROUND(OFFSET($P118,0,AI$13),15-13*ORÇAMENTO!$AF$7)/$H118*OFFSET(ORÇAMENTO!$X$15,ROW(AI118)-ROW(AI$15),0),
              ROUND(ROUND(OFFSET($P118,0,AI$13),15-13*ORÇAMENTO!$AF$7)*OFFSET(ORÇAMENTO!$W$15,ROW(AI118)-ROW(AI$15),0),15-13*ORÇAMENTO!$AF$11)),
         0)</f>
        <v>0</v>
      </c>
      <c r="AJ118" s="454">
        <f ca="1">IF(AND($D118="Serviço",AJ$12&lt;&gt;0,$H118&gt;0,OR(AUTOEVENTO&lt;&gt;"manual",$M118&lt;&gt;$A$15)),
        IF(Import.TipoArredondamento&lt;&gt;"TransfereGOV",
              ROUND(OFFSET($P118,0,AJ$13),15-13*ORÇAMENTO!$AF$7)/$H118*OFFSET(ORÇAMENTO!$X$15,ROW(AJ118)-ROW(AJ$15),0),
              ROUND(ROUND(OFFSET($P118,0,AJ$13),15-13*ORÇAMENTO!$AF$7)*OFFSET(ORÇAMENTO!$W$15,ROW(AJ118)-ROW(AJ$15),0),15-13*ORÇAMENTO!$AF$11)),
         0)</f>
        <v>0</v>
      </c>
      <c r="AK118" s="454">
        <f ca="1">IF(AND($D118="Serviço",AK$12&lt;&gt;0,$H118&gt;0,OR(AUTOEVENTO&lt;&gt;"manual",$M118&lt;&gt;$A$15)),
        IF(Import.TipoArredondamento&lt;&gt;"TransfereGOV",
              ROUND(OFFSET($P118,0,AK$13),15-13*ORÇAMENTO!$AF$7)/$H118*OFFSET(ORÇAMENTO!$X$15,ROW(AK118)-ROW(AK$15),0),
              ROUND(ROUND(OFFSET($P118,0,AK$13),15-13*ORÇAMENTO!$AF$7)*OFFSET(ORÇAMENTO!$W$15,ROW(AK118)-ROW(AK$15),0),15-13*ORÇAMENTO!$AF$11)),
         0)</f>
        <v>0</v>
      </c>
      <c r="AM118" s="172">
        <f ca="1">IF(OR($D118&lt;&gt;"Serviço",AND(AUTOEVENTO="Manual",$M118=$A$15)),0,
         IF(OFFSET(CRONOPLE!$F$15,$M118-$A$15,AM$13)="",10^12,OFFSET(CRONOPLE!$F$15,$M118-$A$15,AM$13)))</f>
        <v>1000000000000</v>
      </c>
      <c r="AN118" s="172">
        <f ca="1">IF(OR($D118&lt;&gt;"Serviço",AND(AUTOEVENTO="Manual",$M118=$A$15)),0,
         IF(OFFSET(CRONOPLE!$F$15,$M118-$A$15,AN$13)="",10^12,OFFSET(CRONOPLE!$F$15,$M118-$A$15,AN$13)))</f>
        <v>1000000000000</v>
      </c>
      <c r="AO118" s="172">
        <f ca="1">IF(OR($D118&lt;&gt;"Serviço",AND(AUTOEVENTO="Manual",$M118=$A$15)),0,
         IF(OFFSET(CRONOPLE!$F$15,$M118-$A$15,AO$13)="",10^12,OFFSET(CRONOPLE!$F$15,$M118-$A$15,AO$13)))</f>
        <v>1000000000000</v>
      </c>
      <c r="AP118" s="172">
        <f ca="1">IF(OR($D118&lt;&gt;"Serviço",AND(AUTOEVENTO="Manual",$M118=$A$15)),0,
         IF(OFFSET(CRONOPLE!$F$15,$M118-$A$15,AP$13)="",10^12,OFFSET(CRONOPLE!$F$15,$M118-$A$15,AP$13)))</f>
        <v>1000000000000</v>
      </c>
      <c r="AQ118" s="172">
        <f ca="1">IF(OR($D118&lt;&gt;"Serviço",AND(AUTOEVENTO="Manual",$M118=$A$15)),0,
         IF(OFFSET(CRONOPLE!$F$15,$M118-$A$15,AQ$13)="",10^12,OFFSET(CRONOPLE!$F$15,$M118-$A$15,AQ$13)))</f>
        <v>1000000000000</v>
      </c>
      <c r="AR118" s="172">
        <f ca="1">IF(OR($D118&lt;&gt;"Serviço",AND(AUTOEVENTO="Manual",$M118=$A$15)),0,
         IF(OFFSET(CRONOPLE!$F$15,$M118-$A$15,AR$13)="",10^12,OFFSET(CRONOPLE!$F$15,$M118-$A$15,AR$13)))</f>
        <v>1000000000000</v>
      </c>
      <c r="AS118" s="172">
        <f ca="1">IF(OR($D118&lt;&gt;"Serviço",AND(AUTOEVENTO="Manual",$M118=$A$15)),0,
         IF(OFFSET(CRONOPLE!$F$15,$M118-$A$15,AS$13)="",10^12,OFFSET(CRONOPLE!$F$15,$M118-$A$15,AS$13)))</f>
        <v>1000000000000</v>
      </c>
      <c r="AT118" s="172">
        <f ca="1">IF(OR($D118&lt;&gt;"Serviço",AND(AUTOEVENTO="Manual",$M118=$A$15)),0,
         IF(OFFSET(CRONOPLE!$F$15,$M118-$A$15,AT$13)="",10^12,OFFSET(CRONOPLE!$F$15,$M118-$A$15,AT$13)))</f>
        <v>1000000000000</v>
      </c>
      <c r="AU118" s="172">
        <f ca="1">IF(OR($D118&lt;&gt;"Serviço",AND(AUTOEVENTO="Manual",$M118=$A$15)),0,
         IF(OFFSET(CRONOPLE!$F$15,$M118-$A$15,AU$13)="",10^12,OFFSET(CRONOPLE!$F$15,$M118-$A$15,AU$13)))</f>
        <v>1000000000000</v>
      </c>
      <c r="AV118" s="172">
        <f ca="1">IF(OR($D118&lt;&gt;"Serviço",AND(AUTOEVENTO="Manual",$M118=$A$15)),0,
         IF(OFFSET(CRONOPLE!$F$15,$M118-$A$15,AV$13)="",10^12,OFFSET(CRONOPLE!$F$15,$M118-$A$15,AV$13)))</f>
        <v>1000000000000</v>
      </c>
      <c r="AX118" s="173">
        <f ca="1">IF(OR($D118&lt;&gt;"Serviço",AND(AUTOEVENTO="Manual",$M118=$A$15),$M118&gt;(ROW(PLE.lastrow)-ROW(PLE.firstrow))),0,
           IF(OFFSET(PLE!$G$15,$M118-$A$15,AX$13)="",10^12,OFFSET(PLE!$G$15,$M118-$A$15,AX$13)))</f>
        <v>1000000000000</v>
      </c>
      <c r="AY118" s="173">
        <f ca="1">IF(OR($D118&lt;&gt;"Serviço",AND(AUTOEVENTO="Manual",$M118=$A$15),$M118&gt;(ROW(PLE.lastrow)-ROW(PLE.firstrow))),0,
           IF(OFFSET(PLE!$G$15,$M118-$A$15,AY$13)="",10^12,OFFSET(PLE!$G$15,$M118-$A$15,AY$13)))</f>
        <v>1000000000000</v>
      </c>
      <c r="AZ118" s="173">
        <f ca="1">IF(OR($D118&lt;&gt;"Serviço",AND(AUTOEVENTO="Manual",$M118=$A$15),$M118&gt;(ROW(PLE.lastrow)-ROW(PLE.firstrow))),0,
           IF(OFFSET(PLE!$G$15,$M118-$A$15,AZ$13)="",10^12,OFFSET(PLE!$G$15,$M118-$A$15,AZ$13)))</f>
        <v>1000000000000</v>
      </c>
      <c r="BA118" s="173">
        <f ca="1">IF(OR($D118&lt;&gt;"Serviço",AND(AUTOEVENTO="Manual",$M118=$A$15),$M118&gt;(ROW(PLE.lastrow)-ROW(PLE.firstrow))),0,
           IF(OFFSET(PLE!$G$15,$M118-$A$15,BA$13)="",10^12,OFFSET(PLE!$G$15,$M118-$A$15,BA$13)))</f>
        <v>1000000000000</v>
      </c>
      <c r="BB118" s="173">
        <f ca="1">IF(OR($D118&lt;&gt;"Serviço",AND(AUTOEVENTO="Manual",$M118=$A$15),$M118&gt;(ROW(PLE.lastrow)-ROW(PLE.firstrow))),0,
           IF(OFFSET(PLE!$G$15,$M118-$A$15,BB$13)="",10^12,OFFSET(PLE!$G$15,$M118-$A$15,BB$13)))</f>
        <v>1000000000000</v>
      </c>
      <c r="BC118" s="173">
        <f ca="1">IF(OR($D118&lt;&gt;"Serviço",AND(AUTOEVENTO="Manual",$M118=$A$15),$M118&gt;(ROW(PLE.lastrow)-ROW(PLE.firstrow))),0,
           IF(OFFSET(PLE!$G$15,$M118-$A$15,BC$13)="",10^12,OFFSET(PLE!$G$15,$M118-$A$15,BC$13)))</f>
        <v>1000000000000</v>
      </c>
      <c r="BD118" s="173">
        <f ca="1">IF(OR($D118&lt;&gt;"Serviço",AND(AUTOEVENTO="Manual",$M118=$A$15),$M118&gt;(ROW(PLE.lastrow)-ROW(PLE.firstrow))),0,
           IF(OFFSET(PLE!$G$15,$M118-$A$15,BD$13)="",10^12,OFFSET(PLE!$G$15,$M118-$A$15,BD$13)))</f>
        <v>1000000000000</v>
      </c>
      <c r="BE118" s="173">
        <f ca="1">IF(OR($D118&lt;&gt;"Serviço",AND(AUTOEVENTO="Manual",$M118=$A$15),$M118&gt;(ROW(PLE.lastrow)-ROW(PLE.firstrow))),0,
           IF(OFFSET(PLE!$G$15,$M118-$A$15,BE$13)="",10^12,OFFSET(PLE!$G$15,$M118-$A$15,BE$13)))</f>
        <v>1000000000000</v>
      </c>
      <c r="BF118" s="173">
        <f ca="1">IF(OR($D118&lt;&gt;"Serviço",AND(AUTOEVENTO="Manual",$M118=$A$15),$M118&gt;(ROW(PLE.lastrow)-ROW(PLE.firstrow))),0,
           IF(OFFSET(PLE!$G$15,$M118-$A$15,BF$13)="",10^12,OFFSET(PLE!$G$15,$M118-$A$15,BF$13)))</f>
        <v>1000000000000</v>
      </c>
      <c r="BG118" s="173">
        <f ca="1">IF(OR($D118&lt;&gt;"Serviço",AND(AUTOEVENTO="Manual",$M118=$A$15),$M118&gt;(ROW(PLE.lastrow)-ROW(PLE.firstrow))),0,
           IF(OFFSET(PLE!$G$15,$M118-$A$15,BG$13)="",10^12,OFFSET(PLE!$G$15,$M118-$A$15,BG$13)))</f>
        <v>1000000000000</v>
      </c>
    </row>
    <row r="119" spans="1:59" ht="25.5" x14ac:dyDescent="0.2">
      <c r="A119" s="7" t="str">
        <f t="shared" ca="1" si="9"/>
        <v>100</v>
      </c>
      <c r="B119" s="7" t="str">
        <f ca="1">OFFSET(ORÇAMENTO!C$15,ROW(B119)-ROW(B$15),0)</f>
        <v>S</v>
      </c>
      <c r="C119" s="7" t="str">
        <f ca="1">OFFSET(ORÇAMENTO!L$15,ROW(C119)-ROW(C$15),0)</f>
        <v/>
      </c>
      <c r="D119" s="117" t="str">
        <f ca="1">OFFSET(ORÇAMENTO!N$15,ROW(D119)-ROW(D$15),0)</f>
        <v>Serviço</v>
      </c>
      <c r="E119" s="118" t="str">
        <f ca="1">OFFSET(ORÇAMENTO!O$15,ROW(E119)-ROW(E$15),0)</f>
        <v>-</v>
      </c>
      <c r="F119" s="164" t="str">
        <f ca="1">OFFSET(ORÇAMENTO!R$15,ROW(F119)-ROW(F$15),0)</f>
        <v>CABO ELETRÔNICO CATEGORIA 5E, INSTALADO EM EDIFICAÇÃO INSTITUCIONAL - FORNECIMENTO E INSTALAÇÃO. AF_11/2019</v>
      </c>
      <c r="G119" s="165" t="str">
        <f ca="1">IF($D119&lt;&gt;"Serviço","",OFFSET(ORÇAMENTO!S$15,ROW(G119)-ROW(G$15),0))</f>
        <v>M</v>
      </c>
      <c r="H119" s="123">
        <f ca="1">IF($D119&lt;&gt;"Serviço",0,IF(ACOMPANHAMENTO="BM",ROUND(OFFSET(ORÇAMENTO!AJ$15,ROW(H119)-ROW(H$15),0),15-13*ORÇAMENTO!$AF$7),SUMPRODUCT(($Q$1:$AA$1=1)*ROUND($Q119:$AA119,15-13*ORÇAMENTO!$AF$7))))</f>
        <v>600</v>
      </c>
      <c r="I119" s="469"/>
      <c r="J119" s="577" t="str" cm="1">
        <f t="array" aca="1" ref="J119" ca="1">IF(B119&lt;&gt;"S","",IF(AND(ACOMPANHAMENTO="PLE",AUTOEVENTO="Manual",OR(H119&gt;0,ORÇAMENTO!AC119="QUANT."),OR(K119="",M119=0,N119="")),"►",IF(AND(ACOMPANHAMENTO="PLE",ORÇAMENTO!AC119="QUANT."),"►►",IF(AND(COUNTIF($P$11:$AA$11,"▼")=0,H119&gt;0,I119=""),"◄",""))))</f>
        <v>◄</v>
      </c>
      <c r="K119" s="626"/>
      <c r="L119" s="166" t="s">
        <v>765</v>
      </c>
      <c r="M119" s="167">
        <f ca="1">IF($D119&lt;&gt;"Serviço","",
          IF(AUTOEVENTO="manual",$A119,
                IF(ISERROR(MATCH($A119,$A$15:OFFSET($A119,-1,0),0)),MAX($M$15:OFFSET(M119,-1,0))+1,
                      INDEX($M$15:OFFSET(M119,-1,0),MATCH($A119,$A$15:OFFSET($A119,-1,0),0)))))</f>
        <v>10</v>
      </c>
      <c r="N119" s="168" t="str">
        <f ca="1">IF($D119&lt;&gt;"Serviço","",
         IF(AUTOEVENTO="Manual",
                IF($A119=0,"&lt;-- defina o número do agrupador",
                       OFFSET(EVENTOS!$D$15,$A119-$A$15,0)),
                OFFSET($F$15,$A119,0)))</f>
        <v>VOZ E DADOS</v>
      </c>
      <c r="O119" s="169"/>
      <c r="Q119" s="169"/>
      <c r="R119" s="170"/>
      <c r="S119" s="170"/>
      <c r="T119" s="170"/>
      <c r="U119" s="170"/>
      <c r="V119" s="170"/>
      <c r="W119" s="170"/>
      <c r="X119" s="170"/>
      <c r="Y119" s="170"/>
      <c r="Z119" s="171"/>
      <c r="AB119" s="454">
        <f ca="1">IF(AND($D119="Serviço",AB$12&lt;&gt;0,$H119&gt;0,OR(AUTOEVENTO&lt;&gt;"manual",$M119&lt;&gt;$A$15)),
        IF(Import.TipoArredondamento&lt;&gt;"TransfereGOV",
              ROUND(OFFSET($P119,0,AB$13),15-13*ORÇAMENTO!$AF$7)/$H119*OFFSET(ORÇAMENTO!$X$15,ROW(AB119)-ROW(AB$15),0),
              ROUND(ROUND(OFFSET($P119,0,AB$13),15-13*ORÇAMENTO!$AF$7)*OFFSET(ORÇAMENTO!$W$15,ROW(AB119)-ROW(AB$15),0),15-13*ORÇAMENTO!$AF$11)),
         0)</f>
        <v>0</v>
      </c>
      <c r="AC119" s="454">
        <f ca="1">IF(AND($D119="Serviço",AC$12&lt;&gt;0,$H119&gt;0,OR(AUTOEVENTO&lt;&gt;"manual",$M119&lt;&gt;$A$15)),
        IF(Import.TipoArredondamento&lt;&gt;"TransfereGOV",
              ROUND(OFFSET($P119,0,AC$13),15-13*ORÇAMENTO!$AF$7)/$H119*OFFSET(ORÇAMENTO!$X$15,ROW(AC119)-ROW(AC$15),0),
              ROUND(ROUND(OFFSET($P119,0,AC$13),15-13*ORÇAMENTO!$AF$7)*OFFSET(ORÇAMENTO!$W$15,ROW(AC119)-ROW(AC$15),0),15-13*ORÇAMENTO!$AF$11)),
         0)</f>
        <v>0</v>
      </c>
      <c r="AD119" s="454">
        <f ca="1">IF(AND($D119="Serviço",AD$12&lt;&gt;0,$H119&gt;0,OR(AUTOEVENTO&lt;&gt;"manual",$M119&lt;&gt;$A$15)),
        IF(Import.TipoArredondamento&lt;&gt;"TransfereGOV",
              ROUND(OFFSET($P119,0,AD$13),15-13*ORÇAMENTO!$AF$7)/$H119*OFFSET(ORÇAMENTO!$X$15,ROW(AD119)-ROW(AD$15),0),
              ROUND(ROUND(OFFSET($P119,0,AD$13),15-13*ORÇAMENTO!$AF$7)*OFFSET(ORÇAMENTO!$W$15,ROW(AD119)-ROW(AD$15),0),15-13*ORÇAMENTO!$AF$11)),
         0)</f>
        <v>0</v>
      </c>
      <c r="AE119" s="454">
        <f ca="1">IF(AND($D119="Serviço",AE$12&lt;&gt;0,$H119&gt;0,OR(AUTOEVENTO&lt;&gt;"manual",$M119&lt;&gt;$A$15)),
        IF(Import.TipoArredondamento&lt;&gt;"TransfereGOV",
              ROUND(OFFSET($P119,0,AE$13),15-13*ORÇAMENTO!$AF$7)/$H119*OFFSET(ORÇAMENTO!$X$15,ROW(AE119)-ROW(AE$15),0),
              ROUND(ROUND(OFFSET($P119,0,AE$13),15-13*ORÇAMENTO!$AF$7)*OFFSET(ORÇAMENTO!$W$15,ROW(AE119)-ROW(AE$15),0),15-13*ORÇAMENTO!$AF$11)),
         0)</f>
        <v>0</v>
      </c>
      <c r="AF119" s="454">
        <f ca="1">IF(AND($D119="Serviço",AF$12&lt;&gt;0,$H119&gt;0,OR(AUTOEVENTO&lt;&gt;"manual",$M119&lt;&gt;$A$15)),
        IF(Import.TipoArredondamento&lt;&gt;"TransfereGOV",
              ROUND(OFFSET($P119,0,AF$13),15-13*ORÇAMENTO!$AF$7)/$H119*OFFSET(ORÇAMENTO!$X$15,ROW(AF119)-ROW(AF$15),0),
              ROUND(ROUND(OFFSET($P119,0,AF$13),15-13*ORÇAMENTO!$AF$7)*OFFSET(ORÇAMENTO!$W$15,ROW(AF119)-ROW(AF$15),0),15-13*ORÇAMENTO!$AF$11)),
         0)</f>
        <v>0</v>
      </c>
      <c r="AG119" s="454">
        <f ca="1">IF(AND($D119="Serviço",AG$12&lt;&gt;0,$H119&gt;0,OR(AUTOEVENTO&lt;&gt;"manual",$M119&lt;&gt;$A$15)),
        IF(Import.TipoArredondamento&lt;&gt;"TransfereGOV",
              ROUND(OFFSET($P119,0,AG$13),15-13*ORÇAMENTO!$AF$7)/$H119*OFFSET(ORÇAMENTO!$X$15,ROW(AG119)-ROW(AG$15),0),
              ROUND(ROUND(OFFSET($P119,0,AG$13),15-13*ORÇAMENTO!$AF$7)*OFFSET(ORÇAMENTO!$W$15,ROW(AG119)-ROW(AG$15),0),15-13*ORÇAMENTO!$AF$11)),
         0)</f>
        <v>0</v>
      </c>
      <c r="AH119" s="454">
        <f ca="1">IF(AND($D119="Serviço",AH$12&lt;&gt;0,$H119&gt;0,OR(AUTOEVENTO&lt;&gt;"manual",$M119&lt;&gt;$A$15)),
        IF(Import.TipoArredondamento&lt;&gt;"TransfereGOV",
              ROUND(OFFSET($P119,0,AH$13),15-13*ORÇAMENTO!$AF$7)/$H119*OFFSET(ORÇAMENTO!$X$15,ROW(AH119)-ROW(AH$15),0),
              ROUND(ROUND(OFFSET($P119,0,AH$13),15-13*ORÇAMENTO!$AF$7)*OFFSET(ORÇAMENTO!$W$15,ROW(AH119)-ROW(AH$15),0),15-13*ORÇAMENTO!$AF$11)),
         0)</f>
        <v>0</v>
      </c>
      <c r="AI119" s="454">
        <f ca="1">IF(AND($D119="Serviço",AI$12&lt;&gt;0,$H119&gt;0,OR(AUTOEVENTO&lt;&gt;"manual",$M119&lt;&gt;$A$15)),
        IF(Import.TipoArredondamento&lt;&gt;"TransfereGOV",
              ROUND(OFFSET($P119,0,AI$13),15-13*ORÇAMENTO!$AF$7)/$H119*OFFSET(ORÇAMENTO!$X$15,ROW(AI119)-ROW(AI$15),0),
              ROUND(ROUND(OFFSET($P119,0,AI$13),15-13*ORÇAMENTO!$AF$7)*OFFSET(ORÇAMENTO!$W$15,ROW(AI119)-ROW(AI$15),0),15-13*ORÇAMENTO!$AF$11)),
         0)</f>
        <v>0</v>
      </c>
      <c r="AJ119" s="454">
        <f ca="1">IF(AND($D119="Serviço",AJ$12&lt;&gt;0,$H119&gt;0,OR(AUTOEVENTO&lt;&gt;"manual",$M119&lt;&gt;$A$15)),
        IF(Import.TipoArredondamento&lt;&gt;"TransfereGOV",
              ROUND(OFFSET($P119,0,AJ$13),15-13*ORÇAMENTO!$AF$7)/$H119*OFFSET(ORÇAMENTO!$X$15,ROW(AJ119)-ROW(AJ$15),0),
              ROUND(ROUND(OFFSET($P119,0,AJ$13),15-13*ORÇAMENTO!$AF$7)*OFFSET(ORÇAMENTO!$W$15,ROW(AJ119)-ROW(AJ$15),0),15-13*ORÇAMENTO!$AF$11)),
         0)</f>
        <v>0</v>
      </c>
      <c r="AK119" s="454">
        <f ca="1">IF(AND($D119="Serviço",AK$12&lt;&gt;0,$H119&gt;0,OR(AUTOEVENTO&lt;&gt;"manual",$M119&lt;&gt;$A$15)),
        IF(Import.TipoArredondamento&lt;&gt;"TransfereGOV",
              ROUND(OFFSET($P119,0,AK$13),15-13*ORÇAMENTO!$AF$7)/$H119*OFFSET(ORÇAMENTO!$X$15,ROW(AK119)-ROW(AK$15),0),
              ROUND(ROUND(OFFSET($P119,0,AK$13),15-13*ORÇAMENTO!$AF$7)*OFFSET(ORÇAMENTO!$W$15,ROW(AK119)-ROW(AK$15),0),15-13*ORÇAMENTO!$AF$11)),
         0)</f>
        <v>0</v>
      </c>
      <c r="AM119" s="172">
        <f ca="1">IF(OR($D119&lt;&gt;"Serviço",AND(AUTOEVENTO="Manual",$M119=$A$15)),0,
         IF(OFFSET(CRONOPLE!$F$15,$M119-$A$15,AM$13)="",10^12,OFFSET(CRONOPLE!$F$15,$M119-$A$15,AM$13)))</f>
        <v>1000000000000</v>
      </c>
      <c r="AN119" s="172">
        <f ca="1">IF(OR($D119&lt;&gt;"Serviço",AND(AUTOEVENTO="Manual",$M119=$A$15)),0,
         IF(OFFSET(CRONOPLE!$F$15,$M119-$A$15,AN$13)="",10^12,OFFSET(CRONOPLE!$F$15,$M119-$A$15,AN$13)))</f>
        <v>1000000000000</v>
      </c>
      <c r="AO119" s="172">
        <f ca="1">IF(OR($D119&lt;&gt;"Serviço",AND(AUTOEVENTO="Manual",$M119=$A$15)),0,
         IF(OFFSET(CRONOPLE!$F$15,$M119-$A$15,AO$13)="",10^12,OFFSET(CRONOPLE!$F$15,$M119-$A$15,AO$13)))</f>
        <v>1000000000000</v>
      </c>
      <c r="AP119" s="172">
        <f ca="1">IF(OR($D119&lt;&gt;"Serviço",AND(AUTOEVENTO="Manual",$M119=$A$15)),0,
         IF(OFFSET(CRONOPLE!$F$15,$M119-$A$15,AP$13)="",10^12,OFFSET(CRONOPLE!$F$15,$M119-$A$15,AP$13)))</f>
        <v>1000000000000</v>
      </c>
      <c r="AQ119" s="172">
        <f ca="1">IF(OR($D119&lt;&gt;"Serviço",AND(AUTOEVENTO="Manual",$M119=$A$15)),0,
         IF(OFFSET(CRONOPLE!$F$15,$M119-$A$15,AQ$13)="",10^12,OFFSET(CRONOPLE!$F$15,$M119-$A$15,AQ$13)))</f>
        <v>1000000000000</v>
      </c>
      <c r="AR119" s="172">
        <f ca="1">IF(OR($D119&lt;&gt;"Serviço",AND(AUTOEVENTO="Manual",$M119=$A$15)),0,
         IF(OFFSET(CRONOPLE!$F$15,$M119-$A$15,AR$13)="",10^12,OFFSET(CRONOPLE!$F$15,$M119-$A$15,AR$13)))</f>
        <v>1000000000000</v>
      </c>
      <c r="AS119" s="172">
        <f ca="1">IF(OR($D119&lt;&gt;"Serviço",AND(AUTOEVENTO="Manual",$M119=$A$15)),0,
         IF(OFFSET(CRONOPLE!$F$15,$M119-$A$15,AS$13)="",10^12,OFFSET(CRONOPLE!$F$15,$M119-$A$15,AS$13)))</f>
        <v>1000000000000</v>
      </c>
      <c r="AT119" s="172">
        <f ca="1">IF(OR($D119&lt;&gt;"Serviço",AND(AUTOEVENTO="Manual",$M119=$A$15)),0,
         IF(OFFSET(CRONOPLE!$F$15,$M119-$A$15,AT$13)="",10^12,OFFSET(CRONOPLE!$F$15,$M119-$A$15,AT$13)))</f>
        <v>1000000000000</v>
      </c>
      <c r="AU119" s="172">
        <f ca="1">IF(OR($D119&lt;&gt;"Serviço",AND(AUTOEVENTO="Manual",$M119=$A$15)),0,
         IF(OFFSET(CRONOPLE!$F$15,$M119-$A$15,AU$13)="",10^12,OFFSET(CRONOPLE!$F$15,$M119-$A$15,AU$13)))</f>
        <v>1000000000000</v>
      </c>
      <c r="AV119" s="172">
        <f ca="1">IF(OR($D119&lt;&gt;"Serviço",AND(AUTOEVENTO="Manual",$M119=$A$15)),0,
         IF(OFFSET(CRONOPLE!$F$15,$M119-$A$15,AV$13)="",10^12,OFFSET(CRONOPLE!$F$15,$M119-$A$15,AV$13)))</f>
        <v>1000000000000</v>
      </c>
      <c r="AX119" s="173">
        <f ca="1">IF(OR($D119&lt;&gt;"Serviço",AND(AUTOEVENTO="Manual",$M119=$A$15),$M119&gt;(ROW(PLE.lastrow)-ROW(PLE.firstrow))),0,
           IF(OFFSET(PLE!$G$15,$M119-$A$15,AX$13)="",10^12,OFFSET(PLE!$G$15,$M119-$A$15,AX$13)))</f>
        <v>1000000000000</v>
      </c>
      <c r="AY119" s="173">
        <f ca="1">IF(OR($D119&lt;&gt;"Serviço",AND(AUTOEVENTO="Manual",$M119=$A$15),$M119&gt;(ROW(PLE.lastrow)-ROW(PLE.firstrow))),0,
           IF(OFFSET(PLE!$G$15,$M119-$A$15,AY$13)="",10^12,OFFSET(PLE!$G$15,$M119-$A$15,AY$13)))</f>
        <v>1000000000000</v>
      </c>
      <c r="AZ119" s="173">
        <f ca="1">IF(OR($D119&lt;&gt;"Serviço",AND(AUTOEVENTO="Manual",$M119=$A$15),$M119&gt;(ROW(PLE.lastrow)-ROW(PLE.firstrow))),0,
           IF(OFFSET(PLE!$G$15,$M119-$A$15,AZ$13)="",10^12,OFFSET(PLE!$G$15,$M119-$A$15,AZ$13)))</f>
        <v>1000000000000</v>
      </c>
      <c r="BA119" s="173">
        <f ca="1">IF(OR($D119&lt;&gt;"Serviço",AND(AUTOEVENTO="Manual",$M119=$A$15),$M119&gt;(ROW(PLE.lastrow)-ROW(PLE.firstrow))),0,
           IF(OFFSET(PLE!$G$15,$M119-$A$15,BA$13)="",10^12,OFFSET(PLE!$G$15,$M119-$A$15,BA$13)))</f>
        <v>1000000000000</v>
      </c>
      <c r="BB119" s="173">
        <f ca="1">IF(OR($D119&lt;&gt;"Serviço",AND(AUTOEVENTO="Manual",$M119=$A$15),$M119&gt;(ROW(PLE.lastrow)-ROW(PLE.firstrow))),0,
           IF(OFFSET(PLE!$G$15,$M119-$A$15,BB$13)="",10^12,OFFSET(PLE!$G$15,$M119-$A$15,BB$13)))</f>
        <v>1000000000000</v>
      </c>
      <c r="BC119" s="173">
        <f ca="1">IF(OR($D119&lt;&gt;"Serviço",AND(AUTOEVENTO="Manual",$M119=$A$15),$M119&gt;(ROW(PLE.lastrow)-ROW(PLE.firstrow))),0,
           IF(OFFSET(PLE!$G$15,$M119-$A$15,BC$13)="",10^12,OFFSET(PLE!$G$15,$M119-$A$15,BC$13)))</f>
        <v>1000000000000</v>
      </c>
      <c r="BD119" s="173">
        <f ca="1">IF(OR($D119&lt;&gt;"Serviço",AND(AUTOEVENTO="Manual",$M119=$A$15),$M119&gt;(ROW(PLE.lastrow)-ROW(PLE.firstrow))),0,
           IF(OFFSET(PLE!$G$15,$M119-$A$15,BD$13)="",10^12,OFFSET(PLE!$G$15,$M119-$A$15,BD$13)))</f>
        <v>1000000000000</v>
      </c>
      <c r="BE119" s="173">
        <f ca="1">IF(OR($D119&lt;&gt;"Serviço",AND(AUTOEVENTO="Manual",$M119=$A$15),$M119&gt;(ROW(PLE.lastrow)-ROW(PLE.firstrow))),0,
           IF(OFFSET(PLE!$G$15,$M119-$A$15,BE$13)="",10^12,OFFSET(PLE!$G$15,$M119-$A$15,BE$13)))</f>
        <v>1000000000000</v>
      </c>
      <c r="BF119" s="173">
        <f ca="1">IF(OR($D119&lt;&gt;"Serviço",AND(AUTOEVENTO="Manual",$M119=$A$15),$M119&gt;(ROW(PLE.lastrow)-ROW(PLE.firstrow))),0,
           IF(OFFSET(PLE!$G$15,$M119-$A$15,BF$13)="",10^12,OFFSET(PLE!$G$15,$M119-$A$15,BF$13)))</f>
        <v>1000000000000</v>
      </c>
      <c r="BG119" s="173">
        <f ca="1">IF(OR($D119&lt;&gt;"Serviço",AND(AUTOEVENTO="Manual",$M119=$A$15),$M119&gt;(ROW(PLE.lastrow)-ROW(PLE.firstrow))),0,
           IF(OFFSET(PLE!$G$15,$M119-$A$15,BG$13)="",10^12,OFFSET(PLE!$G$15,$M119-$A$15,BG$13)))</f>
        <v>1000000000000</v>
      </c>
    </row>
    <row r="120" spans="1:59" ht="25.5" x14ac:dyDescent="0.2">
      <c r="A120" s="7" t="str">
        <f t="shared" ca="1" si="9"/>
        <v>100</v>
      </c>
      <c r="B120" s="7" t="str">
        <f ca="1">OFFSET(ORÇAMENTO!C$15,ROW(B120)-ROW(B$15),0)</f>
        <v>S</v>
      </c>
      <c r="C120" s="7" t="str">
        <f ca="1">OFFSET(ORÇAMENTO!L$15,ROW(C120)-ROW(C$15),0)</f>
        <v/>
      </c>
      <c r="D120" s="117" t="str">
        <f ca="1">OFFSET(ORÇAMENTO!N$15,ROW(D120)-ROW(D$15),0)</f>
        <v>Serviço</v>
      </c>
      <c r="E120" s="118" t="str">
        <f ca="1">OFFSET(ORÇAMENTO!O$15,ROW(E120)-ROW(E$15),0)</f>
        <v>-</v>
      </c>
      <c r="F120" s="164" t="str">
        <f ca="1">OFFSET(ORÇAMENTO!R$15,ROW(F120)-ROW(F$15),0)</f>
        <v>TOMADA DE REDE RJ45 - FORNECIMENTO E INSTALAÇÃO. AF_11/2019</v>
      </c>
      <c r="G120" s="165" t="str">
        <f ca="1">IF($D120&lt;&gt;"Serviço","",OFFSET(ORÇAMENTO!S$15,ROW(G120)-ROW(G$15),0))</f>
        <v>UN</v>
      </c>
      <c r="H120" s="123">
        <f ca="1">IF($D120&lt;&gt;"Serviço",0,IF(ACOMPANHAMENTO="BM",ROUND(OFFSET(ORÇAMENTO!AJ$15,ROW(H120)-ROW(H$15),0),15-13*ORÇAMENTO!$AF$7),SUMPRODUCT(($Q$1:$AA$1=1)*ROUND($Q120:$AA120,15-13*ORÇAMENTO!$AF$7))))</f>
        <v>18</v>
      </c>
      <c r="I120" s="469"/>
      <c r="J120" s="577" t="str" cm="1">
        <f t="array" aca="1" ref="J120" ca="1">IF(B120&lt;&gt;"S","",IF(AND(ACOMPANHAMENTO="PLE",AUTOEVENTO="Manual",OR(H120&gt;0,ORÇAMENTO!AC120="QUANT."),OR(K120="",M120=0,N120="")),"►",IF(AND(ACOMPANHAMENTO="PLE",ORÇAMENTO!AC120="QUANT."),"►►",IF(AND(COUNTIF($P$11:$AA$11,"▼")=0,H120&gt;0,I120=""),"◄",""))))</f>
        <v>◄</v>
      </c>
      <c r="K120" s="626"/>
      <c r="L120" s="166" t="s">
        <v>765</v>
      </c>
      <c r="M120" s="167">
        <f ca="1">IF($D120&lt;&gt;"Serviço","",
          IF(AUTOEVENTO="manual",$A120,
                IF(ISERROR(MATCH($A120,$A$15:OFFSET($A120,-1,0),0)),MAX($M$15:OFFSET(M120,-1,0))+1,
                      INDEX($M$15:OFFSET(M120,-1,0),MATCH($A120,$A$15:OFFSET($A120,-1,0),0)))))</f>
        <v>10</v>
      </c>
      <c r="N120" s="168" t="str">
        <f ca="1">IF($D120&lt;&gt;"Serviço","",
         IF(AUTOEVENTO="Manual",
                IF($A120=0,"&lt;-- defina o número do agrupador",
                       OFFSET(EVENTOS!$D$15,$A120-$A$15,0)),
                OFFSET($F$15,$A120,0)))</f>
        <v>VOZ E DADOS</v>
      </c>
      <c r="O120" s="169"/>
      <c r="Q120" s="169"/>
      <c r="R120" s="170"/>
      <c r="S120" s="170"/>
      <c r="T120" s="170"/>
      <c r="U120" s="170"/>
      <c r="V120" s="170"/>
      <c r="W120" s="170"/>
      <c r="X120" s="170"/>
      <c r="Y120" s="170"/>
      <c r="Z120" s="171"/>
      <c r="AB120" s="454">
        <f ca="1">IF(AND($D120="Serviço",AB$12&lt;&gt;0,$H120&gt;0,OR(AUTOEVENTO&lt;&gt;"manual",$M120&lt;&gt;$A$15)),
        IF(Import.TipoArredondamento&lt;&gt;"TransfereGOV",
              ROUND(OFFSET($P120,0,AB$13),15-13*ORÇAMENTO!$AF$7)/$H120*OFFSET(ORÇAMENTO!$X$15,ROW(AB120)-ROW(AB$15),0),
              ROUND(ROUND(OFFSET($P120,0,AB$13),15-13*ORÇAMENTO!$AF$7)*OFFSET(ORÇAMENTO!$W$15,ROW(AB120)-ROW(AB$15),0),15-13*ORÇAMENTO!$AF$11)),
         0)</f>
        <v>0</v>
      </c>
      <c r="AC120" s="454">
        <f ca="1">IF(AND($D120="Serviço",AC$12&lt;&gt;0,$H120&gt;0,OR(AUTOEVENTO&lt;&gt;"manual",$M120&lt;&gt;$A$15)),
        IF(Import.TipoArredondamento&lt;&gt;"TransfereGOV",
              ROUND(OFFSET($P120,0,AC$13),15-13*ORÇAMENTO!$AF$7)/$H120*OFFSET(ORÇAMENTO!$X$15,ROW(AC120)-ROW(AC$15),0),
              ROUND(ROUND(OFFSET($P120,0,AC$13),15-13*ORÇAMENTO!$AF$7)*OFFSET(ORÇAMENTO!$W$15,ROW(AC120)-ROW(AC$15),0),15-13*ORÇAMENTO!$AF$11)),
         0)</f>
        <v>0</v>
      </c>
      <c r="AD120" s="454">
        <f ca="1">IF(AND($D120="Serviço",AD$12&lt;&gt;0,$H120&gt;0,OR(AUTOEVENTO&lt;&gt;"manual",$M120&lt;&gt;$A$15)),
        IF(Import.TipoArredondamento&lt;&gt;"TransfereGOV",
              ROUND(OFFSET($P120,0,AD$13),15-13*ORÇAMENTO!$AF$7)/$H120*OFFSET(ORÇAMENTO!$X$15,ROW(AD120)-ROW(AD$15),0),
              ROUND(ROUND(OFFSET($P120,0,AD$13),15-13*ORÇAMENTO!$AF$7)*OFFSET(ORÇAMENTO!$W$15,ROW(AD120)-ROW(AD$15),0),15-13*ORÇAMENTO!$AF$11)),
         0)</f>
        <v>0</v>
      </c>
      <c r="AE120" s="454">
        <f ca="1">IF(AND($D120="Serviço",AE$12&lt;&gt;0,$H120&gt;0,OR(AUTOEVENTO&lt;&gt;"manual",$M120&lt;&gt;$A$15)),
        IF(Import.TipoArredondamento&lt;&gt;"TransfereGOV",
              ROUND(OFFSET($P120,0,AE$13),15-13*ORÇAMENTO!$AF$7)/$H120*OFFSET(ORÇAMENTO!$X$15,ROW(AE120)-ROW(AE$15),0),
              ROUND(ROUND(OFFSET($P120,0,AE$13),15-13*ORÇAMENTO!$AF$7)*OFFSET(ORÇAMENTO!$W$15,ROW(AE120)-ROW(AE$15),0),15-13*ORÇAMENTO!$AF$11)),
         0)</f>
        <v>0</v>
      </c>
      <c r="AF120" s="454">
        <f ca="1">IF(AND($D120="Serviço",AF$12&lt;&gt;0,$H120&gt;0,OR(AUTOEVENTO&lt;&gt;"manual",$M120&lt;&gt;$A$15)),
        IF(Import.TipoArredondamento&lt;&gt;"TransfereGOV",
              ROUND(OFFSET($P120,0,AF$13),15-13*ORÇAMENTO!$AF$7)/$H120*OFFSET(ORÇAMENTO!$X$15,ROW(AF120)-ROW(AF$15),0),
              ROUND(ROUND(OFFSET($P120,0,AF$13),15-13*ORÇAMENTO!$AF$7)*OFFSET(ORÇAMENTO!$W$15,ROW(AF120)-ROW(AF$15),0),15-13*ORÇAMENTO!$AF$11)),
         0)</f>
        <v>0</v>
      </c>
      <c r="AG120" s="454">
        <f ca="1">IF(AND($D120="Serviço",AG$12&lt;&gt;0,$H120&gt;0,OR(AUTOEVENTO&lt;&gt;"manual",$M120&lt;&gt;$A$15)),
        IF(Import.TipoArredondamento&lt;&gt;"TransfereGOV",
              ROUND(OFFSET($P120,0,AG$13),15-13*ORÇAMENTO!$AF$7)/$H120*OFFSET(ORÇAMENTO!$X$15,ROW(AG120)-ROW(AG$15),0),
              ROUND(ROUND(OFFSET($P120,0,AG$13),15-13*ORÇAMENTO!$AF$7)*OFFSET(ORÇAMENTO!$W$15,ROW(AG120)-ROW(AG$15),0),15-13*ORÇAMENTO!$AF$11)),
         0)</f>
        <v>0</v>
      </c>
      <c r="AH120" s="454">
        <f ca="1">IF(AND($D120="Serviço",AH$12&lt;&gt;0,$H120&gt;0,OR(AUTOEVENTO&lt;&gt;"manual",$M120&lt;&gt;$A$15)),
        IF(Import.TipoArredondamento&lt;&gt;"TransfereGOV",
              ROUND(OFFSET($P120,0,AH$13),15-13*ORÇAMENTO!$AF$7)/$H120*OFFSET(ORÇAMENTO!$X$15,ROW(AH120)-ROW(AH$15),0),
              ROUND(ROUND(OFFSET($P120,0,AH$13),15-13*ORÇAMENTO!$AF$7)*OFFSET(ORÇAMENTO!$W$15,ROW(AH120)-ROW(AH$15),0),15-13*ORÇAMENTO!$AF$11)),
         0)</f>
        <v>0</v>
      </c>
      <c r="AI120" s="454">
        <f ca="1">IF(AND($D120="Serviço",AI$12&lt;&gt;0,$H120&gt;0,OR(AUTOEVENTO&lt;&gt;"manual",$M120&lt;&gt;$A$15)),
        IF(Import.TipoArredondamento&lt;&gt;"TransfereGOV",
              ROUND(OFFSET($P120,0,AI$13),15-13*ORÇAMENTO!$AF$7)/$H120*OFFSET(ORÇAMENTO!$X$15,ROW(AI120)-ROW(AI$15),0),
              ROUND(ROUND(OFFSET($P120,0,AI$13),15-13*ORÇAMENTO!$AF$7)*OFFSET(ORÇAMENTO!$W$15,ROW(AI120)-ROW(AI$15),0),15-13*ORÇAMENTO!$AF$11)),
         0)</f>
        <v>0</v>
      </c>
      <c r="AJ120" s="454">
        <f ca="1">IF(AND($D120="Serviço",AJ$12&lt;&gt;0,$H120&gt;0,OR(AUTOEVENTO&lt;&gt;"manual",$M120&lt;&gt;$A$15)),
        IF(Import.TipoArredondamento&lt;&gt;"TransfereGOV",
              ROUND(OFFSET($P120,0,AJ$13),15-13*ORÇAMENTO!$AF$7)/$H120*OFFSET(ORÇAMENTO!$X$15,ROW(AJ120)-ROW(AJ$15),0),
              ROUND(ROUND(OFFSET($P120,0,AJ$13),15-13*ORÇAMENTO!$AF$7)*OFFSET(ORÇAMENTO!$W$15,ROW(AJ120)-ROW(AJ$15),0),15-13*ORÇAMENTO!$AF$11)),
         0)</f>
        <v>0</v>
      </c>
      <c r="AK120" s="454">
        <f ca="1">IF(AND($D120="Serviço",AK$12&lt;&gt;0,$H120&gt;0,OR(AUTOEVENTO&lt;&gt;"manual",$M120&lt;&gt;$A$15)),
        IF(Import.TipoArredondamento&lt;&gt;"TransfereGOV",
              ROUND(OFFSET($P120,0,AK$13),15-13*ORÇAMENTO!$AF$7)/$H120*OFFSET(ORÇAMENTO!$X$15,ROW(AK120)-ROW(AK$15),0),
              ROUND(ROUND(OFFSET($P120,0,AK$13),15-13*ORÇAMENTO!$AF$7)*OFFSET(ORÇAMENTO!$W$15,ROW(AK120)-ROW(AK$15),0),15-13*ORÇAMENTO!$AF$11)),
         0)</f>
        <v>0</v>
      </c>
      <c r="AM120" s="172">
        <f ca="1">IF(OR($D120&lt;&gt;"Serviço",AND(AUTOEVENTO="Manual",$M120=$A$15)),0,
         IF(OFFSET(CRONOPLE!$F$15,$M120-$A$15,AM$13)="",10^12,OFFSET(CRONOPLE!$F$15,$M120-$A$15,AM$13)))</f>
        <v>1000000000000</v>
      </c>
      <c r="AN120" s="172">
        <f ca="1">IF(OR($D120&lt;&gt;"Serviço",AND(AUTOEVENTO="Manual",$M120=$A$15)),0,
         IF(OFFSET(CRONOPLE!$F$15,$M120-$A$15,AN$13)="",10^12,OFFSET(CRONOPLE!$F$15,$M120-$A$15,AN$13)))</f>
        <v>1000000000000</v>
      </c>
      <c r="AO120" s="172">
        <f ca="1">IF(OR($D120&lt;&gt;"Serviço",AND(AUTOEVENTO="Manual",$M120=$A$15)),0,
         IF(OFFSET(CRONOPLE!$F$15,$M120-$A$15,AO$13)="",10^12,OFFSET(CRONOPLE!$F$15,$M120-$A$15,AO$13)))</f>
        <v>1000000000000</v>
      </c>
      <c r="AP120" s="172">
        <f ca="1">IF(OR($D120&lt;&gt;"Serviço",AND(AUTOEVENTO="Manual",$M120=$A$15)),0,
         IF(OFFSET(CRONOPLE!$F$15,$M120-$A$15,AP$13)="",10^12,OFFSET(CRONOPLE!$F$15,$M120-$A$15,AP$13)))</f>
        <v>1000000000000</v>
      </c>
      <c r="AQ120" s="172">
        <f ca="1">IF(OR($D120&lt;&gt;"Serviço",AND(AUTOEVENTO="Manual",$M120=$A$15)),0,
         IF(OFFSET(CRONOPLE!$F$15,$M120-$A$15,AQ$13)="",10^12,OFFSET(CRONOPLE!$F$15,$M120-$A$15,AQ$13)))</f>
        <v>1000000000000</v>
      </c>
      <c r="AR120" s="172">
        <f ca="1">IF(OR($D120&lt;&gt;"Serviço",AND(AUTOEVENTO="Manual",$M120=$A$15)),0,
         IF(OFFSET(CRONOPLE!$F$15,$M120-$A$15,AR$13)="",10^12,OFFSET(CRONOPLE!$F$15,$M120-$A$15,AR$13)))</f>
        <v>1000000000000</v>
      </c>
      <c r="AS120" s="172">
        <f ca="1">IF(OR($D120&lt;&gt;"Serviço",AND(AUTOEVENTO="Manual",$M120=$A$15)),0,
         IF(OFFSET(CRONOPLE!$F$15,$M120-$A$15,AS$13)="",10^12,OFFSET(CRONOPLE!$F$15,$M120-$A$15,AS$13)))</f>
        <v>1000000000000</v>
      </c>
      <c r="AT120" s="172">
        <f ca="1">IF(OR($D120&lt;&gt;"Serviço",AND(AUTOEVENTO="Manual",$M120=$A$15)),0,
         IF(OFFSET(CRONOPLE!$F$15,$M120-$A$15,AT$13)="",10^12,OFFSET(CRONOPLE!$F$15,$M120-$A$15,AT$13)))</f>
        <v>1000000000000</v>
      </c>
      <c r="AU120" s="172">
        <f ca="1">IF(OR($D120&lt;&gt;"Serviço",AND(AUTOEVENTO="Manual",$M120=$A$15)),0,
         IF(OFFSET(CRONOPLE!$F$15,$M120-$A$15,AU$13)="",10^12,OFFSET(CRONOPLE!$F$15,$M120-$A$15,AU$13)))</f>
        <v>1000000000000</v>
      </c>
      <c r="AV120" s="172">
        <f ca="1">IF(OR($D120&lt;&gt;"Serviço",AND(AUTOEVENTO="Manual",$M120=$A$15)),0,
         IF(OFFSET(CRONOPLE!$F$15,$M120-$A$15,AV$13)="",10^12,OFFSET(CRONOPLE!$F$15,$M120-$A$15,AV$13)))</f>
        <v>1000000000000</v>
      </c>
      <c r="AX120" s="173">
        <f ca="1">IF(OR($D120&lt;&gt;"Serviço",AND(AUTOEVENTO="Manual",$M120=$A$15),$M120&gt;(ROW(PLE.lastrow)-ROW(PLE.firstrow))),0,
           IF(OFFSET(PLE!$G$15,$M120-$A$15,AX$13)="",10^12,OFFSET(PLE!$G$15,$M120-$A$15,AX$13)))</f>
        <v>1000000000000</v>
      </c>
      <c r="AY120" s="173">
        <f ca="1">IF(OR($D120&lt;&gt;"Serviço",AND(AUTOEVENTO="Manual",$M120=$A$15),$M120&gt;(ROW(PLE.lastrow)-ROW(PLE.firstrow))),0,
           IF(OFFSET(PLE!$G$15,$M120-$A$15,AY$13)="",10^12,OFFSET(PLE!$G$15,$M120-$A$15,AY$13)))</f>
        <v>1000000000000</v>
      </c>
      <c r="AZ120" s="173">
        <f ca="1">IF(OR($D120&lt;&gt;"Serviço",AND(AUTOEVENTO="Manual",$M120=$A$15),$M120&gt;(ROW(PLE.lastrow)-ROW(PLE.firstrow))),0,
           IF(OFFSET(PLE!$G$15,$M120-$A$15,AZ$13)="",10^12,OFFSET(PLE!$G$15,$M120-$A$15,AZ$13)))</f>
        <v>1000000000000</v>
      </c>
      <c r="BA120" s="173">
        <f ca="1">IF(OR($D120&lt;&gt;"Serviço",AND(AUTOEVENTO="Manual",$M120=$A$15),$M120&gt;(ROW(PLE.lastrow)-ROW(PLE.firstrow))),0,
           IF(OFFSET(PLE!$G$15,$M120-$A$15,BA$13)="",10^12,OFFSET(PLE!$G$15,$M120-$A$15,BA$13)))</f>
        <v>1000000000000</v>
      </c>
      <c r="BB120" s="173">
        <f ca="1">IF(OR($D120&lt;&gt;"Serviço",AND(AUTOEVENTO="Manual",$M120=$A$15),$M120&gt;(ROW(PLE.lastrow)-ROW(PLE.firstrow))),0,
           IF(OFFSET(PLE!$G$15,$M120-$A$15,BB$13)="",10^12,OFFSET(PLE!$G$15,$M120-$A$15,BB$13)))</f>
        <v>1000000000000</v>
      </c>
      <c r="BC120" s="173">
        <f ca="1">IF(OR($D120&lt;&gt;"Serviço",AND(AUTOEVENTO="Manual",$M120=$A$15),$M120&gt;(ROW(PLE.lastrow)-ROW(PLE.firstrow))),0,
           IF(OFFSET(PLE!$G$15,$M120-$A$15,BC$13)="",10^12,OFFSET(PLE!$G$15,$M120-$A$15,BC$13)))</f>
        <v>1000000000000</v>
      </c>
      <c r="BD120" s="173">
        <f ca="1">IF(OR($D120&lt;&gt;"Serviço",AND(AUTOEVENTO="Manual",$M120=$A$15),$M120&gt;(ROW(PLE.lastrow)-ROW(PLE.firstrow))),0,
           IF(OFFSET(PLE!$G$15,$M120-$A$15,BD$13)="",10^12,OFFSET(PLE!$G$15,$M120-$A$15,BD$13)))</f>
        <v>1000000000000</v>
      </c>
      <c r="BE120" s="173">
        <f ca="1">IF(OR($D120&lt;&gt;"Serviço",AND(AUTOEVENTO="Manual",$M120=$A$15),$M120&gt;(ROW(PLE.lastrow)-ROW(PLE.firstrow))),0,
           IF(OFFSET(PLE!$G$15,$M120-$A$15,BE$13)="",10^12,OFFSET(PLE!$G$15,$M120-$A$15,BE$13)))</f>
        <v>1000000000000</v>
      </c>
      <c r="BF120" s="173">
        <f ca="1">IF(OR($D120&lt;&gt;"Serviço",AND(AUTOEVENTO="Manual",$M120=$A$15),$M120&gt;(ROW(PLE.lastrow)-ROW(PLE.firstrow))),0,
           IF(OFFSET(PLE!$G$15,$M120-$A$15,BF$13)="",10^12,OFFSET(PLE!$G$15,$M120-$A$15,BF$13)))</f>
        <v>1000000000000</v>
      </c>
      <c r="BG120" s="173">
        <f ca="1">IF(OR($D120&lt;&gt;"Serviço",AND(AUTOEVENTO="Manual",$M120=$A$15),$M120&gt;(ROW(PLE.lastrow)-ROW(PLE.firstrow))),0,
           IF(OFFSET(PLE!$G$15,$M120-$A$15,BG$13)="",10^12,OFFSET(PLE!$G$15,$M120-$A$15,BG$13)))</f>
        <v>1000000000000</v>
      </c>
    </row>
    <row r="121" spans="1:59" ht="12.75" x14ac:dyDescent="0.2">
      <c r="A121" s="7" t="str">
        <f t="shared" ca="1" si="9"/>
        <v>100</v>
      </c>
      <c r="B121" s="7" t="str">
        <f ca="1">OFFSET(ORÇAMENTO!C$15,ROW(B121)-ROW(B$15),0)</f>
        <v>S</v>
      </c>
      <c r="C121" s="7" t="str">
        <f ca="1">OFFSET(ORÇAMENTO!L$15,ROW(C121)-ROW(C$15),0)</f>
        <v/>
      </c>
      <c r="D121" s="117" t="str">
        <f ca="1">OFFSET(ORÇAMENTO!N$15,ROW(D121)-ROW(D$15),0)</f>
        <v>Serviço</v>
      </c>
      <c r="E121" s="118" t="str">
        <f ca="1">OFFSET(ORÇAMENTO!O$15,ROW(E121)-ROW(E$15),0)</f>
        <v>-</v>
      </c>
      <c r="F121" s="164" t="str">
        <f ca="1">OFFSET(ORÇAMENTO!R$15,ROW(F121)-ROW(F$15),0)</f>
        <v>ADAPTADOR RJ45 - HDMI</v>
      </c>
      <c r="G121" s="165" t="str">
        <f ca="1">IF($D121&lt;&gt;"Serviço","",OFFSET(ORÇAMENTO!S$15,ROW(G121)-ROW(G$15),0))</f>
        <v>UN</v>
      </c>
      <c r="H121" s="123">
        <f ca="1">IF($D121&lt;&gt;"Serviço",0,IF(ACOMPANHAMENTO="BM",ROUND(OFFSET(ORÇAMENTO!AJ$15,ROW(H121)-ROW(H$15),0),15-13*ORÇAMENTO!$AF$7),SUMPRODUCT(($Q$1:$AA$1=1)*ROUND($Q121:$AA121,15-13*ORÇAMENTO!$AF$7))))</f>
        <v>22</v>
      </c>
      <c r="I121" s="469"/>
      <c r="J121" s="577" t="str" cm="1">
        <f t="array" aca="1" ref="J121" ca="1">IF(B121&lt;&gt;"S","",IF(AND(ACOMPANHAMENTO="PLE",AUTOEVENTO="Manual",OR(H121&gt;0,ORÇAMENTO!AC121="QUANT."),OR(K121="",M121=0,N121="")),"►",IF(AND(ACOMPANHAMENTO="PLE",ORÇAMENTO!AC121="QUANT."),"►►",IF(AND(COUNTIF($P$11:$AA$11,"▼")=0,H121&gt;0,I121=""),"◄",""))))</f>
        <v>◄</v>
      </c>
      <c r="K121" s="626"/>
      <c r="L121" s="166" t="s">
        <v>765</v>
      </c>
      <c r="M121" s="167">
        <f ca="1">IF($D121&lt;&gt;"Serviço","",
          IF(AUTOEVENTO="manual",$A121,
                IF(ISERROR(MATCH($A121,$A$15:OFFSET($A121,-1,0),0)),MAX($M$15:OFFSET(M121,-1,0))+1,
                      INDEX($M$15:OFFSET(M121,-1,0),MATCH($A121,$A$15:OFFSET($A121,-1,0),0)))))</f>
        <v>10</v>
      </c>
      <c r="N121" s="168" t="str">
        <f ca="1">IF($D121&lt;&gt;"Serviço","",
         IF(AUTOEVENTO="Manual",
                IF($A121=0,"&lt;-- defina o número do agrupador",
                       OFFSET(EVENTOS!$D$15,$A121-$A$15,0)),
                OFFSET($F$15,$A121,0)))</f>
        <v>VOZ E DADOS</v>
      </c>
      <c r="O121" s="169"/>
      <c r="Q121" s="169"/>
      <c r="R121" s="170"/>
      <c r="S121" s="170"/>
      <c r="T121" s="170"/>
      <c r="U121" s="170"/>
      <c r="V121" s="170"/>
      <c r="W121" s="170"/>
      <c r="X121" s="170"/>
      <c r="Y121" s="170"/>
      <c r="Z121" s="171"/>
      <c r="AB121" s="454">
        <f ca="1">IF(AND($D121="Serviço",AB$12&lt;&gt;0,$H121&gt;0,OR(AUTOEVENTO&lt;&gt;"manual",$M121&lt;&gt;$A$15)),
        IF(Import.TipoArredondamento&lt;&gt;"TransfereGOV",
              ROUND(OFFSET($P121,0,AB$13),15-13*ORÇAMENTO!$AF$7)/$H121*OFFSET(ORÇAMENTO!$X$15,ROW(AB121)-ROW(AB$15),0),
              ROUND(ROUND(OFFSET($P121,0,AB$13),15-13*ORÇAMENTO!$AF$7)*OFFSET(ORÇAMENTO!$W$15,ROW(AB121)-ROW(AB$15),0),15-13*ORÇAMENTO!$AF$11)),
         0)</f>
        <v>0</v>
      </c>
      <c r="AC121" s="454">
        <f ca="1">IF(AND($D121="Serviço",AC$12&lt;&gt;0,$H121&gt;0,OR(AUTOEVENTO&lt;&gt;"manual",$M121&lt;&gt;$A$15)),
        IF(Import.TipoArredondamento&lt;&gt;"TransfereGOV",
              ROUND(OFFSET($P121,0,AC$13),15-13*ORÇAMENTO!$AF$7)/$H121*OFFSET(ORÇAMENTO!$X$15,ROW(AC121)-ROW(AC$15),0),
              ROUND(ROUND(OFFSET($P121,0,AC$13),15-13*ORÇAMENTO!$AF$7)*OFFSET(ORÇAMENTO!$W$15,ROW(AC121)-ROW(AC$15),0),15-13*ORÇAMENTO!$AF$11)),
         0)</f>
        <v>0</v>
      </c>
      <c r="AD121" s="454">
        <f ca="1">IF(AND($D121="Serviço",AD$12&lt;&gt;0,$H121&gt;0,OR(AUTOEVENTO&lt;&gt;"manual",$M121&lt;&gt;$A$15)),
        IF(Import.TipoArredondamento&lt;&gt;"TransfereGOV",
              ROUND(OFFSET($P121,0,AD$13),15-13*ORÇAMENTO!$AF$7)/$H121*OFFSET(ORÇAMENTO!$X$15,ROW(AD121)-ROW(AD$15),0),
              ROUND(ROUND(OFFSET($P121,0,AD$13),15-13*ORÇAMENTO!$AF$7)*OFFSET(ORÇAMENTO!$W$15,ROW(AD121)-ROW(AD$15),0),15-13*ORÇAMENTO!$AF$11)),
         0)</f>
        <v>0</v>
      </c>
      <c r="AE121" s="454">
        <f ca="1">IF(AND($D121="Serviço",AE$12&lt;&gt;0,$H121&gt;0,OR(AUTOEVENTO&lt;&gt;"manual",$M121&lt;&gt;$A$15)),
        IF(Import.TipoArredondamento&lt;&gt;"TransfereGOV",
              ROUND(OFFSET($P121,0,AE$13),15-13*ORÇAMENTO!$AF$7)/$H121*OFFSET(ORÇAMENTO!$X$15,ROW(AE121)-ROW(AE$15),0),
              ROUND(ROUND(OFFSET($P121,0,AE$13),15-13*ORÇAMENTO!$AF$7)*OFFSET(ORÇAMENTO!$W$15,ROW(AE121)-ROW(AE$15),0),15-13*ORÇAMENTO!$AF$11)),
         0)</f>
        <v>0</v>
      </c>
      <c r="AF121" s="454">
        <f ca="1">IF(AND($D121="Serviço",AF$12&lt;&gt;0,$H121&gt;0,OR(AUTOEVENTO&lt;&gt;"manual",$M121&lt;&gt;$A$15)),
        IF(Import.TipoArredondamento&lt;&gt;"TransfereGOV",
              ROUND(OFFSET($P121,0,AF$13),15-13*ORÇAMENTO!$AF$7)/$H121*OFFSET(ORÇAMENTO!$X$15,ROW(AF121)-ROW(AF$15),0),
              ROUND(ROUND(OFFSET($P121,0,AF$13),15-13*ORÇAMENTO!$AF$7)*OFFSET(ORÇAMENTO!$W$15,ROW(AF121)-ROW(AF$15),0),15-13*ORÇAMENTO!$AF$11)),
         0)</f>
        <v>0</v>
      </c>
      <c r="AG121" s="454">
        <f ca="1">IF(AND($D121="Serviço",AG$12&lt;&gt;0,$H121&gt;0,OR(AUTOEVENTO&lt;&gt;"manual",$M121&lt;&gt;$A$15)),
        IF(Import.TipoArredondamento&lt;&gt;"TransfereGOV",
              ROUND(OFFSET($P121,0,AG$13),15-13*ORÇAMENTO!$AF$7)/$H121*OFFSET(ORÇAMENTO!$X$15,ROW(AG121)-ROW(AG$15),0),
              ROUND(ROUND(OFFSET($P121,0,AG$13),15-13*ORÇAMENTO!$AF$7)*OFFSET(ORÇAMENTO!$W$15,ROW(AG121)-ROW(AG$15),0),15-13*ORÇAMENTO!$AF$11)),
         0)</f>
        <v>0</v>
      </c>
      <c r="AH121" s="454">
        <f ca="1">IF(AND($D121="Serviço",AH$12&lt;&gt;0,$H121&gt;0,OR(AUTOEVENTO&lt;&gt;"manual",$M121&lt;&gt;$A$15)),
        IF(Import.TipoArredondamento&lt;&gt;"TransfereGOV",
              ROUND(OFFSET($P121,0,AH$13),15-13*ORÇAMENTO!$AF$7)/$H121*OFFSET(ORÇAMENTO!$X$15,ROW(AH121)-ROW(AH$15),0),
              ROUND(ROUND(OFFSET($P121,0,AH$13),15-13*ORÇAMENTO!$AF$7)*OFFSET(ORÇAMENTO!$W$15,ROW(AH121)-ROW(AH$15),0),15-13*ORÇAMENTO!$AF$11)),
         0)</f>
        <v>0</v>
      </c>
      <c r="AI121" s="454">
        <f ca="1">IF(AND($D121="Serviço",AI$12&lt;&gt;0,$H121&gt;0,OR(AUTOEVENTO&lt;&gt;"manual",$M121&lt;&gt;$A$15)),
        IF(Import.TipoArredondamento&lt;&gt;"TransfereGOV",
              ROUND(OFFSET($P121,0,AI$13),15-13*ORÇAMENTO!$AF$7)/$H121*OFFSET(ORÇAMENTO!$X$15,ROW(AI121)-ROW(AI$15),0),
              ROUND(ROUND(OFFSET($P121,0,AI$13),15-13*ORÇAMENTO!$AF$7)*OFFSET(ORÇAMENTO!$W$15,ROW(AI121)-ROW(AI$15),0),15-13*ORÇAMENTO!$AF$11)),
         0)</f>
        <v>0</v>
      </c>
      <c r="AJ121" s="454">
        <f ca="1">IF(AND($D121="Serviço",AJ$12&lt;&gt;0,$H121&gt;0,OR(AUTOEVENTO&lt;&gt;"manual",$M121&lt;&gt;$A$15)),
        IF(Import.TipoArredondamento&lt;&gt;"TransfereGOV",
              ROUND(OFFSET($P121,0,AJ$13),15-13*ORÇAMENTO!$AF$7)/$H121*OFFSET(ORÇAMENTO!$X$15,ROW(AJ121)-ROW(AJ$15),0),
              ROUND(ROUND(OFFSET($P121,0,AJ$13),15-13*ORÇAMENTO!$AF$7)*OFFSET(ORÇAMENTO!$W$15,ROW(AJ121)-ROW(AJ$15),0),15-13*ORÇAMENTO!$AF$11)),
         0)</f>
        <v>0</v>
      </c>
      <c r="AK121" s="454">
        <f ca="1">IF(AND($D121="Serviço",AK$12&lt;&gt;0,$H121&gt;0,OR(AUTOEVENTO&lt;&gt;"manual",$M121&lt;&gt;$A$15)),
        IF(Import.TipoArredondamento&lt;&gt;"TransfereGOV",
              ROUND(OFFSET($P121,0,AK$13),15-13*ORÇAMENTO!$AF$7)/$H121*OFFSET(ORÇAMENTO!$X$15,ROW(AK121)-ROW(AK$15),0),
              ROUND(ROUND(OFFSET($P121,0,AK$13),15-13*ORÇAMENTO!$AF$7)*OFFSET(ORÇAMENTO!$W$15,ROW(AK121)-ROW(AK$15),0),15-13*ORÇAMENTO!$AF$11)),
         0)</f>
        <v>0</v>
      </c>
      <c r="AM121" s="172">
        <f ca="1">IF(OR($D121&lt;&gt;"Serviço",AND(AUTOEVENTO="Manual",$M121=$A$15)),0,
         IF(OFFSET(CRONOPLE!$F$15,$M121-$A$15,AM$13)="",10^12,OFFSET(CRONOPLE!$F$15,$M121-$A$15,AM$13)))</f>
        <v>1000000000000</v>
      </c>
      <c r="AN121" s="172">
        <f ca="1">IF(OR($D121&lt;&gt;"Serviço",AND(AUTOEVENTO="Manual",$M121=$A$15)),0,
         IF(OFFSET(CRONOPLE!$F$15,$M121-$A$15,AN$13)="",10^12,OFFSET(CRONOPLE!$F$15,$M121-$A$15,AN$13)))</f>
        <v>1000000000000</v>
      </c>
      <c r="AO121" s="172">
        <f ca="1">IF(OR($D121&lt;&gt;"Serviço",AND(AUTOEVENTO="Manual",$M121=$A$15)),0,
         IF(OFFSET(CRONOPLE!$F$15,$M121-$A$15,AO$13)="",10^12,OFFSET(CRONOPLE!$F$15,$M121-$A$15,AO$13)))</f>
        <v>1000000000000</v>
      </c>
      <c r="AP121" s="172">
        <f ca="1">IF(OR($D121&lt;&gt;"Serviço",AND(AUTOEVENTO="Manual",$M121=$A$15)),0,
         IF(OFFSET(CRONOPLE!$F$15,$M121-$A$15,AP$13)="",10^12,OFFSET(CRONOPLE!$F$15,$M121-$A$15,AP$13)))</f>
        <v>1000000000000</v>
      </c>
      <c r="AQ121" s="172">
        <f ca="1">IF(OR($D121&lt;&gt;"Serviço",AND(AUTOEVENTO="Manual",$M121=$A$15)),0,
         IF(OFFSET(CRONOPLE!$F$15,$M121-$A$15,AQ$13)="",10^12,OFFSET(CRONOPLE!$F$15,$M121-$A$15,AQ$13)))</f>
        <v>1000000000000</v>
      </c>
      <c r="AR121" s="172">
        <f ca="1">IF(OR($D121&lt;&gt;"Serviço",AND(AUTOEVENTO="Manual",$M121=$A$15)),0,
         IF(OFFSET(CRONOPLE!$F$15,$M121-$A$15,AR$13)="",10^12,OFFSET(CRONOPLE!$F$15,$M121-$A$15,AR$13)))</f>
        <v>1000000000000</v>
      </c>
      <c r="AS121" s="172">
        <f ca="1">IF(OR($D121&lt;&gt;"Serviço",AND(AUTOEVENTO="Manual",$M121=$A$15)),0,
         IF(OFFSET(CRONOPLE!$F$15,$M121-$A$15,AS$13)="",10^12,OFFSET(CRONOPLE!$F$15,$M121-$A$15,AS$13)))</f>
        <v>1000000000000</v>
      </c>
      <c r="AT121" s="172">
        <f ca="1">IF(OR($D121&lt;&gt;"Serviço",AND(AUTOEVENTO="Manual",$M121=$A$15)),0,
         IF(OFFSET(CRONOPLE!$F$15,$M121-$A$15,AT$13)="",10^12,OFFSET(CRONOPLE!$F$15,$M121-$A$15,AT$13)))</f>
        <v>1000000000000</v>
      </c>
      <c r="AU121" s="172">
        <f ca="1">IF(OR($D121&lt;&gt;"Serviço",AND(AUTOEVENTO="Manual",$M121=$A$15)),0,
         IF(OFFSET(CRONOPLE!$F$15,$M121-$A$15,AU$13)="",10^12,OFFSET(CRONOPLE!$F$15,$M121-$A$15,AU$13)))</f>
        <v>1000000000000</v>
      </c>
      <c r="AV121" s="172">
        <f ca="1">IF(OR($D121&lt;&gt;"Serviço",AND(AUTOEVENTO="Manual",$M121=$A$15)),0,
         IF(OFFSET(CRONOPLE!$F$15,$M121-$A$15,AV$13)="",10^12,OFFSET(CRONOPLE!$F$15,$M121-$A$15,AV$13)))</f>
        <v>1000000000000</v>
      </c>
      <c r="AX121" s="173">
        <f ca="1">IF(OR($D121&lt;&gt;"Serviço",AND(AUTOEVENTO="Manual",$M121=$A$15),$M121&gt;(ROW(PLE.lastrow)-ROW(PLE.firstrow))),0,
           IF(OFFSET(PLE!$G$15,$M121-$A$15,AX$13)="",10^12,OFFSET(PLE!$G$15,$M121-$A$15,AX$13)))</f>
        <v>1000000000000</v>
      </c>
      <c r="AY121" s="173">
        <f ca="1">IF(OR($D121&lt;&gt;"Serviço",AND(AUTOEVENTO="Manual",$M121=$A$15),$M121&gt;(ROW(PLE.lastrow)-ROW(PLE.firstrow))),0,
           IF(OFFSET(PLE!$G$15,$M121-$A$15,AY$13)="",10^12,OFFSET(PLE!$G$15,$M121-$A$15,AY$13)))</f>
        <v>1000000000000</v>
      </c>
      <c r="AZ121" s="173">
        <f ca="1">IF(OR($D121&lt;&gt;"Serviço",AND(AUTOEVENTO="Manual",$M121=$A$15),$M121&gt;(ROW(PLE.lastrow)-ROW(PLE.firstrow))),0,
           IF(OFFSET(PLE!$G$15,$M121-$A$15,AZ$13)="",10^12,OFFSET(PLE!$G$15,$M121-$A$15,AZ$13)))</f>
        <v>1000000000000</v>
      </c>
      <c r="BA121" s="173">
        <f ca="1">IF(OR($D121&lt;&gt;"Serviço",AND(AUTOEVENTO="Manual",$M121=$A$15),$M121&gt;(ROW(PLE.lastrow)-ROW(PLE.firstrow))),0,
           IF(OFFSET(PLE!$G$15,$M121-$A$15,BA$13)="",10^12,OFFSET(PLE!$G$15,$M121-$A$15,BA$13)))</f>
        <v>1000000000000</v>
      </c>
      <c r="BB121" s="173">
        <f ca="1">IF(OR($D121&lt;&gt;"Serviço",AND(AUTOEVENTO="Manual",$M121=$A$15),$M121&gt;(ROW(PLE.lastrow)-ROW(PLE.firstrow))),0,
           IF(OFFSET(PLE!$G$15,$M121-$A$15,BB$13)="",10^12,OFFSET(PLE!$G$15,$M121-$A$15,BB$13)))</f>
        <v>1000000000000</v>
      </c>
      <c r="BC121" s="173">
        <f ca="1">IF(OR($D121&lt;&gt;"Serviço",AND(AUTOEVENTO="Manual",$M121=$A$15),$M121&gt;(ROW(PLE.lastrow)-ROW(PLE.firstrow))),0,
           IF(OFFSET(PLE!$G$15,$M121-$A$15,BC$13)="",10^12,OFFSET(PLE!$G$15,$M121-$A$15,BC$13)))</f>
        <v>1000000000000</v>
      </c>
      <c r="BD121" s="173">
        <f ca="1">IF(OR($D121&lt;&gt;"Serviço",AND(AUTOEVENTO="Manual",$M121=$A$15),$M121&gt;(ROW(PLE.lastrow)-ROW(PLE.firstrow))),0,
           IF(OFFSET(PLE!$G$15,$M121-$A$15,BD$13)="",10^12,OFFSET(PLE!$G$15,$M121-$A$15,BD$13)))</f>
        <v>1000000000000</v>
      </c>
      <c r="BE121" s="173">
        <f ca="1">IF(OR($D121&lt;&gt;"Serviço",AND(AUTOEVENTO="Manual",$M121=$A$15),$M121&gt;(ROW(PLE.lastrow)-ROW(PLE.firstrow))),0,
           IF(OFFSET(PLE!$G$15,$M121-$A$15,BE$13)="",10^12,OFFSET(PLE!$G$15,$M121-$A$15,BE$13)))</f>
        <v>1000000000000</v>
      </c>
      <c r="BF121" s="173">
        <f ca="1">IF(OR($D121&lt;&gt;"Serviço",AND(AUTOEVENTO="Manual",$M121=$A$15),$M121&gt;(ROW(PLE.lastrow)-ROW(PLE.firstrow))),0,
           IF(OFFSET(PLE!$G$15,$M121-$A$15,BF$13)="",10^12,OFFSET(PLE!$G$15,$M121-$A$15,BF$13)))</f>
        <v>1000000000000</v>
      </c>
      <c r="BG121" s="173">
        <f ca="1">IF(OR($D121&lt;&gt;"Serviço",AND(AUTOEVENTO="Manual",$M121=$A$15),$M121&gt;(ROW(PLE.lastrow)-ROW(PLE.firstrow))),0,
           IF(OFFSET(PLE!$G$15,$M121-$A$15,BG$13)="",10^12,OFFSET(PLE!$G$15,$M121-$A$15,BG$13)))</f>
        <v>1000000000000</v>
      </c>
    </row>
    <row r="122" spans="1:59" ht="25.5" x14ac:dyDescent="0.2">
      <c r="A122" s="7" t="str">
        <f t="shared" ca="1" si="9"/>
        <v>100</v>
      </c>
      <c r="B122" s="7" t="str">
        <f ca="1">OFFSET(ORÇAMENTO!C$15,ROW(B122)-ROW(B$15),0)</f>
        <v>S</v>
      </c>
      <c r="C122" s="7" t="str">
        <f ca="1">OFFSET(ORÇAMENTO!L$15,ROW(C122)-ROW(C$15),0)</f>
        <v/>
      </c>
      <c r="D122" s="117" t="str">
        <f ca="1">OFFSET(ORÇAMENTO!N$15,ROW(D122)-ROW(D$15),0)</f>
        <v>Serviço</v>
      </c>
      <c r="E122" s="118" t="str">
        <f ca="1">OFFSET(ORÇAMENTO!O$15,ROW(E122)-ROW(E$15),0)</f>
        <v>-</v>
      </c>
      <c r="F122" s="164" t="str">
        <f ca="1">OFFSET(ORÇAMENTO!R$15,ROW(F122)-ROW(F$15),0)</f>
        <v xml:space="preserve">ESPELHO / PLACA CEGA 4" X 2", PARA INSTALACAO DE TOMADAS E INTERRUPTORES                                                                                                                                                                                  </v>
      </c>
      <c r="G122" s="165" t="str">
        <f ca="1">IF($D122&lt;&gt;"Serviço","",OFFSET(ORÇAMENTO!S$15,ROW(G122)-ROW(G$15),0))</f>
        <v xml:space="preserve">UN    </v>
      </c>
      <c r="H122" s="123">
        <f ca="1">IF($D122&lt;&gt;"Serviço",0,IF(ACOMPANHAMENTO="BM",ROUND(OFFSET(ORÇAMENTO!AJ$15,ROW(H122)-ROW(H$15),0),15-13*ORÇAMENTO!$AF$7),SUMPRODUCT(($Q$1:$AA$1=1)*ROUND($Q122:$AA122,15-13*ORÇAMENTO!$AF$7))))</f>
        <v>22</v>
      </c>
      <c r="I122" s="469"/>
      <c r="J122" s="577" t="str" cm="1">
        <f t="array" aca="1" ref="J122" ca="1">IF(B122&lt;&gt;"S","",IF(AND(ACOMPANHAMENTO="PLE",AUTOEVENTO="Manual",OR(H122&gt;0,ORÇAMENTO!AC122="QUANT."),OR(K122="",M122=0,N122="")),"►",IF(AND(ACOMPANHAMENTO="PLE",ORÇAMENTO!AC122="QUANT."),"►►",IF(AND(COUNTIF($P$11:$AA$11,"▼")=0,H122&gt;0,I122=""),"◄",""))))</f>
        <v>◄</v>
      </c>
      <c r="K122" s="626"/>
      <c r="L122" s="166" t="s">
        <v>765</v>
      </c>
      <c r="M122" s="167">
        <f ca="1">IF($D122&lt;&gt;"Serviço","",
          IF(AUTOEVENTO="manual",$A122,
                IF(ISERROR(MATCH($A122,$A$15:OFFSET($A122,-1,0),0)),MAX($M$15:OFFSET(M122,-1,0))+1,
                      INDEX($M$15:OFFSET(M122,-1,0),MATCH($A122,$A$15:OFFSET($A122,-1,0),0)))))</f>
        <v>10</v>
      </c>
      <c r="N122" s="168" t="str">
        <f ca="1">IF($D122&lt;&gt;"Serviço","",
         IF(AUTOEVENTO="Manual",
                IF($A122=0,"&lt;-- defina o número do agrupador",
                       OFFSET(EVENTOS!$D$15,$A122-$A$15,0)),
                OFFSET($F$15,$A122,0)))</f>
        <v>VOZ E DADOS</v>
      </c>
      <c r="O122" s="169"/>
      <c r="Q122" s="169"/>
      <c r="R122" s="170"/>
      <c r="S122" s="170"/>
      <c r="T122" s="170"/>
      <c r="U122" s="170"/>
      <c r="V122" s="170"/>
      <c r="W122" s="170"/>
      <c r="X122" s="170"/>
      <c r="Y122" s="170"/>
      <c r="Z122" s="171"/>
      <c r="AB122" s="454">
        <f ca="1">IF(AND($D122="Serviço",AB$12&lt;&gt;0,$H122&gt;0,OR(AUTOEVENTO&lt;&gt;"manual",$M122&lt;&gt;$A$15)),
        IF(Import.TipoArredondamento&lt;&gt;"TransfereGOV",
              ROUND(OFFSET($P122,0,AB$13),15-13*ORÇAMENTO!$AF$7)/$H122*OFFSET(ORÇAMENTO!$X$15,ROW(AB122)-ROW(AB$15),0),
              ROUND(ROUND(OFFSET($P122,0,AB$13),15-13*ORÇAMENTO!$AF$7)*OFFSET(ORÇAMENTO!$W$15,ROW(AB122)-ROW(AB$15),0),15-13*ORÇAMENTO!$AF$11)),
         0)</f>
        <v>0</v>
      </c>
      <c r="AC122" s="454">
        <f ca="1">IF(AND($D122="Serviço",AC$12&lt;&gt;0,$H122&gt;0,OR(AUTOEVENTO&lt;&gt;"manual",$M122&lt;&gt;$A$15)),
        IF(Import.TipoArredondamento&lt;&gt;"TransfereGOV",
              ROUND(OFFSET($P122,0,AC$13),15-13*ORÇAMENTO!$AF$7)/$H122*OFFSET(ORÇAMENTO!$X$15,ROW(AC122)-ROW(AC$15),0),
              ROUND(ROUND(OFFSET($P122,0,AC$13),15-13*ORÇAMENTO!$AF$7)*OFFSET(ORÇAMENTO!$W$15,ROW(AC122)-ROW(AC$15),0),15-13*ORÇAMENTO!$AF$11)),
         0)</f>
        <v>0</v>
      </c>
      <c r="AD122" s="454">
        <f ca="1">IF(AND($D122="Serviço",AD$12&lt;&gt;0,$H122&gt;0,OR(AUTOEVENTO&lt;&gt;"manual",$M122&lt;&gt;$A$15)),
        IF(Import.TipoArredondamento&lt;&gt;"TransfereGOV",
              ROUND(OFFSET($P122,0,AD$13),15-13*ORÇAMENTO!$AF$7)/$H122*OFFSET(ORÇAMENTO!$X$15,ROW(AD122)-ROW(AD$15),0),
              ROUND(ROUND(OFFSET($P122,0,AD$13),15-13*ORÇAMENTO!$AF$7)*OFFSET(ORÇAMENTO!$W$15,ROW(AD122)-ROW(AD$15),0),15-13*ORÇAMENTO!$AF$11)),
         0)</f>
        <v>0</v>
      </c>
      <c r="AE122" s="454">
        <f ca="1">IF(AND($D122="Serviço",AE$12&lt;&gt;0,$H122&gt;0,OR(AUTOEVENTO&lt;&gt;"manual",$M122&lt;&gt;$A$15)),
        IF(Import.TipoArredondamento&lt;&gt;"TransfereGOV",
              ROUND(OFFSET($P122,0,AE$13),15-13*ORÇAMENTO!$AF$7)/$H122*OFFSET(ORÇAMENTO!$X$15,ROW(AE122)-ROW(AE$15),0),
              ROUND(ROUND(OFFSET($P122,0,AE$13),15-13*ORÇAMENTO!$AF$7)*OFFSET(ORÇAMENTO!$W$15,ROW(AE122)-ROW(AE$15),0),15-13*ORÇAMENTO!$AF$11)),
         0)</f>
        <v>0</v>
      </c>
      <c r="AF122" s="454">
        <f ca="1">IF(AND($D122="Serviço",AF$12&lt;&gt;0,$H122&gt;0,OR(AUTOEVENTO&lt;&gt;"manual",$M122&lt;&gt;$A$15)),
        IF(Import.TipoArredondamento&lt;&gt;"TransfereGOV",
              ROUND(OFFSET($P122,0,AF$13),15-13*ORÇAMENTO!$AF$7)/$H122*OFFSET(ORÇAMENTO!$X$15,ROW(AF122)-ROW(AF$15),0),
              ROUND(ROUND(OFFSET($P122,0,AF$13),15-13*ORÇAMENTO!$AF$7)*OFFSET(ORÇAMENTO!$W$15,ROW(AF122)-ROW(AF$15),0),15-13*ORÇAMENTO!$AF$11)),
         0)</f>
        <v>0</v>
      </c>
      <c r="AG122" s="454">
        <f ca="1">IF(AND($D122="Serviço",AG$12&lt;&gt;0,$H122&gt;0,OR(AUTOEVENTO&lt;&gt;"manual",$M122&lt;&gt;$A$15)),
        IF(Import.TipoArredondamento&lt;&gt;"TransfereGOV",
              ROUND(OFFSET($P122,0,AG$13),15-13*ORÇAMENTO!$AF$7)/$H122*OFFSET(ORÇAMENTO!$X$15,ROW(AG122)-ROW(AG$15),0),
              ROUND(ROUND(OFFSET($P122,0,AG$13),15-13*ORÇAMENTO!$AF$7)*OFFSET(ORÇAMENTO!$W$15,ROW(AG122)-ROW(AG$15),0),15-13*ORÇAMENTO!$AF$11)),
         0)</f>
        <v>0</v>
      </c>
      <c r="AH122" s="454">
        <f ca="1">IF(AND($D122="Serviço",AH$12&lt;&gt;0,$H122&gt;0,OR(AUTOEVENTO&lt;&gt;"manual",$M122&lt;&gt;$A$15)),
        IF(Import.TipoArredondamento&lt;&gt;"TransfereGOV",
              ROUND(OFFSET($P122,0,AH$13),15-13*ORÇAMENTO!$AF$7)/$H122*OFFSET(ORÇAMENTO!$X$15,ROW(AH122)-ROW(AH$15),0),
              ROUND(ROUND(OFFSET($P122,0,AH$13),15-13*ORÇAMENTO!$AF$7)*OFFSET(ORÇAMENTO!$W$15,ROW(AH122)-ROW(AH$15),0),15-13*ORÇAMENTO!$AF$11)),
         0)</f>
        <v>0</v>
      </c>
      <c r="AI122" s="454">
        <f ca="1">IF(AND($D122="Serviço",AI$12&lt;&gt;0,$H122&gt;0,OR(AUTOEVENTO&lt;&gt;"manual",$M122&lt;&gt;$A$15)),
        IF(Import.TipoArredondamento&lt;&gt;"TransfereGOV",
              ROUND(OFFSET($P122,0,AI$13),15-13*ORÇAMENTO!$AF$7)/$H122*OFFSET(ORÇAMENTO!$X$15,ROW(AI122)-ROW(AI$15),0),
              ROUND(ROUND(OFFSET($P122,0,AI$13),15-13*ORÇAMENTO!$AF$7)*OFFSET(ORÇAMENTO!$W$15,ROW(AI122)-ROW(AI$15),0),15-13*ORÇAMENTO!$AF$11)),
         0)</f>
        <v>0</v>
      </c>
      <c r="AJ122" s="454">
        <f ca="1">IF(AND($D122="Serviço",AJ$12&lt;&gt;0,$H122&gt;0,OR(AUTOEVENTO&lt;&gt;"manual",$M122&lt;&gt;$A$15)),
        IF(Import.TipoArredondamento&lt;&gt;"TransfereGOV",
              ROUND(OFFSET($P122,0,AJ$13),15-13*ORÇAMENTO!$AF$7)/$H122*OFFSET(ORÇAMENTO!$X$15,ROW(AJ122)-ROW(AJ$15),0),
              ROUND(ROUND(OFFSET($P122,0,AJ$13),15-13*ORÇAMENTO!$AF$7)*OFFSET(ORÇAMENTO!$W$15,ROW(AJ122)-ROW(AJ$15),0),15-13*ORÇAMENTO!$AF$11)),
         0)</f>
        <v>0</v>
      </c>
      <c r="AK122" s="454">
        <f ca="1">IF(AND($D122="Serviço",AK$12&lt;&gt;0,$H122&gt;0,OR(AUTOEVENTO&lt;&gt;"manual",$M122&lt;&gt;$A$15)),
        IF(Import.TipoArredondamento&lt;&gt;"TransfereGOV",
              ROUND(OFFSET($P122,0,AK$13),15-13*ORÇAMENTO!$AF$7)/$H122*OFFSET(ORÇAMENTO!$X$15,ROW(AK122)-ROW(AK$15),0),
              ROUND(ROUND(OFFSET($P122,0,AK$13),15-13*ORÇAMENTO!$AF$7)*OFFSET(ORÇAMENTO!$W$15,ROW(AK122)-ROW(AK$15),0),15-13*ORÇAMENTO!$AF$11)),
         0)</f>
        <v>0</v>
      </c>
      <c r="AM122" s="172">
        <f ca="1">IF(OR($D122&lt;&gt;"Serviço",AND(AUTOEVENTO="Manual",$M122=$A$15)),0,
         IF(OFFSET(CRONOPLE!$F$15,$M122-$A$15,AM$13)="",10^12,OFFSET(CRONOPLE!$F$15,$M122-$A$15,AM$13)))</f>
        <v>1000000000000</v>
      </c>
      <c r="AN122" s="172">
        <f ca="1">IF(OR($D122&lt;&gt;"Serviço",AND(AUTOEVENTO="Manual",$M122=$A$15)),0,
         IF(OFFSET(CRONOPLE!$F$15,$M122-$A$15,AN$13)="",10^12,OFFSET(CRONOPLE!$F$15,$M122-$A$15,AN$13)))</f>
        <v>1000000000000</v>
      </c>
      <c r="AO122" s="172">
        <f ca="1">IF(OR($D122&lt;&gt;"Serviço",AND(AUTOEVENTO="Manual",$M122=$A$15)),0,
         IF(OFFSET(CRONOPLE!$F$15,$M122-$A$15,AO$13)="",10^12,OFFSET(CRONOPLE!$F$15,$M122-$A$15,AO$13)))</f>
        <v>1000000000000</v>
      </c>
      <c r="AP122" s="172">
        <f ca="1">IF(OR($D122&lt;&gt;"Serviço",AND(AUTOEVENTO="Manual",$M122=$A$15)),0,
         IF(OFFSET(CRONOPLE!$F$15,$M122-$A$15,AP$13)="",10^12,OFFSET(CRONOPLE!$F$15,$M122-$A$15,AP$13)))</f>
        <v>1000000000000</v>
      </c>
      <c r="AQ122" s="172">
        <f ca="1">IF(OR($D122&lt;&gt;"Serviço",AND(AUTOEVENTO="Manual",$M122=$A$15)),0,
         IF(OFFSET(CRONOPLE!$F$15,$M122-$A$15,AQ$13)="",10^12,OFFSET(CRONOPLE!$F$15,$M122-$A$15,AQ$13)))</f>
        <v>1000000000000</v>
      </c>
      <c r="AR122" s="172">
        <f ca="1">IF(OR($D122&lt;&gt;"Serviço",AND(AUTOEVENTO="Manual",$M122=$A$15)),0,
         IF(OFFSET(CRONOPLE!$F$15,$M122-$A$15,AR$13)="",10^12,OFFSET(CRONOPLE!$F$15,$M122-$A$15,AR$13)))</f>
        <v>1000000000000</v>
      </c>
      <c r="AS122" s="172">
        <f ca="1">IF(OR($D122&lt;&gt;"Serviço",AND(AUTOEVENTO="Manual",$M122=$A$15)),0,
         IF(OFFSET(CRONOPLE!$F$15,$M122-$A$15,AS$13)="",10^12,OFFSET(CRONOPLE!$F$15,$M122-$A$15,AS$13)))</f>
        <v>1000000000000</v>
      </c>
      <c r="AT122" s="172">
        <f ca="1">IF(OR($D122&lt;&gt;"Serviço",AND(AUTOEVENTO="Manual",$M122=$A$15)),0,
         IF(OFFSET(CRONOPLE!$F$15,$M122-$A$15,AT$13)="",10^12,OFFSET(CRONOPLE!$F$15,$M122-$A$15,AT$13)))</f>
        <v>1000000000000</v>
      </c>
      <c r="AU122" s="172">
        <f ca="1">IF(OR($D122&lt;&gt;"Serviço",AND(AUTOEVENTO="Manual",$M122=$A$15)),0,
         IF(OFFSET(CRONOPLE!$F$15,$M122-$A$15,AU$13)="",10^12,OFFSET(CRONOPLE!$F$15,$M122-$A$15,AU$13)))</f>
        <v>1000000000000</v>
      </c>
      <c r="AV122" s="172">
        <f ca="1">IF(OR($D122&lt;&gt;"Serviço",AND(AUTOEVENTO="Manual",$M122=$A$15)),0,
         IF(OFFSET(CRONOPLE!$F$15,$M122-$A$15,AV$13)="",10^12,OFFSET(CRONOPLE!$F$15,$M122-$A$15,AV$13)))</f>
        <v>1000000000000</v>
      </c>
      <c r="AX122" s="173">
        <f ca="1">IF(OR($D122&lt;&gt;"Serviço",AND(AUTOEVENTO="Manual",$M122=$A$15),$M122&gt;(ROW(PLE.lastrow)-ROW(PLE.firstrow))),0,
           IF(OFFSET(PLE!$G$15,$M122-$A$15,AX$13)="",10^12,OFFSET(PLE!$G$15,$M122-$A$15,AX$13)))</f>
        <v>1000000000000</v>
      </c>
      <c r="AY122" s="173">
        <f ca="1">IF(OR($D122&lt;&gt;"Serviço",AND(AUTOEVENTO="Manual",$M122=$A$15),$M122&gt;(ROW(PLE.lastrow)-ROW(PLE.firstrow))),0,
           IF(OFFSET(PLE!$G$15,$M122-$A$15,AY$13)="",10^12,OFFSET(PLE!$G$15,$M122-$A$15,AY$13)))</f>
        <v>1000000000000</v>
      </c>
      <c r="AZ122" s="173">
        <f ca="1">IF(OR($D122&lt;&gt;"Serviço",AND(AUTOEVENTO="Manual",$M122=$A$15),$M122&gt;(ROW(PLE.lastrow)-ROW(PLE.firstrow))),0,
           IF(OFFSET(PLE!$G$15,$M122-$A$15,AZ$13)="",10^12,OFFSET(PLE!$G$15,$M122-$A$15,AZ$13)))</f>
        <v>1000000000000</v>
      </c>
      <c r="BA122" s="173">
        <f ca="1">IF(OR($D122&lt;&gt;"Serviço",AND(AUTOEVENTO="Manual",$M122=$A$15),$M122&gt;(ROW(PLE.lastrow)-ROW(PLE.firstrow))),0,
           IF(OFFSET(PLE!$G$15,$M122-$A$15,BA$13)="",10^12,OFFSET(PLE!$G$15,$M122-$A$15,BA$13)))</f>
        <v>1000000000000</v>
      </c>
      <c r="BB122" s="173">
        <f ca="1">IF(OR($D122&lt;&gt;"Serviço",AND(AUTOEVENTO="Manual",$M122=$A$15),$M122&gt;(ROW(PLE.lastrow)-ROW(PLE.firstrow))),0,
           IF(OFFSET(PLE!$G$15,$M122-$A$15,BB$13)="",10^12,OFFSET(PLE!$G$15,$M122-$A$15,BB$13)))</f>
        <v>1000000000000</v>
      </c>
      <c r="BC122" s="173">
        <f ca="1">IF(OR($D122&lt;&gt;"Serviço",AND(AUTOEVENTO="Manual",$M122=$A$15),$M122&gt;(ROW(PLE.lastrow)-ROW(PLE.firstrow))),0,
           IF(OFFSET(PLE!$G$15,$M122-$A$15,BC$13)="",10^12,OFFSET(PLE!$G$15,$M122-$A$15,BC$13)))</f>
        <v>1000000000000</v>
      </c>
      <c r="BD122" s="173">
        <f ca="1">IF(OR($D122&lt;&gt;"Serviço",AND(AUTOEVENTO="Manual",$M122=$A$15),$M122&gt;(ROW(PLE.lastrow)-ROW(PLE.firstrow))),0,
           IF(OFFSET(PLE!$G$15,$M122-$A$15,BD$13)="",10^12,OFFSET(PLE!$G$15,$M122-$A$15,BD$13)))</f>
        <v>1000000000000</v>
      </c>
      <c r="BE122" s="173">
        <f ca="1">IF(OR($D122&lt;&gt;"Serviço",AND(AUTOEVENTO="Manual",$M122=$A$15),$M122&gt;(ROW(PLE.lastrow)-ROW(PLE.firstrow))),0,
           IF(OFFSET(PLE!$G$15,$M122-$A$15,BE$13)="",10^12,OFFSET(PLE!$G$15,$M122-$A$15,BE$13)))</f>
        <v>1000000000000</v>
      </c>
      <c r="BF122" s="173">
        <f ca="1">IF(OR($D122&lt;&gt;"Serviço",AND(AUTOEVENTO="Manual",$M122=$A$15),$M122&gt;(ROW(PLE.lastrow)-ROW(PLE.firstrow))),0,
           IF(OFFSET(PLE!$G$15,$M122-$A$15,BF$13)="",10^12,OFFSET(PLE!$G$15,$M122-$A$15,BF$13)))</f>
        <v>1000000000000</v>
      </c>
      <c r="BG122" s="173">
        <f ca="1">IF(OR($D122&lt;&gt;"Serviço",AND(AUTOEVENTO="Manual",$M122=$A$15),$M122&gt;(ROW(PLE.lastrow)-ROW(PLE.firstrow))),0,
           IF(OFFSET(PLE!$G$15,$M122-$A$15,BG$13)="",10^12,OFFSET(PLE!$G$15,$M122-$A$15,BG$13)))</f>
        <v>1000000000000</v>
      </c>
    </row>
    <row r="123" spans="1:59" ht="38.25" x14ac:dyDescent="0.2">
      <c r="A123" s="7" t="str">
        <f t="shared" ca="1" si="9"/>
        <v>100</v>
      </c>
      <c r="B123" s="7" t="str">
        <f ca="1">OFFSET(ORÇAMENTO!C$15,ROW(B123)-ROW(B$15),0)</f>
        <v>S</v>
      </c>
      <c r="C123" s="7" t="str">
        <f ca="1">OFFSET(ORÇAMENTO!L$15,ROW(C123)-ROW(C$15),0)</f>
        <v/>
      </c>
      <c r="D123" s="117" t="str">
        <f ca="1">OFFSET(ORÇAMENTO!N$15,ROW(D123)-ROW(D$15),0)</f>
        <v>Serviço</v>
      </c>
      <c r="E123" s="118" t="str">
        <f ca="1">OFFSET(ORÇAMENTO!O$15,ROW(E123)-ROW(E$15),0)</f>
        <v>-</v>
      </c>
      <c r="F123" s="164" t="str">
        <f ca="1">OFFSET(ORÇAMENTO!R$15,ROW(F123)-ROW(F$15),0)</f>
        <v>CABO TELEFÔNICO CCI-50 2 PARES, SEM BLINDAGEM, INSTALADO EM DISTRIBUIÇÃO DE EDIFICAÇÃO INSTITUCIONAL - FORNECIMENTO E INSTALAÇÃO. AF_11/2019</v>
      </c>
      <c r="G123" s="165" t="str">
        <f ca="1">IF($D123&lt;&gt;"Serviço","",OFFSET(ORÇAMENTO!S$15,ROW(G123)-ROW(G$15),0))</f>
        <v>M</v>
      </c>
      <c r="H123" s="123">
        <f ca="1">IF($D123&lt;&gt;"Serviço",0,IF(ACOMPANHAMENTO="BM",ROUND(OFFSET(ORÇAMENTO!AJ$15,ROW(H123)-ROW(H$15),0),15-13*ORÇAMENTO!$AF$7),SUMPRODUCT(($Q$1:$AA$1=1)*ROUND($Q123:$AA123,15-13*ORÇAMENTO!$AF$7))))</f>
        <v>250</v>
      </c>
      <c r="I123" s="469"/>
      <c r="J123" s="577" t="str" cm="1">
        <f t="array" aca="1" ref="J123" ca="1">IF(B123&lt;&gt;"S","",IF(AND(ACOMPANHAMENTO="PLE",AUTOEVENTO="Manual",OR(H123&gt;0,ORÇAMENTO!AC123="QUANT."),OR(K123="",M123=0,N123="")),"►",IF(AND(ACOMPANHAMENTO="PLE",ORÇAMENTO!AC123="QUANT."),"►►",IF(AND(COUNTIF($P$11:$AA$11,"▼")=0,H123&gt;0,I123=""),"◄",""))))</f>
        <v>◄</v>
      </c>
      <c r="K123" s="626"/>
      <c r="L123" s="166" t="s">
        <v>765</v>
      </c>
      <c r="M123" s="167">
        <f ca="1">IF($D123&lt;&gt;"Serviço","",
          IF(AUTOEVENTO="manual",$A123,
                IF(ISERROR(MATCH($A123,$A$15:OFFSET($A123,-1,0),0)),MAX($M$15:OFFSET(M123,-1,0))+1,
                      INDEX($M$15:OFFSET(M123,-1,0),MATCH($A123,$A$15:OFFSET($A123,-1,0),0)))))</f>
        <v>10</v>
      </c>
      <c r="N123" s="168" t="str">
        <f ca="1">IF($D123&lt;&gt;"Serviço","",
         IF(AUTOEVENTO="Manual",
                IF($A123=0,"&lt;-- defina o número do agrupador",
                       OFFSET(EVENTOS!$D$15,$A123-$A$15,0)),
                OFFSET($F$15,$A123,0)))</f>
        <v>VOZ E DADOS</v>
      </c>
      <c r="O123" s="169"/>
      <c r="Q123" s="169"/>
      <c r="R123" s="170"/>
      <c r="S123" s="170"/>
      <c r="T123" s="170"/>
      <c r="U123" s="170"/>
      <c r="V123" s="170"/>
      <c r="W123" s="170"/>
      <c r="X123" s="170"/>
      <c r="Y123" s="170"/>
      <c r="Z123" s="171"/>
      <c r="AB123" s="454">
        <f ca="1">IF(AND($D123="Serviço",AB$12&lt;&gt;0,$H123&gt;0,OR(AUTOEVENTO&lt;&gt;"manual",$M123&lt;&gt;$A$15)),
        IF(Import.TipoArredondamento&lt;&gt;"TransfereGOV",
              ROUND(OFFSET($P123,0,AB$13),15-13*ORÇAMENTO!$AF$7)/$H123*OFFSET(ORÇAMENTO!$X$15,ROW(AB123)-ROW(AB$15),0),
              ROUND(ROUND(OFFSET($P123,0,AB$13),15-13*ORÇAMENTO!$AF$7)*OFFSET(ORÇAMENTO!$W$15,ROW(AB123)-ROW(AB$15),0),15-13*ORÇAMENTO!$AF$11)),
         0)</f>
        <v>0</v>
      </c>
      <c r="AC123" s="454">
        <f ca="1">IF(AND($D123="Serviço",AC$12&lt;&gt;0,$H123&gt;0,OR(AUTOEVENTO&lt;&gt;"manual",$M123&lt;&gt;$A$15)),
        IF(Import.TipoArredondamento&lt;&gt;"TransfereGOV",
              ROUND(OFFSET($P123,0,AC$13),15-13*ORÇAMENTO!$AF$7)/$H123*OFFSET(ORÇAMENTO!$X$15,ROW(AC123)-ROW(AC$15),0),
              ROUND(ROUND(OFFSET($P123,0,AC$13),15-13*ORÇAMENTO!$AF$7)*OFFSET(ORÇAMENTO!$W$15,ROW(AC123)-ROW(AC$15),0),15-13*ORÇAMENTO!$AF$11)),
         0)</f>
        <v>0</v>
      </c>
      <c r="AD123" s="454">
        <f ca="1">IF(AND($D123="Serviço",AD$12&lt;&gt;0,$H123&gt;0,OR(AUTOEVENTO&lt;&gt;"manual",$M123&lt;&gt;$A$15)),
        IF(Import.TipoArredondamento&lt;&gt;"TransfereGOV",
              ROUND(OFFSET($P123,0,AD$13),15-13*ORÇAMENTO!$AF$7)/$H123*OFFSET(ORÇAMENTO!$X$15,ROW(AD123)-ROW(AD$15),0),
              ROUND(ROUND(OFFSET($P123,0,AD$13),15-13*ORÇAMENTO!$AF$7)*OFFSET(ORÇAMENTO!$W$15,ROW(AD123)-ROW(AD$15),0),15-13*ORÇAMENTO!$AF$11)),
         0)</f>
        <v>0</v>
      </c>
      <c r="AE123" s="454">
        <f ca="1">IF(AND($D123="Serviço",AE$12&lt;&gt;0,$H123&gt;0,OR(AUTOEVENTO&lt;&gt;"manual",$M123&lt;&gt;$A$15)),
        IF(Import.TipoArredondamento&lt;&gt;"TransfereGOV",
              ROUND(OFFSET($P123,0,AE$13),15-13*ORÇAMENTO!$AF$7)/$H123*OFFSET(ORÇAMENTO!$X$15,ROW(AE123)-ROW(AE$15),0),
              ROUND(ROUND(OFFSET($P123,0,AE$13),15-13*ORÇAMENTO!$AF$7)*OFFSET(ORÇAMENTO!$W$15,ROW(AE123)-ROW(AE$15),0),15-13*ORÇAMENTO!$AF$11)),
         0)</f>
        <v>0</v>
      </c>
      <c r="AF123" s="454">
        <f ca="1">IF(AND($D123="Serviço",AF$12&lt;&gt;0,$H123&gt;0,OR(AUTOEVENTO&lt;&gt;"manual",$M123&lt;&gt;$A$15)),
        IF(Import.TipoArredondamento&lt;&gt;"TransfereGOV",
              ROUND(OFFSET($P123,0,AF$13),15-13*ORÇAMENTO!$AF$7)/$H123*OFFSET(ORÇAMENTO!$X$15,ROW(AF123)-ROW(AF$15),0),
              ROUND(ROUND(OFFSET($P123,0,AF$13),15-13*ORÇAMENTO!$AF$7)*OFFSET(ORÇAMENTO!$W$15,ROW(AF123)-ROW(AF$15),0),15-13*ORÇAMENTO!$AF$11)),
         0)</f>
        <v>0</v>
      </c>
      <c r="AG123" s="454">
        <f ca="1">IF(AND($D123="Serviço",AG$12&lt;&gt;0,$H123&gt;0,OR(AUTOEVENTO&lt;&gt;"manual",$M123&lt;&gt;$A$15)),
        IF(Import.TipoArredondamento&lt;&gt;"TransfereGOV",
              ROUND(OFFSET($P123,0,AG$13),15-13*ORÇAMENTO!$AF$7)/$H123*OFFSET(ORÇAMENTO!$X$15,ROW(AG123)-ROW(AG$15),0),
              ROUND(ROUND(OFFSET($P123,0,AG$13),15-13*ORÇAMENTO!$AF$7)*OFFSET(ORÇAMENTO!$W$15,ROW(AG123)-ROW(AG$15),0),15-13*ORÇAMENTO!$AF$11)),
         0)</f>
        <v>0</v>
      </c>
      <c r="AH123" s="454">
        <f ca="1">IF(AND($D123="Serviço",AH$12&lt;&gt;0,$H123&gt;0,OR(AUTOEVENTO&lt;&gt;"manual",$M123&lt;&gt;$A$15)),
        IF(Import.TipoArredondamento&lt;&gt;"TransfereGOV",
              ROUND(OFFSET($P123,0,AH$13),15-13*ORÇAMENTO!$AF$7)/$H123*OFFSET(ORÇAMENTO!$X$15,ROW(AH123)-ROW(AH$15),0),
              ROUND(ROUND(OFFSET($P123,0,AH$13),15-13*ORÇAMENTO!$AF$7)*OFFSET(ORÇAMENTO!$W$15,ROW(AH123)-ROW(AH$15),0),15-13*ORÇAMENTO!$AF$11)),
         0)</f>
        <v>0</v>
      </c>
      <c r="AI123" s="454">
        <f ca="1">IF(AND($D123="Serviço",AI$12&lt;&gt;0,$H123&gt;0,OR(AUTOEVENTO&lt;&gt;"manual",$M123&lt;&gt;$A$15)),
        IF(Import.TipoArredondamento&lt;&gt;"TransfereGOV",
              ROUND(OFFSET($P123,0,AI$13),15-13*ORÇAMENTO!$AF$7)/$H123*OFFSET(ORÇAMENTO!$X$15,ROW(AI123)-ROW(AI$15),0),
              ROUND(ROUND(OFFSET($P123,0,AI$13),15-13*ORÇAMENTO!$AF$7)*OFFSET(ORÇAMENTO!$W$15,ROW(AI123)-ROW(AI$15),0),15-13*ORÇAMENTO!$AF$11)),
         0)</f>
        <v>0</v>
      </c>
      <c r="AJ123" s="454">
        <f ca="1">IF(AND($D123="Serviço",AJ$12&lt;&gt;0,$H123&gt;0,OR(AUTOEVENTO&lt;&gt;"manual",$M123&lt;&gt;$A$15)),
        IF(Import.TipoArredondamento&lt;&gt;"TransfereGOV",
              ROUND(OFFSET($P123,0,AJ$13),15-13*ORÇAMENTO!$AF$7)/$H123*OFFSET(ORÇAMENTO!$X$15,ROW(AJ123)-ROW(AJ$15),0),
              ROUND(ROUND(OFFSET($P123,0,AJ$13),15-13*ORÇAMENTO!$AF$7)*OFFSET(ORÇAMENTO!$W$15,ROW(AJ123)-ROW(AJ$15),0),15-13*ORÇAMENTO!$AF$11)),
         0)</f>
        <v>0</v>
      </c>
      <c r="AK123" s="454">
        <f ca="1">IF(AND($D123="Serviço",AK$12&lt;&gt;0,$H123&gt;0,OR(AUTOEVENTO&lt;&gt;"manual",$M123&lt;&gt;$A$15)),
        IF(Import.TipoArredondamento&lt;&gt;"TransfereGOV",
              ROUND(OFFSET($P123,0,AK$13),15-13*ORÇAMENTO!$AF$7)/$H123*OFFSET(ORÇAMENTO!$X$15,ROW(AK123)-ROW(AK$15),0),
              ROUND(ROUND(OFFSET($P123,0,AK$13),15-13*ORÇAMENTO!$AF$7)*OFFSET(ORÇAMENTO!$W$15,ROW(AK123)-ROW(AK$15),0),15-13*ORÇAMENTO!$AF$11)),
         0)</f>
        <v>0</v>
      </c>
      <c r="AM123" s="172">
        <f ca="1">IF(OR($D123&lt;&gt;"Serviço",AND(AUTOEVENTO="Manual",$M123=$A$15)),0,
         IF(OFFSET(CRONOPLE!$F$15,$M123-$A$15,AM$13)="",10^12,OFFSET(CRONOPLE!$F$15,$M123-$A$15,AM$13)))</f>
        <v>1000000000000</v>
      </c>
      <c r="AN123" s="172">
        <f ca="1">IF(OR($D123&lt;&gt;"Serviço",AND(AUTOEVENTO="Manual",$M123=$A$15)),0,
         IF(OFFSET(CRONOPLE!$F$15,$M123-$A$15,AN$13)="",10^12,OFFSET(CRONOPLE!$F$15,$M123-$A$15,AN$13)))</f>
        <v>1000000000000</v>
      </c>
      <c r="AO123" s="172">
        <f ca="1">IF(OR($D123&lt;&gt;"Serviço",AND(AUTOEVENTO="Manual",$M123=$A$15)),0,
         IF(OFFSET(CRONOPLE!$F$15,$M123-$A$15,AO$13)="",10^12,OFFSET(CRONOPLE!$F$15,$M123-$A$15,AO$13)))</f>
        <v>1000000000000</v>
      </c>
      <c r="AP123" s="172">
        <f ca="1">IF(OR($D123&lt;&gt;"Serviço",AND(AUTOEVENTO="Manual",$M123=$A$15)),0,
         IF(OFFSET(CRONOPLE!$F$15,$M123-$A$15,AP$13)="",10^12,OFFSET(CRONOPLE!$F$15,$M123-$A$15,AP$13)))</f>
        <v>1000000000000</v>
      </c>
      <c r="AQ123" s="172">
        <f ca="1">IF(OR($D123&lt;&gt;"Serviço",AND(AUTOEVENTO="Manual",$M123=$A$15)),0,
         IF(OFFSET(CRONOPLE!$F$15,$M123-$A$15,AQ$13)="",10^12,OFFSET(CRONOPLE!$F$15,$M123-$A$15,AQ$13)))</f>
        <v>1000000000000</v>
      </c>
      <c r="AR123" s="172">
        <f ca="1">IF(OR($D123&lt;&gt;"Serviço",AND(AUTOEVENTO="Manual",$M123=$A$15)),0,
         IF(OFFSET(CRONOPLE!$F$15,$M123-$A$15,AR$13)="",10^12,OFFSET(CRONOPLE!$F$15,$M123-$A$15,AR$13)))</f>
        <v>1000000000000</v>
      </c>
      <c r="AS123" s="172">
        <f ca="1">IF(OR($D123&lt;&gt;"Serviço",AND(AUTOEVENTO="Manual",$M123=$A$15)),0,
         IF(OFFSET(CRONOPLE!$F$15,$M123-$A$15,AS$13)="",10^12,OFFSET(CRONOPLE!$F$15,$M123-$A$15,AS$13)))</f>
        <v>1000000000000</v>
      </c>
      <c r="AT123" s="172">
        <f ca="1">IF(OR($D123&lt;&gt;"Serviço",AND(AUTOEVENTO="Manual",$M123=$A$15)),0,
         IF(OFFSET(CRONOPLE!$F$15,$M123-$A$15,AT$13)="",10^12,OFFSET(CRONOPLE!$F$15,$M123-$A$15,AT$13)))</f>
        <v>1000000000000</v>
      </c>
      <c r="AU123" s="172">
        <f ca="1">IF(OR($D123&lt;&gt;"Serviço",AND(AUTOEVENTO="Manual",$M123=$A$15)),0,
         IF(OFFSET(CRONOPLE!$F$15,$M123-$A$15,AU$13)="",10^12,OFFSET(CRONOPLE!$F$15,$M123-$A$15,AU$13)))</f>
        <v>1000000000000</v>
      </c>
      <c r="AV123" s="172">
        <f ca="1">IF(OR($D123&lt;&gt;"Serviço",AND(AUTOEVENTO="Manual",$M123=$A$15)),0,
         IF(OFFSET(CRONOPLE!$F$15,$M123-$A$15,AV$13)="",10^12,OFFSET(CRONOPLE!$F$15,$M123-$A$15,AV$13)))</f>
        <v>1000000000000</v>
      </c>
      <c r="AX123" s="173">
        <f ca="1">IF(OR($D123&lt;&gt;"Serviço",AND(AUTOEVENTO="Manual",$M123=$A$15),$M123&gt;(ROW(PLE.lastrow)-ROW(PLE.firstrow))),0,
           IF(OFFSET(PLE!$G$15,$M123-$A$15,AX$13)="",10^12,OFFSET(PLE!$G$15,$M123-$A$15,AX$13)))</f>
        <v>1000000000000</v>
      </c>
      <c r="AY123" s="173">
        <f ca="1">IF(OR($D123&lt;&gt;"Serviço",AND(AUTOEVENTO="Manual",$M123=$A$15),$M123&gt;(ROW(PLE.lastrow)-ROW(PLE.firstrow))),0,
           IF(OFFSET(PLE!$G$15,$M123-$A$15,AY$13)="",10^12,OFFSET(PLE!$G$15,$M123-$A$15,AY$13)))</f>
        <v>1000000000000</v>
      </c>
      <c r="AZ123" s="173">
        <f ca="1">IF(OR($D123&lt;&gt;"Serviço",AND(AUTOEVENTO="Manual",$M123=$A$15),$M123&gt;(ROW(PLE.lastrow)-ROW(PLE.firstrow))),0,
           IF(OFFSET(PLE!$G$15,$M123-$A$15,AZ$13)="",10^12,OFFSET(PLE!$G$15,$M123-$A$15,AZ$13)))</f>
        <v>1000000000000</v>
      </c>
      <c r="BA123" s="173">
        <f ca="1">IF(OR($D123&lt;&gt;"Serviço",AND(AUTOEVENTO="Manual",$M123=$A$15),$M123&gt;(ROW(PLE.lastrow)-ROW(PLE.firstrow))),0,
           IF(OFFSET(PLE!$G$15,$M123-$A$15,BA$13)="",10^12,OFFSET(PLE!$G$15,$M123-$A$15,BA$13)))</f>
        <v>1000000000000</v>
      </c>
      <c r="BB123" s="173">
        <f ca="1">IF(OR($D123&lt;&gt;"Serviço",AND(AUTOEVENTO="Manual",$M123=$A$15),$M123&gt;(ROW(PLE.lastrow)-ROW(PLE.firstrow))),0,
           IF(OFFSET(PLE!$G$15,$M123-$A$15,BB$13)="",10^12,OFFSET(PLE!$G$15,$M123-$A$15,BB$13)))</f>
        <v>1000000000000</v>
      </c>
      <c r="BC123" s="173">
        <f ca="1">IF(OR($D123&lt;&gt;"Serviço",AND(AUTOEVENTO="Manual",$M123=$A$15),$M123&gt;(ROW(PLE.lastrow)-ROW(PLE.firstrow))),0,
           IF(OFFSET(PLE!$G$15,$M123-$A$15,BC$13)="",10^12,OFFSET(PLE!$G$15,$M123-$A$15,BC$13)))</f>
        <v>1000000000000</v>
      </c>
      <c r="BD123" s="173">
        <f ca="1">IF(OR($D123&lt;&gt;"Serviço",AND(AUTOEVENTO="Manual",$M123=$A$15),$M123&gt;(ROW(PLE.lastrow)-ROW(PLE.firstrow))),0,
           IF(OFFSET(PLE!$G$15,$M123-$A$15,BD$13)="",10^12,OFFSET(PLE!$G$15,$M123-$A$15,BD$13)))</f>
        <v>1000000000000</v>
      </c>
      <c r="BE123" s="173">
        <f ca="1">IF(OR($D123&lt;&gt;"Serviço",AND(AUTOEVENTO="Manual",$M123=$A$15),$M123&gt;(ROW(PLE.lastrow)-ROW(PLE.firstrow))),0,
           IF(OFFSET(PLE!$G$15,$M123-$A$15,BE$13)="",10^12,OFFSET(PLE!$G$15,$M123-$A$15,BE$13)))</f>
        <v>1000000000000</v>
      </c>
      <c r="BF123" s="173">
        <f ca="1">IF(OR($D123&lt;&gt;"Serviço",AND(AUTOEVENTO="Manual",$M123=$A$15),$M123&gt;(ROW(PLE.lastrow)-ROW(PLE.firstrow))),0,
           IF(OFFSET(PLE!$G$15,$M123-$A$15,BF$13)="",10^12,OFFSET(PLE!$G$15,$M123-$A$15,BF$13)))</f>
        <v>1000000000000</v>
      </c>
      <c r="BG123" s="173">
        <f ca="1">IF(OR($D123&lt;&gt;"Serviço",AND(AUTOEVENTO="Manual",$M123=$A$15),$M123&gt;(ROW(PLE.lastrow)-ROW(PLE.firstrow))),0,
           IF(OFFSET(PLE!$G$15,$M123-$A$15,BG$13)="",10^12,OFFSET(PLE!$G$15,$M123-$A$15,BG$13)))</f>
        <v>1000000000000</v>
      </c>
    </row>
    <row r="124" spans="1:59" ht="25.5" x14ac:dyDescent="0.2">
      <c r="A124" s="7" t="str">
        <f t="shared" ca="1" si="9"/>
        <v>100</v>
      </c>
      <c r="B124" s="7" t="str">
        <f ca="1">OFFSET(ORÇAMENTO!C$15,ROW(B124)-ROW(B$15),0)</f>
        <v>S</v>
      </c>
      <c r="C124" s="7" t="str">
        <f ca="1">OFFSET(ORÇAMENTO!L$15,ROW(C124)-ROW(C$15),0)</f>
        <v/>
      </c>
      <c r="D124" s="117" t="str">
        <f ca="1">OFFSET(ORÇAMENTO!N$15,ROW(D124)-ROW(D$15),0)</f>
        <v>Serviço</v>
      </c>
      <c r="E124" s="118" t="str">
        <f ca="1">OFFSET(ORÇAMENTO!O$15,ROW(E124)-ROW(E$15),0)</f>
        <v>-</v>
      </c>
      <c r="F124" s="164" t="str">
        <f ca="1">OFFSET(ORÇAMENTO!R$15,ROW(F124)-ROW(F$15),0)</f>
        <v>TOMADA PARA TELEFONE RJ11 - FORNECIMENTO E INSTALAÇÃO. AF_11/2019</v>
      </c>
      <c r="G124" s="165" t="str">
        <f ca="1">IF($D124&lt;&gt;"Serviço","",OFFSET(ORÇAMENTO!S$15,ROW(G124)-ROW(G$15),0))</f>
        <v>UN</v>
      </c>
      <c r="H124" s="123">
        <f ca="1">IF($D124&lt;&gt;"Serviço",0,IF(ACOMPANHAMENTO="BM",ROUND(OFFSET(ORÇAMENTO!AJ$15,ROW(H124)-ROW(H$15),0),15-13*ORÇAMENTO!$AF$7),SUMPRODUCT(($Q$1:$AA$1=1)*ROUND($Q124:$AA124,15-13*ORÇAMENTO!$AF$7))))</f>
        <v>8</v>
      </c>
      <c r="I124" s="469"/>
      <c r="J124" s="577" t="str" cm="1">
        <f t="array" aca="1" ref="J124" ca="1">IF(B124&lt;&gt;"S","",IF(AND(ACOMPANHAMENTO="PLE",AUTOEVENTO="Manual",OR(H124&gt;0,ORÇAMENTO!AC124="QUANT."),OR(K124="",M124=0,N124="")),"►",IF(AND(ACOMPANHAMENTO="PLE",ORÇAMENTO!AC124="QUANT."),"►►",IF(AND(COUNTIF($P$11:$AA$11,"▼")=0,H124&gt;0,I124=""),"◄",""))))</f>
        <v>◄</v>
      </c>
      <c r="K124" s="626"/>
      <c r="L124" s="166" t="s">
        <v>765</v>
      </c>
      <c r="M124" s="167">
        <f ca="1">IF($D124&lt;&gt;"Serviço","",
          IF(AUTOEVENTO="manual",$A124,
                IF(ISERROR(MATCH($A124,$A$15:OFFSET($A124,-1,0),0)),MAX($M$15:OFFSET(M124,-1,0))+1,
                      INDEX($M$15:OFFSET(M124,-1,0),MATCH($A124,$A$15:OFFSET($A124,-1,0),0)))))</f>
        <v>10</v>
      </c>
      <c r="N124" s="168" t="str">
        <f ca="1">IF($D124&lt;&gt;"Serviço","",
         IF(AUTOEVENTO="Manual",
                IF($A124=0,"&lt;-- defina o número do agrupador",
                       OFFSET(EVENTOS!$D$15,$A124-$A$15,0)),
                OFFSET($F$15,$A124,0)))</f>
        <v>VOZ E DADOS</v>
      </c>
      <c r="O124" s="169"/>
      <c r="Q124" s="169"/>
      <c r="R124" s="170"/>
      <c r="S124" s="170"/>
      <c r="T124" s="170"/>
      <c r="U124" s="170"/>
      <c r="V124" s="170"/>
      <c r="W124" s="170"/>
      <c r="X124" s="170"/>
      <c r="Y124" s="170"/>
      <c r="Z124" s="171"/>
      <c r="AB124" s="454">
        <f ca="1">IF(AND($D124="Serviço",AB$12&lt;&gt;0,$H124&gt;0,OR(AUTOEVENTO&lt;&gt;"manual",$M124&lt;&gt;$A$15)),
        IF(Import.TipoArredondamento&lt;&gt;"TransfereGOV",
              ROUND(OFFSET($P124,0,AB$13),15-13*ORÇAMENTO!$AF$7)/$H124*OFFSET(ORÇAMENTO!$X$15,ROW(AB124)-ROW(AB$15),0),
              ROUND(ROUND(OFFSET($P124,0,AB$13),15-13*ORÇAMENTO!$AF$7)*OFFSET(ORÇAMENTO!$W$15,ROW(AB124)-ROW(AB$15),0),15-13*ORÇAMENTO!$AF$11)),
         0)</f>
        <v>0</v>
      </c>
      <c r="AC124" s="454">
        <f ca="1">IF(AND($D124="Serviço",AC$12&lt;&gt;0,$H124&gt;0,OR(AUTOEVENTO&lt;&gt;"manual",$M124&lt;&gt;$A$15)),
        IF(Import.TipoArredondamento&lt;&gt;"TransfereGOV",
              ROUND(OFFSET($P124,0,AC$13),15-13*ORÇAMENTO!$AF$7)/$H124*OFFSET(ORÇAMENTO!$X$15,ROW(AC124)-ROW(AC$15),0),
              ROUND(ROUND(OFFSET($P124,0,AC$13),15-13*ORÇAMENTO!$AF$7)*OFFSET(ORÇAMENTO!$W$15,ROW(AC124)-ROW(AC$15),0),15-13*ORÇAMENTO!$AF$11)),
         0)</f>
        <v>0</v>
      </c>
      <c r="AD124" s="454">
        <f ca="1">IF(AND($D124="Serviço",AD$12&lt;&gt;0,$H124&gt;0,OR(AUTOEVENTO&lt;&gt;"manual",$M124&lt;&gt;$A$15)),
        IF(Import.TipoArredondamento&lt;&gt;"TransfereGOV",
              ROUND(OFFSET($P124,0,AD$13),15-13*ORÇAMENTO!$AF$7)/$H124*OFFSET(ORÇAMENTO!$X$15,ROW(AD124)-ROW(AD$15),0),
              ROUND(ROUND(OFFSET($P124,0,AD$13),15-13*ORÇAMENTO!$AF$7)*OFFSET(ORÇAMENTO!$W$15,ROW(AD124)-ROW(AD$15),0),15-13*ORÇAMENTO!$AF$11)),
         0)</f>
        <v>0</v>
      </c>
      <c r="AE124" s="454">
        <f ca="1">IF(AND($D124="Serviço",AE$12&lt;&gt;0,$H124&gt;0,OR(AUTOEVENTO&lt;&gt;"manual",$M124&lt;&gt;$A$15)),
        IF(Import.TipoArredondamento&lt;&gt;"TransfereGOV",
              ROUND(OFFSET($P124,0,AE$13),15-13*ORÇAMENTO!$AF$7)/$H124*OFFSET(ORÇAMENTO!$X$15,ROW(AE124)-ROW(AE$15),0),
              ROUND(ROUND(OFFSET($P124,0,AE$13),15-13*ORÇAMENTO!$AF$7)*OFFSET(ORÇAMENTO!$W$15,ROW(AE124)-ROW(AE$15),0),15-13*ORÇAMENTO!$AF$11)),
         0)</f>
        <v>0</v>
      </c>
      <c r="AF124" s="454">
        <f ca="1">IF(AND($D124="Serviço",AF$12&lt;&gt;0,$H124&gt;0,OR(AUTOEVENTO&lt;&gt;"manual",$M124&lt;&gt;$A$15)),
        IF(Import.TipoArredondamento&lt;&gt;"TransfereGOV",
              ROUND(OFFSET($P124,0,AF$13),15-13*ORÇAMENTO!$AF$7)/$H124*OFFSET(ORÇAMENTO!$X$15,ROW(AF124)-ROW(AF$15),0),
              ROUND(ROUND(OFFSET($P124,0,AF$13),15-13*ORÇAMENTO!$AF$7)*OFFSET(ORÇAMENTO!$W$15,ROW(AF124)-ROW(AF$15),0),15-13*ORÇAMENTO!$AF$11)),
         0)</f>
        <v>0</v>
      </c>
      <c r="AG124" s="454">
        <f ca="1">IF(AND($D124="Serviço",AG$12&lt;&gt;0,$H124&gt;0,OR(AUTOEVENTO&lt;&gt;"manual",$M124&lt;&gt;$A$15)),
        IF(Import.TipoArredondamento&lt;&gt;"TransfereGOV",
              ROUND(OFFSET($P124,0,AG$13),15-13*ORÇAMENTO!$AF$7)/$H124*OFFSET(ORÇAMENTO!$X$15,ROW(AG124)-ROW(AG$15),0),
              ROUND(ROUND(OFFSET($P124,0,AG$13),15-13*ORÇAMENTO!$AF$7)*OFFSET(ORÇAMENTO!$W$15,ROW(AG124)-ROW(AG$15),0),15-13*ORÇAMENTO!$AF$11)),
         0)</f>
        <v>0</v>
      </c>
      <c r="AH124" s="454">
        <f ca="1">IF(AND($D124="Serviço",AH$12&lt;&gt;0,$H124&gt;0,OR(AUTOEVENTO&lt;&gt;"manual",$M124&lt;&gt;$A$15)),
        IF(Import.TipoArredondamento&lt;&gt;"TransfereGOV",
              ROUND(OFFSET($P124,0,AH$13),15-13*ORÇAMENTO!$AF$7)/$H124*OFFSET(ORÇAMENTO!$X$15,ROW(AH124)-ROW(AH$15),0),
              ROUND(ROUND(OFFSET($P124,0,AH$13),15-13*ORÇAMENTO!$AF$7)*OFFSET(ORÇAMENTO!$W$15,ROW(AH124)-ROW(AH$15),0),15-13*ORÇAMENTO!$AF$11)),
         0)</f>
        <v>0</v>
      </c>
      <c r="AI124" s="454">
        <f ca="1">IF(AND($D124="Serviço",AI$12&lt;&gt;0,$H124&gt;0,OR(AUTOEVENTO&lt;&gt;"manual",$M124&lt;&gt;$A$15)),
        IF(Import.TipoArredondamento&lt;&gt;"TransfereGOV",
              ROUND(OFFSET($P124,0,AI$13),15-13*ORÇAMENTO!$AF$7)/$H124*OFFSET(ORÇAMENTO!$X$15,ROW(AI124)-ROW(AI$15),0),
              ROUND(ROUND(OFFSET($P124,0,AI$13),15-13*ORÇAMENTO!$AF$7)*OFFSET(ORÇAMENTO!$W$15,ROW(AI124)-ROW(AI$15),0),15-13*ORÇAMENTO!$AF$11)),
         0)</f>
        <v>0</v>
      </c>
      <c r="AJ124" s="454">
        <f ca="1">IF(AND($D124="Serviço",AJ$12&lt;&gt;0,$H124&gt;0,OR(AUTOEVENTO&lt;&gt;"manual",$M124&lt;&gt;$A$15)),
        IF(Import.TipoArredondamento&lt;&gt;"TransfereGOV",
              ROUND(OFFSET($P124,0,AJ$13),15-13*ORÇAMENTO!$AF$7)/$H124*OFFSET(ORÇAMENTO!$X$15,ROW(AJ124)-ROW(AJ$15),0),
              ROUND(ROUND(OFFSET($P124,0,AJ$13),15-13*ORÇAMENTO!$AF$7)*OFFSET(ORÇAMENTO!$W$15,ROW(AJ124)-ROW(AJ$15),0),15-13*ORÇAMENTO!$AF$11)),
         0)</f>
        <v>0</v>
      </c>
      <c r="AK124" s="454">
        <f ca="1">IF(AND($D124="Serviço",AK$12&lt;&gt;0,$H124&gt;0,OR(AUTOEVENTO&lt;&gt;"manual",$M124&lt;&gt;$A$15)),
        IF(Import.TipoArredondamento&lt;&gt;"TransfereGOV",
              ROUND(OFFSET($P124,0,AK$13),15-13*ORÇAMENTO!$AF$7)/$H124*OFFSET(ORÇAMENTO!$X$15,ROW(AK124)-ROW(AK$15),0),
              ROUND(ROUND(OFFSET($P124,0,AK$13),15-13*ORÇAMENTO!$AF$7)*OFFSET(ORÇAMENTO!$W$15,ROW(AK124)-ROW(AK$15),0),15-13*ORÇAMENTO!$AF$11)),
         0)</f>
        <v>0</v>
      </c>
      <c r="AM124" s="172">
        <f ca="1">IF(OR($D124&lt;&gt;"Serviço",AND(AUTOEVENTO="Manual",$M124=$A$15)),0,
         IF(OFFSET(CRONOPLE!$F$15,$M124-$A$15,AM$13)="",10^12,OFFSET(CRONOPLE!$F$15,$M124-$A$15,AM$13)))</f>
        <v>1000000000000</v>
      </c>
      <c r="AN124" s="172">
        <f ca="1">IF(OR($D124&lt;&gt;"Serviço",AND(AUTOEVENTO="Manual",$M124=$A$15)),0,
         IF(OFFSET(CRONOPLE!$F$15,$M124-$A$15,AN$13)="",10^12,OFFSET(CRONOPLE!$F$15,$M124-$A$15,AN$13)))</f>
        <v>1000000000000</v>
      </c>
      <c r="AO124" s="172">
        <f ca="1">IF(OR($D124&lt;&gt;"Serviço",AND(AUTOEVENTO="Manual",$M124=$A$15)),0,
         IF(OFFSET(CRONOPLE!$F$15,$M124-$A$15,AO$13)="",10^12,OFFSET(CRONOPLE!$F$15,$M124-$A$15,AO$13)))</f>
        <v>1000000000000</v>
      </c>
      <c r="AP124" s="172">
        <f ca="1">IF(OR($D124&lt;&gt;"Serviço",AND(AUTOEVENTO="Manual",$M124=$A$15)),0,
         IF(OFFSET(CRONOPLE!$F$15,$M124-$A$15,AP$13)="",10^12,OFFSET(CRONOPLE!$F$15,$M124-$A$15,AP$13)))</f>
        <v>1000000000000</v>
      </c>
      <c r="AQ124" s="172">
        <f ca="1">IF(OR($D124&lt;&gt;"Serviço",AND(AUTOEVENTO="Manual",$M124=$A$15)),0,
         IF(OFFSET(CRONOPLE!$F$15,$M124-$A$15,AQ$13)="",10^12,OFFSET(CRONOPLE!$F$15,$M124-$A$15,AQ$13)))</f>
        <v>1000000000000</v>
      </c>
      <c r="AR124" s="172">
        <f ca="1">IF(OR($D124&lt;&gt;"Serviço",AND(AUTOEVENTO="Manual",$M124=$A$15)),0,
         IF(OFFSET(CRONOPLE!$F$15,$M124-$A$15,AR$13)="",10^12,OFFSET(CRONOPLE!$F$15,$M124-$A$15,AR$13)))</f>
        <v>1000000000000</v>
      </c>
      <c r="AS124" s="172">
        <f ca="1">IF(OR($D124&lt;&gt;"Serviço",AND(AUTOEVENTO="Manual",$M124=$A$15)),0,
         IF(OFFSET(CRONOPLE!$F$15,$M124-$A$15,AS$13)="",10^12,OFFSET(CRONOPLE!$F$15,$M124-$A$15,AS$13)))</f>
        <v>1000000000000</v>
      </c>
      <c r="AT124" s="172">
        <f ca="1">IF(OR($D124&lt;&gt;"Serviço",AND(AUTOEVENTO="Manual",$M124=$A$15)),0,
         IF(OFFSET(CRONOPLE!$F$15,$M124-$A$15,AT$13)="",10^12,OFFSET(CRONOPLE!$F$15,$M124-$A$15,AT$13)))</f>
        <v>1000000000000</v>
      </c>
      <c r="AU124" s="172">
        <f ca="1">IF(OR($D124&lt;&gt;"Serviço",AND(AUTOEVENTO="Manual",$M124=$A$15)),0,
         IF(OFFSET(CRONOPLE!$F$15,$M124-$A$15,AU$13)="",10^12,OFFSET(CRONOPLE!$F$15,$M124-$A$15,AU$13)))</f>
        <v>1000000000000</v>
      </c>
      <c r="AV124" s="172">
        <f ca="1">IF(OR($D124&lt;&gt;"Serviço",AND(AUTOEVENTO="Manual",$M124=$A$15)),0,
         IF(OFFSET(CRONOPLE!$F$15,$M124-$A$15,AV$13)="",10^12,OFFSET(CRONOPLE!$F$15,$M124-$A$15,AV$13)))</f>
        <v>1000000000000</v>
      </c>
      <c r="AX124" s="173">
        <f ca="1">IF(OR($D124&lt;&gt;"Serviço",AND(AUTOEVENTO="Manual",$M124=$A$15),$M124&gt;(ROW(PLE.lastrow)-ROW(PLE.firstrow))),0,
           IF(OFFSET(PLE!$G$15,$M124-$A$15,AX$13)="",10^12,OFFSET(PLE!$G$15,$M124-$A$15,AX$13)))</f>
        <v>1000000000000</v>
      </c>
      <c r="AY124" s="173">
        <f ca="1">IF(OR($D124&lt;&gt;"Serviço",AND(AUTOEVENTO="Manual",$M124=$A$15),$M124&gt;(ROW(PLE.lastrow)-ROW(PLE.firstrow))),0,
           IF(OFFSET(PLE!$G$15,$M124-$A$15,AY$13)="",10^12,OFFSET(PLE!$G$15,$M124-$A$15,AY$13)))</f>
        <v>1000000000000</v>
      </c>
      <c r="AZ124" s="173">
        <f ca="1">IF(OR($D124&lt;&gt;"Serviço",AND(AUTOEVENTO="Manual",$M124=$A$15),$M124&gt;(ROW(PLE.lastrow)-ROW(PLE.firstrow))),0,
           IF(OFFSET(PLE!$G$15,$M124-$A$15,AZ$13)="",10^12,OFFSET(PLE!$G$15,$M124-$A$15,AZ$13)))</f>
        <v>1000000000000</v>
      </c>
      <c r="BA124" s="173">
        <f ca="1">IF(OR($D124&lt;&gt;"Serviço",AND(AUTOEVENTO="Manual",$M124=$A$15),$M124&gt;(ROW(PLE.lastrow)-ROW(PLE.firstrow))),0,
           IF(OFFSET(PLE!$G$15,$M124-$A$15,BA$13)="",10^12,OFFSET(PLE!$G$15,$M124-$A$15,BA$13)))</f>
        <v>1000000000000</v>
      </c>
      <c r="BB124" s="173">
        <f ca="1">IF(OR($D124&lt;&gt;"Serviço",AND(AUTOEVENTO="Manual",$M124=$A$15),$M124&gt;(ROW(PLE.lastrow)-ROW(PLE.firstrow))),0,
           IF(OFFSET(PLE!$G$15,$M124-$A$15,BB$13)="",10^12,OFFSET(PLE!$G$15,$M124-$A$15,BB$13)))</f>
        <v>1000000000000</v>
      </c>
      <c r="BC124" s="173">
        <f ca="1">IF(OR($D124&lt;&gt;"Serviço",AND(AUTOEVENTO="Manual",$M124=$A$15),$M124&gt;(ROW(PLE.lastrow)-ROW(PLE.firstrow))),0,
           IF(OFFSET(PLE!$G$15,$M124-$A$15,BC$13)="",10^12,OFFSET(PLE!$G$15,$M124-$A$15,BC$13)))</f>
        <v>1000000000000</v>
      </c>
      <c r="BD124" s="173">
        <f ca="1">IF(OR($D124&lt;&gt;"Serviço",AND(AUTOEVENTO="Manual",$M124=$A$15),$M124&gt;(ROW(PLE.lastrow)-ROW(PLE.firstrow))),0,
           IF(OFFSET(PLE!$G$15,$M124-$A$15,BD$13)="",10^12,OFFSET(PLE!$G$15,$M124-$A$15,BD$13)))</f>
        <v>1000000000000</v>
      </c>
      <c r="BE124" s="173">
        <f ca="1">IF(OR($D124&lt;&gt;"Serviço",AND(AUTOEVENTO="Manual",$M124=$A$15),$M124&gt;(ROW(PLE.lastrow)-ROW(PLE.firstrow))),0,
           IF(OFFSET(PLE!$G$15,$M124-$A$15,BE$13)="",10^12,OFFSET(PLE!$G$15,$M124-$A$15,BE$13)))</f>
        <v>1000000000000</v>
      </c>
      <c r="BF124" s="173">
        <f ca="1">IF(OR($D124&lt;&gt;"Serviço",AND(AUTOEVENTO="Manual",$M124=$A$15),$M124&gt;(ROW(PLE.lastrow)-ROW(PLE.firstrow))),0,
           IF(OFFSET(PLE!$G$15,$M124-$A$15,BF$13)="",10^12,OFFSET(PLE!$G$15,$M124-$A$15,BF$13)))</f>
        <v>1000000000000</v>
      </c>
      <c r="BG124" s="173">
        <f ca="1">IF(OR($D124&lt;&gt;"Serviço",AND(AUTOEVENTO="Manual",$M124=$A$15),$M124&gt;(ROW(PLE.lastrow)-ROW(PLE.firstrow))),0,
           IF(OFFSET(PLE!$G$15,$M124-$A$15,BG$13)="",10^12,OFFSET(PLE!$G$15,$M124-$A$15,BG$13)))</f>
        <v>1000000000000</v>
      </c>
    </row>
    <row r="125" spans="1:59" ht="38.25" x14ac:dyDescent="0.2">
      <c r="A125" s="7" t="str">
        <f t="shared" ca="1" si="9"/>
        <v>100</v>
      </c>
      <c r="B125" s="7" t="str">
        <f ca="1">OFFSET(ORÇAMENTO!C$15,ROW(B125)-ROW(B$15),0)</f>
        <v>S</v>
      </c>
      <c r="C125" s="7" t="str">
        <f ca="1">OFFSET(ORÇAMENTO!L$15,ROW(C125)-ROW(C$15),0)</f>
        <v/>
      </c>
      <c r="D125" s="117" t="str">
        <f ca="1">OFFSET(ORÇAMENTO!N$15,ROW(D125)-ROW(D$15),0)</f>
        <v>Serviço</v>
      </c>
      <c r="E125" s="118" t="str">
        <f ca="1">OFFSET(ORÇAMENTO!O$15,ROW(E125)-ROW(E$15),0)</f>
        <v>-</v>
      </c>
      <c r="F125" s="164" t="str">
        <f ca="1">OFFSET(ORÇAMENTO!R$15,ROW(F125)-ROW(F$15),0)</f>
        <v>ELETRODUTO FLEXÍVEL CORRUGADO, PVC, DN 25 MM (3/4"), PARA CIRCUITOS TERMINAIS, INSTALADO EM FORRO - FORNECIMENTO E INSTALAÇÃO. AF_03/2023_PA</v>
      </c>
      <c r="G125" s="165" t="str">
        <f ca="1">IF($D125&lt;&gt;"Serviço","",OFFSET(ORÇAMENTO!S$15,ROW(G125)-ROW(G$15),0))</f>
        <v>M</v>
      </c>
      <c r="H125" s="123">
        <f ca="1">IF($D125&lt;&gt;"Serviço",0,IF(ACOMPANHAMENTO="BM",ROUND(OFFSET(ORÇAMENTO!AJ$15,ROW(H125)-ROW(H$15),0),15-13*ORÇAMENTO!$AF$7),SUMPRODUCT(($Q$1:$AA$1=1)*ROUND($Q125:$AA125,15-13*ORÇAMENTO!$AF$7))))</f>
        <v>128</v>
      </c>
      <c r="I125" s="469"/>
      <c r="J125" s="577" t="str" cm="1">
        <f t="array" aca="1" ref="J125" ca="1">IF(B125&lt;&gt;"S","",IF(AND(ACOMPANHAMENTO="PLE",AUTOEVENTO="Manual",OR(H125&gt;0,ORÇAMENTO!AC125="QUANT."),OR(K125="",M125=0,N125="")),"►",IF(AND(ACOMPANHAMENTO="PLE",ORÇAMENTO!AC125="QUANT."),"►►",IF(AND(COUNTIF($P$11:$AA$11,"▼")=0,H125&gt;0,I125=""),"◄",""))))</f>
        <v>◄</v>
      </c>
      <c r="K125" s="626"/>
      <c r="L125" s="166" t="s">
        <v>765</v>
      </c>
      <c r="M125" s="167">
        <f ca="1">IF($D125&lt;&gt;"Serviço","",
          IF(AUTOEVENTO="manual",$A125,
                IF(ISERROR(MATCH($A125,$A$15:OFFSET($A125,-1,0),0)),MAX($M$15:OFFSET(M125,-1,0))+1,
                      INDEX($M$15:OFFSET(M125,-1,0),MATCH($A125,$A$15:OFFSET($A125,-1,0),0)))))</f>
        <v>10</v>
      </c>
      <c r="N125" s="168" t="str">
        <f ca="1">IF($D125&lt;&gt;"Serviço","",
         IF(AUTOEVENTO="Manual",
                IF($A125=0,"&lt;-- defina o número do agrupador",
                       OFFSET(EVENTOS!$D$15,$A125-$A$15,0)),
                OFFSET($F$15,$A125,0)))</f>
        <v>VOZ E DADOS</v>
      </c>
      <c r="O125" s="169"/>
      <c r="Q125" s="169"/>
      <c r="R125" s="170"/>
      <c r="S125" s="170"/>
      <c r="T125" s="170"/>
      <c r="U125" s="170"/>
      <c r="V125" s="170"/>
      <c r="W125" s="170"/>
      <c r="X125" s="170"/>
      <c r="Y125" s="170"/>
      <c r="Z125" s="171"/>
      <c r="AB125" s="454">
        <f ca="1">IF(AND($D125="Serviço",AB$12&lt;&gt;0,$H125&gt;0,OR(AUTOEVENTO&lt;&gt;"manual",$M125&lt;&gt;$A$15)),
        IF(Import.TipoArredondamento&lt;&gt;"TransfereGOV",
              ROUND(OFFSET($P125,0,AB$13),15-13*ORÇAMENTO!$AF$7)/$H125*OFFSET(ORÇAMENTO!$X$15,ROW(AB125)-ROW(AB$15),0),
              ROUND(ROUND(OFFSET($P125,0,AB$13),15-13*ORÇAMENTO!$AF$7)*OFFSET(ORÇAMENTO!$W$15,ROW(AB125)-ROW(AB$15),0),15-13*ORÇAMENTO!$AF$11)),
         0)</f>
        <v>0</v>
      </c>
      <c r="AC125" s="454">
        <f ca="1">IF(AND($D125="Serviço",AC$12&lt;&gt;0,$H125&gt;0,OR(AUTOEVENTO&lt;&gt;"manual",$M125&lt;&gt;$A$15)),
        IF(Import.TipoArredondamento&lt;&gt;"TransfereGOV",
              ROUND(OFFSET($P125,0,AC$13),15-13*ORÇAMENTO!$AF$7)/$H125*OFFSET(ORÇAMENTO!$X$15,ROW(AC125)-ROW(AC$15),0),
              ROUND(ROUND(OFFSET($P125,0,AC$13),15-13*ORÇAMENTO!$AF$7)*OFFSET(ORÇAMENTO!$W$15,ROW(AC125)-ROW(AC$15),0),15-13*ORÇAMENTO!$AF$11)),
         0)</f>
        <v>0</v>
      </c>
      <c r="AD125" s="454">
        <f ca="1">IF(AND($D125="Serviço",AD$12&lt;&gt;0,$H125&gt;0,OR(AUTOEVENTO&lt;&gt;"manual",$M125&lt;&gt;$A$15)),
        IF(Import.TipoArredondamento&lt;&gt;"TransfereGOV",
              ROUND(OFFSET($P125,0,AD$13),15-13*ORÇAMENTO!$AF$7)/$H125*OFFSET(ORÇAMENTO!$X$15,ROW(AD125)-ROW(AD$15),0),
              ROUND(ROUND(OFFSET($P125,0,AD$13),15-13*ORÇAMENTO!$AF$7)*OFFSET(ORÇAMENTO!$W$15,ROW(AD125)-ROW(AD$15),0),15-13*ORÇAMENTO!$AF$11)),
         0)</f>
        <v>0</v>
      </c>
      <c r="AE125" s="454">
        <f ca="1">IF(AND($D125="Serviço",AE$12&lt;&gt;0,$H125&gt;0,OR(AUTOEVENTO&lt;&gt;"manual",$M125&lt;&gt;$A$15)),
        IF(Import.TipoArredondamento&lt;&gt;"TransfereGOV",
              ROUND(OFFSET($P125,0,AE$13),15-13*ORÇAMENTO!$AF$7)/$H125*OFFSET(ORÇAMENTO!$X$15,ROW(AE125)-ROW(AE$15),0),
              ROUND(ROUND(OFFSET($P125,0,AE$13),15-13*ORÇAMENTO!$AF$7)*OFFSET(ORÇAMENTO!$W$15,ROW(AE125)-ROW(AE$15),0),15-13*ORÇAMENTO!$AF$11)),
         0)</f>
        <v>0</v>
      </c>
      <c r="AF125" s="454">
        <f ca="1">IF(AND($D125="Serviço",AF$12&lt;&gt;0,$H125&gt;0,OR(AUTOEVENTO&lt;&gt;"manual",$M125&lt;&gt;$A$15)),
        IF(Import.TipoArredondamento&lt;&gt;"TransfereGOV",
              ROUND(OFFSET($P125,0,AF$13),15-13*ORÇAMENTO!$AF$7)/$H125*OFFSET(ORÇAMENTO!$X$15,ROW(AF125)-ROW(AF$15),0),
              ROUND(ROUND(OFFSET($P125,0,AF$13),15-13*ORÇAMENTO!$AF$7)*OFFSET(ORÇAMENTO!$W$15,ROW(AF125)-ROW(AF$15),0),15-13*ORÇAMENTO!$AF$11)),
         0)</f>
        <v>0</v>
      </c>
      <c r="AG125" s="454">
        <f ca="1">IF(AND($D125="Serviço",AG$12&lt;&gt;0,$H125&gt;0,OR(AUTOEVENTO&lt;&gt;"manual",$M125&lt;&gt;$A$15)),
        IF(Import.TipoArredondamento&lt;&gt;"TransfereGOV",
              ROUND(OFFSET($P125,0,AG$13),15-13*ORÇAMENTO!$AF$7)/$H125*OFFSET(ORÇAMENTO!$X$15,ROW(AG125)-ROW(AG$15),0),
              ROUND(ROUND(OFFSET($P125,0,AG$13),15-13*ORÇAMENTO!$AF$7)*OFFSET(ORÇAMENTO!$W$15,ROW(AG125)-ROW(AG$15),0),15-13*ORÇAMENTO!$AF$11)),
         0)</f>
        <v>0</v>
      </c>
      <c r="AH125" s="454">
        <f ca="1">IF(AND($D125="Serviço",AH$12&lt;&gt;0,$H125&gt;0,OR(AUTOEVENTO&lt;&gt;"manual",$M125&lt;&gt;$A$15)),
        IF(Import.TipoArredondamento&lt;&gt;"TransfereGOV",
              ROUND(OFFSET($P125,0,AH$13),15-13*ORÇAMENTO!$AF$7)/$H125*OFFSET(ORÇAMENTO!$X$15,ROW(AH125)-ROW(AH$15),0),
              ROUND(ROUND(OFFSET($P125,0,AH$13),15-13*ORÇAMENTO!$AF$7)*OFFSET(ORÇAMENTO!$W$15,ROW(AH125)-ROW(AH$15),0),15-13*ORÇAMENTO!$AF$11)),
         0)</f>
        <v>0</v>
      </c>
      <c r="AI125" s="454">
        <f ca="1">IF(AND($D125="Serviço",AI$12&lt;&gt;0,$H125&gt;0,OR(AUTOEVENTO&lt;&gt;"manual",$M125&lt;&gt;$A$15)),
        IF(Import.TipoArredondamento&lt;&gt;"TransfereGOV",
              ROUND(OFFSET($P125,0,AI$13),15-13*ORÇAMENTO!$AF$7)/$H125*OFFSET(ORÇAMENTO!$X$15,ROW(AI125)-ROW(AI$15),0),
              ROUND(ROUND(OFFSET($P125,0,AI$13),15-13*ORÇAMENTO!$AF$7)*OFFSET(ORÇAMENTO!$W$15,ROW(AI125)-ROW(AI$15),0),15-13*ORÇAMENTO!$AF$11)),
         0)</f>
        <v>0</v>
      </c>
      <c r="AJ125" s="454">
        <f ca="1">IF(AND($D125="Serviço",AJ$12&lt;&gt;0,$H125&gt;0,OR(AUTOEVENTO&lt;&gt;"manual",$M125&lt;&gt;$A$15)),
        IF(Import.TipoArredondamento&lt;&gt;"TransfereGOV",
              ROUND(OFFSET($P125,0,AJ$13),15-13*ORÇAMENTO!$AF$7)/$H125*OFFSET(ORÇAMENTO!$X$15,ROW(AJ125)-ROW(AJ$15),0),
              ROUND(ROUND(OFFSET($P125,0,AJ$13),15-13*ORÇAMENTO!$AF$7)*OFFSET(ORÇAMENTO!$W$15,ROW(AJ125)-ROW(AJ$15),0),15-13*ORÇAMENTO!$AF$11)),
         0)</f>
        <v>0</v>
      </c>
      <c r="AK125" s="454">
        <f ca="1">IF(AND($D125="Serviço",AK$12&lt;&gt;0,$H125&gt;0,OR(AUTOEVENTO&lt;&gt;"manual",$M125&lt;&gt;$A$15)),
        IF(Import.TipoArredondamento&lt;&gt;"TransfereGOV",
              ROUND(OFFSET($P125,0,AK$13),15-13*ORÇAMENTO!$AF$7)/$H125*OFFSET(ORÇAMENTO!$X$15,ROW(AK125)-ROW(AK$15),0),
              ROUND(ROUND(OFFSET($P125,0,AK$13),15-13*ORÇAMENTO!$AF$7)*OFFSET(ORÇAMENTO!$W$15,ROW(AK125)-ROW(AK$15),0),15-13*ORÇAMENTO!$AF$11)),
         0)</f>
        <v>0</v>
      </c>
      <c r="AM125" s="172">
        <f ca="1">IF(OR($D125&lt;&gt;"Serviço",AND(AUTOEVENTO="Manual",$M125=$A$15)),0,
         IF(OFFSET(CRONOPLE!$F$15,$M125-$A$15,AM$13)="",10^12,OFFSET(CRONOPLE!$F$15,$M125-$A$15,AM$13)))</f>
        <v>1000000000000</v>
      </c>
      <c r="AN125" s="172">
        <f ca="1">IF(OR($D125&lt;&gt;"Serviço",AND(AUTOEVENTO="Manual",$M125=$A$15)),0,
         IF(OFFSET(CRONOPLE!$F$15,$M125-$A$15,AN$13)="",10^12,OFFSET(CRONOPLE!$F$15,$M125-$A$15,AN$13)))</f>
        <v>1000000000000</v>
      </c>
      <c r="AO125" s="172">
        <f ca="1">IF(OR($D125&lt;&gt;"Serviço",AND(AUTOEVENTO="Manual",$M125=$A$15)),0,
         IF(OFFSET(CRONOPLE!$F$15,$M125-$A$15,AO$13)="",10^12,OFFSET(CRONOPLE!$F$15,$M125-$A$15,AO$13)))</f>
        <v>1000000000000</v>
      </c>
      <c r="AP125" s="172">
        <f ca="1">IF(OR($D125&lt;&gt;"Serviço",AND(AUTOEVENTO="Manual",$M125=$A$15)),0,
         IF(OFFSET(CRONOPLE!$F$15,$M125-$A$15,AP$13)="",10^12,OFFSET(CRONOPLE!$F$15,$M125-$A$15,AP$13)))</f>
        <v>1000000000000</v>
      </c>
      <c r="AQ125" s="172">
        <f ca="1">IF(OR($D125&lt;&gt;"Serviço",AND(AUTOEVENTO="Manual",$M125=$A$15)),0,
         IF(OFFSET(CRONOPLE!$F$15,$M125-$A$15,AQ$13)="",10^12,OFFSET(CRONOPLE!$F$15,$M125-$A$15,AQ$13)))</f>
        <v>1000000000000</v>
      </c>
      <c r="AR125" s="172">
        <f ca="1">IF(OR($D125&lt;&gt;"Serviço",AND(AUTOEVENTO="Manual",$M125=$A$15)),0,
         IF(OFFSET(CRONOPLE!$F$15,$M125-$A$15,AR$13)="",10^12,OFFSET(CRONOPLE!$F$15,$M125-$A$15,AR$13)))</f>
        <v>1000000000000</v>
      </c>
      <c r="AS125" s="172">
        <f ca="1">IF(OR($D125&lt;&gt;"Serviço",AND(AUTOEVENTO="Manual",$M125=$A$15)),0,
         IF(OFFSET(CRONOPLE!$F$15,$M125-$A$15,AS$13)="",10^12,OFFSET(CRONOPLE!$F$15,$M125-$A$15,AS$13)))</f>
        <v>1000000000000</v>
      </c>
      <c r="AT125" s="172">
        <f ca="1">IF(OR($D125&lt;&gt;"Serviço",AND(AUTOEVENTO="Manual",$M125=$A$15)),0,
         IF(OFFSET(CRONOPLE!$F$15,$M125-$A$15,AT$13)="",10^12,OFFSET(CRONOPLE!$F$15,$M125-$A$15,AT$13)))</f>
        <v>1000000000000</v>
      </c>
      <c r="AU125" s="172">
        <f ca="1">IF(OR($D125&lt;&gt;"Serviço",AND(AUTOEVENTO="Manual",$M125=$A$15)),0,
         IF(OFFSET(CRONOPLE!$F$15,$M125-$A$15,AU$13)="",10^12,OFFSET(CRONOPLE!$F$15,$M125-$A$15,AU$13)))</f>
        <v>1000000000000</v>
      </c>
      <c r="AV125" s="172">
        <f ca="1">IF(OR($D125&lt;&gt;"Serviço",AND(AUTOEVENTO="Manual",$M125=$A$15)),0,
         IF(OFFSET(CRONOPLE!$F$15,$M125-$A$15,AV$13)="",10^12,OFFSET(CRONOPLE!$F$15,$M125-$A$15,AV$13)))</f>
        <v>1000000000000</v>
      </c>
      <c r="AX125" s="173">
        <f ca="1">IF(OR($D125&lt;&gt;"Serviço",AND(AUTOEVENTO="Manual",$M125=$A$15),$M125&gt;(ROW(PLE.lastrow)-ROW(PLE.firstrow))),0,
           IF(OFFSET(PLE!$G$15,$M125-$A$15,AX$13)="",10^12,OFFSET(PLE!$G$15,$M125-$A$15,AX$13)))</f>
        <v>1000000000000</v>
      </c>
      <c r="AY125" s="173">
        <f ca="1">IF(OR($D125&lt;&gt;"Serviço",AND(AUTOEVENTO="Manual",$M125=$A$15),$M125&gt;(ROW(PLE.lastrow)-ROW(PLE.firstrow))),0,
           IF(OFFSET(PLE!$G$15,$M125-$A$15,AY$13)="",10^12,OFFSET(PLE!$G$15,$M125-$A$15,AY$13)))</f>
        <v>1000000000000</v>
      </c>
      <c r="AZ125" s="173">
        <f ca="1">IF(OR($D125&lt;&gt;"Serviço",AND(AUTOEVENTO="Manual",$M125=$A$15),$M125&gt;(ROW(PLE.lastrow)-ROW(PLE.firstrow))),0,
           IF(OFFSET(PLE!$G$15,$M125-$A$15,AZ$13)="",10^12,OFFSET(PLE!$G$15,$M125-$A$15,AZ$13)))</f>
        <v>1000000000000</v>
      </c>
      <c r="BA125" s="173">
        <f ca="1">IF(OR($D125&lt;&gt;"Serviço",AND(AUTOEVENTO="Manual",$M125=$A$15),$M125&gt;(ROW(PLE.lastrow)-ROW(PLE.firstrow))),0,
           IF(OFFSET(PLE!$G$15,$M125-$A$15,BA$13)="",10^12,OFFSET(PLE!$G$15,$M125-$A$15,BA$13)))</f>
        <v>1000000000000</v>
      </c>
      <c r="BB125" s="173">
        <f ca="1">IF(OR($D125&lt;&gt;"Serviço",AND(AUTOEVENTO="Manual",$M125=$A$15),$M125&gt;(ROW(PLE.lastrow)-ROW(PLE.firstrow))),0,
           IF(OFFSET(PLE!$G$15,$M125-$A$15,BB$13)="",10^12,OFFSET(PLE!$G$15,$M125-$A$15,BB$13)))</f>
        <v>1000000000000</v>
      </c>
      <c r="BC125" s="173">
        <f ca="1">IF(OR($D125&lt;&gt;"Serviço",AND(AUTOEVENTO="Manual",$M125=$A$15),$M125&gt;(ROW(PLE.lastrow)-ROW(PLE.firstrow))),0,
           IF(OFFSET(PLE!$G$15,$M125-$A$15,BC$13)="",10^12,OFFSET(PLE!$G$15,$M125-$A$15,BC$13)))</f>
        <v>1000000000000</v>
      </c>
      <c r="BD125" s="173">
        <f ca="1">IF(OR($D125&lt;&gt;"Serviço",AND(AUTOEVENTO="Manual",$M125=$A$15),$M125&gt;(ROW(PLE.lastrow)-ROW(PLE.firstrow))),0,
           IF(OFFSET(PLE!$G$15,$M125-$A$15,BD$13)="",10^12,OFFSET(PLE!$G$15,$M125-$A$15,BD$13)))</f>
        <v>1000000000000</v>
      </c>
      <c r="BE125" s="173">
        <f ca="1">IF(OR($D125&lt;&gt;"Serviço",AND(AUTOEVENTO="Manual",$M125=$A$15),$M125&gt;(ROW(PLE.lastrow)-ROW(PLE.firstrow))),0,
           IF(OFFSET(PLE!$G$15,$M125-$A$15,BE$13)="",10^12,OFFSET(PLE!$G$15,$M125-$A$15,BE$13)))</f>
        <v>1000000000000</v>
      </c>
      <c r="BF125" s="173">
        <f ca="1">IF(OR($D125&lt;&gt;"Serviço",AND(AUTOEVENTO="Manual",$M125=$A$15),$M125&gt;(ROW(PLE.lastrow)-ROW(PLE.firstrow))),0,
           IF(OFFSET(PLE!$G$15,$M125-$A$15,BF$13)="",10^12,OFFSET(PLE!$G$15,$M125-$A$15,BF$13)))</f>
        <v>1000000000000</v>
      </c>
      <c r="BG125" s="173">
        <f ca="1">IF(OR($D125&lt;&gt;"Serviço",AND(AUTOEVENTO="Manual",$M125=$A$15),$M125&gt;(ROW(PLE.lastrow)-ROW(PLE.firstrow))),0,
           IF(OFFSET(PLE!$G$15,$M125-$A$15,BG$13)="",10^12,OFFSET(PLE!$G$15,$M125-$A$15,BG$13)))</f>
        <v>1000000000000</v>
      </c>
    </row>
    <row r="126" spans="1:59" ht="38.25" x14ac:dyDescent="0.2">
      <c r="A126" s="7" t="str">
        <f t="shared" ca="1" si="9"/>
        <v>100</v>
      </c>
      <c r="B126" s="7" t="str">
        <f ca="1">OFFSET(ORÇAMENTO!C$15,ROW(B126)-ROW(B$15),0)</f>
        <v>S</v>
      </c>
      <c r="C126" s="7" t="str">
        <f ca="1">OFFSET(ORÇAMENTO!L$15,ROW(C126)-ROW(C$15),0)</f>
        <v/>
      </c>
      <c r="D126" s="117" t="str">
        <f ca="1">OFFSET(ORÇAMENTO!N$15,ROW(D126)-ROW(D$15),0)</f>
        <v>Serviço</v>
      </c>
      <c r="E126" s="118" t="str">
        <f ca="1">OFFSET(ORÇAMENTO!O$15,ROW(E126)-ROW(E$15),0)</f>
        <v>-</v>
      </c>
      <c r="F126" s="164" t="str">
        <f ca="1">OFFSET(ORÇAMENTO!R$15,ROW(F126)-ROW(F$15),0)</f>
        <v>ELETRODUTO FLEXÍVEL CORRUGADO REFORÇADO, PVC, DN 20 MM (1/2"), PARA CIRCUITOS TERMINAIS, INSTALADO EM FORRO - FORNECIMENTO E INSTALAÇÃO. AF_03/2023_PA</v>
      </c>
      <c r="G126" s="165" t="str">
        <f ca="1">IF($D126&lt;&gt;"Serviço","",OFFSET(ORÇAMENTO!S$15,ROW(G126)-ROW(G$15),0))</f>
        <v>M</v>
      </c>
      <c r="H126" s="123">
        <f ca="1">IF($D126&lt;&gt;"Serviço",0,IF(ACOMPANHAMENTO="BM",ROUND(OFFSET(ORÇAMENTO!AJ$15,ROW(H126)-ROW(H$15),0),15-13*ORÇAMENTO!$AF$7),SUMPRODUCT(($Q$1:$AA$1=1)*ROUND($Q126:$AA126,15-13*ORÇAMENTO!$AF$7))))</f>
        <v>45</v>
      </c>
      <c r="I126" s="469"/>
      <c r="J126" s="577" t="str" cm="1">
        <f t="array" aca="1" ref="J126" ca="1">IF(B126&lt;&gt;"S","",IF(AND(ACOMPANHAMENTO="PLE",AUTOEVENTO="Manual",OR(H126&gt;0,ORÇAMENTO!AC126="QUANT."),OR(K126="",M126=0,N126="")),"►",IF(AND(ACOMPANHAMENTO="PLE",ORÇAMENTO!AC126="QUANT."),"►►",IF(AND(COUNTIF($P$11:$AA$11,"▼")=0,H126&gt;0,I126=""),"◄",""))))</f>
        <v>◄</v>
      </c>
      <c r="K126" s="626"/>
      <c r="L126" s="166" t="s">
        <v>765</v>
      </c>
      <c r="M126" s="167">
        <f ca="1">IF($D126&lt;&gt;"Serviço","",
          IF(AUTOEVENTO="manual",$A126,
                IF(ISERROR(MATCH($A126,$A$15:OFFSET($A126,-1,0),0)),MAX($M$15:OFFSET(M126,-1,0))+1,
                      INDEX($M$15:OFFSET(M126,-1,0),MATCH($A126,$A$15:OFFSET($A126,-1,0),0)))))</f>
        <v>10</v>
      </c>
      <c r="N126" s="168" t="str">
        <f ca="1">IF($D126&lt;&gt;"Serviço","",
         IF(AUTOEVENTO="Manual",
                IF($A126=0,"&lt;-- defina o número do agrupador",
                       OFFSET(EVENTOS!$D$15,$A126-$A$15,0)),
                OFFSET($F$15,$A126,0)))</f>
        <v>VOZ E DADOS</v>
      </c>
      <c r="O126" s="169"/>
      <c r="Q126" s="169"/>
      <c r="R126" s="170"/>
      <c r="S126" s="170"/>
      <c r="T126" s="170"/>
      <c r="U126" s="170"/>
      <c r="V126" s="170"/>
      <c r="W126" s="170"/>
      <c r="X126" s="170"/>
      <c r="Y126" s="170"/>
      <c r="Z126" s="171"/>
      <c r="AB126" s="454">
        <f ca="1">IF(AND($D126="Serviço",AB$12&lt;&gt;0,$H126&gt;0,OR(AUTOEVENTO&lt;&gt;"manual",$M126&lt;&gt;$A$15)),
        IF(Import.TipoArredondamento&lt;&gt;"TransfereGOV",
              ROUND(OFFSET($P126,0,AB$13),15-13*ORÇAMENTO!$AF$7)/$H126*OFFSET(ORÇAMENTO!$X$15,ROW(AB126)-ROW(AB$15),0),
              ROUND(ROUND(OFFSET($P126,0,AB$13),15-13*ORÇAMENTO!$AF$7)*OFFSET(ORÇAMENTO!$W$15,ROW(AB126)-ROW(AB$15),0),15-13*ORÇAMENTO!$AF$11)),
         0)</f>
        <v>0</v>
      </c>
      <c r="AC126" s="454">
        <f ca="1">IF(AND($D126="Serviço",AC$12&lt;&gt;0,$H126&gt;0,OR(AUTOEVENTO&lt;&gt;"manual",$M126&lt;&gt;$A$15)),
        IF(Import.TipoArredondamento&lt;&gt;"TransfereGOV",
              ROUND(OFFSET($P126,0,AC$13),15-13*ORÇAMENTO!$AF$7)/$H126*OFFSET(ORÇAMENTO!$X$15,ROW(AC126)-ROW(AC$15),0),
              ROUND(ROUND(OFFSET($P126,0,AC$13),15-13*ORÇAMENTO!$AF$7)*OFFSET(ORÇAMENTO!$W$15,ROW(AC126)-ROW(AC$15),0),15-13*ORÇAMENTO!$AF$11)),
         0)</f>
        <v>0</v>
      </c>
      <c r="AD126" s="454">
        <f ca="1">IF(AND($D126="Serviço",AD$12&lt;&gt;0,$H126&gt;0,OR(AUTOEVENTO&lt;&gt;"manual",$M126&lt;&gt;$A$15)),
        IF(Import.TipoArredondamento&lt;&gt;"TransfereGOV",
              ROUND(OFFSET($P126,0,AD$13),15-13*ORÇAMENTO!$AF$7)/$H126*OFFSET(ORÇAMENTO!$X$15,ROW(AD126)-ROW(AD$15),0),
              ROUND(ROUND(OFFSET($P126,0,AD$13),15-13*ORÇAMENTO!$AF$7)*OFFSET(ORÇAMENTO!$W$15,ROW(AD126)-ROW(AD$15),0),15-13*ORÇAMENTO!$AF$11)),
         0)</f>
        <v>0</v>
      </c>
      <c r="AE126" s="454">
        <f ca="1">IF(AND($D126="Serviço",AE$12&lt;&gt;0,$H126&gt;0,OR(AUTOEVENTO&lt;&gt;"manual",$M126&lt;&gt;$A$15)),
        IF(Import.TipoArredondamento&lt;&gt;"TransfereGOV",
              ROUND(OFFSET($P126,0,AE$13),15-13*ORÇAMENTO!$AF$7)/$H126*OFFSET(ORÇAMENTO!$X$15,ROW(AE126)-ROW(AE$15),0),
              ROUND(ROUND(OFFSET($P126,0,AE$13),15-13*ORÇAMENTO!$AF$7)*OFFSET(ORÇAMENTO!$W$15,ROW(AE126)-ROW(AE$15),0),15-13*ORÇAMENTO!$AF$11)),
         0)</f>
        <v>0</v>
      </c>
      <c r="AF126" s="454">
        <f ca="1">IF(AND($D126="Serviço",AF$12&lt;&gt;0,$H126&gt;0,OR(AUTOEVENTO&lt;&gt;"manual",$M126&lt;&gt;$A$15)),
        IF(Import.TipoArredondamento&lt;&gt;"TransfereGOV",
              ROUND(OFFSET($P126,0,AF$13),15-13*ORÇAMENTO!$AF$7)/$H126*OFFSET(ORÇAMENTO!$X$15,ROW(AF126)-ROW(AF$15),0),
              ROUND(ROUND(OFFSET($P126,0,AF$13),15-13*ORÇAMENTO!$AF$7)*OFFSET(ORÇAMENTO!$W$15,ROW(AF126)-ROW(AF$15),0),15-13*ORÇAMENTO!$AF$11)),
         0)</f>
        <v>0</v>
      </c>
      <c r="AG126" s="454">
        <f ca="1">IF(AND($D126="Serviço",AG$12&lt;&gt;0,$H126&gt;0,OR(AUTOEVENTO&lt;&gt;"manual",$M126&lt;&gt;$A$15)),
        IF(Import.TipoArredondamento&lt;&gt;"TransfereGOV",
              ROUND(OFFSET($P126,0,AG$13),15-13*ORÇAMENTO!$AF$7)/$H126*OFFSET(ORÇAMENTO!$X$15,ROW(AG126)-ROW(AG$15),0),
              ROUND(ROUND(OFFSET($P126,0,AG$13),15-13*ORÇAMENTO!$AF$7)*OFFSET(ORÇAMENTO!$W$15,ROW(AG126)-ROW(AG$15),0),15-13*ORÇAMENTO!$AF$11)),
         0)</f>
        <v>0</v>
      </c>
      <c r="AH126" s="454">
        <f ca="1">IF(AND($D126="Serviço",AH$12&lt;&gt;0,$H126&gt;0,OR(AUTOEVENTO&lt;&gt;"manual",$M126&lt;&gt;$A$15)),
        IF(Import.TipoArredondamento&lt;&gt;"TransfereGOV",
              ROUND(OFFSET($P126,0,AH$13),15-13*ORÇAMENTO!$AF$7)/$H126*OFFSET(ORÇAMENTO!$X$15,ROW(AH126)-ROW(AH$15),0),
              ROUND(ROUND(OFFSET($P126,0,AH$13),15-13*ORÇAMENTO!$AF$7)*OFFSET(ORÇAMENTO!$W$15,ROW(AH126)-ROW(AH$15),0),15-13*ORÇAMENTO!$AF$11)),
         0)</f>
        <v>0</v>
      </c>
      <c r="AI126" s="454">
        <f ca="1">IF(AND($D126="Serviço",AI$12&lt;&gt;0,$H126&gt;0,OR(AUTOEVENTO&lt;&gt;"manual",$M126&lt;&gt;$A$15)),
        IF(Import.TipoArredondamento&lt;&gt;"TransfereGOV",
              ROUND(OFFSET($P126,0,AI$13),15-13*ORÇAMENTO!$AF$7)/$H126*OFFSET(ORÇAMENTO!$X$15,ROW(AI126)-ROW(AI$15),0),
              ROUND(ROUND(OFFSET($P126,0,AI$13),15-13*ORÇAMENTO!$AF$7)*OFFSET(ORÇAMENTO!$W$15,ROW(AI126)-ROW(AI$15),0),15-13*ORÇAMENTO!$AF$11)),
         0)</f>
        <v>0</v>
      </c>
      <c r="AJ126" s="454">
        <f ca="1">IF(AND($D126="Serviço",AJ$12&lt;&gt;0,$H126&gt;0,OR(AUTOEVENTO&lt;&gt;"manual",$M126&lt;&gt;$A$15)),
        IF(Import.TipoArredondamento&lt;&gt;"TransfereGOV",
              ROUND(OFFSET($P126,0,AJ$13),15-13*ORÇAMENTO!$AF$7)/$H126*OFFSET(ORÇAMENTO!$X$15,ROW(AJ126)-ROW(AJ$15),0),
              ROUND(ROUND(OFFSET($P126,0,AJ$13),15-13*ORÇAMENTO!$AF$7)*OFFSET(ORÇAMENTO!$W$15,ROW(AJ126)-ROW(AJ$15),0),15-13*ORÇAMENTO!$AF$11)),
         0)</f>
        <v>0</v>
      </c>
      <c r="AK126" s="454">
        <f ca="1">IF(AND($D126="Serviço",AK$12&lt;&gt;0,$H126&gt;0,OR(AUTOEVENTO&lt;&gt;"manual",$M126&lt;&gt;$A$15)),
        IF(Import.TipoArredondamento&lt;&gt;"TransfereGOV",
              ROUND(OFFSET($P126,0,AK$13),15-13*ORÇAMENTO!$AF$7)/$H126*OFFSET(ORÇAMENTO!$X$15,ROW(AK126)-ROW(AK$15),0),
              ROUND(ROUND(OFFSET($P126,0,AK$13),15-13*ORÇAMENTO!$AF$7)*OFFSET(ORÇAMENTO!$W$15,ROW(AK126)-ROW(AK$15),0),15-13*ORÇAMENTO!$AF$11)),
         0)</f>
        <v>0</v>
      </c>
      <c r="AM126" s="172">
        <f ca="1">IF(OR($D126&lt;&gt;"Serviço",AND(AUTOEVENTO="Manual",$M126=$A$15)),0,
         IF(OFFSET(CRONOPLE!$F$15,$M126-$A$15,AM$13)="",10^12,OFFSET(CRONOPLE!$F$15,$M126-$A$15,AM$13)))</f>
        <v>1000000000000</v>
      </c>
      <c r="AN126" s="172">
        <f ca="1">IF(OR($D126&lt;&gt;"Serviço",AND(AUTOEVENTO="Manual",$M126=$A$15)),0,
         IF(OFFSET(CRONOPLE!$F$15,$M126-$A$15,AN$13)="",10^12,OFFSET(CRONOPLE!$F$15,$M126-$A$15,AN$13)))</f>
        <v>1000000000000</v>
      </c>
      <c r="AO126" s="172">
        <f ca="1">IF(OR($D126&lt;&gt;"Serviço",AND(AUTOEVENTO="Manual",$M126=$A$15)),0,
         IF(OFFSET(CRONOPLE!$F$15,$M126-$A$15,AO$13)="",10^12,OFFSET(CRONOPLE!$F$15,$M126-$A$15,AO$13)))</f>
        <v>1000000000000</v>
      </c>
      <c r="AP126" s="172">
        <f ca="1">IF(OR($D126&lt;&gt;"Serviço",AND(AUTOEVENTO="Manual",$M126=$A$15)),0,
         IF(OFFSET(CRONOPLE!$F$15,$M126-$A$15,AP$13)="",10^12,OFFSET(CRONOPLE!$F$15,$M126-$A$15,AP$13)))</f>
        <v>1000000000000</v>
      </c>
      <c r="AQ126" s="172">
        <f ca="1">IF(OR($D126&lt;&gt;"Serviço",AND(AUTOEVENTO="Manual",$M126=$A$15)),0,
         IF(OFFSET(CRONOPLE!$F$15,$M126-$A$15,AQ$13)="",10^12,OFFSET(CRONOPLE!$F$15,$M126-$A$15,AQ$13)))</f>
        <v>1000000000000</v>
      </c>
      <c r="AR126" s="172">
        <f ca="1">IF(OR($D126&lt;&gt;"Serviço",AND(AUTOEVENTO="Manual",$M126=$A$15)),0,
         IF(OFFSET(CRONOPLE!$F$15,$M126-$A$15,AR$13)="",10^12,OFFSET(CRONOPLE!$F$15,$M126-$A$15,AR$13)))</f>
        <v>1000000000000</v>
      </c>
      <c r="AS126" s="172">
        <f ca="1">IF(OR($D126&lt;&gt;"Serviço",AND(AUTOEVENTO="Manual",$M126=$A$15)),0,
         IF(OFFSET(CRONOPLE!$F$15,$M126-$A$15,AS$13)="",10^12,OFFSET(CRONOPLE!$F$15,$M126-$A$15,AS$13)))</f>
        <v>1000000000000</v>
      </c>
      <c r="AT126" s="172">
        <f ca="1">IF(OR($D126&lt;&gt;"Serviço",AND(AUTOEVENTO="Manual",$M126=$A$15)),0,
         IF(OFFSET(CRONOPLE!$F$15,$M126-$A$15,AT$13)="",10^12,OFFSET(CRONOPLE!$F$15,$M126-$A$15,AT$13)))</f>
        <v>1000000000000</v>
      </c>
      <c r="AU126" s="172">
        <f ca="1">IF(OR($D126&lt;&gt;"Serviço",AND(AUTOEVENTO="Manual",$M126=$A$15)),0,
         IF(OFFSET(CRONOPLE!$F$15,$M126-$A$15,AU$13)="",10^12,OFFSET(CRONOPLE!$F$15,$M126-$A$15,AU$13)))</f>
        <v>1000000000000</v>
      </c>
      <c r="AV126" s="172">
        <f ca="1">IF(OR($D126&lt;&gt;"Serviço",AND(AUTOEVENTO="Manual",$M126=$A$15)),0,
         IF(OFFSET(CRONOPLE!$F$15,$M126-$A$15,AV$13)="",10^12,OFFSET(CRONOPLE!$F$15,$M126-$A$15,AV$13)))</f>
        <v>1000000000000</v>
      </c>
      <c r="AX126" s="173">
        <f ca="1">IF(OR($D126&lt;&gt;"Serviço",AND(AUTOEVENTO="Manual",$M126=$A$15),$M126&gt;(ROW(PLE.lastrow)-ROW(PLE.firstrow))),0,
           IF(OFFSET(PLE!$G$15,$M126-$A$15,AX$13)="",10^12,OFFSET(PLE!$G$15,$M126-$A$15,AX$13)))</f>
        <v>1000000000000</v>
      </c>
      <c r="AY126" s="173">
        <f ca="1">IF(OR($D126&lt;&gt;"Serviço",AND(AUTOEVENTO="Manual",$M126=$A$15),$M126&gt;(ROW(PLE.lastrow)-ROW(PLE.firstrow))),0,
           IF(OFFSET(PLE!$G$15,$M126-$A$15,AY$13)="",10^12,OFFSET(PLE!$G$15,$M126-$A$15,AY$13)))</f>
        <v>1000000000000</v>
      </c>
      <c r="AZ126" s="173">
        <f ca="1">IF(OR($D126&lt;&gt;"Serviço",AND(AUTOEVENTO="Manual",$M126=$A$15),$M126&gt;(ROW(PLE.lastrow)-ROW(PLE.firstrow))),0,
           IF(OFFSET(PLE!$G$15,$M126-$A$15,AZ$13)="",10^12,OFFSET(PLE!$G$15,$M126-$A$15,AZ$13)))</f>
        <v>1000000000000</v>
      </c>
      <c r="BA126" s="173">
        <f ca="1">IF(OR($D126&lt;&gt;"Serviço",AND(AUTOEVENTO="Manual",$M126=$A$15),$M126&gt;(ROW(PLE.lastrow)-ROW(PLE.firstrow))),0,
           IF(OFFSET(PLE!$G$15,$M126-$A$15,BA$13)="",10^12,OFFSET(PLE!$G$15,$M126-$A$15,BA$13)))</f>
        <v>1000000000000</v>
      </c>
      <c r="BB126" s="173">
        <f ca="1">IF(OR($D126&lt;&gt;"Serviço",AND(AUTOEVENTO="Manual",$M126=$A$15),$M126&gt;(ROW(PLE.lastrow)-ROW(PLE.firstrow))),0,
           IF(OFFSET(PLE!$G$15,$M126-$A$15,BB$13)="",10^12,OFFSET(PLE!$G$15,$M126-$A$15,BB$13)))</f>
        <v>1000000000000</v>
      </c>
      <c r="BC126" s="173">
        <f ca="1">IF(OR($D126&lt;&gt;"Serviço",AND(AUTOEVENTO="Manual",$M126=$A$15),$M126&gt;(ROW(PLE.lastrow)-ROW(PLE.firstrow))),0,
           IF(OFFSET(PLE!$G$15,$M126-$A$15,BC$13)="",10^12,OFFSET(PLE!$G$15,$M126-$A$15,BC$13)))</f>
        <v>1000000000000</v>
      </c>
      <c r="BD126" s="173">
        <f ca="1">IF(OR($D126&lt;&gt;"Serviço",AND(AUTOEVENTO="Manual",$M126=$A$15),$M126&gt;(ROW(PLE.lastrow)-ROW(PLE.firstrow))),0,
           IF(OFFSET(PLE!$G$15,$M126-$A$15,BD$13)="",10^12,OFFSET(PLE!$G$15,$M126-$A$15,BD$13)))</f>
        <v>1000000000000</v>
      </c>
      <c r="BE126" s="173">
        <f ca="1">IF(OR($D126&lt;&gt;"Serviço",AND(AUTOEVENTO="Manual",$M126=$A$15),$M126&gt;(ROW(PLE.lastrow)-ROW(PLE.firstrow))),0,
           IF(OFFSET(PLE!$G$15,$M126-$A$15,BE$13)="",10^12,OFFSET(PLE!$G$15,$M126-$A$15,BE$13)))</f>
        <v>1000000000000</v>
      </c>
      <c r="BF126" s="173">
        <f ca="1">IF(OR($D126&lt;&gt;"Serviço",AND(AUTOEVENTO="Manual",$M126=$A$15),$M126&gt;(ROW(PLE.lastrow)-ROW(PLE.firstrow))),0,
           IF(OFFSET(PLE!$G$15,$M126-$A$15,BF$13)="",10^12,OFFSET(PLE!$G$15,$M126-$A$15,BF$13)))</f>
        <v>1000000000000</v>
      </c>
      <c r="BG126" s="173">
        <f ca="1">IF(OR($D126&lt;&gt;"Serviço",AND(AUTOEVENTO="Manual",$M126=$A$15),$M126&gt;(ROW(PLE.lastrow)-ROW(PLE.firstrow))),0,
           IF(OFFSET(PLE!$G$15,$M126-$A$15,BG$13)="",10^12,OFFSET(PLE!$G$15,$M126-$A$15,BG$13)))</f>
        <v>1000000000000</v>
      </c>
    </row>
    <row r="127" spans="1:59" ht="38.25" x14ac:dyDescent="0.2">
      <c r="A127" s="7" t="str">
        <f t="shared" ca="1" si="9"/>
        <v>100</v>
      </c>
      <c r="B127" s="7" t="str">
        <f ca="1">OFFSET(ORÇAMENTO!C$15,ROW(B127)-ROW(B$15),0)</f>
        <v>S</v>
      </c>
      <c r="C127" s="7" t="str">
        <f ca="1">OFFSET(ORÇAMENTO!L$15,ROW(C127)-ROW(C$15),0)</f>
        <v/>
      </c>
      <c r="D127" s="117" t="str">
        <f ca="1">OFFSET(ORÇAMENTO!N$15,ROW(D127)-ROW(D$15),0)</f>
        <v>Serviço</v>
      </c>
      <c r="E127" s="118" t="str">
        <f ca="1">OFFSET(ORÇAMENTO!O$15,ROW(E127)-ROW(E$15),0)</f>
        <v>-</v>
      </c>
      <c r="F127" s="164" t="str">
        <f ca="1">OFFSET(ORÇAMENTO!R$15,ROW(F127)-ROW(F$15),0)</f>
        <v>ELETRODUTO FLEXÍVEL CORRUGADO REFORÇADO, PVC, DN 32 MM (1"), PARA CIRCUITOS TERMINAIS, INSTALADO EM FORRO - FORNECIMENTO E INSTALAÇÃO. AF_03/2023_PA</v>
      </c>
      <c r="G127" s="165" t="str">
        <f ca="1">IF($D127&lt;&gt;"Serviço","",OFFSET(ORÇAMENTO!S$15,ROW(G127)-ROW(G$15),0))</f>
        <v>M</v>
      </c>
      <c r="H127" s="123">
        <f ca="1">IF($D127&lt;&gt;"Serviço",0,IF(ACOMPANHAMENTO="BM",ROUND(OFFSET(ORÇAMENTO!AJ$15,ROW(H127)-ROW(H$15),0),15-13*ORÇAMENTO!$AF$7),SUMPRODUCT(($Q$1:$AA$1=1)*ROUND($Q127:$AA127,15-13*ORÇAMENTO!$AF$7))))</f>
        <v>80</v>
      </c>
      <c r="I127" s="469"/>
      <c r="J127" s="577" t="str" cm="1">
        <f t="array" aca="1" ref="J127" ca="1">IF(B127&lt;&gt;"S","",IF(AND(ACOMPANHAMENTO="PLE",AUTOEVENTO="Manual",OR(H127&gt;0,ORÇAMENTO!AC127="QUANT."),OR(K127="",M127=0,N127="")),"►",IF(AND(ACOMPANHAMENTO="PLE",ORÇAMENTO!AC127="QUANT."),"►►",IF(AND(COUNTIF($P$11:$AA$11,"▼")=0,H127&gt;0,I127=""),"◄",""))))</f>
        <v>◄</v>
      </c>
      <c r="K127" s="626"/>
      <c r="L127" s="166" t="s">
        <v>765</v>
      </c>
      <c r="M127" s="167">
        <f ca="1">IF($D127&lt;&gt;"Serviço","",
          IF(AUTOEVENTO="manual",$A127,
                IF(ISERROR(MATCH($A127,$A$15:OFFSET($A127,-1,0),0)),MAX($M$15:OFFSET(M127,-1,0))+1,
                      INDEX($M$15:OFFSET(M127,-1,0),MATCH($A127,$A$15:OFFSET($A127,-1,0),0)))))</f>
        <v>10</v>
      </c>
      <c r="N127" s="168" t="str">
        <f ca="1">IF($D127&lt;&gt;"Serviço","",
         IF(AUTOEVENTO="Manual",
                IF($A127=0,"&lt;-- defina o número do agrupador",
                       OFFSET(EVENTOS!$D$15,$A127-$A$15,0)),
                OFFSET($F$15,$A127,0)))</f>
        <v>VOZ E DADOS</v>
      </c>
      <c r="O127" s="169"/>
      <c r="Q127" s="169"/>
      <c r="R127" s="170"/>
      <c r="S127" s="170"/>
      <c r="T127" s="170"/>
      <c r="U127" s="170"/>
      <c r="V127" s="170"/>
      <c r="W127" s="170"/>
      <c r="X127" s="170"/>
      <c r="Y127" s="170"/>
      <c r="Z127" s="171"/>
      <c r="AB127" s="454">
        <f ca="1">IF(AND($D127="Serviço",AB$12&lt;&gt;0,$H127&gt;0,OR(AUTOEVENTO&lt;&gt;"manual",$M127&lt;&gt;$A$15)),
        IF(Import.TipoArredondamento&lt;&gt;"TransfereGOV",
              ROUND(OFFSET($P127,0,AB$13),15-13*ORÇAMENTO!$AF$7)/$H127*OFFSET(ORÇAMENTO!$X$15,ROW(AB127)-ROW(AB$15),0),
              ROUND(ROUND(OFFSET($P127,0,AB$13),15-13*ORÇAMENTO!$AF$7)*OFFSET(ORÇAMENTO!$W$15,ROW(AB127)-ROW(AB$15),0),15-13*ORÇAMENTO!$AF$11)),
         0)</f>
        <v>0</v>
      </c>
      <c r="AC127" s="454">
        <f ca="1">IF(AND($D127="Serviço",AC$12&lt;&gt;0,$H127&gt;0,OR(AUTOEVENTO&lt;&gt;"manual",$M127&lt;&gt;$A$15)),
        IF(Import.TipoArredondamento&lt;&gt;"TransfereGOV",
              ROUND(OFFSET($P127,0,AC$13),15-13*ORÇAMENTO!$AF$7)/$H127*OFFSET(ORÇAMENTO!$X$15,ROW(AC127)-ROW(AC$15),0),
              ROUND(ROUND(OFFSET($P127,0,AC$13),15-13*ORÇAMENTO!$AF$7)*OFFSET(ORÇAMENTO!$W$15,ROW(AC127)-ROW(AC$15),0),15-13*ORÇAMENTO!$AF$11)),
         0)</f>
        <v>0</v>
      </c>
      <c r="AD127" s="454">
        <f ca="1">IF(AND($D127="Serviço",AD$12&lt;&gt;0,$H127&gt;0,OR(AUTOEVENTO&lt;&gt;"manual",$M127&lt;&gt;$A$15)),
        IF(Import.TipoArredondamento&lt;&gt;"TransfereGOV",
              ROUND(OFFSET($P127,0,AD$13),15-13*ORÇAMENTO!$AF$7)/$H127*OFFSET(ORÇAMENTO!$X$15,ROW(AD127)-ROW(AD$15),0),
              ROUND(ROUND(OFFSET($P127,0,AD$13),15-13*ORÇAMENTO!$AF$7)*OFFSET(ORÇAMENTO!$W$15,ROW(AD127)-ROW(AD$15),0),15-13*ORÇAMENTO!$AF$11)),
         0)</f>
        <v>0</v>
      </c>
      <c r="AE127" s="454">
        <f ca="1">IF(AND($D127="Serviço",AE$12&lt;&gt;0,$H127&gt;0,OR(AUTOEVENTO&lt;&gt;"manual",$M127&lt;&gt;$A$15)),
        IF(Import.TipoArredondamento&lt;&gt;"TransfereGOV",
              ROUND(OFFSET($P127,0,AE$13),15-13*ORÇAMENTO!$AF$7)/$H127*OFFSET(ORÇAMENTO!$X$15,ROW(AE127)-ROW(AE$15),0),
              ROUND(ROUND(OFFSET($P127,0,AE$13),15-13*ORÇAMENTO!$AF$7)*OFFSET(ORÇAMENTO!$W$15,ROW(AE127)-ROW(AE$15),0),15-13*ORÇAMENTO!$AF$11)),
         0)</f>
        <v>0</v>
      </c>
      <c r="AF127" s="454">
        <f ca="1">IF(AND($D127="Serviço",AF$12&lt;&gt;0,$H127&gt;0,OR(AUTOEVENTO&lt;&gt;"manual",$M127&lt;&gt;$A$15)),
        IF(Import.TipoArredondamento&lt;&gt;"TransfereGOV",
              ROUND(OFFSET($P127,0,AF$13),15-13*ORÇAMENTO!$AF$7)/$H127*OFFSET(ORÇAMENTO!$X$15,ROW(AF127)-ROW(AF$15),0),
              ROUND(ROUND(OFFSET($P127,0,AF$13),15-13*ORÇAMENTO!$AF$7)*OFFSET(ORÇAMENTO!$W$15,ROW(AF127)-ROW(AF$15),0),15-13*ORÇAMENTO!$AF$11)),
         0)</f>
        <v>0</v>
      </c>
      <c r="AG127" s="454">
        <f ca="1">IF(AND($D127="Serviço",AG$12&lt;&gt;0,$H127&gt;0,OR(AUTOEVENTO&lt;&gt;"manual",$M127&lt;&gt;$A$15)),
        IF(Import.TipoArredondamento&lt;&gt;"TransfereGOV",
              ROUND(OFFSET($P127,0,AG$13),15-13*ORÇAMENTO!$AF$7)/$H127*OFFSET(ORÇAMENTO!$X$15,ROW(AG127)-ROW(AG$15),0),
              ROUND(ROUND(OFFSET($P127,0,AG$13),15-13*ORÇAMENTO!$AF$7)*OFFSET(ORÇAMENTO!$W$15,ROW(AG127)-ROW(AG$15),0),15-13*ORÇAMENTO!$AF$11)),
         0)</f>
        <v>0</v>
      </c>
      <c r="AH127" s="454">
        <f ca="1">IF(AND($D127="Serviço",AH$12&lt;&gt;0,$H127&gt;0,OR(AUTOEVENTO&lt;&gt;"manual",$M127&lt;&gt;$A$15)),
        IF(Import.TipoArredondamento&lt;&gt;"TransfereGOV",
              ROUND(OFFSET($P127,0,AH$13),15-13*ORÇAMENTO!$AF$7)/$H127*OFFSET(ORÇAMENTO!$X$15,ROW(AH127)-ROW(AH$15),0),
              ROUND(ROUND(OFFSET($P127,0,AH$13),15-13*ORÇAMENTO!$AF$7)*OFFSET(ORÇAMENTO!$W$15,ROW(AH127)-ROW(AH$15),0),15-13*ORÇAMENTO!$AF$11)),
         0)</f>
        <v>0</v>
      </c>
      <c r="AI127" s="454">
        <f ca="1">IF(AND($D127="Serviço",AI$12&lt;&gt;0,$H127&gt;0,OR(AUTOEVENTO&lt;&gt;"manual",$M127&lt;&gt;$A$15)),
        IF(Import.TipoArredondamento&lt;&gt;"TransfereGOV",
              ROUND(OFFSET($P127,0,AI$13),15-13*ORÇAMENTO!$AF$7)/$H127*OFFSET(ORÇAMENTO!$X$15,ROW(AI127)-ROW(AI$15),0),
              ROUND(ROUND(OFFSET($P127,0,AI$13),15-13*ORÇAMENTO!$AF$7)*OFFSET(ORÇAMENTO!$W$15,ROW(AI127)-ROW(AI$15),0),15-13*ORÇAMENTO!$AF$11)),
         0)</f>
        <v>0</v>
      </c>
      <c r="AJ127" s="454">
        <f ca="1">IF(AND($D127="Serviço",AJ$12&lt;&gt;0,$H127&gt;0,OR(AUTOEVENTO&lt;&gt;"manual",$M127&lt;&gt;$A$15)),
        IF(Import.TipoArredondamento&lt;&gt;"TransfereGOV",
              ROUND(OFFSET($P127,0,AJ$13),15-13*ORÇAMENTO!$AF$7)/$H127*OFFSET(ORÇAMENTO!$X$15,ROW(AJ127)-ROW(AJ$15),0),
              ROUND(ROUND(OFFSET($P127,0,AJ$13),15-13*ORÇAMENTO!$AF$7)*OFFSET(ORÇAMENTO!$W$15,ROW(AJ127)-ROW(AJ$15),0),15-13*ORÇAMENTO!$AF$11)),
         0)</f>
        <v>0</v>
      </c>
      <c r="AK127" s="454">
        <f ca="1">IF(AND($D127="Serviço",AK$12&lt;&gt;0,$H127&gt;0,OR(AUTOEVENTO&lt;&gt;"manual",$M127&lt;&gt;$A$15)),
        IF(Import.TipoArredondamento&lt;&gt;"TransfereGOV",
              ROUND(OFFSET($P127,0,AK$13),15-13*ORÇAMENTO!$AF$7)/$H127*OFFSET(ORÇAMENTO!$X$15,ROW(AK127)-ROW(AK$15),0),
              ROUND(ROUND(OFFSET($P127,0,AK$13),15-13*ORÇAMENTO!$AF$7)*OFFSET(ORÇAMENTO!$W$15,ROW(AK127)-ROW(AK$15),0),15-13*ORÇAMENTO!$AF$11)),
         0)</f>
        <v>0</v>
      </c>
      <c r="AM127" s="172">
        <f ca="1">IF(OR($D127&lt;&gt;"Serviço",AND(AUTOEVENTO="Manual",$M127=$A$15)),0,
         IF(OFFSET(CRONOPLE!$F$15,$M127-$A$15,AM$13)="",10^12,OFFSET(CRONOPLE!$F$15,$M127-$A$15,AM$13)))</f>
        <v>1000000000000</v>
      </c>
      <c r="AN127" s="172">
        <f ca="1">IF(OR($D127&lt;&gt;"Serviço",AND(AUTOEVENTO="Manual",$M127=$A$15)),0,
         IF(OFFSET(CRONOPLE!$F$15,$M127-$A$15,AN$13)="",10^12,OFFSET(CRONOPLE!$F$15,$M127-$A$15,AN$13)))</f>
        <v>1000000000000</v>
      </c>
      <c r="AO127" s="172">
        <f ca="1">IF(OR($D127&lt;&gt;"Serviço",AND(AUTOEVENTO="Manual",$M127=$A$15)),0,
         IF(OFFSET(CRONOPLE!$F$15,$M127-$A$15,AO$13)="",10^12,OFFSET(CRONOPLE!$F$15,$M127-$A$15,AO$13)))</f>
        <v>1000000000000</v>
      </c>
      <c r="AP127" s="172">
        <f ca="1">IF(OR($D127&lt;&gt;"Serviço",AND(AUTOEVENTO="Manual",$M127=$A$15)),0,
         IF(OFFSET(CRONOPLE!$F$15,$M127-$A$15,AP$13)="",10^12,OFFSET(CRONOPLE!$F$15,$M127-$A$15,AP$13)))</f>
        <v>1000000000000</v>
      </c>
      <c r="AQ127" s="172">
        <f ca="1">IF(OR($D127&lt;&gt;"Serviço",AND(AUTOEVENTO="Manual",$M127=$A$15)),0,
         IF(OFFSET(CRONOPLE!$F$15,$M127-$A$15,AQ$13)="",10^12,OFFSET(CRONOPLE!$F$15,$M127-$A$15,AQ$13)))</f>
        <v>1000000000000</v>
      </c>
      <c r="AR127" s="172">
        <f ca="1">IF(OR($D127&lt;&gt;"Serviço",AND(AUTOEVENTO="Manual",$M127=$A$15)),0,
         IF(OFFSET(CRONOPLE!$F$15,$M127-$A$15,AR$13)="",10^12,OFFSET(CRONOPLE!$F$15,$M127-$A$15,AR$13)))</f>
        <v>1000000000000</v>
      </c>
      <c r="AS127" s="172">
        <f ca="1">IF(OR($D127&lt;&gt;"Serviço",AND(AUTOEVENTO="Manual",$M127=$A$15)),0,
         IF(OFFSET(CRONOPLE!$F$15,$M127-$A$15,AS$13)="",10^12,OFFSET(CRONOPLE!$F$15,$M127-$A$15,AS$13)))</f>
        <v>1000000000000</v>
      </c>
      <c r="AT127" s="172">
        <f ca="1">IF(OR($D127&lt;&gt;"Serviço",AND(AUTOEVENTO="Manual",$M127=$A$15)),0,
         IF(OFFSET(CRONOPLE!$F$15,$M127-$A$15,AT$13)="",10^12,OFFSET(CRONOPLE!$F$15,$M127-$A$15,AT$13)))</f>
        <v>1000000000000</v>
      </c>
      <c r="AU127" s="172">
        <f ca="1">IF(OR($D127&lt;&gt;"Serviço",AND(AUTOEVENTO="Manual",$M127=$A$15)),0,
         IF(OFFSET(CRONOPLE!$F$15,$M127-$A$15,AU$13)="",10^12,OFFSET(CRONOPLE!$F$15,$M127-$A$15,AU$13)))</f>
        <v>1000000000000</v>
      </c>
      <c r="AV127" s="172">
        <f ca="1">IF(OR($D127&lt;&gt;"Serviço",AND(AUTOEVENTO="Manual",$M127=$A$15)),0,
         IF(OFFSET(CRONOPLE!$F$15,$M127-$A$15,AV$13)="",10^12,OFFSET(CRONOPLE!$F$15,$M127-$A$15,AV$13)))</f>
        <v>1000000000000</v>
      </c>
      <c r="AX127" s="173">
        <f ca="1">IF(OR($D127&lt;&gt;"Serviço",AND(AUTOEVENTO="Manual",$M127=$A$15),$M127&gt;(ROW(PLE.lastrow)-ROW(PLE.firstrow))),0,
           IF(OFFSET(PLE!$G$15,$M127-$A$15,AX$13)="",10^12,OFFSET(PLE!$G$15,$M127-$A$15,AX$13)))</f>
        <v>1000000000000</v>
      </c>
      <c r="AY127" s="173">
        <f ca="1">IF(OR($D127&lt;&gt;"Serviço",AND(AUTOEVENTO="Manual",$M127=$A$15),$M127&gt;(ROW(PLE.lastrow)-ROW(PLE.firstrow))),0,
           IF(OFFSET(PLE!$G$15,$M127-$A$15,AY$13)="",10^12,OFFSET(PLE!$G$15,$M127-$A$15,AY$13)))</f>
        <v>1000000000000</v>
      </c>
      <c r="AZ127" s="173">
        <f ca="1">IF(OR($D127&lt;&gt;"Serviço",AND(AUTOEVENTO="Manual",$M127=$A$15),$M127&gt;(ROW(PLE.lastrow)-ROW(PLE.firstrow))),0,
           IF(OFFSET(PLE!$G$15,$M127-$A$15,AZ$13)="",10^12,OFFSET(PLE!$G$15,$M127-$A$15,AZ$13)))</f>
        <v>1000000000000</v>
      </c>
      <c r="BA127" s="173">
        <f ca="1">IF(OR($D127&lt;&gt;"Serviço",AND(AUTOEVENTO="Manual",$M127=$A$15),$M127&gt;(ROW(PLE.lastrow)-ROW(PLE.firstrow))),0,
           IF(OFFSET(PLE!$G$15,$M127-$A$15,BA$13)="",10^12,OFFSET(PLE!$G$15,$M127-$A$15,BA$13)))</f>
        <v>1000000000000</v>
      </c>
      <c r="BB127" s="173">
        <f ca="1">IF(OR($D127&lt;&gt;"Serviço",AND(AUTOEVENTO="Manual",$M127=$A$15),$M127&gt;(ROW(PLE.lastrow)-ROW(PLE.firstrow))),0,
           IF(OFFSET(PLE!$G$15,$M127-$A$15,BB$13)="",10^12,OFFSET(PLE!$G$15,$M127-$A$15,BB$13)))</f>
        <v>1000000000000</v>
      </c>
      <c r="BC127" s="173">
        <f ca="1">IF(OR($D127&lt;&gt;"Serviço",AND(AUTOEVENTO="Manual",$M127=$A$15),$M127&gt;(ROW(PLE.lastrow)-ROW(PLE.firstrow))),0,
           IF(OFFSET(PLE!$G$15,$M127-$A$15,BC$13)="",10^12,OFFSET(PLE!$G$15,$M127-$A$15,BC$13)))</f>
        <v>1000000000000</v>
      </c>
      <c r="BD127" s="173">
        <f ca="1">IF(OR($D127&lt;&gt;"Serviço",AND(AUTOEVENTO="Manual",$M127=$A$15),$M127&gt;(ROW(PLE.lastrow)-ROW(PLE.firstrow))),0,
           IF(OFFSET(PLE!$G$15,$M127-$A$15,BD$13)="",10^12,OFFSET(PLE!$G$15,$M127-$A$15,BD$13)))</f>
        <v>1000000000000</v>
      </c>
      <c r="BE127" s="173">
        <f ca="1">IF(OR($D127&lt;&gt;"Serviço",AND(AUTOEVENTO="Manual",$M127=$A$15),$M127&gt;(ROW(PLE.lastrow)-ROW(PLE.firstrow))),0,
           IF(OFFSET(PLE!$G$15,$M127-$A$15,BE$13)="",10^12,OFFSET(PLE!$G$15,$M127-$A$15,BE$13)))</f>
        <v>1000000000000</v>
      </c>
      <c r="BF127" s="173">
        <f ca="1">IF(OR($D127&lt;&gt;"Serviço",AND(AUTOEVENTO="Manual",$M127=$A$15),$M127&gt;(ROW(PLE.lastrow)-ROW(PLE.firstrow))),0,
           IF(OFFSET(PLE!$G$15,$M127-$A$15,BF$13)="",10^12,OFFSET(PLE!$G$15,$M127-$A$15,BF$13)))</f>
        <v>1000000000000</v>
      </c>
      <c r="BG127" s="173">
        <f ca="1">IF(OR($D127&lt;&gt;"Serviço",AND(AUTOEVENTO="Manual",$M127=$A$15),$M127&gt;(ROW(PLE.lastrow)-ROW(PLE.firstrow))),0,
           IF(OFFSET(PLE!$G$15,$M127-$A$15,BG$13)="",10^12,OFFSET(PLE!$G$15,$M127-$A$15,BG$13)))</f>
        <v>1000000000000</v>
      </c>
    </row>
    <row r="128" spans="1:59" ht="12.75" x14ac:dyDescent="0.2">
      <c r="A128" s="7" t="str">
        <f t="shared" ca="1" si="9"/>
        <v>100</v>
      </c>
      <c r="B128" s="7" t="str">
        <f ca="1">OFFSET(ORÇAMENTO!C$15,ROW(B128)-ROW(B$15),0)</f>
        <v>S</v>
      </c>
      <c r="C128" s="7" t="str">
        <f ca="1">OFFSET(ORÇAMENTO!L$15,ROW(C128)-ROW(C$15),0)</f>
        <v/>
      </c>
      <c r="D128" s="117" t="str">
        <f ca="1">OFFSET(ORÇAMENTO!N$15,ROW(D128)-ROW(D$15),0)</f>
        <v>Serviço</v>
      </c>
      <c r="E128" s="118" t="str">
        <f ca="1">OFFSET(ORÇAMENTO!O$15,ROW(E128)-ROW(E$15),0)</f>
        <v>-</v>
      </c>
      <c r="F128" s="164" t="str">
        <f ca="1">OFFSET(ORÇAMENTO!R$15,ROW(F128)-ROW(F$15),0)</f>
        <v>ELETRICISTA COM ENCARGOS COMPLEMENTARES</v>
      </c>
      <c r="G128" s="165" t="str">
        <f ca="1">IF($D128&lt;&gt;"Serviço","",OFFSET(ORÇAMENTO!S$15,ROW(G128)-ROW(G$15),0))</f>
        <v>H</v>
      </c>
      <c r="H128" s="123">
        <f ca="1">IF($D128&lt;&gt;"Serviço",0,IF(ACOMPANHAMENTO="BM",ROUND(OFFSET(ORÇAMENTO!AJ$15,ROW(H128)-ROW(H$15),0),15-13*ORÇAMENTO!$AF$7),SUMPRODUCT(($Q$1:$AA$1=1)*ROUND($Q128:$AA128,15-13*ORÇAMENTO!$AF$7))))</f>
        <v>12</v>
      </c>
      <c r="I128" s="469"/>
      <c r="J128" s="577" t="str" cm="1">
        <f t="array" aca="1" ref="J128" ca="1">IF(B128&lt;&gt;"S","",IF(AND(ACOMPANHAMENTO="PLE",AUTOEVENTO="Manual",OR(H128&gt;0,ORÇAMENTO!AC128="QUANT."),OR(K128="",M128=0,N128="")),"►",IF(AND(ACOMPANHAMENTO="PLE",ORÇAMENTO!AC128="QUANT."),"►►",IF(AND(COUNTIF($P$11:$AA$11,"▼")=0,H128&gt;0,I128=""),"◄",""))))</f>
        <v>◄</v>
      </c>
      <c r="K128" s="626"/>
      <c r="L128" s="166" t="s">
        <v>765</v>
      </c>
      <c r="M128" s="167">
        <f ca="1">IF($D128&lt;&gt;"Serviço","",
          IF(AUTOEVENTO="manual",$A128,
                IF(ISERROR(MATCH($A128,$A$15:OFFSET($A128,-1,0),0)),MAX($M$15:OFFSET(M128,-1,0))+1,
                      INDEX($M$15:OFFSET(M128,-1,0),MATCH($A128,$A$15:OFFSET($A128,-1,0),0)))))</f>
        <v>10</v>
      </c>
      <c r="N128" s="168" t="str">
        <f ca="1">IF($D128&lt;&gt;"Serviço","",
         IF(AUTOEVENTO="Manual",
                IF($A128=0,"&lt;-- defina o número do agrupador",
                       OFFSET(EVENTOS!$D$15,$A128-$A$15,0)),
                OFFSET($F$15,$A128,0)))</f>
        <v>VOZ E DADOS</v>
      </c>
      <c r="O128" s="169"/>
      <c r="Q128" s="169"/>
      <c r="R128" s="170"/>
      <c r="S128" s="170"/>
      <c r="T128" s="170"/>
      <c r="U128" s="170"/>
      <c r="V128" s="170"/>
      <c r="W128" s="170"/>
      <c r="X128" s="170"/>
      <c r="Y128" s="170"/>
      <c r="Z128" s="171"/>
      <c r="AB128" s="454">
        <f ca="1">IF(AND($D128="Serviço",AB$12&lt;&gt;0,$H128&gt;0,OR(AUTOEVENTO&lt;&gt;"manual",$M128&lt;&gt;$A$15)),
        IF(Import.TipoArredondamento&lt;&gt;"TransfereGOV",
              ROUND(OFFSET($P128,0,AB$13),15-13*ORÇAMENTO!$AF$7)/$H128*OFFSET(ORÇAMENTO!$X$15,ROW(AB128)-ROW(AB$15),0),
              ROUND(ROUND(OFFSET($P128,0,AB$13),15-13*ORÇAMENTO!$AF$7)*OFFSET(ORÇAMENTO!$W$15,ROW(AB128)-ROW(AB$15),0),15-13*ORÇAMENTO!$AF$11)),
         0)</f>
        <v>0</v>
      </c>
      <c r="AC128" s="454">
        <f ca="1">IF(AND($D128="Serviço",AC$12&lt;&gt;0,$H128&gt;0,OR(AUTOEVENTO&lt;&gt;"manual",$M128&lt;&gt;$A$15)),
        IF(Import.TipoArredondamento&lt;&gt;"TransfereGOV",
              ROUND(OFFSET($P128,0,AC$13),15-13*ORÇAMENTO!$AF$7)/$H128*OFFSET(ORÇAMENTO!$X$15,ROW(AC128)-ROW(AC$15),0),
              ROUND(ROUND(OFFSET($P128,0,AC$13),15-13*ORÇAMENTO!$AF$7)*OFFSET(ORÇAMENTO!$W$15,ROW(AC128)-ROW(AC$15),0),15-13*ORÇAMENTO!$AF$11)),
         0)</f>
        <v>0</v>
      </c>
      <c r="AD128" s="454">
        <f ca="1">IF(AND($D128="Serviço",AD$12&lt;&gt;0,$H128&gt;0,OR(AUTOEVENTO&lt;&gt;"manual",$M128&lt;&gt;$A$15)),
        IF(Import.TipoArredondamento&lt;&gt;"TransfereGOV",
              ROUND(OFFSET($P128,0,AD$13),15-13*ORÇAMENTO!$AF$7)/$H128*OFFSET(ORÇAMENTO!$X$15,ROW(AD128)-ROW(AD$15),0),
              ROUND(ROUND(OFFSET($P128,0,AD$13),15-13*ORÇAMENTO!$AF$7)*OFFSET(ORÇAMENTO!$W$15,ROW(AD128)-ROW(AD$15),0),15-13*ORÇAMENTO!$AF$11)),
         0)</f>
        <v>0</v>
      </c>
      <c r="AE128" s="454">
        <f ca="1">IF(AND($D128="Serviço",AE$12&lt;&gt;0,$H128&gt;0,OR(AUTOEVENTO&lt;&gt;"manual",$M128&lt;&gt;$A$15)),
        IF(Import.TipoArredondamento&lt;&gt;"TransfereGOV",
              ROUND(OFFSET($P128,0,AE$13),15-13*ORÇAMENTO!$AF$7)/$H128*OFFSET(ORÇAMENTO!$X$15,ROW(AE128)-ROW(AE$15),0),
              ROUND(ROUND(OFFSET($P128,0,AE$13),15-13*ORÇAMENTO!$AF$7)*OFFSET(ORÇAMENTO!$W$15,ROW(AE128)-ROW(AE$15),0),15-13*ORÇAMENTO!$AF$11)),
         0)</f>
        <v>0</v>
      </c>
      <c r="AF128" s="454">
        <f ca="1">IF(AND($D128="Serviço",AF$12&lt;&gt;0,$H128&gt;0,OR(AUTOEVENTO&lt;&gt;"manual",$M128&lt;&gt;$A$15)),
        IF(Import.TipoArredondamento&lt;&gt;"TransfereGOV",
              ROUND(OFFSET($P128,0,AF$13),15-13*ORÇAMENTO!$AF$7)/$H128*OFFSET(ORÇAMENTO!$X$15,ROW(AF128)-ROW(AF$15),0),
              ROUND(ROUND(OFFSET($P128,0,AF$13),15-13*ORÇAMENTO!$AF$7)*OFFSET(ORÇAMENTO!$W$15,ROW(AF128)-ROW(AF$15),0),15-13*ORÇAMENTO!$AF$11)),
         0)</f>
        <v>0</v>
      </c>
      <c r="AG128" s="454">
        <f ca="1">IF(AND($D128="Serviço",AG$12&lt;&gt;0,$H128&gt;0,OR(AUTOEVENTO&lt;&gt;"manual",$M128&lt;&gt;$A$15)),
        IF(Import.TipoArredondamento&lt;&gt;"TransfereGOV",
              ROUND(OFFSET($P128,0,AG$13),15-13*ORÇAMENTO!$AF$7)/$H128*OFFSET(ORÇAMENTO!$X$15,ROW(AG128)-ROW(AG$15),0),
              ROUND(ROUND(OFFSET($P128,0,AG$13),15-13*ORÇAMENTO!$AF$7)*OFFSET(ORÇAMENTO!$W$15,ROW(AG128)-ROW(AG$15),0),15-13*ORÇAMENTO!$AF$11)),
         0)</f>
        <v>0</v>
      </c>
      <c r="AH128" s="454">
        <f ca="1">IF(AND($D128="Serviço",AH$12&lt;&gt;0,$H128&gt;0,OR(AUTOEVENTO&lt;&gt;"manual",$M128&lt;&gt;$A$15)),
        IF(Import.TipoArredondamento&lt;&gt;"TransfereGOV",
              ROUND(OFFSET($P128,0,AH$13),15-13*ORÇAMENTO!$AF$7)/$H128*OFFSET(ORÇAMENTO!$X$15,ROW(AH128)-ROW(AH$15),0),
              ROUND(ROUND(OFFSET($P128,0,AH$13),15-13*ORÇAMENTO!$AF$7)*OFFSET(ORÇAMENTO!$W$15,ROW(AH128)-ROW(AH$15),0),15-13*ORÇAMENTO!$AF$11)),
         0)</f>
        <v>0</v>
      </c>
      <c r="AI128" s="454">
        <f ca="1">IF(AND($D128="Serviço",AI$12&lt;&gt;0,$H128&gt;0,OR(AUTOEVENTO&lt;&gt;"manual",$M128&lt;&gt;$A$15)),
        IF(Import.TipoArredondamento&lt;&gt;"TransfereGOV",
              ROUND(OFFSET($P128,0,AI$13),15-13*ORÇAMENTO!$AF$7)/$H128*OFFSET(ORÇAMENTO!$X$15,ROW(AI128)-ROW(AI$15),0),
              ROUND(ROUND(OFFSET($P128,0,AI$13),15-13*ORÇAMENTO!$AF$7)*OFFSET(ORÇAMENTO!$W$15,ROW(AI128)-ROW(AI$15),0),15-13*ORÇAMENTO!$AF$11)),
         0)</f>
        <v>0</v>
      </c>
      <c r="AJ128" s="454">
        <f ca="1">IF(AND($D128="Serviço",AJ$12&lt;&gt;0,$H128&gt;0,OR(AUTOEVENTO&lt;&gt;"manual",$M128&lt;&gt;$A$15)),
        IF(Import.TipoArredondamento&lt;&gt;"TransfereGOV",
              ROUND(OFFSET($P128,0,AJ$13),15-13*ORÇAMENTO!$AF$7)/$H128*OFFSET(ORÇAMENTO!$X$15,ROW(AJ128)-ROW(AJ$15),0),
              ROUND(ROUND(OFFSET($P128,0,AJ$13),15-13*ORÇAMENTO!$AF$7)*OFFSET(ORÇAMENTO!$W$15,ROW(AJ128)-ROW(AJ$15),0),15-13*ORÇAMENTO!$AF$11)),
         0)</f>
        <v>0</v>
      </c>
      <c r="AK128" s="454">
        <f ca="1">IF(AND($D128="Serviço",AK$12&lt;&gt;0,$H128&gt;0,OR(AUTOEVENTO&lt;&gt;"manual",$M128&lt;&gt;$A$15)),
        IF(Import.TipoArredondamento&lt;&gt;"TransfereGOV",
              ROUND(OFFSET($P128,0,AK$13),15-13*ORÇAMENTO!$AF$7)/$H128*OFFSET(ORÇAMENTO!$X$15,ROW(AK128)-ROW(AK$15),0),
              ROUND(ROUND(OFFSET($P128,0,AK$13),15-13*ORÇAMENTO!$AF$7)*OFFSET(ORÇAMENTO!$W$15,ROW(AK128)-ROW(AK$15),0),15-13*ORÇAMENTO!$AF$11)),
         0)</f>
        <v>0</v>
      </c>
      <c r="AM128" s="172">
        <f ca="1">IF(OR($D128&lt;&gt;"Serviço",AND(AUTOEVENTO="Manual",$M128=$A$15)),0,
         IF(OFFSET(CRONOPLE!$F$15,$M128-$A$15,AM$13)="",10^12,OFFSET(CRONOPLE!$F$15,$M128-$A$15,AM$13)))</f>
        <v>1000000000000</v>
      </c>
      <c r="AN128" s="172">
        <f ca="1">IF(OR($D128&lt;&gt;"Serviço",AND(AUTOEVENTO="Manual",$M128=$A$15)),0,
         IF(OFFSET(CRONOPLE!$F$15,$M128-$A$15,AN$13)="",10^12,OFFSET(CRONOPLE!$F$15,$M128-$A$15,AN$13)))</f>
        <v>1000000000000</v>
      </c>
      <c r="AO128" s="172">
        <f ca="1">IF(OR($D128&lt;&gt;"Serviço",AND(AUTOEVENTO="Manual",$M128=$A$15)),0,
         IF(OFFSET(CRONOPLE!$F$15,$M128-$A$15,AO$13)="",10^12,OFFSET(CRONOPLE!$F$15,$M128-$A$15,AO$13)))</f>
        <v>1000000000000</v>
      </c>
      <c r="AP128" s="172">
        <f ca="1">IF(OR($D128&lt;&gt;"Serviço",AND(AUTOEVENTO="Manual",$M128=$A$15)),0,
         IF(OFFSET(CRONOPLE!$F$15,$M128-$A$15,AP$13)="",10^12,OFFSET(CRONOPLE!$F$15,$M128-$A$15,AP$13)))</f>
        <v>1000000000000</v>
      </c>
      <c r="AQ128" s="172">
        <f ca="1">IF(OR($D128&lt;&gt;"Serviço",AND(AUTOEVENTO="Manual",$M128=$A$15)),0,
         IF(OFFSET(CRONOPLE!$F$15,$M128-$A$15,AQ$13)="",10^12,OFFSET(CRONOPLE!$F$15,$M128-$A$15,AQ$13)))</f>
        <v>1000000000000</v>
      </c>
      <c r="AR128" s="172">
        <f ca="1">IF(OR($D128&lt;&gt;"Serviço",AND(AUTOEVENTO="Manual",$M128=$A$15)),0,
         IF(OFFSET(CRONOPLE!$F$15,$M128-$A$15,AR$13)="",10^12,OFFSET(CRONOPLE!$F$15,$M128-$A$15,AR$13)))</f>
        <v>1000000000000</v>
      </c>
      <c r="AS128" s="172">
        <f ca="1">IF(OR($D128&lt;&gt;"Serviço",AND(AUTOEVENTO="Manual",$M128=$A$15)),0,
         IF(OFFSET(CRONOPLE!$F$15,$M128-$A$15,AS$13)="",10^12,OFFSET(CRONOPLE!$F$15,$M128-$A$15,AS$13)))</f>
        <v>1000000000000</v>
      </c>
      <c r="AT128" s="172">
        <f ca="1">IF(OR($D128&lt;&gt;"Serviço",AND(AUTOEVENTO="Manual",$M128=$A$15)),0,
         IF(OFFSET(CRONOPLE!$F$15,$M128-$A$15,AT$13)="",10^12,OFFSET(CRONOPLE!$F$15,$M128-$A$15,AT$13)))</f>
        <v>1000000000000</v>
      </c>
      <c r="AU128" s="172">
        <f ca="1">IF(OR($D128&lt;&gt;"Serviço",AND(AUTOEVENTO="Manual",$M128=$A$15)),0,
         IF(OFFSET(CRONOPLE!$F$15,$M128-$A$15,AU$13)="",10^12,OFFSET(CRONOPLE!$F$15,$M128-$A$15,AU$13)))</f>
        <v>1000000000000</v>
      </c>
      <c r="AV128" s="172">
        <f ca="1">IF(OR($D128&lt;&gt;"Serviço",AND(AUTOEVENTO="Manual",$M128=$A$15)),0,
         IF(OFFSET(CRONOPLE!$F$15,$M128-$A$15,AV$13)="",10^12,OFFSET(CRONOPLE!$F$15,$M128-$A$15,AV$13)))</f>
        <v>1000000000000</v>
      </c>
      <c r="AX128" s="173">
        <f ca="1">IF(OR($D128&lt;&gt;"Serviço",AND(AUTOEVENTO="Manual",$M128=$A$15),$M128&gt;(ROW(PLE.lastrow)-ROW(PLE.firstrow))),0,
           IF(OFFSET(PLE!$G$15,$M128-$A$15,AX$13)="",10^12,OFFSET(PLE!$G$15,$M128-$A$15,AX$13)))</f>
        <v>1000000000000</v>
      </c>
      <c r="AY128" s="173">
        <f ca="1">IF(OR($D128&lt;&gt;"Serviço",AND(AUTOEVENTO="Manual",$M128=$A$15),$M128&gt;(ROW(PLE.lastrow)-ROW(PLE.firstrow))),0,
           IF(OFFSET(PLE!$G$15,$M128-$A$15,AY$13)="",10^12,OFFSET(PLE!$G$15,$M128-$A$15,AY$13)))</f>
        <v>1000000000000</v>
      </c>
      <c r="AZ128" s="173">
        <f ca="1">IF(OR($D128&lt;&gt;"Serviço",AND(AUTOEVENTO="Manual",$M128=$A$15),$M128&gt;(ROW(PLE.lastrow)-ROW(PLE.firstrow))),0,
           IF(OFFSET(PLE!$G$15,$M128-$A$15,AZ$13)="",10^12,OFFSET(PLE!$G$15,$M128-$A$15,AZ$13)))</f>
        <v>1000000000000</v>
      </c>
      <c r="BA128" s="173">
        <f ca="1">IF(OR($D128&lt;&gt;"Serviço",AND(AUTOEVENTO="Manual",$M128=$A$15),$M128&gt;(ROW(PLE.lastrow)-ROW(PLE.firstrow))),0,
           IF(OFFSET(PLE!$G$15,$M128-$A$15,BA$13)="",10^12,OFFSET(PLE!$G$15,$M128-$A$15,BA$13)))</f>
        <v>1000000000000</v>
      </c>
      <c r="BB128" s="173">
        <f ca="1">IF(OR($D128&lt;&gt;"Serviço",AND(AUTOEVENTO="Manual",$M128=$A$15),$M128&gt;(ROW(PLE.lastrow)-ROW(PLE.firstrow))),0,
           IF(OFFSET(PLE!$G$15,$M128-$A$15,BB$13)="",10^12,OFFSET(PLE!$G$15,$M128-$A$15,BB$13)))</f>
        <v>1000000000000</v>
      </c>
      <c r="BC128" s="173">
        <f ca="1">IF(OR($D128&lt;&gt;"Serviço",AND(AUTOEVENTO="Manual",$M128=$A$15),$M128&gt;(ROW(PLE.lastrow)-ROW(PLE.firstrow))),0,
           IF(OFFSET(PLE!$G$15,$M128-$A$15,BC$13)="",10^12,OFFSET(PLE!$G$15,$M128-$A$15,BC$13)))</f>
        <v>1000000000000</v>
      </c>
      <c r="BD128" s="173">
        <f ca="1">IF(OR($D128&lt;&gt;"Serviço",AND(AUTOEVENTO="Manual",$M128=$A$15),$M128&gt;(ROW(PLE.lastrow)-ROW(PLE.firstrow))),0,
           IF(OFFSET(PLE!$G$15,$M128-$A$15,BD$13)="",10^12,OFFSET(PLE!$G$15,$M128-$A$15,BD$13)))</f>
        <v>1000000000000</v>
      </c>
      <c r="BE128" s="173">
        <f ca="1">IF(OR($D128&lt;&gt;"Serviço",AND(AUTOEVENTO="Manual",$M128=$A$15),$M128&gt;(ROW(PLE.lastrow)-ROW(PLE.firstrow))),0,
           IF(OFFSET(PLE!$G$15,$M128-$A$15,BE$13)="",10^12,OFFSET(PLE!$G$15,$M128-$A$15,BE$13)))</f>
        <v>1000000000000</v>
      </c>
      <c r="BF128" s="173">
        <f ca="1">IF(OR($D128&lt;&gt;"Serviço",AND(AUTOEVENTO="Manual",$M128=$A$15),$M128&gt;(ROW(PLE.lastrow)-ROW(PLE.firstrow))),0,
           IF(OFFSET(PLE!$G$15,$M128-$A$15,BF$13)="",10^12,OFFSET(PLE!$G$15,$M128-$A$15,BF$13)))</f>
        <v>1000000000000</v>
      </c>
      <c r="BG128" s="173">
        <f ca="1">IF(OR($D128&lt;&gt;"Serviço",AND(AUTOEVENTO="Manual",$M128=$A$15),$M128&gt;(ROW(PLE.lastrow)-ROW(PLE.firstrow))),0,
           IF(OFFSET(PLE!$G$15,$M128-$A$15,BG$13)="",10^12,OFFSET(PLE!$G$15,$M128-$A$15,BG$13)))</f>
        <v>1000000000000</v>
      </c>
    </row>
    <row r="129" spans="1:59" ht="12.75" x14ac:dyDescent="0.2">
      <c r="A129" s="7" t="str">
        <f t="shared" ca="1" si="9"/>
        <v>114.</v>
      </c>
      <c r="B129" s="7">
        <f ca="1">OFFSET(ORÇAMENTO!C$15,ROW(B129)-ROW(B$15),0)</f>
        <v>2</v>
      </c>
      <c r="C129" s="7" t="str">
        <f ca="1">OFFSET(ORÇAMENTO!L$15,ROW(C129)-ROW(C$15),0)</f>
        <v>F</v>
      </c>
      <c r="D129" s="117" t="str">
        <f ca="1">OFFSET(ORÇAMENTO!N$15,ROW(D129)-ROW(D$15),0)</f>
        <v>Nível 2</v>
      </c>
      <c r="E129" s="118" t="str">
        <f ca="1">OFFSET(ORÇAMENTO!O$15,ROW(E129)-ROW(E$15),0)</f>
        <v>1.11.</v>
      </c>
      <c r="F129" s="164" t="str">
        <f ca="1">OFFSET(ORÇAMENTO!R$15,ROW(F129)-ROW(F$15),0)</f>
        <v>INSTALAÇÕES HIDROSSANITÁRIAS</v>
      </c>
      <c r="G129" s="165" t="str">
        <f ca="1">IF($D129&lt;&gt;"Serviço","",OFFSET(ORÇAMENTO!S$15,ROW(G129)-ROW(G$15),0))</f>
        <v/>
      </c>
      <c r="H129" s="123">
        <f ca="1">IF($D129&lt;&gt;"Serviço",0,IF(ACOMPANHAMENTO="BM",ROUND(OFFSET(ORÇAMENTO!AJ$15,ROW(H129)-ROW(H$15),0),15-13*ORÇAMENTO!$AF$7),SUMPRODUCT(($Q$1:$AA$1=1)*ROUND($Q129:$AA129,15-13*ORÇAMENTO!$AF$7))))</f>
        <v>0</v>
      </c>
      <c r="I129" s="469"/>
      <c r="J129" s="577" t="str" cm="1">
        <f t="array" aca="1" ref="J129" ca="1">IF(B129&lt;&gt;"S","",IF(AND(ACOMPANHAMENTO="PLE",AUTOEVENTO="Manual",OR(H129&gt;0,ORÇAMENTO!AC129="QUANT."),OR(K129="",M129=0,N129="")),"►",IF(AND(ACOMPANHAMENTO="PLE",ORÇAMENTO!AC129="QUANT."),"►►",IF(AND(COUNTIF($P$11:$AA$11,"▼")=0,H129&gt;0,I129=""),"◄",""))))</f>
        <v/>
      </c>
      <c r="K129" s="626"/>
      <c r="L129" s="166" t="s">
        <v>765</v>
      </c>
      <c r="M129" s="167" t="str">
        <f ca="1">IF($D129&lt;&gt;"Serviço","",
          IF(AUTOEVENTO="manual",$A129,
                IF(ISERROR(MATCH($A129,$A$15:OFFSET($A129,-1,0),0)),MAX($M$15:OFFSET(M129,-1,0))+1,
                      INDEX($M$15:OFFSET(M129,-1,0),MATCH($A129,$A$15:OFFSET($A129,-1,0),0)))))</f>
        <v/>
      </c>
      <c r="N129" s="168" t="str">
        <f ca="1">IF($D129&lt;&gt;"Serviço","",
         IF(AUTOEVENTO="Manual",
                IF($A129=0,"&lt;-- defina o número do agrupador",
                       OFFSET(EVENTOS!$D$15,$A129-$A$15,0)),
                OFFSET($F$15,$A129,0)))</f>
        <v/>
      </c>
      <c r="O129" s="169"/>
      <c r="Q129" s="169"/>
      <c r="R129" s="170"/>
      <c r="S129" s="170"/>
      <c r="T129" s="170"/>
      <c r="U129" s="170"/>
      <c r="V129" s="170"/>
      <c r="W129" s="170"/>
      <c r="X129" s="170"/>
      <c r="Y129" s="170"/>
      <c r="Z129" s="171"/>
      <c r="AB129" s="454">
        <f ca="1">IF(AND($D129="Serviço",AB$12&lt;&gt;0,$H129&gt;0,OR(AUTOEVENTO&lt;&gt;"manual",$M129&lt;&gt;$A$15)),
        IF(Import.TipoArredondamento&lt;&gt;"TransfereGOV",
              ROUND(OFFSET($P129,0,AB$13),15-13*ORÇAMENTO!$AF$7)/$H129*OFFSET(ORÇAMENTO!$X$15,ROW(AB129)-ROW(AB$15),0),
              ROUND(ROUND(OFFSET($P129,0,AB$13),15-13*ORÇAMENTO!$AF$7)*OFFSET(ORÇAMENTO!$W$15,ROW(AB129)-ROW(AB$15),0),15-13*ORÇAMENTO!$AF$11)),
         0)</f>
        <v>0</v>
      </c>
      <c r="AC129" s="454">
        <f ca="1">IF(AND($D129="Serviço",AC$12&lt;&gt;0,$H129&gt;0,OR(AUTOEVENTO&lt;&gt;"manual",$M129&lt;&gt;$A$15)),
        IF(Import.TipoArredondamento&lt;&gt;"TransfereGOV",
              ROUND(OFFSET($P129,0,AC$13),15-13*ORÇAMENTO!$AF$7)/$H129*OFFSET(ORÇAMENTO!$X$15,ROW(AC129)-ROW(AC$15),0),
              ROUND(ROUND(OFFSET($P129,0,AC$13),15-13*ORÇAMENTO!$AF$7)*OFFSET(ORÇAMENTO!$W$15,ROW(AC129)-ROW(AC$15),0),15-13*ORÇAMENTO!$AF$11)),
         0)</f>
        <v>0</v>
      </c>
      <c r="AD129" s="454">
        <f ca="1">IF(AND($D129="Serviço",AD$12&lt;&gt;0,$H129&gt;0,OR(AUTOEVENTO&lt;&gt;"manual",$M129&lt;&gt;$A$15)),
        IF(Import.TipoArredondamento&lt;&gt;"TransfereGOV",
              ROUND(OFFSET($P129,0,AD$13),15-13*ORÇAMENTO!$AF$7)/$H129*OFFSET(ORÇAMENTO!$X$15,ROW(AD129)-ROW(AD$15),0),
              ROUND(ROUND(OFFSET($P129,0,AD$13),15-13*ORÇAMENTO!$AF$7)*OFFSET(ORÇAMENTO!$W$15,ROW(AD129)-ROW(AD$15),0),15-13*ORÇAMENTO!$AF$11)),
         0)</f>
        <v>0</v>
      </c>
      <c r="AE129" s="454">
        <f ca="1">IF(AND($D129="Serviço",AE$12&lt;&gt;0,$H129&gt;0,OR(AUTOEVENTO&lt;&gt;"manual",$M129&lt;&gt;$A$15)),
        IF(Import.TipoArredondamento&lt;&gt;"TransfereGOV",
              ROUND(OFFSET($P129,0,AE$13),15-13*ORÇAMENTO!$AF$7)/$H129*OFFSET(ORÇAMENTO!$X$15,ROW(AE129)-ROW(AE$15),0),
              ROUND(ROUND(OFFSET($P129,0,AE$13),15-13*ORÇAMENTO!$AF$7)*OFFSET(ORÇAMENTO!$W$15,ROW(AE129)-ROW(AE$15),0),15-13*ORÇAMENTO!$AF$11)),
         0)</f>
        <v>0</v>
      </c>
      <c r="AF129" s="454">
        <f ca="1">IF(AND($D129="Serviço",AF$12&lt;&gt;0,$H129&gt;0,OR(AUTOEVENTO&lt;&gt;"manual",$M129&lt;&gt;$A$15)),
        IF(Import.TipoArredondamento&lt;&gt;"TransfereGOV",
              ROUND(OFFSET($P129,0,AF$13),15-13*ORÇAMENTO!$AF$7)/$H129*OFFSET(ORÇAMENTO!$X$15,ROW(AF129)-ROW(AF$15),0),
              ROUND(ROUND(OFFSET($P129,0,AF$13),15-13*ORÇAMENTO!$AF$7)*OFFSET(ORÇAMENTO!$W$15,ROW(AF129)-ROW(AF$15),0),15-13*ORÇAMENTO!$AF$11)),
         0)</f>
        <v>0</v>
      </c>
      <c r="AG129" s="454">
        <f ca="1">IF(AND($D129="Serviço",AG$12&lt;&gt;0,$H129&gt;0,OR(AUTOEVENTO&lt;&gt;"manual",$M129&lt;&gt;$A$15)),
        IF(Import.TipoArredondamento&lt;&gt;"TransfereGOV",
              ROUND(OFFSET($P129,0,AG$13),15-13*ORÇAMENTO!$AF$7)/$H129*OFFSET(ORÇAMENTO!$X$15,ROW(AG129)-ROW(AG$15),0),
              ROUND(ROUND(OFFSET($P129,0,AG$13),15-13*ORÇAMENTO!$AF$7)*OFFSET(ORÇAMENTO!$W$15,ROW(AG129)-ROW(AG$15),0),15-13*ORÇAMENTO!$AF$11)),
         0)</f>
        <v>0</v>
      </c>
      <c r="AH129" s="454">
        <f ca="1">IF(AND($D129="Serviço",AH$12&lt;&gt;0,$H129&gt;0,OR(AUTOEVENTO&lt;&gt;"manual",$M129&lt;&gt;$A$15)),
        IF(Import.TipoArredondamento&lt;&gt;"TransfereGOV",
              ROUND(OFFSET($P129,0,AH$13),15-13*ORÇAMENTO!$AF$7)/$H129*OFFSET(ORÇAMENTO!$X$15,ROW(AH129)-ROW(AH$15),0),
              ROUND(ROUND(OFFSET($P129,0,AH$13),15-13*ORÇAMENTO!$AF$7)*OFFSET(ORÇAMENTO!$W$15,ROW(AH129)-ROW(AH$15),0),15-13*ORÇAMENTO!$AF$11)),
         0)</f>
        <v>0</v>
      </c>
      <c r="AI129" s="454">
        <f ca="1">IF(AND($D129="Serviço",AI$12&lt;&gt;0,$H129&gt;0,OR(AUTOEVENTO&lt;&gt;"manual",$M129&lt;&gt;$A$15)),
        IF(Import.TipoArredondamento&lt;&gt;"TransfereGOV",
              ROUND(OFFSET($P129,0,AI$13),15-13*ORÇAMENTO!$AF$7)/$H129*OFFSET(ORÇAMENTO!$X$15,ROW(AI129)-ROW(AI$15),0),
              ROUND(ROUND(OFFSET($P129,0,AI$13),15-13*ORÇAMENTO!$AF$7)*OFFSET(ORÇAMENTO!$W$15,ROW(AI129)-ROW(AI$15),0),15-13*ORÇAMENTO!$AF$11)),
         0)</f>
        <v>0</v>
      </c>
      <c r="AJ129" s="454">
        <f ca="1">IF(AND($D129="Serviço",AJ$12&lt;&gt;0,$H129&gt;0,OR(AUTOEVENTO&lt;&gt;"manual",$M129&lt;&gt;$A$15)),
        IF(Import.TipoArredondamento&lt;&gt;"TransfereGOV",
              ROUND(OFFSET($P129,0,AJ$13),15-13*ORÇAMENTO!$AF$7)/$H129*OFFSET(ORÇAMENTO!$X$15,ROW(AJ129)-ROW(AJ$15),0),
              ROUND(ROUND(OFFSET($P129,0,AJ$13),15-13*ORÇAMENTO!$AF$7)*OFFSET(ORÇAMENTO!$W$15,ROW(AJ129)-ROW(AJ$15),0),15-13*ORÇAMENTO!$AF$11)),
         0)</f>
        <v>0</v>
      </c>
      <c r="AK129" s="454">
        <f ca="1">IF(AND($D129="Serviço",AK$12&lt;&gt;0,$H129&gt;0,OR(AUTOEVENTO&lt;&gt;"manual",$M129&lt;&gt;$A$15)),
        IF(Import.TipoArredondamento&lt;&gt;"TransfereGOV",
              ROUND(OFFSET($P129,0,AK$13),15-13*ORÇAMENTO!$AF$7)/$H129*OFFSET(ORÇAMENTO!$X$15,ROW(AK129)-ROW(AK$15),0),
              ROUND(ROUND(OFFSET($P129,0,AK$13),15-13*ORÇAMENTO!$AF$7)*OFFSET(ORÇAMENTO!$W$15,ROW(AK129)-ROW(AK$15),0),15-13*ORÇAMENTO!$AF$11)),
         0)</f>
        <v>0</v>
      </c>
      <c r="AM129" s="172">
        <f ca="1">IF(OR($D129&lt;&gt;"Serviço",AND(AUTOEVENTO="Manual",$M129=$A$15)),0,
         IF(OFFSET(CRONOPLE!$F$15,$M129-$A$15,AM$13)="",10^12,OFFSET(CRONOPLE!$F$15,$M129-$A$15,AM$13)))</f>
        <v>0</v>
      </c>
      <c r="AN129" s="172">
        <f ca="1">IF(OR($D129&lt;&gt;"Serviço",AND(AUTOEVENTO="Manual",$M129=$A$15)),0,
         IF(OFFSET(CRONOPLE!$F$15,$M129-$A$15,AN$13)="",10^12,OFFSET(CRONOPLE!$F$15,$M129-$A$15,AN$13)))</f>
        <v>0</v>
      </c>
      <c r="AO129" s="172">
        <f ca="1">IF(OR($D129&lt;&gt;"Serviço",AND(AUTOEVENTO="Manual",$M129=$A$15)),0,
         IF(OFFSET(CRONOPLE!$F$15,$M129-$A$15,AO$13)="",10^12,OFFSET(CRONOPLE!$F$15,$M129-$A$15,AO$13)))</f>
        <v>0</v>
      </c>
      <c r="AP129" s="172">
        <f ca="1">IF(OR($D129&lt;&gt;"Serviço",AND(AUTOEVENTO="Manual",$M129=$A$15)),0,
         IF(OFFSET(CRONOPLE!$F$15,$M129-$A$15,AP$13)="",10^12,OFFSET(CRONOPLE!$F$15,$M129-$A$15,AP$13)))</f>
        <v>0</v>
      </c>
      <c r="AQ129" s="172">
        <f ca="1">IF(OR($D129&lt;&gt;"Serviço",AND(AUTOEVENTO="Manual",$M129=$A$15)),0,
         IF(OFFSET(CRONOPLE!$F$15,$M129-$A$15,AQ$13)="",10^12,OFFSET(CRONOPLE!$F$15,$M129-$A$15,AQ$13)))</f>
        <v>0</v>
      </c>
      <c r="AR129" s="172">
        <f ca="1">IF(OR($D129&lt;&gt;"Serviço",AND(AUTOEVENTO="Manual",$M129=$A$15)),0,
         IF(OFFSET(CRONOPLE!$F$15,$M129-$A$15,AR$13)="",10^12,OFFSET(CRONOPLE!$F$15,$M129-$A$15,AR$13)))</f>
        <v>0</v>
      </c>
      <c r="AS129" s="172">
        <f ca="1">IF(OR($D129&lt;&gt;"Serviço",AND(AUTOEVENTO="Manual",$M129=$A$15)),0,
         IF(OFFSET(CRONOPLE!$F$15,$M129-$A$15,AS$13)="",10^12,OFFSET(CRONOPLE!$F$15,$M129-$A$15,AS$13)))</f>
        <v>0</v>
      </c>
      <c r="AT129" s="172">
        <f ca="1">IF(OR($D129&lt;&gt;"Serviço",AND(AUTOEVENTO="Manual",$M129=$A$15)),0,
         IF(OFFSET(CRONOPLE!$F$15,$M129-$A$15,AT$13)="",10^12,OFFSET(CRONOPLE!$F$15,$M129-$A$15,AT$13)))</f>
        <v>0</v>
      </c>
      <c r="AU129" s="172">
        <f ca="1">IF(OR($D129&lt;&gt;"Serviço",AND(AUTOEVENTO="Manual",$M129=$A$15)),0,
         IF(OFFSET(CRONOPLE!$F$15,$M129-$A$15,AU$13)="",10^12,OFFSET(CRONOPLE!$F$15,$M129-$A$15,AU$13)))</f>
        <v>0</v>
      </c>
      <c r="AV129" s="172">
        <f ca="1">IF(OR($D129&lt;&gt;"Serviço",AND(AUTOEVENTO="Manual",$M129=$A$15)),0,
         IF(OFFSET(CRONOPLE!$F$15,$M129-$A$15,AV$13)="",10^12,OFFSET(CRONOPLE!$F$15,$M129-$A$15,AV$13)))</f>
        <v>0</v>
      </c>
      <c r="AX129" s="173">
        <f ca="1">IF(OR($D129&lt;&gt;"Serviço",AND(AUTOEVENTO="Manual",$M129=$A$15),$M129&gt;(ROW(PLE.lastrow)-ROW(PLE.firstrow))),0,
           IF(OFFSET(PLE!$G$15,$M129-$A$15,AX$13)="",10^12,OFFSET(PLE!$G$15,$M129-$A$15,AX$13)))</f>
        <v>0</v>
      </c>
      <c r="AY129" s="173">
        <f ca="1">IF(OR($D129&lt;&gt;"Serviço",AND(AUTOEVENTO="Manual",$M129=$A$15),$M129&gt;(ROW(PLE.lastrow)-ROW(PLE.firstrow))),0,
           IF(OFFSET(PLE!$G$15,$M129-$A$15,AY$13)="",10^12,OFFSET(PLE!$G$15,$M129-$A$15,AY$13)))</f>
        <v>0</v>
      </c>
      <c r="AZ129" s="173">
        <f ca="1">IF(OR($D129&lt;&gt;"Serviço",AND(AUTOEVENTO="Manual",$M129=$A$15),$M129&gt;(ROW(PLE.lastrow)-ROW(PLE.firstrow))),0,
           IF(OFFSET(PLE!$G$15,$M129-$A$15,AZ$13)="",10^12,OFFSET(PLE!$G$15,$M129-$A$15,AZ$13)))</f>
        <v>0</v>
      </c>
      <c r="BA129" s="173">
        <f ca="1">IF(OR($D129&lt;&gt;"Serviço",AND(AUTOEVENTO="Manual",$M129=$A$15),$M129&gt;(ROW(PLE.lastrow)-ROW(PLE.firstrow))),0,
           IF(OFFSET(PLE!$G$15,$M129-$A$15,BA$13)="",10^12,OFFSET(PLE!$G$15,$M129-$A$15,BA$13)))</f>
        <v>0</v>
      </c>
      <c r="BB129" s="173">
        <f ca="1">IF(OR($D129&lt;&gt;"Serviço",AND(AUTOEVENTO="Manual",$M129=$A$15),$M129&gt;(ROW(PLE.lastrow)-ROW(PLE.firstrow))),0,
           IF(OFFSET(PLE!$G$15,$M129-$A$15,BB$13)="",10^12,OFFSET(PLE!$G$15,$M129-$A$15,BB$13)))</f>
        <v>0</v>
      </c>
      <c r="BC129" s="173">
        <f ca="1">IF(OR($D129&lt;&gt;"Serviço",AND(AUTOEVENTO="Manual",$M129=$A$15),$M129&gt;(ROW(PLE.lastrow)-ROW(PLE.firstrow))),0,
           IF(OFFSET(PLE!$G$15,$M129-$A$15,BC$13)="",10^12,OFFSET(PLE!$G$15,$M129-$A$15,BC$13)))</f>
        <v>0</v>
      </c>
      <c r="BD129" s="173">
        <f ca="1">IF(OR($D129&lt;&gt;"Serviço",AND(AUTOEVENTO="Manual",$M129=$A$15),$M129&gt;(ROW(PLE.lastrow)-ROW(PLE.firstrow))),0,
           IF(OFFSET(PLE!$G$15,$M129-$A$15,BD$13)="",10^12,OFFSET(PLE!$G$15,$M129-$A$15,BD$13)))</f>
        <v>0</v>
      </c>
      <c r="BE129" s="173">
        <f ca="1">IF(OR($D129&lt;&gt;"Serviço",AND(AUTOEVENTO="Manual",$M129=$A$15),$M129&gt;(ROW(PLE.lastrow)-ROW(PLE.firstrow))),0,
           IF(OFFSET(PLE!$G$15,$M129-$A$15,BE$13)="",10^12,OFFSET(PLE!$G$15,$M129-$A$15,BE$13)))</f>
        <v>0</v>
      </c>
      <c r="BF129" s="173">
        <f ca="1">IF(OR($D129&lt;&gt;"Serviço",AND(AUTOEVENTO="Manual",$M129=$A$15),$M129&gt;(ROW(PLE.lastrow)-ROW(PLE.firstrow))),0,
           IF(OFFSET(PLE!$G$15,$M129-$A$15,BF$13)="",10^12,OFFSET(PLE!$G$15,$M129-$A$15,BF$13)))</f>
        <v>0</v>
      </c>
      <c r="BG129" s="173">
        <f ca="1">IF(OR($D129&lt;&gt;"Serviço",AND(AUTOEVENTO="Manual",$M129=$A$15),$M129&gt;(ROW(PLE.lastrow)-ROW(PLE.firstrow))),0,
           IF(OFFSET(PLE!$G$15,$M129-$A$15,BG$13)="",10^12,OFFSET(PLE!$G$15,$M129-$A$15,BG$13)))</f>
        <v>0</v>
      </c>
    </row>
    <row r="130" spans="1:59" ht="12.75" x14ac:dyDescent="0.2">
      <c r="A130" s="7" t="str">
        <f t="shared" ca="1" si="9"/>
        <v>114.</v>
      </c>
      <c r="B130" s="7">
        <f ca="1">OFFSET(ORÇAMENTO!C$15,ROW(B130)-ROW(B$15),0)</f>
        <v>3</v>
      </c>
      <c r="C130" s="7" t="str">
        <f ca="1">OFFSET(ORÇAMENTO!L$15,ROW(C130)-ROW(C$15),0)</f>
        <v>F</v>
      </c>
      <c r="D130" s="117" t="str">
        <f ca="1">OFFSET(ORÇAMENTO!N$15,ROW(D130)-ROW(D$15),0)</f>
        <v>Nível 3</v>
      </c>
      <c r="E130" s="118" t="str">
        <f ca="1">OFFSET(ORÇAMENTO!O$15,ROW(E130)-ROW(E$15),0)</f>
        <v>1.11.1.</v>
      </c>
      <c r="F130" s="164" t="str">
        <f ca="1">OFFSET(ORÇAMENTO!R$15,ROW(F130)-ROW(F$15),0)</f>
        <v>ESGOTO</v>
      </c>
      <c r="G130" s="165" t="str">
        <f ca="1">IF($D130&lt;&gt;"Serviço","",OFFSET(ORÇAMENTO!S$15,ROW(G130)-ROW(G$15),0))</f>
        <v/>
      </c>
      <c r="H130" s="123">
        <f ca="1">IF($D130&lt;&gt;"Serviço",0,IF(ACOMPANHAMENTO="BM",ROUND(OFFSET(ORÇAMENTO!AJ$15,ROW(H130)-ROW(H$15),0),15-13*ORÇAMENTO!$AF$7),SUMPRODUCT(($Q$1:$AA$1=1)*ROUND($Q130:$AA130,15-13*ORÇAMENTO!$AF$7))))</f>
        <v>0</v>
      </c>
      <c r="I130" s="469"/>
      <c r="J130" s="577" t="str" cm="1">
        <f t="array" aca="1" ref="J130" ca="1">IF(B130&lt;&gt;"S","",IF(AND(ACOMPANHAMENTO="PLE",AUTOEVENTO="Manual",OR(H130&gt;0,ORÇAMENTO!AC130="QUANT."),OR(K130="",M130=0,N130="")),"►",IF(AND(ACOMPANHAMENTO="PLE",ORÇAMENTO!AC130="QUANT."),"►►",IF(AND(COUNTIF($P$11:$AA$11,"▼")=0,H130&gt;0,I130=""),"◄",""))))</f>
        <v/>
      </c>
      <c r="K130" s="626"/>
      <c r="L130" s="166" t="s">
        <v>765</v>
      </c>
      <c r="M130" s="167" t="str">
        <f ca="1">IF($D130&lt;&gt;"Serviço","",
          IF(AUTOEVENTO="manual",$A130,
                IF(ISERROR(MATCH($A130,$A$15:OFFSET($A130,-1,0),0)),MAX($M$15:OFFSET(M130,-1,0))+1,
                      INDEX($M$15:OFFSET(M130,-1,0),MATCH($A130,$A$15:OFFSET($A130,-1,0),0)))))</f>
        <v/>
      </c>
      <c r="N130" s="168" t="str">
        <f ca="1">IF($D130&lt;&gt;"Serviço","",
         IF(AUTOEVENTO="Manual",
                IF($A130=0,"&lt;-- defina o número do agrupador",
                       OFFSET(EVENTOS!$D$15,$A130-$A$15,0)),
                OFFSET($F$15,$A130,0)))</f>
        <v/>
      </c>
      <c r="O130" s="169"/>
      <c r="Q130" s="169"/>
      <c r="R130" s="170"/>
      <c r="S130" s="170"/>
      <c r="T130" s="170"/>
      <c r="U130" s="170"/>
      <c r="V130" s="170"/>
      <c r="W130" s="170"/>
      <c r="X130" s="170"/>
      <c r="Y130" s="170"/>
      <c r="Z130" s="171"/>
      <c r="AB130" s="454">
        <f ca="1">IF(AND($D130="Serviço",AB$12&lt;&gt;0,$H130&gt;0,OR(AUTOEVENTO&lt;&gt;"manual",$M130&lt;&gt;$A$15)),
        IF(Import.TipoArredondamento&lt;&gt;"TransfereGOV",
              ROUND(OFFSET($P130,0,AB$13),15-13*ORÇAMENTO!$AF$7)/$H130*OFFSET(ORÇAMENTO!$X$15,ROW(AB130)-ROW(AB$15),0),
              ROUND(ROUND(OFFSET($P130,0,AB$13),15-13*ORÇAMENTO!$AF$7)*OFFSET(ORÇAMENTO!$W$15,ROW(AB130)-ROW(AB$15),0),15-13*ORÇAMENTO!$AF$11)),
         0)</f>
        <v>0</v>
      </c>
      <c r="AC130" s="454">
        <f ca="1">IF(AND($D130="Serviço",AC$12&lt;&gt;0,$H130&gt;0,OR(AUTOEVENTO&lt;&gt;"manual",$M130&lt;&gt;$A$15)),
        IF(Import.TipoArredondamento&lt;&gt;"TransfereGOV",
              ROUND(OFFSET($P130,0,AC$13),15-13*ORÇAMENTO!$AF$7)/$H130*OFFSET(ORÇAMENTO!$X$15,ROW(AC130)-ROW(AC$15),0),
              ROUND(ROUND(OFFSET($P130,0,AC$13),15-13*ORÇAMENTO!$AF$7)*OFFSET(ORÇAMENTO!$W$15,ROW(AC130)-ROW(AC$15),0),15-13*ORÇAMENTO!$AF$11)),
         0)</f>
        <v>0</v>
      </c>
      <c r="AD130" s="454">
        <f ca="1">IF(AND($D130="Serviço",AD$12&lt;&gt;0,$H130&gt;0,OR(AUTOEVENTO&lt;&gt;"manual",$M130&lt;&gt;$A$15)),
        IF(Import.TipoArredondamento&lt;&gt;"TransfereGOV",
              ROUND(OFFSET($P130,0,AD$13),15-13*ORÇAMENTO!$AF$7)/$H130*OFFSET(ORÇAMENTO!$X$15,ROW(AD130)-ROW(AD$15),0),
              ROUND(ROUND(OFFSET($P130,0,AD$13),15-13*ORÇAMENTO!$AF$7)*OFFSET(ORÇAMENTO!$W$15,ROW(AD130)-ROW(AD$15),0),15-13*ORÇAMENTO!$AF$11)),
         0)</f>
        <v>0</v>
      </c>
      <c r="AE130" s="454">
        <f ca="1">IF(AND($D130="Serviço",AE$12&lt;&gt;0,$H130&gt;0,OR(AUTOEVENTO&lt;&gt;"manual",$M130&lt;&gt;$A$15)),
        IF(Import.TipoArredondamento&lt;&gt;"TransfereGOV",
              ROUND(OFFSET($P130,0,AE$13),15-13*ORÇAMENTO!$AF$7)/$H130*OFFSET(ORÇAMENTO!$X$15,ROW(AE130)-ROW(AE$15),0),
              ROUND(ROUND(OFFSET($P130,0,AE$13),15-13*ORÇAMENTO!$AF$7)*OFFSET(ORÇAMENTO!$W$15,ROW(AE130)-ROW(AE$15),0),15-13*ORÇAMENTO!$AF$11)),
         0)</f>
        <v>0</v>
      </c>
      <c r="AF130" s="454">
        <f ca="1">IF(AND($D130="Serviço",AF$12&lt;&gt;0,$H130&gt;0,OR(AUTOEVENTO&lt;&gt;"manual",$M130&lt;&gt;$A$15)),
        IF(Import.TipoArredondamento&lt;&gt;"TransfereGOV",
              ROUND(OFFSET($P130,0,AF$13),15-13*ORÇAMENTO!$AF$7)/$H130*OFFSET(ORÇAMENTO!$X$15,ROW(AF130)-ROW(AF$15),0),
              ROUND(ROUND(OFFSET($P130,0,AF$13),15-13*ORÇAMENTO!$AF$7)*OFFSET(ORÇAMENTO!$W$15,ROW(AF130)-ROW(AF$15),0),15-13*ORÇAMENTO!$AF$11)),
         0)</f>
        <v>0</v>
      </c>
      <c r="AG130" s="454">
        <f ca="1">IF(AND($D130="Serviço",AG$12&lt;&gt;0,$H130&gt;0,OR(AUTOEVENTO&lt;&gt;"manual",$M130&lt;&gt;$A$15)),
        IF(Import.TipoArredondamento&lt;&gt;"TransfereGOV",
              ROUND(OFFSET($P130,0,AG$13),15-13*ORÇAMENTO!$AF$7)/$H130*OFFSET(ORÇAMENTO!$X$15,ROW(AG130)-ROW(AG$15),0),
              ROUND(ROUND(OFFSET($P130,0,AG$13),15-13*ORÇAMENTO!$AF$7)*OFFSET(ORÇAMENTO!$W$15,ROW(AG130)-ROW(AG$15),0),15-13*ORÇAMENTO!$AF$11)),
         0)</f>
        <v>0</v>
      </c>
      <c r="AH130" s="454">
        <f ca="1">IF(AND($D130="Serviço",AH$12&lt;&gt;0,$H130&gt;0,OR(AUTOEVENTO&lt;&gt;"manual",$M130&lt;&gt;$A$15)),
        IF(Import.TipoArredondamento&lt;&gt;"TransfereGOV",
              ROUND(OFFSET($P130,0,AH$13),15-13*ORÇAMENTO!$AF$7)/$H130*OFFSET(ORÇAMENTO!$X$15,ROW(AH130)-ROW(AH$15),0),
              ROUND(ROUND(OFFSET($P130,0,AH$13),15-13*ORÇAMENTO!$AF$7)*OFFSET(ORÇAMENTO!$W$15,ROW(AH130)-ROW(AH$15),0),15-13*ORÇAMENTO!$AF$11)),
         0)</f>
        <v>0</v>
      </c>
      <c r="AI130" s="454">
        <f ca="1">IF(AND($D130="Serviço",AI$12&lt;&gt;0,$H130&gt;0,OR(AUTOEVENTO&lt;&gt;"manual",$M130&lt;&gt;$A$15)),
        IF(Import.TipoArredondamento&lt;&gt;"TransfereGOV",
              ROUND(OFFSET($P130,0,AI$13),15-13*ORÇAMENTO!$AF$7)/$H130*OFFSET(ORÇAMENTO!$X$15,ROW(AI130)-ROW(AI$15),0),
              ROUND(ROUND(OFFSET($P130,0,AI$13),15-13*ORÇAMENTO!$AF$7)*OFFSET(ORÇAMENTO!$W$15,ROW(AI130)-ROW(AI$15),0),15-13*ORÇAMENTO!$AF$11)),
         0)</f>
        <v>0</v>
      </c>
      <c r="AJ130" s="454">
        <f ca="1">IF(AND($D130="Serviço",AJ$12&lt;&gt;0,$H130&gt;0,OR(AUTOEVENTO&lt;&gt;"manual",$M130&lt;&gt;$A$15)),
        IF(Import.TipoArredondamento&lt;&gt;"TransfereGOV",
              ROUND(OFFSET($P130,0,AJ$13),15-13*ORÇAMENTO!$AF$7)/$H130*OFFSET(ORÇAMENTO!$X$15,ROW(AJ130)-ROW(AJ$15),0),
              ROUND(ROUND(OFFSET($P130,0,AJ$13),15-13*ORÇAMENTO!$AF$7)*OFFSET(ORÇAMENTO!$W$15,ROW(AJ130)-ROW(AJ$15),0),15-13*ORÇAMENTO!$AF$11)),
         0)</f>
        <v>0</v>
      </c>
      <c r="AK130" s="454">
        <f ca="1">IF(AND($D130="Serviço",AK$12&lt;&gt;0,$H130&gt;0,OR(AUTOEVENTO&lt;&gt;"manual",$M130&lt;&gt;$A$15)),
        IF(Import.TipoArredondamento&lt;&gt;"TransfereGOV",
              ROUND(OFFSET($P130,0,AK$13),15-13*ORÇAMENTO!$AF$7)/$H130*OFFSET(ORÇAMENTO!$X$15,ROW(AK130)-ROW(AK$15),0),
              ROUND(ROUND(OFFSET($P130,0,AK$13),15-13*ORÇAMENTO!$AF$7)*OFFSET(ORÇAMENTO!$W$15,ROW(AK130)-ROW(AK$15),0),15-13*ORÇAMENTO!$AF$11)),
         0)</f>
        <v>0</v>
      </c>
      <c r="AM130" s="172">
        <f ca="1">IF(OR($D130&lt;&gt;"Serviço",AND(AUTOEVENTO="Manual",$M130=$A$15)),0,
         IF(OFFSET(CRONOPLE!$F$15,$M130-$A$15,AM$13)="",10^12,OFFSET(CRONOPLE!$F$15,$M130-$A$15,AM$13)))</f>
        <v>0</v>
      </c>
      <c r="AN130" s="172">
        <f ca="1">IF(OR($D130&lt;&gt;"Serviço",AND(AUTOEVENTO="Manual",$M130=$A$15)),0,
         IF(OFFSET(CRONOPLE!$F$15,$M130-$A$15,AN$13)="",10^12,OFFSET(CRONOPLE!$F$15,$M130-$A$15,AN$13)))</f>
        <v>0</v>
      </c>
      <c r="AO130" s="172">
        <f ca="1">IF(OR($D130&lt;&gt;"Serviço",AND(AUTOEVENTO="Manual",$M130=$A$15)),0,
         IF(OFFSET(CRONOPLE!$F$15,$M130-$A$15,AO$13)="",10^12,OFFSET(CRONOPLE!$F$15,$M130-$A$15,AO$13)))</f>
        <v>0</v>
      </c>
      <c r="AP130" s="172">
        <f ca="1">IF(OR($D130&lt;&gt;"Serviço",AND(AUTOEVENTO="Manual",$M130=$A$15)),0,
         IF(OFFSET(CRONOPLE!$F$15,$M130-$A$15,AP$13)="",10^12,OFFSET(CRONOPLE!$F$15,$M130-$A$15,AP$13)))</f>
        <v>0</v>
      </c>
      <c r="AQ130" s="172">
        <f ca="1">IF(OR($D130&lt;&gt;"Serviço",AND(AUTOEVENTO="Manual",$M130=$A$15)),0,
         IF(OFFSET(CRONOPLE!$F$15,$M130-$A$15,AQ$13)="",10^12,OFFSET(CRONOPLE!$F$15,$M130-$A$15,AQ$13)))</f>
        <v>0</v>
      </c>
      <c r="AR130" s="172">
        <f ca="1">IF(OR($D130&lt;&gt;"Serviço",AND(AUTOEVENTO="Manual",$M130=$A$15)),0,
         IF(OFFSET(CRONOPLE!$F$15,$M130-$A$15,AR$13)="",10^12,OFFSET(CRONOPLE!$F$15,$M130-$A$15,AR$13)))</f>
        <v>0</v>
      </c>
      <c r="AS130" s="172">
        <f ca="1">IF(OR($D130&lt;&gt;"Serviço",AND(AUTOEVENTO="Manual",$M130=$A$15)),0,
         IF(OFFSET(CRONOPLE!$F$15,$M130-$A$15,AS$13)="",10^12,OFFSET(CRONOPLE!$F$15,$M130-$A$15,AS$13)))</f>
        <v>0</v>
      </c>
      <c r="AT130" s="172">
        <f ca="1">IF(OR($D130&lt;&gt;"Serviço",AND(AUTOEVENTO="Manual",$M130=$A$15)),0,
         IF(OFFSET(CRONOPLE!$F$15,$M130-$A$15,AT$13)="",10^12,OFFSET(CRONOPLE!$F$15,$M130-$A$15,AT$13)))</f>
        <v>0</v>
      </c>
      <c r="AU130" s="172">
        <f ca="1">IF(OR($D130&lt;&gt;"Serviço",AND(AUTOEVENTO="Manual",$M130=$A$15)),0,
         IF(OFFSET(CRONOPLE!$F$15,$M130-$A$15,AU$13)="",10^12,OFFSET(CRONOPLE!$F$15,$M130-$A$15,AU$13)))</f>
        <v>0</v>
      </c>
      <c r="AV130" s="172">
        <f ca="1">IF(OR($D130&lt;&gt;"Serviço",AND(AUTOEVENTO="Manual",$M130=$A$15)),0,
         IF(OFFSET(CRONOPLE!$F$15,$M130-$A$15,AV$13)="",10^12,OFFSET(CRONOPLE!$F$15,$M130-$A$15,AV$13)))</f>
        <v>0</v>
      </c>
      <c r="AX130" s="173">
        <f ca="1">IF(OR($D130&lt;&gt;"Serviço",AND(AUTOEVENTO="Manual",$M130=$A$15),$M130&gt;(ROW(PLE.lastrow)-ROW(PLE.firstrow))),0,
           IF(OFFSET(PLE!$G$15,$M130-$A$15,AX$13)="",10^12,OFFSET(PLE!$G$15,$M130-$A$15,AX$13)))</f>
        <v>0</v>
      </c>
      <c r="AY130" s="173">
        <f ca="1">IF(OR($D130&lt;&gt;"Serviço",AND(AUTOEVENTO="Manual",$M130=$A$15),$M130&gt;(ROW(PLE.lastrow)-ROW(PLE.firstrow))),0,
           IF(OFFSET(PLE!$G$15,$M130-$A$15,AY$13)="",10^12,OFFSET(PLE!$G$15,$M130-$A$15,AY$13)))</f>
        <v>0</v>
      </c>
      <c r="AZ130" s="173">
        <f ca="1">IF(OR($D130&lt;&gt;"Serviço",AND(AUTOEVENTO="Manual",$M130=$A$15),$M130&gt;(ROW(PLE.lastrow)-ROW(PLE.firstrow))),0,
           IF(OFFSET(PLE!$G$15,$M130-$A$15,AZ$13)="",10^12,OFFSET(PLE!$G$15,$M130-$A$15,AZ$13)))</f>
        <v>0</v>
      </c>
      <c r="BA130" s="173">
        <f ca="1">IF(OR($D130&lt;&gt;"Serviço",AND(AUTOEVENTO="Manual",$M130=$A$15),$M130&gt;(ROW(PLE.lastrow)-ROW(PLE.firstrow))),0,
           IF(OFFSET(PLE!$G$15,$M130-$A$15,BA$13)="",10^12,OFFSET(PLE!$G$15,$M130-$A$15,BA$13)))</f>
        <v>0</v>
      </c>
      <c r="BB130" s="173">
        <f ca="1">IF(OR($D130&lt;&gt;"Serviço",AND(AUTOEVENTO="Manual",$M130=$A$15),$M130&gt;(ROW(PLE.lastrow)-ROW(PLE.firstrow))),0,
           IF(OFFSET(PLE!$G$15,$M130-$A$15,BB$13)="",10^12,OFFSET(PLE!$G$15,$M130-$A$15,BB$13)))</f>
        <v>0</v>
      </c>
      <c r="BC130" s="173">
        <f ca="1">IF(OR($D130&lt;&gt;"Serviço",AND(AUTOEVENTO="Manual",$M130=$A$15),$M130&gt;(ROW(PLE.lastrow)-ROW(PLE.firstrow))),0,
           IF(OFFSET(PLE!$G$15,$M130-$A$15,BC$13)="",10^12,OFFSET(PLE!$G$15,$M130-$A$15,BC$13)))</f>
        <v>0</v>
      </c>
      <c r="BD130" s="173">
        <f ca="1">IF(OR($D130&lt;&gt;"Serviço",AND(AUTOEVENTO="Manual",$M130=$A$15),$M130&gt;(ROW(PLE.lastrow)-ROW(PLE.firstrow))),0,
           IF(OFFSET(PLE!$G$15,$M130-$A$15,BD$13)="",10^12,OFFSET(PLE!$G$15,$M130-$A$15,BD$13)))</f>
        <v>0</v>
      </c>
      <c r="BE130" s="173">
        <f ca="1">IF(OR($D130&lt;&gt;"Serviço",AND(AUTOEVENTO="Manual",$M130=$A$15),$M130&gt;(ROW(PLE.lastrow)-ROW(PLE.firstrow))),0,
           IF(OFFSET(PLE!$G$15,$M130-$A$15,BE$13)="",10^12,OFFSET(PLE!$G$15,$M130-$A$15,BE$13)))</f>
        <v>0</v>
      </c>
      <c r="BF130" s="173">
        <f ca="1">IF(OR($D130&lt;&gt;"Serviço",AND(AUTOEVENTO="Manual",$M130=$A$15),$M130&gt;(ROW(PLE.lastrow)-ROW(PLE.firstrow))),0,
           IF(OFFSET(PLE!$G$15,$M130-$A$15,BF$13)="",10^12,OFFSET(PLE!$G$15,$M130-$A$15,BF$13)))</f>
        <v>0</v>
      </c>
      <c r="BG130" s="173">
        <f ca="1">IF(OR($D130&lt;&gt;"Serviço",AND(AUTOEVENTO="Manual",$M130=$A$15),$M130&gt;(ROW(PLE.lastrow)-ROW(PLE.firstrow))),0,
           IF(OFFSET(PLE!$G$15,$M130-$A$15,BG$13)="",10^12,OFFSET(PLE!$G$15,$M130-$A$15,BG$13)))</f>
        <v>0</v>
      </c>
    </row>
    <row r="131" spans="1:59" ht="38.25" x14ac:dyDescent="0.2">
      <c r="A131" s="7" t="str">
        <f t="shared" ca="1" si="9"/>
        <v>114</v>
      </c>
      <c r="B131" s="7" t="str">
        <f ca="1">OFFSET(ORÇAMENTO!C$15,ROW(B131)-ROW(B$15),0)</f>
        <v>S</v>
      </c>
      <c r="C131" s="7" t="str">
        <f ca="1">OFFSET(ORÇAMENTO!L$15,ROW(C131)-ROW(C$15),0)</f>
        <v/>
      </c>
      <c r="D131" s="117" t="str">
        <f ca="1">OFFSET(ORÇAMENTO!N$15,ROW(D131)-ROW(D$15),0)</f>
        <v>Serviço</v>
      </c>
      <c r="E131" s="118" t="str">
        <f ca="1">OFFSET(ORÇAMENTO!O$15,ROW(E131)-ROW(E$15),0)</f>
        <v>-</v>
      </c>
      <c r="F131" s="164" t="str">
        <f ca="1">OFFSET(ORÇAMENTO!R$15,ROW(F131)-ROW(F$15),0)</f>
        <v>CAIXA SIFONADA, PVC, DN 100 X 100 X 50 MM, JUNTA ELÁSTICA, FORNECIDA E INSTALADA EM RAMAL DE DESCARGA OU EM RAMAL DE ESGOTO SANITÁRIO. AF_08/2022</v>
      </c>
      <c r="G131" s="165" t="str">
        <f ca="1">IF($D131&lt;&gt;"Serviço","",OFFSET(ORÇAMENTO!S$15,ROW(G131)-ROW(G$15),0))</f>
        <v>UN</v>
      </c>
      <c r="H131" s="123">
        <f ca="1">IF($D131&lt;&gt;"Serviço",0,IF(ACOMPANHAMENTO="BM",ROUND(OFFSET(ORÇAMENTO!AJ$15,ROW(H131)-ROW(H$15),0),15-13*ORÇAMENTO!$AF$7),SUMPRODUCT(($Q$1:$AA$1=1)*ROUND($Q131:$AA131,15-13*ORÇAMENTO!$AF$7))))</f>
        <v>24</v>
      </c>
      <c r="I131" s="469"/>
      <c r="J131" s="577" t="str" cm="1">
        <f t="array" aca="1" ref="J131" ca="1">IF(B131&lt;&gt;"S","",IF(AND(ACOMPANHAMENTO="PLE",AUTOEVENTO="Manual",OR(H131&gt;0,ORÇAMENTO!AC131="QUANT."),OR(K131="",M131=0,N131="")),"►",IF(AND(ACOMPANHAMENTO="PLE",ORÇAMENTO!AC131="QUANT."),"►►",IF(AND(COUNTIF($P$11:$AA$11,"▼")=0,H131&gt;0,I131=""),"◄",""))))</f>
        <v>◄</v>
      </c>
      <c r="K131" s="626"/>
      <c r="L131" s="166" t="s">
        <v>765</v>
      </c>
      <c r="M131" s="167">
        <f ca="1">IF($D131&lt;&gt;"Serviço","",
          IF(AUTOEVENTO="manual",$A131,
                IF(ISERROR(MATCH($A131,$A$15:OFFSET($A131,-1,0),0)),MAX($M$15:OFFSET(M131,-1,0))+1,
                      INDEX($M$15:OFFSET(M131,-1,0),MATCH($A131,$A$15:OFFSET($A131,-1,0),0)))))</f>
        <v>11</v>
      </c>
      <c r="N131" s="168" t="str">
        <f ca="1">IF($D131&lt;&gt;"Serviço","",
         IF(AUTOEVENTO="Manual",
                IF($A131=0,"&lt;-- defina o número do agrupador",
                       OFFSET(EVENTOS!$D$15,$A131-$A$15,0)),
                OFFSET($F$15,$A131,0)))</f>
        <v>INSTALAÇÕES HIDROSSANITÁRIAS</v>
      </c>
      <c r="O131" s="169"/>
      <c r="Q131" s="169"/>
      <c r="R131" s="170"/>
      <c r="S131" s="170"/>
      <c r="T131" s="170"/>
      <c r="U131" s="170"/>
      <c r="V131" s="170"/>
      <c r="W131" s="170"/>
      <c r="X131" s="170"/>
      <c r="Y131" s="170"/>
      <c r="Z131" s="171"/>
      <c r="AB131" s="454">
        <f ca="1">IF(AND($D131="Serviço",AB$12&lt;&gt;0,$H131&gt;0,OR(AUTOEVENTO&lt;&gt;"manual",$M131&lt;&gt;$A$15)),
        IF(Import.TipoArredondamento&lt;&gt;"TransfereGOV",
              ROUND(OFFSET($P131,0,AB$13),15-13*ORÇAMENTO!$AF$7)/$H131*OFFSET(ORÇAMENTO!$X$15,ROW(AB131)-ROW(AB$15),0),
              ROUND(ROUND(OFFSET($P131,0,AB$13),15-13*ORÇAMENTO!$AF$7)*OFFSET(ORÇAMENTO!$W$15,ROW(AB131)-ROW(AB$15),0),15-13*ORÇAMENTO!$AF$11)),
         0)</f>
        <v>0</v>
      </c>
      <c r="AC131" s="454">
        <f ca="1">IF(AND($D131="Serviço",AC$12&lt;&gt;0,$H131&gt;0,OR(AUTOEVENTO&lt;&gt;"manual",$M131&lt;&gt;$A$15)),
        IF(Import.TipoArredondamento&lt;&gt;"TransfereGOV",
              ROUND(OFFSET($P131,0,AC$13),15-13*ORÇAMENTO!$AF$7)/$H131*OFFSET(ORÇAMENTO!$X$15,ROW(AC131)-ROW(AC$15),0),
              ROUND(ROUND(OFFSET($P131,0,AC$13),15-13*ORÇAMENTO!$AF$7)*OFFSET(ORÇAMENTO!$W$15,ROW(AC131)-ROW(AC$15),0),15-13*ORÇAMENTO!$AF$11)),
         0)</f>
        <v>0</v>
      </c>
      <c r="AD131" s="454">
        <f ca="1">IF(AND($D131="Serviço",AD$12&lt;&gt;0,$H131&gt;0,OR(AUTOEVENTO&lt;&gt;"manual",$M131&lt;&gt;$A$15)),
        IF(Import.TipoArredondamento&lt;&gt;"TransfereGOV",
              ROUND(OFFSET($P131,0,AD$13),15-13*ORÇAMENTO!$AF$7)/$H131*OFFSET(ORÇAMENTO!$X$15,ROW(AD131)-ROW(AD$15),0),
              ROUND(ROUND(OFFSET($P131,0,AD$13),15-13*ORÇAMENTO!$AF$7)*OFFSET(ORÇAMENTO!$W$15,ROW(AD131)-ROW(AD$15),0),15-13*ORÇAMENTO!$AF$11)),
         0)</f>
        <v>0</v>
      </c>
      <c r="AE131" s="454">
        <f ca="1">IF(AND($D131="Serviço",AE$12&lt;&gt;0,$H131&gt;0,OR(AUTOEVENTO&lt;&gt;"manual",$M131&lt;&gt;$A$15)),
        IF(Import.TipoArredondamento&lt;&gt;"TransfereGOV",
              ROUND(OFFSET($P131,0,AE$13),15-13*ORÇAMENTO!$AF$7)/$H131*OFFSET(ORÇAMENTO!$X$15,ROW(AE131)-ROW(AE$15),0),
              ROUND(ROUND(OFFSET($P131,0,AE$13),15-13*ORÇAMENTO!$AF$7)*OFFSET(ORÇAMENTO!$W$15,ROW(AE131)-ROW(AE$15),0),15-13*ORÇAMENTO!$AF$11)),
         0)</f>
        <v>0</v>
      </c>
      <c r="AF131" s="454">
        <f ca="1">IF(AND($D131="Serviço",AF$12&lt;&gt;0,$H131&gt;0,OR(AUTOEVENTO&lt;&gt;"manual",$M131&lt;&gt;$A$15)),
        IF(Import.TipoArredondamento&lt;&gt;"TransfereGOV",
              ROUND(OFFSET($P131,0,AF$13),15-13*ORÇAMENTO!$AF$7)/$H131*OFFSET(ORÇAMENTO!$X$15,ROW(AF131)-ROW(AF$15),0),
              ROUND(ROUND(OFFSET($P131,0,AF$13),15-13*ORÇAMENTO!$AF$7)*OFFSET(ORÇAMENTO!$W$15,ROW(AF131)-ROW(AF$15),0),15-13*ORÇAMENTO!$AF$11)),
         0)</f>
        <v>0</v>
      </c>
      <c r="AG131" s="454">
        <f ca="1">IF(AND($D131="Serviço",AG$12&lt;&gt;0,$H131&gt;0,OR(AUTOEVENTO&lt;&gt;"manual",$M131&lt;&gt;$A$15)),
        IF(Import.TipoArredondamento&lt;&gt;"TransfereGOV",
              ROUND(OFFSET($P131,0,AG$13),15-13*ORÇAMENTO!$AF$7)/$H131*OFFSET(ORÇAMENTO!$X$15,ROW(AG131)-ROW(AG$15),0),
              ROUND(ROUND(OFFSET($P131,0,AG$13),15-13*ORÇAMENTO!$AF$7)*OFFSET(ORÇAMENTO!$W$15,ROW(AG131)-ROW(AG$15),0),15-13*ORÇAMENTO!$AF$11)),
         0)</f>
        <v>0</v>
      </c>
      <c r="AH131" s="454">
        <f ca="1">IF(AND($D131="Serviço",AH$12&lt;&gt;0,$H131&gt;0,OR(AUTOEVENTO&lt;&gt;"manual",$M131&lt;&gt;$A$15)),
        IF(Import.TipoArredondamento&lt;&gt;"TransfereGOV",
              ROUND(OFFSET($P131,0,AH$13),15-13*ORÇAMENTO!$AF$7)/$H131*OFFSET(ORÇAMENTO!$X$15,ROW(AH131)-ROW(AH$15),0),
              ROUND(ROUND(OFFSET($P131,0,AH$13),15-13*ORÇAMENTO!$AF$7)*OFFSET(ORÇAMENTO!$W$15,ROW(AH131)-ROW(AH$15),0),15-13*ORÇAMENTO!$AF$11)),
         0)</f>
        <v>0</v>
      </c>
      <c r="AI131" s="454">
        <f ca="1">IF(AND($D131="Serviço",AI$12&lt;&gt;0,$H131&gt;0,OR(AUTOEVENTO&lt;&gt;"manual",$M131&lt;&gt;$A$15)),
        IF(Import.TipoArredondamento&lt;&gt;"TransfereGOV",
              ROUND(OFFSET($P131,0,AI$13),15-13*ORÇAMENTO!$AF$7)/$H131*OFFSET(ORÇAMENTO!$X$15,ROW(AI131)-ROW(AI$15),0),
              ROUND(ROUND(OFFSET($P131,0,AI$13),15-13*ORÇAMENTO!$AF$7)*OFFSET(ORÇAMENTO!$W$15,ROW(AI131)-ROW(AI$15),0),15-13*ORÇAMENTO!$AF$11)),
         0)</f>
        <v>0</v>
      </c>
      <c r="AJ131" s="454">
        <f ca="1">IF(AND($D131="Serviço",AJ$12&lt;&gt;0,$H131&gt;0,OR(AUTOEVENTO&lt;&gt;"manual",$M131&lt;&gt;$A$15)),
        IF(Import.TipoArredondamento&lt;&gt;"TransfereGOV",
              ROUND(OFFSET($P131,0,AJ$13),15-13*ORÇAMENTO!$AF$7)/$H131*OFFSET(ORÇAMENTO!$X$15,ROW(AJ131)-ROW(AJ$15),0),
              ROUND(ROUND(OFFSET($P131,0,AJ$13),15-13*ORÇAMENTO!$AF$7)*OFFSET(ORÇAMENTO!$W$15,ROW(AJ131)-ROW(AJ$15),0),15-13*ORÇAMENTO!$AF$11)),
         0)</f>
        <v>0</v>
      </c>
      <c r="AK131" s="454">
        <f ca="1">IF(AND($D131="Serviço",AK$12&lt;&gt;0,$H131&gt;0,OR(AUTOEVENTO&lt;&gt;"manual",$M131&lt;&gt;$A$15)),
        IF(Import.TipoArredondamento&lt;&gt;"TransfereGOV",
              ROUND(OFFSET($P131,0,AK$13),15-13*ORÇAMENTO!$AF$7)/$H131*OFFSET(ORÇAMENTO!$X$15,ROW(AK131)-ROW(AK$15),0),
              ROUND(ROUND(OFFSET($P131,0,AK$13),15-13*ORÇAMENTO!$AF$7)*OFFSET(ORÇAMENTO!$W$15,ROW(AK131)-ROW(AK$15),0),15-13*ORÇAMENTO!$AF$11)),
         0)</f>
        <v>0</v>
      </c>
      <c r="AM131" s="172">
        <f ca="1">IF(OR($D131&lt;&gt;"Serviço",AND(AUTOEVENTO="Manual",$M131=$A$15)),0,
         IF(OFFSET(CRONOPLE!$F$15,$M131-$A$15,AM$13)="",10^12,OFFSET(CRONOPLE!$F$15,$M131-$A$15,AM$13)))</f>
        <v>1000000000000</v>
      </c>
      <c r="AN131" s="172">
        <f ca="1">IF(OR($D131&lt;&gt;"Serviço",AND(AUTOEVENTO="Manual",$M131=$A$15)),0,
         IF(OFFSET(CRONOPLE!$F$15,$M131-$A$15,AN$13)="",10^12,OFFSET(CRONOPLE!$F$15,$M131-$A$15,AN$13)))</f>
        <v>1000000000000</v>
      </c>
      <c r="AO131" s="172">
        <f ca="1">IF(OR($D131&lt;&gt;"Serviço",AND(AUTOEVENTO="Manual",$M131=$A$15)),0,
         IF(OFFSET(CRONOPLE!$F$15,$M131-$A$15,AO$13)="",10^12,OFFSET(CRONOPLE!$F$15,$M131-$A$15,AO$13)))</f>
        <v>1000000000000</v>
      </c>
      <c r="AP131" s="172">
        <f ca="1">IF(OR($D131&lt;&gt;"Serviço",AND(AUTOEVENTO="Manual",$M131=$A$15)),0,
         IF(OFFSET(CRONOPLE!$F$15,$M131-$A$15,AP$13)="",10^12,OFFSET(CRONOPLE!$F$15,$M131-$A$15,AP$13)))</f>
        <v>1000000000000</v>
      </c>
      <c r="AQ131" s="172">
        <f ca="1">IF(OR($D131&lt;&gt;"Serviço",AND(AUTOEVENTO="Manual",$M131=$A$15)),0,
         IF(OFFSET(CRONOPLE!$F$15,$M131-$A$15,AQ$13)="",10^12,OFFSET(CRONOPLE!$F$15,$M131-$A$15,AQ$13)))</f>
        <v>1000000000000</v>
      </c>
      <c r="AR131" s="172">
        <f ca="1">IF(OR($D131&lt;&gt;"Serviço",AND(AUTOEVENTO="Manual",$M131=$A$15)),0,
         IF(OFFSET(CRONOPLE!$F$15,$M131-$A$15,AR$13)="",10^12,OFFSET(CRONOPLE!$F$15,$M131-$A$15,AR$13)))</f>
        <v>1000000000000</v>
      </c>
      <c r="AS131" s="172">
        <f ca="1">IF(OR($D131&lt;&gt;"Serviço",AND(AUTOEVENTO="Manual",$M131=$A$15)),0,
         IF(OFFSET(CRONOPLE!$F$15,$M131-$A$15,AS$13)="",10^12,OFFSET(CRONOPLE!$F$15,$M131-$A$15,AS$13)))</f>
        <v>1000000000000</v>
      </c>
      <c r="AT131" s="172">
        <f ca="1">IF(OR($D131&lt;&gt;"Serviço",AND(AUTOEVENTO="Manual",$M131=$A$15)),0,
         IF(OFFSET(CRONOPLE!$F$15,$M131-$A$15,AT$13)="",10^12,OFFSET(CRONOPLE!$F$15,$M131-$A$15,AT$13)))</f>
        <v>1000000000000</v>
      </c>
      <c r="AU131" s="172">
        <f ca="1">IF(OR($D131&lt;&gt;"Serviço",AND(AUTOEVENTO="Manual",$M131=$A$15)),0,
         IF(OFFSET(CRONOPLE!$F$15,$M131-$A$15,AU$13)="",10^12,OFFSET(CRONOPLE!$F$15,$M131-$A$15,AU$13)))</f>
        <v>1000000000000</v>
      </c>
      <c r="AV131" s="172">
        <f ca="1">IF(OR($D131&lt;&gt;"Serviço",AND(AUTOEVENTO="Manual",$M131=$A$15)),0,
         IF(OFFSET(CRONOPLE!$F$15,$M131-$A$15,AV$13)="",10^12,OFFSET(CRONOPLE!$F$15,$M131-$A$15,AV$13)))</f>
        <v>1000000000000</v>
      </c>
      <c r="AX131" s="173">
        <f ca="1">IF(OR($D131&lt;&gt;"Serviço",AND(AUTOEVENTO="Manual",$M131=$A$15),$M131&gt;(ROW(PLE.lastrow)-ROW(PLE.firstrow))),0,
           IF(OFFSET(PLE!$G$15,$M131-$A$15,AX$13)="",10^12,OFFSET(PLE!$G$15,$M131-$A$15,AX$13)))</f>
        <v>1000000000000</v>
      </c>
      <c r="AY131" s="173">
        <f ca="1">IF(OR($D131&lt;&gt;"Serviço",AND(AUTOEVENTO="Manual",$M131=$A$15),$M131&gt;(ROW(PLE.lastrow)-ROW(PLE.firstrow))),0,
           IF(OFFSET(PLE!$G$15,$M131-$A$15,AY$13)="",10^12,OFFSET(PLE!$G$15,$M131-$A$15,AY$13)))</f>
        <v>1000000000000</v>
      </c>
      <c r="AZ131" s="173">
        <f ca="1">IF(OR($D131&lt;&gt;"Serviço",AND(AUTOEVENTO="Manual",$M131=$A$15),$M131&gt;(ROW(PLE.lastrow)-ROW(PLE.firstrow))),0,
           IF(OFFSET(PLE!$G$15,$M131-$A$15,AZ$13)="",10^12,OFFSET(PLE!$G$15,$M131-$A$15,AZ$13)))</f>
        <v>1000000000000</v>
      </c>
      <c r="BA131" s="173">
        <f ca="1">IF(OR($D131&lt;&gt;"Serviço",AND(AUTOEVENTO="Manual",$M131=$A$15),$M131&gt;(ROW(PLE.lastrow)-ROW(PLE.firstrow))),0,
           IF(OFFSET(PLE!$G$15,$M131-$A$15,BA$13)="",10^12,OFFSET(PLE!$G$15,$M131-$A$15,BA$13)))</f>
        <v>1000000000000</v>
      </c>
      <c r="BB131" s="173">
        <f ca="1">IF(OR($D131&lt;&gt;"Serviço",AND(AUTOEVENTO="Manual",$M131=$A$15),$M131&gt;(ROW(PLE.lastrow)-ROW(PLE.firstrow))),0,
           IF(OFFSET(PLE!$G$15,$M131-$A$15,BB$13)="",10^12,OFFSET(PLE!$G$15,$M131-$A$15,BB$13)))</f>
        <v>1000000000000</v>
      </c>
      <c r="BC131" s="173">
        <f ca="1">IF(OR($D131&lt;&gt;"Serviço",AND(AUTOEVENTO="Manual",$M131=$A$15),$M131&gt;(ROW(PLE.lastrow)-ROW(PLE.firstrow))),0,
           IF(OFFSET(PLE!$G$15,$M131-$A$15,BC$13)="",10^12,OFFSET(PLE!$G$15,$M131-$A$15,BC$13)))</f>
        <v>1000000000000</v>
      </c>
      <c r="BD131" s="173">
        <f ca="1">IF(OR($D131&lt;&gt;"Serviço",AND(AUTOEVENTO="Manual",$M131=$A$15),$M131&gt;(ROW(PLE.lastrow)-ROW(PLE.firstrow))),0,
           IF(OFFSET(PLE!$G$15,$M131-$A$15,BD$13)="",10^12,OFFSET(PLE!$G$15,$M131-$A$15,BD$13)))</f>
        <v>1000000000000</v>
      </c>
      <c r="BE131" s="173">
        <f ca="1">IF(OR($D131&lt;&gt;"Serviço",AND(AUTOEVENTO="Manual",$M131=$A$15),$M131&gt;(ROW(PLE.lastrow)-ROW(PLE.firstrow))),0,
           IF(OFFSET(PLE!$G$15,$M131-$A$15,BE$13)="",10^12,OFFSET(PLE!$G$15,$M131-$A$15,BE$13)))</f>
        <v>1000000000000</v>
      </c>
      <c r="BF131" s="173">
        <f ca="1">IF(OR($D131&lt;&gt;"Serviço",AND(AUTOEVENTO="Manual",$M131=$A$15),$M131&gt;(ROW(PLE.lastrow)-ROW(PLE.firstrow))),0,
           IF(OFFSET(PLE!$G$15,$M131-$A$15,BF$13)="",10^12,OFFSET(PLE!$G$15,$M131-$A$15,BF$13)))</f>
        <v>1000000000000</v>
      </c>
      <c r="BG131" s="173">
        <f ca="1">IF(OR($D131&lt;&gt;"Serviço",AND(AUTOEVENTO="Manual",$M131=$A$15),$M131&gt;(ROW(PLE.lastrow)-ROW(PLE.firstrow))),0,
           IF(OFFSET(PLE!$G$15,$M131-$A$15,BG$13)="",10^12,OFFSET(PLE!$G$15,$M131-$A$15,BG$13)))</f>
        <v>1000000000000</v>
      </c>
    </row>
    <row r="132" spans="1:59" ht="25.5" x14ac:dyDescent="0.2">
      <c r="A132" s="7" t="str">
        <f t="shared" ca="1" si="9"/>
        <v>114</v>
      </c>
      <c r="B132" s="7" t="str">
        <f ca="1">OFFSET(ORÇAMENTO!C$15,ROW(B132)-ROW(B$15),0)</f>
        <v>S</v>
      </c>
      <c r="C132" s="7" t="str">
        <f ca="1">OFFSET(ORÇAMENTO!L$15,ROW(C132)-ROW(C$15),0)</f>
        <v/>
      </c>
      <c r="D132" s="117" t="str">
        <f ca="1">OFFSET(ORÇAMENTO!N$15,ROW(D132)-ROW(D$15),0)</f>
        <v>Serviço</v>
      </c>
      <c r="E132" s="118" t="str">
        <f ca="1">OFFSET(ORÇAMENTO!O$15,ROW(E132)-ROW(E$15),0)</f>
        <v>-</v>
      </c>
      <c r="F132" s="164" t="str">
        <f ca="1">OFFSET(ORÇAMENTO!R$15,ROW(F132)-ROW(F$15),0)</f>
        <v xml:space="preserve">RALO LINEAR GRELHA 70 CM </v>
      </c>
      <c r="G132" s="165" t="str">
        <f ca="1">IF($D132&lt;&gt;"Serviço","",OFFSET(ORÇAMENTO!S$15,ROW(G132)-ROW(G$15),0))</f>
        <v>UN</v>
      </c>
      <c r="H132" s="123">
        <f ca="1">IF($D132&lt;&gt;"Serviço",0,IF(ACOMPANHAMENTO="BM",ROUND(OFFSET(ORÇAMENTO!AJ$15,ROW(H132)-ROW(H$15),0),15-13*ORÇAMENTO!$AF$7),SUMPRODUCT(($Q$1:$AA$1=1)*ROUND($Q132:$AA132,15-13*ORÇAMENTO!$AF$7))))</f>
        <v>2</v>
      </c>
      <c r="I132" s="469"/>
      <c r="J132" s="577" t="str" cm="1">
        <f t="array" aca="1" ref="J132" ca="1">IF(B132&lt;&gt;"S","",IF(AND(ACOMPANHAMENTO="PLE",AUTOEVENTO="Manual",OR(H132&gt;0,ORÇAMENTO!AC132="QUANT."),OR(K132="",M132=0,N132="")),"►",IF(AND(ACOMPANHAMENTO="PLE",ORÇAMENTO!AC132="QUANT."),"►►",IF(AND(COUNTIF($P$11:$AA$11,"▼")=0,H132&gt;0,I132=""),"◄",""))))</f>
        <v>◄</v>
      </c>
      <c r="K132" s="626"/>
      <c r="L132" s="166" t="s">
        <v>765</v>
      </c>
      <c r="M132" s="167">
        <f ca="1">IF($D132&lt;&gt;"Serviço","",
          IF(AUTOEVENTO="manual",$A132,
                IF(ISERROR(MATCH($A132,$A$15:OFFSET($A132,-1,0),0)),MAX($M$15:OFFSET(M132,-1,0))+1,
                      INDEX($M$15:OFFSET(M132,-1,0),MATCH($A132,$A$15:OFFSET($A132,-1,0),0)))))</f>
        <v>11</v>
      </c>
      <c r="N132" s="168" t="str">
        <f ca="1">IF($D132&lt;&gt;"Serviço","",
         IF(AUTOEVENTO="Manual",
                IF($A132=0,"&lt;-- defina o número do agrupador",
                       OFFSET(EVENTOS!$D$15,$A132-$A$15,0)),
                OFFSET($F$15,$A132,0)))</f>
        <v>INSTALAÇÕES HIDROSSANITÁRIAS</v>
      </c>
      <c r="O132" s="169"/>
      <c r="Q132" s="169"/>
      <c r="R132" s="170"/>
      <c r="S132" s="170"/>
      <c r="T132" s="170"/>
      <c r="U132" s="170"/>
      <c r="V132" s="170"/>
      <c r="W132" s="170"/>
      <c r="X132" s="170"/>
      <c r="Y132" s="170"/>
      <c r="Z132" s="171"/>
      <c r="AB132" s="454">
        <f ca="1">IF(AND($D132="Serviço",AB$12&lt;&gt;0,$H132&gt;0,OR(AUTOEVENTO&lt;&gt;"manual",$M132&lt;&gt;$A$15)),
        IF(Import.TipoArredondamento&lt;&gt;"TransfereGOV",
              ROUND(OFFSET($P132,0,AB$13),15-13*ORÇAMENTO!$AF$7)/$H132*OFFSET(ORÇAMENTO!$X$15,ROW(AB132)-ROW(AB$15),0),
              ROUND(ROUND(OFFSET($P132,0,AB$13),15-13*ORÇAMENTO!$AF$7)*OFFSET(ORÇAMENTO!$W$15,ROW(AB132)-ROW(AB$15),0),15-13*ORÇAMENTO!$AF$11)),
         0)</f>
        <v>0</v>
      </c>
      <c r="AC132" s="454">
        <f ca="1">IF(AND($D132="Serviço",AC$12&lt;&gt;0,$H132&gt;0,OR(AUTOEVENTO&lt;&gt;"manual",$M132&lt;&gt;$A$15)),
        IF(Import.TipoArredondamento&lt;&gt;"TransfereGOV",
              ROUND(OFFSET($P132,0,AC$13),15-13*ORÇAMENTO!$AF$7)/$H132*OFFSET(ORÇAMENTO!$X$15,ROW(AC132)-ROW(AC$15),0),
              ROUND(ROUND(OFFSET($P132,0,AC$13),15-13*ORÇAMENTO!$AF$7)*OFFSET(ORÇAMENTO!$W$15,ROW(AC132)-ROW(AC$15),0),15-13*ORÇAMENTO!$AF$11)),
         0)</f>
        <v>0</v>
      </c>
      <c r="AD132" s="454">
        <f ca="1">IF(AND($D132="Serviço",AD$12&lt;&gt;0,$H132&gt;0,OR(AUTOEVENTO&lt;&gt;"manual",$M132&lt;&gt;$A$15)),
        IF(Import.TipoArredondamento&lt;&gt;"TransfereGOV",
              ROUND(OFFSET($P132,0,AD$13),15-13*ORÇAMENTO!$AF$7)/$H132*OFFSET(ORÇAMENTO!$X$15,ROW(AD132)-ROW(AD$15),0),
              ROUND(ROUND(OFFSET($P132,0,AD$13),15-13*ORÇAMENTO!$AF$7)*OFFSET(ORÇAMENTO!$W$15,ROW(AD132)-ROW(AD$15),0),15-13*ORÇAMENTO!$AF$11)),
         0)</f>
        <v>0</v>
      </c>
      <c r="AE132" s="454">
        <f ca="1">IF(AND($D132="Serviço",AE$12&lt;&gt;0,$H132&gt;0,OR(AUTOEVENTO&lt;&gt;"manual",$M132&lt;&gt;$A$15)),
        IF(Import.TipoArredondamento&lt;&gt;"TransfereGOV",
              ROUND(OFFSET($P132,0,AE$13),15-13*ORÇAMENTO!$AF$7)/$H132*OFFSET(ORÇAMENTO!$X$15,ROW(AE132)-ROW(AE$15),0),
              ROUND(ROUND(OFFSET($P132,0,AE$13),15-13*ORÇAMENTO!$AF$7)*OFFSET(ORÇAMENTO!$W$15,ROW(AE132)-ROW(AE$15),0),15-13*ORÇAMENTO!$AF$11)),
         0)</f>
        <v>0</v>
      </c>
      <c r="AF132" s="454">
        <f ca="1">IF(AND($D132="Serviço",AF$12&lt;&gt;0,$H132&gt;0,OR(AUTOEVENTO&lt;&gt;"manual",$M132&lt;&gt;$A$15)),
        IF(Import.TipoArredondamento&lt;&gt;"TransfereGOV",
              ROUND(OFFSET($P132,0,AF$13),15-13*ORÇAMENTO!$AF$7)/$H132*OFFSET(ORÇAMENTO!$X$15,ROW(AF132)-ROW(AF$15),0),
              ROUND(ROUND(OFFSET($P132,0,AF$13),15-13*ORÇAMENTO!$AF$7)*OFFSET(ORÇAMENTO!$W$15,ROW(AF132)-ROW(AF$15),0),15-13*ORÇAMENTO!$AF$11)),
         0)</f>
        <v>0</v>
      </c>
      <c r="AG132" s="454">
        <f ca="1">IF(AND($D132="Serviço",AG$12&lt;&gt;0,$H132&gt;0,OR(AUTOEVENTO&lt;&gt;"manual",$M132&lt;&gt;$A$15)),
        IF(Import.TipoArredondamento&lt;&gt;"TransfereGOV",
              ROUND(OFFSET($P132,0,AG$13),15-13*ORÇAMENTO!$AF$7)/$H132*OFFSET(ORÇAMENTO!$X$15,ROW(AG132)-ROW(AG$15),0),
              ROUND(ROUND(OFFSET($P132,0,AG$13),15-13*ORÇAMENTO!$AF$7)*OFFSET(ORÇAMENTO!$W$15,ROW(AG132)-ROW(AG$15),0),15-13*ORÇAMENTO!$AF$11)),
         0)</f>
        <v>0</v>
      </c>
      <c r="AH132" s="454">
        <f ca="1">IF(AND($D132="Serviço",AH$12&lt;&gt;0,$H132&gt;0,OR(AUTOEVENTO&lt;&gt;"manual",$M132&lt;&gt;$A$15)),
        IF(Import.TipoArredondamento&lt;&gt;"TransfereGOV",
              ROUND(OFFSET($P132,0,AH$13),15-13*ORÇAMENTO!$AF$7)/$H132*OFFSET(ORÇAMENTO!$X$15,ROW(AH132)-ROW(AH$15),0),
              ROUND(ROUND(OFFSET($P132,0,AH$13),15-13*ORÇAMENTO!$AF$7)*OFFSET(ORÇAMENTO!$W$15,ROW(AH132)-ROW(AH$15),0),15-13*ORÇAMENTO!$AF$11)),
         0)</f>
        <v>0</v>
      </c>
      <c r="AI132" s="454">
        <f ca="1">IF(AND($D132="Serviço",AI$12&lt;&gt;0,$H132&gt;0,OR(AUTOEVENTO&lt;&gt;"manual",$M132&lt;&gt;$A$15)),
        IF(Import.TipoArredondamento&lt;&gt;"TransfereGOV",
              ROUND(OFFSET($P132,0,AI$13),15-13*ORÇAMENTO!$AF$7)/$H132*OFFSET(ORÇAMENTO!$X$15,ROW(AI132)-ROW(AI$15),0),
              ROUND(ROUND(OFFSET($P132,0,AI$13),15-13*ORÇAMENTO!$AF$7)*OFFSET(ORÇAMENTO!$W$15,ROW(AI132)-ROW(AI$15),0),15-13*ORÇAMENTO!$AF$11)),
         0)</f>
        <v>0</v>
      </c>
      <c r="AJ132" s="454">
        <f ca="1">IF(AND($D132="Serviço",AJ$12&lt;&gt;0,$H132&gt;0,OR(AUTOEVENTO&lt;&gt;"manual",$M132&lt;&gt;$A$15)),
        IF(Import.TipoArredondamento&lt;&gt;"TransfereGOV",
              ROUND(OFFSET($P132,0,AJ$13),15-13*ORÇAMENTO!$AF$7)/$H132*OFFSET(ORÇAMENTO!$X$15,ROW(AJ132)-ROW(AJ$15),0),
              ROUND(ROUND(OFFSET($P132,0,AJ$13),15-13*ORÇAMENTO!$AF$7)*OFFSET(ORÇAMENTO!$W$15,ROW(AJ132)-ROW(AJ$15),0),15-13*ORÇAMENTO!$AF$11)),
         0)</f>
        <v>0</v>
      </c>
      <c r="AK132" s="454">
        <f ca="1">IF(AND($D132="Serviço",AK$12&lt;&gt;0,$H132&gt;0,OR(AUTOEVENTO&lt;&gt;"manual",$M132&lt;&gt;$A$15)),
        IF(Import.TipoArredondamento&lt;&gt;"TransfereGOV",
              ROUND(OFFSET($P132,0,AK$13),15-13*ORÇAMENTO!$AF$7)/$H132*OFFSET(ORÇAMENTO!$X$15,ROW(AK132)-ROW(AK$15),0),
              ROUND(ROUND(OFFSET($P132,0,AK$13),15-13*ORÇAMENTO!$AF$7)*OFFSET(ORÇAMENTO!$W$15,ROW(AK132)-ROW(AK$15),0),15-13*ORÇAMENTO!$AF$11)),
         0)</f>
        <v>0</v>
      </c>
      <c r="AM132" s="172">
        <f ca="1">IF(OR($D132&lt;&gt;"Serviço",AND(AUTOEVENTO="Manual",$M132=$A$15)),0,
         IF(OFFSET(CRONOPLE!$F$15,$M132-$A$15,AM$13)="",10^12,OFFSET(CRONOPLE!$F$15,$M132-$A$15,AM$13)))</f>
        <v>1000000000000</v>
      </c>
      <c r="AN132" s="172">
        <f ca="1">IF(OR($D132&lt;&gt;"Serviço",AND(AUTOEVENTO="Manual",$M132=$A$15)),0,
         IF(OFFSET(CRONOPLE!$F$15,$M132-$A$15,AN$13)="",10^12,OFFSET(CRONOPLE!$F$15,$M132-$A$15,AN$13)))</f>
        <v>1000000000000</v>
      </c>
      <c r="AO132" s="172">
        <f ca="1">IF(OR($D132&lt;&gt;"Serviço",AND(AUTOEVENTO="Manual",$M132=$A$15)),0,
         IF(OFFSET(CRONOPLE!$F$15,$M132-$A$15,AO$13)="",10^12,OFFSET(CRONOPLE!$F$15,$M132-$A$15,AO$13)))</f>
        <v>1000000000000</v>
      </c>
      <c r="AP132" s="172">
        <f ca="1">IF(OR($D132&lt;&gt;"Serviço",AND(AUTOEVENTO="Manual",$M132=$A$15)),0,
         IF(OFFSET(CRONOPLE!$F$15,$M132-$A$15,AP$13)="",10^12,OFFSET(CRONOPLE!$F$15,$M132-$A$15,AP$13)))</f>
        <v>1000000000000</v>
      </c>
      <c r="AQ132" s="172">
        <f ca="1">IF(OR($D132&lt;&gt;"Serviço",AND(AUTOEVENTO="Manual",$M132=$A$15)),0,
         IF(OFFSET(CRONOPLE!$F$15,$M132-$A$15,AQ$13)="",10^12,OFFSET(CRONOPLE!$F$15,$M132-$A$15,AQ$13)))</f>
        <v>1000000000000</v>
      </c>
      <c r="AR132" s="172">
        <f ca="1">IF(OR($D132&lt;&gt;"Serviço",AND(AUTOEVENTO="Manual",$M132=$A$15)),0,
         IF(OFFSET(CRONOPLE!$F$15,$M132-$A$15,AR$13)="",10^12,OFFSET(CRONOPLE!$F$15,$M132-$A$15,AR$13)))</f>
        <v>1000000000000</v>
      </c>
      <c r="AS132" s="172">
        <f ca="1">IF(OR($D132&lt;&gt;"Serviço",AND(AUTOEVENTO="Manual",$M132=$A$15)),0,
         IF(OFFSET(CRONOPLE!$F$15,$M132-$A$15,AS$13)="",10^12,OFFSET(CRONOPLE!$F$15,$M132-$A$15,AS$13)))</f>
        <v>1000000000000</v>
      </c>
      <c r="AT132" s="172">
        <f ca="1">IF(OR($D132&lt;&gt;"Serviço",AND(AUTOEVENTO="Manual",$M132=$A$15)),0,
         IF(OFFSET(CRONOPLE!$F$15,$M132-$A$15,AT$13)="",10^12,OFFSET(CRONOPLE!$F$15,$M132-$A$15,AT$13)))</f>
        <v>1000000000000</v>
      </c>
      <c r="AU132" s="172">
        <f ca="1">IF(OR($D132&lt;&gt;"Serviço",AND(AUTOEVENTO="Manual",$M132=$A$15)),0,
         IF(OFFSET(CRONOPLE!$F$15,$M132-$A$15,AU$13)="",10^12,OFFSET(CRONOPLE!$F$15,$M132-$A$15,AU$13)))</f>
        <v>1000000000000</v>
      </c>
      <c r="AV132" s="172">
        <f ca="1">IF(OR($D132&lt;&gt;"Serviço",AND(AUTOEVENTO="Manual",$M132=$A$15)),0,
         IF(OFFSET(CRONOPLE!$F$15,$M132-$A$15,AV$13)="",10^12,OFFSET(CRONOPLE!$F$15,$M132-$A$15,AV$13)))</f>
        <v>1000000000000</v>
      </c>
      <c r="AX132" s="173">
        <f ca="1">IF(OR($D132&lt;&gt;"Serviço",AND(AUTOEVENTO="Manual",$M132=$A$15),$M132&gt;(ROW(PLE.lastrow)-ROW(PLE.firstrow))),0,
           IF(OFFSET(PLE!$G$15,$M132-$A$15,AX$13)="",10^12,OFFSET(PLE!$G$15,$M132-$A$15,AX$13)))</f>
        <v>1000000000000</v>
      </c>
      <c r="AY132" s="173">
        <f ca="1">IF(OR($D132&lt;&gt;"Serviço",AND(AUTOEVENTO="Manual",$M132=$A$15),$M132&gt;(ROW(PLE.lastrow)-ROW(PLE.firstrow))),0,
           IF(OFFSET(PLE!$G$15,$M132-$A$15,AY$13)="",10^12,OFFSET(PLE!$G$15,$M132-$A$15,AY$13)))</f>
        <v>1000000000000</v>
      </c>
      <c r="AZ132" s="173">
        <f ca="1">IF(OR($D132&lt;&gt;"Serviço",AND(AUTOEVENTO="Manual",$M132=$A$15),$M132&gt;(ROW(PLE.lastrow)-ROW(PLE.firstrow))),0,
           IF(OFFSET(PLE!$G$15,$M132-$A$15,AZ$13)="",10^12,OFFSET(PLE!$G$15,$M132-$A$15,AZ$13)))</f>
        <v>1000000000000</v>
      </c>
      <c r="BA132" s="173">
        <f ca="1">IF(OR($D132&lt;&gt;"Serviço",AND(AUTOEVENTO="Manual",$M132=$A$15),$M132&gt;(ROW(PLE.lastrow)-ROW(PLE.firstrow))),0,
           IF(OFFSET(PLE!$G$15,$M132-$A$15,BA$13)="",10^12,OFFSET(PLE!$G$15,$M132-$A$15,BA$13)))</f>
        <v>1000000000000</v>
      </c>
      <c r="BB132" s="173">
        <f ca="1">IF(OR($D132&lt;&gt;"Serviço",AND(AUTOEVENTO="Manual",$M132=$A$15),$M132&gt;(ROW(PLE.lastrow)-ROW(PLE.firstrow))),0,
           IF(OFFSET(PLE!$G$15,$M132-$A$15,BB$13)="",10^12,OFFSET(PLE!$G$15,$M132-$A$15,BB$13)))</f>
        <v>1000000000000</v>
      </c>
      <c r="BC132" s="173">
        <f ca="1">IF(OR($D132&lt;&gt;"Serviço",AND(AUTOEVENTO="Manual",$M132=$A$15),$M132&gt;(ROW(PLE.lastrow)-ROW(PLE.firstrow))),0,
           IF(OFFSET(PLE!$G$15,$M132-$A$15,BC$13)="",10^12,OFFSET(PLE!$G$15,$M132-$A$15,BC$13)))</f>
        <v>1000000000000</v>
      </c>
      <c r="BD132" s="173">
        <f ca="1">IF(OR($D132&lt;&gt;"Serviço",AND(AUTOEVENTO="Manual",$M132=$A$15),$M132&gt;(ROW(PLE.lastrow)-ROW(PLE.firstrow))),0,
           IF(OFFSET(PLE!$G$15,$M132-$A$15,BD$13)="",10^12,OFFSET(PLE!$G$15,$M132-$A$15,BD$13)))</f>
        <v>1000000000000</v>
      </c>
      <c r="BE132" s="173">
        <f ca="1">IF(OR($D132&lt;&gt;"Serviço",AND(AUTOEVENTO="Manual",$M132=$A$15),$M132&gt;(ROW(PLE.lastrow)-ROW(PLE.firstrow))),0,
           IF(OFFSET(PLE!$G$15,$M132-$A$15,BE$13)="",10^12,OFFSET(PLE!$G$15,$M132-$A$15,BE$13)))</f>
        <v>1000000000000</v>
      </c>
      <c r="BF132" s="173">
        <f ca="1">IF(OR($D132&lt;&gt;"Serviço",AND(AUTOEVENTO="Manual",$M132=$A$15),$M132&gt;(ROW(PLE.lastrow)-ROW(PLE.firstrow))),0,
           IF(OFFSET(PLE!$G$15,$M132-$A$15,BF$13)="",10^12,OFFSET(PLE!$G$15,$M132-$A$15,BF$13)))</f>
        <v>1000000000000</v>
      </c>
      <c r="BG132" s="173">
        <f ca="1">IF(OR($D132&lt;&gt;"Serviço",AND(AUTOEVENTO="Manual",$M132=$A$15),$M132&gt;(ROW(PLE.lastrow)-ROW(PLE.firstrow))),0,
           IF(OFFSET(PLE!$G$15,$M132-$A$15,BG$13)="",10^12,OFFSET(PLE!$G$15,$M132-$A$15,BG$13)))</f>
        <v>1000000000000</v>
      </c>
    </row>
    <row r="133" spans="1:59" ht="25.5" x14ac:dyDescent="0.2">
      <c r="A133" s="7" t="str">
        <f t="shared" ca="1" si="9"/>
        <v>114</v>
      </c>
      <c r="B133" s="7" t="str">
        <f ca="1">OFFSET(ORÇAMENTO!C$15,ROW(B133)-ROW(B$15),0)</f>
        <v>S</v>
      </c>
      <c r="C133" s="7" t="str">
        <f ca="1">OFFSET(ORÇAMENTO!L$15,ROW(C133)-ROW(C$15),0)</f>
        <v/>
      </c>
      <c r="D133" s="117" t="str">
        <f ca="1">OFFSET(ORÇAMENTO!N$15,ROW(D133)-ROW(D$15),0)</f>
        <v>Serviço</v>
      </c>
      <c r="E133" s="118" t="str">
        <f ca="1">OFFSET(ORÇAMENTO!O$15,ROW(E133)-ROW(E$15),0)</f>
        <v>-</v>
      </c>
      <c r="F133" s="164" t="str">
        <f ca="1">OFFSET(ORÇAMENTO!R$15,ROW(F133)-ROW(F$15),0)</f>
        <v xml:space="preserve">RALO LINEAR GRELHA 90 CM </v>
      </c>
      <c r="G133" s="165" t="str">
        <f ca="1">IF($D133&lt;&gt;"Serviço","",OFFSET(ORÇAMENTO!S$15,ROW(G133)-ROW(G$15),0))</f>
        <v>UN</v>
      </c>
      <c r="H133" s="123">
        <f ca="1">IF($D133&lt;&gt;"Serviço",0,IF(ACOMPANHAMENTO="BM",ROUND(OFFSET(ORÇAMENTO!AJ$15,ROW(H133)-ROW(H$15),0),15-13*ORÇAMENTO!$AF$7),SUMPRODUCT(($Q$1:$AA$1=1)*ROUND($Q133:$AA133,15-13*ORÇAMENTO!$AF$7))))</f>
        <v>4</v>
      </c>
      <c r="I133" s="469"/>
      <c r="J133" s="577" t="str" cm="1">
        <f t="array" aca="1" ref="J133" ca="1">IF(B133&lt;&gt;"S","",IF(AND(ACOMPANHAMENTO="PLE",AUTOEVENTO="Manual",OR(H133&gt;0,ORÇAMENTO!AC133="QUANT."),OR(K133="",M133=0,N133="")),"►",IF(AND(ACOMPANHAMENTO="PLE",ORÇAMENTO!AC133="QUANT."),"►►",IF(AND(COUNTIF($P$11:$AA$11,"▼")=0,H133&gt;0,I133=""),"◄",""))))</f>
        <v>◄</v>
      </c>
      <c r="K133" s="626"/>
      <c r="L133" s="166" t="s">
        <v>765</v>
      </c>
      <c r="M133" s="167">
        <f ca="1">IF($D133&lt;&gt;"Serviço","",
          IF(AUTOEVENTO="manual",$A133,
                IF(ISERROR(MATCH($A133,$A$15:OFFSET($A133,-1,0),0)),MAX($M$15:OFFSET(M133,-1,0))+1,
                      INDEX($M$15:OFFSET(M133,-1,0),MATCH($A133,$A$15:OFFSET($A133,-1,0),0)))))</f>
        <v>11</v>
      </c>
      <c r="N133" s="168" t="str">
        <f ca="1">IF($D133&lt;&gt;"Serviço","",
         IF(AUTOEVENTO="Manual",
                IF($A133=0,"&lt;-- defina o número do agrupador",
                       OFFSET(EVENTOS!$D$15,$A133-$A$15,0)),
                OFFSET($F$15,$A133,0)))</f>
        <v>INSTALAÇÕES HIDROSSANITÁRIAS</v>
      </c>
      <c r="O133" s="169"/>
      <c r="Q133" s="169"/>
      <c r="R133" s="170"/>
      <c r="S133" s="170"/>
      <c r="T133" s="170"/>
      <c r="U133" s="170"/>
      <c r="V133" s="170"/>
      <c r="W133" s="170"/>
      <c r="X133" s="170"/>
      <c r="Y133" s="170"/>
      <c r="Z133" s="171"/>
      <c r="AB133" s="454">
        <f ca="1">IF(AND($D133="Serviço",AB$12&lt;&gt;0,$H133&gt;0,OR(AUTOEVENTO&lt;&gt;"manual",$M133&lt;&gt;$A$15)),
        IF(Import.TipoArredondamento&lt;&gt;"TransfereGOV",
              ROUND(OFFSET($P133,0,AB$13),15-13*ORÇAMENTO!$AF$7)/$H133*OFFSET(ORÇAMENTO!$X$15,ROW(AB133)-ROW(AB$15),0),
              ROUND(ROUND(OFFSET($P133,0,AB$13),15-13*ORÇAMENTO!$AF$7)*OFFSET(ORÇAMENTO!$W$15,ROW(AB133)-ROW(AB$15),0),15-13*ORÇAMENTO!$AF$11)),
         0)</f>
        <v>0</v>
      </c>
      <c r="AC133" s="454">
        <f ca="1">IF(AND($D133="Serviço",AC$12&lt;&gt;0,$H133&gt;0,OR(AUTOEVENTO&lt;&gt;"manual",$M133&lt;&gt;$A$15)),
        IF(Import.TipoArredondamento&lt;&gt;"TransfereGOV",
              ROUND(OFFSET($P133,0,AC$13),15-13*ORÇAMENTO!$AF$7)/$H133*OFFSET(ORÇAMENTO!$X$15,ROW(AC133)-ROW(AC$15),0),
              ROUND(ROUND(OFFSET($P133,0,AC$13),15-13*ORÇAMENTO!$AF$7)*OFFSET(ORÇAMENTO!$W$15,ROW(AC133)-ROW(AC$15),0),15-13*ORÇAMENTO!$AF$11)),
         0)</f>
        <v>0</v>
      </c>
      <c r="AD133" s="454">
        <f ca="1">IF(AND($D133="Serviço",AD$12&lt;&gt;0,$H133&gt;0,OR(AUTOEVENTO&lt;&gt;"manual",$M133&lt;&gt;$A$15)),
        IF(Import.TipoArredondamento&lt;&gt;"TransfereGOV",
              ROUND(OFFSET($P133,0,AD$13),15-13*ORÇAMENTO!$AF$7)/$H133*OFFSET(ORÇAMENTO!$X$15,ROW(AD133)-ROW(AD$15),0),
              ROUND(ROUND(OFFSET($P133,0,AD$13),15-13*ORÇAMENTO!$AF$7)*OFFSET(ORÇAMENTO!$W$15,ROW(AD133)-ROW(AD$15),0),15-13*ORÇAMENTO!$AF$11)),
         0)</f>
        <v>0</v>
      </c>
      <c r="AE133" s="454">
        <f ca="1">IF(AND($D133="Serviço",AE$12&lt;&gt;0,$H133&gt;0,OR(AUTOEVENTO&lt;&gt;"manual",$M133&lt;&gt;$A$15)),
        IF(Import.TipoArredondamento&lt;&gt;"TransfereGOV",
              ROUND(OFFSET($P133,0,AE$13),15-13*ORÇAMENTO!$AF$7)/$H133*OFFSET(ORÇAMENTO!$X$15,ROW(AE133)-ROW(AE$15),0),
              ROUND(ROUND(OFFSET($P133,0,AE$13),15-13*ORÇAMENTO!$AF$7)*OFFSET(ORÇAMENTO!$W$15,ROW(AE133)-ROW(AE$15),0),15-13*ORÇAMENTO!$AF$11)),
         0)</f>
        <v>0</v>
      </c>
      <c r="AF133" s="454">
        <f ca="1">IF(AND($D133="Serviço",AF$12&lt;&gt;0,$H133&gt;0,OR(AUTOEVENTO&lt;&gt;"manual",$M133&lt;&gt;$A$15)),
        IF(Import.TipoArredondamento&lt;&gt;"TransfereGOV",
              ROUND(OFFSET($P133,0,AF$13),15-13*ORÇAMENTO!$AF$7)/$H133*OFFSET(ORÇAMENTO!$X$15,ROW(AF133)-ROW(AF$15),0),
              ROUND(ROUND(OFFSET($P133,0,AF$13),15-13*ORÇAMENTO!$AF$7)*OFFSET(ORÇAMENTO!$W$15,ROW(AF133)-ROW(AF$15),0),15-13*ORÇAMENTO!$AF$11)),
         0)</f>
        <v>0</v>
      </c>
      <c r="AG133" s="454">
        <f ca="1">IF(AND($D133="Serviço",AG$12&lt;&gt;0,$H133&gt;0,OR(AUTOEVENTO&lt;&gt;"manual",$M133&lt;&gt;$A$15)),
        IF(Import.TipoArredondamento&lt;&gt;"TransfereGOV",
              ROUND(OFFSET($P133,0,AG$13),15-13*ORÇAMENTO!$AF$7)/$H133*OFFSET(ORÇAMENTO!$X$15,ROW(AG133)-ROW(AG$15),0),
              ROUND(ROUND(OFFSET($P133,0,AG$13),15-13*ORÇAMENTO!$AF$7)*OFFSET(ORÇAMENTO!$W$15,ROW(AG133)-ROW(AG$15),0),15-13*ORÇAMENTO!$AF$11)),
         0)</f>
        <v>0</v>
      </c>
      <c r="AH133" s="454">
        <f ca="1">IF(AND($D133="Serviço",AH$12&lt;&gt;0,$H133&gt;0,OR(AUTOEVENTO&lt;&gt;"manual",$M133&lt;&gt;$A$15)),
        IF(Import.TipoArredondamento&lt;&gt;"TransfereGOV",
              ROUND(OFFSET($P133,0,AH$13),15-13*ORÇAMENTO!$AF$7)/$H133*OFFSET(ORÇAMENTO!$X$15,ROW(AH133)-ROW(AH$15),0),
              ROUND(ROUND(OFFSET($P133,0,AH$13),15-13*ORÇAMENTO!$AF$7)*OFFSET(ORÇAMENTO!$W$15,ROW(AH133)-ROW(AH$15),0),15-13*ORÇAMENTO!$AF$11)),
         0)</f>
        <v>0</v>
      </c>
      <c r="AI133" s="454">
        <f ca="1">IF(AND($D133="Serviço",AI$12&lt;&gt;0,$H133&gt;0,OR(AUTOEVENTO&lt;&gt;"manual",$M133&lt;&gt;$A$15)),
        IF(Import.TipoArredondamento&lt;&gt;"TransfereGOV",
              ROUND(OFFSET($P133,0,AI$13),15-13*ORÇAMENTO!$AF$7)/$H133*OFFSET(ORÇAMENTO!$X$15,ROW(AI133)-ROW(AI$15),0),
              ROUND(ROUND(OFFSET($P133,0,AI$13),15-13*ORÇAMENTO!$AF$7)*OFFSET(ORÇAMENTO!$W$15,ROW(AI133)-ROW(AI$15),0),15-13*ORÇAMENTO!$AF$11)),
         0)</f>
        <v>0</v>
      </c>
      <c r="AJ133" s="454">
        <f ca="1">IF(AND($D133="Serviço",AJ$12&lt;&gt;0,$H133&gt;0,OR(AUTOEVENTO&lt;&gt;"manual",$M133&lt;&gt;$A$15)),
        IF(Import.TipoArredondamento&lt;&gt;"TransfereGOV",
              ROUND(OFFSET($P133,0,AJ$13),15-13*ORÇAMENTO!$AF$7)/$H133*OFFSET(ORÇAMENTO!$X$15,ROW(AJ133)-ROW(AJ$15),0),
              ROUND(ROUND(OFFSET($P133,0,AJ$13),15-13*ORÇAMENTO!$AF$7)*OFFSET(ORÇAMENTO!$W$15,ROW(AJ133)-ROW(AJ$15),0),15-13*ORÇAMENTO!$AF$11)),
         0)</f>
        <v>0</v>
      </c>
      <c r="AK133" s="454">
        <f ca="1">IF(AND($D133="Serviço",AK$12&lt;&gt;0,$H133&gt;0,OR(AUTOEVENTO&lt;&gt;"manual",$M133&lt;&gt;$A$15)),
        IF(Import.TipoArredondamento&lt;&gt;"TransfereGOV",
              ROUND(OFFSET($P133,0,AK$13),15-13*ORÇAMENTO!$AF$7)/$H133*OFFSET(ORÇAMENTO!$X$15,ROW(AK133)-ROW(AK$15),0),
              ROUND(ROUND(OFFSET($P133,0,AK$13),15-13*ORÇAMENTO!$AF$7)*OFFSET(ORÇAMENTO!$W$15,ROW(AK133)-ROW(AK$15),0),15-13*ORÇAMENTO!$AF$11)),
         0)</f>
        <v>0</v>
      </c>
      <c r="AM133" s="172">
        <f ca="1">IF(OR($D133&lt;&gt;"Serviço",AND(AUTOEVENTO="Manual",$M133=$A$15)),0,
         IF(OFFSET(CRONOPLE!$F$15,$M133-$A$15,AM$13)="",10^12,OFFSET(CRONOPLE!$F$15,$M133-$A$15,AM$13)))</f>
        <v>1000000000000</v>
      </c>
      <c r="AN133" s="172">
        <f ca="1">IF(OR($D133&lt;&gt;"Serviço",AND(AUTOEVENTO="Manual",$M133=$A$15)),0,
         IF(OFFSET(CRONOPLE!$F$15,$M133-$A$15,AN$13)="",10^12,OFFSET(CRONOPLE!$F$15,$M133-$A$15,AN$13)))</f>
        <v>1000000000000</v>
      </c>
      <c r="AO133" s="172">
        <f ca="1">IF(OR($D133&lt;&gt;"Serviço",AND(AUTOEVENTO="Manual",$M133=$A$15)),0,
         IF(OFFSET(CRONOPLE!$F$15,$M133-$A$15,AO$13)="",10^12,OFFSET(CRONOPLE!$F$15,$M133-$A$15,AO$13)))</f>
        <v>1000000000000</v>
      </c>
      <c r="AP133" s="172">
        <f ca="1">IF(OR($D133&lt;&gt;"Serviço",AND(AUTOEVENTO="Manual",$M133=$A$15)),0,
         IF(OFFSET(CRONOPLE!$F$15,$M133-$A$15,AP$13)="",10^12,OFFSET(CRONOPLE!$F$15,$M133-$A$15,AP$13)))</f>
        <v>1000000000000</v>
      </c>
      <c r="AQ133" s="172">
        <f ca="1">IF(OR($D133&lt;&gt;"Serviço",AND(AUTOEVENTO="Manual",$M133=$A$15)),0,
         IF(OFFSET(CRONOPLE!$F$15,$M133-$A$15,AQ$13)="",10^12,OFFSET(CRONOPLE!$F$15,$M133-$A$15,AQ$13)))</f>
        <v>1000000000000</v>
      </c>
      <c r="AR133" s="172">
        <f ca="1">IF(OR($D133&lt;&gt;"Serviço",AND(AUTOEVENTO="Manual",$M133=$A$15)),0,
         IF(OFFSET(CRONOPLE!$F$15,$M133-$A$15,AR$13)="",10^12,OFFSET(CRONOPLE!$F$15,$M133-$A$15,AR$13)))</f>
        <v>1000000000000</v>
      </c>
      <c r="AS133" s="172">
        <f ca="1">IF(OR($D133&lt;&gt;"Serviço",AND(AUTOEVENTO="Manual",$M133=$A$15)),0,
         IF(OFFSET(CRONOPLE!$F$15,$M133-$A$15,AS$13)="",10^12,OFFSET(CRONOPLE!$F$15,$M133-$A$15,AS$13)))</f>
        <v>1000000000000</v>
      </c>
      <c r="AT133" s="172">
        <f ca="1">IF(OR($D133&lt;&gt;"Serviço",AND(AUTOEVENTO="Manual",$M133=$A$15)),0,
         IF(OFFSET(CRONOPLE!$F$15,$M133-$A$15,AT$13)="",10^12,OFFSET(CRONOPLE!$F$15,$M133-$A$15,AT$13)))</f>
        <v>1000000000000</v>
      </c>
      <c r="AU133" s="172">
        <f ca="1">IF(OR($D133&lt;&gt;"Serviço",AND(AUTOEVENTO="Manual",$M133=$A$15)),0,
         IF(OFFSET(CRONOPLE!$F$15,$M133-$A$15,AU$13)="",10^12,OFFSET(CRONOPLE!$F$15,$M133-$A$15,AU$13)))</f>
        <v>1000000000000</v>
      </c>
      <c r="AV133" s="172">
        <f ca="1">IF(OR($D133&lt;&gt;"Serviço",AND(AUTOEVENTO="Manual",$M133=$A$15)),0,
         IF(OFFSET(CRONOPLE!$F$15,$M133-$A$15,AV$13)="",10^12,OFFSET(CRONOPLE!$F$15,$M133-$A$15,AV$13)))</f>
        <v>1000000000000</v>
      </c>
      <c r="AX133" s="173">
        <f ca="1">IF(OR($D133&lt;&gt;"Serviço",AND(AUTOEVENTO="Manual",$M133=$A$15),$M133&gt;(ROW(PLE.lastrow)-ROW(PLE.firstrow))),0,
           IF(OFFSET(PLE!$G$15,$M133-$A$15,AX$13)="",10^12,OFFSET(PLE!$G$15,$M133-$A$15,AX$13)))</f>
        <v>1000000000000</v>
      </c>
      <c r="AY133" s="173">
        <f ca="1">IF(OR($D133&lt;&gt;"Serviço",AND(AUTOEVENTO="Manual",$M133=$A$15),$M133&gt;(ROW(PLE.lastrow)-ROW(PLE.firstrow))),0,
           IF(OFFSET(PLE!$G$15,$M133-$A$15,AY$13)="",10^12,OFFSET(PLE!$G$15,$M133-$A$15,AY$13)))</f>
        <v>1000000000000</v>
      </c>
      <c r="AZ133" s="173">
        <f ca="1">IF(OR($D133&lt;&gt;"Serviço",AND(AUTOEVENTO="Manual",$M133=$A$15),$M133&gt;(ROW(PLE.lastrow)-ROW(PLE.firstrow))),0,
           IF(OFFSET(PLE!$G$15,$M133-$A$15,AZ$13)="",10^12,OFFSET(PLE!$G$15,$M133-$A$15,AZ$13)))</f>
        <v>1000000000000</v>
      </c>
      <c r="BA133" s="173">
        <f ca="1">IF(OR($D133&lt;&gt;"Serviço",AND(AUTOEVENTO="Manual",$M133=$A$15),$M133&gt;(ROW(PLE.lastrow)-ROW(PLE.firstrow))),0,
           IF(OFFSET(PLE!$G$15,$M133-$A$15,BA$13)="",10^12,OFFSET(PLE!$G$15,$M133-$A$15,BA$13)))</f>
        <v>1000000000000</v>
      </c>
      <c r="BB133" s="173">
        <f ca="1">IF(OR($D133&lt;&gt;"Serviço",AND(AUTOEVENTO="Manual",$M133=$A$15),$M133&gt;(ROW(PLE.lastrow)-ROW(PLE.firstrow))),0,
           IF(OFFSET(PLE!$G$15,$M133-$A$15,BB$13)="",10^12,OFFSET(PLE!$G$15,$M133-$A$15,BB$13)))</f>
        <v>1000000000000</v>
      </c>
      <c r="BC133" s="173">
        <f ca="1">IF(OR($D133&lt;&gt;"Serviço",AND(AUTOEVENTO="Manual",$M133=$A$15),$M133&gt;(ROW(PLE.lastrow)-ROW(PLE.firstrow))),0,
           IF(OFFSET(PLE!$G$15,$M133-$A$15,BC$13)="",10^12,OFFSET(PLE!$G$15,$M133-$A$15,BC$13)))</f>
        <v>1000000000000</v>
      </c>
      <c r="BD133" s="173">
        <f ca="1">IF(OR($D133&lt;&gt;"Serviço",AND(AUTOEVENTO="Manual",$M133=$A$15),$M133&gt;(ROW(PLE.lastrow)-ROW(PLE.firstrow))),0,
           IF(OFFSET(PLE!$G$15,$M133-$A$15,BD$13)="",10^12,OFFSET(PLE!$G$15,$M133-$A$15,BD$13)))</f>
        <v>1000000000000</v>
      </c>
      <c r="BE133" s="173">
        <f ca="1">IF(OR($D133&lt;&gt;"Serviço",AND(AUTOEVENTO="Manual",$M133=$A$15),$M133&gt;(ROW(PLE.lastrow)-ROW(PLE.firstrow))),0,
           IF(OFFSET(PLE!$G$15,$M133-$A$15,BE$13)="",10^12,OFFSET(PLE!$G$15,$M133-$A$15,BE$13)))</f>
        <v>1000000000000</v>
      </c>
      <c r="BF133" s="173">
        <f ca="1">IF(OR($D133&lt;&gt;"Serviço",AND(AUTOEVENTO="Manual",$M133=$A$15),$M133&gt;(ROW(PLE.lastrow)-ROW(PLE.firstrow))),0,
           IF(OFFSET(PLE!$G$15,$M133-$A$15,BF$13)="",10^12,OFFSET(PLE!$G$15,$M133-$A$15,BF$13)))</f>
        <v>1000000000000</v>
      </c>
      <c r="BG133" s="173">
        <f ca="1">IF(OR($D133&lt;&gt;"Serviço",AND(AUTOEVENTO="Manual",$M133=$A$15),$M133&gt;(ROW(PLE.lastrow)-ROW(PLE.firstrow))),0,
           IF(OFFSET(PLE!$G$15,$M133-$A$15,BG$13)="",10^12,OFFSET(PLE!$G$15,$M133-$A$15,BG$13)))</f>
        <v>1000000000000</v>
      </c>
    </row>
    <row r="134" spans="1:59" ht="38.25" x14ac:dyDescent="0.2">
      <c r="A134" s="7" t="str">
        <f t="shared" ca="1" si="9"/>
        <v>114</v>
      </c>
      <c r="B134" s="7" t="str">
        <f ca="1">OFFSET(ORÇAMENTO!C$15,ROW(B134)-ROW(B$15),0)</f>
        <v>S</v>
      </c>
      <c r="C134" s="7" t="str">
        <f ca="1">OFFSET(ORÇAMENTO!L$15,ROW(C134)-ROW(C$15),0)</f>
        <v/>
      </c>
      <c r="D134" s="117" t="str">
        <f ca="1">OFFSET(ORÇAMENTO!N$15,ROW(D134)-ROW(D$15),0)</f>
        <v>Serviço</v>
      </c>
      <c r="E134" s="118" t="str">
        <f ca="1">OFFSET(ORÇAMENTO!O$15,ROW(E134)-ROW(E$15),0)</f>
        <v>-</v>
      </c>
      <c r="F134" s="164" t="str">
        <f ca="1">OFFSET(ORÇAMENTO!R$15,ROW(F134)-ROW(F$15),0)</f>
        <v>BUCHA DE REDUÇÃO, CURTA, PVC, SOLDÁVEL, DN 50 X 40 MM, INSTALADO EM RAMAL DE DISTRIBUIÇÃO DE ÁGUA - FORNECIMENTO E INSTALAÇÃO. AF_06/2022</v>
      </c>
      <c r="G134" s="165" t="str">
        <f ca="1">IF($D134&lt;&gt;"Serviço","",OFFSET(ORÇAMENTO!S$15,ROW(G134)-ROW(G$15),0))</f>
        <v>UN</v>
      </c>
      <c r="H134" s="123">
        <f ca="1">IF($D134&lt;&gt;"Serviço",0,IF(ACOMPANHAMENTO="BM",ROUND(OFFSET(ORÇAMENTO!AJ$15,ROW(H134)-ROW(H$15),0),15-13*ORÇAMENTO!$AF$7),SUMPRODUCT(($Q$1:$AA$1=1)*ROUND($Q134:$AA134,15-13*ORÇAMENTO!$AF$7))))</f>
        <v>4</v>
      </c>
      <c r="I134" s="469"/>
      <c r="J134" s="577" t="str" cm="1">
        <f t="array" aca="1" ref="J134" ca="1">IF(B134&lt;&gt;"S","",IF(AND(ACOMPANHAMENTO="PLE",AUTOEVENTO="Manual",OR(H134&gt;0,ORÇAMENTO!AC134="QUANT."),OR(K134="",M134=0,N134="")),"►",IF(AND(ACOMPANHAMENTO="PLE",ORÇAMENTO!AC134="QUANT."),"►►",IF(AND(COUNTIF($P$11:$AA$11,"▼")=0,H134&gt;0,I134=""),"◄",""))))</f>
        <v>◄</v>
      </c>
      <c r="K134" s="626"/>
      <c r="L134" s="166" t="s">
        <v>765</v>
      </c>
      <c r="M134" s="167">
        <f ca="1">IF($D134&lt;&gt;"Serviço","",
          IF(AUTOEVENTO="manual",$A134,
                IF(ISERROR(MATCH($A134,$A$15:OFFSET($A134,-1,0),0)),MAX($M$15:OFFSET(M134,-1,0))+1,
                      INDEX($M$15:OFFSET(M134,-1,0),MATCH($A134,$A$15:OFFSET($A134,-1,0),0)))))</f>
        <v>11</v>
      </c>
      <c r="N134" s="168" t="str">
        <f ca="1">IF($D134&lt;&gt;"Serviço","",
         IF(AUTOEVENTO="Manual",
                IF($A134=0,"&lt;-- defina o número do agrupador",
                       OFFSET(EVENTOS!$D$15,$A134-$A$15,0)),
                OFFSET($F$15,$A134,0)))</f>
        <v>INSTALAÇÕES HIDROSSANITÁRIAS</v>
      </c>
      <c r="O134" s="169"/>
      <c r="Q134" s="169"/>
      <c r="R134" s="170"/>
      <c r="S134" s="170"/>
      <c r="T134" s="170"/>
      <c r="U134" s="170"/>
      <c r="V134" s="170"/>
      <c r="W134" s="170"/>
      <c r="X134" s="170"/>
      <c r="Y134" s="170"/>
      <c r="Z134" s="171"/>
      <c r="AB134" s="454">
        <f ca="1">IF(AND($D134="Serviço",AB$12&lt;&gt;0,$H134&gt;0,OR(AUTOEVENTO&lt;&gt;"manual",$M134&lt;&gt;$A$15)),
        IF(Import.TipoArredondamento&lt;&gt;"TransfereGOV",
              ROUND(OFFSET($P134,0,AB$13),15-13*ORÇAMENTO!$AF$7)/$H134*OFFSET(ORÇAMENTO!$X$15,ROW(AB134)-ROW(AB$15),0),
              ROUND(ROUND(OFFSET($P134,0,AB$13),15-13*ORÇAMENTO!$AF$7)*OFFSET(ORÇAMENTO!$W$15,ROW(AB134)-ROW(AB$15),0),15-13*ORÇAMENTO!$AF$11)),
         0)</f>
        <v>0</v>
      </c>
      <c r="AC134" s="454">
        <f ca="1">IF(AND($D134="Serviço",AC$12&lt;&gt;0,$H134&gt;0,OR(AUTOEVENTO&lt;&gt;"manual",$M134&lt;&gt;$A$15)),
        IF(Import.TipoArredondamento&lt;&gt;"TransfereGOV",
              ROUND(OFFSET($P134,0,AC$13),15-13*ORÇAMENTO!$AF$7)/$H134*OFFSET(ORÇAMENTO!$X$15,ROW(AC134)-ROW(AC$15),0),
              ROUND(ROUND(OFFSET($P134,0,AC$13),15-13*ORÇAMENTO!$AF$7)*OFFSET(ORÇAMENTO!$W$15,ROW(AC134)-ROW(AC$15),0),15-13*ORÇAMENTO!$AF$11)),
         0)</f>
        <v>0</v>
      </c>
      <c r="AD134" s="454">
        <f ca="1">IF(AND($D134="Serviço",AD$12&lt;&gt;0,$H134&gt;0,OR(AUTOEVENTO&lt;&gt;"manual",$M134&lt;&gt;$A$15)),
        IF(Import.TipoArredondamento&lt;&gt;"TransfereGOV",
              ROUND(OFFSET($P134,0,AD$13),15-13*ORÇAMENTO!$AF$7)/$H134*OFFSET(ORÇAMENTO!$X$15,ROW(AD134)-ROW(AD$15),0),
              ROUND(ROUND(OFFSET($P134,0,AD$13),15-13*ORÇAMENTO!$AF$7)*OFFSET(ORÇAMENTO!$W$15,ROW(AD134)-ROW(AD$15),0),15-13*ORÇAMENTO!$AF$11)),
         0)</f>
        <v>0</v>
      </c>
      <c r="AE134" s="454">
        <f ca="1">IF(AND($D134="Serviço",AE$12&lt;&gt;0,$H134&gt;0,OR(AUTOEVENTO&lt;&gt;"manual",$M134&lt;&gt;$A$15)),
        IF(Import.TipoArredondamento&lt;&gt;"TransfereGOV",
              ROUND(OFFSET($P134,0,AE$13),15-13*ORÇAMENTO!$AF$7)/$H134*OFFSET(ORÇAMENTO!$X$15,ROW(AE134)-ROW(AE$15),0),
              ROUND(ROUND(OFFSET($P134,0,AE$13),15-13*ORÇAMENTO!$AF$7)*OFFSET(ORÇAMENTO!$W$15,ROW(AE134)-ROW(AE$15),0),15-13*ORÇAMENTO!$AF$11)),
         0)</f>
        <v>0</v>
      </c>
      <c r="AF134" s="454">
        <f ca="1">IF(AND($D134="Serviço",AF$12&lt;&gt;0,$H134&gt;0,OR(AUTOEVENTO&lt;&gt;"manual",$M134&lt;&gt;$A$15)),
        IF(Import.TipoArredondamento&lt;&gt;"TransfereGOV",
              ROUND(OFFSET($P134,0,AF$13),15-13*ORÇAMENTO!$AF$7)/$H134*OFFSET(ORÇAMENTO!$X$15,ROW(AF134)-ROW(AF$15),0),
              ROUND(ROUND(OFFSET($P134,0,AF$13),15-13*ORÇAMENTO!$AF$7)*OFFSET(ORÇAMENTO!$W$15,ROW(AF134)-ROW(AF$15),0),15-13*ORÇAMENTO!$AF$11)),
         0)</f>
        <v>0</v>
      </c>
      <c r="AG134" s="454">
        <f ca="1">IF(AND($D134="Serviço",AG$12&lt;&gt;0,$H134&gt;0,OR(AUTOEVENTO&lt;&gt;"manual",$M134&lt;&gt;$A$15)),
        IF(Import.TipoArredondamento&lt;&gt;"TransfereGOV",
              ROUND(OFFSET($P134,0,AG$13),15-13*ORÇAMENTO!$AF$7)/$H134*OFFSET(ORÇAMENTO!$X$15,ROW(AG134)-ROW(AG$15),0),
              ROUND(ROUND(OFFSET($P134,0,AG$13),15-13*ORÇAMENTO!$AF$7)*OFFSET(ORÇAMENTO!$W$15,ROW(AG134)-ROW(AG$15),0),15-13*ORÇAMENTO!$AF$11)),
         0)</f>
        <v>0</v>
      </c>
      <c r="AH134" s="454">
        <f ca="1">IF(AND($D134="Serviço",AH$12&lt;&gt;0,$H134&gt;0,OR(AUTOEVENTO&lt;&gt;"manual",$M134&lt;&gt;$A$15)),
        IF(Import.TipoArredondamento&lt;&gt;"TransfereGOV",
              ROUND(OFFSET($P134,0,AH$13),15-13*ORÇAMENTO!$AF$7)/$H134*OFFSET(ORÇAMENTO!$X$15,ROW(AH134)-ROW(AH$15),0),
              ROUND(ROUND(OFFSET($P134,0,AH$13),15-13*ORÇAMENTO!$AF$7)*OFFSET(ORÇAMENTO!$W$15,ROW(AH134)-ROW(AH$15),0),15-13*ORÇAMENTO!$AF$11)),
         0)</f>
        <v>0</v>
      </c>
      <c r="AI134" s="454">
        <f ca="1">IF(AND($D134="Serviço",AI$12&lt;&gt;0,$H134&gt;0,OR(AUTOEVENTO&lt;&gt;"manual",$M134&lt;&gt;$A$15)),
        IF(Import.TipoArredondamento&lt;&gt;"TransfereGOV",
              ROUND(OFFSET($P134,0,AI$13),15-13*ORÇAMENTO!$AF$7)/$H134*OFFSET(ORÇAMENTO!$X$15,ROW(AI134)-ROW(AI$15),0),
              ROUND(ROUND(OFFSET($P134,0,AI$13),15-13*ORÇAMENTO!$AF$7)*OFFSET(ORÇAMENTO!$W$15,ROW(AI134)-ROW(AI$15),0),15-13*ORÇAMENTO!$AF$11)),
         0)</f>
        <v>0</v>
      </c>
      <c r="AJ134" s="454">
        <f ca="1">IF(AND($D134="Serviço",AJ$12&lt;&gt;0,$H134&gt;0,OR(AUTOEVENTO&lt;&gt;"manual",$M134&lt;&gt;$A$15)),
        IF(Import.TipoArredondamento&lt;&gt;"TransfereGOV",
              ROUND(OFFSET($P134,0,AJ$13),15-13*ORÇAMENTO!$AF$7)/$H134*OFFSET(ORÇAMENTO!$X$15,ROW(AJ134)-ROW(AJ$15),0),
              ROUND(ROUND(OFFSET($P134,0,AJ$13),15-13*ORÇAMENTO!$AF$7)*OFFSET(ORÇAMENTO!$W$15,ROW(AJ134)-ROW(AJ$15),0),15-13*ORÇAMENTO!$AF$11)),
         0)</f>
        <v>0</v>
      </c>
      <c r="AK134" s="454">
        <f ca="1">IF(AND($D134="Serviço",AK$12&lt;&gt;0,$H134&gt;0,OR(AUTOEVENTO&lt;&gt;"manual",$M134&lt;&gt;$A$15)),
        IF(Import.TipoArredondamento&lt;&gt;"TransfereGOV",
              ROUND(OFFSET($P134,0,AK$13),15-13*ORÇAMENTO!$AF$7)/$H134*OFFSET(ORÇAMENTO!$X$15,ROW(AK134)-ROW(AK$15),0),
              ROUND(ROUND(OFFSET($P134,0,AK$13),15-13*ORÇAMENTO!$AF$7)*OFFSET(ORÇAMENTO!$W$15,ROW(AK134)-ROW(AK$15),0),15-13*ORÇAMENTO!$AF$11)),
         0)</f>
        <v>0</v>
      </c>
      <c r="AM134" s="172">
        <f ca="1">IF(OR($D134&lt;&gt;"Serviço",AND(AUTOEVENTO="Manual",$M134=$A$15)),0,
         IF(OFFSET(CRONOPLE!$F$15,$M134-$A$15,AM$13)="",10^12,OFFSET(CRONOPLE!$F$15,$M134-$A$15,AM$13)))</f>
        <v>1000000000000</v>
      </c>
      <c r="AN134" s="172">
        <f ca="1">IF(OR($D134&lt;&gt;"Serviço",AND(AUTOEVENTO="Manual",$M134=$A$15)),0,
         IF(OFFSET(CRONOPLE!$F$15,$M134-$A$15,AN$13)="",10^12,OFFSET(CRONOPLE!$F$15,$M134-$A$15,AN$13)))</f>
        <v>1000000000000</v>
      </c>
      <c r="AO134" s="172">
        <f ca="1">IF(OR($D134&lt;&gt;"Serviço",AND(AUTOEVENTO="Manual",$M134=$A$15)),0,
         IF(OFFSET(CRONOPLE!$F$15,$M134-$A$15,AO$13)="",10^12,OFFSET(CRONOPLE!$F$15,$M134-$A$15,AO$13)))</f>
        <v>1000000000000</v>
      </c>
      <c r="AP134" s="172">
        <f ca="1">IF(OR($D134&lt;&gt;"Serviço",AND(AUTOEVENTO="Manual",$M134=$A$15)),0,
         IF(OFFSET(CRONOPLE!$F$15,$M134-$A$15,AP$13)="",10^12,OFFSET(CRONOPLE!$F$15,$M134-$A$15,AP$13)))</f>
        <v>1000000000000</v>
      </c>
      <c r="AQ134" s="172">
        <f ca="1">IF(OR($D134&lt;&gt;"Serviço",AND(AUTOEVENTO="Manual",$M134=$A$15)),0,
         IF(OFFSET(CRONOPLE!$F$15,$M134-$A$15,AQ$13)="",10^12,OFFSET(CRONOPLE!$F$15,$M134-$A$15,AQ$13)))</f>
        <v>1000000000000</v>
      </c>
      <c r="AR134" s="172">
        <f ca="1">IF(OR($D134&lt;&gt;"Serviço",AND(AUTOEVENTO="Manual",$M134=$A$15)),0,
         IF(OFFSET(CRONOPLE!$F$15,$M134-$A$15,AR$13)="",10^12,OFFSET(CRONOPLE!$F$15,$M134-$A$15,AR$13)))</f>
        <v>1000000000000</v>
      </c>
      <c r="AS134" s="172">
        <f ca="1">IF(OR($D134&lt;&gt;"Serviço",AND(AUTOEVENTO="Manual",$M134=$A$15)),0,
         IF(OFFSET(CRONOPLE!$F$15,$M134-$A$15,AS$13)="",10^12,OFFSET(CRONOPLE!$F$15,$M134-$A$15,AS$13)))</f>
        <v>1000000000000</v>
      </c>
      <c r="AT134" s="172">
        <f ca="1">IF(OR($D134&lt;&gt;"Serviço",AND(AUTOEVENTO="Manual",$M134=$A$15)),0,
         IF(OFFSET(CRONOPLE!$F$15,$M134-$A$15,AT$13)="",10^12,OFFSET(CRONOPLE!$F$15,$M134-$A$15,AT$13)))</f>
        <v>1000000000000</v>
      </c>
      <c r="AU134" s="172">
        <f ca="1">IF(OR($D134&lt;&gt;"Serviço",AND(AUTOEVENTO="Manual",$M134=$A$15)),0,
         IF(OFFSET(CRONOPLE!$F$15,$M134-$A$15,AU$13)="",10^12,OFFSET(CRONOPLE!$F$15,$M134-$A$15,AU$13)))</f>
        <v>1000000000000</v>
      </c>
      <c r="AV134" s="172">
        <f ca="1">IF(OR($D134&lt;&gt;"Serviço",AND(AUTOEVENTO="Manual",$M134=$A$15)),0,
         IF(OFFSET(CRONOPLE!$F$15,$M134-$A$15,AV$13)="",10^12,OFFSET(CRONOPLE!$F$15,$M134-$A$15,AV$13)))</f>
        <v>1000000000000</v>
      </c>
      <c r="AX134" s="173">
        <f ca="1">IF(OR($D134&lt;&gt;"Serviço",AND(AUTOEVENTO="Manual",$M134=$A$15),$M134&gt;(ROW(PLE.lastrow)-ROW(PLE.firstrow))),0,
           IF(OFFSET(PLE!$G$15,$M134-$A$15,AX$13)="",10^12,OFFSET(PLE!$G$15,$M134-$A$15,AX$13)))</f>
        <v>1000000000000</v>
      </c>
      <c r="AY134" s="173">
        <f ca="1">IF(OR($D134&lt;&gt;"Serviço",AND(AUTOEVENTO="Manual",$M134=$A$15),$M134&gt;(ROW(PLE.lastrow)-ROW(PLE.firstrow))),0,
           IF(OFFSET(PLE!$G$15,$M134-$A$15,AY$13)="",10^12,OFFSET(PLE!$G$15,$M134-$A$15,AY$13)))</f>
        <v>1000000000000</v>
      </c>
      <c r="AZ134" s="173">
        <f ca="1">IF(OR($D134&lt;&gt;"Serviço",AND(AUTOEVENTO="Manual",$M134=$A$15),$M134&gt;(ROW(PLE.lastrow)-ROW(PLE.firstrow))),0,
           IF(OFFSET(PLE!$G$15,$M134-$A$15,AZ$13)="",10^12,OFFSET(PLE!$G$15,$M134-$A$15,AZ$13)))</f>
        <v>1000000000000</v>
      </c>
      <c r="BA134" s="173">
        <f ca="1">IF(OR($D134&lt;&gt;"Serviço",AND(AUTOEVENTO="Manual",$M134=$A$15),$M134&gt;(ROW(PLE.lastrow)-ROW(PLE.firstrow))),0,
           IF(OFFSET(PLE!$G$15,$M134-$A$15,BA$13)="",10^12,OFFSET(PLE!$G$15,$M134-$A$15,BA$13)))</f>
        <v>1000000000000</v>
      </c>
      <c r="BB134" s="173">
        <f ca="1">IF(OR($D134&lt;&gt;"Serviço",AND(AUTOEVENTO="Manual",$M134=$A$15),$M134&gt;(ROW(PLE.lastrow)-ROW(PLE.firstrow))),0,
           IF(OFFSET(PLE!$G$15,$M134-$A$15,BB$13)="",10^12,OFFSET(PLE!$G$15,$M134-$A$15,BB$13)))</f>
        <v>1000000000000</v>
      </c>
      <c r="BC134" s="173">
        <f ca="1">IF(OR($D134&lt;&gt;"Serviço",AND(AUTOEVENTO="Manual",$M134=$A$15),$M134&gt;(ROW(PLE.lastrow)-ROW(PLE.firstrow))),0,
           IF(OFFSET(PLE!$G$15,$M134-$A$15,BC$13)="",10^12,OFFSET(PLE!$G$15,$M134-$A$15,BC$13)))</f>
        <v>1000000000000</v>
      </c>
      <c r="BD134" s="173">
        <f ca="1">IF(OR($D134&lt;&gt;"Serviço",AND(AUTOEVENTO="Manual",$M134=$A$15),$M134&gt;(ROW(PLE.lastrow)-ROW(PLE.firstrow))),0,
           IF(OFFSET(PLE!$G$15,$M134-$A$15,BD$13)="",10^12,OFFSET(PLE!$G$15,$M134-$A$15,BD$13)))</f>
        <v>1000000000000</v>
      </c>
      <c r="BE134" s="173">
        <f ca="1">IF(OR($D134&lt;&gt;"Serviço",AND(AUTOEVENTO="Manual",$M134=$A$15),$M134&gt;(ROW(PLE.lastrow)-ROW(PLE.firstrow))),0,
           IF(OFFSET(PLE!$G$15,$M134-$A$15,BE$13)="",10^12,OFFSET(PLE!$G$15,$M134-$A$15,BE$13)))</f>
        <v>1000000000000</v>
      </c>
      <c r="BF134" s="173">
        <f ca="1">IF(OR($D134&lt;&gt;"Serviço",AND(AUTOEVENTO="Manual",$M134=$A$15),$M134&gt;(ROW(PLE.lastrow)-ROW(PLE.firstrow))),0,
           IF(OFFSET(PLE!$G$15,$M134-$A$15,BF$13)="",10^12,OFFSET(PLE!$G$15,$M134-$A$15,BF$13)))</f>
        <v>1000000000000</v>
      </c>
      <c r="BG134" s="173">
        <f ca="1">IF(OR($D134&lt;&gt;"Serviço",AND(AUTOEVENTO="Manual",$M134=$A$15),$M134&gt;(ROW(PLE.lastrow)-ROW(PLE.firstrow))),0,
           IF(OFFSET(PLE!$G$15,$M134-$A$15,BG$13)="",10^12,OFFSET(PLE!$G$15,$M134-$A$15,BG$13)))</f>
        <v>1000000000000</v>
      </c>
    </row>
    <row r="135" spans="1:59" ht="25.5" x14ac:dyDescent="0.2">
      <c r="A135" s="7" t="str">
        <f t="shared" ca="1" si="9"/>
        <v>114</v>
      </c>
      <c r="B135" s="7" t="str">
        <f ca="1">OFFSET(ORÇAMENTO!C$15,ROW(B135)-ROW(B$15),0)</f>
        <v>S</v>
      </c>
      <c r="C135" s="7" t="str">
        <f ca="1">OFFSET(ORÇAMENTO!L$15,ROW(C135)-ROW(C$15),0)</f>
        <v/>
      </c>
      <c r="D135" s="117" t="str">
        <f ca="1">OFFSET(ORÇAMENTO!N$15,ROW(D135)-ROW(D$15),0)</f>
        <v>Serviço</v>
      </c>
      <c r="E135" s="118" t="str">
        <f ca="1">OFFSET(ORÇAMENTO!O$15,ROW(E135)-ROW(E$15),0)</f>
        <v>-</v>
      </c>
      <c r="F135" s="164" t="str">
        <f ca="1">OFFSET(ORÇAMENTO!R$15,ROW(F135)-ROW(F$15),0)</f>
        <v xml:space="preserve">CAP PVC, SOLDAVEL, DN 50 MM, SERIE NORMAL, PARA ESGOTO PREDIAL                                                                                                                                                                                            </v>
      </c>
      <c r="G135" s="165" t="str">
        <f ca="1">IF($D135&lt;&gt;"Serviço","",OFFSET(ORÇAMENTO!S$15,ROW(G135)-ROW(G$15),0))</f>
        <v xml:space="preserve">UN    </v>
      </c>
      <c r="H135" s="123">
        <f ca="1">IF($D135&lt;&gt;"Serviço",0,IF(ACOMPANHAMENTO="BM",ROUND(OFFSET(ORÇAMENTO!AJ$15,ROW(H135)-ROW(H$15),0),15-13*ORÇAMENTO!$AF$7),SUMPRODUCT(($Q$1:$AA$1=1)*ROUND($Q135:$AA135,15-13*ORÇAMENTO!$AF$7))))</f>
        <v>2</v>
      </c>
      <c r="I135" s="469"/>
      <c r="J135" s="577" t="str" cm="1">
        <f t="array" aca="1" ref="J135" ca="1">IF(B135&lt;&gt;"S","",IF(AND(ACOMPANHAMENTO="PLE",AUTOEVENTO="Manual",OR(H135&gt;0,ORÇAMENTO!AC135="QUANT."),OR(K135="",M135=0,N135="")),"►",IF(AND(ACOMPANHAMENTO="PLE",ORÇAMENTO!AC135="QUANT."),"►►",IF(AND(COUNTIF($P$11:$AA$11,"▼")=0,H135&gt;0,I135=""),"◄",""))))</f>
        <v>◄</v>
      </c>
      <c r="K135" s="626"/>
      <c r="L135" s="166" t="s">
        <v>765</v>
      </c>
      <c r="M135" s="167">
        <f ca="1">IF($D135&lt;&gt;"Serviço","",
          IF(AUTOEVENTO="manual",$A135,
                IF(ISERROR(MATCH($A135,$A$15:OFFSET($A135,-1,0),0)),MAX($M$15:OFFSET(M135,-1,0))+1,
                      INDEX($M$15:OFFSET(M135,-1,0),MATCH($A135,$A$15:OFFSET($A135,-1,0),0)))))</f>
        <v>11</v>
      </c>
      <c r="N135" s="168" t="str">
        <f ca="1">IF($D135&lt;&gt;"Serviço","",
         IF(AUTOEVENTO="Manual",
                IF($A135=0,"&lt;-- defina o número do agrupador",
                       OFFSET(EVENTOS!$D$15,$A135-$A$15,0)),
                OFFSET($F$15,$A135,0)))</f>
        <v>INSTALAÇÕES HIDROSSANITÁRIAS</v>
      </c>
      <c r="O135" s="169"/>
      <c r="Q135" s="169"/>
      <c r="R135" s="170"/>
      <c r="S135" s="170"/>
      <c r="T135" s="170"/>
      <c r="U135" s="170"/>
      <c r="V135" s="170"/>
      <c r="W135" s="170"/>
      <c r="X135" s="170"/>
      <c r="Y135" s="170"/>
      <c r="Z135" s="171"/>
      <c r="AB135" s="454">
        <f ca="1">IF(AND($D135="Serviço",AB$12&lt;&gt;0,$H135&gt;0,OR(AUTOEVENTO&lt;&gt;"manual",$M135&lt;&gt;$A$15)),
        IF(Import.TipoArredondamento&lt;&gt;"TransfereGOV",
              ROUND(OFFSET($P135,0,AB$13),15-13*ORÇAMENTO!$AF$7)/$H135*OFFSET(ORÇAMENTO!$X$15,ROW(AB135)-ROW(AB$15),0),
              ROUND(ROUND(OFFSET($P135,0,AB$13),15-13*ORÇAMENTO!$AF$7)*OFFSET(ORÇAMENTO!$W$15,ROW(AB135)-ROW(AB$15),0),15-13*ORÇAMENTO!$AF$11)),
         0)</f>
        <v>0</v>
      </c>
      <c r="AC135" s="454">
        <f ca="1">IF(AND($D135="Serviço",AC$12&lt;&gt;0,$H135&gt;0,OR(AUTOEVENTO&lt;&gt;"manual",$M135&lt;&gt;$A$15)),
        IF(Import.TipoArredondamento&lt;&gt;"TransfereGOV",
              ROUND(OFFSET($P135,0,AC$13),15-13*ORÇAMENTO!$AF$7)/$H135*OFFSET(ORÇAMENTO!$X$15,ROW(AC135)-ROW(AC$15),0),
              ROUND(ROUND(OFFSET($P135,0,AC$13),15-13*ORÇAMENTO!$AF$7)*OFFSET(ORÇAMENTO!$W$15,ROW(AC135)-ROW(AC$15),0),15-13*ORÇAMENTO!$AF$11)),
         0)</f>
        <v>0</v>
      </c>
      <c r="AD135" s="454">
        <f ca="1">IF(AND($D135="Serviço",AD$12&lt;&gt;0,$H135&gt;0,OR(AUTOEVENTO&lt;&gt;"manual",$M135&lt;&gt;$A$15)),
        IF(Import.TipoArredondamento&lt;&gt;"TransfereGOV",
              ROUND(OFFSET($P135,0,AD$13),15-13*ORÇAMENTO!$AF$7)/$H135*OFFSET(ORÇAMENTO!$X$15,ROW(AD135)-ROW(AD$15),0),
              ROUND(ROUND(OFFSET($P135,0,AD$13),15-13*ORÇAMENTO!$AF$7)*OFFSET(ORÇAMENTO!$W$15,ROW(AD135)-ROW(AD$15),0),15-13*ORÇAMENTO!$AF$11)),
         0)</f>
        <v>0</v>
      </c>
      <c r="AE135" s="454">
        <f ca="1">IF(AND($D135="Serviço",AE$12&lt;&gt;0,$H135&gt;0,OR(AUTOEVENTO&lt;&gt;"manual",$M135&lt;&gt;$A$15)),
        IF(Import.TipoArredondamento&lt;&gt;"TransfereGOV",
              ROUND(OFFSET($P135,0,AE$13),15-13*ORÇAMENTO!$AF$7)/$H135*OFFSET(ORÇAMENTO!$X$15,ROW(AE135)-ROW(AE$15),0),
              ROUND(ROUND(OFFSET($P135,0,AE$13),15-13*ORÇAMENTO!$AF$7)*OFFSET(ORÇAMENTO!$W$15,ROW(AE135)-ROW(AE$15),0),15-13*ORÇAMENTO!$AF$11)),
         0)</f>
        <v>0</v>
      </c>
      <c r="AF135" s="454">
        <f ca="1">IF(AND($D135="Serviço",AF$12&lt;&gt;0,$H135&gt;0,OR(AUTOEVENTO&lt;&gt;"manual",$M135&lt;&gt;$A$15)),
        IF(Import.TipoArredondamento&lt;&gt;"TransfereGOV",
              ROUND(OFFSET($P135,0,AF$13),15-13*ORÇAMENTO!$AF$7)/$H135*OFFSET(ORÇAMENTO!$X$15,ROW(AF135)-ROW(AF$15),0),
              ROUND(ROUND(OFFSET($P135,0,AF$13),15-13*ORÇAMENTO!$AF$7)*OFFSET(ORÇAMENTO!$W$15,ROW(AF135)-ROW(AF$15),0),15-13*ORÇAMENTO!$AF$11)),
         0)</f>
        <v>0</v>
      </c>
      <c r="AG135" s="454">
        <f ca="1">IF(AND($D135="Serviço",AG$12&lt;&gt;0,$H135&gt;0,OR(AUTOEVENTO&lt;&gt;"manual",$M135&lt;&gt;$A$15)),
        IF(Import.TipoArredondamento&lt;&gt;"TransfereGOV",
              ROUND(OFFSET($P135,0,AG$13),15-13*ORÇAMENTO!$AF$7)/$H135*OFFSET(ORÇAMENTO!$X$15,ROW(AG135)-ROW(AG$15),0),
              ROUND(ROUND(OFFSET($P135,0,AG$13),15-13*ORÇAMENTO!$AF$7)*OFFSET(ORÇAMENTO!$W$15,ROW(AG135)-ROW(AG$15),0),15-13*ORÇAMENTO!$AF$11)),
         0)</f>
        <v>0</v>
      </c>
      <c r="AH135" s="454">
        <f ca="1">IF(AND($D135="Serviço",AH$12&lt;&gt;0,$H135&gt;0,OR(AUTOEVENTO&lt;&gt;"manual",$M135&lt;&gt;$A$15)),
        IF(Import.TipoArredondamento&lt;&gt;"TransfereGOV",
              ROUND(OFFSET($P135,0,AH$13),15-13*ORÇAMENTO!$AF$7)/$H135*OFFSET(ORÇAMENTO!$X$15,ROW(AH135)-ROW(AH$15),0),
              ROUND(ROUND(OFFSET($P135,0,AH$13),15-13*ORÇAMENTO!$AF$7)*OFFSET(ORÇAMENTO!$W$15,ROW(AH135)-ROW(AH$15),0),15-13*ORÇAMENTO!$AF$11)),
         0)</f>
        <v>0</v>
      </c>
      <c r="AI135" s="454">
        <f ca="1">IF(AND($D135="Serviço",AI$12&lt;&gt;0,$H135&gt;0,OR(AUTOEVENTO&lt;&gt;"manual",$M135&lt;&gt;$A$15)),
        IF(Import.TipoArredondamento&lt;&gt;"TransfereGOV",
              ROUND(OFFSET($P135,0,AI$13),15-13*ORÇAMENTO!$AF$7)/$H135*OFFSET(ORÇAMENTO!$X$15,ROW(AI135)-ROW(AI$15),0),
              ROUND(ROUND(OFFSET($P135,0,AI$13),15-13*ORÇAMENTO!$AF$7)*OFFSET(ORÇAMENTO!$W$15,ROW(AI135)-ROW(AI$15),0),15-13*ORÇAMENTO!$AF$11)),
         0)</f>
        <v>0</v>
      </c>
      <c r="AJ135" s="454">
        <f ca="1">IF(AND($D135="Serviço",AJ$12&lt;&gt;0,$H135&gt;0,OR(AUTOEVENTO&lt;&gt;"manual",$M135&lt;&gt;$A$15)),
        IF(Import.TipoArredondamento&lt;&gt;"TransfereGOV",
              ROUND(OFFSET($P135,0,AJ$13),15-13*ORÇAMENTO!$AF$7)/$H135*OFFSET(ORÇAMENTO!$X$15,ROW(AJ135)-ROW(AJ$15),0),
              ROUND(ROUND(OFFSET($P135,0,AJ$13),15-13*ORÇAMENTO!$AF$7)*OFFSET(ORÇAMENTO!$W$15,ROW(AJ135)-ROW(AJ$15),0),15-13*ORÇAMENTO!$AF$11)),
         0)</f>
        <v>0</v>
      </c>
      <c r="AK135" s="454">
        <f ca="1">IF(AND($D135="Serviço",AK$12&lt;&gt;0,$H135&gt;0,OR(AUTOEVENTO&lt;&gt;"manual",$M135&lt;&gt;$A$15)),
        IF(Import.TipoArredondamento&lt;&gt;"TransfereGOV",
              ROUND(OFFSET($P135,0,AK$13),15-13*ORÇAMENTO!$AF$7)/$H135*OFFSET(ORÇAMENTO!$X$15,ROW(AK135)-ROW(AK$15),0),
              ROUND(ROUND(OFFSET($P135,0,AK$13),15-13*ORÇAMENTO!$AF$7)*OFFSET(ORÇAMENTO!$W$15,ROW(AK135)-ROW(AK$15),0),15-13*ORÇAMENTO!$AF$11)),
         0)</f>
        <v>0</v>
      </c>
      <c r="AM135" s="172">
        <f ca="1">IF(OR($D135&lt;&gt;"Serviço",AND(AUTOEVENTO="Manual",$M135=$A$15)),0,
         IF(OFFSET(CRONOPLE!$F$15,$M135-$A$15,AM$13)="",10^12,OFFSET(CRONOPLE!$F$15,$M135-$A$15,AM$13)))</f>
        <v>1000000000000</v>
      </c>
      <c r="AN135" s="172">
        <f ca="1">IF(OR($D135&lt;&gt;"Serviço",AND(AUTOEVENTO="Manual",$M135=$A$15)),0,
         IF(OFFSET(CRONOPLE!$F$15,$M135-$A$15,AN$13)="",10^12,OFFSET(CRONOPLE!$F$15,$M135-$A$15,AN$13)))</f>
        <v>1000000000000</v>
      </c>
      <c r="AO135" s="172">
        <f ca="1">IF(OR($D135&lt;&gt;"Serviço",AND(AUTOEVENTO="Manual",$M135=$A$15)),0,
         IF(OFFSET(CRONOPLE!$F$15,$M135-$A$15,AO$13)="",10^12,OFFSET(CRONOPLE!$F$15,$M135-$A$15,AO$13)))</f>
        <v>1000000000000</v>
      </c>
      <c r="AP135" s="172">
        <f ca="1">IF(OR($D135&lt;&gt;"Serviço",AND(AUTOEVENTO="Manual",$M135=$A$15)),0,
         IF(OFFSET(CRONOPLE!$F$15,$M135-$A$15,AP$13)="",10^12,OFFSET(CRONOPLE!$F$15,$M135-$A$15,AP$13)))</f>
        <v>1000000000000</v>
      </c>
      <c r="AQ135" s="172">
        <f ca="1">IF(OR($D135&lt;&gt;"Serviço",AND(AUTOEVENTO="Manual",$M135=$A$15)),0,
         IF(OFFSET(CRONOPLE!$F$15,$M135-$A$15,AQ$13)="",10^12,OFFSET(CRONOPLE!$F$15,$M135-$A$15,AQ$13)))</f>
        <v>1000000000000</v>
      </c>
      <c r="AR135" s="172">
        <f ca="1">IF(OR($D135&lt;&gt;"Serviço",AND(AUTOEVENTO="Manual",$M135=$A$15)),0,
         IF(OFFSET(CRONOPLE!$F$15,$M135-$A$15,AR$13)="",10^12,OFFSET(CRONOPLE!$F$15,$M135-$A$15,AR$13)))</f>
        <v>1000000000000</v>
      </c>
      <c r="AS135" s="172">
        <f ca="1">IF(OR($D135&lt;&gt;"Serviço",AND(AUTOEVENTO="Manual",$M135=$A$15)),0,
         IF(OFFSET(CRONOPLE!$F$15,$M135-$A$15,AS$13)="",10^12,OFFSET(CRONOPLE!$F$15,$M135-$A$15,AS$13)))</f>
        <v>1000000000000</v>
      </c>
      <c r="AT135" s="172">
        <f ca="1">IF(OR($D135&lt;&gt;"Serviço",AND(AUTOEVENTO="Manual",$M135=$A$15)),0,
         IF(OFFSET(CRONOPLE!$F$15,$M135-$A$15,AT$13)="",10^12,OFFSET(CRONOPLE!$F$15,$M135-$A$15,AT$13)))</f>
        <v>1000000000000</v>
      </c>
      <c r="AU135" s="172">
        <f ca="1">IF(OR($D135&lt;&gt;"Serviço",AND(AUTOEVENTO="Manual",$M135=$A$15)),0,
         IF(OFFSET(CRONOPLE!$F$15,$M135-$A$15,AU$13)="",10^12,OFFSET(CRONOPLE!$F$15,$M135-$A$15,AU$13)))</f>
        <v>1000000000000</v>
      </c>
      <c r="AV135" s="172">
        <f ca="1">IF(OR($D135&lt;&gt;"Serviço",AND(AUTOEVENTO="Manual",$M135=$A$15)),0,
         IF(OFFSET(CRONOPLE!$F$15,$M135-$A$15,AV$13)="",10^12,OFFSET(CRONOPLE!$F$15,$M135-$A$15,AV$13)))</f>
        <v>1000000000000</v>
      </c>
      <c r="AX135" s="173">
        <f ca="1">IF(OR($D135&lt;&gt;"Serviço",AND(AUTOEVENTO="Manual",$M135=$A$15),$M135&gt;(ROW(PLE.lastrow)-ROW(PLE.firstrow))),0,
           IF(OFFSET(PLE!$G$15,$M135-$A$15,AX$13)="",10^12,OFFSET(PLE!$G$15,$M135-$A$15,AX$13)))</f>
        <v>1000000000000</v>
      </c>
      <c r="AY135" s="173">
        <f ca="1">IF(OR($D135&lt;&gt;"Serviço",AND(AUTOEVENTO="Manual",$M135=$A$15),$M135&gt;(ROW(PLE.lastrow)-ROW(PLE.firstrow))),0,
           IF(OFFSET(PLE!$G$15,$M135-$A$15,AY$13)="",10^12,OFFSET(PLE!$G$15,$M135-$A$15,AY$13)))</f>
        <v>1000000000000</v>
      </c>
      <c r="AZ135" s="173">
        <f ca="1">IF(OR($D135&lt;&gt;"Serviço",AND(AUTOEVENTO="Manual",$M135=$A$15),$M135&gt;(ROW(PLE.lastrow)-ROW(PLE.firstrow))),0,
           IF(OFFSET(PLE!$G$15,$M135-$A$15,AZ$13)="",10^12,OFFSET(PLE!$G$15,$M135-$A$15,AZ$13)))</f>
        <v>1000000000000</v>
      </c>
      <c r="BA135" s="173">
        <f ca="1">IF(OR($D135&lt;&gt;"Serviço",AND(AUTOEVENTO="Manual",$M135=$A$15),$M135&gt;(ROW(PLE.lastrow)-ROW(PLE.firstrow))),0,
           IF(OFFSET(PLE!$G$15,$M135-$A$15,BA$13)="",10^12,OFFSET(PLE!$G$15,$M135-$A$15,BA$13)))</f>
        <v>1000000000000</v>
      </c>
      <c r="BB135" s="173">
        <f ca="1">IF(OR($D135&lt;&gt;"Serviço",AND(AUTOEVENTO="Manual",$M135=$A$15),$M135&gt;(ROW(PLE.lastrow)-ROW(PLE.firstrow))),0,
           IF(OFFSET(PLE!$G$15,$M135-$A$15,BB$13)="",10^12,OFFSET(PLE!$G$15,$M135-$A$15,BB$13)))</f>
        <v>1000000000000</v>
      </c>
      <c r="BC135" s="173">
        <f ca="1">IF(OR($D135&lt;&gt;"Serviço",AND(AUTOEVENTO="Manual",$M135=$A$15),$M135&gt;(ROW(PLE.lastrow)-ROW(PLE.firstrow))),0,
           IF(OFFSET(PLE!$G$15,$M135-$A$15,BC$13)="",10^12,OFFSET(PLE!$G$15,$M135-$A$15,BC$13)))</f>
        <v>1000000000000</v>
      </c>
      <c r="BD135" s="173">
        <f ca="1">IF(OR($D135&lt;&gt;"Serviço",AND(AUTOEVENTO="Manual",$M135=$A$15),$M135&gt;(ROW(PLE.lastrow)-ROW(PLE.firstrow))),0,
           IF(OFFSET(PLE!$G$15,$M135-$A$15,BD$13)="",10^12,OFFSET(PLE!$G$15,$M135-$A$15,BD$13)))</f>
        <v>1000000000000</v>
      </c>
      <c r="BE135" s="173">
        <f ca="1">IF(OR($D135&lt;&gt;"Serviço",AND(AUTOEVENTO="Manual",$M135=$A$15),$M135&gt;(ROW(PLE.lastrow)-ROW(PLE.firstrow))),0,
           IF(OFFSET(PLE!$G$15,$M135-$A$15,BE$13)="",10^12,OFFSET(PLE!$G$15,$M135-$A$15,BE$13)))</f>
        <v>1000000000000</v>
      </c>
      <c r="BF135" s="173">
        <f ca="1">IF(OR($D135&lt;&gt;"Serviço",AND(AUTOEVENTO="Manual",$M135=$A$15),$M135&gt;(ROW(PLE.lastrow)-ROW(PLE.firstrow))),0,
           IF(OFFSET(PLE!$G$15,$M135-$A$15,BF$13)="",10^12,OFFSET(PLE!$G$15,$M135-$A$15,BF$13)))</f>
        <v>1000000000000</v>
      </c>
      <c r="BG135" s="173">
        <f ca="1">IF(OR($D135&lt;&gt;"Serviço",AND(AUTOEVENTO="Manual",$M135=$A$15),$M135&gt;(ROW(PLE.lastrow)-ROW(PLE.firstrow))),0,
           IF(OFFSET(PLE!$G$15,$M135-$A$15,BG$13)="",10^12,OFFSET(PLE!$G$15,$M135-$A$15,BG$13)))</f>
        <v>1000000000000</v>
      </c>
    </row>
    <row r="136" spans="1:59" ht="25.5" x14ac:dyDescent="0.2">
      <c r="A136" s="7" t="str">
        <f t="shared" ca="1" si="9"/>
        <v>114</v>
      </c>
      <c r="B136" s="7" t="str">
        <f ca="1">OFFSET(ORÇAMENTO!C$15,ROW(B136)-ROW(B$15),0)</f>
        <v>S</v>
      </c>
      <c r="C136" s="7" t="str">
        <f ca="1">OFFSET(ORÇAMENTO!L$15,ROW(C136)-ROW(C$15),0)</f>
        <v/>
      </c>
      <c r="D136" s="117" t="str">
        <f ca="1">OFFSET(ORÇAMENTO!N$15,ROW(D136)-ROW(D$15),0)</f>
        <v>Serviço</v>
      </c>
      <c r="E136" s="118" t="str">
        <f ca="1">OFFSET(ORÇAMENTO!O$15,ROW(E136)-ROW(E$15),0)</f>
        <v>-</v>
      </c>
      <c r="F136" s="164" t="str">
        <f ca="1">OFFSET(ORÇAMENTO!R$15,ROW(F136)-ROW(F$15),0)</f>
        <v xml:space="preserve">CAP PVC, SOLDAVEL, 40 MM, PARA AGUA FRIA PREDIAL                                                                                                                                                                                                          </v>
      </c>
      <c r="G136" s="165" t="str">
        <f ca="1">IF($D136&lt;&gt;"Serviço","",OFFSET(ORÇAMENTO!S$15,ROW(G136)-ROW(G$15),0))</f>
        <v xml:space="preserve">UN    </v>
      </c>
      <c r="H136" s="123">
        <f ca="1">IF($D136&lt;&gt;"Serviço",0,IF(ACOMPANHAMENTO="BM",ROUND(OFFSET(ORÇAMENTO!AJ$15,ROW(H136)-ROW(H$15),0),15-13*ORÇAMENTO!$AF$7),SUMPRODUCT(($Q$1:$AA$1=1)*ROUND($Q136:$AA136,15-13*ORÇAMENTO!$AF$7))))</f>
        <v>39</v>
      </c>
      <c r="I136" s="469"/>
      <c r="J136" s="577" t="str" cm="1">
        <f t="array" aca="1" ref="J136" ca="1">IF(B136&lt;&gt;"S","",IF(AND(ACOMPANHAMENTO="PLE",AUTOEVENTO="Manual",OR(H136&gt;0,ORÇAMENTO!AC136="QUANT."),OR(K136="",M136=0,N136="")),"►",IF(AND(ACOMPANHAMENTO="PLE",ORÇAMENTO!AC136="QUANT."),"►►",IF(AND(COUNTIF($P$11:$AA$11,"▼")=0,H136&gt;0,I136=""),"◄",""))))</f>
        <v>◄</v>
      </c>
      <c r="K136" s="626"/>
      <c r="L136" s="166" t="s">
        <v>765</v>
      </c>
      <c r="M136" s="167">
        <f ca="1">IF($D136&lt;&gt;"Serviço","",
          IF(AUTOEVENTO="manual",$A136,
                IF(ISERROR(MATCH($A136,$A$15:OFFSET($A136,-1,0),0)),MAX($M$15:OFFSET(M136,-1,0))+1,
                      INDEX($M$15:OFFSET(M136,-1,0),MATCH($A136,$A$15:OFFSET($A136,-1,0),0)))))</f>
        <v>11</v>
      </c>
      <c r="N136" s="168" t="str">
        <f ca="1">IF($D136&lt;&gt;"Serviço","",
         IF(AUTOEVENTO="Manual",
                IF($A136=0,"&lt;-- defina o número do agrupador",
                       OFFSET(EVENTOS!$D$15,$A136-$A$15,0)),
                OFFSET($F$15,$A136,0)))</f>
        <v>INSTALAÇÕES HIDROSSANITÁRIAS</v>
      </c>
      <c r="O136" s="169"/>
      <c r="Q136" s="169"/>
      <c r="R136" s="170"/>
      <c r="S136" s="170"/>
      <c r="T136" s="170"/>
      <c r="U136" s="170"/>
      <c r="V136" s="170"/>
      <c r="W136" s="170"/>
      <c r="X136" s="170"/>
      <c r="Y136" s="170"/>
      <c r="Z136" s="171"/>
      <c r="AB136" s="454">
        <f ca="1">IF(AND($D136="Serviço",AB$12&lt;&gt;0,$H136&gt;0,OR(AUTOEVENTO&lt;&gt;"manual",$M136&lt;&gt;$A$15)),
        IF(Import.TipoArredondamento&lt;&gt;"TransfereGOV",
              ROUND(OFFSET($P136,0,AB$13),15-13*ORÇAMENTO!$AF$7)/$H136*OFFSET(ORÇAMENTO!$X$15,ROW(AB136)-ROW(AB$15),0),
              ROUND(ROUND(OFFSET($P136,0,AB$13),15-13*ORÇAMENTO!$AF$7)*OFFSET(ORÇAMENTO!$W$15,ROW(AB136)-ROW(AB$15),0),15-13*ORÇAMENTO!$AF$11)),
         0)</f>
        <v>0</v>
      </c>
      <c r="AC136" s="454">
        <f ca="1">IF(AND($D136="Serviço",AC$12&lt;&gt;0,$H136&gt;0,OR(AUTOEVENTO&lt;&gt;"manual",$M136&lt;&gt;$A$15)),
        IF(Import.TipoArredondamento&lt;&gt;"TransfereGOV",
              ROUND(OFFSET($P136,0,AC$13),15-13*ORÇAMENTO!$AF$7)/$H136*OFFSET(ORÇAMENTO!$X$15,ROW(AC136)-ROW(AC$15),0),
              ROUND(ROUND(OFFSET($P136,0,AC$13),15-13*ORÇAMENTO!$AF$7)*OFFSET(ORÇAMENTO!$W$15,ROW(AC136)-ROW(AC$15),0),15-13*ORÇAMENTO!$AF$11)),
         0)</f>
        <v>0</v>
      </c>
      <c r="AD136" s="454">
        <f ca="1">IF(AND($D136="Serviço",AD$12&lt;&gt;0,$H136&gt;0,OR(AUTOEVENTO&lt;&gt;"manual",$M136&lt;&gt;$A$15)),
        IF(Import.TipoArredondamento&lt;&gt;"TransfereGOV",
              ROUND(OFFSET($P136,0,AD$13),15-13*ORÇAMENTO!$AF$7)/$H136*OFFSET(ORÇAMENTO!$X$15,ROW(AD136)-ROW(AD$15),0),
              ROUND(ROUND(OFFSET($P136,0,AD$13),15-13*ORÇAMENTO!$AF$7)*OFFSET(ORÇAMENTO!$W$15,ROW(AD136)-ROW(AD$15),0),15-13*ORÇAMENTO!$AF$11)),
         0)</f>
        <v>0</v>
      </c>
      <c r="AE136" s="454">
        <f ca="1">IF(AND($D136="Serviço",AE$12&lt;&gt;0,$H136&gt;0,OR(AUTOEVENTO&lt;&gt;"manual",$M136&lt;&gt;$A$15)),
        IF(Import.TipoArredondamento&lt;&gt;"TransfereGOV",
              ROUND(OFFSET($P136,0,AE$13),15-13*ORÇAMENTO!$AF$7)/$H136*OFFSET(ORÇAMENTO!$X$15,ROW(AE136)-ROW(AE$15),0),
              ROUND(ROUND(OFFSET($P136,0,AE$13),15-13*ORÇAMENTO!$AF$7)*OFFSET(ORÇAMENTO!$W$15,ROW(AE136)-ROW(AE$15),0),15-13*ORÇAMENTO!$AF$11)),
         0)</f>
        <v>0</v>
      </c>
      <c r="AF136" s="454">
        <f ca="1">IF(AND($D136="Serviço",AF$12&lt;&gt;0,$H136&gt;0,OR(AUTOEVENTO&lt;&gt;"manual",$M136&lt;&gt;$A$15)),
        IF(Import.TipoArredondamento&lt;&gt;"TransfereGOV",
              ROUND(OFFSET($P136,0,AF$13),15-13*ORÇAMENTO!$AF$7)/$H136*OFFSET(ORÇAMENTO!$X$15,ROW(AF136)-ROW(AF$15),0),
              ROUND(ROUND(OFFSET($P136,0,AF$13),15-13*ORÇAMENTO!$AF$7)*OFFSET(ORÇAMENTO!$W$15,ROW(AF136)-ROW(AF$15),0),15-13*ORÇAMENTO!$AF$11)),
         0)</f>
        <v>0</v>
      </c>
      <c r="AG136" s="454">
        <f ca="1">IF(AND($D136="Serviço",AG$12&lt;&gt;0,$H136&gt;0,OR(AUTOEVENTO&lt;&gt;"manual",$M136&lt;&gt;$A$15)),
        IF(Import.TipoArredondamento&lt;&gt;"TransfereGOV",
              ROUND(OFFSET($P136,0,AG$13),15-13*ORÇAMENTO!$AF$7)/$H136*OFFSET(ORÇAMENTO!$X$15,ROW(AG136)-ROW(AG$15),0),
              ROUND(ROUND(OFFSET($P136,0,AG$13),15-13*ORÇAMENTO!$AF$7)*OFFSET(ORÇAMENTO!$W$15,ROW(AG136)-ROW(AG$15),0),15-13*ORÇAMENTO!$AF$11)),
         0)</f>
        <v>0</v>
      </c>
      <c r="AH136" s="454">
        <f ca="1">IF(AND($D136="Serviço",AH$12&lt;&gt;0,$H136&gt;0,OR(AUTOEVENTO&lt;&gt;"manual",$M136&lt;&gt;$A$15)),
        IF(Import.TipoArredondamento&lt;&gt;"TransfereGOV",
              ROUND(OFFSET($P136,0,AH$13),15-13*ORÇAMENTO!$AF$7)/$H136*OFFSET(ORÇAMENTO!$X$15,ROW(AH136)-ROW(AH$15),0),
              ROUND(ROUND(OFFSET($P136,0,AH$13),15-13*ORÇAMENTO!$AF$7)*OFFSET(ORÇAMENTO!$W$15,ROW(AH136)-ROW(AH$15),0),15-13*ORÇAMENTO!$AF$11)),
         0)</f>
        <v>0</v>
      </c>
      <c r="AI136" s="454">
        <f ca="1">IF(AND($D136="Serviço",AI$12&lt;&gt;0,$H136&gt;0,OR(AUTOEVENTO&lt;&gt;"manual",$M136&lt;&gt;$A$15)),
        IF(Import.TipoArredondamento&lt;&gt;"TransfereGOV",
              ROUND(OFFSET($P136,0,AI$13),15-13*ORÇAMENTO!$AF$7)/$H136*OFFSET(ORÇAMENTO!$X$15,ROW(AI136)-ROW(AI$15),0),
              ROUND(ROUND(OFFSET($P136,0,AI$13),15-13*ORÇAMENTO!$AF$7)*OFFSET(ORÇAMENTO!$W$15,ROW(AI136)-ROW(AI$15),0),15-13*ORÇAMENTO!$AF$11)),
         0)</f>
        <v>0</v>
      </c>
      <c r="AJ136" s="454">
        <f ca="1">IF(AND($D136="Serviço",AJ$12&lt;&gt;0,$H136&gt;0,OR(AUTOEVENTO&lt;&gt;"manual",$M136&lt;&gt;$A$15)),
        IF(Import.TipoArredondamento&lt;&gt;"TransfereGOV",
              ROUND(OFFSET($P136,0,AJ$13),15-13*ORÇAMENTO!$AF$7)/$H136*OFFSET(ORÇAMENTO!$X$15,ROW(AJ136)-ROW(AJ$15),0),
              ROUND(ROUND(OFFSET($P136,0,AJ$13),15-13*ORÇAMENTO!$AF$7)*OFFSET(ORÇAMENTO!$W$15,ROW(AJ136)-ROW(AJ$15),0),15-13*ORÇAMENTO!$AF$11)),
         0)</f>
        <v>0</v>
      </c>
      <c r="AK136" s="454">
        <f ca="1">IF(AND($D136="Serviço",AK$12&lt;&gt;0,$H136&gt;0,OR(AUTOEVENTO&lt;&gt;"manual",$M136&lt;&gt;$A$15)),
        IF(Import.TipoArredondamento&lt;&gt;"TransfereGOV",
              ROUND(OFFSET($P136,0,AK$13),15-13*ORÇAMENTO!$AF$7)/$H136*OFFSET(ORÇAMENTO!$X$15,ROW(AK136)-ROW(AK$15),0),
              ROUND(ROUND(OFFSET($P136,0,AK$13),15-13*ORÇAMENTO!$AF$7)*OFFSET(ORÇAMENTO!$W$15,ROW(AK136)-ROW(AK$15),0),15-13*ORÇAMENTO!$AF$11)),
         0)</f>
        <v>0</v>
      </c>
      <c r="AM136" s="172">
        <f ca="1">IF(OR($D136&lt;&gt;"Serviço",AND(AUTOEVENTO="Manual",$M136=$A$15)),0,
         IF(OFFSET(CRONOPLE!$F$15,$M136-$A$15,AM$13)="",10^12,OFFSET(CRONOPLE!$F$15,$M136-$A$15,AM$13)))</f>
        <v>1000000000000</v>
      </c>
      <c r="AN136" s="172">
        <f ca="1">IF(OR($D136&lt;&gt;"Serviço",AND(AUTOEVENTO="Manual",$M136=$A$15)),0,
         IF(OFFSET(CRONOPLE!$F$15,$M136-$A$15,AN$13)="",10^12,OFFSET(CRONOPLE!$F$15,$M136-$A$15,AN$13)))</f>
        <v>1000000000000</v>
      </c>
      <c r="AO136" s="172">
        <f ca="1">IF(OR($D136&lt;&gt;"Serviço",AND(AUTOEVENTO="Manual",$M136=$A$15)),0,
         IF(OFFSET(CRONOPLE!$F$15,$M136-$A$15,AO$13)="",10^12,OFFSET(CRONOPLE!$F$15,$M136-$A$15,AO$13)))</f>
        <v>1000000000000</v>
      </c>
      <c r="AP136" s="172">
        <f ca="1">IF(OR($D136&lt;&gt;"Serviço",AND(AUTOEVENTO="Manual",$M136=$A$15)),0,
         IF(OFFSET(CRONOPLE!$F$15,$M136-$A$15,AP$13)="",10^12,OFFSET(CRONOPLE!$F$15,$M136-$A$15,AP$13)))</f>
        <v>1000000000000</v>
      </c>
      <c r="AQ136" s="172">
        <f ca="1">IF(OR($D136&lt;&gt;"Serviço",AND(AUTOEVENTO="Manual",$M136=$A$15)),0,
         IF(OFFSET(CRONOPLE!$F$15,$M136-$A$15,AQ$13)="",10^12,OFFSET(CRONOPLE!$F$15,$M136-$A$15,AQ$13)))</f>
        <v>1000000000000</v>
      </c>
      <c r="AR136" s="172">
        <f ca="1">IF(OR($D136&lt;&gt;"Serviço",AND(AUTOEVENTO="Manual",$M136=$A$15)),0,
         IF(OFFSET(CRONOPLE!$F$15,$M136-$A$15,AR$13)="",10^12,OFFSET(CRONOPLE!$F$15,$M136-$A$15,AR$13)))</f>
        <v>1000000000000</v>
      </c>
      <c r="AS136" s="172">
        <f ca="1">IF(OR($D136&lt;&gt;"Serviço",AND(AUTOEVENTO="Manual",$M136=$A$15)),0,
         IF(OFFSET(CRONOPLE!$F$15,$M136-$A$15,AS$13)="",10^12,OFFSET(CRONOPLE!$F$15,$M136-$A$15,AS$13)))</f>
        <v>1000000000000</v>
      </c>
      <c r="AT136" s="172">
        <f ca="1">IF(OR($D136&lt;&gt;"Serviço",AND(AUTOEVENTO="Manual",$M136=$A$15)),0,
         IF(OFFSET(CRONOPLE!$F$15,$M136-$A$15,AT$13)="",10^12,OFFSET(CRONOPLE!$F$15,$M136-$A$15,AT$13)))</f>
        <v>1000000000000</v>
      </c>
      <c r="AU136" s="172">
        <f ca="1">IF(OR($D136&lt;&gt;"Serviço",AND(AUTOEVENTO="Manual",$M136=$A$15)),0,
         IF(OFFSET(CRONOPLE!$F$15,$M136-$A$15,AU$13)="",10^12,OFFSET(CRONOPLE!$F$15,$M136-$A$15,AU$13)))</f>
        <v>1000000000000</v>
      </c>
      <c r="AV136" s="172">
        <f ca="1">IF(OR($D136&lt;&gt;"Serviço",AND(AUTOEVENTO="Manual",$M136=$A$15)),0,
         IF(OFFSET(CRONOPLE!$F$15,$M136-$A$15,AV$13)="",10^12,OFFSET(CRONOPLE!$F$15,$M136-$A$15,AV$13)))</f>
        <v>1000000000000</v>
      </c>
      <c r="AX136" s="173">
        <f ca="1">IF(OR($D136&lt;&gt;"Serviço",AND(AUTOEVENTO="Manual",$M136=$A$15),$M136&gt;(ROW(PLE.lastrow)-ROW(PLE.firstrow))),0,
           IF(OFFSET(PLE!$G$15,$M136-$A$15,AX$13)="",10^12,OFFSET(PLE!$G$15,$M136-$A$15,AX$13)))</f>
        <v>1000000000000</v>
      </c>
      <c r="AY136" s="173">
        <f ca="1">IF(OR($D136&lt;&gt;"Serviço",AND(AUTOEVENTO="Manual",$M136=$A$15),$M136&gt;(ROW(PLE.lastrow)-ROW(PLE.firstrow))),0,
           IF(OFFSET(PLE!$G$15,$M136-$A$15,AY$13)="",10^12,OFFSET(PLE!$G$15,$M136-$A$15,AY$13)))</f>
        <v>1000000000000</v>
      </c>
      <c r="AZ136" s="173">
        <f ca="1">IF(OR($D136&lt;&gt;"Serviço",AND(AUTOEVENTO="Manual",$M136=$A$15),$M136&gt;(ROW(PLE.lastrow)-ROW(PLE.firstrow))),0,
           IF(OFFSET(PLE!$G$15,$M136-$A$15,AZ$13)="",10^12,OFFSET(PLE!$G$15,$M136-$A$15,AZ$13)))</f>
        <v>1000000000000</v>
      </c>
      <c r="BA136" s="173">
        <f ca="1">IF(OR($D136&lt;&gt;"Serviço",AND(AUTOEVENTO="Manual",$M136=$A$15),$M136&gt;(ROW(PLE.lastrow)-ROW(PLE.firstrow))),0,
           IF(OFFSET(PLE!$G$15,$M136-$A$15,BA$13)="",10^12,OFFSET(PLE!$G$15,$M136-$A$15,BA$13)))</f>
        <v>1000000000000</v>
      </c>
      <c r="BB136" s="173">
        <f ca="1">IF(OR($D136&lt;&gt;"Serviço",AND(AUTOEVENTO="Manual",$M136=$A$15),$M136&gt;(ROW(PLE.lastrow)-ROW(PLE.firstrow))),0,
           IF(OFFSET(PLE!$G$15,$M136-$A$15,BB$13)="",10^12,OFFSET(PLE!$G$15,$M136-$A$15,BB$13)))</f>
        <v>1000000000000</v>
      </c>
      <c r="BC136" s="173">
        <f ca="1">IF(OR($D136&lt;&gt;"Serviço",AND(AUTOEVENTO="Manual",$M136=$A$15),$M136&gt;(ROW(PLE.lastrow)-ROW(PLE.firstrow))),0,
           IF(OFFSET(PLE!$G$15,$M136-$A$15,BC$13)="",10^12,OFFSET(PLE!$G$15,$M136-$A$15,BC$13)))</f>
        <v>1000000000000</v>
      </c>
      <c r="BD136" s="173">
        <f ca="1">IF(OR($D136&lt;&gt;"Serviço",AND(AUTOEVENTO="Manual",$M136=$A$15),$M136&gt;(ROW(PLE.lastrow)-ROW(PLE.firstrow))),0,
           IF(OFFSET(PLE!$G$15,$M136-$A$15,BD$13)="",10^12,OFFSET(PLE!$G$15,$M136-$A$15,BD$13)))</f>
        <v>1000000000000</v>
      </c>
      <c r="BE136" s="173">
        <f ca="1">IF(OR($D136&lt;&gt;"Serviço",AND(AUTOEVENTO="Manual",$M136=$A$15),$M136&gt;(ROW(PLE.lastrow)-ROW(PLE.firstrow))),0,
           IF(OFFSET(PLE!$G$15,$M136-$A$15,BE$13)="",10^12,OFFSET(PLE!$G$15,$M136-$A$15,BE$13)))</f>
        <v>1000000000000</v>
      </c>
      <c r="BF136" s="173">
        <f ca="1">IF(OR($D136&lt;&gt;"Serviço",AND(AUTOEVENTO="Manual",$M136=$A$15),$M136&gt;(ROW(PLE.lastrow)-ROW(PLE.firstrow))),0,
           IF(OFFSET(PLE!$G$15,$M136-$A$15,BF$13)="",10^12,OFFSET(PLE!$G$15,$M136-$A$15,BF$13)))</f>
        <v>1000000000000</v>
      </c>
      <c r="BG136" s="173">
        <f ca="1">IF(OR($D136&lt;&gt;"Serviço",AND(AUTOEVENTO="Manual",$M136=$A$15),$M136&gt;(ROW(PLE.lastrow)-ROW(PLE.firstrow))),0,
           IF(OFFSET(PLE!$G$15,$M136-$A$15,BG$13)="",10^12,OFFSET(PLE!$G$15,$M136-$A$15,BG$13)))</f>
        <v>1000000000000</v>
      </c>
    </row>
    <row r="137" spans="1:59" ht="38.25" x14ac:dyDescent="0.2">
      <c r="A137" s="7" t="str">
        <f t="shared" ca="1" si="9"/>
        <v>114</v>
      </c>
      <c r="B137" s="7" t="str">
        <f ca="1">OFFSET(ORÇAMENTO!C$15,ROW(B137)-ROW(B$15),0)</f>
        <v>S</v>
      </c>
      <c r="C137" s="7" t="str">
        <f ca="1">OFFSET(ORÇAMENTO!L$15,ROW(C137)-ROW(C$15),0)</f>
        <v/>
      </c>
      <c r="D137" s="117" t="str">
        <f ca="1">OFFSET(ORÇAMENTO!N$15,ROW(D137)-ROW(D$15),0)</f>
        <v>Serviço</v>
      </c>
      <c r="E137" s="118" t="str">
        <f ca="1">OFFSET(ORÇAMENTO!O$15,ROW(E137)-ROW(E$15),0)</f>
        <v>-</v>
      </c>
      <c r="F137" s="164" t="str">
        <f ca="1">OFFSET(ORÇAMENTO!R$15,ROW(F137)-ROW(F$15),0)</f>
        <v>JOELHO 45 GRAUS, PVC, SERIE NORMAL, ESGOTO PREDIAL, DN 100 MM, JUNTA ELÁSTICA, FORNECIDO E INSTALADO EM RAMAL DE DESCARGA OU RAMAL DE ESGOTO SANITÁRIO. AF_08/2022</v>
      </c>
      <c r="G137" s="165" t="str">
        <f ca="1">IF($D137&lt;&gt;"Serviço","",OFFSET(ORÇAMENTO!S$15,ROW(G137)-ROW(G$15),0))</f>
        <v>UN</v>
      </c>
      <c r="H137" s="123">
        <f ca="1">IF($D137&lt;&gt;"Serviço",0,IF(ACOMPANHAMENTO="BM",ROUND(OFFSET(ORÇAMENTO!AJ$15,ROW(H137)-ROW(H$15),0),15-13*ORÇAMENTO!$AF$7),SUMPRODUCT(($Q$1:$AA$1=1)*ROUND($Q137:$AA137,15-13*ORÇAMENTO!$AF$7))))</f>
        <v>18</v>
      </c>
      <c r="I137" s="469"/>
      <c r="J137" s="577" t="str" cm="1">
        <f t="array" aca="1" ref="J137" ca="1">IF(B137&lt;&gt;"S","",IF(AND(ACOMPANHAMENTO="PLE",AUTOEVENTO="Manual",OR(H137&gt;0,ORÇAMENTO!AC137="QUANT."),OR(K137="",M137=0,N137="")),"►",IF(AND(ACOMPANHAMENTO="PLE",ORÇAMENTO!AC137="QUANT."),"►►",IF(AND(COUNTIF($P$11:$AA$11,"▼")=0,H137&gt;0,I137=""),"◄",""))))</f>
        <v>◄</v>
      </c>
      <c r="K137" s="626"/>
      <c r="L137" s="166" t="s">
        <v>765</v>
      </c>
      <c r="M137" s="167">
        <f ca="1">IF($D137&lt;&gt;"Serviço","",
          IF(AUTOEVENTO="manual",$A137,
                IF(ISERROR(MATCH($A137,$A$15:OFFSET($A137,-1,0),0)),MAX($M$15:OFFSET(M137,-1,0))+1,
                      INDEX($M$15:OFFSET(M137,-1,0),MATCH($A137,$A$15:OFFSET($A137,-1,0),0)))))</f>
        <v>11</v>
      </c>
      <c r="N137" s="168" t="str">
        <f ca="1">IF($D137&lt;&gt;"Serviço","",
         IF(AUTOEVENTO="Manual",
                IF($A137=0,"&lt;-- defina o número do agrupador",
                       OFFSET(EVENTOS!$D$15,$A137-$A$15,0)),
                OFFSET($F$15,$A137,0)))</f>
        <v>INSTALAÇÕES HIDROSSANITÁRIAS</v>
      </c>
      <c r="O137" s="169"/>
      <c r="Q137" s="169"/>
      <c r="R137" s="170"/>
      <c r="S137" s="170"/>
      <c r="T137" s="170"/>
      <c r="U137" s="170"/>
      <c r="V137" s="170"/>
      <c r="W137" s="170"/>
      <c r="X137" s="170"/>
      <c r="Y137" s="170"/>
      <c r="Z137" s="171"/>
      <c r="AB137" s="454">
        <f ca="1">IF(AND($D137="Serviço",AB$12&lt;&gt;0,$H137&gt;0,OR(AUTOEVENTO&lt;&gt;"manual",$M137&lt;&gt;$A$15)),
        IF(Import.TipoArredondamento&lt;&gt;"TransfereGOV",
              ROUND(OFFSET($P137,0,AB$13),15-13*ORÇAMENTO!$AF$7)/$H137*OFFSET(ORÇAMENTO!$X$15,ROW(AB137)-ROW(AB$15),0),
              ROUND(ROUND(OFFSET($P137,0,AB$13),15-13*ORÇAMENTO!$AF$7)*OFFSET(ORÇAMENTO!$W$15,ROW(AB137)-ROW(AB$15),0),15-13*ORÇAMENTO!$AF$11)),
         0)</f>
        <v>0</v>
      </c>
      <c r="AC137" s="454">
        <f ca="1">IF(AND($D137="Serviço",AC$12&lt;&gt;0,$H137&gt;0,OR(AUTOEVENTO&lt;&gt;"manual",$M137&lt;&gt;$A$15)),
        IF(Import.TipoArredondamento&lt;&gt;"TransfereGOV",
              ROUND(OFFSET($P137,0,AC$13),15-13*ORÇAMENTO!$AF$7)/$H137*OFFSET(ORÇAMENTO!$X$15,ROW(AC137)-ROW(AC$15),0),
              ROUND(ROUND(OFFSET($P137,0,AC$13),15-13*ORÇAMENTO!$AF$7)*OFFSET(ORÇAMENTO!$W$15,ROW(AC137)-ROW(AC$15),0),15-13*ORÇAMENTO!$AF$11)),
         0)</f>
        <v>0</v>
      </c>
      <c r="AD137" s="454">
        <f ca="1">IF(AND($D137="Serviço",AD$12&lt;&gt;0,$H137&gt;0,OR(AUTOEVENTO&lt;&gt;"manual",$M137&lt;&gt;$A$15)),
        IF(Import.TipoArredondamento&lt;&gt;"TransfereGOV",
              ROUND(OFFSET($P137,0,AD$13),15-13*ORÇAMENTO!$AF$7)/$H137*OFFSET(ORÇAMENTO!$X$15,ROW(AD137)-ROW(AD$15),0),
              ROUND(ROUND(OFFSET($P137,0,AD$13),15-13*ORÇAMENTO!$AF$7)*OFFSET(ORÇAMENTO!$W$15,ROW(AD137)-ROW(AD$15),0),15-13*ORÇAMENTO!$AF$11)),
         0)</f>
        <v>0</v>
      </c>
      <c r="AE137" s="454">
        <f ca="1">IF(AND($D137="Serviço",AE$12&lt;&gt;0,$H137&gt;0,OR(AUTOEVENTO&lt;&gt;"manual",$M137&lt;&gt;$A$15)),
        IF(Import.TipoArredondamento&lt;&gt;"TransfereGOV",
              ROUND(OFFSET($P137,0,AE$13),15-13*ORÇAMENTO!$AF$7)/$H137*OFFSET(ORÇAMENTO!$X$15,ROW(AE137)-ROW(AE$15),0),
              ROUND(ROUND(OFFSET($P137,0,AE$13),15-13*ORÇAMENTO!$AF$7)*OFFSET(ORÇAMENTO!$W$15,ROW(AE137)-ROW(AE$15),0),15-13*ORÇAMENTO!$AF$11)),
         0)</f>
        <v>0</v>
      </c>
      <c r="AF137" s="454">
        <f ca="1">IF(AND($D137="Serviço",AF$12&lt;&gt;0,$H137&gt;0,OR(AUTOEVENTO&lt;&gt;"manual",$M137&lt;&gt;$A$15)),
        IF(Import.TipoArredondamento&lt;&gt;"TransfereGOV",
              ROUND(OFFSET($P137,0,AF$13),15-13*ORÇAMENTO!$AF$7)/$H137*OFFSET(ORÇAMENTO!$X$15,ROW(AF137)-ROW(AF$15),0),
              ROUND(ROUND(OFFSET($P137,0,AF$13),15-13*ORÇAMENTO!$AF$7)*OFFSET(ORÇAMENTO!$W$15,ROW(AF137)-ROW(AF$15),0),15-13*ORÇAMENTO!$AF$11)),
         0)</f>
        <v>0</v>
      </c>
      <c r="AG137" s="454">
        <f ca="1">IF(AND($D137="Serviço",AG$12&lt;&gt;0,$H137&gt;0,OR(AUTOEVENTO&lt;&gt;"manual",$M137&lt;&gt;$A$15)),
        IF(Import.TipoArredondamento&lt;&gt;"TransfereGOV",
              ROUND(OFFSET($P137,0,AG$13),15-13*ORÇAMENTO!$AF$7)/$H137*OFFSET(ORÇAMENTO!$X$15,ROW(AG137)-ROW(AG$15),0),
              ROUND(ROUND(OFFSET($P137,0,AG$13),15-13*ORÇAMENTO!$AF$7)*OFFSET(ORÇAMENTO!$W$15,ROW(AG137)-ROW(AG$15),0),15-13*ORÇAMENTO!$AF$11)),
         0)</f>
        <v>0</v>
      </c>
      <c r="AH137" s="454">
        <f ca="1">IF(AND($D137="Serviço",AH$12&lt;&gt;0,$H137&gt;0,OR(AUTOEVENTO&lt;&gt;"manual",$M137&lt;&gt;$A$15)),
        IF(Import.TipoArredondamento&lt;&gt;"TransfereGOV",
              ROUND(OFFSET($P137,0,AH$13),15-13*ORÇAMENTO!$AF$7)/$H137*OFFSET(ORÇAMENTO!$X$15,ROW(AH137)-ROW(AH$15),0),
              ROUND(ROUND(OFFSET($P137,0,AH$13),15-13*ORÇAMENTO!$AF$7)*OFFSET(ORÇAMENTO!$W$15,ROW(AH137)-ROW(AH$15),0),15-13*ORÇAMENTO!$AF$11)),
         0)</f>
        <v>0</v>
      </c>
      <c r="AI137" s="454">
        <f ca="1">IF(AND($D137="Serviço",AI$12&lt;&gt;0,$H137&gt;0,OR(AUTOEVENTO&lt;&gt;"manual",$M137&lt;&gt;$A$15)),
        IF(Import.TipoArredondamento&lt;&gt;"TransfereGOV",
              ROUND(OFFSET($P137,0,AI$13),15-13*ORÇAMENTO!$AF$7)/$H137*OFFSET(ORÇAMENTO!$X$15,ROW(AI137)-ROW(AI$15),0),
              ROUND(ROUND(OFFSET($P137,0,AI$13),15-13*ORÇAMENTO!$AF$7)*OFFSET(ORÇAMENTO!$W$15,ROW(AI137)-ROW(AI$15),0),15-13*ORÇAMENTO!$AF$11)),
         0)</f>
        <v>0</v>
      </c>
      <c r="AJ137" s="454">
        <f ca="1">IF(AND($D137="Serviço",AJ$12&lt;&gt;0,$H137&gt;0,OR(AUTOEVENTO&lt;&gt;"manual",$M137&lt;&gt;$A$15)),
        IF(Import.TipoArredondamento&lt;&gt;"TransfereGOV",
              ROUND(OFFSET($P137,0,AJ$13),15-13*ORÇAMENTO!$AF$7)/$H137*OFFSET(ORÇAMENTO!$X$15,ROW(AJ137)-ROW(AJ$15),0),
              ROUND(ROUND(OFFSET($P137,0,AJ$13),15-13*ORÇAMENTO!$AF$7)*OFFSET(ORÇAMENTO!$W$15,ROW(AJ137)-ROW(AJ$15),0),15-13*ORÇAMENTO!$AF$11)),
         0)</f>
        <v>0</v>
      </c>
      <c r="AK137" s="454">
        <f ca="1">IF(AND($D137="Serviço",AK$12&lt;&gt;0,$H137&gt;0,OR(AUTOEVENTO&lt;&gt;"manual",$M137&lt;&gt;$A$15)),
        IF(Import.TipoArredondamento&lt;&gt;"TransfereGOV",
              ROUND(OFFSET($P137,0,AK$13),15-13*ORÇAMENTO!$AF$7)/$H137*OFFSET(ORÇAMENTO!$X$15,ROW(AK137)-ROW(AK$15),0),
              ROUND(ROUND(OFFSET($P137,0,AK$13),15-13*ORÇAMENTO!$AF$7)*OFFSET(ORÇAMENTO!$W$15,ROW(AK137)-ROW(AK$15),0),15-13*ORÇAMENTO!$AF$11)),
         0)</f>
        <v>0</v>
      </c>
      <c r="AM137" s="172">
        <f ca="1">IF(OR($D137&lt;&gt;"Serviço",AND(AUTOEVENTO="Manual",$M137=$A$15)),0,
         IF(OFFSET(CRONOPLE!$F$15,$M137-$A$15,AM$13)="",10^12,OFFSET(CRONOPLE!$F$15,$M137-$A$15,AM$13)))</f>
        <v>1000000000000</v>
      </c>
      <c r="AN137" s="172">
        <f ca="1">IF(OR($D137&lt;&gt;"Serviço",AND(AUTOEVENTO="Manual",$M137=$A$15)),0,
         IF(OFFSET(CRONOPLE!$F$15,$M137-$A$15,AN$13)="",10^12,OFFSET(CRONOPLE!$F$15,$M137-$A$15,AN$13)))</f>
        <v>1000000000000</v>
      </c>
      <c r="AO137" s="172">
        <f ca="1">IF(OR($D137&lt;&gt;"Serviço",AND(AUTOEVENTO="Manual",$M137=$A$15)),0,
         IF(OFFSET(CRONOPLE!$F$15,$M137-$A$15,AO$13)="",10^12,OFFSET(CRONOPLE!$F$15,$M137-$A$15,AO$13)))</f>
        <v>1000000000000</v>
      </c>
      <c r="AP137" s="172">
        <f ca="1">IF(OR($D137&lt;&gt;"Serviço",AND(AUTOEVENTO="Manual",$M137=$A$15)),0,
         IF(OFFSET(CRONOPLE!$F$15,$M137-$A$15,AP$13)="",10^12,OFFSET(CRONOPLE!$F$15,$M137-$A$15,AP$13)))</f>
        <v>1000000000000</v>
      </c>
      <c r="AQ137" s="172">
        <f ca="1">IF(OR($D137&lt;&gt;"Serviço",AND(AUTOEVENTO="Manual",$M137=$A$15)),0,
         IF(OFFSET(CRONOPLE!$F$15,$M137-$A$15,AQ$13)="",10^12,OFFSET(CRONOPLE!$F$15,$M137-$A$15,AQ$13)))</f>
        <v>1000000000000</v>
      </c>
      <c r="AR137" s="172">
        <f ca="1">IF(OR($D137&lt;&gt;"Serviço",AND(AUTOEVENTO="Manual",$M137=$A$15)),0,
         IF(OFFSET(CRONOPLE!$F$15,$M137-$A$15,AR$13)="",10^12,OFFSET(CRONOPLE!$F$15,$M137-$A$15,AR$13)))</f>
        <v>1000000000000</v>
      </c>
      <c r="AS137" s="172">
        <f ca="1">IF(OR($D137&lt;&gt;"Serviço",AND(AUTOEVENTO="Manual",$M137=$A$15)),0,
         IF(OFFSET(CRONOPLE!$F$15,$M137-$A$15,AS$13)="",10^12,OFFSET(CRONOPLE!$F$15,$M137-$A$15,AS$13)))</f>
        <v>1000000000000</v>
      </c>
      <c r="AT137" s="172">
        <f ca="1">IF(OR($D137&lt;&gt;"Serviço",AND(AUTOEVENTO="Manual",$M137=$A$15)),0,
         IF(OFFSET(CRONOPLE!$F$15,$M137-$A$15,AT$13)="",10^12,OFFSET(CRONOPLE!$F$15,$M137-$A$15,AT$13)))</f>
        <v>1000000000000</v>
      </c>
      <c r="AU137" s="172">
        <f ca="1">IF(OR($D137&lt;&gt;"Serviço",AND(AUTOEVENTO="Manual",$M137=$A$15)),0,
         IF(OFFSET(CRONOPLE!$F$15,$M137-$A$15,AU$13)="",10^12,OFFSET(CRONOPLE!$F$15,$M137-$A$15,AU$13)))</f>
        <v>1000000000000</v>
      </c>
      <c r="AV137" s="172">
        <f ca="1">IF(OR($D137&lt;&gt;"Serviço",AND(AUTOEVENTO="Manual",$M137=$A$15)),0,
         IF(OFFSET(CRONOPLE!$F$15,$M137-$A$15,AV$13)="",10^12,OFFSET(CRONOPLE!$F$15,$M137-$A$15,AV$13)))</f>
        <v>1000000000000</v>
      </c>
      <c r="AX137" s="173">
        <f ca="1">IF(OR($D137&lt;&gt;"Serviço",AND(AUTOEVENTO="Manual",$M137=$A$15),$M137&gt;(ROW(PLE.lastrow)-ROW(PLE.firstrow))),0,
           IF(OFFSET(PLE!$G$15,$M137-$A$15,AX$13)="",10^12,OFFSET(PLE!$G$15,$M137-$A$15,AX$13)))</f>
        <v>1000000000000</v>
      </c>
      <c r="AY137" s="173">
        <f ca="1">IF(OR($D137&lt;&gt;"Serviço",AND(AUTOEVENTO="Manual",$M137=$A$15),$M137&gt;(ROW(PLE.lastrow)-ROW(PLE.firstrow))),0,
           IF(OFFSET(PLE!$G$15,$M137-$A$15,AY$13)="",10^12,OFFSET(PLE!$G$15,$M137-$A$15,AY$13)))</f>
        <v>1000000000000</v>
      </c>
      <c r="AZ137" s="173">
        <f ca="1">IF(OR($D137&lt;&gt;"Serviço",AND(AUTOEVENTO="Manual",$M137=$A$15),$M137&gt;(ROW(PLE.lastrow)-ROW(PLE.firstrow))),0,
           IF(OFFSET(PLE!$G$15,$M137-$A$15,AZ$13)="",10^12,OFFSET(PLE!$G$15,$M137-$A$15,AZ$13)))</f>
        <v>1000000000000</v>
      </c>
      <c r="BA137" s="173">
        <f ca="1">IF(OR($D137&lt;&gt;"Serviço",AND(AUTOEVENTO="Manual",$M137=$A$15),$M137&gt;(ROW(PLE.lastrow)-ROW(PLE.firstrow))),0,
           IF(OFFSET(PLE!$G$15,$M137-$A$15,BA$13)="",10^12,OFFSET(PLE!$G$15,$M137-$A$15,BA$13)))</f>
        <v>1000000000000</v>
      </c>
      <c r="BB137" s="173">
        <f ca="1">IF(OR($D137&lt;&gt;"Serviço",AND(AUTOEVENTO="Manual",$M137=$A$15),$M137&gt;(ROW(PLE.lastrow)-ROW(PLE.firstrow))),0,
           IF(OFFSET(PLE!$G$15,$M137-$A$15,BB$13)="",10^12,OFFSET(PLE!$G$15,$M137-$A$15,BB$13)))</f>
        <v>1000000000000</v>
      </c>
      <c r="BC137" s="173">
        <f ca="1">IF(OR($D137&lt;&gt;"Serviço",AND(AUTOEVENTO="Manual",$M137=$A$15),$M137&gt;(ROW(PLE.lastrow)-ROW(PLE.firstrow))),0,
           IF(OFFSET(PLE!$G$15,$M137-$A$15,BC$13)="",10^12,OFFSET(PLE!$G$15,$M137-$A$15,BC$13)))</f>
        <v>1000000000000</v>
      </c>
      <c r="BD137" s="173">
        <f ca="1">IF(OR($D137&lt;&gt;"Serviço",AND(AUTOEVENTO="Manual",$M137=$A$15),$M137&gt;(ROW(PLE.lastrow)-ROW(PLE.firstrow))),0,
           IF(OFFSET(PLE!$G$15,$M137-$A$15,BD$13)="",10^12,OFFSET(PLE!$G$15,$M137-$A$15,BD$13)))</f>
        <v>1000000000000</v>
      </c>
      <c r="BE137" s="173">
        <f ca="1">IF(OR($D137&lt;&gt;"Serviço",AND(AUTOEVENTO="Manual",$M137=$A$15),$M137&gt;(ROW(PLE.lastrow)-ROW(PLE.firstrow))),0,
           IF(OFFSET(PLE!$G$15,$M137-$A$15,BE$13)="",10^12,OFFSET(PLE!$G$15,$M137-$A$15,BE$13)))</f>
        <v>1000000000000</v>
      </c>
      <c r="BF137" s="173">
        <f ca="1">IF(OR($D137&lt;&gt;"Serviço",AND(AUTOEVENTO="Manual",$M137=$A$15),$M137&gt;(ROW(PLE.lastrow)-ROW(PLE.firstrow))),0,
           IF(OFFSET(PLE!$G$15,$M137-$A$15,BF$13)="",10^12,OFFSET(PLE!$G$15,$M137-$A$15,BF$13)))</f>
        <v>1000000000000</v>
      </c>
      <c r="BG137" s="173">
        <f ca="1">IF(OR($D137&lt;&gt;"Serviço",AND(AUTOEVENTO="Manual",$M137=$A$15),$M137&gt;(ROW(PLE.lastrow)-ROW(PLE.firstrow))),0,
           IF(OFFSET(PLE!$G$15,$M137-$A$15,BG$13)="",10^12,OFFSET(PLE!$G$15,$M137-$A$15,BG$13)))</f>
        <v>1000000000000</v>
      </c>
    </row>
    <row r="138" spans="1:59" ht="38.25" x14ac:dyDescent="0.2">
      <c r="A138" s="7" t="str">
        <f t="shared" ca="1" si="9"/>
        <v>114</v>
      </c>
      <c r="B138" s="7" t="str">
        <f ca="1">OFFSET(ORÇAMENTO!C$15,ROW(B138)-ROW(B$15),0)</f>
        <v>S</v>
      </c>
      <c r="C138" s="7" t="str">
        <f ca="1">OFFSET(ORÇAMENTO!L$15,ROW(C138)-ROW(C$15),0)</f>
        <v/>
      </c>
      <c r="D138" s="117" t="str">
        <f ca="1">OFFSET(ORÇAMENTO!N$15,ROW(D138)-ROW(D$15),0)</f>
        <v>Serviço</v>
      </c>
      <c r="E138" s="118" t="str">
        <f ca="1">OFFSET(ORÇAMENTO!O$15,ROW(E138)-ROW(E$15),0)</f>
        <v>-</v>
      </c>
      <c r="F138" s="164" t="str">
        <f ca="1">OFFSET(ORÇAMENTO!R$15,ROW(F138)-ROW(F$15),0)</f>
        <v>JOELHO 45 GRAUS, PVC, SERIE NORMAL, ESGOTO PREDIAL, DN 150 MM, JUNTA ELÁSTICA, FORNECIDO E INSTALADO EM SUBCOLETOR AÉREO DE ESGOTO SANITÁRIO. AF_08/2022</v>
      </c>
      <c r="G138" s="165" t="str">
        <f ca="1">IF($D138&lt;&gt;"Serviço","",OFFSET(ORÇAMENTO!S$15,ROW(G138)-ROW(G$15),0))</f>
        <v>UN</v>
      </c>
      <c r="H138" s="123">
        <f ca="1">IF($D138&lt;&gt;"Serviço",0,IF(ACOMPANHAMENTO="BM",ROUND(OFFSET(ORÇAMENTO!AJ$15,ROW(H138)-ROW(H$15),0),15-13*ORÇAMENTO!$AF$7),SUMPRODUCT(($Q$1:$AA$1=1)*ROUND($Q138:$AA138,15-13*ORÇAMENTO!$AF$7))))</f>
        <v>1</v>
      </c>
      <c r="I138" s="469"/>
      <c r="J138" s="577" t="str" cm="1">
        <f t="array" aca="1" ref="J138" ca="1">IF(B138&lt;&gt;"S","",IF(AND(ACOMPANHAMENTO="PLE",AUTOEVENTO="Manual",OR(H138&gt;0,ORÇAMENTO!AC138="QUANT."),OR(K138="",M138=0,N138="")),"►",IF(AND(ACOMPANHAMENTO="PLE",ORÇAMENTO!AC138="QUANT."),"►►",IF(AND(COUNTIF($P$11:$AA$11,"▼")=0,H138&gt;0,I138=""),"◄",""))))</f>
        <v>◄</v>
      </c>
      <c r="K138" s="626"/>
      <c r="L138" s="166" t="s">
        <v>765</v>
      </c>
      <c r="M138" s="167">
        <f ca="1">IF($D138&lt;&gt;"Serviço","",
          IF(AUTOEVENTO="manual",$A138,
                IF(ISERROR(MATCH($A138,$A$15:OFFSET($A138,-1,0),0)),MAX($M$15:OFFSET(M138,-1,0))+1,
                      INDEX($M$15:OFFSET(M138,-1,0),MATCH($A138,$A$15:OFFSET($A138,-1,0),0)))))</f>
        <v>11</v>
      </c>
      <c r="N138" s="168" t="str">
        <f ca="1">IF($D138&lt;&gt;"Serviço","",
         IF(AUTOEVENTO="Manual",
                IF($A138=0,"&lt;-- defina o número do agrupador",
                       OFFSET(EVENTOS!$D$15,$A138-$A$15,0)),
                OFFSET($F$15,$A138,0)))</f>
        <v>INSTALAÇÕES HIDROSSANITÁRIAS</v>
      </c>
      <c r="O138" s="169"/>
      <c r="Q138" s="169"/>
      <c r="R138" s="170"/>
      <c r="S138" s="170"/>
      <c r="T138" s="170"/>
      <c r="U138" s="170"/>
      <c r="V138" s="170"/>
      <c r="W138" s="170"/>
      <c r="X138" s="170"/>
      <c r="Y138" s="170"/>
      <c r="Z138" s="171"/>
      <c r="AB138" s="454">
        <f ca="1">IF(AND($D138="Serviço",AB$12&lt;&gt;0,$H138&gt;0,OR(AUTOEVENTO&lt;&gt;"manual",$M138&lt;&gt;$A$15)),
        IF(Import.TipoArredondamento&lt;&gt;"TransfereGOV",
              ROUND(OFFSET($P138,0,AB$13),15-13*ORÇAMENTO!$AF$7)/$H138*OFFSET(ORÇAMENTO!$X$15,ROW(AB138)-ROW(AB$15),0),
              ROUND(ROUND(OFFSET($P138,0,AB$13),15-13*ORÇAMENTO!$AF$7)*OFFSET(ORÇAMENTO!$W$15,ROW(AB138)-ROW(AB$15),0),15-13*ORÇAMENTO!$AF$11)),
         0)</f>
        <v>0</v>
      </c>
      <c r="AC138" s="454">
        <f ca="1">IF(AND($D138="Serviço",AC$12&lt;&gt;0,$H138&gt;0,OR(AUTOEVENTO&lt;&gt;"manual",$M138&lt;&gt;$A$15)),
        IF(Import.TipoArredondamento&lt;&gt;"TransfereGOV",
              ROUND(OFFSET($P138,0,AC$13),15-13*ORÇAMENTO!$AF$7)/$H138*OFFSET(ORÇAMENTO!$X$15,ROW(AC138)-ROW(AC$15),0),
              ROUND(ROUND(OFFSET($P138,0,AC$13),15-13*ORÇAMENTO!$AF$7)*OFFSET(ORÇAMENTO!$W$15,ROW(AC138)-ROW(AC$15),0),15-13*ORÇAMENTO!$AF$11)),
         0)</f>
        <v>0</v>
      </c>
      <c r="AD138" s="454">
        <f ca="1">IF(AND($D138="Serviço",AD$12&lt;&gt;0,$H138&gt;0,OR(AUTOEVENTO&lt;&gt;"manual",$M138&lt;&gt;$A$15)),
        IF(Import.TipoArredondamento&lt;&gt;"TransfereGOV",
              ROUND(OFFSET($P138,0,AD$13),15-13*ORÇAMENTO!$AF$7)/$H138*OFFSET(ORÇAMENTO!$X$15,ROW(AD138)-ROW(AD$15),0),
              ROUND(ROUND(OFFSET($P138,0,AD$13),15-13*ORÇAMENTO!$AF$7)*OFFSET(ORÇAMENTO!$W$15,ROW(AD138)-ROW(AD$15),0),15-13*ORÇAMENTO!$AF$11)),
         0)</f>
        <v>0</v>
      </c>
      <c r="AE138" s="454">
        <f ca="1">IF(AND($D138="Serviço",AE$12&lt;&gt;0,$H138&gt;0,OR(AUTOEVENTO&lt;&gt;"manual",$M138&lt;&gt;$A$15)),
        IF(Import.TipoArredondamento&lt;&gt;"TransfereGOV",
              ROUND(OFFSET($P138,0,AE$13),15-13*ORÇAMENTO!$AF$7)/$H138*OFFSET(ORÇAMENTO!$X$15,ROW(AE138)-ROW(AE$15),0),
              ROUND(ROUND(OFFSET($P138,0,AE$13),15-13*ORÇAMENTO!$AF$7)*OFFSET(ORÇAMENTO!$W$15,ROW(AE138)-ROW(AE$15),0),15-13*ORÇAMENTO!$AF$11)),
         0)</f>
        <v>0</v>
      </c>
      <c r="AF138" s="454">
        <f ca="1">IF(AND($D138="Serviço",AF$12&lt;&gt;0,$H138&gt;0,OR(AUTOEVENTO&lt;&gt;"manual",$M138&lt;&gt;$A$15)),
        IF(Import.TipoArredondamento&lt;&gt;"TransfereGOV",
              ROUND(OFFSET($P138,0,AF$13),15-13*ORÇAMENTO!$AF$7)/$H138*OFFSET(ORÇAMENTO!$X$15,ROW(AF138)-ROW(AF$15),0),
              ROUND(ROUND(OFFSET($P138,0,AF$13),15-13*ORÇAMENTO!$AF$7)*OFFSET(ORÇAMENTO!$W$15,ROW(AF138)-ROW(AF$15),0),15-13*ORÇAMENTO!$AF$11)),
         0)</f>
        <v>0</v>
      </c>
      <c r="AG138" s="454">
        <f ca="1">IF(AND($D138="Serviço",AG$12&lt;&gt;0,$H138&gt;0,OR(AUTOEVENTO&lt;&gt;"manual",$M138&lt;&gt;$A$15)),
        IF(Import.TipoArredondamento&lt;&gt;"TransfereGOV",
              ROUND(OFFSET($P138,0,AG$13),15-13*ORÇAMENTO!$AF$7)/$H138*OFFSET(ORÇAMENTO!$X$15,ROW(AG138)-ROW(AG$15),0),
              ROUND(ROUND(OFFSET($P138,0,AG$13),15-13*ORÇAMENTO!$AF$7)*OFFSET(ORÇAMENTO!$W$15,ROW(AG138)-ROW(AG$15),0),15-13*ORÇAMENTO!$AF$11)),
         0)</f>
        <v>0</v>
      </c>
      <c r="AH138" s="454">
        <f ca="1">IF(AND($D138="Serviço",AH$12&lt;&gt;0,$H138&gt;0,OR(AUTOEVENTO&lt;&gt;"manual",$M138&lt;&gt;$A$15)),
        IF(Import.TipoArredondamento&lt;&gt;"TransfereGOV",
              ROUND(OFFSET($P138,0,AH$13),15-13*ORÇAMENTO!$AF$7)/$H138*OFFSET(ORÇAMENTO!$X$15,ROW(AH138)-ROW(AH$15),0),
              ROUND(ROUND(OFFSET($P138,0,AH$13),15-13*ORÇAMENTO!$AF$7)*OFFSET(ORÇAMENTO!$W$15,ROW(AH138)-ROW(AH$15),0),15-13*ORÇAMENTO!$AF$11)),
         0)</f>
        <v>0</v>
      </c>
      <c r="AI138" s="454">
        <f ca="1">IF(AND($D138="Serviço",AI$12&lt;&gt;0,$H138&gt;0,OR(AUTOEVENTO&lt;&gt;"manual",$M138&lt;&gt;$A$15)),
        IF(Import.TipoArredondamento&lt;&gt;"TransfereGOV",
              ROUND(OFFSET($P138,0,AI$13),15-13*ORÇAMENTO!$AF$7)/$H138*OFFSET(ORÇAMENTO!$X$15,ROW(AI138)-ROW(AI$15),0),
              ROUND(ROUND(OFFSET($P138,0,AI$13),15-13*ORÇAMENTO!$AF$7)*OFFSET(ORÇAMENTO!$W$15,ROW(AI138)-ROW(AI$15),0),15-13*ORÇAMENTO!$AF$11)),
         0)</f>
        <v>0</v>
      </c>
      <c r="AJ138" s="454">
        <f ca="1">IF(AND($D138="Serviço",AJ$12&lt;&gt;0,$H138&gt;0,OR(AUTOEVENTO&lt;&gt;"manual",$M138&lt;&gt;$A$15)),
        IF(Import.TipoArredondamento&lt;&gt;"TransfereGOV",
              ROUND(OFFSET($P138,0,AJ$13),15-13*ORÇAMENTO!$AF$7)/$H138*OFFSET(ORÇAMENTO!$X$15,ROW(AJ138)-ROW(AJ$15),0),
              ROUND(ROUND(OFFSET($P138,0,AJ$13),15-13*ORÇAMENTO!$AF$7)*OFFSET(ORÇAMENTO!$W$15,ROW(AJ138)-ROW(AJ$15),0),15-13*ORÇAMENTO!$AF$11)),
         0)</f>
        <v>0</v>
      </c>
      <c r="AK138" s="454">
        <f ca="1">IF(AND($D138="Serviço",AK$12&lt;&gt;0,$H138&gt;0,OR(AUTOEVENTO&lt;&gt;"manual",$M138&lt;&gt;$A$15)),
        IF(Import.TipoArredondamento&lt;&gt;"TransfereGOV",
              ROUND(OFFSET($P138,0,AK$13),15-13*ORÇAMENTO!$AF$7)/$H138*OFFSET(ORÇAMENTO!$X$15,ROW(AK138)-ROW(AK$15),0),
              ROUND(ROUND(OFFSET($P138,0,AK$13),15-13*ORÇAMENTO!$AF$7)*OFFSET(ORÇAMENTO!$W$15,ROW(AK138)-ROW(AK$15),0),15-13*ORÇAMENTO!$AF$11)),
         0)</f>
        <v>0</v>
      </c>
      <c r="AM138" s="172">
        <f ca="1">IF(OR($D138&lt;&gt;"Serviço",AND(AUTOEVENTO="Manual",$M138=$A$15)),0,
         IF(OFFSET(CRONOPLE!$F$15,$M138-$A$15,AM$13)="",10^12,OFFSET(CRONOPLE!$F$15,$M138-$A$15,AM$13)))</f>
        <v>1000000000000</v>
      </c>
      <c r="AN138" s="172">
        <f ca="1">IF(OR($D138&lt;&gt;"Serviço",AND(AUTOEVENTO="Manual",$M138=$A$15)),0,
         IF(OFFSET(CRONOPLE!$F$15,$M138-$A$15,AN$13)="",10^12,OFFSET(CRONOPLE!$F$15,$M138-$A$15,AN$13)))</f>
        <v>1000000000000</v>
      </c>
      <c r="AO138" s="172">
        <f ca="1">IF(OR($D138&lt;&gt;"Serviço",AND(AUTOEVENTO="Manual",$M138=$A$15)),0,
         IF(OFFSET(CRONOPLE!$F$15,$M138-$A$15,AO$13)="",10^12,OFFSET(CRONOPLE!$F$15,$M138-$A$15,AO$13)))</f>
        <v>1000000000000</v>
      </c>
      <c r="AP138" s="172">
        <f ca="1">IF(OR($D138&lt;&gt;"Serviço",AND(AUTOEVENTO="Manual",$M138=$A$15)),0,
         IF(OFFSET(CRONOPLE!$F$15,$M138-$A$15,AP$13)="",10^12,OFFSET(CRONOPLE!$F$15,$M138-$A$15,AP$13)))</f>
        <v>1000000000000</v>
      </c>
      <c r="AQ138" s="172">
        <f ca="1">IF(OR($D138&lt;&gt;"Serviço",AND(AUTOEVENTO="Manual",$M138=$A$15)),0,
         IF(OFFSET(CRONOPLE!$F$15,$M138-$A$15,AQ$13)="",10^12,OFFSET(CRONOPLE!$F$15,$M138-$A$15,AQ$13)))</f>
        <v>1000000000000</v>
      </c>
      <c r="AR138" s="172">
        <f ca="1">IF(OR($D138&lt;&gt;"Serviço",AND(AUTOEVENTO="Manual",$M138=$A$15)),0,
         IF(OFFSET(CRONOPLE!$F$15,$M138-$A$15,AR$13)="",10^12,OFFSET(CRONOPLE!$F$15,$M138-$A$15,AR$13)))</f>
        <v>1000000000000</v>
      </c>
      <c r="AS138" s="172">
        <f ca="1">IF(OR($D138&lt;&gt;"Serviço",AND(AUTOEVENTO="Manual",$M138=$A$15)),0,
         IF(OFFSET(CRONOPLE!$F$15,$M138-$A$15,AS$13)="",10^12,OFFSET(CRONOPLE!$F$15,$M138-$A$15,AS$13)))</f>
        <v>1000000000000</v>
      </c>
      <c r="AT138" s="172">
        <f ca="1">IF(OR($D138&lt;&gt;"Serviço",AND(AUTOEVENTO="Manual",$M138=$A$15)),0,
         IF(OFFSET(CRONOPLE!$F$15,$M138-$A$15,AT$13)="",10^12,OFFSET(CRONOPLE!$F$15,$M138-$A$15,AT$13)))</f>
        <v>1000000000000</v>
      </c>
      <c r="AU138" s="172">
        <f ca="1">IF(OR($D138&lt;&gt;"Serviço",AND(AUTOEVENTO="Manual",$M138=$A$15)),0,
         IF(OFFSET(CRONOPLE!$F$15,$M138-$A$15,AU$13)="",10^12,OFFSET(CRONOPLE!$F$15,$M138-$A$15,AU$13)))</f>
        <v>1000000000000</v>
      </c>
      <c r="AV138" s="172">
        <f ca="1">IF(OR($D138&lt;&gt;"Serviço",AND(AUTOEVENTO="Manual",$M138=$A$15)),0,
         IF(OFFSET(CRONOPLE!$F$15,$M138-$A$15,AV$13)="",10^12,OFFSET(CRONOPLE!$F$15,$M138-$A$15,AV$13)))</f>
        <v>1000000000000</v>
      </c>
      <c r="AX138" s="173">
        <f ca="1">IF(OR($D138&lt;&gt;"Serviço",AND(AUTOEVENTO="Manual",$M138=$A$15),$M138&gt;(ROW(PLE.lastrow)-ROW(PLE.firstrow))),0,
           IF(OFFSET(PLE!$G$15,$M138-$A$15,AX$13)="",10^12,OFFSET(PLE!$G$15,$M138-$A$15,AX$13)))</f>
        <v>1000000000000</v>
      </c>
      <c r="AY138" s="173">
        <f ca="1">IF(OR($D138&lt;&gt;"Serviço",AND(AUTOEVENTO="Manual",$M138=$A$15),$M138&gt;(ROW(PLE.lastrow)-ROW(PLE.firstrow))),0,
           IF(OFFSET(PLE!$G$15,$M138-$A$15,AY$13)="",10^12,OFFSET(PLE!$G$15,$M138-$A$15,AY$13)))</f>
        <v>1000000000000</v>
      </c>
      <c r="AZ138" s="173">
        <f ca="1">IF(OR($D138&lt;&gt;"Serviço",AND(AUTOEVENTO="Manual",$M138=$A$15),$M138&gt;(ROW(PLE.lastrow)-ROW(PLE.firstrow))),0,
           IF(OFFSET(PLE!$G$15,$M138-$A$15,AZ$13)="",10^12,OFFSET(PLE!$G$15,$M138-$A$15,AZ$13)))</f>
        <v>1000000000000</v>
      </c>
      <c r="BA138" s="173">
        <f ca="1">IF(OR($D138&lt;&gt;"Serviço",AND(AUTOEVENTO="Manual",$M138=$A$15),$M138&gt;(ROW(PLE.lastrow)-ROW(PLE.firstrow))),0,
           IF(OFFSET(PLE!$G$15,$M138-$A$15,BA$13)="",10^12,OFFSET(PLE!$G$15,$M138-$A$15,BA$13)))</f>
        <v>1000000000000</v>
      </c>
      <c r="BB138" s="173">
        <f ca="1">IF(OR($D138&lt;&gt;"Serviço",AND(AUTOEVENTO="Manual",$M138=$A$15),$M138&gt;(ROW(PLE.lastrow)-ROW(PLE.firstrow))),0,
           IF(OFFSET(PLE!$G$15,$M138-$A$15,BB$13)="",10^12,OFFSET(PLE!$G$15,$M138-$A$15,BB$13)))</f>
        <v>1000000000000</v>
      </c>
      <c r="BC138" s="173">
        <f ca="1">IF(OR($D138&lt;&gt;"Serviço",AND(AUTOEVENTO="Manual",$M138=$A$15),$M138&gt;(ROW(PLE.lastrow)-ROW(PLE.firstrow))),0,
           IF(OFFSET(PLE!$G$15,$M138-$A$15,BC$13)="",10^12,OFFSET(PLE!$G$15,$M138-$A$15,BC$13)))</f>
        <v>1000000000000</v>
      </c>
      <c r="BD138" s="173">
        <f ca="1">IF(OR($D138&lt;&gt;"Serviço",AND(AUTOEVENTO="Manual",$M138=$A$15),$M138&gt;(ROW(PLE.lastrow)-ROW(PLE.firstrow))),0,
           IF(OFFSET(PLE!$G$15,$M138-$A$15,BD$13)="",10^12,OFFSET(PLE!$G$15,$M138-$A$15,BD$13)))</f>
        <v>1000000000000</v>
      </c>
      <c r="BE138" s="173">
        <f ca="1">IF(OR($D138&lt;&gt;"Serviço",AND(AUTOEVENTO="Manual",$M138=$A$15),$M138&gt;(ROW(PLE.lastrow)-ROW(PLE.firstrow))),0,
           IF(OFFSET(PLE!$G$15,$M138-$A$15,BE$13)="",10^12,OFFSET(PLE!$G$15,$M138-$A$15,BE$13)))</f>
        <v>1000000000000</v>
      </c>
      <c r="BF138" s="173">
        <f ca="1">IF(OR($D138&lt;&gt;"Serviço",AND(AUTOEVENTO="Manual",$M138=$A$15),$M138&gt;(ROW(PLE.lastrow)-ROW(PLE.firstrow))),0,
           IF(OFFSET(PLE!$G$15,$M138-$A$15,BF$13)="",10^12,OFFSET(PLE!$G$15,$M138-$A$15,BF$13)))</f>
        <v>1000000000000</v>
      </c>
      <c r="BG138" s="173">
        <f ca="1">IF(OR($D138&lt;&gt;"Serviço",AND(AUTOEVENTO="Manual",$M138=$A$15),$M138&gt;(ROW(PLE.lastrow)-ROW(PLE.firstrow))),0,
           IF(OFFSET(PLE!$G$15,$M138-$A$15,BG$13)="",10^12,OFFSET(PLE!$G$15,$M138-$A$15,BG$13)))</f>
        <v>1000000000000</v>
      </c>
    </row>
    <row r="139" spans="1:59" ht="38.25" x14ac:dyDescent="0.2">
      <c r="A139" s="7" t="str">
        <f t="shared" ca="1" si="9"/>
        <v>114</v>
      </c>
      <c r="B139" s="7" t="str">
        <f ca="1">OFFSET(ORÇAMENTO!C$15,ROW(B139)-ROW(B$15),0)</f>
        <v>S</v>
      </c>
      <c r="C139" s="7" t="str">
        <f ca="1">OFFSET(ORÇAMENTO!L$15,ROW(C139)-ROW(C$15),0)</f>
        <v/>
      </c>
      <c r="D139" s="117" t="str">
        <f ca="1">OFFSET(ORÇAMENTO!N$15,ROW(D139)-ROW(D$15),0)</f>
        <v>Serviço</v>
      </c>
      <c r="E139" s="118" t="str">
        <f ca="1">OFFSET(ORÇAMENTO!O$15,ROW(E139)-ROW(E$15),0)</f>
        <v>-</v>
      </c>
      <c r="F139" s="164" t="str">
        <f ca="1">OFFSET(ORÇAMENTO!R$15,ROW(F139)-ROW(F$15),0)</f>
        <v>JOELHO 45 GRAUS, PVC, SERIE NORMAL, ESGOTO PREDIAL, DN 40 MM, JUNTA SOLDÁVEL, FORNECIDO E INSTALADO EM RAMAL DE DESCARGA OU RAMAL DE ESGOTO SANITÁRIO. AF_08/2022</v>
      </c>
      <c r="G139" s="165" t="str">
        <f ca="1">IF($D139&lt;&gt;"Serviço","",OFFSET(ORÇAMENTO!S$15,ROW(G139)-ROW(G$15),0))</f>
        <v>UN</v>
      </c>
      <c r="H139" s="123">
        <f ca="1">IF($D139&lt;&gt;"Serviço",0,IF(ACOMPANHAMENTO="BM",ROUND(OFFSET(ORÇAMENTO!AJ$15,ROW(H139)-ROW(H$15),0),15-13*ORÇAMENTO!$AF$7),SUMPRODUCT(($Q$1:$AA$1=1)*ROUND($Q139:$AA139,15-13*ORÇAMENTO!$AF$7))))</f>
        <v>38</v>
      </c>
      <c r="I139" s="469"/>
      <c r="J139" s="577" t="str" cm="1">
        <f t="array" aca="1" ref="J139" ca="1">IF(B139&lt;&gt;"S","",IF(AND(ACOMPANHAMENTO="PLE",AUTOEVENTO="Manual",OR(H139&gt;0,ORÇAMENTO!AC139="QUANT."),OR(K139="",M139=0,N139="")),"►",IF(AND(ACOMPANHAMENTO="PLE",ORÇAMENTO!AC139="QUANT."),"►►",IF(AND(COUNTIF($P$11:$AA$11,"▼")=0,H139&gt;0,I139=""),"◄",""))))</f>
        <v>◄</v>
      </c>
      <c r="K139" s="626"/>
      <c r="L139" s="166" t="s">
        <v>765</v>
      </c>
      <c r="M139" s="167">
        <f ca="1">IF($D139&lt;&gt;"Serviço","",
          IF(AUTOEVENTO="manual",$A139,
                IF(ISERROR(MATCH($A139,$A$15:OFFSET($A139,-1,0),0)),MAX($M$15:OFFSET(M139,-1,0))+1,
                      INDEX($M$15:OFFSET(M139,-1,0),MATCH($A139,$A$15:OFFSET($A139,-1,0),0)))))</f>
        <v>11</v>
      </c>
      <c r="N139" s="168" t="str">
        <f ca="1">IF($D139&lt;&gt;"Serviço","",
         IF(AUTOEVENTO="Manual",
                IF($A139=0,"&lt;-- defina o número do agrupador",
                       OFFSET(EVENTOS!$D$15,$A139-$A$15,0)),
                OFFSET($F$15,$A139,0)))</f>
        <v>INSTALAÇÕES HIDROSSANITÁRIAS</v>
      </c>
      <c r="O139" s="169"/>
      <c r="Q139" s="169"/>
      <c r="R139" s="170"/>
      <c r="S139" s="170"/>
      <c r="T139" s="170"/>
      <c r="U139" s="170"/>
      <c r="V139" s="170"/>
      <c r="W139" s="170"/>
      <c r="X139" s="170"/>
      <c r="Y139" s="170"/>
      <c r="Z139" s="171"/>
      <c r="AB139" s="454">
        <f ca="1">IF(AND($D139="Serviço",AB$12&lt;&gt;0,$H139&gt;0,OR(AUTOEVENTO&lt;&gt;"manual",$M139&lt;&gt;$A$15)),
        IF(Import.TipoArredondamento&lt;&gt;"TransfereGOV",
              ROUND(OFFSET($P139,0,AB$13),15-13*ORÇAMENTO!$AF$7)/$H139*OFFSET(ORÇAMENTO!$X$15,ROW(AB139)-ROW(AB$15),0),
              ROUND(ROUND(OFFSET($P139,0,AB$13),15-13*ORÇAMENTO!$AF$7)*OFFSET(ORÇAMENTO!$W$15,ROW(AB139)-ROW(AB$15),0),15-13*ORÇAMENTO!$AF$11)),
         0)</f>
        <v>0</v>
      </c>
      <c r="AC139" s="454">
        <f ca="1">IF(AND($D139="Serviço",AC$12&lt;&gt;0,$H139&gt;0,OR(AUTOEVENTO&lt;&gt;"manual",$M139&lt;&gt;$A$15)),
        IF(Import.TipoArredondamento&lt;&gt;"TransfereGOV",
              ROUND(OFFSET($P139,0,AC$13),15-13*ORÇAMENTO!$AF$7)/$H139*OFFSET(ORÇAMENTO!$X$15,ROW(AC139)-ROW(AC$15),0),
              ROUND(ROUND(OFFSET($P139,0,AC$13),15-13*ORÇAMENTO!$AF$7)*OFFSET(ORÇAMENTO!$W$15,ROW(AC139)-ROW(AC$15),0),15-13*ORÇAMENTO!$AF$11)),
         0)</f>
        <v>0</v>
      </c>
      <c r="AD139" s="454">
        <f ca="1">IF(AND($D139="Serviço",AD$12&lt;&gt;0,$H139&gt;0,OR(AUTOEVENTO&lt;&gt;"manual",$M139&lt;&gt;$A$15)),
        IF(Import.TipoArredondamento&lt;&gt;"TransfereGOV",
              ROUND(OFFSET($P139,0,AD$13),15-13*ORÇAMENTO!$AF$7)/$H139*OFFSET(ORÇAMENTO!$X$15,ROW(AD139)-ROW(AD$15),0),
              ROUND(ROUND(OFFSET($P139,0,AD$13),15-13*ORÇAMENTO!$AF$7)*OFFSET(ORÇAMENTO!$W$15,ROW(AD139)-ROW(AD$15),0),15-13*ORÇAMENTO!$AF$11)),
         0)</f>
        <v>0</v>
      </c>
      <c r="AE139" s="454">
        <f ca="1">IF(AND($D139="Serviço",AE$12&lt;&gt;0,$H139&gt;0,OR(AUTOEVENTO&lt;&gt;"manual",$M139&lt;&gt;$A$15)),
        IF(Import.TipoArredondamento&lt;&gt;"TransfereGOV",
              ROUND(OFFSET($P139,0,AE$13),15-13*ORÇAMENTO!$AF$7)/$H139*OFFSET(ORÇAMENTO!$X$15,ROW(AE139)-ROW(AE$15),0),
              ROUND(ROUND(OFFSET($P139,0,AE$13),15-13*ORÇAMENTO!$AF$7)*OFFSET(ORÇAMENTO!$W$15,ROW(AE139)-ROW(AE$15),0),15-13*ORÇAMENTO!$AF$11)),
         0)</f>
        <v>0</v>
      </c>
      <c r="AF139" s="454">
        <f ca="1">IF(AND($D139="Serviço",AF$12&lt;&gt;0,$H139&gt;0,OR(AUTOEVENTO&lt;&gt;"manual",$M139&lt;&gt;$A$15)),
        IF(Import.TipoArredondamento&lt;&gt;"TransfereGOV",
              ROUND(OFFSET($P139,0,AF$13),15-13*ORÇAMENTO!$AF$7)/$H139*OFFSET(ORÇAMENTO!$X$15,ROW(AF139)-ROW(AF$15),0),
              ROUND(ROUND(OFFSET($P139,0,AF$13),15-13*ORÇAMENTO!$AF$7)*OFFSET(ORÇAMENTO!$W$15,ROW(AF139)-ROW(AF$15),0),15-13*ORÇAMENTO!$AF$11)),
         0)</f>
        <v>0</v>
      </c>
      <c r="AG139" s="454">
        <f ca="1">IF(AND($D139="Serviço",AG$12&lt;&gt;0,$H139&gt;0,OR(AUTOEVENTO&lt;&gt;"manual",$M139&lt;&gt;$A$15)),
        IF(Import.TipoArredondamento&lt;&gt;"TransfereGOV",
              ROUND(OFFSET($P139,0,AG$13),15-13*ORÇAMENTO!$AF$7)/$H139*OFFSET(ORÇAMENTO!$X$15,ROW(AG139)-ROW(AG$15),0),
              ROUND(ROUND(OFFSET($P139,0,AG$13),15-13*ORÇAMENTO!$AF$7)*OFFSET(ORÇAMENTO!$W$15,ROW(AG139)-ROW(AG$15),0),15-13*ORÇAMENTO!$AF$11)),
         0)</f>
        <v>0</v>
      </c>
      <c r="AH139" s="454">
        <f ca="1">IF(AND($D139="Serviço",AH$12&lt;&gt;0,$H139&gt;0,OR(AUTOEVENTO&lt;&gt;"manual",$M139&lt;&gt;$A$15)),
        IF(Import.TipoArredondamento&lt;&gt;"TransfereGOV",
              ROUND(OFFSET($P139,0,AH$13),15-13*ORÇAMENTO!$AF$7)/$H139*OFFSET(ORÇAMENTO!$X$15,ROW(AH139)-ROW(AH$15),0),
              ROUND(ROUND(OFFSET($P139,0,AH$13),15-13*ORÇAMENTO!$AF$7)*OFFSET(ORÇAMENTO!$W$15,ROW(AH139)-ROW(AH$15),0),15-13*ORÇAMENTO!$AF$11)),
         0)</f>
        <v>0</v>
      </c>
      <c r="AI139" s="454">
        <f ca="1">IF(AND($D139="Serviço",AI$12&lt;&gt;0,$H139&gt;0,OR(AUTOEVENTO&lt;&gt;"manual",$M139&lt;&gt;$A$15)),
        IF(Import.TipoArredondamento&lt;&gt;"TransfereGOV",
              ROUND(OFFSET($P139,0,AI$13),15-13*ORÇAMENTO!$AF$7)/$H139*OFFSET(ORÇAMENTO!$X$15,ROW(AI139)-ROW(AI$15),0),
              ROUND(ROUND(OFFSET($P139,0,AI$13),15-13*ORÇAMENTO!$AF$7)*OFFSET(ORÇAMENTO!$W$15,ROW(AI139)-ROW(AI$15),0),15-13*ORÇAMENTO!$AF$11)),
         0)</f>
        <v>0</v>
      </c>
      <c r="AJ139" s="454">
        <f ca="1">IF(AND($D139="Serviço",AJ$12&lt;&gt;0,$H139&gt;0,OR(AUTOEVENTO&lt;&gt;"manual",$M139&lt;&gt;$A$15)),
        IF(Import.TipoArredondamento&lt;&gt;"TransfereGOV",
              ROUND(OFFSET($P139,0,AJ$13),15-13*ORÇAMENTO!$AF$7)/$H139*OFFSET(ORÇAMENTO!$X$15,ROW(AJ139)-ROW(AJ$15),0),
              ROUND(ROUND(OFFSET($P139,0,AJ$13),15-13*ORÇAMENTO!$AF$7)*OFFSET(ORÇAMENTO!$W$15,ROW(AJ139)-ROW(AJ$15),0),15-13*ORÇAMENTO!$AF$11)),
         0)</f>
        <v>0</v>
      </c>
      <c r="AK139" s="454">
        <f ca="1">IF(AND($D139="Serviço",AK$12&lt;&gt;0,$H139&gt;0,OR(AUTOEVENTO&lt;&gt;"manual",$M139&lt;&gt;$A$15)),
        IF(Import.TipoArredondamento&lt;&gt;"TransfereGOV",
              ROUND(OFFSET($P139,0,AK$13),15-13*ORÇAMENTO!$AF$7)/$H139*OFFSET(ORÇAMENTO!$X$15,ROW(AK139)-ROW(AK$15),0),
              ROUND(ROUND(OFFSET($P139,0,AK$13),15-13*ORÇAMENTO!$AF$7)*OFFSET(ORÇAMENTO!$W$15,ROW(AK139)-ROW(AK$15),0),15-13*ORÇAMENTO!$AF$11)),
         0)</f>
        <v>0</v>
      </c>
      <c r="AM139" s="172">
        <f ca="1">IF(OR($D139&lt;&gt;"Serviço",AND(AUTOEVENTO="Manual",$M139=$A$15)),0,
         IF(OFFSET(CRONOPLE!$F$15,$M139-$A$15,AM$13)="",10^12,OFFSET(CRONOPLE!$F$15,$M139-$A$15,AM$13)))</f>
        <v>1000000000000</v>
      </c>
      <c r="AN139" s="172">
        <f ca="1">IF(OR($D139&lt;&gt;"Serviço",AND(AUTOEVENTO="Manual",$M139=$A$15)),0,
         IF(OFFSET(CRONOPLE!$F$15,$M139-$A$15,AN$13)="",10^12,OFFSET(CRONOPLE!$F$15,$M139-$A$15,AN$13)))</f>
        <v>1000000000000</v>
      </c>
      <c r="AO139" s="172">
        <f ca="1">IF(OR($D139&lt;&gt;"Serviço",AND(AUTOEVENTO="Manual",$M139=$A$15)),0,
         IF(OFFSET(CRONOPLE!$F$15,$M139-$A$15,AO$13)="",10^12,OFFSET(CRONOPLE!$F$15,$M139-$A$15,AO$13)))</f>
        <v>1000000000000</v>
      </c>
      <c r="AP139" s="172">
        <f ca="1">IF(OR($D139&lt;&gt;"Serviço",AND(AUTOEVENTO="Manual",$M139=$A$15)),0,
         IF(OFFSET(CRONOPLE!$F$15,$M139-$A$15,AP$13)="",10^12,OFFSET(CRONOPLE!$F$15,$M139-$A$15,AP$13)))</f>
        <v>1000000000000</v>
      </c>
      <c r="AQ139" s="172">
        <f ca="1">IF(OR($D139&lt;&gt;"Serviço",AND(AUTOEVENTO="Manual",$M139=$A$15)),0,
         IF(OFFSET(CRONOPLE!$F$15,$M139-$A$15,AQ$13)="",10^12,OFFSET(CRONOPLE!$F$15,$M139-$A$15,AQ$13)))</f>
        <v>1000000000000</v>
      </c>
      <c r="AR139" s="172">
        <f ca="1">IF(OR($D139&lt;&gt;"Serviço",AND(AUTOEVENTO="Manual",$M139=$A$15)),0,
         IF(OFFSET(CRONOPLE!$F$15,$M139-$A$15,AR$13)="",10^12,OFFSET(CRONOPLE!$F$15,$M139-$A$15,AR$13)))</f>
        <v>1000000000000</v>
      </c>
      <c r="AS139" s="172">
        <f ca="1">IF(OR($D139&lt;&gt;"Serviço",AND(AUTOEVENTO="Manual",$M139=$A$15)),0,
         IF(OFFSET(CRONOPLE!$F$15,$M139-$A$15,AS$13)="",10^12,OFFSET(CRONOPLE!$F$15,$M139-$A$15,AS$13)))</f>
        <v>1000000000000</v>
      </c>
      <c r="AT139" s="172">
        <f ca="1">IF(OR($D139&lt;&gt;"Serviço",AND(AUTOEVENTO="Manual",$M139=$A$15)),0,
         IF(OFFSET(CRONOPLE!$F$15,$M139-$A$15,AT$13)="",10^12,OFFSET(CRONOPLE!$F$15,$M139-$A$15,AT$13)))</f>
        <v>1000000000000</v>
      </c>
      <c r="AU139" s="172">
        <f ca="1">IF(OR($D139&lt;&gt;"Serviço",AND(AUTOEVENTO="Manual",$M139=$A$15)),0,
         IF(OFFSET(CRONOPLE!$F$15,$M139-$A$15,AU$13)="",10^12,OFFSET(CRONOPLE!$F$15,$M139-$A$15,AU$13)))</f>
        <v>1000000000000</v>
      </c>
      <c r="AV139" s="172">
        <f ca="1">IF(OR($D139&lt;&gt;"Serviço",AND(AUTOEVENTO="Manual",$M139=$A$15)),0,
         IF(OFFSET(CRONOPLE!$F$15,$M139-$A$15,AV$13)="",10^12,OFFSET(CRONOPLE!$F$15,$M139-$A$15,AV$13)))</f>
        <v>1000000000000</v>
      </c>
      <c r="AX139" s="173">
        <f ca="1">IF(OR($D139&lt;&gt;"Serviço",AND(AUTOEVENTO="Manual",$M139=$A$15),$M139&gt;(ROW(PLE.lastrow)-ROW(PLE.firstrow))),0,
           IF(OFFSET(PLE!$G$15,$M139-$A$15,AX$13)="",10^12,OFFSET(PLE!$G$15,$M139-$A$15,AX$13)))</f>
        <v>1000000000000</v>
      </c>
      <c r="AY139" s="173">
        <f ca="1">IF(OR($D139&lt;&gt;"Serviço",AND(AUTOEVENTO="Manual",$M139=$A$15),$M139&gt;(ROW(PLE.lastrow)-ROW(PLE.firstrow))),0,
           IF(OFFSET(PLE!$G$15,$M139-$A$15,AY$13)="",10^12,OFFSET(PLE!$G$15,$M139-$A$15,AY$13)))</f>
        <v>1000000000000</v>
      </c>
      <c r="AZ139" s="173">
        <f ca="1">IF(OR($D139&lt;&gt;"Serviço",AND(AUTOEVENTO="Manual",$M139=$A$15),$M139&gt;(ROW(PLE.lastrow)-ROW(PLE.firstrow))),0,
           IF(OFFSET(PLE!$G$15,$M139-$A$15,AZ$13)="",10^12,OFFSET(PLE!$G$15,$M139-$A$15,AZ$13)))</f>
        <v>1000000000000</v>
      </c>
      <c r="BA139" s="173">
        <f ca="1">IF(OR($D139&lt;&gt;"Serviço",AND(AUTOEVENTO="Manual",$M139=$A$15),$M139&gt;(ROW(PLE.lastrow)-ROW(PLE.firstrow))),0,
           IF(OFFSET(PLE!$G$15,$M139-$A$15,BA$13)="",10^12,OFFSET(PLE!$G$15,$M139-$A$15,BA$13)))</f>
        <v>1000000000000</v>
      </c>
      <c r="BB139" s="173">
        <f ca="1">IF(OR($D139&lt;&gt;"Serviço",AND(AUTOEVENTO="Manual",$M139=$A$15),$M139&gt;(ROW(PLE.lastrow)-ROW(PLE.firstrow))),0,
           IF(OFFSET(PLE!$G$15,$M139-$A$15,BB$13)="",10^12,OFFSET(PLE!$G$15,$M139-$A$15,BB$13)))</f>
        <v>1000000000000</v>
      </c>
      <c r="BC139" s="173">
        <f ca="1">IF(OR($D139&lt;&gt;"Serviço",AND(AUTOEVENTO="Manual",$M139=$A$15),$M139&gt;(ROW(PLE.lastrow)-ROW(PLE.firstrow))),0,
           IF(OFFSET(PLE!$G$15,$M139-$A$15,BC$13)="",10^12,OFFSET(PLE!$G$15,$M139-$A$15,BC$13)))</f>
        <v>1000000000000</v>
      </c>
      <c r="BD139" s="173">
        <f ca="1">IF(OR($D139&lt;&gt;"Serviço",AND(AUTOEVENTO="Manual",$M139=$A$15),$M139&gt;(ROW(PLE.lastrow)-ROW(PLE.firstrow))),0,
           IF(OFFSET(PLE!$G$15,$M139-$A$15,BD$13)="",10^12,OFFSET(PLE!$G$15,$M139-$A$15,BD$13)))</f>
        <v>1000000000000</v>
      </c>
      <c r="BE139" s="173">
        <f ca="1">IF(OR($D139&lt;&gt;"Serviço",AND(AUTOEVENTO="Manual",$M139=$A$15),$M139&gt;(ROW(PLE.lastrow)-ROW(PLE.firstrow))),0,
           IF(OFFSET(PLE!$G$15,$M139-$A$15,BE$13)="",10^12,OFFSET(PLE!$G$15,$M139-$A$15,BE$13)))</f>
        <v>1000000000000</v>
      </c>
      <c r="BF139" s="173">
        <f ca="1">IF(OR($D139&lt;&gt;"Serviço",AND(AUTOEVENTO="Manual",$M139=$A$15),$M139&gt;(ROW(PLE.lastrow)-ROW(PLE.firstrow))),0,
           IF(OFFSET(PLE!$G$15,$M139-$A$15,BF$13)="",10^12,OFFSET(PLE!$G$15,$M139-$A$15,BF$13)))</f>
        <v>1000000000000</v>
      </c>
      <c r="BG139" s="173">
        <f ca="1">IF(OR($D139&lt;&gt;"Serviço",AND(AUTOEVENTO="Manual",$M139=$A$15),$M139&gt;(ROW(PLE.lastrow)-ROW(PLE.firstrow))),0,
           IF(OFFSET(PLE!$G$15,$M139-$A$15,BG$13)="",10^12,OFFSET(PLE!$G$15,$M139-$A$15,BG$13)))</f>
        <v>1000000000000</v>
      </c>
    </row>
    <row r="140" spans="1:59" ht="38.25" x14ac:dyDescent="0.2">
      <c r="A140" s="7" t="str">
        <f t="shared" ca="1" si="9"/>
        <v>114</v>
      </c>
      <c r="B140" s="7" t="str">
        <f ca="1">OFFSET(ORÇAMENTO!C$15,ROW(B140)-ROW(B$15),0)</f>
        <v>S</v>
      </c>
      <c r="C140" s="7" t="str">
        <f ca="1">OFFSET(ORÇAMENTO!L$15,ROW(C140)-ROW(C$15),0)</f>
        <v/>
      </c>
      <c r="D140" s="117" t="str">
        <f ca="1">OFFSET(ORÇAMENTO!N$15,ROW(D140)-ROW(D$15),0)</f>
        <v>Serviço</v>
      </c>
      <c r="E140" s="118" t="str">
        <f ca="1">OFFSET(ORÇAMENTO!O$15,ROW(E140)-ROW(E$15),0)</f>
        <v>-</v>
      </c>
      <c r="F140" s="164" t="str">
        <f ca="1">OFFSET(ORÇAMENTO!R$15,ROW(F140)-ROW(F$15),0)</f>
        <v>JOELHO 45 GRAUS, PVC, SERIE NORMAL, ESGOTO PREDIAL, DN 50 MM, JUNTA ELÁSTICA, FORNECIDO E INSTALADO EM RAMAL DE DESCARGA OU RAMAL DE ESGOTO SANITÁRIO. AF_08/2022</v>
      </c>
      <c r="G140" s="165" t="str">
        <f ca="1">IF($D140&lt;&gt;"Serviço","",OFFSET(ORÇAMENTO!S$15,ROW(G140)-ROW(G$15),0))</f>
        <v>UN</v>
      </c>
      <c r="H140" s="123">
        <f ca="1">IF($D140&lt;&gt;"Serviço",0,IF(ACOMPANHAMENTO="BM",ROUND(OFFSET(ORÇAMENTO!AJ$15,ROW(H140)-ROW(H$15),0),15-13*ORÇAMENTO!$AF$7),SUMPRODUCT(($Q$1:$AA$1=1)*ROUND($Q140:$AA140,15-13*ORÇAMENTO!$AF$7))))</f>
        <v>42</v>
      </c>
      <c r="I140" s="469"/>
      <c r="J140" s="577" t="str" cm="1">
        <f t="array" aca="1" ref="J140" ca="1">IF(B140&lt;&gt;"S","",IF(AND(ACOMPANHAMENTO="PLE",AUTOEVENTO="Manual",OR(H140&gt;0,ORÇAMENTO!AC140="QUANT."),OR(K140="",M140=0,N140="")),"►",IF(AND(ACOMPANHAMENTO="PLE",ORÇAMENTO!AC140="QUANT."),"►►",IF(AND(COUNTIF($P$11:$AA$11,"▼")=0,H140&gt;0,I140=""),"◄",""))))</f>
        <v>◄</v>
      </c>
      <c r="K140" s="626"/>
      <c r="L140" s="166" t="s">
        <v>765</v>
      </c>
      <c r="M140" s="167">
        <f ca="1">IF($D140&lt;&gt;"Serviço","",
          IF(AUTOEVENTO="manual",$A140,
                IF(ISERROR(MATCH($A140,$A$15:OFFSET($A140,-1,0),0)),MAX($M$15:OFFSET(M140,-1,0))+1,
                      INDEX($M$15:OFFSET(M140,-1,0),MATCH($A140,$A$15:OFFSET($A140,-1,0),0)))))</f>
        <v>11</v>
      </c>
      <c r="N140" s="168" t="str">
        <f ca="1">IF($D140&lt;&gt;"Serviço","",
         IF(AUTOEVENTO="Manual",
                IF($A140=0,"&lt;-- defina o número do agrupador",
                       OFFSET(EVENTOS!$D$15,$A140-$A$15,0)),
                OFFSET($F$15,$A140,0)))</f>
        <v>INSTALAÇÕES HIDROSSANITÁRIAS</v>
      </c>
      <c r="O140" s="169"/>
      <c r="Q140" s="169"/>
      <c r="R140" s="170"/>
      <c r="S140" s="170"/>
      <c r="T140" s="170"/>
      <c r="U140" s="170"/>
      <c r="V140" s="170"/>
      <c r="W140" s="170"/>
      <c r="X140" s="170"/>
      <c r="Y140" s="170"/>
      <c r="Z140" s="171"/>
      <c r="AB140" s="454">
        <f ca="1">IF(AND($D140="Serviço",AB$12&lt;&gt;0,$H140&gt;0,OR(AUTOEVENTO&lt;&gt;"manual",$M140&lt;&gt;$A$15)),
        IF(Import.TipoArredondamento&lt;&gt;"TransfereGOV",
              ROUND(OFFSET($P140,0,AB$13),15-13*ORÇAMENTO!$AF$7)/$H140*OFFSET(ORÇAMENTO!$X$15,ROW(AB140)-ROW(AB$15),0),
              ROUND(ROUND(OFFSET($P140,0,AB$13),15-13*ORÇAMENTO!$AF$7)*OFFSET(ORÇAMENTO!$W$15,ROW(AB140)-ROW(AB$15),0),15-13*ORÇAMENTO!$AF$11)),
         0)</f>
        <v>0</v>
      </c>
      <c r="AC140" s="454">
        <f ca="1">IF(AND($D140="Serviço",AC$12&lt;&gt;0,$H140&gt;0,OR(AUTOEVENTO&lt;&gt;"manual",$M140&lt;&gt;$A$15)),
        IF(Import.TipoArredondamento&lt;&gt;"TransfereGOV",
              ROUND(OFFSET($P140,0,AC$13),15-13*ORÇAMENTO!$AF$7)/$H140*OFFSET(ORÇAMENTO!$X$15,ROW(AC140)-ROW(AC$15),0),
              ROUND(ROUND(OFFSET($P140,0,AC$13),15-13*ORÇAMENTO!$AF$7)*OFFSET(ORÇAMENTO!$W$15,ROW(AC140)-ROW(AC$15),0),15-13*ORÇAMENTO!$AF$11)),
         0)</f>
        <v>0</v>
      </c>
      <c r="AD140" s="454">
        <f ca="1">IF(AND($D140="Serviço",AD$12&lt;&gt;0,$H140&gt;0,OR(AUTOEVENTO&lt;&gt;"manual",$M140&lt;&gt;$A$15)),
        IF(Import.TipoArredondamento&lt;&gt;"TransfereGOV",
              ROUND(OFFSET($P140,0,AD$13),15-13*ORÇAMENTO!$AF$7)/$H140*OFFSET(ORÇAMENTO!$X$15,ROW(AD140)-ROW(AD$15),0),
              ROUND(ROUND(OFFSET($P140,0,AD$13),15-13*ORÇAMENTO!$AF$7)*OFFSET(ORÇAMENTO!$W$15,ROW(AD140)-ROW(AD$15),0),15-13*ORÇAMENTO!$AF$11)),
         0)</f>
        <v>0</v>
      </c>
      <c r="AE140" s="454">
        <f ca="1">IF(AND($D140="Serviço",AE$12&lt;&gt;0,$H140&gt;0,OR(AUTOEVENTO&lt;&gt;"manual",$M140&lt;&gt;$A$15)),
        IF(Import.TipoArredondamento&lt;&gt;"TransfereGOV",
              ROUND(OFFSET($P140,0,AE$13),15-13*ORÇAMENTO!$AF$7)/$H140*OFFSET(ORÇAMENTO!$X$15,ROW(AE140)-ROW(AE$15),0),
              ROUND(ROUND(OFFSET($P140,0,AE$13),15-13*ORÇAMENTO!$AF$7)*OFFSET(ORÇAMENTO!$W$15,ROW(AE140)-ROW(AE$15),0),15-13*ORÇAMENTO!$AF$11)),
         0)</f>
        <v>0</v>
      </c>
      <c r="AF140" s="454">
        <f ca="1">IF(AND($D140="Serviço",AF$12&lt;&gt;0,$H140&gt;0,OR(AUTOEVENTO&lt;&gt;"manual",$M140&lt;&gt;$A$15)),
        IF(Import.TipoArredondamento&lt;&gt;"TransfereGOV",
              ROUND(OFFSET($P140,0,AF$13),15-13*ORÇAMENTO!$AF$7)/$H140*OFFSET(ORÇAMENTO!$X$15,ROW(AF140)-ROW(AF$15),0),
              ROUND(ROUND(OFFSET($P140,0,AF$13),15-13*ORÇAMENTO!$AF$7)*OFFSET(ORÇAMENTO!$W$15,ROW(AF140)-ROW(AF$15),0),15-13*ORÇAMENTO!$AF$11)),
         0)</f>
        <v>0</v>
      </c>
      <c r="AG140" s="454">
        <f ca="1">IF(AND($D140="Serviço",AG$12&lt;&gt;0,$H140&gt;0,OR(AUTOEVENTO&lt;&gt;"manual",$M140&lt;&gt;$A$15)),
        IF(Import.TipoArredondamento&lt;&gt;"TransfereGOV",
              ROUND(OFFSET($P140,0,AG$13),15-13*ORÇAMENTO!$AF$7)/$H140*OFFSET(ORÇAMENTO!$X$15,ROW(AG140)-ROW(AG$15),0),
              ROUND(ROUND(OFFSET($P140,0,AG$13),15-13*ORÇAMENTO!$AF$7)*OFFSET(ORÇAMENTO!$W$15,ROW(AG140)-ROW(AG$15),0),15-13*ORÇAMENTO!$AF$11)),
         0)</f>
        <v>0</v>
      </c>
      <c r="AH140" s="454">
        <f ca="1">IF(AND($D140="Serviço",AH$12&lt;&gt;0,$H140&gt;0,OR(AUTOEVENTO&lt;&gt;"manual",$M140&lt;&gt;$A$15)),
        IF(Import.TipoArredondamento&lt;&gt;"TransfereGOV",
              ROUND(OFFSET($P140,0,AH$13),15-13*ORÇAMENTO!$AF$7)/$H140*OFFSET(ORÇAMENTO!$X$15,ROW(AH140)-ROW(AH$15),0),
              ROUND(ROUND(OFFSET($P140,0,AH$13),15-13*ORÇAMENTO!$AF$7)*OFFSET(ORÇAMENTO!$W$15,ROW(AH140)-ROW(AH$15),0),15-13*ORÇAMENTO!$AF$11)),
         0)</f>
        <v>0</v>
      </c>
      <c r="AI140" s="454">
        <f ca="1">IF(AND($D140="Serviço",AI$12&lt;&gt;0,$H140&gt;0,OR(AUTOEVENTO&lt;&gt;"manual",$M140&lt;&gt;$A$15)),
        IF(Import.TipoArredondamento&lt;&gt;"TransfereGOV",
              ROUND(OFFSET($P140,0,AI$13),15-13*ORÇAMENTO!$AF$7)/$H140*OFFSET(ORÇAMENTO!$X$15,ROW(AI140)-ROW(AI$15),0),
              ROUND(ROUND(OFFSET($P140,0,AI$13),15-13*ORÇAMENTO!$AF$7)*OFFSET(ORÇAMENTO!$W$15,ROW(AI140)-ROW(AI$15),0),15-13*ORÇAMENTO!$AF$11)),
         0)</f>
        <v>0</v>
      </c>
      <c r="AJ140" s="454">
        <f ca="1">IF(AND($D140="Serviço",AJ$12&lt;&gt;0,$H140&gt;0,OR(AUTOEVENTO&lt;&gt;"manual",$M140&lt;&gt;$A$15)),
        IF(Import.TipoArredondamento&lt;&gt;"TransfereGOV",
              ROUND(OFFSET($P140,0,AJ$13),15-13*ORÇAMENTO!$AF$7)/$H140*OFFSET(ORÇAMENTO!$X$15,ROW(AJ140)-ROW(AJ$15),0),
              ROUND(ROUND(OFFSET($P140,0,AJ$13),15-13*ORÇAMENTO!$AF$7)*OFFSET(ORÇAMENTO!$W$15,ROW(AJ140)-ROW(AJ$15),0),15-13*ORÇAMENTO!$AF$11)),
         0)</f>
        <v>0</v>
      </c>
      <c r="AK140" s="454">
        <f ca="1">IF(AND($D140="Serviço",AK$12&lt;&gt;0,$H140&gt;0,OR(AUTOEVENTO&lt;&gt;"manual",$M140&lt;&gt;$A$15)),
        IF(Import.TipoArredondamento&lt;&gt;"TransfereGOV",
              ROUND(OFFSET($P140,0,AK$13),15-13*ORÇAMENTO!$AF$7)/$H140*OFFSET(ORÇAMENTO!$X$15,ROW(AK140)-ROW(AK$15),0),
              ROUND(ROUND(OFFSET($P140,0,AK$13),15-13*ORÇAMENTO!$AF$7)*OFFSET(ORÇAMENTO!$W$15,ROW(AK140)-ROW(AK$15),0),15-13*ORÇAMENTO!$AF$11)),
         0)</f>
        <v>0</v>
      </c>
      <c r="AM140" s="172">
        <f ca="1">IF(OR($D140&lt;&gt;"Serviço",AND(AUTOEVENTO="Manual",$M140=$A$15)),0,
         IF(OFFSET(CRONOPLE!$F$15,$M140-$A$15,AM$13)="",10^12,OFFSET(CRONOPLE!$F$15,$M140-$A$15,AM$13)))</f>
        <v>1000000000000</v>
      </c>
      <c r="AN140" s="172">
        <f ca="1">IF(OR($D140&lt;&gt;"Serviço",AND(AUTOEVENTO="Manual",$M140=$A$15)),0,
         IF(OFFSET(CRONOPLE!$F$15,$M140-$A$15,AN$13)="",10^12,OFFSET(CRONOPLE!$F$15,$M140-$A$15,AN$13)))</f>
        <v>1000000000000</v>
      </c>
      <c r="AO140" s="172">
        <f ca="1">IF(OR($D140&lt;&gt;"Serviço",AND(AUTOEVENTO="Manual",$M140=$A$15)),0,
         IF(OFFSET(CRONOPLE!$F$15,$M140-$A$15,AO$13)="",10^12,OFFSET(CRONOPLE!$F$15,$M140-$A$15,AO$13)))</f>
        <v>1000000000000</v>
      </c>
      <c r="AP140" s="172">
        <f ca="1">IF(OR($D140&lt;&gt;"Serviço",AND(AUTOEVENTO="Manual",$M140=$A$15)),0,
         IF(OFFSET(CRONOPLE!$F$15,$M140-$A$15,AP$13)="",10^12,OFFSET(CRONOPLE!$F$15,$M140-$A$15,AP$13)))</f>
        <v>1000000000000</v>
      </c>
      <c r="AQ140" s="172">
        <f ca="1">IF(OR($D140&lt;&gt;"Serviço",AND(AUTOEVENTO="Manual",$M140=$A$15)),0,
         IF(OFFSET(CRONOPLE!$F$15,$M140-$A$15,AQ$13)="",10^12,OFFSET(CRONOPLE!$F$15,$M140-$A$15,AQ$13)))</f>
        <v>1000000000000</v>
      </c>
      <c r="AR140" s="172">
        <f ca="1">IF(OR($D140&lt;&gt;"Serviço",AND(AUTOEVENTO="Manual",$M140=$A$15)),0,
         IF(OFFSET(CRONOPLE!$F$15,$M140-$A$15,AR$13)="",10^12,OFFSET(CRONOPLE!$F$15,$M140-$A$15,AR$13)))</f>
        <v>1000000000000</v>
      </c>
      <c r="AS140" s="172">
        <f ca="1">IF(OR($D140&lt;&gt;"Serviço",AND(AUTOEVENTO="Manual",$M140=$A$15)),0,
         IF(OFFSET(CRONOPLE!$F$15,$M140-$A$15,AS$13)="",10^12,OFFSET(CRONOPLE!$F$15,$M140-$A$15,AS$13)))</f>
        <v>1000000000000</v>
      </c>
      <c r="AT140" s="172">
        <f ca="1">IF(OR($D140&lt;&gt;"Serviço",AND(AUTOEVENTO="Manual",$M140=$A$15)),0,
         IF(OFFSET(CRONOPLE!$F$15,$M140-$A$15,AT$13)="",10^12,OFFSET(CRONOPLE!$F$15,$M140-$A$15,AT$13)))</f>
        <v>1000000000000</v>
      </c>
      <c r="AU140" s="172">
        <f ca="1">IF(OR($D140&lt;&gt;"Serviço",AND(AUTOEVENTO="Manual",$M140=$A$15)),0,
         IF(OFFSET(CRONOPLE!$F$15,$M140-$A$15,AU$13)="",10^12,OFFSET(CRONOPLE!$F$15,$M140-$A$15,AU$13)))</f>
        <v>1000000000000</v>
      </c>
      <c r="AV140" s="172">
        <f ca="1">IF(OR($D140&lt;&gt;"Serviço",AND(AUTOEVENTO="Manual",$M140=$A$15)),0,
         IF(OFFSET(CRONOPLE!$F$15,$M140-$A$15,AV$13)="",10^12,OFFSET(CRONOPLE!$F$15,$M140-$A$15,AV$13)))</f>
        <v>1000000000000</v>
      </c>
      <c r="AX140" s="173">
        <f ca="1">IF(OR($D140&lt;&gt;"Serviço",AND(AUTOEVENTO="Manual",$M140=$A$15),$M140&gt;(ROW(PLE.lastrow)-ROW(PLE.firstrow))),0,
           IF(OFFSET(PLE!$G$15,$M140-$A$15,AX$13)="",10^12,OFFSET(PLE!$G$15,$M140-$A$15,AX$13)))</f>
        <v>1000000000000</v>
      </c>
      <c r="AY140" s="173">
        <f ca="1">IF(OR($D140&lt;&gt;"Serviço",AND(AUTOEVENTO="Manual",$M140=$A$15),$M140&gt;(ROW(PLE.lastrow)-ROW(PLE.firstrow))),0,
           IF(OFFSET(PLE!$G$15,$M140-$A$15,AY$13)="",10^12,OFFSET(PLE!$G$15,$M140-$A$15,AY$13)))</f>
        <v>1000000000000</v>
      </c>
      <c r="AZ140" s="173">
        <f ca="1">IF(OR($D140&lt;&gt;"Serviço",AND(AUTOEVENTO="Manual",$M140=$A$15),$M140&gt;(ROW(PLE.lastrow)-ROW(PLE.firstrow))),0,
           IF(OFFSET(PLE!$G$15,$M140-$A$15,AZ$13)="",10^12,OFFSET(PLE!$G$15,$M140-$A$15,AZ$13)))</f>
        <v>1000000000000</v>
      </c>
      <c r="BA140" s="173">
        <f ca="1">IF(OR($D140&lt;&gt;"Serviço",AND(AUTOEVENTO="Manual",$M140=$A$15),$M140&gt;(ROW(PLE.lastrow)-ROW(PLE.firstrow))),0,
           IF(OFFSET(PLE!$G$15,$M140-$A$15,BA$13)="",10^12,OFFSET(PLE!$G$15,$M140-$A$15,BA$13)))</f>
        <v>1000000000000</v>
      </c>
      <c r="BB140" s="173">
        <f ca="1">IF(OR($D140&lt;&gt;"Serviço",AND(AUTOEVENTO="Manual",$M140=$A$15),$M140&gt;(ROW(PLE.lastrow)-ROW(PLE.firstrow))),0,
           IF(OFFSET(PLE!$G$15,$M140-$A$15,BB$13)="",10^12,OFFSET(PLE!$G$15,$M140-$A$15,BB$13)))</f>
        <v>1000000000000</v>
      </c>
      <c r="BC140" s="173">
        <f ca="1">IF(OR($D140&lt;&gt;"Serviço",AND(AUTOEVENTO="Manual",$M140=$A$15),$M140&gt;(ROW(PLE.lastrow)-ROW(PLE.firstrow))),0,
           IF(OFFSET(PLE!$G$15,$M140-$A$15,BC$13)="",10^12,OFFSET(PLE!$G$15,$M140-$A$15,BC$13)))</f>
        <v>1000000000000</v>
      </c>
      <c r="BD140" s="173">
        <f ca="1">IF(OR($D140&lt;&gt;"Serviço",AND(AUTOEVENTO="Manual",$M140=$A$15),$M140&gt;(ROW(PLE.lastrow)-ROW(PLE.firstrow))),0,
           IF(OFFSET(PLE!$G$15,$M140-$A$15,BD$13)="",10^12,OFFSET(PLE!$G$15,$M140-$A$15,BD$13)))</f>
        <v>1000000000000</v>
      </c>
      <c r="BE140" s="173">
        <f ca="1">IF(OR($D140&lt;&gt;"Serviço",AND(AUTOEVENTO="Manual",$M140=$A$15),$M140&gt;(ROW(PLE.lastrow)-ROW(PLE.firstrow))),0,
           IF(OFFSET(PLE!$G$15,$M140-$A$15,BE$13)="",10^12,OFFSET(PLE!$G$15,$M140-$A$15,BE$13)))</f>
        <v>1000000000000</v>
      </c>
      <c r="BF140" s="173">
        <f ca="1">IF(OR($D140&lt;&gt;"Serviço",AND(AUTOEVENTO="Manual",$M140=$A$15),$M140&gt;(ROW(PLE.lastrow)-ROW(PLE.firstrow))),0,
           IF(OFFSET(PLE!$G$15,$M140-$A$15,BF$13)="",10^12,OFFSET(PLE!$G$15,$M140-$A$15,BF$13)))</f>
        <v>1000000000000</v>
      </c>
      <c r="BG140" s="173">
        <f ca="1">IF(OR($D140&lt;&gt;"Serviço",AND(AUTOEVENTO="Manual",$M140=$A$15),$M140&gt;(ROW(PLE.lastrow)-ROW(PLE.firstrow))),0,
           IF(OFFSET(PLE!$G$15,$M140-$A$15,BG$13)="",10^12,OFFSET(PLE!$G$15,$M140-$A$15,BG$13)))</f>
        <v>1000000000000</v>
      </c>
    </row>
    <row r="141" spans="1:59" ht="38.25" x14ac:dyDescent="0.2">
      <c r="A141" s="7" t="str">
        <f t="shared" ca="1" si="9"/>
        <v>114</v>
      </c>
      <c r="B141" s="7" t="str">
        <f ca="1">OFFSET(ORÇAMENTO!C$15,ROW(B141)-ROW(B$15),0)</f>
        <v>S</v>
      </c>
      <c r="C141" s="7" t="str">
        <f ca="1">OFFSET(ORÇAMENTO!L$15,ROW(C141)-ROW(C$15),0)</f>
        <v/>
      </c>
      <c r="D141" s="117" t="str">
        <f ca="1">OFFSET(ORÇAMENTO!N$15,ROW(D141)-ROW(D$15),0)</f>
        <v>Serviço</v>
      </c>
      <c r="E141" s="118" t="str">
        <f ca="1">OFFSET(ORÇAMENTO!O$15,ROW(E141)-ROW(E$15),0)</f>
        <v>-</v>
      </c>
      <c r="F141" s="164" t="str">
        <f ca="1">OFFSET(ORÇAMENTO!R$15,ROW(F141)-ROW(F$15),0)</f>
        <v>JOELHO 45 GRAUS, PVC, SERIE NORMAL, ESGOTO PREDIAL, DN 75 MM, JUNTA ELÁSTICA, FORNECIDO E INSTALADO EM RAMAL DE DESCARGA OU RAMAL DE ESGOTO SANITÁRIO. AF_08/2022</v>
      </c>
      <c r="G141" s="165" t="str">
        <f ca="1">IF($D141&lt;&gt;"Serviço","",OFFSET(ORÇAMENTO!S$15,ROW(G141)-ROW(G$15),0))</f>
        <v>UN</v>
      </c>
      <c r="H141" s="123">
        <f ca="1">IF($D141&lt;&gt;"Serviço",0,IF(ACOMPANHAMENTO="BM",ROUND(OFFSET(ORÇAMENTO!AJ$15,ROW(H141)-ROW(H$15),0),15-13*ORÇAMENTO!$AF$7),SUMPRODUCT(($Q$1:$AA$1=1)*ROUND($Q141:$AA141,15-13*ORÇAMENTO!$AF$7))))</f>
        <v>5</v>
      </c>
      <c r="I141" s="469"/>
      <c r="J141" s="577" t="str" cm="1">
        <f t="array" aca="1" ref="J141" ca="1">IF(B141&lt;&gt;"S","",IF(AND(ACOMPANHAMENTO="PLE",AUTOEVENTO="Manual",OR(H141&gt;0,ORÇAMENTO!AC141="QUANT."),OR(K141="",M141=0,N141="")),"►",IF(AND(ACOMPANHAMENTO="PLE",ORÇAMENTO!AC141="QUANT."),"►►",IF(AND(COUNTIF($P$11:$AA$11,"▼")=0,H141&gt;0,I141=""),"◄",""))))</f>
        <v>◄</v>
      </c>
      <c r="K141" s="626"/>
      <c r="L141" s="166" t="s">
        <v>765</v>
      </c>
      <c r="M141" s="167">
        <f ca="1">IF($D141&lt;&gt;"Serviço","",
          IF(AUTOEVENTO="manual",$A141,
                IF(ISERROR(MATCH($A141,$A$15:OFFSET($A141,-1,0),0)),MAX($M$15:OFFSET(M141,-1,0))+1,
                      INDEX($M$15:OFFSET(M141,-1,0),MATCH($A141,$A$15:OFFSET($A141,-1,0),0)))))</f>
        <v>11</v>
      </c>
      <c r="N141" s="168" t="str">
        <f ca="1">IF($D141&lt;&gt;"Serviço","",
         IF(AUTOEVENTO="Manual",
                IF($A141=0,"&lt;-- defina o número do agrupador",
                       OFFSET(EVENTOS!$D$15,$A141-$A$15,0)),
                OFFSET($F$15,$A141,0)))</f>
        <v>INSTALAÇÕES HIDROSSANITÁRIAS</v>
      </c>
      <c r="O141" s="169"/>
      <c r="Q141" s="169"/>
      <c r="R141" s="170"/>
      <c r="S141" s="170"/>
      <c r="T141" s="170"/>
      <c r="U141" s="170"/>
      <c r="V141" s="170"/>
      <c r="W141" s="170"/>
      <c r="X141" s="170"/>
      <c r="Y141" s="170"/>
      <c r="Z141" s="171"/>
      <c r="AB141" s="454">
        <f ca="1">IF(AND($D141="Serviço",AB$12&lt;&gt;0,$H141&gt;0,OR(AUTOEVENTO&lt;&gt;"manual",$M141&lt;&gt;$A$15)),
        IF(Import.TipoArredondamento&lt;&gt;"TransfereGOV",
              ROUND(OFFSET($P141,0,AB$13),15-13*ORÇAMENTO!$AF$7)/$H141*OFFSET(ORÇAMENTO!$X$15,ROW(AB141)-ROW(AB$15),0),
              ROUND(ROUND(OFFSET($P141,0,AB$13),15-13*ORÇAMENTO!$AF$7)*OFFSET(ORÇAMENTO!$W$15,ROW(AB141)-ROW(AB$15),0),15-13*ORÇAMENTO!$AF$11)),
         0)</f>
        <v>0</v>
      </c>
      <c r="AC141" s="454">
        <f ca="1">IF(AND($D141="Serviço",AC$12&lt;&gt;0,$H141&gt;0,OR(AUTOEVENTO&lt;&gt;"manual",$M141&lt;&gt;$A$15)),
        IF(Import.TipoArredondamento&lt;&gt;"TransfereGOV",
              ROUND(OFFSET($P141,0,AC$13),15-13*ORÇAMENTO!$AF$7)/$H141*OFFSET(ORÇAMENTO!$X$15,ROW(AC141)-ROW(AC$15),0),
              ROUND(ROUND(OFFSET($P141,0,AC$13),15-13*ORÇAMENTO!$AF$7)*OFFSET(ORÇAMENTO!$W$15,ROW(AC141)-ROW(AC$15),0),15-13*ORÇAMENTO!$AF$11)),
         0)</f>
        <v>0</v>
      </c>
      <c r="AD141" s="454">
        <f ca="1">IF(AND($D141="Serviço",AD$12&lt;&gt;0,$H141&gt;0,OR(AUTOEVENTO&lt;&gt;"manual",$M141&lt;&gt;$A$15)),
        IF(Import.TipoArredondamento&lt;&gt;"TransfereGOV",
              ROUND(OFFSET($P141,0,AD$13),15-13*ORÇAMENTO!$AF$7)/$H141*OFFSET(ORÇAMENTO!$X$15,ROW(AD141)-ROW(AD$15),0),
              ROUND(ROUND(OFFSET($P141,0,AD$13),15-13*ORÇAMENTO!$AF$7)*OFFSET(ORÇAMENTO!$W$15,ROW(AD141)-ROW(AD$15),0),15-13*ORÇAMENTO!$AF$11)),
         0)</f>
        <v>0</v>
      </c>
      <c r="AE141" s="454">
        <f ca="1">IF(AND($D141="Serviço",AE$12&lt;&gt;0,$H141&gt;0,OR(AUTOEVENTO&lt;&gt;"manual",$M141&lt;&gt;$A$15)),
        IF(Import.TipoArredondamento&lt;&gt;"TransfereGOV",
              ROUND(OFFSET($P141,0,AE$13),15-13*ORÇAMENTO!$AF$7)/$H141*OFFSET(ORÇAMENTO!$X$15,ROW(AE141)-ROW(AE$15),0),
              ROUND(ROUND(OFFSET($P141,0,AE$13),15-13*ORÇAMENTO!$AF$7)*OFFSET(ORÇAMENTO!$W$15,ROW(AE141)-ROW(AE$15),0),15-13*ORÇAMENTO!$AF$11)),
         0)</f>
        <v>0</v>
      </c>
      <c r="AF141" s="454">
        <f ca="1">IF(AND($D141="Serviço",AF$12&lt;&gt;0,$H141&gt;0,OR(AUTOEVENTO&lt;&gt;"manual",$M141&lt;&gt;$A$15)),
        IF(Import.TipoArredondamento&lt;&gt;"TransfereGOV",
              ROUND(OFFSET($P141,0,AF$13),15-13*ORÇAMENTO!$AF$7)/$H141*OFFSET(ORÇAMENTO!$X$15,ROW(AF141)-ROW(AF$15),0),
              ROUND(ROUND(OFFSET($P141,0,AF$13),15-13*ORÇAMENTO!$AF$7)*OFFSET(ORÇAMENTO!$W$15,ROW(AF141)-ROW(AF$15),0),15-13*ORÇAMENTO!$AF$11)),
         0)</f>
        <v>0</v>
      </c>
      <c r="AG141" s="454">
        <f ca="1">IF(AND($D141="Serviço",AG$12&lt;&gt;0,$H141&gt;0,OR(AUTOEVENTO&lt;&gt;"manual",$M141&lt;&gt;$A$15)),
        IF(Import.TipoArredondamento&lt;&gt;"TransfereGOV",
              ROUND(OFFSET($P141,0,AG$13),15-13*ORÇAMENTO!$AF$7)/$H141*OFFSET(ORÇAMENTO!$X$15,ROW(AG141)-ROW(AG$15),0),
              ROUND(ROUND(OFFSET($P141,0,AG$13),15-13*ORÇAMENTO!$AF$7)*OFFSET(ORÇAMENTO!$W$15,ROW(AG141)-ROW(AG$15),0),15-13*ORÇAMENTO!$AF$11)),
         0)</f>
        <v>0</v>
      </c>
      <c r="AH141" s="454">
        <f ca="1">IF(AND($D141="Serviço",AH$12&lt;&gt;0,$H141&gt;0,OR(AUTOEVENTO&lt;&gt;"manual",$M141&lt;&gt;$A$15)),
        IF(Import.TipoArredondamento&lt;&gt;"TransfereGOV",
              ROUND(OFFSET($P141,0,AH$13),15-13*ORÇAMENTO!$AF$7)/$H141*OFFSET(ORÇAMENTO!$X$15,ROW(AH141)-ROW(AH$15),0),
              ROUND(ROUND(OFFSET($P141,0,AH$13),15-13*ORÇAMENTO!$AF$7)*OFFSET(ORÇAMENTO!$W$15,ROW(AH141)-ROW(AH$15),0),15-13*ORÇAMENTO!$AF$11)),
         0)</f>
        <v>0</v>
      </c>
      <c r="AI141" s="454">
        <f ca="1">IF(AND($D141="Serviço",AI$12&lt;&gt;0,$H141&gt;0,OR(AUTOEVENTO&lt;&gt;"manual",$M141&lt;&gt;$A$15)),
        IF(Import.TipoArredondamento&lt;&gt;"TransfereGOV",
              ROUND(OFFSET($P141,0,AI$13),15-13*ORÇAMENTO!$AF$7)/$H141*OFFSET(ORÇAMENTO!$X$15,ROW(AI141)-ROW(AI$15),0),
              ROUND(ROUND(OFFSET($P141,0,AI$13),15-13*ORÇAMENTO!$AF$7)*OFFSET(ORÇAMENTO!$W$15,ROW(AI141)-ROW(AI$15),0),15-13*ORÇAMENTO!$AF$11)),
         0)</f>
        <v>0</v>
      </c>
      <c r="AJ141" s="454">
        <f ca="1">IF(AND($D141="Serviço",AJ$12&lt;&gt;0,$H141&gt;0,OR(AUTOEVENTO&lt;&gt;"manual",$M141&lt;&gt;$A$15)),
        IF(Import.TipoArredondamento&lt;&gt;"TransfereGOV",
              ROUND(OFFSET($P141,0,AJ$13),15-13*ORÇAMENTO!$AF$7)/$H141*OFFSET(ORÇAMENTO!$X$15,ROW(AJ141)-ROW(AJ$15),0),
              ROUND(ROUND(OFFSET($P141,0,AJ$13),15-13*ORÇAMENTO!$AF$7)*OFFSET(ORÇAMENTO!$W$15,ROW(AJ141)-ROW(AJ$15),0),15-13*ORÇAMENTO!$AF$11)),
         0)</f>
        <v>0</v>
      </c>
      <c r="AK141" s="454">
        <f ca="1">IF(AND($D141="Serviço",AK$12&lt;&gt;0,$H141&gt;0,OR(AUTOEVENTO&lt;&gt;"manual",$M141&lt;&gt;$A$15)),
        IF(Import.TipoArredondamento&lt;&gt;"TransfereGOV",
              ROUND(OFFSET($P141,0,AK$13),15-13*ORÇAMENTO!$AF$7)/$H141*OFFSET(ORÇAMENTO!$X$15,ROW(AK141)-ROW(AK$15),0),
              ROUND(ROUND(OFFSET($P141,0,AK$13),15-13*ORÇAMENTO!$AF$7)*OFFSET(ORÇAMENTO!$W$15,ROW(AK141)-ROW(AK$15),0),15-13*ORÇAMENTO!$AF$11)),
         0)</f>
        <v>0</v>
      </c>
      <c r="AM141" s="172">
        <f ca="1">IF(OR($D141&lt;&gt;"Serviço",AND(AUTOEVENTO="Manual",$M141=$A$15)),0,
         IF(OFFSET(CRONOPLE!$F$15,$M141-$A$15,AM$13)="",10^12,OFFSET(CRONOPLE!$F$15,$M141-$A$15,AM$13)))</f>
        <v>1000000000000</v>
      </c>
      <c r="AN141" s="172">
        <f ca="1">IF(OR($D141&lt;&gt;"Serviço",AND(AUTOEVENTO="Manual",$M141=$A$15)),0,
         IF(OFFSET(CRONOPLE!$F$15,$M141-$A$15,AN$13)="",10^12,OFFSET(CRONOPLE!$F$15,$M141-$A$15,AN$13)))</f>
        <v>1000000000000</v>
      </c>
      <c r="AO141" s="172">
        <f ca="1">IF(OR($D141&lt;&gt;"Serviço",AND(AUTOEVENTO="Manual",$M141=$A$15)),0,
         IF(OFFSET(CRONOPLE!$F$15,$M141-$A$15,AO$13)="",10^12,OFFSET(CRONOPLE!$F$15,$M141-$A$15,AO$13)))</f>
        <v>1000000000000</v>
      </c>
      <c r="AP141" s="172">
        <f ca="1">IF(OR($D141&lt;&gt;"Serviço",AND(AUTOEVENTO="Manual",$M141=$A$15)),0,
         IF(OFFSET(CRONOPLE!$F$15,$M141-$A$15,AP$13)="",10^12,OFFSET(CRONOPLE!$F$15,$M141-$A$15,AP$13)))</f>
        <v>1000000000000</v>
      </c>
      <c r="AQ141" s="172">
        <f ca="1">IF(OR($D141&lt;&gt;"Serviço",AND(AUTOEVENTO="Manual",$M141=$A$15)),0,
         IF(OFFSET(CRONOPLE!$F$15,$M141-$A$15,AQ$13)="",10^12,OFFSET(CRONOPLE!$F$15,$M141-$A$15,AQ$13)))</f>
        <v>1000000000000</v>
      </c>
      <c r="AR141" s="172">
        <f ca="1">IF(OR($D141&lt;&gt;"Serviço",AND(AUTOEVENTO="Manual",$M141=$A$15)),0,
         IF(OFFSET(CRONOPLE!$F$15,$M141-$A$15,AR$13)="",10^12,OFFSET(CRONOPLE!$F$15,$M141-$A$15,AR$13)))</f>
        <v>1000000000000</v>
      </c>
      <c r="AS141" s="172">
        <f ca="1">IF(OR($D141&lt;&gt;"Serviço",AND(AUTOEVENTO="Manual",$M141=$A$15)),0,
         IF(OFFSET(CRONOPLE!$F$15,$M141-$A$15,AS$13)="",10^12,OFFSET(CRONOPLE!$F$15,$M141-$A$15,AS$13)))</f>
        <v>1000000000000</v>
      </c>
      <c r="AT141" s="172">
        <f ca="1">IF(OR($D141&lt;&gt;"Serviço",AND(AUTOEVENTO="Manual",$M141=$A$15)),0,
         IF(OFFSET(CRONOPLE!$F$15,$M141-$A$15,AT$13)="",10^12,OFFSET(CRONOPLE!$F$15,$M141-$A$15,AT$13)))</f>
        <v>1000000000000</v>
      </c>
      <c r="AU141" s="172">
        <f ca="1">IF(OR($D141&lt;&gt;"Serviço",AND(AUTOEVENTO="Manual",$M141=$A$15)),0,
         IF(OFFSET(CRONOPLE!$F$15,$M141-$A$15,AU$13)="",10^12,OFFSET(CRONOPLE!$F$15,$M141-$A$15,AU$13)))</f>
        <v>1000000000000</v>
      </c>
      <c r="AV141" s="172">
        <f ca="1">IF(OR($D141&lt;&gt;"Serviço",AND(AUTOEVENTO="Manual",$M141=$A$15)),0,
         IF(OFFSET(CRONOPLE!$F$15,$M141-$A$15,AV$13)="",10^12,OFFSET(CRONOPLE!$F$15,$M141-$A$15,AV$13)))</f>
        <v>1000000000000</v>
      </c>
      <c r="AX141" s="173">
        <f ca="1">IF(OR($D141&lt;&gt;"Serviço",AND(AUTOEVENTO="Manual",$M141=$A$15),$M141&gt;(ROW(PLE.lastrow)-ROW(PLE.firstrow))),0,
           IF(OFFSET(PLE!$G$15,$M141-$A$15,AX$13)="",10^12,OFFSET(PLE!$G$15,$M141-$A$15,AX$13)))</f>
        <v>1000000000000</v>
      </c>
      <c r="AY141" s="173">
        <f ca="1">IF(OR($D141&lt;&gt;"Serviço",AND(AUTOEVENTO="Manual",$M141=$A$15),$M141&gt;(ROW(PLE.lastrow)-ROW(PLE.firstrow))),0,
           IF(OFFSET(PLE!$G$15,$M141-$A$15,AY$13)="",10^12,OFFSET(PLE!$G$15,$M141-$A$15,AY$13)))</f>
        <v>1000000000000</v>
      </c>
      <c r="AZ141" s="173">
        <f ca="1">IF(OR($D141&lt;&gt;"Serviço",AND(AUTOEVENTO="Manual",$M141=$A$15),$M141&gt;(ROW(PLE.lastrow)-ROW(PLE.firstrow))),0,
           IF(OFFSET(PLE!$G$15,$M141-$A$15,AZ$13)="",10^12,OFFSET(PLE!$G$15,$M141-$A$15,AZ$13)))</f>
        <v>1000000000000</v>
      </c>
      <c r="BA141" s="173">
        <f ca="1">IF(OR($D141&lt;&gt;"Serviço",AND(AUTOEVENTO="Manual",$M141=$A$15),$M141&gt;(ROW(PLE.lastrow)-ROW(PLE.firstrow))),0,
           IF(OFFSET(PLE!$G$15,$M141-$A$15,BA$13)="",10^12,OFFSET(PLE!$G$15,$M141-$A$15,BA$13)))</f>
        <v>1000000000000</v>
      </c>
      <c r="BB141" s="173">
        <f ca="1">IF(OR($D141&lt;&gt;"Serviço",AND(AUTOEVENTO="Manual",$M141=$A$15),$M141&gt;(ROW(PLE.lastrow)-ROW(PLE.firstrow))),0,
           IF(OFFSET(PLE!$G$15,$M141-$A$15,BB$13)="",10^12,OFFSET(PLE!$G$15,$M141-$A$15,BB$13)))</f>
        <v>1000000000000</v>
      </c>
      <c r="BC141" s="173">
        <f ca="1">IF(OR($D141&lt;&gt;"Serviço",AND(AUTOEVENTO="Manual",$M141=$A$15),$M141&gt;(ROW(PLE.lastrow)-ROW(PLE.firstrow))),0,
           IF(OFFSET(PLE!$G$15,$M141-$A$15,BC$13)="",10^12,OFFSET(PLE!$G$15,$M141-$A$15,BC$13)))</f>
        <v>1000000000000</v>
      </c>
      <c r="BD141" s="173">
        <f ca="1">IF(OR($D141&lt;&gt;"Serviço",AND(AUTOEVENTO="Manual",$M141=$A$15),$M141&gt;(ROW(PLE.lastrow)-ROW(PLE.firstrow))),0,
           IF(OFFSET(PLE!$G$15,$M141-$A$15,BD$13)="",10^12,OFFSET(PLE!$G$15,$M141-$A$15,BD$13)))</f>
        <v>1000000000000</v>
      </c>
      <c r="BE141" s="173">
        <f ca="1">IF(OR($D141&lt;&gt;"Serviço",AND(AUTOEVENTO="Manual",$M141=$A$15),$M141&gt;(ROW(PLE.lastrow)-ROW(PLE.firstrow))),0,
           IF(OFFSET(PLE!$G$15,$M141-$A$15,BE$13)="",10^12,OFFSET(PLE!$G$15,$M141-$A$15,BE$13)))</f>
        <v>1000000000000</v>
      </c>
      <c r="BF141" s="173">
        <f ca="1">IF(OR($D141&lt;&gt;"Serviço",AND(AUTOEVENTO="Manual",$M141=$A$15),$M141&gt;(ROW(PLE.lastrow)-ROW(PLE.firstrow))),0,
           IF(OFFSET(PLE!$G$15,$M141-$A$15,BF$13)="",10^12,OFFSET(PLE!$G$15,$M141-$A$15,BF$13)))</f>
        <v>1000000000000</v>
      </c>
      <c r="BG141" s="173">
        <f ca="1">IF(OR($D141&lt;&gt;"Serviço",AND(AUTOEVENTO="Manual",$M141=$A$15),$M141&gt;(ROW(PLE.lastrow)-ROW(PLE.firstrow))),0,
           IF(OFFSET(PLE!$G$15,$M141-$A$15,BG$13)="",10^12,OFFSET(PLE!$G$15,$M141-$A$15,BG$13)))</f>
        <v>1000000000000</v>
      </c>
    </row>
    <row r="142" spans="1:59" ht="38.25" x14ac:dyDescent="0.2">
      <c r="A142" s="7" t="str">
        <f t="shared" ca="1" si="9"/>
        <v>114</v>
      </c>
      <c r="B142" s="7" t="str">
        <f ca="1">OFFSET(ORÇAMENTO!C$15,ROW(B142)-ROW(B$15),0)</f>
        <v>S</v>
      </c>
      <c r="C142" s="7" t="str">
        <f ca="1">OFFSET(ORÇAMENTO!L$15,ROW(C142)-ROW(C$15),0)</f>
        <v/>
      </c>
      <c r="D142" s="117" t="str">
        <f ca="1">OFFSET(ORÇAMENTO!N$15,ROW(D142)-ROW(D$15),0)</f>
        <v>Serviço</v>
      </c>
      <c r="E142" s="118" t="str">
        <f ca="1">OFFSET(ORÇAMENTO!O$15,ROW(E142)-ROW(E$15),0)</f>
        <v>-</v>
      </c>
      <c r="F142" s="164" t="str">
        <f ca="1">OFFSET(ORÇAMENTO!R$15,ROW(F142)-ROW(F$15),0)</f>
        <v>JOELHO 90 GRAUS, PVC, SERIE NORMAL, ESGOTO PREDIAL, DN 40 MM, JUNTA SOLDÁVEL, FORNECIDO E INSTALADO EM RAMAL DE DESCARGA OU RAMAL DE ESGOTO SANITÁRIO. AF_08/2022</v>
      </c>
      <c r="G142" s="165" t="str">
        <f ca="1">IF($D142&lt;&gt;"Serviço","",OFFSET(ORÇAMENTO!S$15,ROW(G142)-ROW(G$15),0))</f>
        <v>UN</v>
      </c>
      <c r="H142" s="123">
        <f ca="1">IF($D142&lt;&gt;"Serviço",0,IF(ACOMPANHAMENTO="BM",ROUND(OFFSET(ORÇAMENTO!AJ$15,ROW(H142)-ROW(H$15),0),15-13*ORÇAMENTO!$AF$7),SUMPRODUCT(($Q$1:$AA$1=1)*ROUND($Q142:$AA142,15-13*ORÇAMENTO!$AF$7))))</f>
        <v>5</v>
      </c>
      <c r="I142" s="469"/>
      <c r="J142" s="577" t="str" cm="1">
        <f t="array" aca="1" ref="J142" ca="1">IF(B142&lt;&gt;"S","",IF(AND(ACOMPANHAMENTO="PLE",AUTOEVENTO="Manual",OR(H142&gt;0,ORÇAMENTO!AC142="QUANT."),OR(K142="",M142=0,N142="")),"►",IF(AND(ACOMPANHAMENTO="PLE",ORÇAMENTO!AC142="QUANT."),"►►",IF(AND(COUNTIF($P$11:$AA$11,"▼")=0,H142&gt;0,I142=""),"◄",""))))</f>
        <v>◄</v>
      </c>
      <c r="K142" s="626"/>
      <c r="L142" s="166" t="s">
        <v>765</v>
      </c>
      <c r="M142" s="167">
        <f ca="1">IF($D142&lt;&gt;"Serviço","",
          IF(AUTOEVENTO="manual",$A142,
                IF(ISERROR(MATCH($A142,$A$15:OFFSET($A142,-1,0),0)),MAX($M$15:OFFSET(M142,-1,0))+1,
                      INDEX($M$15:OFFSET(M142,-1,0),MATCH($A142,$A$15:OFFSET($A142,-1,0),0)))))</f>
        <v>11</v>
      </c>
      <c r="N142" s="168" t="str">
        <f ca="1">IF($D142&lt;&gt;"Serviço","",
         IF(AUTOEVENTO="Manual",
                IF($A142=0,"&lt;-- defina o número do agrupador",
                       OFFSET(EVENTOS!$D$15,$A142-$A$15,0)),
                OFFSET($F$15,$A142,0)))</f>
        <v>INSTALAÇÕES HIDROSSANITÁRIAS</v>
      </c>
      <c r="O142" s="169"/>
      <c r="Q142" s="169"/>
      <c r="R142" s="170"/>
      <c r="S142" s="170"/>
      <c r="T142" s="170"/>
      <c r="U142" s="170"/>
      <c r="V142" s="170"/>
      <c r="W142" s="170"/>
      <c r="X142" s="170"/>
      <c r="Y142" s="170"/>
      <c r="Z142" s="171"/>
      <c r="AB142" s="454">
        <f ca="1">IF(AND($D142="Serviço",AB$12&lt;&gt;0,$H142&gt;0,OR(AUTOEVENTO&lt;&gt;"manual",$M142&lt;&gt;$A$15)),
        IF(Import.TipoArredondamento&lt;&gt;"TransfereGOV",
              ROUND(OFFSET($P142,0,AB$13),15-13*ORÇAMENTO!$AF$7)/$H142*OFFSET(ORÇAMENTO!$X$15,ROW(AB142)-ROW(AB$15),0),
              ROUND(ROUND(OFFSET($P142,0,AB$13),15-13*ORÇAMENTO!$AF$7)*OFFSET(ORÇAMENTO!$W$15,ROW(AB142)-ROW(AB$15),0),15-13*ORÇAMENTO!$AF$11)),
         0)</f>
        <v>0</v>
      </c>
      <c r="AC142" s="454">
        <f ca="1">IF(AND($D142="Serviço",AC$12&lt;&gt;0,$H142&gt;0,OR(AUTOEVENTO&lt;&gt;"manual",$M142&lt;&gt;$A$15)),
        IF(Import.TipoArredondamento&lt;&gt;"TransfereGOV",
              ROUND(OFFSET($P142,0,AC$13),15-13*ORÇAMENTO!$AF$7)/$H142*OFFSET(ORÇAMENTO!$X$15,ROW(AC142)-ROW(AC$15),0),
              ROUND(ROUND(OFFSET($P142,0,AC$13),15-13*ORÇAMENTO!$AF$7)*OFFSET(ORÇAMENTO!$W$15,ROW(AC142)-ROW(AC$15),0),15-13*ORÇAMENTO!$AF$11)),
         0)</f>
        <v>0</v>
      </c>
      <c r="AD142" s="454">
        <f ca="1">IF(AND($D142="Serviço",AD$12&lt;&gt;0,$H142&gt;0,OR(AUTOEVENTO&lt;&gt;"manual",$M142&lt;&gt;$A$15)),
        IF(Import.TipoArredondamento&lt;&gt;"TransfereGOV",
              ROUND(OFFSET($P142,0,AD$13),15-13*ORÇAMENTO!$AF$7)/$H142*OFFSET(ORÇAMENTO!$X$15,ROW(AD142)-ROW(AD$15),0),
              ROUND(ROUND(OFFSET($P142,0,AD$13),15-13*ORÇAMENTO!$AF$7)*OFFSET(ORÇAMENTO!$W$15,ROW(AD142)-ROW(AD$15),0),15-13*ORÇAMENTO!$AF$11)),
         0)</f>
        <v>0</v>
      </c>
      <c r="AE142" s="454">
        <f ca="1">IF(AND($D142="Serviço",AE$12&lt;&gt;0,$H142&gt;0,OR(AUTOEVENTO&lt;&gt;"manual",$M142&lt;&gt;$A$15)),
        IF(Import.TipoArredondamento&lt;&gt;"TransfereGOV",
              ROUND(OFFSET($P142,0,AE$13),15-13*ORÇAMENTO!$AF$7)/$H142*OFFSET(ORÇAMENTO!$X$15,ROW(AE142)-ROW(AE$15),0),
              ROUND(ROUND(OFFSET($P142,0,AE$13),15-13*ORÇAMENTO!$AF$7)*OFFSET(ORÇAMENTO!$W$15,ROW(AE142)-ROW(AE$15),0),15-13*ORÇAMENTO!$AF$11)),
         0)</f>
        <v>0</v>
      </c>
      <c r="AF142" s="454">
        <f ca="1">IF(AND($D142="Serviço",AF$12&lt;&gt;0,$H142&gt;0,OR(AUTOEVENTO&lt;&gt;"manual",$M142&lt;&gt;$A$15)),
        IF(Import.TipoArredondamento&lt;&gt;"TransfereGOV",
              ROUND(OFFSET($P142,0,AF$13),15-13*ORÇAMENTO!$AF$7)/$H142*OFFSET(ORÇAMENTO!$X$15,ROW(AF142)-ROW(AF$15),0),
              ROUND(ROUND(OFFSET($P142,0,AF$13),15-13*ORÇAMENTO!$AF$7)*OFFSET(ORÇAMENTO!$W$15,ROW(AF142)-ROW(AF$15),0),15-13*ORÇAMENTO!$AF$11)),
         0)</f>
        <v>0</v>
      </c>
      <c r="AG142" s="454">
        <f ca="1">IF(AND($D142="Serviço",AG$12&lt;&gt;0,$H142&gt;0,OR(AUTOEVENTO&lt;&gt;"manual",$M142&lt;&gt;$A$15)),
        IF(Import.TipoArredondamento&lt;&gt;"TransfereGOV",
              ROUND(OFFSET($P142,0,AG$13),15-13*ORÇAMENTO!$AF$7)/$H142*OFFSET(ORÇAMENTO!$X$15,ROW(AG142)-ROW(AG$15),0),
              ROUND(ROUND(OFFSET($P142,0,AG$13),15-13*ORÇAMENTO!$AF$7)*OFFSET(ORÇAMENTO!$W$15,ROW(AG142)-ROW(AG$15),0),15-13*ORÇAMENTO!$AF$11)),
         0)</f>
        <v>0</v>
      </c>
      <c r="AH142" s="454">
        <f ca="1">IF(AND($D142="Serviço",AH$12&lt;&gt;0,$H142&gt;0,OR(AUTOEVENTO&lt;&gt;"manual",$M142&lt;&gt;$A$15)),
        IF(Import.TipoArredondamento&lt;&gt;"TransfereGOV",
              ROUND(OFFSET($P142,0,AH$13),15-13*ORÇAMENTO!$AF$7)/$H142*OFFSET(ORÇAMENTO!$X$15,ROW(AH142)-ROW(AH$15),0),
              ROUND(ROUND(OFFSET($P142,0,AH$13),15-13*ORÇAMENTO!$AF$7)*OFFSET(ORÇAMENTO!$W$15,ROW(AH142)-ROW(AH$15),0),15-13*ORÇAMENTO!$AF$11)),
         0)</f>
        <v>0</v>
      </c>
      <c r="AI142" s="454">
        <f ca="1">IF(AND($D142="Serviço",AI$12&lt;&gt;0,$H142&gt;0,OR(AUTOEVENTO&lt;&gt;"manual",$M142&lt;&gt;$A$15)),
        IF(Import.TipoArredondamento&lt;&gt;"TransfereGOV",
              ROUND(OFFSET($P142,0,AI$13),15-13*ORÇAMENTO!$AF$7)/$H142*OFFSET(ORÇAMENTO!$X$15,ROW(AI142)-ROW(AI$15),0),
              ROUND(ROUND(OFFSET($P142,0,AI$13),15-13*ORÇAMENTO!$AF$7)*OFFSET(ORÇAMENTO!$W$15,ROW(AI142)-ROW(AI$15),0),15-13*ORÇAMENTO!$AF$11)),
         0)</f>
        <v>0</v>
      </c>
      <c r="AJ142" s="454">
        <f ca="1">IF(AND($D142="Serviço",AJ$12&lt;&gt;0,$H142&gt;0,OR(AUTOEVENTO&lt;&gt;"manual",$M142&lt;&gt;$A$15)),
        IF(Import.TipoArredondamento&lt;&gt;"TransfereGOV",
              ROUND(OFFSET($P142,0,AJ$13),15-13*ORÇAMENTO!$AF$7)/$H142*OFFSET(ORÇAMENTO!$X$15,ROW(AJ142)-ROW(AJ$15),0),
              ROUND(ROUND(OFFSET($P142,0,AJ$13),15-13*ORÇAMENTO!$AF$7)*OFFSET(ORÇAMENTO!$W$15,ROW(AJ142)-ROW(AJ$15),0),15-13*ORÇAMENTO!$AF$11)),
         0)</f>
        <v>0</v>
      </c>
      <c r="AK142" s="454">
        <f ca="1">IF(AND($D142="Serviço",AK$12&lt;&gt;0,$H142&gt;0,OR(AUTOEVENTO&lt;&gt;"manual",$M142&lt;&gt;$A$15)),
        IF(Import.TipoArredondamento&lt;&gt;"TransfereGOV",
              ROUND(OFFSET($P142,0,AK$13),15-13*ORÇAMENTO!$AF$7)/$H142*OFFSET(ORÇAMENTO!$X$15,ROW(AK142)-ROW(AK$15),0),
              ROUND(ROUND(OFFSET($P142,0,AK$13),15-13*ORÇAMENTO!$AF$7)*OFFSET(ORÇAMENTO!$W$15,ROW(AK142)-ROW(AK$15),0),15-13*ORÇAMENTO!$AF$11)),
         0)</f>
        <v>0</v>
      </c>
      <c r="AM142" s="172">
        <f ca="1">IF(OR($D142&lt;&gt;"Serviço",AND(AUTOEVENTO="Manual",$M142=$A$15)),0,
         IF(OFFSET(CRONOPLE!$F$15,$M142-$A$15,AM$13)="",10^12,OFFSET(CRONOPLE!$F$15,$M142-$A$15,AM$13)))</f>
        <v>1000000000000</v>
      </c>
      <c r="AN142" s="172">
        <f ca="1">IF(OR($D142&lt;&gt;"Serviço",AND(AUTOEVENTO="Manual",$M142=$A$15)),0,
         IF(OFFSET(CRONOPLE!$F$15,$M142-$A$15,AN$13)="",10^12,OFFSET(CRONOPLE!$F$15,$M142-$A$15,AN$13)))</f>
        <v>1000000000000</v>
      </c>
      <c r="AO142" s="172">
        <f ca="1">IF(OR($D142&lt;&gt;"Serviço",AND(AUTOEVENTO="Manual",$M142=$A$15)),0,
         IF(OFFSET(CRONOPLE!$F$15,$M142-$A$15,AO$13)="",10^12,OFFSET(CRONOPLE!$F$15,$M142-$A$15,AO$13)))</f>
        <v>1000000000000</v>
      </c>
      <c r="AP142" s="172">
        <f ca="1">IF(OR($D142&lt;&gt;"Serviço",AND(AUTOEVENTO="Manual",$M142=$A$15)),0,
         IF(OFFSET(CRONOPLE!$F$15,$M142-$A$15,AP$13)="",10^12,OFFSET(CRONOPLE!$F$15,$M142-$A$15,AP$13)))</f>
        <v>1000000000000</v>
      </c>
      <c r="AQ142" s="172">
        <f ca="1">IF(OR($D142&lt;&gt;"Serviço",AND(AUTOEVENTO="Manual",$M142=$A$15)),0,
         IF(OFFSET(CRONOPLE!$F$15,$M142-$A$15,AQ$13)="",10^12,OFFSET(CRONOPLE!$F$15,$M142-$A$15,AQ$13)))</f>
        <v>1000000000000</v>
      </c>
      <c r="AR142" s="172">
        <f ca="1">IF(OR($D142&lt;&gt;"Serviço",AND(AUTOEVENTO="Manual",$M142=$A$15)),0,
         IF(OFFSET(CRONOPLE!$F$15,$M142-$A$15,AR$13)="",10^12,OFFSET(CRONOPLE!$F$15,$M142-$A$15,AR$13)))</f>
        <v>1000000000000</v>
      </c>
      <c r="AS142" s="172">
        <f ca="1">IF(OR($D142&lt;&gt;"Serviço",AND(AUTOEVENTO="Manual",$M142=$A$15)),0,
         IF(OFFSET(CRONOPLE!$F$15,$M142-$A$15,AS$13)="",10^12,OFFSET(CRONOPLE!$F$15,$M142-$A$15,AS$13)))</f>
        <v>1000000000000</v>
      </c>
      <c r="AT142" s="172">
        <f ca="1">IF(OR($D142&lt;&gt;"Serviço",AND(AUTOEVENTO="Manual",$M142=$A$15)),0,
         IF(OFFSET(CRONOPLE!$F$15,$M142-$A$15,AT$13)="",10^12,OFFSET(CRONOPLE!$F$15,$M142-$A$15,AT$13)))</f>
        <v>1000000000000</v>
      </c>
      <c r="AU142" s="172">
        <f ca="1">IF(OR($D142&lt;&gt;"Serviço",AND(AUTOEVENTO="Manual",$M142=$A$15)),0,
         IF(OFFSET(CRONOPLE!$F$15,$M142-$A$15,AU$13)="",10^12,OFFSET(CRONOPLE!$F$15,$M142-$A$15,AU$13)))</f>
        <v>1000000000000</v>
      </c>
      <c r="AV142" s="172">
        <f ca="1">IF(OR($D142&lt;&gt;"Serviço",AND(AUTOEVENTO="Manual",$M142=$A$15)),0,
         IF(OFFSET(CRONOPLE!$F$15,$M142-$A$15,AV$13)="",10^12,OFFSET(CRONOPLE!$F$15,$M142-$A$15,AV$13)))</f>
        <v>1000000000000</v>
      </c>
      <c r="AX142" s="173">
        <f ca="1">IF(OR($D142&lt;&gt;"Serviço",AND(AUTOEVENTO="Manual",$M142=$A$15),$M142&gt;(ROW(PLE.lastrow)-ROW(PLE.firstrow))),0,
           IF(OFFSET(PLE!$G$15,$M142-$A$15,AX$13)="",10^12,OFFSET(PLE!$G$15,$M142-$A$15,AX$13)))</f>
        <v>1000000000000</v>
      </c>
      <c r="AY142" s="173">
        <f ca="1">IF(OR($D142&lt;&gt;"Serviço",AND(AUTOEVENTO="Manual",$M142=$A$15),$M142&gt;(ROW(PLE.lastrow)-ROW(PLE.firstrow))),0,
           IF(OFFSET(PLE!$G$15,$M142-$A$15,AY$13)="",10^12,OFFSET(PLE!$G$15,$M142-$A$15,AY$13)))</f>
        <v>1000000000000</v>
      </c>
      <c r="AZ142" s="173">
        <f ca="1">IF(OR($D142&lt;&gt;"Serviço",AND(AUTOEVENTO="Manual",$M142=$A$15),$M142&gt;(ROW(PLE.lastrow)-ROW(PLE.firstrow))),0,
           IF(OFFSET(PLE!$G$15,$M142-$A$15,AZ$13)="",10^12,OFFSET(PLE!$G$15,$M142-$A$15,AZ$13)))</f>
        <v>1000000000000</v>
      </c>
      <c r="BA142" s="173">
        <f ca="1">IF(OR($D142&lt;&gt;"Serviço",AND(AUTOEVENTO="Manual",$M142=$A$15),$M142&gt;(ROW(PLE.lastrow)-ROW(PLE.firstrow))),0,
           IF(OFFSET(PLE!$G$15,$M142-$A$15,BA$13)="",10^12,OFFSET(PLE!$G$15,$M142-$A$15,BA$13)))</f>
        <v>1000000000000</v>
      </c>
      <c r="BB142" s="173">
        <f ca="1">IF(OR($D142&lt;&gt;"Serviço",AND(AUTOEVENTO="Manual",$M142=$A$15),$M142&gt;(ROW(PLE.lastrow)-ROW(PLE.firstrow))),0,
           IF(OFFSET(PLE!$G$15,$M142-$A$15,BB$13)="",10^12,OFFSET(PLE!$G$15,$M142-$A$15,BB$13)))</f>
        <v>1000000000000</v>
      </c>
      <c r="BC142" s="173">
        <f ca="1">IF(OR($D142&lt;&gt;"Serviço",AND(AUTOEVENTO="Manual",$M142=$A$15),$M142&gt;(ROW(PLE.lastrow)-ROW(PLE.firstrow))),0,
           IF(OFFSET(PLE!$G$15,$M142-$A$15,BC$13)="",10^12,OFFSET(PLE!$G$15,$M142-$A$15,BC$13)))</f>
        <v>1000000000000</v>
      </c>
      <c r="BD142" s="173">
        <f ca="1">IF(OR($D142&lt;&gt;"Serviço",AND(AUTOEVENTO="Manual",$M142=$A$15),$M142&gt;(ROW(PLE.lastrow)-ROW(PLE.firstrow))),0,
           IF(OFFSET(PLE!$G$15,$M142-$A$15,BD$13)="",10^12,OFFSET(PLE!$G$15,$M142-$A$15,BD$13)))</f>
        <v>1000000000000</v>
      </c>
      <c r="BE142" s="173">
        <f ca="1">IF(OR($D142&lt;&gt;"Serviço",AND(AUTOEVENTO="Manual",$M142=$A$15),$M142&gt;(ROW(PLE.lastrow)-ROW(PLE.firstrow))),0,
           IF(OFFSET(PLE!$G$15,$M142-$A$15,BE$13)="",10^12,OFFSET(PLE!$G$15,$M142-$A$15,BE$13)))</f>
        <v>1000000000000</v>
      </c>
      <c r="BF142" s="173">
        <f ca="1">IF(OR($D142&lt;&gt;"Serviço",AND(AUTOEVENTO="Manual",$M142=$A$15),$M142&gt;(ROW(PLE.lastrow)-ROW(PLE.firstrow))),0,
           IF(OFFSET(PLE!$G$15,$M142-$A$15,BF$13)="",10^12,OFFSET(PLE!$G$15,$M142-$A$15,BF$13)))</f>
        <v>1000000000000</v>
      </c>
      <c r="BG142" s="173">
        <f ca="1">IF(OR($D142&lt;&gt;"Serviço",AND(AUTOEVENTO="Manual",$M142=$A$15),$M142&gt;(ROW(PLE.lastrow)-ROW(PLE.firstrow))),0,
           IF(OFFSET(PLE!$G$15,$M142-$A$15,BG$13)="",10^12,OFFSET(PLE!$G$15,$M142-$A$15,BG$13)))</f>
        <v>1000000000000</v>
      </c>
    </row>
    <row r="143" spans="1:59" ht="38.25" x14ac:dyDescent="0.2">
      <c r="A143" s="7" t="str">
        <f t="shared" ref="A143:A206" ca="1" si="10">IF(AUTOEVENTO="Manual",IF(K143&lt;&gt;"",MIN(VALUE(LEFT(K143,FIND(".",K143)-1)),COUNTA(EVENTOS.Lista)),0),IF(OR($B143&gt;AUTOEVENTO,$B143="S",$B143=0),SUBSTITUTE(OFFSET($A143,-1,0),IF($D143="Serviço",".",""),""),ROW(A143)-ROW($A$15)&amp;"."))</f>
        <v>114</v>
      </c>
      <c r="B143" s="7" t="str">
        <f ca="1">OFFSET(ORÇAMENTO!C$15,ROW(B143)-ROW(B$15),0)</f>
        <v>S</v>
      </c>
      <c r="C143" s="7" t="str">
        <f ca="1">OFFSET(ORÇAMENTO!L$15,ROW(C143)-ROW(C$15),0)</f>
        <v/>
      </c>
      <c r="D143" s="117" t="str">
        <f ca="1">OFFSET(ORÇAMENTO!N$15,ROW(D143)-ROW(D$15),0)</f>
        <v>Serviço</v>
      </c>
      <c r="E143" s="118" t="str">
        <f ca="1">OFFSET(ORÇAMENTO!O$15,ROW(E143)-ROW(E$15),0)</f>
        <v>-</v>
      </c>
      <c r="F143" s="164" t="str">
        <f ca="1">OFFSET(ORÇAMENTO!R$15,ROW(F143)-ROW(F$15),0)</f>
        <v>JOELHO 90 GRAUS, PVC, SERIE NORMAL, ESGOTO PREDIAL, DN 40 MM, JUNTA SOLDÁVEL, FORNECIDO E INSTALADO EM RAMAL DE DESCARGA OU RAMAL DE ESGOTO SANITÁRIO. AF_08/2022</v>
      </c>
      <c r="G143" s="165" t="str">
        <f ca="1">IF($D143&lt;&gt;"Serviço","",OFFSET(ORÇAMENTO!S$15,ROW(G143)-ROW(G$15),0))</f>
        <v>UN</v>
      </c>
      <c r="H143" s="123">
        <f ca="1">IF($D143&lt;&gt;"Serviço",0,IF(ACOMPANHAMENTO="BM",ROUND(OFFSET(ORÇAMENTO!AJ$15,ROW(H143)-ROW(H$15),0),15-13*ORÇAMENTO!$AF$7),SUMPRODUCT(($Q$1:$AA$1=1)*ROUND($Q143:$AA143,15-13*ORÇAMENTO!$AF$7))))</f>
        <v>49</v>
      </c>
      <c r="I143" s="469"/>
      <c r="J143" s="577" t="str" cm="1">
        <f t="array" aca="1" ref="J143" ca="1">IF(B143&lt;&gt;"S","",IF(AND(ACOMPANHAMENTO="PLE",AUTOEVENTO="Manual",OR(H143&gt;0,ORÇAMENTO!AC143="QUANT."),OR(K143="",M143=0,N143="")),"►",IF(AND(ACOMPANHAMENTO="PLE",ORÇAMENTO!AC143="QUANT."),"►►",IF(AND(COUNTIF($P$11:$AA$11,"▼")=0,H143&gt;0,I143=""),"◄",""))))</f>
        <v>◄</v>
      </c>
      <c r="K143" s="626"/>
      <c r="L143" s="166" t="s">
        <v>765</v>
      </c>
      <c r="M143" s="167">
        <f ca="1">IF($D143&lt;&gt;"Serviço","",
          IF(AUTOEVENTO="manual",$A143,
                IF(ISERROR(MATCH($A143,$A$15:OFFSET($A143,-1,0),0)),MAX($M$15:OFFSET(M143,-1,0))+1,
                      INDEX($M$15:OFFSET(M143,-1,0),MATCH($A143,$A$15:OFFSET($A143,-1,0),0)))))</f>
        <v>11</v>
      </c>
      <c r="N143" s="168" t="str">
        <f ca="1">IF($D143&lt;&gt;"Serviço","",
         IF(AUTOEVENTO="Manual",
                IF($A143=0,"&lt;-- defina o número do agrupador",
                       OFFSET(EVENTOS!$D$15,$A143-$A$15,0)),
                OFFSET($F$15,$A143,0)))</f>
        <v>INSTALAÇÕES HIDROSSANITÁRIAS</v>
      </c>
      <c r="O143" s="169"/>
      <c r="Q143" s="169"/>
      <c r="R143" s="170"/>
      <c r="S143" s="170"/>
      <c r="T143" s="170"/>
      <c r="U143" s="170"/>
      <c r="V143" s="170"/>
      <c r="W143" s="170"/>
      <c r="X143" s="170"/>
      <c r="Y143" s="170"/>
      <c r="Z143" s="171"/>
      <c r="AB143" s="454">
        <f ca="1">IF(AND($D143="Serviço",AB$12&lt;&gt;0,$H143&gt;0,OR(AUTOEVENTO&lt;&gt;"manual",$M143&lt;&gt;$A$15)),
        IF(Import.TipoArredondamento&lt;&gt;"TransfereGOV",
              ROUND(OFFSET($P143,0,AB$13),15-13*ORÇAMENTO!$AF$7)/$H143*OFFSET(ORÇAMENTO!$X$15,ROW(AB143)-ROW(AB$15),0),
              ROUND(ROUND(OFFSET($P143,0,AB$13),15-13*ORÇAMENTO!$AF$7)*OFFSET(ORÇAMENTO!$W$15,ROW(AB143)-ROW(AB$15),0),15-13*ORÇAMENTO!$AF$11)),
         0)</f>
        <v>0</v>
      </c>
      <c r="AC143" s="454">
        <f ca="1">IF(AND($D143="Serviço",AC$12&lt;&gt;0,$H143&gt;0,OR(AUTOEVENTO&lt;&gt;"manual",$M143&lt;&gt;$A$15)),
        IF(Import.TipoArredondamento&lt;&gt;"TransfereGOV",
              ROUND(OFFSET($P143,0,AC$13),15-13*ORÇAMENTO!$AF$7)/$H143*OFFSET(ORÇAMENTO!$X$15,ROW(AC143)-ROW(AC$15),0),
              ROUND(ROUND(OFFSET($P143,0,AC$13),15-13*ORÇAMENTO!$AF$7)*OFFSET(ORÇAMENTO!$W$15,ROW(AC143)-ROW(AC$15),0),15-13*ORÇAMENTO!$AF$11)),
         0)</f>
        <v>0</v>
      </c>
      <c r="AD143" s="454">
        <f ca="1">IF(AND($D143="Serviço",AD$12&lt;&gt;0,$H143&gt;0,OR(AUTOEVENTO&lt;&gt;"manual",$M143&lt;&gt;$A$15)),
        IF(Import.TipoArredondamento&lt;&gt;"TransfereGOV",
              ROUND(OFFSET($P143,0,AD$13),15-13*ORÇAMENTO!$AF$7)/$H143*OFFSET(ORÇAMENTO!$X$15,ROW(AD143)-ROW(AD$15),0),
              ROUND(ROUND(OFFSET($P143,0,AD$13),15-13*ORÇAMENTO!$AF$7)*OFFSET(ORÇAMENTO!$W$15,ROW(AD143)-ROW(AD$15),0),15-13*ORÇAMENTO!$AF$11)),
         0)</f>
        <v>0</v>
      </c>
      <c r="AE143" s="454">
        <f ca="1">IF(AND($D143="Serviço",AE$12&lt;&gt;0,$H143&gt;0,OR(AUTOEVENTO&lt;&gt;"manual",$M143&lt;&gt;$A$15)),
        IF(Import.TipoArredondamento&lt;&gt;"TransfereGOV",
              ROUND(OFFSET($P143,0,AE$13),15-13*ORÇAMENTO!$AF$7)/$H143*OFFSET(ORÇAMENTO!$X$15,ROW(AE143)-ROW(AE$15),0),
              ROUND(ROUND(OFFSET($P143,0,AE$13),15-13*ORÇAMENTO!$AF$7)*OFFSET(ORÇAMENTO!$W$15,ROW(AE143)-ROW(AE$15),0),15-13*ORÇAMENTO!$AF$11)),
         0)</f>
        <v>0</v>
      </c>
      <c r="AF143" s="454">
        <f ca="1">IF(AND($D143="Serviço",AF$12&lt;&gt;0,$H143&gt;0,OR(AUTOEVENTO&lt;&gt;"manual",$M143&lt;&gt;$A$15)),
        IF(Import.TipoArredondamento&lt;&gt;"TransfereGOV",
              ROUND(OFFSET($P143,0,AF$13),15-13*ORÇAMENTO!$AF$7)/$H143*OFFSET(ORÇAMENTO!$X$15,ROW(AF143)-ROW(AF$15),0),
              ROUND(ROUND(OFFSET($P143,0,AF$13),15-13*ORÇAMENTO!$AF$7)*OFFSET(ORÇAMENTO!$W$15,ROW(AF143)-ROW(AF$15),0),15-13*ORÇAMENTO!$AF$11)),
         0)</f>
        <v>0</v>
      </c>
      <c r="AG143" s="454">
        <f ca="1">IF(AND($D143="Serviço",AG$12&lt;&gt;0,$H143&gt;0,OR(AUTOEVENTO&lt;&gt;"manual",$M143&lt;&gt;$A$15)),
        IF(Import.TipoArredondamento&lt;&gt;"TransfereGOV",
              ROUND(OFFSET($P143,0,AG$13),15-13*ORÇAMENTO!$AF$7)/$H143*OFFSET(ORÇAMENTO!$X$15,ROW(AG143)-ROW(AG$15),0),
              ROUND(ROUND(OFFSET($P143,0,AG$13),15-13*ORÇAMENTO!$AF$7)*OFFSET(ORÇAMENTO!$W$15,ROW(AG143)-ROW(AG$15),0),15-13*ORÇAMENTO!$AF$11)),
         0)</f>
        <v>0</v>
      </c>
      <c r="AH143" s="454">
        <f ca="1">IF(AND($D143="Serviço",AH$12&lt;&gt;0,$H143&gt;0,OR(AUTOEVENTO&lt;&gt;"manual",$M143&lt;&gt;$A$15)),
        IF(Import.TipoArredondamento&lt;&gt;"TransfereGOV",
              ROUND(OFFSET($P143,0,AH$13),15-13*ORÇAMENTO!$AF$7)/$H143*OFFSET(ORÇAMENTO!$X$15,ROW(AH143)-ROW(AH$15),0),
              ROUND(ROUND(OFFSET($P143,0,AH$13),15-13*ORÇAMENTO!$AF$7)*OFFSET(ORÇAMENTO!$W$15,ROW(AH143)-ROW(AH$15),0),15-13*ORÇAMENTO!$AF$11)),
         0)</f>
        <v>0</v>
      </c>
      <c r="AI143" s="454">
        <f ca="1">IF(AND($D143="Serviço",AI$12&lt;&gt;0,$H143&gt;0,OR(AUTOEVENTO&lt;&gt;"manual",$M143&lt;&gt;$A$15)),
        IF(Import.TipoArredondamento&lt;&gt;"TransfereGOV",
              ROUND(OFFSET($P143,0,AI$13),15-13*ORÇAMENTO!$AF$7)/$H143*OFFSET(ORÇAMENTO!$X$15,ROW(AI143)-ROW(AI$15),0),
              ROUND(ROUND(OFFSET($P143,0,AI$13),15-13*ORÇAMENTO!$AF$7)*OFFSET(ORÇAMENTO!$W$15,ROW(AI143)-ROW(AI$15),0),15-13*ORÇAMENTO!$AF$11)),
         0)</f>
        <v>0</v>
      </c>
      <c r="AJ143" s="454">
        <f ca="1">IF(AND($D143="Serviço",AJ$12&lt;&gt;0,$H143&gt;0,OR(AUTOEVENTO&lt;&gt;"manual",$M143&lt;&gt;$A$15)),
        IF(Import.TipoArredondamento&lt;&gt;"TransfereGOV",
              ROUND(OFFSET($P143,0,AJ$13),15-13*ORÇAMENTO!$AF$7)/$H143*OFFSET(ORÇAMENTO!$X$15,ROW(AJ143)-ROW(AJ$15),0),
              ROUND(ROUND(OFFSET($P143,0,AJ$13),15-13*ORÇAMENTO!$AF$7)*OFFSET(ORÇAMENTO!$W$15,ROW(AJ143)-ROW(AJ$15),0),15-13*ORÇAMENTO!$AF$11)),
         0)</f>
        <v>0</v>
      </c>
      <c r="AK143" s="454">
        <f ca="1">IF(AND($D143="Serviço",AK$12&lt;&gt;0,$H143&gt;0,OR(AUTOEVENTO&lt;&gt;"manual",$M143&lt;&gt;$A$15)),
        IF(Import.TipoArredondamento&lt;&gt;"TransfereGOV",
              ROUND(OFFSET($P143,0,AK$13),15-13*ORÇAMENTO!$AF$7)/$H143*OFFSET(ORÇAMENTO!$X$15,ROW(AK143)-ROW(AK$15),0),
              ROUND(ROUND(OFFSET($P143,0,AK$13),15-13*ORÇAMENTO!$AF$7)*OFFSET(ORÇAMENTO!$W$15,ROW(AK143)-ROW(AK$15),0),15-13*ORÇAMENTO!$AF$11)),
         0)</f>
        <v>0</v>
      </c>
      <c r="AM143" s="172">
        <f ca="1">IF(OR($D143&lt;&gt;"Serviço",AND(AUTOEVENTO="Manual",$M143=$A$15)),0,
         IF(OFFSET(CRONOPLE!$F$15,$M143-$A$15,AM$13)="",10^12,OFFSET(CRONOPLE!$F$15,$M143-$A$15,AM$13)))</f>
        <v>1000000000000</v>
      </c>
      <c r="AN143" s="172">
        <f ca="1">IF(OR($D143&lt;&gt;"Serviço",AND(AUTOEVENTO="Manual",$M143=$A$15)),0,
         IF(OFFSET(CRONOPLE!$F$15,$M143-$A$15,AN$13)="",10^12,OFFSET(CRONOPLE!$F$15,$M143-$A$15,AN$13)))</f>
        <v>1000000000000</v>
      </c>
      <c r="AO143" s="172">
        <f ca="1">IF(OR($D143&lt;&gt;"Serviço",AND(AUTOEVENTO="Manual",$M143=$A$15)),0,
         IF(OFFSET(CRONOPLE!$F$15,$M143-$A$15,AO$13)="",10^12,OFFSET(CRONOPLE!$F$15,$M143-$A$15,AO$13)))</f>
        <v>1000000000000</v>
      </c>
      <c r="AP143" s="172">
        <f ca="1">IF(OR($D143&lt;&gt;"Serviço",AND(AUTOEVENTO="Manual",$M143=$A$15)),0,
         IF(OFFSET(CRONOPLE!$F$15,$M143-$A$15,AP$13)="",10^12,OFFSET(CRONOPLE!$F$15,$M143-$A$15,AP$13)))</f>
        <v>1000000000000</v>
      </c>
      <c r="AQ143" s="172">
        <f ca="1">IF(OR($D143&lt;&gt;"Serviço",AND(AUTOEVENTO="Manual",$M143=$A$15)),0,
         IF(OFFSET(CRONOPLE!$F$15,$M143-$A$15,AQ$13)="",10^12,OFFSET(CRONOPLE!$F$15,$M143-$A$15,AQ$13)))</f>
        <v>1000000000000</v>
      </c>
      <c r="AR143" s="172">
        <f ca="1">IF(OR($D143&lt;&gt;"Serviço",AND(AUTOEVENTO="Manual",$M143=$A$15)),0,
         IF(OFFSET(CRONOPLE!$F$15,$M143-$A$15,AR$13)="",10^12,OFFSET(CRONOPLE!$F$15,$M143-$A$15,AR$13)))</f>
        <v>1000000000000</v>
      </c>
      <c r="AS143" s="172">
        <f ca="1">IF(OR($D143&lt;&gt;"Serviço",AND(AUTOEVENTO="Manual",$M143=$A$15)),0,
         IF(OFFSET(CRONOPLE!$F$15,$M143-$A$15,AS$13)="",10^12,OFFSET(CRONOPLE!$F$15,$M143-$A$15,AS$13)))</f>
        <v>1000000000000</v>
      </c>
      <c r="AT143" s="172">
        <f ca="1">IF(OR($D143&lt;&gt;"Serviço",AND(AUTOEVENTO="Manual",$M143=$A$15)),0,
         IF(OFFSET(CRONOPLE!$F$15,$M143-$A$15,AT$13)="",10^12,OFFSET(CRONOPLE!$F$15,$M143-$A$15,AT$13)))</f>
        <v>1000000000000</v>
      </c>
      <c r="AU143" s="172">
        <f ca="1">IF(OR($D143&lt;&gt;"Serviço",AND(AUTOEVENTO="Manual",$M143=$A$15)),0,
         IF(OFFSET(CRONOPLE!$F$15,$M143-$A$15,AU$13)="",10^12,OFFSET(CRONOPLE!$F$15,$M143-$A$15,AU$13)))</f>
        <v>1000000000000</v>
      </c>
      <c r="AV143" s="172">
        <f ca="1">IF(OR($D143&lt;&gt;"Serviço",AND(AUTOEVENTO="Manual",$M143=$A$15)),0,
         IF(OFFSET(CRONOPLE!$F$15,$M143-$A$15,AV$13)="",10^12,OFFSET(CRONOPLE!$F$15,$M143-$A$15,AV$13)))</f>
        <v>1000000000000</v>
      </c>
      <c r="AX143" s="173">
        <f ca="1">IF(OR($D143&lt;&gt;"Serviço",AND(AUTOEVENTO="Manual",$M143=$A$15),$M143&gt;(ROW(PLE.lastrow)-ROW(PLE.firstrow))),0,
           IF(OFFSET(PLE!$G$15,$M143-$A$15,AX$13)="",10^12,OFFSET(PLE!$G$15,$M143-$A$15,AX$13)))</f>
        <v>1000000000000</v>
      </c>
      <c r="AY143" s="173">
        <f ca="1">IF(OR($D143&lt;&gt;"Serviço",AND(AUTOEVENTO="Manual",$M143=$A$15),$M143&gt;(ROW(PLE.lastrow)-ROW(PLE.firstrow))),0,
           IF(OFFSET(PLE!$G$15,$M143-$A$15,AY$13)="",10^12,OFFSET(PLE!$G$15,$M143-$A$15,AY$13)))</f>
        <v>1000000000000</v>
      </c>
      <c r="AZ143" s="173">
        <f ca="1">IF(OR($D143&lt;&gt;"Serviço",AND(AUTOEVENTO="Manual",$M143=$A$15),$M143&gt;(ROW(PLE.lastrow)-ROW(PLE.firstrow))),0,
           IF(OFFSET(PLE!$G$15,$M143-$A$15,AZ$13)="",10^12,OFFSET(PLE!$G$15,$M143-$A$15,AZ$13)))</f>
        <v>1000000000000</v>
      </c>
      <c r="BA143" s="173">
        <f ca="1">IF(OR($D143&lt;&gt;"Serviço",AND(AUTOEVENTO="Manual",$M143=$A$15),$M143&gt;(ROW(PLE.lastrow)-ROW(PLE.firstrow))),0,
           IF(OFFSET(PLE!$G$15,$M143-$A$15,BA$13)="",10^12,OFFSET(PLE!$G$15,$M143-$A$15,BA$13)))</f>
        <v>1000000000000</v>
      </c>
      <c r="BB143" s="173">
        <f ca="1">IF(OR($D143&lt;&gt;"Serviço",AND(AUTOEVENTO="Manual",$M143=$A$15),$M143&gt;(ROW(PLE.lastrow)-ROW(PLE.firstrow))),0,
           IF(OFFSET(PLE!$G$15,$M143-$A$15,BB$13)="",10^12,OFFSET(PLE!$G$15,$M143-$A$15,BB$13)))</f>
        <v>1000000000000</v>
      </c>
      <c r="BC143" s="173">
        <f ca="1">IF(OR($D143&lt;&gt;"Serviço",AND(AUTOEVENTO="Manual",$M143=$A$15),$M143&gt;(ROW(PLE.lastrow)-ROW(PLE.firstrow))),0,
           IF(OFFSET(PLE!$G$15,$M143-$A$15,BC$13)="",10^12,OFFSET(PLE!$G$15,$M143-$A$15,BC$13)))</f>
        <v>1000000000000</v>
      </c>
      <c r="BD143" s="173">
        <f ca="1">IF(OR($D143&lt;&gt;"Serviço",AND(AUTOEVENTO="Manual",$M143=$A$15),$M143&gt;(ROW(PLE.lastrow)-ROW(PLE.firstrow))),0,
           IF(OFFSET(PLE!$G$15,$M143-$A$15,BD$13)="",10^12,OFFSET(PLE!$G$15,$M143-$A$15,BD$13)))</f>
        <v>1000000000000</v>
      </c>
      <c r="BE143" s="173">
        <f ca="1">IF(OR($D143&lt;&gt;"Serviço",AND(AUTOEVENTO="Manual",$M143=$A$15),$M143&gt;(ROW(PLE.lastrow)-ROW(PLE.firstrow))),0,
           IF(OFFSET(PLE!$G$15,$M143-$A$15,BE$13)="",10^12,OFFSET(PLE!$G$15,$M143-$A$15,BE$13)))</f>
        <v>1000000000000</v>
      </c>
      <c r="BF143" s="173">
        <f ca="1">IF(OR($D143&lt;&gt;"Serviço",AND(AUTOEVENTO="Manual",$M143=$A$15),$M143&gt;(ROW(PLE.lastrow)-ROW(PLE.firstrow))),0,
           IF(OFFSET(PLE!$G$15,$M143-$A$15,BF$13)="",10^12,OFFSET(PLE!$G$15,$M143-$A$15,BF$13)))</f>
        <v>1000000000000</v>
      </c>
      <c r="BG143" s="173">
        <f ca="1">IF(OR($D143&lt;&gt;"Serviço",AND(AUTOEVENTO="Manual",$M143=$A$15),$M143&gt;(ROW(PLE.lastrow)-ROW(PLE.firstrow))),0,
           IF(OFFSET(PLE!$G$15,$M143-$A$15,BG$13)="",10^12,OFFSET(PLE!$G$15,$M143-$A$15,BG$13)))</f>
        <v>1000000000000</v>
      </c>
    </row>
    <row r="144" spans="1:59" ht="38.25" x14ac:dyDescent="0.2">
      <c r="A144" s="7" t="str">
        <f t="shared" ca="1" si="10"/>
        <v>114</v>
      </c>
      <c r="B144" s="7" t="str">
        <f ca="1">OFFSET(ORÇAMENTO!C$15,ROW(B144)-ROW(B$15),0)</f>
        <v>S</v>
      </c>
      <c r="C144" s="7" t="str">
        <f ca="1">OFFSET(ORÇAMENTO!L$15,ROW(C144)-ROW(C$15),0)</f>
        <v/>
      </c>
      <c r="D144" s="117" t="str">
        <f ca="1">OFFSET(ORÇAMENTO!N$15,ROW(D144)-ROW(D$15),0)</f>
        <v>Serviço</v>
      </c>
      <c r="E144" s="118" t="str">
        <f ca="1">OFFSET(ORÇAMENTO!O$15,ROW(E144)-ROW(E$15),0)</f>
        <v>-</v>
      </c>
      <c r="F144" s="164" t="str">
        <f ca="1">OFFSET(ORÇAMENTO!R$15,ROW(F144)-ROW(F$15),0)</f>
        <v>JOELHO 90 GRAUS, PVC, SERIE NORMAL, ESGOTO PREDIAL, DN 100 MM, JUNTA ELÁSTICA, FORNECIDO E INSTALADO EM RAMAL DE DESCARGA OU RAMAL DE ESGOTO SANITÁRIO. AF_08/2022</v>
      </c>
      <c r="G144" s="165" t="str">
        <f ca="1">IF($D144&lt;&gt;"Serviço","",OFFSET(ORÇAMENTO!S$15,ROW(G144)-ROW(G$15),0))</f>
        <v>UN</v>
      </c>
      <c r="H144" s="123">
        <f ca="1">IF($D144&lt;&gt;"Serviço",0,IF(ACOMPANHAMENTO="BM",ROUND(OFFSET(ORÇAMENTO!AJ$15,ROW(H144)-ROW(H$15),0),15-13*ORÇAMENTO!$AF$7),SUMPRODUCT(($Q$1:$AA$1=1)*ROUND($Q144:$AA144,15-13*ORÇAMENTO!$AF$7))))</f>
        <v>37</v>
      </c>
      <c r="I144" s="469"/>
      <c r="J144" s="577" t="str" cm="1">
        <f t="array" aca="1" ref="J144" ca="1">IF(B144&lt;&gt;"S","",IF(AND(ACOMPANHAMENTO="PLE",AUTOEVENTO="Manual",OR(H144&gt;0,ORÇAMENTO!AC144="QUANT."),OR(K144="",M144=0,N144="")),"►",IF(AND(ACOMPANHAMENTO="PLE",ORÇAMENTO!AC144="QUANT."),"►►",IF(AND(COUNTIF($P$11:$AA$11,"▼")=0,H144&gt;0,I144=""),"◄",""))))</f>
        <v>◄</v>
      </c>
      <c r="K144" s="626"/>
      <c r="L144" s="166" t="s">
        <v>765</v>
      </c>
      <c r="M144" s="167">
        <f ca="1">IF($D144&lt;&gt;"Serviço","",
          IF(AUTOEVENTO="manual",$A144,
                IF(ISERROR(MATCH($A144,$A$15:OFFSET($A144,-1,0),0)),MAX($M$15:OFFSET(M144,-1,0))+1,
                      INDEX($M$15:OFFSET(M144,-1,0),MATCH($A144,$A$15:OFFSET($A144,-1,0),0)))))</f>
        <v>11</v>
      </c>
      <c r="N144" s="168" t="str">
        <f ca="1">IF($D144&lt;&gt;"Serviço","",
         IF(AUTOEVENTO="Manual",
                IF($A144=0,"&lt;-- defina o número do agrupador",
                       OFFSET(EVENTOS!$D$15,$A144-$A$15,0)),
                OFFSET($F$15,$A144,0)))</f>
        <v>INSTALAÇÕES HIDROSSANITÁRIAS</v>
      </c>
      <c r="O144" s="169"/>
      <c r="Q144" s="169"/>
      <c r="R144" s="170"/>
      <c r="S144" s="170"/>
      <c r="T144" s="170"/>
      <c r="U144" s="170"/>
      <c r="V144" s="170"/>
      <c r="W144" s="170"/>
      <c r="X144" s="170"/>
      <c r="Y144" s="170"/>
      <c r="Z144" s="171"/>
      <c r="AB144" s="454">
        <f ca="1">IF(AND($D144="Serviço",AB$12&lt;&gt;0,$H144&gt;0,OR(AUTOEVENTO&lt;&gt;"manual",$M144&lt;&gt;$A$15)),
        IF(Import.TipoArredondamento&lt;&gt;"TransfereGOV",
              ROUND(OFFSET($P144,0,AB$13),15-13*ORÇAMENTO!$AF$7)/$H144*OFFSET(ORÇAMENTO!$X$15,ROW(AB144)-ROW(AB$15),0),
              ROUND(ROUND(OFFSET($P144,0,AB$13),15-13*ORÇAMENTO!$AF$7)*OFFSET(ORÇAMENTO!$W$15,ROW(AB144)-ROW(AB$15),0),15-13*ORÇAMENTO!$AF$11)),
         0)</f>
        <v>0</v>
      </c>
      <c r="AC144" s="454">
        <f ca="1">IF(AND($D144="Serviço",AC$12&lt;&gt;0,$H144&gt;0,OR(AUTOEVENTO&lt;&gt;"manual",$M144&lt;&gt;$A$15)),
        IF(Import.TipoArredondamento&lt;&gt;"TransfereGOV",
              ROUND(OFFSET($P144,0,AC$13),15-13*ORÇAMENTO!$AF$7)/$H144*OFFSET(ORÇAMENTO!$X$15,ROW(AC144)-ROW(AC$15),0),
              ROUND(ROUND(OFFSET($P144,0,AC$13),15-13*ORÇAMENTO!$AF$7)*OFFSET(ORÇAMENTO!$W$15,ROW(AC144)-ROW(AC$15),0),15-13*ORÇAMENTO!$AF$11)),
         0)</f>
        <v>0</v>
      </c>
      <c r="AD144" s="454">
        <f ca="1">IF(AND($D144="Serviço",AD$12&lt;&gt;0,$H144&gt;0,OR(AUTOEVENTO&lt;&gt;"manual",$M144&lt;&gt;$A$15)),
        IF(Import.TipoArredondamento&lt;&gt;"TransfereGOV",
              ROUND(OFFSET($P144,0,AD$13),15-13*ORÇAMENTO!$AF$7)/$H144*OFFSET(ORÇAMENTO!$X$15,ROW(AD144)-ROW(AD$15),0),
              ROUND(ROUND(OFFSET($P144,0,AD$13),15-13*ORÇAMENTO!$AF$7)*OFFSET(ORÇAMENTO!$W$15,ROW(AD144)-ROW(AD$15),0),15-13*ORÇAMENTO!$AF$11)),
         0)</f>
        <v>0</v>
      </c>
      <c r="AE144" s="454">
        <f ca="1">IF(AND($D144="Serviço",AE$12&lt;&gt;0,$H144&gt;0,OR(AUTOEVENTO&lt;&gt;"manual",$M144&lt;&gt;$A$15)),
        IF(Import.TipoArredondamento&lt;&gt;"TransfereGOV",
              ROUND(OFFSET($P144,0,AE$13),15-13*ORÇAMENTO!$AF$7)/$H144*OFFSET(ORÇAMENTO!$X$15,ROW(AE144)-ROW(AE$15),0),
              ROUND(ROUND(OFFSET($P144,0,AE$13),15-13*ORÇAMENTO!$AF$7)*OFFSET(ORÇAMENTO!$W$15,ROW(AE144)-ROW(AE$15),0),15-13*ORÇAMENTO!$AF$11)),
         0)</f>
        <v>0</v>
      </c>
      <c r="AF144" s="454">
        <f ca="1">IF(AND($D144="Serviço",AF$12&lt;&gt;0,$H144&gt;0,OR(AUTOEVENTO&lt;&gt;"manual",$M144&lt;&gt;$A$15)),
        IF(Import.TipoArredondamento&lt;&gt;"TransfereGOV",
              ROUND(OFFSET($P144,0,AF$13),15-13*ORÇAMENTO!$AF$7)/$H144*OFFSET(ORÇAMENTO!$X$15,ROW(AF144)-ROW(AF$15),0),
              ROUND(ROUND(OFFSET($P144,0,AF$13),15-13*ORÇAMENTO!$AF$7)*OFFSET(ORÇAMENTO!$W$15,ROW(AF144)-ROW(AF$15),0),15-13*ORÇAMENTO!$AF$11)),
         0)</f>
        <v>0</v>
      </c>
      <c r="AG144" s="454">
        <f ca="1">IF(AND($D144="Serviço",AG$12&lt;&gt;0,$H144&gt;0,OR(AUTOEVENTO&lt;&gt;"manual",$M144&lt;&gt;$A$15)),
        IF(Import.TipoArredondamento&lt;&gt;"TransfereGOV",
              ROUND(OFFSET($P144,0,AG$13),15-13*ORÇAMENTO!$AF$7)/$H144*OFFSET(ORÇAMENTO!$X$15,ROW(AG144)-ROW(AG$15),0),
              ROUND(ROUND(OFFSET($P144,0,AG$13),15-13*ORÇAMENTO!$AF$7)*OFFSET(ORÇAMENTO!$W$15,ROW(AG144)-ROW(AG$15),0),15-13*ORÇAMENTO!$AF$11)),
         0)</f>
        <v>0</v>
      </c>
      <c r="AH144" s="454">
        <f ca="1">IF(AND($D144="Serviço",AH$12&lt;&gt;0,$H144&gt;0,OR(AUTOEVENTO&lt;&gt;"manual",$M144&lt;&gt;$A$15)),
        IF(Import.TipoArredondamento&lt;&gt;"TransfereGOV",
              ROUND(OFFSET($P144,0,AH$13),15-13*ORÇAMENTO!$AF$7)/$H144*OFFSET(ORÇAMENTO!$X$15,ROW(AH144)-ROW(AH$15),0),
              ROUND(ROUND(OFFSET($P144,0,AH$13),15-13*ORÇAMENTO!$AF$7)*OFFSET(ORÇAMENTO!$W$15,ROW(AH144)-ROW(AH$15),0),15-13*ORÇAMENTO!$AF$11)),
         0)</f>
        <v>0</v>
      </c>
      <c r="AI144" s="454">
        <f ca="1">IF(AND($D144="Serviço",AI$12&lt;&gt;0,$H144&gt;0,OR(AUTOEVENTO&lt;&gt;"manual",$M144&lt;&gt;$A$15)),
        IF(Import.TipoArredondamento&lt;&gt;"TransfereGOV",
              ROUND(OFFSET($P144,0,AI$13),15-13*ORÇAMENTO!$AF$7)/$H144*OFFSET(ORÇAMENTO!$X$15,ROW(AI144)-ROW(AI$15),0),
              ROUND(ROUND(OFFSET($P144,0,AI$13),15-13*ORÇAMENTO!$AF$7)*OFFSET(ORÇAMENTO!$W$15,ROW(AI144)-ROW(AI$15),0),15-13*ORÇAMENTO!$AF$11)),
         0)</f>
        <v>0</v>
      </c>
      <c r="AJ144" s="454">
        <f ca="1">IF(AND($D144="Serviço",AJ$12&lt;&gt;0,$H144&gt;0,OR(AUTOEVENTO&lt;&gt;"manual",$M144&lt;&gt;$A$15)),
        IF(Import.TipoArredondamento&lt;&gt;"TransfereGOV",
              ROUND(OFFSET($P144,0,AJ$13),15-13*ORÇAMENTO!$AF$7)/$H144*OFFSET(ORÇAMENTO!$X$15,ROW(AJ144)-ROW(AJ$15),0),
              ROUND(ROUND(OFFSET($P144,0,AJ$13),15-13*ORÇAMENTO!$AF$7)*OFFSET(ORÇAMENTO!$W$15,ROW(AJ144)-ROW(AJ$15),0),15-13*ORÇAMENTO!$AF$11)),
         0)</f>
        <v>0</v>
      </c>
      <c r="AK144" s="454">
        <f ca="1">IF(AND($D144="Serviço",AK$12&lt;&gt;0,$H144&gt;0,OR(AUTOEVENTO&lt;&gt;"manual",$M144&lt;&gt;$A$15)),
        IF(Import.TipoArredondamento&lt;&gt;"TransfereGOV",
              ROUND(OFFSET($P144,0,AK$13),15-13*ORÇAMENTO!$AF$7)/$H144*OFFSET(ORÇAMENTO!$X$15,ROW(AK144)-ROW(AK$15),0),
              ROUND(ROUND(OFFSET($P144,0,AK$13),15-13*ORÇAMENTO!$AF$7)*OFFSET(ORÇAMENTO!$W$15,ROW(AK144)-ROW(AK$15),0),15-13*ORÇAMENTO!$AF$11)),
         0)</f>
        <v>0</v>
      </c>
      <c r="AM144" s="172">
        <f ca="1">IF(OR($D144&lt;&gt;"Serviço",AND(AUTOEVENTO="Manual",$M144=$A$15)),0,
         IF(OFFSET(CRONOPLE!$F$15,$M144-$A$15,AM$13)="",10^12,OFFSET(CRONOPLE!$F$15,$M144-$A$15,AM$13)))</f>
        <v>1000000000000</v>
      </c>
      <c r="AN144" s="172">
        <f ca="1">IF(OR($D144&lt;&gt;"Serviço",AND(AUTOEVENTO="Manual",$M144=$A$15)),0,
         IF(OFFSET(CRONOPLE!$F$15,$M144-$A$15,AN$13)="",10^12,OFFSET(CRONOPLE!$F$15,$M144-$A$15,AN$13)))</f>
        <v>1000000000000</v>
      </c>
      <c r="AO144" s="172">
        <f ca="1">IF(OR($D144&lt;&gt;"Serviço",AND(AUTOEVENTO="Manual",$M144=$A$15)),0,
         IF(OFFSET(CRONOPLE!$F$15,$M144-$A$15,AO$13)="",10^12,OFFSET(CRONOPLE!$F$15,$M144-$A$15,AO$13)))</f>
        <v>1000000000000</v>
      </c>
      <c r="AP144" s="172">
        <f ca="1">IF(OR($D144&lt;&gt;"Serviço",AND(AUTOEVENTO="Manual",$M144=$A$15)),0,
         IF(OFFSET(CRONOPLE!$F$15,$M144-$A$15,AP$13)="",10^12,OFFSET(CRONOPLE!$F$15,$M144-$A$15,AP$13)))</f>
        <v>1000000000000</v>
      </c>
      <c r="AQ144" s="172">
        <f ca="1">IF(OR($D144&lt;&gt;"Serviço",AND(AUTOEVENTO="Manual",$M144=$A$15)),0,
         IF(OFFSET(CRONOPLE!$F$15,$M144-$A$15,AQ$13)="",10^12,OFFSET(CRONOPLE!$F$15,$M144-$A$15,AQ$13)))</f>
        <v>1000000000000</v>
      </c>
      <c r="AR144" s="172">
        <f ca="1">IF(OR($D144&lt;&gt;"Serviço",AND(AUTOEVENTO="Manual",$M144=$A$15)),0,
         IF(OFFSET(CRONOPLE!$F$15,$M144-$A$15,AR$13)="",10^12,OFFSET(CRONOPLE!$F$15,$M144-$A$15,AR$13)))</f>
        <v>1000000000000</v>
      </c>
      <c r="AS144" s="172">
        <f ca="1">IF(OR($D144&lt;&gt;"Serviço",AND(AUTOEVENTO="Manual",$M144=$A$15)),0,
         IF(OFFSET(CRONOPLE!$F$15,$M144-$A$15,AS$13)="",10^12,OFFSET(CRONOPLE!$F$15,$M144-$A$15,AS$13)))</f>
        <v>1000000000000</v>
      </c>
      <c r="AT144" s="172">
        <f ca="1">IF(OR($D144&lt;&gt;"Serviço",AND(AUTOEVENTO="Manual",$M144=$A$15)),0,
         IF(OFFSET(CRONOPLE!$F$15,$M144-$A$15,AT$13)="",10^12,OFFSET(CRONOPLE!$F$15,$M144-$A$15,AT$13)))</f>
        <v>1000000000000</v>
      </c>
      <c r="AU144" s="172">
        <f ca="1">IF(OR($D144&lt;&gt;"Serviço",AND(AUTOEVENTO="Manual",$M144=$A$15)),0,
         IF(OFFSET(CRONOPLE!$F$15,$M144-$A$15,AU$13)="",10^12,OFFSET(CRONOPLE!$F$15,$M144-$A$15,AU$13)))</f>
        <v>1000000000000</v>
      </c>
      <c r="AV144" s="172">
        <f ca="1">IF(OR($D144&lt;&gt;"Serviço",AND(AUTOEVENTO="Manual",$M144=$A$15)),0,
         IF(OFFSET(CRONOPLE!$F$15,$M144-$A$15,AV$13)="",10^12,OFFSET(CRONOPLE!$F$15,$M144-$A$15,AV$13)))</f>
        <v>1000000000000</v>
      </c>
      <c r="AX144" s="173">
        <f ca="1">IF(OR($D144&lt;&gt;"Serviço",AND(AUTOEVENTO="Manual",$M144=$A$15),$M144&gt;(ROW(PLE.lastrow)-ROW(PLE.firstrow))),0,
           IF(OFFSET(PLE!$G$15,$M144-$A$15,AX$13)="",10^12,OFFSET(PLE!$G$15,$M144-$A$15,AX$13)))</f>
        <v>1000000000000</v>
      </c>
      <c r="AY144" s="173">
        <f ca="1">IF(OR($D144&lt;&gt;"Serviço",AND(AUTOEVENTO="Manual",$M144=$A$15),$M144&gt;(ROW(PLE.lastrow)-ROW(PLE.firstrow))),0,
           IF(OFFSET(PLE!$G$15,$M144-$A$15,AY$13)="",10^12,OFFSET(PLE!$G$15,$M144-$A$15,AY$13)))</f>
        <v>1000000000000</v>
      </c>
      <c r="AZ144" s="173">
        <f ca="1">IF(OR($D144&lt;&gt;"Serviço",AND(AUTOEVENTO="Manual",$M144=$A$15),$M144&gt;(ROW(PLE.lastrow)-ROW(PLE.firstrow))),0,
           IF(OFFSET(PLE!$G$15,$M144-$A$15,AZ$13)="",10^12,OFFSET(PLE!$G$15,$M144-$A$15,AZ$13)))</f>
        <v>1000000000000</v>
      </c>
      <c r="BA144" s="173">
        <f ca="1">IF(OR($D144&lt;&gt;"Serviço",AND(AUTOEVENTO="Manual",$M144=$A$15),$M144&gt;(ROW(PLE.lastrow)-ROW(PLE.firstrow))),0,
           IF(OFFSET(PLE!$G$15,$M144-$A$15,BA$13)="",10^12,OFFSET(PLE!$G$15,$M144-$A$15,BA$13)))</f>
        <v>1000000000000</v>
      </c>
      <c r="BB144" s="173">
        <f ca="1">IF(OR($D144&lt;&gt;"Serviço",AND(AUTOEVENTO="Manual",$M144=$A$15),$M144&gt;(ROW(PLE.lastrow)-ROW(PLE.firstrow))),0,
           IF(OFFSET(PLE!$G$15,$M144-$A$15,BB$13)="",10^12,OFFSET(PLE!$G$15,$M144-$A$15,BB$13)))</f>
        <v>1000000000000</v>
      </c>
      <c r="BC144" s="173">
        <f ca="1">IF(OR($D144&lt;&gt;"Serviço",AND(AUTOEVENTO="Manual",$M144=$A$15),$M144&gt;(ROW(PLE.lastrow)-ROW(PLE.firstrow))),0,
           IF(OFFSET(PLE!$G$15,$M144-$A$15,BC$13)="",10^12,OFFSET(PLE!$G$15,$M144-$A$15,BC$13)))</f>
        <v>1000000000000</v>
      </c>
      <c r="BD144" s="173">
        <f ca="1">IF(OR($D144&lt;&gt;"Serviço",AND(AUTOEVENTO="Manual",$M144=$A$15),$M144&gt;(ROW(PLE.lastrow)-ROW(PLE.firstrow))),0,
           IF(OFFSET(PLE!$G$15,$M144-$A$15,BD$13)="",10^12,OFFSET(PLE!$G$15,$M144-$A$15,BD$13)))</f>
        <v>1000000000000</v>
      </c>
      <c r="BE144" s="173">
        <f ca="1">IF(OR($D144&lt;&gt;"Serviço",AND(AUTOEVENTO="Manual",$M144=$A$15),$M144&gt;(ROW(PLE.lastrow)-ROW(PLE.firstrow))),0,
           IF(OFFSET(PLE!$G$15,$M144-$A$15,BE$13)="",10^12,OFFSET(PLE!$G$15,$M144-$A$15,BE$13)))</f>
        <v>1000000000000</v>
      </c>
      <c r="BF144" s="173">
        <f ca="1">IF(OR($D144&lt;&gt;"Serviço",AND(AUTOEVENTO="Manual",$M144=$A$15),$M144&gt;(ROW(PLE.lastrow)-ROW(PLE.firstrow))),0,
           IF(OFFSET(PLE!$G$15,$M144-$A$15,BF$13)="",10^12,OFFSET(PLE!$G$15,$M144-$A$15,BF$13)))</f>
        <v>1000000000000</v>
      </c>
      <c r="BG144" s="173">
        <f ca="1">IF(OR($D144&lt;&gt;"Serviço",AND(AUTOEVENTO="Manual",$M144=$A$15),$M144&gt;(ROW(PLE.lastrow)-ROW(PLE.firstrow))),0,
           IF(OFFSET(PLE!$G$15,$M144-$A$15,BG$13)="",10^12,OFFSET(PLE!$G$15,$M144-$A$15,BG$13)))</f>
        <v>1000000000000</v>
      </c>
    </row>
    <row r="145" spans="1:59" ht="38.25" x14ac:dyDescent="0.2">
      <c r="A145" s="7" t="str">
        <f t="shared" ca="1" si="10"/>
        <v>114</v>
      </c>
      <c r="B145" s="7" t="str">
        <f ca="1">OFFSET(ORÇAMENTO!C$15,ROW(B145)-ROW(B$15),0)</f>
        <v>S</v>
      </c>
      <c r="C145" s="7" t="str">
        <f ca="1">OFFSET(ORÇAMENTO!L$15,ROW(C145)-ROW(C$15),0)</f>
        <v/>
      </c>
      <c r="D145" s="117" t="str">
        <f ca="1">OFFSET(ORÇAMENTO!N$15,ROW(D145)-ROW(D$15),0)</f>
        <v>Serviço</v>
      </c>
      <c r="E145" s="118" t="str">
        <f ca="1">OFFSET(ORÇAMENTO!O$15,ROW(E145)-ROW(E$15),0)</f>
        <v>-</v>
      </c>
      <c r="F145" s="164" t="str">
        <f ca="1">OFFSET(ORÇAMENTO!R$15,ROW(F145)-ROW(F$15),0)</f>
        <v>JOELHO 90 GRAUS, PVC, SERIE NORMAL, ESGOTO PREDIAL, DN 40 MM, JUNTA SOLDÁVEL, FORNECIDO E INSTALADO EM RAMAL DE DESCARGA OU RAMAL DE ESGOTO SANITÁRIO. AF_08/2022</v>
      </c>
      <c r="G145" s="165" t="str">
        <f ca="1">IF($D145&lt;&gt;"Serviço","",OFFSET(ORÇAMENTO!S$15,ROW(G145)-ROW(G$15),0))</f>
        <v>UN</v>
      </c>
      <c r="H145" s="123">
        <f ca="1">IF($D145&lt;&gt;"Serviço",0,IF(ACOMPANHAMENTO="BM",ROUND(OFFSET(ORÇAMENTO!AJ$15,ROW(H145)-ROW(H$15),0),15-13*ORÇAMENTO!$AF$7),SUMPRODUCT(($Q$1:$AA$1=1)*ROUND($Q145:$AA145,15-13*ORÇAMENTO!$AF$7))))</f>
        <v>8</v>
      </c>
      <c r="I145" s="469"/>
      <c r="J145" s="577" t="str" cm="1">
        <f t="array" aca="1" ref="J145" ca="1">IF(B145&lt;&gt;"S","",IF(AND(ACOMPANHAMENTO="PLE",AUTOEVENTO="Manual",OR(H145&gt;0,ORÇAMENTO!AC145="QUANT."),OR(K145="",M145=0,N145="")),"►",IF(AND(ACOMPANHAMENTO="PLE",ORÇAMENTO!AC145="QUANT."),"►►",IF(AND(COUNTIF($P$11:$AA$11,"▼")=0,H145&gt;0,I145=""),"◄",""))))</f>
        <v>◄</v>
      </c>
      <c r="K145" s="626"/>
      <c r="L145" s="166" t="s">
        <v>765</v>
      </c>
      <c r="M145" s="167">
        <f ca="1">IF($D145&lt;&gt;"Serviço","",
          IF(AUTOEVENTO="manual",$A145,
                IF(ISERROR(MATCH($A145,$A$15:OFFSET($A145,-1,0),0)),MAX($M$15:OFFSET(M145,-1,0))+1,
                      INDEX($M$15:OFFSET(M145,-1,0),MATCH($A145,$A$15:OFFSET($A145,-1,0),0)))))</f>
        <v>11</v>
      </c>
      <c r="N145" s="168" t="str">
        <f ca="1">IF($D145&lt;&gt;"Serviço","",
         IF(AUTOEVENTO="Manual",
                IF($A145=0,"&lt;-- defina o número do agrupador",
                       OFFSET(EVENTOS!$D$15,$A145-$A$15,0)),
                OFFSET($F$15,$A145,0)))</f>
        <v>INSTALAÇÕES HIDROSSANITÁRIAS</v>
      </c>
      <c r="O145" s="169"/>
      <c r="Q145" s="169"/>
      <c r="R145" s="170"/>
      <c r="S145" s="170"/>
      <c r="T145" s="170"/>
      <c r="U145" s="170"/>
      <c r="V145" s="170"/>
      <c r="W145" s="170"/>
      <c r="X145" s="170"/>
      <c r="Y145" s="170"/>
      <c r="Z145" s="171"/>
      <c r="AB145" s="454">
        <f ca="1">IF(AND($D145="Serviço",AB$12&lt;&gt;0,$H145&gt;0,OR(AUTOEVENTO&lt;&gt;"manual",$M145&lt;&gt;$A$15)),
        IF(Import.TipoArredondamento&lt;&gt;"TransfereGOV",
              ROUND(OFFSET($P145,0,AB$13),15-13*ORÇAMENTO!$AF$7)/$H145*OFFSET(ORÇAMENTO!$X$15,ROW(AB145)-ROW(AB$15),0),
              ROUND(ROUND(OFFSET($P145,0,AB$13),15-13*ORÇAMENTO!$AF$7)*OFFSET(ORÇAMENTO!$W$15,ROW(AB145)-ROW(AB$15),0),15-13*ORÇAMENTO!$AF$11)),
         0)</f>
        <v>0</v>
      </c>
      <c r="AC145" s="454">
        <f ca="1">IF(AND($D145="Serviço",AC$12&lt;&gt;0,$H145&gt;0,OR(AUTOEVENTO&lt;&gt;"manual",$M145&lt;&gt;$A$15)),
        IF(Import.TipoArredondamento&lt;&gt;"TransfereGOV",
              ROUND(OFFSET($P145,0,AC$13),15-13*ORÇAMENTO!$AF$7)/$H145*OFFSET(ORÇAMENTO!$X$15,ROW(AC145)-ROW(AC$15),0),
              ROUND(ROUND(OFFSET($P145,0,AC$13),15-13*ORÇAMENTO!$AF$7)*OFFSET(ORÇAMENTO!$W$15,ROW(AC145)-ROW(AC$15),0),15-13*ORÇAMENTO!$AF$11)),
         0)</f>
        <v>0</v>
      </c>
      <c r="AD145" s="454">
        <f ca="1">IF(AND($D145="Serviço",AD$12&lt;&gt;0,$H145&gt;0,OR(AUTOEVENTO&lt;&gt;"manual",$M145&lt;&gt;$A$15)),
        IF(Import.TipoArredondamento&lt;&gt;"TransfereGOV",
              ROUND(OFFSET($P145,0,AD$13),15-13*ORÇAMENTO!$AF$7)/$H145*OFFSET(ORÇAMENTO!$X$15,ROW(AD145)-ROW(AD$15),0),
              ROUND(ROUND(OFFSET($P145,0,AD$13),15-13*ORÇAMENTO!$AF$7)*OFFSET(ORÇAMENTO!$W$15,ROW(AD145)-ROW(AD$15),0),15-13*ORÇAMENTO!$AF$11)),
         0)</f>
        <v>0</v>
      </c>
      <c r="AE145" s="454">
        <f ca="1">IF(AND($D145="Serviço",AE$12&lt;&gt;0,$H145&gt;0,OR(AUTOEVENTO&lt;&gt;"manual",$M145&lt;&gt;$A$15)),
        IF(Import.TipoArredondamento&lt;&gt;"TransfereGOV",
              ROUND(OFFSET($P145,0,AE$13),15-13*ORÇAMENTO!$AF$7)/$H145*OFFSET(ORÇAMENTO!$X$15,ROW(AE145)-ROW(AE$15),0),
              ROUND(ROUND(OFFSET($P145,0,AE$13),15-13*ORÇAMENTO!$AF$7)*OFFSET(ORÇAMENTO!$W$15,ROW(AE145)-ROW(AE$15),0),15-13*ORÇAMENTO!$AF$11)),
         0)</f>
        <v>0</v>
      </c>
      <c r="AF145" s="454">
        <f ca="1">IF(AND($D145="Serviço",AF$12&lt;&gt;0,$H145&gt;0,OR(AUTOEVENTO&lt;&gt;"manual",$M145&lt;&gt;$A$15)),
        IF(Import.TipoArredondamento&lt;&gt;"TransfereGOV",
              ROUND(OFFSET($P145,0,AF$13),15-13*ORÇAMENTO!$AF$7)/$H145*OFFSET(ORÇAMENTO!$X$15,ROW(AF145)-ROW(AF$15),0),
              ROUND(ROUND(OFFSET($P145,0,AF$13),15-13*ORÇAMENTO!$AF$7)*OFFSET(ORÇAMENTO!$W$15,ROW(AF145)-ROW(AF$15),0),15-13*ORÇAMENTO!$AF$11)),
         0)</f>
        <v>0</v>
      </c>
      <c r="AG145" s="454">
        <f ca="1">IF(AND($D145="Serviço",AG$12&lt;&gt;0,$H145&gt;0,OR(AUTOEVENTO&lt;&gt;"manual",$M145&lt;&gt;$A$15)),
        IF(Import.TipoArredondamento&lt;&gt;"TransfereGOV",
              ROUND(OFFSET($P145,0,AG$13),15-13*ORÇAMENTO!$AF$7)/$H145*OFFSET(ORÇAMENTO!$X$15,ROW(AG145)-ROW(AG$15),0),
              ROUND(ROUND(OFFSET($P145,0,AG$13),15-13*ORÇAMENTO!$AF$7)*OFFSET(ORÇAMENTO!$W$15,ROW(AG145)-ROW(AG$15),0),15-13*ORÇAMENTO!$AF$11)),
         0)</f>
        <v>0</v>
      </c>
      <c r="AH145" s="454">
        <f ca="1">IF(AND($D145="Serviço",AH$12&lt;&gt;0,$H145&gt;0,OR(AUTOEVENTO&lt;&gt;"manual",$M145&lt;&gt;$A$15)),
        IF(Import.TipoArredondamento&lt;&gt;"TransfereGOV",
              ROUND(OFFSET($P145,0,AH$13),15-13*ORÇAMENTO!$AF$7)/$H145*OFFSET(ORÇAMENTO!$X$15,ROW(AH145)-ROW(AH$15),0),
              ROUND(ROUND(OFFSET($P145,0,AH$13),15-13*ORÇAMENTO!$AF$7)*OFFSET(ORÇAMENTO!$W$15,ROW(AH145)-ROW(AH$15),0),15-13*ORÇAMENTO!$AF$11)),
         0)</f>
        <v>0</v>
      </c>
      <c r="AI145" s="454">
        <f ca="1">IF(AND($D145="Serviço",AI$12&lt;&gt;0,$H145&gt;0,OR(AUTOEVENTO&lt;&gt;"manual",$M145&lt;&gt;$A$15)),
        IF(Import.TipoArredondamento&lt;&gt;"TransfereGOV",
              ROUND(OFFSET($P145,0,AI$13),15-13*ORÇAMENTO!$AF$7)/$H145*OFFSET(ORÇAMENTO!$X$15,ROW(AI145)-ROW(AI$15),0),
              ROUND(ROUND(OFFSET($P145,0,AI$13),15-13*ORÇAMENTO!$AF$7)*OFFSET(ORÇAMENTO!$W$15,ROW(AI145)-ROW(AI$15),0),15-13*ORÇAMENTO!$AF$11)),
         0)</f>
        <v>0</v>
      </c>
      <c r="AJ145" s="454">
        <f ca="1">IF(AND($D145="Serviço",AJ$12&lt;&gt;0,$H145&gt;0,OR(AUTOEVENTO&lt;&gt;"manual",$M145&lt;&gt;$A$15)),
        IF(Import.TipoArredondamento&lt;&gt;"TransfereGOV",
              ROUND(OFFSET($P145,0,AJ$13),15-13*ORÇAMENTO!$AF$7)/$H145*OFFSET(ORÇAMENTO!$X$15,ROW(AJ145)-ROW(AJ$15),0),
              ROUND(ROUND(OFFSET($P145,0,AJ$13),15-13*ORÇAMENTO!$AF$7)*OFFSET(ORÇAMENTO!$W$15,ROW(AJ145)-ROW(AJ$15),0),15-13*ORÇAMENTO!$AF$11)),
         0)</f>
        <v>0</v>
      </c>
      <c r="AK145" s="454">
        <f ca="1">IF(AND($D145="Serviço",AK$12&lt;&gt;0,$H145&gt;0,OR(AUTOEVENTO&lt;&gt;"manual",$M145&lt;&gt;$A$15)),
        IF(Import.TipoArredondamento&lt;&gt;"TransfereGOV",
              ROUND(OFFSET($P145,0,AK$13),15-13*ORÇAMENTO!$AF$7)/$H145*OFFSET(ORÇAMENTO!$X$15,ROW(AK145)-ROW(AK$15),0),
              ROUND(ROUND(OFFSET($P145,0,AK$13),15-13*ORÇAMENTO!$AF$7)*OFFSET(ORÇAMENTO!$W$15,ROW(AK145)-ROW(AK$15),0),15-13*ORÇAMENTO!$AF$11)),
         0)</f>
        <v>0</v>
      </c>
      <c r="AM145" s="172">
        <f ca="1">IF(OR($D145&lt;&gt;"Serviço",AND(AUTOEVENTO="Manual",$M145=$A$15)),0,
         IF(OFFSET(CRONOPLE!$F$15,$M145-$A$15,AM$13)="",10^12,OFFSET(CRONOPLE!$F$15,$M145-$A$15,AM$13)))</f>
        <v>1000000000000</v>
      </c>
      <c r="AN145" s="172">
        <f ca="1">IF(OR($D145&lt;&gt;"Serviço",AND(AUTOEVENTO="Manual",$M145=$A$15)),0,
         IF(OFFSET(CRONOPLE!$F$15,$M145-$A$15,AN$13)="",10^12,OFFSET(CRONOPLE!$F$15,$M145-$A$15,AN$13)))</f>
        <v>1000000000000</v>
      </c>
      <c r="AO145" s="172">
        <f ca="1">IF(OR($D145&lt;&gt;"Serviço",AND(AUTOEVENTO="Manual",$M145=$A$15)),0,
         IF(OFFSET(CRONOPLE!$F$15,$M145-$A$15,AO$13)="",10^12,OFFSET(CRONOPLE!$F$15,$M145-$A$15,AO$13)))</f>
        <v>1000000000000</v>
      </c>
      <c r="AP145" s="172">
        <f ca="1">IF(OR($D145&lt;&gt;"Serviço",AND(AUTOEVENTO="Manual",$M145=$A$15)),0,
         IF(OFFSET(CRONOPLE!$F$15,$M145-$A$15,AP$13)="",10^12,OFFSET(CRONOPLE!$F$15,$M145-$A$15,AP$13)))</f>
        <v>1000000000000</v>
      </c>
      <c r="AQ145" s="172">
        <f ca="1">IF(OR($D145&lt;&gt;"Serviço",AND(AUTOEVENTO="Manual",$M145=$A$15)),0,
         IF(OFFSET(CRONOPLE!$F$15,$M145-$A$15,AQ$13)="",10^12,OFFSET(CRONOPLE!$F$15,$M145-$A$15,AQ$13)))</f>
        <v>1000000000000</v>
      </c>
      <c r="AR145" s="172">
        <f ca="1">IF(OR($D145&lt;&gt;"Serviço",AND(AUTOEVENTO="Manual",$M145=$A$15)),0,
         IF(OFFSET(CRONOPLE!$F$15,$M145-$A$15,AR$13)="",10^12,OFFSET(CRONOPLE!$F$15,$M145-$A$15,AR$13)))</f>
        <v>1000000000000</v>
      </c>
      <c r="AS145" s="172">
        <f ca="1">IF(OR($D145&lt;&gt;"Serviço",AND(AUTOEVENTO="Manual",$M145=$A$15)),0,
         IF(OFFSET(CRONOPLE!$F$15,$M145-$A$15,AS$13)="",10^12,OFFSET(CRONOPLE!$F$15,$M145-$A$15,AS$13)))</f>
        <v>1000000000000</v>
      </c>
      <c r="AT145" s="172">
        <f ca="1">IF(OR($D145&lt;&gt;"Serviço",AND(AUTOEVENTO="Manual",$M145=$A$15)),0,
         IF(OFFSET(CRONOPLE!$F$15,$M145-$A$15,AT$13)="",10^12,OFFSET(CRONOPLE!$F$15,$M145-$A$15,AT$13)))</f>
        <v>1000000000000</v>
      </c>
      <c r="AU145" s="172">
        <f ca="1">IF(OR($D145&lt;&gt;"Serviço",AND(AUTOEVENTO="Manual",$M145=$A$15)),0,
         IF(OFFSET(CRONOPLE!$F$15,$M145-$A$15,AU$13)="",10^12,OFFSET(CRONOPLE!$F$15,$M145-$A$15,AU$13)))</f>
        <v>1000000000000</v>
      </c>
      <c r="AV145" s="172">
        <f ca="1">IF(OR($D145&lt;&gt;"Serviço",AND(AUTOEVENTO="Manual",$M145=$A$15)),0,
         IF(OFFSET(CRONOPLE!$F$15,$M145-$A$15,AV$13)="",10^12,OFFSET(CRONOPLE!$F$15,$M145-$A$15,AV$13)))</f>
        <v>1000000000000</v>
      </c>
      <c r="AX145" s="173">
        <f ca="1">IF(OR($D145&lt;&gt;"Serviço",AND(AUTOEVENTO="Manual",$M145=$A$15),$M145&gt;(ROW(PLE.lastrow)-ROW(PLE.firstrow))),0,
           IF(OFFSET(PLE!$G$15,$M145-$A$15,AX$13)="",10^12,OFFSET(PLE!$G$15,$M145-$A$15,AX$13)))</f>
        <v>1000000000000</v>
      </c>
      <c r="AY145" s="173">
        <f ca="1">IF(OR($D145&lt;&gt;"Serviço",AND(AUTOEVENTO="Manual",$M145=$A$15),$M145&gt;(ROW(PLE.lastrow)-ROW(PLE.firstrow))),0,
           IF(OFFSET(PLE!$G$15,$M145-$A$15,AY$13)="",10^12,OFFSET(PLE!$G$15,$M145-$A$15,AY$13)))</f>
        <v>1000000000000</v>
      </c>
      <c r="AZ145" s="173">
        <f ca="1">IF(OR($D145&lt;&gt;"Serviço",AND(AUTOEVENTO="Manual",$M145=$A$15),$M145&gt;(ROW(PLE.lastrow)-ROW(PLE.firstrow))),0,
           IF(OFFSET(PLE!$G$15,$M145-$A$15,AZ$13)="",10^12,OFFSET(PLE!$G$15,$M145-$A$15,AZ$13)))</f>
        <v>1000000000000</v>
      </c>
      <c r="BA145" s="173">
        <f ca="1">IF(OR($D145&lt;&gt;"Serviço",AND(AUTOEVENTO="Manual",$M145=$A$15),$M145&gt;(ROW(PLE.lastrow)-ROW(PLE.firstrow))),0,
           IF(OFFSET(PLE!$G$15,$M145-$A$15,BA$13)="",10^12,OFFSET(PLE!$G$15,$M145-$A$15,BA$13)))</f>
        <v>1000000000000</v>
      </c>
      <c r="BB145" s="173">
        <f ca="1">IF(OR($D145&lt;&gt;"Serviço",AND(AUTOEVENTO="Manual",$M145=$A$15),$M145&gt;(ROW(PLE.lastrow)-ROW(PLE.firstrow))),0,
           IF(OFFSET(PLE!$G$15,$M145-$A$15,BB$13)="",10^12,OFFSET(PLE!$G$15,$M145-$A$15,BB$13)))</f>
        <v>1000000000000</v>
      </c>
      <c r="BC145" s="173">
        <f ca="1">IF(OR($D145&lt;&gt;"Serviço",AND(AUTOEVENTO="Manual",$M145=$A$15),$M145&gt;(ROW(PLE.lastrow)-ROW(PLE.firstrow))),0,
           IF(OFFSET(PLE!$G$15,$M145-$A$15,BC$13)="",10^12,OFFSET(PLE!$G$15,$M145-$A$15,BC$13)))</f>
        <v>1000000000000</v>
      </c>
      <c r="BD145" s="173">
        <f ca="1">IF(OR($D145&lt;&gt;"Serviço",AND(AUTOEVENTO="Manual",$M145=$A$15),$M145&gt;(ROW(PLE.lastrow)-ROW(PLE.firstrow))),0,
           IF(OFFSET(PLE!$G$15,$M145-$A$15,BD$13)="",10^12,OFFSET(PLE!$G$15,$M145-$A$15,BD$13)))</f>
        <v>1000000000000</v>
      </c>
      <c r="BE145" s="173">
        <f ca="1">IF(OR($D145&lt;&gt;"Serviço",AND(AUTOEVENTO="Manual",$M145=$A$15),$M145&gt;(ROW(PLE.lastrow)-ROW(PLE.firstrow))),0,
           IF(OFFSET(PLE!$G$15,$M145-$A$15,BE$13)="",10^12,OFFSET(PLE!$G$15,$M145-$A$15,BE$13)))</f>
        <v>1000000000000</v>
      </c>
      <c r="BF145" s="173">
        <f ca="1">IF(OR($D145&lt;&gt;"Serviço",AND(AUTOEVENTO="Manual",$M145=$A$15),$M145&gt;(ROW(PLE.lastrow)-ROW(PLE.firstrow))),0,
           IF(OFFSET(PLE!$G$15,$M145-$A$15,BF$13)="",10^12,OFFSET(PLE!$G$15,$M145-$A$15,BF$13)))</f>
        <v>1000000000000</v>
      </c>
      <c r="BG145" s="173">
        <f ca="1">IF(OR($D145&lt;&gt;"Serviço",AND(AUTOEVENTO="Manual",$M145=$A$15),$M145&gt;(ROW(PLE.lastrow)-ROW(PLE.firstrow))),0,
           IF(OFFSET(PLE!$G$15,$M145-$A$15,BG$13)="",10^12,OFFSET(PLE!$G$15,$M145-$A$15,BG$13)))</f>
        <v>1000000000000</v>
      </c>
    </row>
    <row r="146" spans="1:59" ht="38.25" x14ac:dyDescent="0.2">
      <c r="A146" s="7" t="str">
        <f t="shared" ca="1" si="10"/>
        <v>114</v>
      </c>
      <c r="B146" s="7" t="str">
        <f ca="1">OFFSET(ORÇAMENTO!C$15,ROW(B146)-ROW(B$15),0)</f>
        <v>S</v>
      </c>
      <c r="C146" s="7" t="str">
        <f ca="1">OFFSET(ORÇAMENTO!L$15,ROW(C146)-ROW(C$15),0)</f>
        <v/>
      </c>
      <c r="D146" s="117" t="str">
        <f ca="1">OFFSET(ORÇAMENTO!N$15,ROW(D146)-ROW(D$15),0)</f>
        <v>Serviço</v>
      </c>
      <c r="E146" s="118" t="str">
        <f ca="1">OFFSET(ORÇAMENTO!O$15,ROW(E146)-ROW(E$15),0)</f>
        <v>-</v>
      </c>
      <c r="F146" s="164" t="str">
        <f ca="1">OFFSET(ORÇAMENTO!R$15,ROW(F146)-ROW(F$15),0)</f>
        <v>JOELHO 90 GRAUS, PVC, SERIE NORMAL, ESGOTO PREDIAL, DN 50 MM, JUNTA ELÁSTICA, FORNECIDO E INSTALADO EM RAMAL DE DESCARGA OU RAMAL DE ESGOTO SANITÁRIO. AF_08/2022</v>
      </c>
      <c r="G146" s="165" t="str">
        <f ca="1">IF($D146&lt;&gt;"Serviço","",OFFSET(ORÇAMENTO!S$15,ROW(G146)-ROW(G$15),0))</f>
        <v>UN</v>
      </c>
      <c r="H146" s="123">
        <f ca="1">IF($D146&lt;&gt;"Serviço",0,IF(ACOMPANHAMENTO="BM",ROUND(OFFSET(ORÇAMENTO!AJ$15,ROW(H146)-ROW(H$15),0),15-13*ORÇAMENTO!$AF$7),SUMPRODUCT(($Q$1:$AA$1=1)*ROUND($Q146:$AA146,15-13*ORÇAMENTO!$AF$7))))</f>
        <v>18</v>
      </c>
      <c r="I146" s="469"/>
      <c r="J146" s="577" t="str" cm="1">
        <f t="array" aca="1" ref="J146" ca="1">IF(B146&lt;&gt;"S","",IF(AND(ACOMPANHAMENTO="PLE",AUTOEVENTO="Manual",OR(H146&gt;0,ORÇAMENTO!AC146="QUANT."),OR(K146="",M146=0,N146="")),"►",IF(AND(ACOMPANHAMENTO="PLE",ORÇAMENTO!AC146="QUANT."),"►►",IF(AND(COUNTIF($P$11:$AA$11,"▼")=0,H146&gt;0,I146=""),"◄",""))))</f>
        <v>◄</v>
      </c>
      <c r="K146" s="626"/>
      <c r="L146" s="166" t="s">
        <v>765</v>
      </c>
      <c r="M146" s="167">
        <f ca="1">IF($D146&lt;&gt;"Serviço","",
          IF(AUTOEVENTO="manual",$A146,
                IF(ISERROR(MATCH($A146,$A$15:OFFSET($A146,-1,0),0)),MAX($M$15:OFFSET(M146,-1,0))+1,
                      INDEX($M$15:OFFSET(M146,-1,0),MATCH($A146,$A$15:OFFSET($A146,-1,0),0)))))</f>
        <v>11</v>
      </c>
      <c r="N146" s="168" t="str">
        <f ca="1">IF($D146&lt;&gt;"Serviço","",
         IF(AUTOEVENTO="Manual",
                IF($A146=0,"&lt;-- defina o número do agrupador",
                       OFFSET(EVENTOS!$D$15,$A146-$A$15,0)),
                OFFSET($F$15,$A146,0)))</f>
        <v>INSTALAÇÕES HIDROSSANITÁRIAS</v>
      </c>
      <c r="O146" s="169"/>
      <c r="Q146" s="169"/>
      <c r="R146" s="170"/>
      <c r="S146" s="170"/>
      <c r="T146" s="170"/>
      <c r="U146" s="170"/>
      <c r="V146" s="170"/>
      <c r="W146" s="170"/>
      <c r="X146" s="170"/>
      <c r="Y146" s="170"/>
      <c r="Z146" s="171"/>
      <c r="AB146" s="454">
        <f ca="1">IF(AND($D146="Serviço",AB$12&lt;&gt;0,$H146&gt;0,OR(AUTOEVENTO&lt;&gt;"manual",$M146&lt;&gt;$A$15)),
        IF(Import.TipoArredondamento&lt;&gt;"TransfereGOV",
              ROUND(OFFSET($P146,0,AB$13),15-13*ORÇAMENTO!$AF$7)/$H146*OFFSET(ORÇAMENTO!$X$15,ROW(AB146)-ROW(AB$15),0),
              ROUND(ROUND(OFFSET($P146,0,AB$13),15-13*ORÇAMENTO!$AF$7)*OFFSET(ORÇAMENTO!$W$15,ROW(AB146)-ROW(AB$15),0),15-13*ORÇAMENTO!$AF$11)),
         0)</f>
        <v>0</v>
      </c>
      <c r="AC146" s="454">
        <f ca="1">IF(AND($D146="Serviço",AC$12&lt;&gt;0,$H146&gt;0,OR(AUTOEVENTO&lt;&gt;"manual",$M146&lt;&gt;$A$15)),
        IF(Import.TipoArredondamento&lt;&gt;"TransfereGOV",
              ROUND(OFFSET($P146,0,AC$13),15-13*ORÇAMENTO!$AF$7)/$H146*OFFSET(ORÇAMENTO!$X$15,ROW(AC146)-ROW(AC$15),0),
              ROUND(ROUND(OFFSET($P146,0,AC$13),15-13*ORÇAMENTO!$AF$7)*OFFSET(ORÇAMENTO!$W$15,ROW(AC146)-ROW(AC$15),0),15-13*ORÇAMENTO!$AF$11)),
         0)</f>
        <v>0</v>
      </c>
      <c r="AD146" s="454">
        <f ca="1">IF(AND($D146="Serviço",AD$12&lt;&gt;0,$H146&gt;0,OR(AUTOEVENTO&lt;&gt;"manual",$M146&lt;&gt;$A$15)),
        IF(Import.TipoArredondamento&lt;&gt;"TransfereGOV",
              ROUND(OFFSET($P146,0,AD$13),15-13*ORÇAMENTO!$AF$7)/$H146*OFFSET(ORÇAMENTO!$X$15,ROW(AD146)-ROW(AD$15),0),
              ROUND(ROUND(OFFSET($P146,0,AD$13),15-13*ORÇAMENTO!$AF$7)*OFFSET(ORÇAMENTO!$W$15,ROW(AD146)-ROW(AD$15),0),15-13*ORÇAMENTO!$AF$11)),
         0)</f>
        <v>0</v>
      </c>
      <c r="AE146" s="454">
        <f ca="1">IF(AND($D146="Serviço",AE$12&lt;&gt;0,$H146&gt;0,OR(AUTOEVENTO&lt;&gt;"manual",$M146&lt;&gt;$A$15)),
        IF(Import.TipoArredondamento&lt;&gt;"TransfereGOV",
              ROUND(OFFSET($P146,0,AE$13),15-13*ORÇAMENTO!$AF$7)/$H146*OFFSET(ORÇAMENTO!$X$15,ROW(AE146)-ROW(AE$15),0),
              ROUND(ROUND(OFFSET($P146,0,AE$13),15-13*ORÇAMENTO!$AF$7)*OFFSET(ORÇAMENTO!$W$15,ROW(AE146)-ROW(AE$15),0),15-13*ORÇAMENTO!$AF$11)),
         0)</f>
        <v>0</v>
      </c>
      <c r="AF146" s="454">
        <f ca="1">IF(AND($D146="Serviço",AF$12&lt;&gt;0,$H146&gt;0,OR(AUTOEVENTO&lt;&gt;"manual",$M146&lt;&gt;$A$15)),
        IF(Import.TipoArredondamento&lt;&gt;"TransfereGOV",
              ROUND(OFFSET($P146,0,AF$13),15-13*ORÇAMENTO!$AF$7)/$H146*OFFSET(ORÇAMENTO!$X$15,ROW(AF146)-ROW(AF$15),0),
              ROUND(ROUND(OFFSET($P146,0,AF$13),15-13*ORÇAMENTO!$AF$7)*OFFSET(ORÇAMENTO!$W$15,ROW(AF146)-ROW(AF$15),0),15-13*ORÇAMENTO!$AF$11)),
         0)</f>
        <v>0</v>
      </c>
      <c r="AG146" s="454">
        <f ca="1">IF(AND($D146="Serviço",AG$12&lt;&gt;0,$H146&gt;0,OR(AUTOEVENTO&lt;&gt;"manual",$M146&lt;&gt;$A$15)),
        IF(Import.TipoArredondamento&lt;&gt;"TransfereGOV",
              ROUND(OFFSET($P146,0,AG$13),15-13*ORÇAMENTO!$AF$7)/$H146*OFFSET(ORÇAMENTO!$X$15,ROW(AG146)-ROW(AG$15),0),
              ROUND(ROUND(OFFSET($P146,0,AG$13),15-13*ORÇAMENTO!$AF$7)*OFFSET(ORÇAMENTO!$W$15,ROW(AG146)-ROW(AG$15),0),15-13*ORÇAMENTO!$AF$11)),
         0)</f>
        <v>0</v>
      </c>
      <c r="AH146" s="454">
        <f ca="1">IF(AND($D146="Serviço",AH$12&lt;&gt;0,$H146&gt;0,OR(AUTOEVENTO&lt;&gt;"manual",$M146&lt;&gt;$A$15)),
        IF(Import.TipoArredondamento&lt;&gt;"TransfereGOV",
              ROUND(OFFSET($P146,0,AH$13),15-13*ORÇAMENTO!$AF$7)/$H146*OFFSET(ORÇAMENTO!$X$15,ROW(AH146)-ROW(AH$15),0),
              ROUND(ROUND(OFFSET($P146,0,AH$13),15-13*ORÇAMENTO!$AF$7)*OFFSET(ORÇAMENTO!$W$15,ROW(AH146)-ROW(AH$15),0),15-13*ORÇAMENTO!$AF$11)),
         0)</f>
        <v>0</v>
      </c>
      <c r="AI146" s="454">
        <f ca="1">IF(AND($D146="Serviço",AI$12&lt;&gt;0,$H146&gt;0,OR(AUTOEVENTO&lt;&gt;"manual",$M146&lt;&gt;$A$15)),
        IF(Import.TipoArredondamento&lt;&gt;"TransfereGOV",
              ROUND(OFFSET($P146,0,AI$13),15-13*ORÇAMENTO!$AF$7)/$H146*OFFSET(ORÇAMENTO!$X$15,ROW(AI146)-ROW(AI$15),0),
              ROUND(ROUND(OFFSET($P146,0,AI$13),15-13*ORÇAMENTO!$AF$7)*OFFSET(ORÇAMENTO!$W$15,ROW(AI146)-ROW(AI$15),0),15-13*ORÇAMENTO!$AF$11)),
         0)</f>
        <v>0</v>
      </c>
      <c r="AJ146" s="454">
        <f ca="1">IF(AND($D146="Serviço",AJ$12&lt;&gt;0,$H146&gt;0,OR(AUTOEVENTO&lt;&gt;"manual",$M146&lt;&gt;$A$15)),
        IF(Import.TipoArredondamento&lt;&gt;"TransfereGOV",
              ROUND(OFFSET($P146,0,AJ$13),15-13*ORÇAMENTO!$AF$7)/$H146*OFFSET(ORÇAMENTO!$X$15,ROW(AJ146)-ROW(AJ$15),0),
              ROUND(ROUND(OFFSET($P146,0,AJ$13),15-13*ORÇAMENTO!$AF$7)*OFFSET(ORÇAMENTO!$W$15,ROW(AJ146)-ROW(AJ$15),0),15-13*ORÇAMENTO!$AF$11)),
         0)</f>
        <v>0</v>
      </c>
      <c r="AK146" s="454">
        <f ca="1">IF(AND($D146="Serviço",AK$12&lt;&gt;0,$H146&gt;0,OR(AUTOEVENTO&lt;&gt;"manual",$M146&lt;&gt;$A$15)),
        IF(Import.TipoArredondamento&lt;&gt;"TransfereGOV",
              ROUND(OFFSET($P146,0,AK$13),15-13*ORÇAMENTO!$AF$7)/$H146*OFFSET(ORÇAMENTO!$X$15,ROW(AK146)-ROW(AK$15),0),
              ROUND(ROUND(OFFSET($P146,0,AK$13),15-13*ORÇAMENTO!$AF$7)*OFFSET(ORÇAMENTO!$W$15,ROW(AK146)-ROW(AK$15),0),15-13*ORÇAMENTO!$AF$11)),
         0)</f>
        <v>0</v>
      </c>
      <c r="AM146" s="172">
        <f ca="1">IF(OR($D146&lt;&gt;"Serviço",AND(AUTOEVENTO="Manual",$M146=$A$15)),0,
         IF(OFFSET(CRONOPLE!$F$15,$M146-$A$15,AM$13)="",10^12,OFFSET(CRONOPLE!$F$15,$M146-$A$15,AM$13)))</f>
        <v>1000000000000</v>
      </c>
      <c r="AN146" s="172">
        <f ca="1">IF(OR($D146&lt;&gt;"Serviço",AND(AUTOEVENTO="Manual",$M146=$A$15)),0,
         IF(OFFSET(CRONOPLE!$F$15,$M146-$A$15,AN$13)="",10^12,OFFSET(CRONOPLE!$F$15,$M146-$A$15,AN$13)))</f>
        <v>1000000000000</v>
      </c>
      <c r="AO146" s="172">
        <f ca="1">IF(OR($D146&lt;&gt;"Serviço",AND(AUTOEVENTO="Manual",$M146=$A$15)),0,
         IF(OFFSET(CRONOPLE!$F$15,$M146-$A$15,AO$13)="",10^12,OFFSET(CRONOPLE!$F$15,$M146-$A$15,AO$13)))</f>
        <v>1000000000000</v>
      </c>
      <c r="AP146" s="172">
        <f ca="1">IF(OR($D146&lt;&gt;"Serviço",AND(AUTOEVENTO="Manual",$M146=$A$15)),0,
         IF(OFFSET(CRONOPLE!$F$15,$M146-$A$15,AP$13)="",10^12,OFFSET(CRONOPLE!$F$15,$M146-$A$15,AP$13)))</f>
        <v>1000000000000</v>
      </c>
      <c r="AQ146" s="172">
        <f ca="1">IF(OR($D146&lt;&gt;"Serviço",AND(AUTOEVENTO="Manual",$M146=$A$15)),0,
         IF(OFFSET(CRONOPLE!$F$15,$M146-$A$15,AQ$13)="",10^12,OFFSET(CRONOPLE!$F$15,$M146-$A$15,AQ$13)))</f>
        <v>1000000000000</v>
      </c>
      <c r="AR146" s="172">
        <f ca="1">IF(OR($D146&lt;&gt;"Serviço",AND(AUTOEVENTO="Manual",$M146=$A$15)),0,
         IF(OFFSET(CRONOPLE!$F$15,$M146-$A$15,AR$13)="",10^12,OFFSET(CRONOPLE!$F$15,$M146-$A$15,AR$13)))</f>
        <v>1000000000000</v>
      </c>
      <c r="AS146" s="172">
        <f ca="1">IF(OR($D146&lt;&gt;"Serviço",AND(AUTOEVENTO="Manual",$M146=$A$15)),0,
         IF(OFFSET(CRONOPLE!$F$15,$M146-$A$15,AS$13)="",10^12,OFFSET(CRONOPLE!$F$15,$M146-$A$15,AS$13)))</f>
        <v>1000000000000</v>
      </c>
      <c r="AT146" s="172">
        <f ca="1">IF(OR($D146&lt;&gt;"Serviço",AND(AUTOEVENTO="Manual",$M146=$A$15)),0,
         IF(OFFSET(CRONOPLE!$F$15,$M146-$A$15,AT$13)="",10^12,OFFSET(CRONOPLE!$F$15,$M146-$A$15,AT$13)))</f>
        <v>1000000000000</v>
      </c>
      <c r="AU146" s="172">
        <f ca="1">IF(OR($D146&lt;&gt;"Serviço",AND(AUTOEVENTO="Manual",$M146=$A$15)),0,
         IF(OFFSET(CRONOPLE!$F$15,$M146-$A$15,AU$13)="",10^12,OFFSET(CRONOPLE!$F$15,$M146-$A$15,AU$13)))</f>
        <v>1000000000000</v>
      </c>
      <c r="AV146" s="172">
        <f ca="1">IF(OR($D146&lt;&gt;"Serviço",AND(AUTOEVENTO="Manual",$M146=$A$15)),0,
         IF(OFFSET(CRONOPLE!$F$15,$M146-$A$15,AV$13)="",10^12,OFFSET(CRONOPLE!$F$15,$M146-$A$15,AV$13)))</f>
        <v>1000000000000</v>
      </c>
      <c r="AX146" s="173">
        <f ca="1">IF(OR($D146&lt;&gt;"Serviço",AND(AUTOEVENTO="Manual",$M146=$A$15),$M146&gt;(ROW(PLE.lastrow)-ROW(PLE.firstrow))),0,
           IF(OFFSET(PLE!$G$15,$M146-$A$15,AX$13)="",10^12,OFFSET(PLE!$G$15,$M146-$A$15,AX$13)))</f>
        <v>1000000000000</v>
      </c>
      <c r="AY146" s="173">
        <f ca="1">IF(OR($D146&lt;&gt;"Serviço",AND(AUTOEVENTO="Manual",$M146=$A$15),$M146&gt;(ROW(PLE.lastrow)-ROW(PLE.firstrow))),0,
           IF(OFFSET(PLE!$G$15,$M146-$A$15,AY$13)="",10^12,OFFSET(PLE!$G$15,$M146-$A$15,AY$13)))</f>
        <v>1000000000000</v>
      </c>
      <c r="AZ146" s="173">
        <f ca="1">IF(OR($D146&lt;&gt;"Serviço",AND(AUTOEVENTO="Manual",$M146=$A$15),$M146&gt;(ROW(PLE.lastrow)-ROW(PLE.firstrow))),0,
           IF(OFFSET(PLE!$G$15,$M146-$A$15,AZ$13)="",10^12,OFFSET(PLE!$G$15,$M146-$A$15,AZ$13)))</f>
        <v>1000000000000</v>
      </c>
      <c r="BA146" s="173">
        <f ca="1">IF(OR($D146&lt;&gt;"Serviço",AND(AUTOEVENTO="Manual",$M146=$A$15),$M146&gt;(ROW(PLE.lastrow)-ROW(PLE.firstrow))),0,
           IF(OFFSET(PLE!$G$15,$M146-$A$15,BA$13)="",10^12,OFFSET(PLE!$G$15,$M146-$A$15,BA$13)))</f>
        <v>1000000000000</v>
      </c>
      <c r="BB146" s="173">
        <f ca="1">IF(OR($D146&lt;&gt;"Serviço",AND(AUTOEVENTO="Manual",$M146=$A$15),$M146&gt;(ROW(PLE.lastrow)-ROW(PLE.firstrow))),0,
           IF(OFFSET(PLE!$G$15,$M146-$A$15,BB$13)="",10^12,OFFSET(PLE!$G$15,$M146-$A$15,BB$13)))</f>
        <v>1000000000000</v>
      </c>
      <c r="BC146" s="173">
        <f ca="1">IF(OR($D146&lt;&gt;"Serviço",AND(AUTOEVENTO="Manual",$M146=$A$15),$M146&gt;(ROW(PLE.lastrow)-ROW(PLE.firstrow))),0,
           IF(OFFSET(PLE!$G$15,$M146-$A$15,BC$13)="",10^12,OFFSET(PLE!$G$15,$M146-$A$15,BC$13)))</f>
        <v>1000000000000</v>
      </c>
      <c r="BD146" s="173">
        <f ca="1">IF(OR($D146&lt;&gt;"Serviço",AND(AUTOEVENTO="Manual",$M146=$A$15),$M146&gt;(ROW(PLE.lastrow)-ROW(PLE.firstrow))),0,
           IF(OFFSET(PLE!$G$15,$M146-$A$15,BD$13)="",10^12,OFFSET(PLE!$G$15,$M146-$A$15,BD$13)))</f>
        <v>1000000000000</v>
      </c>
      <c r="BE146" s="173">
        <f ca="1">IF(OR($D146&lt;&gt;"Serviço",AND(AUTOEVENTO="Manual",$M146=$A$15),$M146&gt;(ROW(PLE.lastrow)-ROW(PLE.firstrow))),0,
           IF(OFFSET(PLE!$G$15,$M146-$A$15,BE$13)="",10^12,OFFSET(PLE!$G$15,$M146-$A$15,BE$13)))</f>
        <v>1000000000000</v>
      </c>
      <c r="BF146" s="173">
        <f ca="1">IF(OR($D146&lt;&gt;"Serviço",AND(AUTOEVENTO="Manual",$M146=$A$15),$M146&gt;(ROW(PLE.lastrow)-ROW(PLE.firstrow))),0,
           IF(OFFSET(PLE!$G$15,$M146-$A$15,BF$13)="",10^12,OFFSET(PLE!$G$15,$M146-$A$15,BF$13)))</f>
        <v>1000000000000</v>
      </c>
      <c r="BG146" s="173">
        <f ca="1">IF(OR($D146&lt;&gt;"Serviço",AND(AUTOEVENTO="Manual",$M146=$A$15),$M146&gt;(ROW(PLE.lastrow)-ROW(PLE.firstrow))),0,
           IF(OFFSET(PLE!$G$15,$M146-$A$15,BG$13)="",10^12,OFFSET(PLE!$G$15,$M146-$A$15,BG$13)))</f>
        <v>1000000000000</v>
      </c>
    </row>
    <row r="147" spans="1:59" ht="38.25" x14ac:dyDescent="0.2">
      <c r="A147" s="7" t="str">
        <f t="shared" ca="1" si="10"/>
        <v>114</v>
      </c>
      <c r="B147" s="7" t="str">
        <f ca="1">OFFSET(ORÇAMENTO!C$15,ROW(B147)-ROW(B$15),0)</f>
        <v>S</v>
      </c>
      <c r="C147" s="7" t="str">
        <f ca="1">OFFSET(ORÇAMENTO!L$15,ROW(C147)-ROW(C$15),0)</f>
        <v/>
      </c>
      <c r="D147" s="117" t="str">
        <f ca="1">OFFSET(ORÇAMENTO!N$15,ROW(D147)-ROW(D$15),0)</f>
        <v>Serviço</v>
      </c>
      <c r="E147" s="118" t="str">
        <f ca="1">OFFSET(ORÇAMENTO!O$15,ROW(E147)-ROW(E$15),0)</f>
        <v>-</v>
      </c>
      <c r="F147" s="164" t="str">
        <f ca="1">OFFSET(ORÇAMENTO!R$15,ROW(F147)-ROW(F$15),0)</f>
        <v>JUNÇÃO SIMPLES DE REDUÇÃO, PVC, SERIE NORMAL, ESGOTO PREDIAL, DN 100 X 50 MM, JUNTA ELÁSTICA, FORNECIDO E INSTALADO EM PRUMADA DE ESGOTO SANITÁRIO OU VENTILAÇÃO</v>
      </c>
      <c r="G147" s="165" t="str">
        <f ca="1">IF($D147&lt;&gt;"Serviço","",OFFSET(ORÇAMENTO!S$15,ROW(G147)-ROW(G$15),0))</f>
        <v xml:space="preserve">UN    </v>
      </c>
      <c r="H147" s="123">
        <f ca="1">IF($D147&lt;&gt;"Serviço",0,IF(ACOMPANHAMENTO="BM",ROUND(OFFSET(ORÇAMENTO!AJ$15,ROW(H147)-ROW(H$15),0),15-13*ORÇAMENTO!$AF$7),SUMPRODUCT(($Q$1:$AA$1=1)*ROUND($Q147:$AA147,15-13*ORÇAMENTO!$AF$7))))</f>
        <v>42</v>
      </c>
      <c r="I147" s="469"/>
      <c r="J147" s="577" t="str" cm="1">
        <f t="array" aca="1" ref="J147" ca="1">IF(B147&lt;&gt;"S","",IF(AND(ACOMPANHAMENTO="PLE",AUTOEVENTO="Manual",OR(H147&gt;0,ORÇAMENTO!AC147="QUANT."),OR(K147="",M147=0,N147="")),"►",IF(AND(ACOMPANHAMENTO="PLE",ORÇAMENTO!AC147="QUANT."),"►►",IF(AND(COUNTIF($P$11:$AA$11,"▼")=0,H147&gt;0,I147=""),"◄",""))))</f>
        <v>◄</v>
      </c>
      <c r="K147" s="626"/>
      <c r="L147" s="166" t="s">
        <v>765</v>
      </c>
      <c r="M147" s="167">
        <f ca="1">IF($D147&lt;&gt;"Serviço","",
          IF(AUTOEVENTO="manual",$A147,
                IF(ISERROR(MATCH($A147,$A$15:OFFSET($A147,-1,0),0)),MAX($M$15:OFFSET(M147,-1,0))+1,
                      INDEX($M$15:OFFSET(M147,-1,0),MATCH($A147,$A$15:OFFSET($A147,-1,0),0)))))</f>
        <v>11</v>
      </c>
      <c r="N147" s="168" t="str">
        <f ca="1">IF($D147&lt;&gt;"Serviço","",
         IF(AUTOEVENTO="Manual",
                IF($A147=0,"&lt;-- defina o número do agrupador",
                       OFFSET(EVENTOS!$D$15,$A147-$A$15,0)),
                OFFSET($F$15,$A147,0)))</f>
        <v>INSTALAÇÕES HIDROSSANITÁRIAS</v>
      </c>
      <c r="O147" s="169"/>
      <c r="Q147" s="169"/>
      <c r="R147" s="170"/>
      <c r="S147" s="170"/>
      <c r="T147" s="170"/>
      <c r="U147" s="170"/>
      <c r="V147" s="170"/>
      <c r="W147" s="170"/>
      <c r="X147" s="170"/>
      <c r="Y147" s="170"/>
      <c r="Z147" s="171"/>
      <c r="AB147" s="454">
        <f ca="1">IF(AND($D147="Serviço",AB$12&lt;&gt;0,$H147&gt;0,OR(AUTOEVENTO&lt;&gt;"manual",$M147&lt;&gt;$A$15)),
        IF(Import.TipoArredondamento&lt;&gt;"TransfereGOV",
              ROUND(OFFSET($P147,0,AB$13),15-13*ORÇAMENTO!$AF$7)/$H147*OFFSET(ORÇAMENTO!$X$15,ROW(AB147)-ROW(AB$15),0),
              ROUND(ROUND(OFFSET($P147,0,AB$13),15-13*ORÇAMENTO!$AF$7)*OFFSET(ORÇAMENTO!$W$15,ROW(AB147)-ROW(AB$15),0),15-13*ORÇAMENTO!$AF$11)),
         0)</f>
        <v>0</v>
      </c>
      <c r="AC147" s="454">
        <f ca="1">IF(AND($D147="Serviço",AC$12&lt;&gt;0,$H147&gt;0,OR(AUTOEVENTO&lt;&gt;"manual",$M147&lt;&gt;$A$15)),
        IF(Import.TipoArredondamento&lt;&gt;"TransfereGOV",
              ROUND(OFFSET($P147,0,AC$13),15-13*ORÇAMENTO!$AF$7)/$H147*OFFSET(ORÇAMENTO!$X$15,ROW(AC147)-ROW(AC$15),0),
              ROUND(ROUND(OFFSET($P147,0,AC$13),15-13*ORÇAMENTO!$AF$7)*OFFSET(ORÇAMENTO!$W$15,ROW(AC147)-ROW(AC$15),0),15-13*ORÇAMENTO!$AF$11)),
         0)</f>
        <v>0</v>
      </c>
      <c r="AD147" s="454">
        <f ca="1">IF(AND($D147="Serviço",AD$12&lt;&gt;0,$H147&gt;0,OR(AUTOEVENTO&lt;&gt;"manual",$M147&lt;&gt;$A$15)),
        IF(Import.TipoArredondamento&lt;&gt;"TransfereGOV",
              ROUND(OFFSET($P147,0,AD$13),15-13*ORÇAMENTO!$AF$7)/$H147*OFFSET(ORÇAMENTO!$X$15,ROW(AD147)-ROW(AD$15),0),
              ROUND(ROUND(OFFSET($P147,0,AD$13),15-13*ORÇAMENTO!$AF$7)*OFFSET(ORÇAMENTO!$W$15,ROW(AD147)-ROW(AD$15),0),15-13*ORÇAMENTO!$AF$11)),
         0)</f>
        <v>0</v>
      </c>
      <c r="AE147" s="454">
        <f ca="1">IF(AND($D147="Serviço",AE$12&lt;&gt;0,$H147&gt;0,OR(AUTOEVENTO&lt;&gt;"manual",$M147&lt;&gt;$A$15)),
        IF(Import.TipoArredondamento&lt;&gt;"TransfereGOV",
              ROUND(OFFSET($P147,0,AE$13),15-13*ORÇAMENTO!$AF$7)/$H147*OFFSET(ORÇAMENTO!$X$15,ROW(AE147)-ROW(AE$15),0),
              ROUND(ROUND(OFFSET($P147,0,AE$13),15-13*ORÇAMENTO!$AF$7)*OFFSET(ORÇAMENTO!$W$15,ROW(AE147)-ROW(AE$15),0),15-13*ORÇAMENTO!$AF$11)),
         0)</f>
        <v>0</v>
      </c>
      <c r="AF147" s="454">
        <f ca="1">IF(AND($D147="Serviço",AF$12&lt;&gt;0,$H147&gt;0,OR(AUTOEVENTO&lt;&gt;"manual",$M147&lt;&gt;$A$15)),
        IF(Import.TipoArredondamento&lt;&gt;"TransfereGOV",
              ROUND(OFFSET($P147,0,AF$13),15-13*ORÇAMENTO!$AF$7)/$H147*OFFSET(ORÇAMENTO!$X$15,ROW(AF147)-ROW(AF$15),0),
              ROUND(ROUND(OFFSET($P147,0,AF$13),15-13*ORÇAMENTO!$AF$7)*OFFSET(ORÇAMENTO!$W$15,ROW(AF147)-ROW(AF$15),0),15-13*ORÇAMENTO!$AF$11)),
         0)</f>
        <v>0</v>
      </c>
      <c r="AG147" s="454">
        <f ca="1">IF(AND($D147="Serviço",AG$12&lt;&gt;0,$H147&gt;0,OR(AUTOEVENTO&lt;&gt;"manual",$M147&lt;&gt;$A$15)),
        IF(Import.TipoArredondamento&lt;&gt;"TransfereGOV",
              ROUND(OFFSET($P147,0,AG$13),15-13*ORÇAMENTO!$AF$7)/$H147*OFFSET(ORÇAMENTO!$X$15,ROW(AG147)-ROW(AG$15),0),
              ROUND(ROUND(OFFSET($P147,0,AG$13),15-13*ORÇAMENTO!$AF$7)*OFFSET(ORÇAMENTO!$W$15,ROW(AG147)-ROW(AG$15),0),15-13*ORÇAMENTO!$AF$11)),
         0)</f>
        <v>0</v>
      </c>
      <c r="AH147" s="454">
        <f ca="1">IF(AND($D147="Serviço",AH$12&lt;&gt;0,$H147&gt;0,OR(AUTOEVENTO&lt;&gt;"manual",$M147&lt;&gt;$A$15)),
        IF(Import.TipoArredondamento&lt;&gt;"TransfereGOV",
              ROUND(OFFSET($P147,0,AH$13),15-13*ORÇAMENTO!$AF$7)/$H147*OFFSET(ORÇAMENTO!$X$15,ROW(AH147)-ROW(AH$15),0),
              ROUND(ROUND(OFFSET($P147,0,AH$13),15-13*ORÇAMENTO!$AF$7)*OFFSET(ORÇAMENTO!$W$15,ROW(AH147)-ROW(AH$15),0),15-13*ORÇAMENTO!$AF$11)),
         0)</f>
        <v>0</v>
      </c>
      <c r="AI147" s="454">
        <f ca="1">IF(AND($D147="Serviço",AI$12&lt;&gt;0,$H147&gt;0,OR(AUTOEVENTO&lt;&gt;"manual",$M147&lt;&gt;$A$15)),
        IF(Import.TipoArredondamento&lt;&gt;"TransfereGOV",
              ROUND(OFFSET($P147,0,AI$13),15-13*ORÇAMENTO!$AF$7)/$H147*OFFSET(ORÇAMENTO!$X$15,ROW(AI147)-ROW(AI$15),0),
              ROUND(ROUND(OFFSET($P147,0,AI$13),15-13*ORÇAMENTO!$AF$7)*OFFSET(ORÇAMENTO!$W$15,ROW(AI147)-ROW(AI$15),0),15-13*ORÇAMENTO!$AF$11)),
         0)</f>
        <v>0</v>
      </c>
      <c r="AJ147" s="454">
        <f ca="1">IF(AND($D147="Serviço",AJ$12&lt;&gt;0,$H147&gt;0,OR(AUTOEVENTO&lt;&gt;"manual",$M147&lt;&gt;$A$15)),
        IF(Import.TipoArredondamento&lt;&gt;"TransfereGOV",
              ROUND(OFFSET($P147,0,AJ$13),15-13*ORÇAMENTO!$AF$7)/$H147*OFFSET(ORÇAMENTO!$X$15,ROW(AJ147)-ROW(AJ$15),0),
              ROUND(ROUND(OFFSET($P147,0,AJ$13),15-13*ORÇAMENTO!$AF$7)*OFFSET(ORÇAMENTO!$W$15,ROW(AJ147)-ROW(AJ$15),0),15-13*ORÇAMENTO!$AF$11)),
         0)</f>
        <v>0</v>
      </c>
      <c r="AK147" s="454">
        <f ca="1">IF(AND($D147="Serviço",AK$12&lt;&gt;0,$H147&gt;0,OR(AUTOEVENTO&lt;&gt;"manual",$M147&lt;&gt;$A$15)),
        IF(Import.TipoArredondamento&lt;&gt;"TransfereGOV",
              ROUND(OFFSET($P147,0,AK$13),15-13*ORÇAMENTO!$AF$7)/$H147*OFFSET(ORÇAMENTO!$X$15,ROW(AK147)-ROW(AK$15),0),
              ROUND(ROUND(OFFSET($P147,0,AK$13),15-13*ORÇAMENTO!$AF$7)*OFFSET(ORÇAMENTO!$W$15,ROW(AK147)-ROW(AK$15),0),15-13*ORÇAMENTO!$AF$11)),
         0)</f>
        <v>0</v>
      </c>
      <c r="AM147" s="172">
        <f ca="1">IF(OR($D147&lt;&gt;"Serviço",AND(AUTOEVENTO="Manual",$M147=$A$15)),0,
         IF(OFFSET(CRONOPLE!$F$15,$M147-$A$15,AM$13)="",10^12,OFFSET(CRONOPLE!$F$15,$M147-$A$15,AM$13)))</f>
        <v>1000000000000</v>
      </c>
      <c r="AN147" s="172">
        <f ca="1">IF(OR($D147&lt;&gt;"Serviço",AND(AUTOEVENTO="Manual",$M147=$A$15)),0,
         IF(OFFSET(CRONOPLE!$F$15,$M147-$A$15,AN$13)="",10^12,OFFSET(CRONOPLE!$F$15,$M147-$A$15,AN$13)))</f>
        <v>1000000000000</v>
      </c>
      <c r="AO147" s="172">
        <f ca="1">IF(OR($D147&lt;&gt;"Serviço",AND(AUTOEVENTO="Manual",$M147=$A$15)),0,
         IF(OFFSET(CRONOPLE!$F$15,$M147-$A$15,AO$13)="",10^12,OFFSET(CRONOPLE!$F$15,$M147-$A$15,AO$13)))</f>
        <v>1000000000000</v>
      </c>
      <c r="AP147" s="172">
        <f ca="1">IF(OR($D147&lt;&gt;"Serviço",AND(AUTOEVENTO="Manual",$M147=$A$15)),0,
         IF(OFFSET(CRONOPLE!$F$15,$M147-$A$15,AP$13)="",10^12,OFFSET(CRONOPLE!$F$15,$M147-$A$15,AP$13)))</f>
        <v>1000000000000</v>
      </c>
      <c r="AQ147" s="172">
        <f ca="1">IF(OR($D147&lt;&gt;"Serviço",AND(AUTOEVENTO="Manual",$M147=$A$15)),0,
         IF(OFFSET(CRONOPLE!$F$15,$M147-$A$15,AQ$13)="",10^12,OFFSET(CRONOPLE!$F$15,$M147-$A$15,AQ$13)))</f>
        <v>1000000000000</v>
      </c>
      <c r="AR147" s="172">
        <f ca="1">IF(OR($D147&lt;&gt;"Serviço",AND(AUTOEVENTO="Manual",$M147=$A$15)),0,
         IF(OFFSET(CRONOPLE!$F$15,$M147-$A$15,AR$13)="",10^12,OFFSET(CRONOPLE!$F$15,$M147-$A$15,AR$13)))</f>
        <v>1000000000000</v>
      </c>
      <c r="AS147" s="172">
        <f ca="1">IF(OR($D147&lt;&gt;"Serviço",AND(AUTOEVENTO="Manual",$M147=$A$15)),0,
         IF(OFFSET(CRONOPLE!$F$15,$M147-$A$15,AS$13)="",10^12,OFFSET(CRONOPLE!$F$15,$M147-$A$15,AS$13)))</f>
        <v>1000000000000</v>
      </c>
      <c r="AT147" s="172">
        <f ca="1">IF(OR($D147&lt;&gt;"Serviço",AND(AUTOEVENTO="Manual",$M147=$A$15)),0,
         IF(OFFSET(CRONOPLE!$F$15,$M147-$A$15,AT$13)="",10^12,OFFSET(CRONOPLE!$F$15,$M147-$A$15,AT$13)))</f>
        <v>1000000000000</v>
      </c>
      <c r="AU147" s="172">
        <f ca="1">IF(OR($D147&lt;&gt;"Serviço",AND(AUTOEVENTO="Manual",$M147=$A$15)),0,
         IF(OFFSET(CRONOPLE!$F$15,$M147-$A$15,AU$13)="",10^12,OFFSET(CRONOPLE!$F$15,$M147-$A$15,AU$13)))</f>
        <v>1000000000000</v>
      </c>
      <c r="AV147" s="172">
        <f ca="1">IF(OR($D147&lt;&gt;"Serviço",AND(AUTOEVENTO="Manual",$M147=$A$15)),0,
         IF(OFFSET(CRONOPLE!$F$15,$M147-$A$15,AV$13)="",10^12,OFFSET(CRONOPLE!$F$15,$M147-$A$15,AV$13)))</f>
        <v>1000000000000</v>
      </c>
      <c r="AX147" s="173">
        <f ca="1">IF(OR($D147&lt;&gt;"Serviço",AND(AUTOEVENTO="Manual",$M147=$A$15),$M147&gt;(ROW(PLE.lastrow)-ROW(PLE.firstrow))),0,
           IF(OFFSET(PLE!$G$15,$M147-$A$15,AX$13)="",10^12,OFFSET(PLE!$G$15,$M147-$A$15,AX$13)))</f>
        <v>1000000000000</v>
      </c>
      <c r="AY147" s="173">
        <f ca="1">IF(OR($D147&lt;&gt;"Serviço",AND(AUTOEVENTO="Manual",$M147=$A$15),$M147&gt;(ROW(PLE.lastrow)-ROW(PLE.firstrow))),0,
           IF(OFFSET(PLE!$G$15,$M147-$A$15,AY$13)="",10^12,OFFSET(PLE!$G$15,$M147-$A$15,AY$13)))</f>
        <v>1000000000000</v>
      </c>
      <c r="AZ147" s="173">
        <f ca="1">IF(OR($D147&lt;&gt;"Serviço",AND(AUTOEVENTO="Manual",$M147=$A$15),$M147&gt;(ROW(PLE.lastrow)-ROW(PLE.firstrow))),0,
           IF(OFFSET(PLE!$G$15,$M147-$A$15,AZ$13)="",10^12,OFFSET(PLE!$G$15,$M147-$A$15,AZ$13)))</f>
        <v>1000000000000</v>
      </c>
      <c r="BA147" s="173">
        <f ca="1">IF(OR($D147&lt;&gt;"Serviço",AND(AUTOEVENTO="Manual",$M147=$A$15),$M147&gt;(ROW(PLE.lastrow)-ROW(PLE.firstrow))),0,
           IF(OFFSET(PLE!$G$15,$M147-$A$15,BA$13)="",10^12,OFFSET(PLE!$G$15,$M147-$A$15,BA$13)))</f>
        <v>1000000000000</v>
      </c>
      <c r="BB147" s="173">
        <f ca="1">IF(OR($D147&lt;&gt;"Serviço",AND(AUTOEVENTO="Manual",$M147=$A$15),$M147&gt;(ROW(PLE.lastrow)-ROW(PLE.firstrow))),0,
           IF(OFFSET(PLE!$G$15,$M147-$A$15,BB$13)="",10^12,OFFSET(PLE!$G$15,$M147-$A$15,BB$13)))</f>
        <v>1000000000000</v>
      </c>
      <c r="BC147" s="173">
        <f ca="1">IF(OR($D147&lt;&gt;"Serviço",AND(AUTOEVENTO="Manual",$M147=$A$15),$M147&gt;(ROW(PLE.lastrow)-ROW(PLE.firstrow))),0,
           IF(OFFSET(PLE!$G$15,$M147-$A$15,BC$13)="",10^12,OFFSET(PLE!$G$15,$M147-$A$15,BC$13)))</f>
        <v>1000000000000</v>
      </c>
      <c r="BD147" s="173">
        <f ca="1">IF(OR($D147&lt;&gt;"Serviço",AND(AUTOEVENTO="Manual",$M147=$A$15),$M147&gt;(ROW(PLE.lastrow)-ROW(PLE.firstrow))),0,
           IF(OFFSET(PLE!$G$15,$M147-$A$15,BD$13)="",10^12,OFFSET(PLE!$G$15,$M147-$A$15,BD$13)))</f>
        <v>1000000000000</v>
      </c>
      <c r="BE147" s="173">
        <f ca="1">IF(OR($D147&lt;&gt;"Serviço",AND(AUTOEVENTO="Manual",$M147=$A$15),$M147&gt;(ROW(PLE.lastrow)-ROW(PLE.firstrow))),0,
           IF(OFFSET(PLE!$G$15,$M147-$A$15,BE$13)="",10^12,OFFSET(PLE!$G$15,$M147-$A$15,BE$13)))</f>
        <v>1000000000000</v>
      </c>
      <c r="BF147" s="173">
        <f ca="1">IF(OR($D147&lt;&gt;"Serviço",AND(AUTOEVENTO="Manual",$M147=$A$15),$M147&gt;(ROW(PLE.lastrow)-ROW(PLE.firstrow))),0,
           IF(OFFSET(PLE!$G$15,$M147-$A$15,BF$13)="",10^12,OFFSET(PLE!$G$15,$M147-$A$15,BF$13)))</f>
        <v>1000000000000</v>
      </c>
      <c r="BG147" s="173">
        <f ca="1">IF(OR($D147&lt;&gt;"Serviço",AND(AUTOEVENTO="Manual",$M147=$A$15),$M147&gt;(ROW(PLE.lastrow)-ROW(PLE.firstrow))),0,
           IF(OFFSET(PLE!$G$15,$M147-$A$15,BG$13)="",10^12,OFFSET(PLE!$G$15,$M147-$A$15,BG$13)))</f>
        <v>1000000000000</v>
      </c>
    </row>
    <row r="148" spans="1:59" ht="38.25" x14ac:dyDescent="0.2">
      <c r="A148" s="7" t="str">
        <f t="shared" ca="1" si="10"/>
        <v>114</v>
      </c>
      <c r="B148" s="7" t="str">
        <f ca="1">OFFSET(ORÇAMENTO!C$15,ROW(B148)-ROW(B$15),0)</f>
        <v>S</v>
      </c>
      <c r="C148" s="7" t="str">
        <f ca="1">OFFSET(ORÇAMENTO!L$15,ROW(C148)-ROW(C$15),0)</f>
        <v/>
      </c>
      <c r="D148" s="117" t="str">
        <f ca="1">OFFSET(ORÇAMENTO!N$15,ROW(D148)-ROW(D$15),0)</f>
        <v>Serviço</v>
      </c>
      <c r="E148" s="118" t="str">
        <f ca="1">OFFSET(ORÇAMENTO!O$15,ROW(E148)-ROW(E$15),0)</f>
        <v>-</v>
      </c>
      <c r="F148" s="164" t="str">
        <f ca="1">OFFSET(ORÇAMENTO!R$15,ROW(F148)-ROW(F$15),0)</f>
        <v>JUNÇÃO SIMPLES DE REDUÇÃO, PVC, SERIE NORMAL, ESGOTO PREDIAL, DN 100 X 75 MM, JUNTA ELÁSTICA, FORNECIDO E INSTALADO EM PRUMADA DE ESGOTO SANITÁRIO OU VENTILAÇÃO</v>
      </c>
      <c r="G148" s="165" t="str">
        <f ca="1">IF($D148&lt;&gt;"Serviço","",OFFSET(ORÇAMENTO!S$15,ROW(G148)-ROW(G$15),0))</f>
        <v xml:space="preserve">UN    </v>
      </c>
      <c r="H148" s="123">
        <f ca="1">IF($D148&lt;&gt;"Serviço",0,IF(ACOMPANHAMENTO="BM",ROUND(OFFSET(ORÇAMENTO!AJ$15,ROW(H148)-ROW(H$15),0),15-13*ORÇAMENTO!$AF$7),SUMPRODUCT(($Q$1:$AA$1=1)*ROUND($Q148:$AA148,15-13*ORÇAMENTO!$AF$7))))</f>
        <v>4</v>
      </c>
      <c r="I148" s="469"/>
      <c r="J148" s="577" t="str" cm="1">
        <f t="array" aca="1" ref="J148" ca="1">IF(B148&lt;&gt;"S","",IF(AND(ACOMPANHAMENTO="PLE",AUTOEVENTO="Manual",OR(H148&gt;0,ORÇAMENTO!AC148="QUANT."),OR(K148="",M148=0,N148="")),"►",IF(AND(ACOMPANHAMENTO="PLE",ORÇAMENTO!AC148="QUANT."),"►►",IF(AND(COUNTIF($P$11:$AA$11,"▼")=0,H148&gt;0,I148=""),"◄",""))))</f>
        <v>◄</v>
      </c>
      <c r="K148" s="626"/>
      <c r="L148" s="166" t="s">
        <v>765</v>
      </c>
      <c r="M148" s="167">
        <f ca="1">IF($D148&lt;&gt;"Serviço","",
          IF(AUTOEVENTO="manual",$A148,
                IF(ISERROR(MATCH($A148,$A$15:OFFSET($A148,-1,0),0)),MAX($M$15:OFFSET(M148,-1,0))+1,
                      INDEX($M$15:OFFSET(M148,-1,0),MATCH($A148,$A$15:OFFSET($A148,-1,0),0)))))</f>
        <v>11</v>
      </c>
      <c r="N148" s="168" t="str">
        <f ca="1">IF($D148&lt;&gt;"Serviço","",
         IF(AUTOEVENTO="Manual",
                IF($A148=0,"&lt;-- defina o número do agrupador",
                       OFFSET(EVENTOS!$D$15,$A148-$A$15,0)),
                OFFSET($F$15,$A148,0)))</f>
        <v>INSTALAÇÕES HIDROSSANITÁRIAS</v>
      </c>
      <c r="O148" s="169"/>
      <c r="Q148" s="169"/>
      <c r="R148" s="170"/>
      <c r="S148" s="170"/>
      <c r="T148" s="170"/>
      <c r="U148" s="170"/>
      <c r="V148" s="170"/>
      <c r="W148" s="170"/>
      <c r="X148" s="170"/>
      <c r="Y148" s="170"/>
      <c r="Z148" s="171"/>
      <c r="AB148" s="454">
        <f ca="1">IF(AND($D148="Serviço",AB$12&lt;&gt;0,$H148&gt;0,OR(AUTOEVENTO&lt;&gt;"manual",$M148&lt;&gt;$A$15)),
        IF(Import.TipoArredondamento&lt;&gt;"TransfereGOV",
              ROUND(OFFSET($P148,0,AB$13),15-13*ORÇAMENTO!$AF$7)/$H148*OFFSET(ORÇAMENTO!$X$15,ROW(AB148)-ROW(AB$15),0),
              ROUND(ROUND(OFFSET($P148,0,AB$13),15-13*ORÇAMENTO!$AF$7)*OFFSET(ORÇAMENTO!$W$15,ROW(AB148)-ROW(AB$15),0),15-13*ORÇAMENTO!$AF$11)),
         0)</f>
        <v>0</v>
      </c>
      <c r="AC148" s="454">
        <f ca="1">IF(AND($D148="Serviço",AC$12&lt;&gt;0,$H148&gt;0,OR(AUTOEVENTO&lt;&gt;"manual",$M148&lt;&gt;$A$15)),
        IF(Import.TipoArredondamento&lt;&gt;"TransfereGOV",
              ROUND(OFFSET($P148,0,AC$13),15-13*ORÇAMENTO!$AF$7)/$H148*OFFSET(ORÇAMENTO!$X$15,ROW(AC148)-ROW(AC$15),0),
              ROUND(ROUND(OFFSET($P148,0,AC$13),15-13*ORÇAMENTO!$AF$7)*OFFSET(ORÇAMENTO!$W$15,ROW(AC148)-ROW(AC$15),0),15-13*ORÇAMENTO!$AF$11)),
         0)</f>
        <v>0</v>
      </c>
      <c r="AD148" s="454">
        <f ca="1">IF(AND($D148="Serviço",AD$12&lt;&gt;0,$H148&gt;0,OR(AUTOEVENTO&lt;&gt;"manual",$M148&lt;&gt;$A$15)),
        IF(Import.TipoArredondamento&lt;&gt;"TransfereGOV",
              ROUND(OFFSET($P148,0,AD$13),15-13*ORÇAMENTO!$AF$7)/$H148*OFFSET(ORÇAMENTO!$X$15,ROW(AD148)-ROW(AD$15),0),
              ROUND(ROUND(OFFSET($P148,0,AD$13),15-13*ORÇAMENTO!$AF$7)*OFFSET(ORÇAMENTO!$W$15,ROW(AD148)-ROW(AD$15),0),15-13*ORÇAMENTO!$AF$11)),
         0)</f>
        <v>0</v>
      </c>
      <c r="AE148" s="454">
        <f ca="1">IF(AND($D148="Serviço",AE$12&lt;&gt;0,$H148&gt;0,OR(AUTOEVENTO&lt;&gt;"manual",$M148&lt;&gt;$A$15)),
        IF(Import.TipoArredondamento&lt;&gt;"TransfereGOV",
              ROUND(OFFSET($P148,0,AE$13),15-13*ORÇAMENTO!$AF$7)/$H148*OFFSET(ORÇAMENTO!$X$15,ROW(AE148)-ROW(AE$15),0),
              ROUND(ROUND(OFFSET($P148,0,AE$13),15-13*ORÇAMENTO!$AF$7)*OFFSET(ORÇAMENTO!$W$15,ROW(AE148)-ROW(AE$15),0),15-13*ORÇAMENTO!$AF$11)),
         0)</f>
        <v>0</v>
      </c>
      <c r="AF148" s="454">
        <f ca="1">IF(AND($D148="Serviço",AF$12&lt;&gt;0,$H148&gt;0,OR(AUTOEVENTO&lt;&gt;"manual",$M148&lt;&gt;$A$15)),
        IF(Import.TipoArredondamento&lt;&gt;"TransfereGOV",
              ROUND(OFFSET($P148,0,AF$13),15-13*ORÇAMENTO!$AF$7)/$H148*OFFSET(ORÇAMENTO!$X$15,ROW(AF148)-ROW(AF$15),0),
              ROUND(ROUND(OFFSET($P148,0,AF$13),15-13*ORÇAMENTO!$AF$7)*OFFSET(ORÇAMENTO!$W$15,ROW(AF148)-ROW(AF$15),0),15-13*ORÇAMENTO!$AF$11)),
         0)</f>
        <v>0</v>
      </c>
      <c r="AG148" s="454">
        <f ca="1">IF(AND($D148="Serviço",AG$12&lt;&gt;0,$H148&gt;0,OR(AUTOEVENTO&lt;&gt;"manual",$M148&lt;&gt;$A$15)),
        IF(Import.TipoArredondamento&lt;&gt;"TransfereGOV",
              ROUND(OFFSET($P148,0,AG$13),15-13*ORÇAMENTO!$AF$7)/$H148*OFFSET(ORÇAMENTO!$X$15,ROW(AG148)-ROW(AG$15),0),
              ROUND(ROUND(OFFSET($P148,0,AG$13),15-13*ORÇAMENTO!$AF$7)*OFFSET(ORÇAMENTO!$W$15,ROW(AG148)-ROW(AG$15),0),15-13*ORÇAMENTO!$AF$11)),
         0)</f>
        <v>0</v>
      </c>
      <c r="AH148" s="454">
        <f ca="1">IF(AND($D148="Serviço",AH$12&lt;&gt;0,$H148&gt;0,OR(AUTOEVENTO&lt;&gt;"manual",$M148&lt;&gt;$A$15)),
        IF(Import.TipoArredondamento&lt;&gt;"TransfereGOV",
              ROUND(OFFSET($P148,0,AH$13),15-13*ORÇAMENTO!$AF$7)/$H148*OFFSET(ORÇAMENTO!$X$15,ROW(AH148)-ROW(AH$15),0),
              ROUND(ROUND(OFFSET($P148,0,AH$13),15-13*ORÇAMENTO!$AF$7)*OFFSET(ORÇAMENTO!$W$15,ROW(AH148)-ROW(AH$15),0),15-13*ORÇAMENTO!$AF$11)),
         0)</f>
        <v>0</v>
      </c>
      <c r="AI148" s="454">
        <f ca="1">IF(AND($D148="Serviço",AI$12&lt;&gt;0,$H148&gt;0,OR(AUTOEVENTO&lt;&gt;"manual",$M148&lt;&gt;$A$15)),
        IF(Import.TipoArredondamento&lt;&gt;"TransfereGOV",
              ROUND(OFFSET($P148,0,AI$13),15-13*ORÇAMENTO!$AF$7)/$H148*OFFSET(ORÇAMENTO!$X$15,ROW(AI148)-ROW(AI$15),0),
              ROUND(ROUND(OFFSET($P148,0,AI$13),15-13*ORÇAMENTO!$AF$7)*OFFSET(ORÇAMENTO!$W$15,ROW(AI148)-ROW(AI$15),0),15-13*ORÇAMENTO!$AF$11)),
         0)</f>
        <v>0</v>
      </c>
      <c r="AJ148" s="454">
        <f ca="1">IF(AND($D148="Serviço",AJ$12&lt;&gt;0,$H148&gt;0,OR(AUTOEVENTO&lt;&gt;"manual",$M148&lt;&gt;$A$15)),
        IF(Import.TipoArredondamento&lt;&gt;"TransfereGOV",
              ROUND(OFFSET($P148,0,AJ$13),15-13*ORÇAMENTO!$AF$7)/$H148*OFFSET(ORÇAMENTO!$X$15,ROW(AJ148)-ROW(AJ$15),0),
              ROUND(ROUND(OFFSET($P148,0,AJ$13),15-13*ORÇAMENTO!$AF$7)*OFFSET(ORÇAMENTO!$W$15,ROW(AJ148)-ROW(AJ$15),0),15-13*ORÇAMENTO!$AF$11)),
         0)</f>
        <v>0</v>
      </c>
      <c r="AK148" s="454">
        <f ca="1">IF(AND($D148="Serviço",AK$12&lt;&gt;0,$H148&gt;0,OR(AUTOEVENTO&lt;&gt;"manual",$M148&lt;&gt;$A$15)),
        IF(Import.TipoArredondamento&lt;&gt;"TransfereGOV",
              ROUND(OFFSET($P148,0,AK$13),15-13*ORÇAMENTO!$AF$7)/$H148*OFFSET(ORÇAMENTO!$X$15,ROW(AK148)-ROW(AK$15),0),
              ROUND(ROUND(OFFSET($P148,0,AK$13),15-13*ORÇAMENTO!$AF$7)*OFFSET(ORÇAMENTO!$W$15,ROW(AK148)-ROW(AK$15),0),15-13*ORÇAMENTO!$AF$11)),
         0)</f>
        <v>0</v>
      </c>
      <c r="AM148" s="172">
        <f ca="1">IF(OR($D148&lt;&gt;"Serviço",AND(AUTOEVENTO="Manual",$M148=$A$15)),0,
         IF(OFFSET(CRONOPLE!$F$15,$M148-$A$15,AM$13)="",10^12,OFFSET(CRONOPLE!$F$15,$M148-$A$15,AM$13)))</f>
        <v>1000000000000</v>
      </c>
      <c r="AN148" s="172">
        <f ca="1">IF(OR($D148&lt;&gt;"Serviço",AND(AUTOEVENTO="Manual",$M148=$A$15)),0,
         IF(OFFSET(CRONOPLE!$F$15,$M148-$A$15,AN$13)="",10^12,OFFSET(CRONOPLE!$F$15,$M148-$A$15,AN$13)))</f>
        <v>1000000000000</v>
      </c>
      <c r="AO148" s="172">
        <f ca="1">IF(OR($D148&lt;&gt;"Serviço",AND(AUTOEVENTO="Manual",$M148=$A$15)),0,
         IF(OFFSET(CRONOPLE!$F$15,$M148-$A$15,AO$13)="",10^12,OFFSET(CRONOPLE!$F$15,$M148-$A$15,AO$13)))</f>
        <v>1000000000000</v>
      </c>
      <c r="AP148" s="172">
        <f ca="1">IF(OR($D148&lt;&gt;"Serviço",AND(AUTOEVENTO="Manual",$M148=$A$15)),0,
         IF(OFFSET(CRONOPLE!$F$15,$M148-$A$15,AP$13)="",10^12,OFFSET(CRONOPLE!$F$15,$M148-$A$15,AP$13)))</f>
        <v>1000000000000</v>
      </c>
      <c r="AQ148" s="172">
        <f ca="1">IF(OR($D148&lt;&gt;"Serviço",AND(AUTOEVENTO="Manual",$M148=$A$15)),0,
         IF(OFFSET(CRONOPLE!$F$15,$M148-$A$15,AQ$13)="",10^12,OFFSET(CRONOPLE!$F$15,$M148-$A$15,AQ$13)))</f>
        <v>1000000000000</v>
      </c>
      <c r="AR148" s="172">
        <f ca="1">IF(OR($D148&lt;&gt;"Serviço",AND(AUTOEVENTO="Manual",$M148=$A$15)),0,
         IF(OFFSET(CRONOPLE!$F$15,$M148-$A$15,AR$13)="",10^12,OFFSET(CRONOPLE!$F$15,$M148-$A$15,AR$13)))</f>
        <v>1000000000000</v>
      </c>
      <c r="AS148" s="172">
        <f ca="1">IF(OR($D148&lt;&gt;"Serviço",AND(AUTOEVENTO="Manual",$M148=$A$15)),0,
         IF(OFFSET(CRONOPLE!$F$15,$M148-$A$15,AS$13)="",10^12,OFFSET(CRONOPLE!$F$15,$M148-$A$15,AS$13)))</f>
        <v>1000000000000</v>
      </c>
      <c r="AT148" s="172">
        <f ca="1">IF(OR($D148&lt;&gt;"Serviço",AND(AUTOEVENTO="Manual",$M148=$A$15)),0,
         IF(OFFSET(CRONOPLE!$F$15,$M148-$A$15,AT$13)="",10^12,OFFSET(CRONOPLE!$F$15,$M148-$A$15,AT$13)))</f>
        <v>1000000000000</v>
      </c>
      <c r="AU148" s="172">
        <f ca="1">IF(OR($D148&lt;&gt;"Serviço",AND(AUTOEVENTO="Manual",$M148=$A$15)),0,
         IF(OFFSET(CRONOPLE!$F$15,$M148-$A$15,AU$13)="",10^12,OFFSET(CRONOPLE!$F$15,$M148-$A$15,AU$13)))</f>
        <v>1000000000000</v>
      </c>
      <c r="AV148" s="172">
        <f ca="1">IF(OR($D148&lt;&gt;"Serviço",AND(AUTOEVENTO="Manual",$M148=$A$15)),0,
         IF(OFFSET(CRONOPLE!$F$15,$M148-$A$15,AV$13)="",10^12,OFFSET(CRONOPLE!$F$15,$M148-$A$15,AV$13)))</f>
        <v>1000000000000</v>
      </c>
      <c r="AX148" s="173">
        <f ca="1">IF(OR($D148&lt;&gt;"Serviço",AND(AUTOEVENTO="Manual",$M148=$A$15),$M148&gt;(ROW(PLE.lastrow)-ROW(PLE.firstrow))),0,
           IF(OFFSET(PLE!$G$15,$M148-$A$15,AX$13)="",10^12,OFFSET(PLE!$G$15,$M148-$A$15,AX$13)))</f>
        <v>1000000000000</v>
      </c>
      <c r="AY148" s="173">
        <f ca="1">IF(OR($D148&lt;&gt;"Serviço",AND(AUTOEVENTO="Manual",$M148=$A$15),$M148&gt;(ROW(PLE.lastrow)-ROW(PLE.firstrow))),0,
           IF(OFFSET(PLE!$G$15,$M148-$A$15,AY$13)="",10^12,OFFSET(PLE!$G$15,$M148-$A$15,AY$13)))</f>
        <v>1000000000000</v>
      </c>
      <c r="AZ148" s="173">
        <f ca="1">IF(OR($D148&lt;&gt;"Serviço",AND(AUTOEVENTO="Manual",$M148=$A$15),$M148&gt;(ROW(PLE.lastrow)-ROW(PLE.firstrow))),0,
           IF(OFFSET(PLE!$G$15,$M148-$A$15,AZ$13)="",10^12,OFFSET(PLE!$G$15,$M148-$A$15,AZ$13)))</f>
        <v>1000000000000</v>
      </c>
      <c r="BA148" s="173">
        <f ca="1">IF(OR($D148&lt;&gt;"Serviço",AND(AUTOEVENTO="Manual",$M148=$A$15),$M148&gt;(ROW(PLE.lastrow)-ROW(PLE.firstrow))),0,
           IF(OFFSET(PLE!$G$15,$M148-$A$15,BA$13)="",10^12,OFFSET(PLE!$G$15,$M148-$A$15,BA$13)))</f>
        <v>1000000000000</v>
      </c>
      <c r="BB148" s="173">
        <f ca="1">IF(OR($D148&lt;&gt;"Serviço",AND(AUTOEVENTO="Manual",$M148=$A$15),$M148&gt;(ROW(PLE.lastrow)-ROW(PLE.firstrow))),0,
           IF(OFFSET(PLE!$G$15,$M148-$A$15,BB$13)="",10^12,OFFSET(PLE!$G$15,$M148-$A$15,BB$13)))</f>
        <v>1000000000000</v>
      </c>
      <c r="BC148" s="173">
        <f ca="1">IF(OR($D148&lt;&gt;"Serviço",AND(AUTOEVENTO="Manual",$M148=$A$15),$M148&gt;(ROW(PLE.lastrow)-ROW(PLE.firstrow))),0,
           IF(OFFSET(PLE!$G$15,$M148-$A$15,BC$13)="",10^12,OFFSET(PLE!$G$15,$M148-$A$15,BC$13)))</f>
        <v>1000000000000</v>
      </c>
      <c r="BD148" s="173">
        <f ca="1">IF(OR($D148&lt;&gt;"Serviço",AND(AUTOEVENTO="Manual",$M148=$A$15),$M148&gt;(ROW(PLE.lastrow)-ROW(PLE.firstrow))),0,
           IF(OFFSET(PLE!$G$15,$M148-$A$15,BD$13)="",10^12,OFFSET(PLE!$G$15,$M148-$A$15,BD$13)))</f>
        <v>1000000000000</v>
      </c>
      <c r="BE148" s="173">
        <f ca="1">IF(OR($D148&lt;&gt;"Serviço",AND(AUTOEVENTO="Manual",$M148=$A$15),$M148&gt;(ROW(PLE.lastrow)-ROW(PLE.firstrow))),0,
           IF(OFFSET(PLE!$G$15,$M148-$A$15,BE$13)="",10^12,OFFSET(PLE!$G$15,$M148-$A$15,BE$13)))</f>
        <v>1000000000000</v>
      </c>
      <c r="BF148" s="173">
        <f ca="1">IF(OR($D148&lt;&gt;"Serviço",AND(AUTOEVENTO="Manual",$M148=$A$15),$M148&gt;(ROW(PLE.lastrow)-ROW(PLE.firstrow))),0,
           IF(OFFSET(PLE!$G$15,$M148-$A$15,BF$13)="",10^12,OFFSET(PLE!$G$15,$M148-$A$15,BF$13)))</f>
        <v>1000000000000</v>
      </c>
      <c r="BG148" s="173">
        <f ca="1">IF(OR($D148&lt;&gt;"Serviço",AND(AUTOEVENTO="Manual",$M148=$A$15),$M148&gt;(ROW(PLE.lastrow)-ROW(PLE.firstrow))),0,
           IF(OFFSET(PLE!$G$15,$M148-$A$15,BG$13)="",10^12,OFFSET(PLE!$G$15,$M148-$A$15,BG$13)))</f>
        <v>1000000000000</v>
      </c>
    </row>
    <row r="149" spans="1:59" ht="38.25" x14ac:dyDescent="0.2">
      <c r="A149" s="7" t="str">
        <f t="shared" ca="1" si="10"/>
        <v>114</v>
      </c>
      <c r="B149" s="7" t="str">
        <f ca="1">OFFSET(ORÇAMENTO!C$15,ROW(B149)-ROW(B$15),0)</f>
        <v>S</v>
      </c>
      <c r="C149" s="7" t="str">
        <f ca="1">OFFSET(ORÇAMENTO!L$15,ROW(C149)-ROW(C$15),0)</f>
        <v/>
      </c>
      <c r="D149" s="117" t="str">
        <f ca="1">OFFSET(ORÇAMENTO!N$15,ROW(D149)-ROW(D$15),0)</f>
        <v>Serviço</v>
      </c>
      <c r="E149" s="118" t="str">
        <f ca="1">OFFSET(ORÇAMENTO!O$15,ROW(E149)-ROW(E$15),0)</f>
        <v>-</v>
      </c>
      <c r="F149" s="164" t="str">
        <f ca="1">OFFSET(ORÇAMENTO!R$15,ROW(F149)-ROW(F$15),0)</f>
        <v>JUNÇÃO SIMPLES, PVC, SERIE NORMAL, ESGOTO PREDIAL, DN 100 X 100 MM, JUNTA ELÁSTICA, FORNECIDO E INSTALADO EM RAMAL DE DESCARGA OU RAMAL DE ESGOTO SANITÁRIO. AF_08/2022</v>
      </c>
      <c r="G149" s="165" t="str">
        <f ca="1">IF($D149&lt;&gt;"Serviço","",OFFSET(ORÇAMENTO!S$15,ROW(G149)-ROW(G$15),0))</f>
        <v>UN</v>
      </c>
      <c r="H149" s="123">
        <f ca="1">IF($D149&lt;&gt;"Serviço",0,IF(ACOMPANHAMENTO="BM",ROUND(OFFSET(ORÇAMENTO!AJ$15,ROW(H149)-ROW(H$15),0),15-13*ORÇAMENTO!$AF$7),SUMPRODUCT(($Q$1:$AA$1=1)*ROUND($Q149:$AA149,15-13*ORÇAMENTO!$AF$7))))</f>
        <v>14</v>
      </c>
      <c r="I149" s="469"/>
      <c r="J149" s="577" t="str" cm="1">
        <f t="array" aca="1" ref="J149" ca="1">IF(B149&lt;&gt;"S","",IF(AND(ACOMPANHAMENTO="PLE",AUTOEVENTO="Manual",OR(H149&gt;0,ORÇAMENTO!AC149="QUANT."),OR(K149="",M149=0,N149="")),"►",IF(AND(ACOMPANHAMENTO="PLE",ORÇAMENTO!AC149="QUANT."),"►►",IF(AND(COUNTIF($P$11:$AA$11,"▼")=0,H149&gt;0,I149=""),"◄",""))))</f>
        <v>◄</v>
      </c>
      <c r="K149" s="626"/>
      <c r="L149" s="166" t="s">
        <v>765</v>
      </c>
      <c r="M149" s="167">
        <f ca="1">IF($D149&lt;&gt;"Serviço","",
          IF(AUTOEVENTO="manual",$A149,
                IF(ISERROR(MATCH($A149,$A$15:OFFSET($A149,-1,0),0)),MAX($M$15:OFFSET(M149,-1,0))+1,
                      INDEX($M$15:OFFSET(M149,-1,0),MATCH($A149,$A$15:OFFSET($A149,-1,0),0)))))</f>
        <v>11</v>
      </c>
      <c r="N149" s="168" t="str">
        <f ca="1">IF($D149&lt;&gt;"Serviço","",
         IF(AUTOEVENTO="Manual",
                IF($A149=0,"&lt;-- defina o número do agrupador",
                       OFFSET(EVENTOS!$D$15,$A149-$A$15,0)),
                OFFSET($F$15,$A149,0)))</f>
        <v>INSTALAÇÕES HIDROSSANITÁRIAS</v>
      </c>
      <c r="O149" s="169"/>
      <c r="Q149" s="169"/>
      <c r="R149" s="170"/>
      <c r="S149" s="170"/>
      <c r="T149" s="170"/>
      <c r="U149" s="170"/>
      <c r="V149" s="170"/>
      <c r="W149" s="170"/>
      <c r="X149" s="170"/>
      <c r="Y149" s="170"/>
      <c r="Z149" s="171"/>
      <c r="AB149" s="454">
        <f ca="1">IF(AND($D149="Serviço",AB$12&lt;&gt;0,$H149&gt;0,OR(AUTOEVENTO&lt;&gt;"manual",$M149&lt;&gt;$A$15)),
        IF(Import.TipoArredondamento&lt;&gt;"TransfereGOV",
              ROUND(OFFSET($P149,0,AB$13),15-13*ORÇAMENTO!$AF$7)/$H149*OFFSET(ORÇAMENTO!$X$15,ROW(AB149)-ROW(AB$15),0),
              ROUND(ROUND(OFFSET($P149,0,AB$13),15-13*ORÇAMENTO!$AF$7)*OFFSET(ORÇAMENTO!$W$15,ROW(AB149)-ROW(AB$15),0),15-13*ORÇAMENTO!$AF$11)),
         0)</f>
        <v>0</v>
      </c>
      <c r="AC149" s="454">
        <f ca="1">IF(AND($D149="Serviço",AC$12&lt;&gt;0,$H149&gt;0,OR(AUTOEVENTO&lt;&gt;"manual",$M149&lt;&gt;$A$15)),
        IF(Import.TipoArredondamento&lt;&gt;"TransfereGOV",
              ROUND(OFFSET($P149,0,AC$13),15-13*ORÇAMENTO!$AF$7)/$H149*OFFSET(ORÇAMENTO!$X$15,ROW(AC149)-ROW(AC$15),0),
              ROUND(ROUND(OFFSET($P149,0,AC$13),15-13*ORÇAMENTO!$AF$7)*OFFSET(ORÇAMENTO!$W$15,ROW(AC149)-ROW(AC$15),0),15-13*ORÇAMENTO!$AF$11)),
         0)</f>
        <v>0</v>
      </c>
      <c r="AD149" s="454">
        <f ca="1">IF(AND($D149="Serviço",AD$12&lt;&gt;0,$H149&gt;0,OR(AUTOEVENTO&lt;&gt;"manual",$M149&lt;&gt;$A$15)),
        IF(Import.TipoArredondamento&lt;&gt;"TransfereGOV",
              ROUND(OFFSET($P149,0,AD$13),15-13*ORÇAMENTO!$AF$7)/$H149*OFFSET(ORÇAMENTO!$X$15,ROW(AD149)-ROW(AD$15),0),
              ROUND(ROUND(OFFSET($P149,0,AD$13),15-13*ORÇAMENTO!$AF$7)*OFFSET(ORÇAMENTO!$W$15,ROW(AD149)-ROW(AD$15),0),15-13*ORÇAMENTO!$AF$11)),
         0)</f>
        <v>0</v>
      </c>
      <c r="AE149" s="454">
        <f ca="1">IF(AND($D149="Serviço",AE$12&lt;&gt;0,$H149&gt;0,OR(AUTOEVENTO&lt;&gt;"manual",$M149&lt;&gt;$A$15)),
        IF(Import.TipoArredondamento&lt;&gt;"TransfereGOV",
              ROUND(OFFSET($P149,0,AE$13),15-13*ORÇAMENTO!$AF$7)/$H149*OFFSET(ORÇAMENTO!$X$15,ROW(AE149)-ROW(AE$15),0),
              ROUND(ROUND(OFFSET($P149,0,AE$13),15-13*ORÇAMENTO!$AF$7)*OFFSET(ORÇAMENTO!$W$15,ROW(AE149)-ROW(AE$15),0),15-13*ORÇAMENTO!$AF$11)),
         0)</f>
        <v>0</v>
      </c>
      <c r="AF149" s="454">
        <f ca="1">IF(AND($D149="Serviço",AF$12&lt;&gt;0,$H149&gt;0,OR(AUTOEVENTO&lt;&gt;"manual",$M149&lt;&gt;$A$15)),
        IF(Import.TipoArredondamento&lt;&gt;"TransfereGOV",
              ROUND(OFFSET($P149,0,AF$13),15-13*ORÇAMENTO!$AF$7)/$H149*OFFSET(ORÇAMENTO!$X$15,ROW(AF149)-ROW(AF$15),0),
              ROUND(ROUND(OFFSET($P149,0,AF$13),15-13*ORÇAMENTO!$AF$7)*OFFSET(ORÇAMENTO!$W$15,ROW(AF149)-ROW(AF$15),0),15-13*ORÇAMENTO!$AF$11)),
         0)</f>
        <v>0</v>
      </c>
      <c r="AG149" s="454">
        <f ca="1">IF(AND($D149="Serviço",AG$12&lt;&gt;0,$H149&gt;0,OR(AUTOEVENTO&lt;&gt;"manual",$M149&lt;&gt;$A$15)),
        IF(Import.TipoArredondamento&lt;&gt;"TransfereGOV",
              ROUND(OFFSET($P149,0,AG$13),15-13*ORÇAMENTO!$AF$7)/$H149*OFFSET(ORÇAMENTO!$X$15,ROW(AG149)-ROW(AG$15),0),
              ROUND(ROUND(OFFSET($P149,0,AG$13),15-13*ORÇAMENTO!$AF$7)*OFFSET(ORÇAMENTO!$W$15,ROW(AG149)-ROW(AG$15),0),15-13*ORÇAMENTO!$AF$11)),
         0)</f>
        <v>0</v>
      </c>
      <c r="AH149" s="454">
        <f ca="1">IF(AND($D149="Serviço",AH$12&lt;&gt;0,$H149&gt;0,OR(AUTOEVENTO&lt;&gt;"manual",$M149&lt;&gt;$A$15)),
        IF(Import.TipoArredondamento&lt;&gt;"TransfereGOV",
              ROUND(OFFSET($P149,0,AH$13),15-13*ORÇAMENTO!$AF$7)/$H149*OFFSET(ORÇAMENTO!$X$15,ROW(AH149)-ROW(AH$15),0),
              ROUND(ROUND(OFFSET($P149,0,AH$13),15-13*ORÇAMENTO!$AF$7)*OFFSET(ORÇAMENTO!$W$15,ROW(AH149)-ROW(AH$15),0),15-13*ORÇAMENTO!$AF$11)),
         0)</f>
        <v>0</v>
      </c>
      <c r="AI149" s="454">
        <f ca="1">IF(AND($D149="Serviço",AI$12&lt;&gt;0,$H149&gt;0,OR(AUTOEVENTO&lt;&gt;"manual",$M149&lt;&gt;$A$15)),
        IF(Import.TipoArredondamento&lt;&gt;"TransfereGOV",
              ROUND(OFFSET($P149,0,AI$13),15-13*ORÇAMENTO!$AF$7)/$H149*OFFSET(ORÇAMENTO!$X$15,ROW(AI149)-ROW(AI$15),0),
              ROUND(ROUND(OFFSET($P149,0,AI$13),15-13*ORÇAMENTO!$AF$7)*OFFSET(ORÇAMENTO!$W$15,ROW(AI149)-ROW(AI$15),0),15-13*ORÇAMENTO!$AF$11)),
         0)</f>
        <v>0</v>
      </c>
      <c r="AJ149" s="454">
        <f ca="1">IF(AND($D149="Serviço",AJ$12&lt;&gt;0,$H149&gt;0,OR(AUTOEVENTO&lt;&gt;"manual",$M149&lt;&gt;$A$15)),
        IF(Import.TipoArredondamento&lt;&gt;"TransfereGOV",
              ROUND(OFFSET($P149,0,AJ$13),15-13*ORÇAMENTO!$AF$7)/$H149*OFFSET(ORÇAMENTO!$X$15,ROW(AJ149)-ROW(AJ$15),0),
              ROUND(ROUND(OFFSET($P149,0,AJ$13),15-13*ORÇAMENTO!$AF$7)*OFFSET(ORÇAMENTO!$W$15,ROW(AJ149)-ROW(AJ$15),0),15-13*ORÇAMENTO!$AF$11)),
         0)</f>
        <v>0</v>
      </c>
      <c r="AK149" s="454">
        <f ca="1">IF(AND($D149="Serviço",AK$12&lt;&gt;0,$H149&gt;0,OR(AUTOEVENTO&lt;&gt;"manual",$M149&lt;&gt;$A$15)),
        IF(Import.TipoArredondamento&lt;&gt;"TransfereGOV",
              ROUND(OFFSET($P149,0,AK$13),15-13*ORÇAMENTO!$AF$7)/$H149*OFFSET(ORÇAMENTO!$X$15,ROW(AK149)-ROW(AK$15),0),
              ROUND(ROUND(OFFSET($P149,0,AK$13),15-13*ORÇAMENTO!$AF$7)*OFFSET(ORÇAMENTO!$W$15,ROW(AK149)-ROW(AK$15),0),15-13*ORÇAMENTO!$AF$11)),
         0)</f>
        <v>0</v>
      </c>
      <c r="AM149" s="172">
        <f ca="1">IF(OR($D149&lt;&gt;"Serviço",AND(AUTOEVENTO="Manual",$M149=$A$15)),0,
         IF(OFFSET(CRONOPLE!$F$15,$M149-$A$15,AM$13)="",10^12,OFFSET(CRONOPLE!$F$15,$M149-$A$15,AM$13)))</f>
        <v>1000000000000</v>
      </c>
      <c r="AN149" s="172">
        <f ca="1">IF(OR($D149&lt;&gt;"Serviço",AND(AUTOEVENTO="Manual",$M149=$A$15)),0,
         IF(OFFSET(CRONOPLE!$F$15,$M149-$A$15,AN$13)="",10^12,OFFSET(CRONOPLE!$F$15,$M149-$A$15,AN$13)))</f>
        <v>1000000000000</v>
      </c>
      <c r="AO149" s="172">
        <f ca="1">IF(OR($D149&lt;&gt;"Serviço",AND(AUTOEVENTO="Manual",$M149=$A$15)),0,
         IF(OFFSET(CRONOPLE!$F$15,$M149-$A$15,AO$13)="",10^12,OFFSET(CRONOPLE!$F$15,$M149-$A$15,AO$13)))</f>
        <v>1000000000000</v>
      </c>
      <c r="AP149" s="172">
        <f ca="1">IF(OR($D149&lt;&gt;"Serviço",AND(AUTOEVENTO="Manual",$M149=$A$15)),0,
         IF(OFFSET(CRONOPLE!$F$15,$M149-$A$15,AP$13)="",10^12,OFFSET(CRONOPLE!$F$15,$M149-$A$15,AP$13)))</f>
        <v>1000000000000</v>
      </c>
      <c r="AQ149" s="172">
        <f ca="1">IF(OR($D149&lt;&gt;"Serviço",AND(AUTOEVENTO="Manual",$M149=$A$15)),0,
         IF(OFFSET(CRONOPLE!$F$15,$M149-$A$15,AQ$13)="",10^12,OFFSET(CRONOPLE!$F$15,$M149-$A$15,AQ$13)))</f>
        <v>1000000000000</v>
      </c>
      <c r="AR149" s="172">
        <f ca="1">IF(OR($D149&lt;&gt;"Serviço",AND(AUTOEVENTO="Manual",$M149=$A$15)),0,
         IF(OFFSET(CRONOPLE!$F$15,$M149-$A$15,AR$13)="",10^12,OFFSET(CRONOPLE!$F$15,$M149-$A$15,AR$13)))</f>
        <v>1000000000000</v>
      </c>
      <c r="AS149" s="172">
        <f ca="1">IF(OR($D149&lt;&gt;"Serviço",AND(AUTOEVENTO="Manual",$M149=$A$15)),0,
         IF(OFFSET(CRONOPLE!$F$15,$M149-$A$15,AS$13)="",10^12,OFFSET(CRONOPLE!$F$15,$M149-$A$15,AS$13)))</f>
        <v>1000000000000</v>
      </c>
      <c r="AT149" s="172">
        <f ca="1">IF(OR($D149&lt;&gt;"Serviço",AND(AUTOEVENTO="Manual",$M149=$A$15)),0,
         IF(OFFSET(CRONOPLE!$F$15,$M149-$A$15,AT$13)="",10^12,OFFSET(CRONOPLE!$F$15,$M149-$A$15,AT$13)))</f>
        <v>1000000000000</v>
      </c>
      <c r="AU149" s="172">
        <f ca="1">IF(OR($D149&lt;&gt;"Serviço",AND(AUTOEVENTO="Manual",$M149=$A$15)),0,
         IF(OFFSET(CRONOPLE!$F$15,$M149-$A$15,AU$13)="",10^12,OFFSET(CRONOPLE!$F$15,$M149-$A$15,AU$13)))</f>
        <v>1000000000000</v>
      </c>
      <c r="AV149" s="172">
        <f ca="1">IF(OR($D149&lt;&gt;"Serviço",AND(AUTOEVENTO="Manual",$M149=$A$15)),0,
         IF(OFFSET(CRONOPLE!$F$15,$M149-$A$15,AV$13)="",10^12,OFFSET(CRONOPLE!$F$15,$M149-$A$15,AV$13)))</f>
        <v>1000000000000</v>
      </c>
      <c r="AX149" s="173">
        <f ca="1">IF(OR($D149&lt;&gt;"Serviço",AND(AUTOEVENTO="Manual",$M149=$A$15),$M149&gt;(ROW(PLE.lastrow)-ROW(PLE.firstrow))),0,
           IF(OFFSET(PLE!$G$15,$M149-$A$15,AX$13)="",10^12,OFFSET(PLE!$G$15,$M149-$A$15,AX$13)))</f>
        <v>1000000000000</v>
      </c>
      <c r="AY149" s="173">
        <f ca="1">IF(OR($D149&lt;&gt;"Serviço",AND(AUTOEVENTO="Manual",$M149=$A$15),$M149&gt;(ROW(PLE.lastrow)-ROW(PLE.firstrow))),0,
           IF(OFFSET(PLE!$G$15,$M149-$A$15,AY$13)="",10^12,OFFSET(PLE!$G$15,$M149-$A$15,AY$13)))</f>
        <v>1000000000000</v>
      </c>
      <c r="AZ149" s="173">
        <f ca="1">IF(OR($D149&lt;&gt;"Serviço",AND(AUTOEVENTO="Manual",$M149=$A$15),$M149&gt;(ROW(PLE.lastrow)-ROW(PLE.firstrow))),0,
           IF(OFFSET(PLE!$G$15,$M149-$A$15,AZ$13)="",10^12,OFFSET(PLE!$G$15,$M149-$A$15,AZ$13)))</f>
        <v>1000000000000</v>
      </c>
      <c r="BA149" s="173">
        <f ca="1">IF(OR($D149&lt;&gt;"Serviço",AND(AUTOEVENTO="Manual",$M149=$A$15),$M149&gt;(ROW(PLE.lastrow)-ROW(PLE.firstrow))),0,
           IF(OFFSET(PLE!$G$15,$M149-$A$15,BA$13)="",10^12,OFFSET(PLE!$G$15,$M149-$A$15,BA$13)))</f>
        <v>1000000000000</v>
      </c>
      <c r="BB149" s="173">
        <f ca="1">IF(OR($D149&lt;&gt;"Serviço",AND(AUTOEVENTO="Manual",$M149=$A$15),$M149&gt;(ROW(PLE.lastrow)-ROW(PLE.firstrow))),0,
           IF(OFFSET(PLE!$G$15,$M149-$A$15,BB$13)="",10^12,OFFSET(PLE!$G$15,$M149-$A$15,BB$13)))</f>
        <v>1000000000000</v>
      </c>
      <c r="BC149" s="173">
        <f ca="1">IF(OR($D149&lt;&gt;"Serviço",AND(AUTOEVENTO="Manual",$M149=$A$15),$M149&gt;(ROW(PLE.lastrow)-ROW(PLE.firstrow))),0,
           IF(OFFSET(PLE!$G$15,$M149-$A$15,BC$13)="",10^12,OFFSET(PLE!$G$15,$M149-$A$15,BC$13)))</f>
        <v>1000000000000</v>
      </c>
      <c r="BD149" s="173">
        <f ca="1">IF(OR($D149&lt;&gt;"Serviço",AND(AUTOEVENTO="Manual",$M149=$A$15),$M149&gt;(ROW(PLE.lastrow)-ROW(PLE.firstrow))),0,
           IF(OFFSET(PLE!$G$15,$M149-$A$15,BD$13)="",10^12,OFFSET(PLE!$G$15,$M149-$A$15,BD$13)))</f>
        <v>1000000000000</v>
      </c>
      <c r="BE149" s="173">
        <f ca="1">IF(OR($D149&lt;&gt;"Serviço",AND(AUTOEVENTO="Manual",$M149=$A$15),$M149&gt;(ROW(PLE.lastrow)-ROW(PLE.firstrow))),0,
           IF(OFFSET(PLE!$G$15,$M149-$A$15,BE$13)="",10^12,OFFSET(PLE!$G$15,$M149-$A$15,BE$13)))</f>
        <v>1000000000000</v>
      </c>
      <c r="BF149" s="173">
        <f ca="1">IF(OR($D149&lt;&gt;"Serviço",AND(AUTOEVENTO="Manual",$M149=$A$15),$M149&gt;(ROW(PLE.lastrow)-ROW(PLE.firstrow))),0,
           IF(OFFSET(PLE!$G$15,$M149-$A$15,BF$13)="",10^12,OFFSET(PLE!$G$15,$M149-$A$15,BF$13)))</f>
        <v>1000000000000</v>
      </c>
      <c r="BG149" s="173">
        <f ca="1">IF(OR($D149&lt;&gt;"Serviço",AND(AUTOEVENTO="Manual",$M149=$A$15),$M149&gt;(ROW(PLE.lastrow)-ROW(PLE.firstrow))),0,
           IF(OFFSET(PLE!$G$15,$M149-$A$15,BG$13)="",10^12,OFFSET(PLE!$G$15,$M149-$A$15,BG$13)))</f>
        <v>1000000000000</v>
      </c>
    </row>
    <row r="150" spans="1:59" ht="38.25" x14ac:dyDescent="0.2">
      <c r="A150" s="7" t="str">
        <f t="shared" ca="1" si="10"/>
        <v>114</v>
      </c>
      <c r="B150" s="7" t="str">
        <f ca="1">OFFSET(ORÇAMENTO!C$15,ROW(B150)-ROW(B$15),0)</f>
        <v>S</v>
      </c>
      <c r="C150" s="7" t="str">
        <f ca="1">OFFSET(ORÇAMENTO!L$15,ROW(C150)-ROW(C$15),0)</f>
        <v/>
      </c>
      <c r="D150" s="117" t="str">
        <f ca="1">OFFSET(ORÇAMENTO!N$15,ROW(D150)-ROW(D$15),0)</f>
        <v>Serviço</v>
      </c>
      <c r="E150" s="118" t="str">
        <f ca="1">OFFSET(ORÇAMENTO!O$15,ROW(E150)-ROW(E$15),0)</f>
        <v>-</v>
      </c>
      <c r="F150" s="164" t="str">
        <f ca="1">OFFSET(ORÇAMENTO!R$15,ROW(F150)-ROW(F$15),0)</f>
        <v>JUNÇÃO SIMPLES, PVC, SERIE NORMAL, ESGOTO PREDIAL, DN 40 MM, JUNTA SOLDÁVEL, FORNECIDO E INSTALADO EM RAMAL DE DESCARGA OU RAMAL DE ESGOTO SANITÁRIO. AF_08/2022</v>
      </c>
      <c r="G150" s="165" t="str">
        <f ca="1">IF($D150&lt;&gt;"Serviço","",OFFSET(ORÇAMENTO!S$15,ROW(G150)-ROW(G$15),0))</f>
        <v>UN</v>
      </c>
      <c r="H150" s="123">
        <f ca="1">IF($D150&lt;&gt;"Serviço",0,IF(ACOMPANHAMENTO="BM",ROUND(OFFSET(ORÇAMENTO!AJ$15,ROW(H150)-ROW(H$15),0),15-13*ORÇAMENTO!$AF$7),SUMPRODUCT(($Q$1:$AA$1=1)*ROUND($Q150:$AA150,15-13*ORÇAMENTO!$AF$7))))</f>
        <v>12</v>
      </c>
      <c r="I150" s="469"/>
      <c r="J150" s="577" t="str" cm="1">
        <f t="array" aca="1" ref="J150" ca="1">IF(B150&lt;&gt;"S","",IF(AND(ACOMPANHAMENTO="PLE",AUTOEVENTO="Manual",OR(H150&gt;0,ORÇAMENTO!AC150="QUANT."),OR(K150="",M150=0,N150="")),"►",IF(AND(ACOMPANHAMENTO="PLE",ORÇAMENTO!AC150="QUANT."),"►►",IF(AND(COUNTIF($P$11:$AA$11,"▼")=0,H150&gt;0,I150=""),"◄",""))))</f>
        <v>◄</v>
      </c>
      <c r="K150" s="626"/>
      <c r="L150" s="166" t="s">
        <v>765</v>
      </c>
      <c r="M150" s="167">
        <f ca="1">IF($D150&lt;&gt;"Serviço","",
          IF(AUTOEVENTO="manual",$A150,
                IF(ISERROR(MATCH($A150,$A$15:OFFSET($A150,-1,0),0)),MAX($M$15:OFFSET(M150,-1,0))+1,
                      INDEX($M$15:OFFSET(M150,-1,0),MATCH($A150,$A$15:OFFSET($A150,-1,0),0)))))</f>
        <v>11</v>
      </c>
      <c r="N150" s="168" t="str">
        <f ca="1">IF($D150&lt;&gt;"Serviço","",
         IF(AUTOEVENTO="Manual",
                IF($A150=0,"&lt;-- defina o número do agrupador",
                       OFFSET(EVENTOS!$D$15,$A150-$A$15,0)),
                OFFSET($F$15,$A150,0)))</f>
        <v>INSTALAÇÕES HIDROSSANITÁRIAS</v>
      </c>
      <c r="O150" s="169"/>
      <c r="Q150" s="169"/>
      <c r="R150" s="170"/>
      <c r="S150" s="170"/>
      <c r="T150" s="170"/>
      <c r="U150" s="170"/>
      <c r="V150" s="170"/>
      <c r="W150" s="170"/>
      <c r="X150" s="170"/>
      <c r="Y150" s="170"/>
      <c r="Z150" s="171"/>
      <c r="AB150" s="454">
        <f ca="1">IF(AND($D150="Serviço",AB$12&lt;&gt;0,$H150&gt;0,OR(AUTOEVENTO&lt;&gt;"manual",$M150&lt;&gt;$A$15)),
        IF(Import.TipoArredondamento&lt;&gt;"TransfereGOV",
              ROUND(OFFSET($P150,0,AB$13),15-13*ORÇAMENTO!$AF$7)/$H150*OFFSET(ORÇAMENTO!$X$15,ROW(AB150)-ROW(AB$15),0),
              ROUND(ROUND(OFFSET($P150,0,AB$13),15-13*ORÇAMENTO!$AF$7)*OFFSET(ORÇAMENTO!$W$15,ROW(AB150)-ROW(AB$15),0),15-13*ORÇAMENTO!$AF$11)),
         0)</f>
        <v>0</v>
      </c>
      <c r="AC150" s="454">
        <f ca="1">IF(AND($D150="Serviço",AC$12&lt;&gt;0,$H150&gt;0,OR(AUTOEVENTO&lt;&gt;"manual",$M150&lt;&gt;$A$15)),
        IF(Import.TipoArredondamento&lt;&gt;"TransfereGOV",
              ROUND(OFFSET($P150,0,AC$13),15-13*ORÇAMENTO!$AF$7)/$H150*OFFSET(ORÇAMENTO!$X$15,ROW(AC150)-ROW(AC$15),0),
              ROUND(ROUND(OFFSET($P150,0,AC$13),15-13*ORÇAMENTO!$AF$7)*OFFSET(ORÇAMENTO!$W$15,ROW(AC150)-ROW(AC$15),0),15-13*ORÇAMENTO!$AF$11)),
         0)</f>
        <v>0</v>
      </c>
      <c r="AD150" s="454">
        <f ca="1">IF(AND($D150="Serviço",AD$12&lt;&gt;0,$H150&gt;0,OR(AUTOEVENTO&lt;&gt;"manual",$M150&lt;&gt;$A$15)),
        IF(Import.TipoArredondamento&lt;&gt;"TransfereGOV",
              ROUND(OFFSET($P150,0,AD$13),15-13*ORÇAMENTO!$AF$7)/$H150*OFFSET(ORÇAMENTO!$X$15,ROW(AD150)-ROW(AD$15),0),
              ROUND(ROUND(OFFSET($P150,0,AD$13),15-13*ORÇAMENTO!$AF$7)*OFFSET(ORÇAMENTO!$W$15,ROW(AD150)-ROW(AD$15),0),15-13*ORÇAMENTO!$AF$11)),
         0)</f>
        <v>0</v>
      </c>
      <c r="AE150" s="454">
        <f ca="1">IF(AND($D150="Serviço",AE$12&lt;&gt;0,$H150&gt;0,OR(AUTOEVENTO&lt;&gt;"manual",$M150&lt;&gt;$A$15)),
        IF(Import.TipoArredondamento&lt;&gt;"TransfereGOV",
              ROUND(OFFSET($P150,0,AE$13),15-13*ORÇAMENTO!$AF$7)/$H150*OFFSET(ORÇAMENTO!$X$15,ROW(AE150)-ROW(AE$15),0),
              ROUND(ROUND(OFFSET($P150,0,AE$13),15-13*ORÇAMENTO!$AF$7)*OFFSET(ORÇAMENTO!$W$15,ROW(AE150)-ROW(AE$15),0),15-13*ORÇAMENTO!$AF$11)),
         0)</f>
        <v>0</v>
      </c>
      <c r="AF150" s="454">
        <f ca="1">IF(AND($D150="Serviço",AF$12&lt;&gt;0,$H150&gt;0,OR(AUTOEVENTO&lt;&gt;"manual",$M150&lt;&gt;$A$15)),
        IF(Import.TipoArredondamento&lt;&gt;"TransfereGOV",
              ROUND(OFFSET($P150,0,AF$13),15-13*ORÇAMENTO!$AF$7)/$H150*OFFSET(ORÇAMENTO!$X$15,ROW(AF150)-ROW(AF$15),0),
              ROUND(ROUND(OFFSET($P150,0,AF$13),15-13*ORÇAMENTO!$AF$7)*OFFSET(ORÇAMENTO!$W$15,ROW(AF150)-ROW(AF$15),0),15-13*ORÇAMENTO!$AF$11)),
         0)</f>
        <v>0</v>
      </c>
      <c r="AG150" s="454">
        <f ca="1">IF(AND($D150="Serviço",AG$12&lt;&gt;0,$H150&gt;0,OR(AUTOEVENTO&lt;&gt;"manual",$M150&lt;&gt;$A$15)),
        IF(Import.TipoArredondamento&lt;&gt;"TransfereGOV",
              ROUND(OFFSET($P150,0,AG$13),15-13*ORÇAMENTO!$AF$7)/$H150*OFFSET(ORÇAMENTO!$X$15,ROW(AG150)-ROW(AG$15),0),
              ROUND(ROUND(OFFSET($P150,0,AG$13),15-13*ORÇAMENTO!$AF$7)*OFFSET(ORÇAMENTO!$W$15,ROW(AG150)-ROW(AG$15),0),15-13*ORÇAMENTO!$AF$11)),
         0)</f>
        <v>0</v>
      </c>
      <c r="AH150" s="454">
        <f ca="1">IF(AND($D150="Serviço",AH$12&lt;&gt;0,$H150&gt;0,OR(AUTOEVENTO&lt;&gt;"manual",$M150&lt;&gt;$A$15)),
        IF(Import.TipoArredondamento&lt;&gt;"TransfereGOV",
              ROUND(OFFSET($P150,0,AH$13),15-13*ORÇAMENTO!$AF$7)/$H150*OFFSET(ORÇAMENTO!$X$15,ROW(AH150)-ROW(AH$15),0),
              ROUND(ROUND(OFFSET($P150,0,AH$13),15-13*ORÇAMENTO!$AF$7)*OFFSET(ORÇAMENTO!$W$15,ROW(AH150)-ROW(AH$15),0),15-13*ORÇAMENTO!$AF$11)),
         0)</f>
        <v>0</v>
      </c>
      <c r="AI150" s="454">
        <f ca="1">IF(AND($D150="Serviço",AI$12&lt;&gt;0,$H150&gt;0,OR(AUTOEVENTO&lt;&gt;"manual",$M150&lt;&gt;$A$15)),
        IF(Import.TipoArredondamento&lt;&gt;"TransfereGOV",
              ROUND(OFFSET($P150,0,AI$13),15-13*ORÇAMENTO!$AF$7)/$H150*OFFSET(ORÇAMENTO!$X$15,ROW(AI150)-ROW(AI$15),0),
              ROUND(ROUND(OFFSET($P150,0,AI$13),15-13*ORÇAMENTO!$AF$7)*OFFSET(ORÇAMENTO!$W$15,ROW(AI150)-ROW(AI$15),0),15-13*ORÇAMENTO!$AF$11)),
         0)</f>
        <v>0</v>
      </c>
      <c r="AJ150" s="454">
        <f ca="1">IF(AND($D150="Serviço",AJ$12&lt;&gt;0,$H150&gt;0,OR(AUTOEVENTO&lt;&gt;"manual",$M150&lt;&gt;$A$15)),
        IF(Import.TipoArredondamento&lt;&gt;"TransfereGOV",
              ROUND(OFFSET($P150,0,AJ$13),15-13*ORÇAMENTO!$AF$7)/$H150*OFFSET(ORÇAMENTO!$X$15,ROW(AJ150)-ROW(AJ$15),0),
              ROUND(ROUND(OFFSET($P150,0,AJ$13),15-13*ORÇAMENTO!$AF$7)*OFFSET(ORÇAMENTO!$W$15,ROW(AJ150)-ROW(AJ$15),0),15-13*ORÇAMENTO!$AF$11)),
         0)</f>
        <v>0</v>
      </c>
      <c r="AK150" s="454">
        <f ca="1">IF(AND($D150="Serviço",AK$12&lt;&gt;0,$H150&gt;0,OR(AUTOEVENTO&lt;&gt;"manual",$M150&lt;&gt;$A$15)),
        IF(Import.TipoArredondamento&lt;&gt;"TransfereGOV",
              ROUND(OFFSET($P150,0,AK$13),15-13*ORÇAMENTO!$AF$7)/$H150*OFFSET(ORÇAMENTO!$X$15,ROW(AK150)-ROW(AK$15),0),
              ROUND(ROUND(OFFSET($P150,0,AK$13),15-13*ORÇAMENTO!$AF$7)*OFFSET(ORÇAMENTO!$W$15,ROW(AK150)-ROW(AK$15),0),15-13*ORÇAMENTO!$AF$11)),
         0)</f>
        <v>0</v>
      </c>
      <c r="AM150" s="172">
        <f ca="1">IF(OR($D150&lt;&gt;"Serviço",AND(AUTOEVENTO="Manual",$M150=$A$15)),0,
         IF(OFFSET(CRONOPLE!$F$15,$M150-$A$15,AM$13)="",10^12,OFFSET(CRONOPLE!$F$15,$M150-$A$15,AM$13)))</f>
        <v>1000000000000</v>
      </c>
      <c r="AN150" s="172">
        <f ca="1">IF(OR($D150&lt;&gt;"Serviço",AND(AUTOEVENTO="Manual",$M150=$A$15)),0,
         IF(OFFSET(CRONOPLE!$F$15,$M150-$A$15,AN$13)="",10^12,OFFSET(CRONOPLE!$F$15,$M150-$A$15,AN$13)))</f>
        <v>1000000000000</v>
      </c>
      <c r="AO150" s="172">
        <f ca="1">IF(OR($D150&lt;&gt;"Serviço",AND(AUTOEVENTO="Manual",$M150=$A$15)),0,
         IF(OFFSET(CRONOPLE!$F$15,$M150-$A$15,AO$13)="",10^12,OFFSET(CRONOPLE!$F$15,$M150-$A$15,AO$13)))</f>
        <v>1000000000000</v>
      </c>
      <c r="AP150" s="172">
        <f ca="1">IF(OR($D150&lt;&gt;"Serviço",AND(AUTOEVENTO="Manual",$M150=$A$15)),0,
         IF(OFFSET(CRONOPLE!$F$15,$M150-$A$15,AP$13)="",10^12,OFFSET(CRONOPLE!$F$15,$M150-$A$15,AP$13)))</f>
        <v>1000000000000</v>
      </c>
      <c r="AQ150" s="172">
        <f ca="1">IF(OR($D150&lt;&gt;"Serviço",AND(AUTOEVENTO="Manual",$M150=$A$15)),0,
         IF(OFFSET(CRONOPLE!$F$15,$M150-$A$15,AQ$13)="",10^12,OFFSET(CRONOPLE!$F$15,$M150-$A$15,AQ$13)))</f>
        <v>1000000000000</v>
      </c>
      <c r="AR150" s="172">
        <f ca="1">IF(OR($D150&lt;&gt;"Serviço",AND(AUTOEVENTO="Manual",$M150=$A$15)),0,
         IF(OFFSET(CRONOPLE!$F$15,$M150-$A$15,AR$13)="",10^12,OFFSET(CRONOPLE!$F$15,$M150-$A$15,AR$13)))</f>
        <v>1000000000000</v>
      </c>
      <c r="AS150" s="172">
        <f ca="1">IF(OR($D150&lt;&gt;"Serviço",AND(AUTOEVENTO="Manual",$M150=$A$15)),0,
         IF(OFFSET(CRONOPLE!$F$15,$M150-$A$15,AS$13)="",10^12,OFFSET(CRONOPLE!$F$15,$M150-$A$15,AS$13)))</f>
        <v>1000000000000</v>
      </c>
      <c r="AT150" s="172">
        <f ca="1">IF(OR($D150&lt;&gt;"Serviço",AND(AUTOEVENTO="Manual",$M150=$A$15)),0,
         IF(OFFSET(CRONOPLE!$F$15,$M150-$A$15,AT$13)="",10^12,OFFSET(CRONOPLE!$F$15,$M150-$A$15,AT$13)))</f>
        <v>1000000000000</v>
      </c>
      <c r="AU150" s="172">
        <f ca="1">IF(OR($D150&lt;&gt;"Serviço",AND(AUTOEVENTO="Manual",$M150=$A$15)),0,
         IF(OFFSET(CRONOPLE!$F$15,$M150-$A$15,AU$13)="",10^12,OFFSET(CRONOPLE!$F$15,$M150-$A$15,AU$13)))</f>
        <v>1000000000000</v>
      </c>
      <c r="AV150" s="172">
        <f ca="1">IF(OR($D150&lt;&gt;"Serviço",AND(AUTOEVENTO="Manual",$M150=$A$15)),0,
         IF(OFFSET(CRONOPLE!$F$15,$M150-$A$15,AV$13)="",10^12,OFFSET(CRONOPLE!$F$15,$M150-$A$15,AV$13)))</f>
        <v>1000000000000</v>
      </c>
      <c r="AX150" s="173">
        <f ca="1">IF(OR($D150&lt;&gt;"Serviço",AND(AUTOEVENTO="Manual",$M150=$A$15),$M150&gt;(ROW(PLE.lastrow)-ROW(PLE.firstrow))),0,
           IF(OFFSET(PLE!$G$15,$M150-$A$15,AX$13)="",10^12,OFFSET(PLE!$G$15,$M150-$A$15,AX$13)))</f>
        <v>1000000000000</v>
      </c>
      <c r="AY150" s="173">
        <f ca="1">IF(OR($D150&lt;&gt;"Serviço",AND(AUTOEVENTO="Manual",$M150=$A$15),$M150&gt;(ROW(PLE.lastrow)-ROW(PLE.firstrow))),0,
           IF(OFFSET(PLE!$G$15,$M150-$A$15,AY$13)="",10^12,OFFSET(PLE!$G$15,$M150-$A$15,AY$13)))</f>
        <v>1000000000000</v>
      </c>
      <c r="AZ150" s="173">
        <f ca="1">IF(OR($D150&lt;&gt;"Serviço",AND(AUTOEVENTO="Manual",$M150=$A$15),$M150&gt;(ROW(PLE.lastrow)-ROW(PLE.firstrow))),0,
           IF(OFFSET(PLE!$G$15,$M150-$A$15,AZ$13)="",10^12,OFFSET(PLE!$G$15,$M150-$A$15,AZ$13)))</f>
        <v>1000000000000</v>
      </c>
      <c r="BA150" s="173">
        <f ca="1">IF(OR($D150&lt;&gt;"Serviço",AND(AUTOEVENTO="Manual",$M150=$A$15),$M150&gt;(ROW(PLE.lastrow)-ROW(PLE.firstrow))),0,
           IF(OFFSET(PLE!$G$15,$M150-$A$15,BA$13)="",10^12,OFFSET(PLE!$G$15,$M150-$A$15,BA$13)))</f>
        <v>1000000000000</v>
      </c>
      <c r="BB150" s="173">
        <f ca="1">IF(OR($D150&lt;&gt;"Serviço",AND(AUTOEVENTO="Manual",$M150=$A$15),$M150&gt;(ROW(PLE.lastrow)-ROW(PLE.firstrow))),0,
           IF(OFFSET(PLE!$G$15,$M150-$A$15,BB$13)="",10^12,OFFSET(PLE!$G$15,$M150-$A$15,BB$13)))</f>
        <v>1000000000000</v>
      </c>
      <c r="BC150" s="173">
        <f ca="1">IF(OR($D150&lt;&gt;"Serviço",AND(AUTOEVENTO="Manual",$M150=$A$15),$M150&gt;(ROW(PLE.lastrow)-ROW(PLE.firstrow))),0,
           IF(OFFSET(PLE!$G$15,$M150-$A$15,BC$13)="",10^12,OFFSET(PLE!$G$15,$M150-$A$15,BC$13)))</f>
        <v>1000000000000</v>
      </c>
      <c r="BD150" s="173">
        <f ca="1">IF(OR($D150&lt;&gt;"Serviço",AND(AUTOEVENTO="Manual",$M150=$A$15),$M150&gt;(ROW(PLE.lastrow)-ROW(PLE.firstrow))),0,
           IF(OFFSET(PLE!$G$15,$M150-$A$15,BD$13)="",10^12,OFFSET(PLE!$G$15,$M150-$A$15,BD$13)))</f>
        <v>1000000000000</v>
      </c>
      <c r="BE150" s="173">
        <f ca="1">IF(OR($D150&lt;&gt;"Serviço",AND(AUTOEVENTO="Manual",$M150=$A$15),$M150&gt;(ROW(PLE.lastrow)-ROW(PLE.firstrow))),0,
           IF(OFFSET(PLE!$G$15,$M150-$A$15,BE$13)="",10^12,OFFSET(PLE!$G$15,$M150-$A$15,BE$13)))</f>
        <v>1000000000000</v>
      </c>
      <c r="BF150" s="173">
        <f ca="1">IF(OR($D150&lt;&gt;"Serviço",AND(AUTOEVENTO="Manual",$M150=$A$15),$M150&gt;(ROW(PLE.lastrow)-ROW(PLE.firstrow))),0,
           IF(OFFSET(PLE!$G$15,$M150-$A$15,BF$13)="",10^12,OFFSET(PLE!$G$15,$M150-$A$15,BF$13)))</f>
        <v>1000000000000</v>
      </c>
      <c r="BG150" s="173">
        <f ca="1">IF(OR($D150&lt;&gt;"Serviço",AND(AUTOEVENTO="Manual",$M150=$A$15),$M150&gt;(ROW(PLE.lastrow)-ROW(PLE.firstrow))),0,
           IF(OFFSET(PLE!$G$15,$M150-$A$15,BG$13)="",10^12,OFFSET(PLE!$G$15,$M150-$A$15,BG$13)))</f>
        <v>1000000000000</v>
      </c>
    </row>
    <row r="151" spans="1:59" ht="38.25" x14ac:dyDescent="0.2">
      <c r="A151" s="7" t="str">
        <f t="shared" ca="1" si="10"/>
        <v>114</v>
      </c>
      <c r="B151" s="7" t="str">
        <f ca="1">OFFSET(ORÇAMENTO!C$15,ROW(B151)-ROW(B$15),0)</f>
        <v>S</v>
      </c>
      <c r="C151" s="7" t="str">
        <f ca="1">OFFSET(ORÇAMENTO!L$15,ROW(C151)-ROW(C$15),0)</f>
        <v/>
      </c>
      <c r="D151" s="117" t="str">
        <f ca="1">OFFSET(ORÇAMENTO!N$15,ROW(D151)-ROW(D$15),0)</f>
        <v>Serviço</v>
      </c>
      <c r="E151" s="118" t="str">
        <f ca="1">OFFSET(ORÇAMENTO!O$15,ROW(E151)-ROW(E$15),0)</f>
        <v>-</v>
      </c>
      <c r="F151" s="164" t="str">
        <f ca="1">OFFSET(ORÇAMENTO!R$15,ROW(F151)-ROW(F$15),0)</f>
        <v>JUNÇÃO SIMPLES, PVC, SERIE NORMAL, ESGOTO PREDIAL, DN 50 X 50 MM, JUNTA ELÁSTICA, FORNECIDO E INSTALADO EM RAMAL DE DESCARGA OU RAMAL DE ESGOTO SANITÁRIO. AF_08/2022</v>
      </c>
      <c r="G151" s="165" t="str">
        <f ca="1">IF($D151&lt;&gt;"Serviço","",OFFSET(ORÇAMENTO!S$15,ROW(G151)-ROW(G$15),0))</f>
        <v>UN</v>
      </c>
      <c r="H151" s="123">
        <f ca="1">IF($D151&lt;&gt;"Serviço",0,IF(ACOMPANHAMENTO="BM",ROUND(OFFSET(ORÇAMENTO!AJ$15,ROW(H151)-ROW(H$15),0),15-13*ORÇAMENTO!$AF$7),SUMPRODUCT(($Q$1:$AA$1=1)*ROUND($Q151:$AA151,15-13*ORÇAMENTO!$AF$7))))</f>
        <v>14</v>
      </c>
      <c r="I151" s="469"/>
      <c r="J151" s="577" t="str" cm="1">
        <f t="array" aca="1" ref="J151" ca="1">IF(B151&lt;&gt;"S","",IF(AND(ACOMPANHAMENTO="PLE",AUTOEVENTO="Manual",OR(H151&gt;0,ORÇAMENTO!AC151="QUANT."),OR(K151="",M151=0,N151="")),"►",IF(AND(ACOMPANHAMENTO="PLE",ORÇAMENTO!AC151="QUANT."),"►►",IF(AND(COUNTIF($P$11:$AA$11,"▼")=0,H151&gt;0,I151=""),"◄",""))))</f>
        <v>◄</v>
      </c>
      <c r="K151" s="626"/>
      <c r="L151" s="166" t="s">
        <v>765</v>
      </c>
      <c r="M151" s="167">
        <f ca="1">IF($D151&lt;&gt;"Serviço","",
          IF(AUTOEVENTO="manual",$A151,
                IF(ISERROR(MATCH($A151,$A$15:OFFSET($A151,-1,0),0)),MAX($M$15:OFFSET(M151,-1,0))+1,
                      INDEX($M$15:OFFSET(M151,-1,0),MATCH($A151,$A$15:OFFSET($A151,-1,0),0)))))</f>
        <v>11</v>
      </c>
      <c r="N151" s="168" t="str">
        <f ca="1">IF($D151&lt;&gt;"Serviço","",
         IF(AUTOEVENTO="Manual",
                IF($A151=0,"&lt;-- defina o número do agrupador",
                       OFFSET(EVENTOS!$D$15,$A151-$A$15,0)),
                OFFSET($F$15,$A151,0)))</f>
        <v>INSTALAÇÕES HIDROSSANITÁRIAS</v>
      </c>
      <c r="O151" s="169"/>
      <c r="Q151" s="169"/>
      <c r="R151" s="170"/>
      <c r="S151" s="170"/>
      <c r="T151" s="170"/>
      <c r="U151" s="170"/>
      <c r="V151" s="170"/>
      <c r="W151" s="170"/>
      <c r="X151" s="170"/>
      <c r="Y151" s="170"/>
      <c r="Z151" s="171"/>
      <c r="AB151" s="454">
        <f ca="1">IF(AND($D151="Serviço",AB$12&lt;&gt;0,$H151&gt;0,OR(AUTOEVENTO&lt;&gt;"manual",$M151&lt;&gt;$A$15)),
        IF(Import.TipoArredondamento&lt;&gt;"TransfereGOV",
              ROUND(OFFSET($P151,0,AB$13),15-13*ORÇAMENTO!$AF$7)/$H151*OFFSET(ORÇAMENTO!$X$15,ROW(AB151)-ROW(AB$15),0),
              ROUND(ROUND(OFFSET($P151,0,AB$13),15-13*ORÇAMENTO!$AF$7)*OFFSET(ORÇAMENTO!$W$15,ROW(AB151)-ROW(AB$15),0),15-13*ORÇAMENTO!$AF$11)),
         0)</f>
        <v>0</v>
      </c>
      <c r="AC151" s="454">
        <f ca="1">IF(AND($D151="Serviço",AC$12&lt;&gt;0,$H151&gt;0,OR(AUTOEVENTO&lt;&gt;"manual",$M151&lt;&gt;$A$15)),
        IF(Import.TipoArredondamento&lt;&gt;"TransfereGOV",
              ROUND(OFFSET($P151,0,AC$13),15-13*ORÇAMENTO!$AF$7)/$H151*OFFSET(ORÇAMENTO!$X$15,ROW(AC151)-ROW(AC$15),0),
              ROUND(ROUND(OFFSET($P151,0,AC$13),15-13*ORÇAMENTO!$AF$7)*OFFSET(ORÇAMENTO!$W$15,ROW(AC151)-ROW(AC$15),0),15-13*ORÇAMENTO!$AF$11)),
         0)</f>
        <v>0</v>
      </c>
      <c r="AD151" s="454">
        <f ca="1">IF(AND($D151="Serviço",AD$12&lt;&gt;0,$H151&gt;0,OR(AUTOEVENTO&lt;&gt;"manual",$M151&lt;&gt;$A$15)),
        IF(Import.TipoArredondamento&lt;&gt;"TransfereGOV",
              ROUND(OFFSET($P151,0,AD$13),15-13*ORÇAMENTO!$AF$7)/$H151*OFFSET(ORÇAMENTO!$X$15,ROW(AD151)-ROW(AD$15),0),
              ROUND(ROUND(OFFSET($P151,0,AD$13),15-13*ORÇAMENTO!$AF$7)*OFFSET(ORÇAMENTO!$W$15,ROW(AD151)-ROW(AD$15),0),15-13*ORÇAMENTO!$AF$11)),
         0)</f>
        <v>0</v>
      </c>
      <c r="AE151" s="454">
        <f ca="1">IF(AND($D151="Serviço",AE$12&lt;&gt;0,$H151&gt;0,OR(AUTOEVENTO&lt;&gt;"manual",$M151&lt;&gt;$A$15)),
        IF(Import.TipoArredondamento&lt;&gt;"TransfereGOV",
              ROUND(OFFSET($P151,0,AE$13),15-13*ORÇAMENTO!$AF$7)/$H151*OFFSET(ORÇAMENTO!$X$15,ROW(AE151)-ROW(AE$15),0),
              ROUND(ROUND(OFFSET($P151,0,AE$13),15-13*ORÇAMENTO!$AF$7)*OFFSET(ORÇAMENTO!$W$15,ROW(AE151)-ROW(AE$15),0),15-13*ORÇAMENTO!$AF$11)),
         0)</f>
        <v>0</v>
      </c>
      <c r="AF151" s="454">
        <f ca="1">IF(AND($D151="Serviço",AF$12&lt;&gt;0,$H151&gt;0,OR(AUTOEVENTO&lt;&gt;"manual",$M151&lt;&gt;$A$15)),
        IF(Import.TipoArredondamento&lt;&gt;"TransfereGOV",
              ROUND(OFFSET($P151,0,AF$13),15-13*ORÇAMENTO!$AF$7)/$H151*OFFSET(ORÇAMENTO!$X$15,ROW(AF151)-ROW(AF$15),0),
              ROUND(ROUND(OFFSET($P151,0,AF$13),15-13*ORÇAMENTO!$AF$7)*OFFSET(ORÇAMENTO!$W$15,ROW(AF151)-ROW(AF$15),0),15-13*ORÇAMENTO!$AF$11)),
         0)</f>
        <v>0</v>
      </c>
      <c r="AG151" s="454">
        <f ca="1">IF(AND($D151="Serviço",AG$12&lt;&gt;0,$H151&gt;0,OR(AUTOEVENTO&lt;&gt;"manual",$M151&lt;&gt;$A$15)),
        IF(Import.TipoArredondamento&lt;&gt;"TransfereGOV",
              ROUND(OFFSET($P151,0,AG$13),15-13*ORÇAMENTO!$AF$7)/$H151*OFFSET(ORÇAMENTO!$X$15,ROW(AG151)-ROW(AG$15),0),
              ROUND(ROUND(OFFSET($P151,0,AG$13),15-13*ORÇAMENTO!$AF$7)*OFFSET(ORÇAMENTO!$W$15,ROW(AG151)-ROW(AG$15),0),15-13*ORÇAMENTO!$AF$11)),
         0)</f>
        <v>0</v>
      </c>
      <c r="AH151" s="454">
        <f ca="1">IF(AND($D151="Serviço",AH$12&lt;&gt;0,$H151&gt;0,OR(AUTOEVENTO&lt;&gt;"manual",$M151&lt;&gt;$A$15)),
        IF(Import.TipoArredondamento&lt;&gt;"TransfereGOV",
              ROUND(OFFSET($P151,0,AH$13),15-13*ORÇAMENTO!$AF$7)/$H151*OFFSET(ORÇAMENTO!$X$15,ROW(AH151)-ROW(AH$15),0),
              ROUND(ROUND(OFFSET($P151,0,AH$13),15-13*ORÇAMENTO!$AF$7)*OFFSET(ORÇAMENTO!$W$15,ROW(AH151)-ROW(AH$15),0),15-13*ORÇAMENTO!$AF$11)),
         0)</f>
        <v>0</v>
      </c>
      <c r="AI151" s="454">
        <f ca="1">IF(AND($D151="Serviço",AI$12&lt;&gt;0,$H151&gt;0,OR(AUTOEVENTO&lt;&gt;"manual",$M151&lt;&gt;$A$15)),
        IF(Import.TipoArredondamento&lt;&gt;"TransfereGOV",
              ROUND(OFFSET($P151,0,AI$13),15-13*ORÇAMENTO!$AF$7)/$H151*OFFSET(ORÇAMENTO!$X$15,ROW(AI151)-ROW(AI$15),0),
              ROUND(ROUND(OFFSET($P151,0,AI$13),15-13*ORÇAMENTO!$AF$7)*OFFSET(ORÇAMENTO!$W$15,ROW(AI151)-ROW(AI$15),0),15-13*ORÇAMENTO!$AF$11)),
         0)</f>
        <v>0</v>
      </c>
      <c r="AJ151" s="454">
        <f ca="1">IF(AND($D151="Serviço",AJ$12&lt;&gt;0,$H151&gt;0,OR(AUTOEVENTO&lt;&gt;"manual",$M151&lt;&gt;$A$15)),
        IF(Import.TipoArredondamento&lt;&gt;"TransfereGOV",
              ROUND(OFFSET($P151,0,AJ$13),15-13*ORÇAMENTO!$AF$7)/$H151*OFFSET(ORÇAMENTO!$X$15,ROW(AJ151)-ROW(AJ$15),0),
              ROUND(ROUND(OFFSET($P151,0,AJ$13),15-13*ORÇAMENTO!$AF$7)*OFFSET(ORÇAMENTO!$W$15,ROW(AJ151)-ROW(AJ$15),0),15-13*ORÇAMENTO!$AF$11)),
         0)</f>
        <v>0</v>
      </c>
      <c r="AK151" s="454">
        <f ca="1">IF(AND($D151="Serviço",AK$12&lt;&gt;0,$H151&gt;0,OR(AUTOEVENTO&lt;&gt;"manual",$M151&lt;&gt;$A$15)),
        IF(Import.TipoArredondamento&lt;&gt;"TransfereGOV",
              ROUND(OFFSET($P151,0,AK$13),15-13*ORÇAMENTO!$AF$7)/$H151*OFFSET(ORÇAMENTO!$X$15,ROW(AK151)-ROW(AK$15),0),
              ROUND(ROUND(OFFSET($P151,0,AK$13),15-13*ORÇAMENTO!$AF$7)*OFFSET(ORÇAMENTO!$W$15,ROW(AK151)-ROW(AK$15),0),15-13*ORÇAMENTO!$AF$11)),
         0)</f>
        <v>0</v>
      </c>
      <c r="AM151" s="172">
        <f ca="1">IF(OR($D151&lt;&gt;"Serviço",AND(AUTOEVENTO="Manual",$M151=$A$15)),0,
         IF(OFFSET(CRONOPLE!$F$15,$M151-$A$15,AM$13)="",10^12,OFFSET(CRONOPLE!$F$15,$M151-$A$15,AM$13)))</f>
        <v>1000000000000</v>
      </c>
      <c r="AN151" s="172">
        <f ca="1">IF(OR($D151&lt;&gt;"Serviço",AND(AUTOEVENTO="Manual",$M151=$A$15)),0,
         IF(OFFSET(CRONOPLE!$F$15,$M151-$A$15,AN$13)="",10^12,OFFSET(CRONOPLE!$F$15,$M151-$A$15,AN$13)))</f>
        <v>1000000000000</v>
      </c>
      <c r="AO151" s="172">
        <f ca="1">IF(OR($D151&lt;&gt;"Serviço",AND(AUTOEVENTO="Manual",$M151=$A$15)),0,
         IF(OFFSET(CRONOPLE!$F$15,$M151-$A$15,AO$13)="",10^12,OFFSET(CRONOPLE!$F$15,$M151-$A$15,AO$13)))</f>
        <v>1000000000000</v>
      </c>
      <c r="AP151" s="172">
        <f ca="1">IF(OR($D151&lt;&gt;"Serviço",AND(AUTOEVENTO="Manual",$M151=$A$15)),0,
         IF(OFFSET(CRONOPLE!$F$15,$M151-$A$15,AP$13)="",10^12,OFFSET(CRONOPLE!$F$15,$M151-$A$15,AP$13)))</f>
        <v>1000000000000</v>
      </c>
      <c r="AQ151" s="172">
        <f ca="1">IF(OR($D151&lt;&gt;"Serviço",AND(AUTOEVENTO="Manual",$M151=$A$15)),0,
         IF(OFFSET(CRONOPLE!$F$15,$M151-$A$15,AQ$13)="",10^12,OFFSET(CRONOPLE!$F$15,$M151-$A$15,AQ$13)))</f>
        <v>1000000000000</v>
      </c>
      <c r="AR151" s="172">
        <f ca="1">IF(OR($D151&lt;&gt;"Serviço",AND(AUTOEVENTO="Manual",$M151=$A$15)),0,
         IF(OFFSET(CRONOPLE!$F$15,$M151-$A$15,AR$13)="",10^12,OFFSET(CRONOPLE!$F$15,$M151-$A$15,AR$13)))</f>
        <v>1000000000000</v>
      </c>
      <c r="AS151" s="172">
        <f ca="1">IF(OR($D151&lt;&gt;"Serviço",AND(AUTOEVENTO="Manual",$M151=$A$15)),0,
         IF(OFFSET(CRONOPLE!$F$15,$M151-$A$15,AS$13)="",10^12,OFFSET(CRONOPLE!$F$15,$M151-$A$15,AS$13)))</f>
        <v>1000000000000</v>
      </c>
      <c r="AT151" s="172">
        <f ca="1">IF(OR($D151&lt;&gt;"Serviço",AND(AUTOEVENTO="Manual",$M151=$A$15)),0,
         IF(OFFSET(CRONOPLE!$F$15,$M151-$A$15,AT$13)="",10^12,OFFSET(CRONOPLE!$F$15,$M151-$A$15,AT$13)))</f>
        <v>1000000000000</v>
      </c>
      <c r="AU151" s="172">
        <f ca="1">IF(OR($D151&lt;&gt;"Serviço",AND(AUTOEVENTO="Manual",$M151=$A$15)),0,
         IF(OFFSET(CRONOPLE!$F$15,$M151-$A$15,AU$13)="",10^12,OFFSET(CRONOPLE!$F$15,$M151-$A$15,AU$13)))</f>
        <v>1000000000000</v>
      </c>
      <c r="AV151" s="172">
        <f ca="1">IF(OR($D151&lt;&gt;"Serviço",AND(AUTOEVENTO="Manual",$M151=$A$15)),0,
         IF(OFFSET(CRONOPLE!$F$15,$M151-$A$15,AV$13)="",10^12,OFFSET(CRONOPLE!$F$15,$M151-$A$15,AV$13)))</f>
        <v>1000000000000</v>
      </c>
      <c r="AX151" s="173">
        <f ca="1">IF(OR($D151&lt;&gt;"Serviço",AND(AUTOEVENTO="Manual",$M151=$A$15),$M151&gt;(ROW(PLE.lastrow)-ROW(PLE.firstrow))),0,
           IF(OFFSET(PLE!$G$15,$M151-$A$15,AX$13)="",10^12,OFFSET(PLE!$G$15,$M151-$A$15,AX$13)))</f>
        <v>1000000000000</v>
      </c>
      <c r="AY151" s="173">
        <f ca="1">IF(OR($D151&lt;&gt;"Serviço",AND(AUTOEVENTO="Manual",$M151=$A$15),$M151&gt;(ROW(PLE.lastrow)-ROW(PLE.firstrow))),0,
           IF(OFFSET(PLE!$G$15,$M151-$A$15,AY$13)="",10^12,OFFSET(PLE!$G$15,$M151-$A$15,AY$13)))</f>
        <v>1000000000000</v>
      </c>
      <c r="AZ151" s="173">
        <f ca="1">IF(OR($D151&lt;&gt;"Serviço",AND(AUTOEVENTO="Manual",$M151=$A$15),$M151&gt;(ROW(PLE.lastrow)-ROW(PLE.firstrow))),0,
           IF(OFFSET(PLE!$G$15,$M151-$A$15,AZ$13)="",10^12,OFFSET(PLE!$G$15,$M151-$A$15,AZ$13)))</f>
        <v>1000000000000</v>
      </c>
      <c r="BA151" s="173">
        <f ca="1">IF(OR($D151&lt;&gt;"Serviço",AND(AUTOEVENTO="Manual",$M151=$A$15),$M151&gt;(ROW(PLE.lastrow)-ROW(PLE.firstrow))),0,
           IF(OFFSET(PLE!$G$15,$M151-$A$15,BA$13)="",10^12,OFFSET(PLE!$G$15,$M151-$A$15,BA$13)))</f>
        <v>1000000000000</v>
      </c>
      <c r="BB151" s="173">
        <f ca="1">IF(OR($D151&lt;&gt;"Serviço",AND(AUTOEVENTO="Manual",$M151=$A$15),$M151&gt;(ROW(PLE.lastrow)-ROW(PLE.firstrow))),0,
           IF(OFFSET(PLE!$G$15,$M151-$A$15,BB$13)="",10^12,OFFSET(PLE!$G$15,$M151-$A$15,BB$13)))</f>
        <v>1000000000000</v>
      </c>
      <c r="BC151" s="173">
        <f ca="1">IF(OR($D151&lt;&gt;"Serviço",AND(AUTOEVENTO="Manual",$M151=$A$15),$M151&gt;(ROW(PLE.lastrow)-ROW(PLE.firstrow))),0,
           IF(OFFSET(PLE!$G$15,$M151-$A$15,BC$13)="",10^12,OFFSET(PLE!$G$15,$M151-$A$15,BC$13)))</f>
        <v>1000000000000</v>
      </c>
      <c r="BD151" s="173">
        <f ca="1">IF(OR($D151&lt;&gt;"Serviço",AND(AUTOEVENTO="Manual",$M151=$A$15),$M151&gt;(ROW(PLE.lastrow)-ROW(PLE.firstrow))),0,
           IF(OFFSET(PLE!$G$15,$M151-$A$15,BD$13)="",10^12,OFFSET(PLE!$G$15,$M151-$A$15,BD$13)))</f>
        <v>1000000000000</v>
      </c>
      <c r="BE151" s="173">
        <f ca="1">IF(OR($D151&lt;&gt;"Serviço",AND(AUTOEVENTO="Manual",$M151=$A$15),$M151&gt;(ROW(PLE.lastrow)-ROW(PLE.firstrow))),0,
           IF(OFFSET(PLE!$G$15,$M151-$A$15,BE$13)="",10^12,OFFSET(PLE!$G$15,$M151-$A$15,BE$13)))</f>
        <v>1000000000000</v>
      </c>
      <c r="BF151" s="173">
        <f ca="1">IF(OR($D151&lt;&gt;"Serviço",AND(AUTOEVENTO="Manual",$M151=$A$15),$M151&gt;(ROW(PLE.lastrow)-ROW(PLE.firstrow))),0,
           IF(OFFSET(PLE!$G$15,$M151-$A$15,BF$13)="",10^12,OFFSET(PLE!$G$15,$M151-$A$15,BF$13)))</f>
        <v>1000000000000</v>
      </c>
      <c r="BG151" s="173">
        <f ca="1">IF(OR($D151&lt;&gt;"Serviço",AND(AUTOEVENTO="Manual",$M151=$A$15),$M151&gt;(ROW(PLE.lastrow)-ROW(PLE.firstrow))),0,
           IF(OFFSET(PLE!$G$15,$M151-$A$15,BG$13)="",10^12,OFFSET(PLE!$G$15,$M151-$A$15,BG$13)))</f>
        <v>1000000000000</v>
      </c>
    </row>
    <row r="152" spans="1:59" ht="38.25" x14ac:dyDescent="0.2">
      <c r="A152" s="7" t="str">
        <f t="shared" ca="1" si="10"/>
        <v>114</v>
      </c>
      <c r="B152" s="7" t="str">
        <f ca="1">OFFSET(ORÇAMENTO!C$15,ROW(B152)-ROW(B$15),0)</f>
        <v>S</v>
      </c>
      <c r="C152" s="7" t="str">
        <f ca="1">OFFSET(ORÇAMENTO!L$15,ROW(C152)-ROW(C$15),0)</f>
        <v/>
      </c>
      <c r="D152" s="117" t="str">
        <f ca="1">OFFSET(ORÇAMENTO!N$15,ROW(D152)-ROW(D$15),0)</f>
        <v>Serviço</v>
      </c>
      <c r="E152" s="118" t="str">
        <f ca="1">OFFSET(ORÇAMENTO!O$15,ROW(E152)-ROW(E$15),0)</f>
        <v>-</v>
      </c>
      <c r="F152" s="164" t="str">
        <f ca="1">OFFSET(ORÇAMENTO!R$15,ROW(F152)-ROW(F$15),0)</f>
        <v>JUNÇÃO SIMPLES, PVC, SERIE R, ÁGUA PLUVIAL, DN 100 X 75 MM, JUNTA ELÁSTICA, FORNECIDO E INSTALADO EM RAMAL DE ENCAMINHAMENTO. AF_06/2022</v>
      </c>
      <c r="G152" s="165" t="str">
        <f ca="1">IF($D152&lt;&gt;"Serviço","",OFFSET(ORÇAMENTO!S$15,ROW(G152)-ROW(G$15),0))</f>
        <v>UN</v>
      </c>
      <c r="H152" s="123">
        <f ca="1">IF($D152&lt;&gt;"Serviço",0,IF(ACOMPANHAMENTO="BM",ROUND(OFFSET(ORÇAMENTO!AJ$15,ROW(H152)-ROW(H$15),0),15-13*ORÇAMENTO!$AF$7),SUMPRODUCT(($Q$1:$AA$1=1)*ROUND($Q152:$AA152,15-13*ORÇAMENTO!$AF$7))))</f>
        <v>1</v>
      </c>
      <c r="I152" s="469"/>
      <c r="J152" s="577" t="str" cm="1">
        <f t="array" aca="1" ref="J152" ca="1">IF(B152&lt;&gt;"S","",IF(AND(ACOMPANHAMENTO="PLE",AUTOEVENTO="Manual",OR(H152&gt;0,ORÇAMENTO!AC152="QUANT."),OR(K152="",M152=0,N152="")),"►",IF(AND(ACOMPANHAMENTO="PLE",ORÇAMENTO!AC152="QUANT."),"►►",IF(AND(COUNTIF($P$11:$AA$11,"▼")=0,H152&gt;0,I152=""),"◄",""))))</f>
        <v>◄</v>
      </c>
      <c r="K152" s="626"/>
      <c r="L152" s="166" t="s">
        <v>765</v>
      </c>
      <c r="M152" s="167">
        <f ca="1">IF($D152&lt;&gt;"Serviço","",
          IF(AUTOEVENTO="manual",$A152,
                IF(ISERROR(MATCH($A152,$A$15:OFFSET($A152,-1,0),0)),MAX($M$15:OFFSET(M152,-1,0))+1,
                      INDEX($M$15:OFFSET(M152,-1,0),MATCH($A152,$A$15:OFFSET($A152,-1,0),0)))))</f>
        <v>11</v>
      </c>
      <c r="N152" s="168" t="str">
        <f ca="1">IF($D152&lt;&gt;"Serviço","",
         IF(AUTOEVENTO="Manual",
                IF($A152=0,"&lt;-- defina o número do agrupador",
                       OFFSET(EVENTOS!$D$15,$A152-$A$15,0)),
                OFFSET($F$15,$A152,0)))</f>
        <v>INSTALAÇÕES HIDROSSANITÁRIAS</v>
      </c>
      <c r="O152" s="169"/>
      <c r="Q152" s="169"/>
      <c r="R152" s="170"/>
      <c r="S152" s="170"/>
      <c r="T152" s="170"/>
      <c r="U152" s="170"/>
      <c r="V152" s="170"/>
      <c r="W152" s="170"/>
      <c r="X152" s="170"/>
      <c r="Y152" s="170"/>
      <c r="Z152" s="171"/>
      <c r="AB152" s="454">
        <f ca="1">IF(AND($D152="Serviço",AB$12&lt;&gt;0,$H152&gt;0,OR(AUTOEVENTO&lt;&gt;"manual",$M152&lt;&gt;$A$15)),
        IF(Import.TipoArredondamento&lt;&gt;"TransfereGOV",
              ROUND(OFFSET($P152,0,AB$13),15-13*ORÇAMENTO!$AF$7)/$H152*OFFSET(ORÇAMENTO!$X$15,ROW(AB152)-ROW(AB$15),0),
              ROUND(ROUND(OFFSET($P152,0,AB$13),15-13*ORÇAMENTO!$AF$7)*OFFSET(ORÇAMENTO!$W$15,ROW(AB152)-ROW(AB$15),0),15-13*ORÇAMENTO!$AF$11)),
         0)</f>
        <v>0</v>
      </c>
      <c r="AC152" s="454">
        <f ca="1">IF(AND($D152="Serviço",AC$12&lt;&gt;0,$H152&gt;0,OR(AUTOEVENTO&lt;&gt;"manual",$M152&lt;&gt;$A$15)),
        IF(Import.TipoArredondamento&lt;&gt;"TransfereGOV",
              ROUND(OFFSET($P152,0,AC$13),15-13*ORÇAMENTO!$AF$7)/$H152*OFFSET(ORÇAMENTO!$X$15,ROW(AC152)-ROW(AC$15),0),
              ROUND(ROUND(OFFSET($P152,0,AC$13),15-13*ORÇAMENTO!$AF$7)*OFFSET(ORÇAMENTO!$W$15,ROW(AC152)-ROW(AC$15),0),15-13*ORÇAMENTO!$AF$11)),
         0)</f>
        <v>0</v>
      </c>
      <c r="AD152" s="454">
        <f ca="1">IF(AND($D152="Serviço",AD$12&lt;&gt;0,$H152&gt;0,OR(AUTOEVENTO&lt;&gt;"manual",$M152&lt;&gt;$A$15)),
        IF(Import.TipoArredondamento&lt;&gt;"TransfereGOV",
              ROUND(OFFSET($P152,0,AD$13),15-13*ORÇAMENTO!$AF$7)/$H152*OFFSET(ORÇAMENTO!$X$15,ROW(AD152)-ROW(AD$15),0),
              ROUND(ROUND(OFFSET($P152,0,AD$13),15-13*ORÇAMENTO!$AF$7)*OFFSET(ORÇAMENTO!$W$15,ROW(AD152)-ROW(AD$15),0),15-13*ORÇAMENTO!$AF$11)),
         0)</f>
        <v>0</v>
      </c>
      <c r="AE152" s="454">
        <f ca="1">IF(AND($D152="Serviço",AE$12&lt;&gt;0,$H152&gt;0,OR(AUTOEVENTO&lt;&gt;"manual",$M152&lt;&gt;$A$15)),
        IF(Import.TipoArredondamento&lt;&gt;"TransfereGOV",
              ROUND(OFFSET($P152,0,AE$13),15-13*ORÇAMENTO!$AF$7)/$H152*OFFSET(ORÇAMENTO!$X$15,ROW(AE152)-ROW(AE$15),0),
              ROUND(ROUND(OFFSET($P152,0,AE$13),15-13*ORÇAMENTO!$AF$7)*OFFSET(ORÇAMENTO!$W$15,ROW(AE152)-ROW(AE$15),0),15-13*ORÇAMENTO!$AF$11)),
         0)</f>
        <v>0</v>
      </c>
      <c r="AF152" s="454">
        <f ca="1">IF(AND($D152="Serviço",AF$12&lt;&gt;0,$H152&gt;0,OR(AUTOEVENTO&lt;&gt;"manual",$M152&lt;&gt;$A$15)),
        IF(Import.TipoArredondamento&lt;&gt;"TransfereGOV",
              ROUND(OFFSET($P152,0,AF$13),15-13*ORÇAMENTO!$AF$7)/$H152*OFFSET(ORÇAMENTO!$X$15,ROW(AF152)-ROW(AF$15),0),
              ROUND(ROUND(OFFSET($P152,0,AF$13),15-13*ORÇAMENTO!$AF$7)*OFFSET(ORÇAMENTO!$W$15,ROW(AF152)-ROW(AF$15),0),15-13*ORÇAMENTO!$AF$11)),
         0)</f>
        <v>0</v>
      </c>
      <c r="AG152" s="454">
        <f ca="1">IF(AND($D152="Serviço",AG$12&lt;&gt;0,$H152&gt;0,OR(AUTOEVENTO&lt;&gt;"manual",$M152&lt;&gt;$A$15)),
        IF(Import.TipoArredondamento&lt;&gt;"TransfereGOV",
              ROUND(OFFSET($P152,0,AG$13),15-13*ORÇAMENTO!$AF$7)/$H152*OFFSET(ORÇAMENTO!$X$15,ROW(AG152)-ROW(AG$15),0),
              ROUND(ROUND(OFFSET($P152,0,AG$13),15-13*ORÇAMENTO!$AF$7)*OFFSET(ORÇAMENTO!$W$15,ROW(AG152)-ROW(AG$15),0),15-13*ORÇAMENTO!$AF$11)),
         0)</f>
        <v>0</v>
      </c>
      <c r="AH152" s="454">
        <f ca="1">IF(AND($D152="Serviço",AH$12&lt;&gt;0,$H152&gt;0,OR(AUTOEVENTO&lt;&gt;"manual",$M152&lt;&gt;$A$15)),
        IF(Import.TipoArredondamento&lt;&gt;"TransfereGOV",
              ROUND(OFFSET($P152,0,AH$13),15-13*ORÇAMENTO!$AF$7)/$H152*OFFSET(ORÇAMENTO!$X$15,ROW(AH152)-ROW(AH$15),0),
              ROUND(ROUND(OFFSET($P152,0,AH$13),15-13*ORÇAMENTO!$AF$7)*OFFSET(ORÇAMENTO!$W$15,ROW(AH152)-ROW(AH$15),0),15-13*ORÇAMENTO!$AF$11)),
         0)</f>
        <v>0</v>
      </c>
      <c r="AI152" s="454">
        <f ca="1">IF(AND($D152="Serviço",AI$12&lt;&gt;0,$H152&gt;0,OR(AUTOEVENTO&lt;&gt;"manual",$M152&lt;&gt;$A$15)),
        IF(Import.TipoArredondamento&lt;&gt;"TransfereGOV",
              ROUND(OFFSET($P152,0,AI$13),15-13*ORÇAMENTO!$AF$7)/$H152*OFFSET(ORÇAMENTO!$X$15,ROW(AI152)-ROW(AI$15),0),
              ROUND(ROUND(OFFSET($P152,0,AI$13),15-13*ORÇAMENTO!$AF$7)*OFFSET(ORÇAMENTO!$W$15,ROW(AI152)-ROW(AI$15),0),15-13*ORÇAMENTO!$AF$11)),
         0)</f>
        <v>0</v>
      </c>
      <c r="AJ152" s="454">
        <f ca="1">IF(AND($D152="Serviço",AJ$12&lt;&gt;0,$H152&gt;0,OR(AUTOEVENTO&lt;&gt;"manual",$M152&lt;&gt;$A$15)),
        IF(Import.TipoArredondamento&lt;&gt;"TransfereGOV",
              ROUND(OFFSET($P152,0,AJ$13),15-13*ORÇAMENTO!$AF$7)/$H152*OFFSET(ORÇAMENTO!$X$15,ROW(AJ152)-ROW(AJ$15),0),
              ROUND(ROUND(OFFSET($P152,0,AJ$13),15-13*ORÇAMENTO!$AF$7)*OFFSET(ORÇAMENTO!$W$15,ROW(AJ152)-ROW(AJ$15),0),15-13*ORÇAMENTO!$AF$11)),
         0)</f>
        <v>0</v>
      </c>
      <c r="AK152" s="454">
        <f ca="1">IF(AND($D152="Serviço",AK$12&lt;&gt;0,$H152&gt;0,OR(AUTOEVENTO&lt;&gt;"manual",$M152&lt;&gt;$A$15)),
        IF(Import.TipoArredondamento&lt;&gt;"TransfereGOV",
              ROUND(OFFSET($P152,0,AK$13),15-13*ORÇAMENTO!$AF$7)/$H152*OFFSET(ORÇAMENTO!$X$15,ROW(AK152)-ROW(AK$15),0),
              ROUND(ROUND(OFFSET($P152,0,AK$13),15-13*ORÇAMENTO!$AF$7)*OFFSET(ORÇAMENTO!$W$15,ROW(AK152)-ROW(AK$15),0),15-13*ORÇAMENTO!$AF$11)),
         0)</f>
        <v>0</v>
      </c>
      <c r="AM152" s="172">
        <f ca="1">IF(OR($D152&lt;&gt;"Serviço",AND(AUTOEVENTO="Manual",$M152=$A$15)),0,
         IF(OFFSET(CRONOPLE!$F$15,$M152-$A$15,AM$13)="",10^12,OFFSET(CRONOPLE!$F$15,$M152-$A$15,AM$13)))</f>
        <v>1000000000000</v>
      </c>
      <c r="AN152" s="172">
        <f ca="1">IF(OR($D152&lt;&gt;"Serviço",AND(AUTOEVENTO="Manual",$M152=$A$15)),0,
         IF(OFFSET(CRONOPLE!$F$15,$M152-$A$15,AN$13)="",10^12,OFFSET(CRONOPLE!$F$15,$M152-$A$15,AN$13)))</f>
        <v>1000000000000</v>
      </c>
      <c r="AO152" s="172">
        <f ca="1">IF(OR($D152&lt;&gt;"Serviço",AND(AUTOEVENTO="Manual",$M152=$A$15)),0,
         IF(OFFSET(CRONOPLE!$F$15,$M152-$A$15,AO$13)="",10^12,OFFSET(CRONOPLE!$F$15,$M152-$A$15,AO$13)))</f>
        <v>1000000000000</v>
      </c>
      <c r="AP152" s="172">
        <f ca="1">IF(OR($D152&lt;&gt;"Serviço",AND(AUTOEVENTO="Manual",$M152=$A$15)),0,
         IF(OFFSET(CRONOPLE!$F$15,$M152-$A$15,AP$13)="",10^12,OFFSET(CRONOPLE!$F$15,$M152-$A$15,AP$13)))</f>
        <v>1000000000000</v>
      </c>
      <c r="AQ152" s="172">
        <f ca="1">IF(OR($D152&lt;&gt;"Serviço",AND(AUTOEVENTO="Manual",$M152=$A$15)),0,
         IF(OFFSET(CRONOPLE!$F$15,$M152-$A$15,AQ$13)="",10^12,OFFSET(CRONOPLE!$F$15,$M152-$A$15,AQ$13)))</f>
        <v>1000000000000</v>
      </c>
      <c r="AR152" s="172">
        <f ca="1">IF(OR($D152&lt;&gt;"Serviço",AND(AUTOEVENTO="Manual",$M152=$A$15)),0,
         IF(OFFSET(CRONOPLE!$F$15,$M152-$A$15,AR$13)="",10^12,OFFSET(CRONOPLE!$F$15,$M152-$A$15,AR$13)))</f>
        <v>1000000000000</v>
      </c>
      <c r="AS152" s="172">
        <f ca="1">IF(OR($D152&lt;&gt;"Serviço",AND(AUTOEVENTO="Manual",$M152=$A$15)),0,
         IF(OFFSET(CRONOPLE!$F$15,$M152-$A$15,AS$13)="",10^12,OFFSET(CRONOPLE!$F$15,$M152-$A$15,AS$13)))</f>
        <v>1000000000000</v>
      </c>
      <c r="AT152" s="172">
        <f ca="1">IF(OR($D152&lt;&gt;"Serviço",AND(AUTOEVENTO="Manual",$M152=$A$15)),0,
         IF(OFFSET(CRONOPLE!$F$15,$M152-$A$15,AT$13)="",10^12,OFFSET(CRONOPLE!$F$15,$M152-$A$15,AT$13)))</f>
        <v>1000000000000</v>
      </c>
      <c r="AU152" s="172">
        <f ca="1">IF(OR($D152&lt;&gt;"Serviço",AND(AUTOEVENTO="Manual",$M152=$A$15)),0,
         IF(OFFSET(CRONOPLE!$F$15,$M152-$A$15,AU$13)="",10^12,OFFSET(CRONOPLE!$F$15,$M152-$A$15,AU$13)))</f>
        <v>1000000000000</v>
      </c>
      <c r="AV152" s="172">
        <f ca="1">IF(OR($D152&lt;&gt;"Serviço",AND(AUTOEVENTO="Manual",$M152=$A$15)),0,
         IF(OFFSET(CRONOPLE!$F$15,$M152-$A$15,AV$13)="",10^12,OFFSET(CRONOPLE!$F$15,$M152-$A$15,AV$13)))</f>
        <v>1000000000000</v>
      </c>
      <c r="AX152" s="173">
        <f ca="1">IF(OR($D152&lt;&gt;"Serviço",AND(AUTOEVENTO="Manual",$M152=$A$15),$M152&gt;(ROW(PLE.lastrow)-ROW(PLE.firstrow))),0,
           IF(OFFSET(PLE!$G$15,$M152-$A$15,AX$13)="",10^12,OFFSET(PLE!$G$15,$M152-$A$15,AX$13)))</f>
        <v>1000000000000</v>
      </c>
      <c r="AY152" s="173">
        <f ca="1">IF(OR($D152&lt;&gt;"Serviço",AND(AUTOEVENTO="Manual",$M152=$A$15),$M152&gt;(ROW(PLE.lastrow)-ROW(PLE.firstrow))),0,
           IF(OFFSET(PLE!$G$15,$M152-$A$15,AY$13)="",10^12,OFFSET(PLE!$G$15,$M152-$A$15,AY$13)))</f>
        <v>1000000000000</v>
      </c>
      <c r="AZ152" s="173">
        <f ca="1">IF(OR($D152&lt;&gt;"Serviço",AND(AUTOEVENTO="Manual",$M152=$A$15),$M152&gt;(ROW(PLE.lastrow)-ROW(PLE.firstrow))),0,
           IF(OFFSET(PLE!$G$15,$M152-$A$15,AZ$13)="",10^12,OFFSET(PLE!$G$15,$M152-$A$15,AZ$13)))</f>
        <v>1000000000000</v>
      </c>
      <c r="BA152" s="173">
        <f ca="1">IF(OR($D152&lt;&gt;"Serviço",AND(AUTOEVENTO="Manual",$M152=$A$15),$M152&gt;(ROW(PLE.lastrow)-ROW(PLE.firstrow))),0,
           IF(OFFSET(PLE!$G$15,$M152-$A$15,BA$13)="",10^12,OFFSET(PLE!$G$15,$M152-$A$15,BA$13)))</f>
        <v>1000000000000</v>
      </c>
      <c r="BB152" s="173">
        <f ca="1">IF(OR($D152&lt;&gt;"Serviço",AND(AUTOEVENTO="Manual",$M152=$A$15),$M152&gt;(ROW(PLE.lastrow)-ROW(PLE.firstrow))),0,
           IF(OFFSET(PLE!$G$15,$M152-$A$15,BB$13)="",10^12,OFFSET(PLE!$G$15,$M152-$A$15,BB$13)))</f>
        <v>1000000000000</v>
      </c>
      <c r="BC152" s="173">
        <f ca="1">IF(OR($D152&lt;&gt;"Serviço",AND(AUTOEVENTO="Manual",$M152=$A$15),$M152&gt;(ROW(PLE.lastrow)-ROW(PLE.firstrow))),0,
           IF(OFFSET(PLE!$G$15,$M152-$A$15,BC$13)="",10^12,OFFSET(PLE!$G$15,$M152-$A$15,BC$13)))</f>
        <v>1000000000000</v>
      </c>
      <c r="BD152" s="173">
        <f ca="1">IF(OR($D152&lt;&gt;"Serviço",AND(AUTOEVENTO="Manual",$M152=$A$15),$M152&gt;(ROW(PLE.lastrow)-ROW(PLE.firstrow))),0,
           IF(OFFSET(PLE!$G$15,$M152-$A$15,BD$13)="",10^12,OFFSET(PLE!$G$15,$M152-$A$15,BD$13)))</f>
        <v>1000000000000</v>
      </c>
      <c r="BE152" s="173">
        <f ca="1">IF(OR($D152&lt;&gt;"Serviço",AND(AUTOEVENTO="Manual",$M152=$A$15),$M152&gt;(ROW(PLE.lastrow)-ROW(PLE.firstrow))),0,
           IF(OFFSET(PLE!$G$15,$M152-$A$15,BE$13)="",10^12,OFFSET(PLE!$G$15,$M152-$A$15,BE$13)))</f>
        <v>1000000000000</v>
      </c>
      <c r="BF152" s="173">
        <f ca="1">IF(OR($D152&lt;&gt;"Serviço",AND(AUTOEVENTO="Manual",$M152=$A$15),$M152&gt;(ROW(PLE.lastrow)-ROW(PLE.firstrow))),0,
           IF(OFFSET(PLE!$G$15,$M152-$A$15,BF$13)="",10^12,OFFSET(PLE!$G$15,$M152-$A$15,BF$13)))</f>
        <v>1000000000000</v>
      </c>
      <c r="BG152" s="173">
        <f ca="1">IF(OR($D152&lt;&gt;"Serviço",AND(AUTOEVENTO="Manual",$M152=$A$15),$M152&gt;(ROW(PLE.lastrow)-ROW(PLE.firstrow))),0,
           IF(OFFSET(PLE!$G$15,$M152-$A$15,BG$13)="",10^12,OFFSET(PLE!$G$15,$M152-$A$15,BG$13)))</f>
        <v>1000000000000</v>
      </c>
    </row>
    <row r="153" spans="1:59" ht="51" x14ac:dyDescent="0.2">
      <c r="A153" s="7" t="str">
        <f t="shared" ca="1" si="10"/>
        <v>114</v>
      </c>
      <c r="B153" s="7" t="str">
        <f ca="1">OFFSET(ORÇAMENTO!C$15,ROW(B153)-ROW(B$15),0)</f>
        <v>S</v>
      </c>
      <c r="C153" s="7" t="str">
        <f ca="1">OFFSET(ORÇAMENTO!L$15,ROW(C153)-ROW(C$15),0)</f>
        <v/>
      </c>
      <c r="D153" s="117" t="str">
        <f ca="1">OFFSET(ORÇAMENTO!N$15,ROW(D153)-ROW(D$15),0)</f>
        <v>Serviço</v>
      </c>
      <c r="E153" s="118" t="str">
        <f ca="1">OFFSET(ORÇAMENTO!O$15,ROW(E153)-ROW(E$15),0)</f>
        <v>-</v>
      </c>
      <c r="F153" s="164" t="str">
        <f ca="1">OFFSET(ORÇAMENTO!R$15,ROW(F153)-ROW(F$15),0)</f>
        <v>JUNÇÃO DE REDUÇÃO INVERTIDA, PVC, SÉRIE NORMAL, ESGOTO PREDIAL, DN 75 X 50 MM, JUNTA ELÁSTICA, FORNECIDO E INSTALADO EM PRUMADA DE ESGOTO SANITÁRIO OU VENTILAÇÃO. AF_08/2022</v>
      </c>
      <c r="G153" s="165" t="str">
        <f ca="1">IF($D153&lt;&gt;"Serviço","",OFFSET(ORÇAMENTO!S$15,ROW(G153)-ROW(G$15),0))</f>
        <v>UN</v>
      </c>
      <c r="H153" s="123">
        <f ca="1">IF($D153&lt;&gt;"Serviço",0,IF(ACOMPANHAMENTO="BM",ROUND(OFFSET(ORÇAMENTO!AJ$15,ROW(H153)-ROW(H$15),0),15-13*ORÇAMENTO!$AF$7),SUMPRODUCT(($Q$1:$AA$1=1)*ROUND($Q153:$AA153,15-13*ORÇAMENTO!$AF$7))))</f>
        <v>4</v>
      </c>
      <c r="I153" s="469"/>
      <c r="J153" s="577" t="str" cm="1">
        <f t="array" aca="1" ref="J153" ca="1">IF(B153&lt;&gt;"S","",IF(AND(ACOMPANHAMENTO="PLE",AUTOEVENTO="Manual",OR(H153&gt;0,ORÇAMENTO!AC153="QUANT."),OR(K153="",M153=0,N153="")),"►",IF(AND(ACOMPANHAMENTO="PLE",ORÇAMENTO!AC153="QUANT."),"►►",IF(AND(COUNTIF($P$11:$AA$11,"▼")=0,H153&gt;0,I153=""),"◄",""))))</f>
        <v>◄</v>
      </c>
      <c r="K153" s="626"/>
      <c r="L153" s="166" t="s">
        <v>765</v>
      </c>
      <c r="M153" s="167">
        <f ca="1">IF($D153&lt;&gt;"Serviço","",
          IF(AUTOEVENTO="manual",$A153,
                IF(ISERROR(MATCH($A153,$A$15:OFFSET($A153,-1,0),0)),MAX($M$15:OFFSET(M153,-1,0))+1,
                      INDEX($M$15:OFFSET(M153,-1,0),MATCH($A153,$A$15:OFFSET($A153,-1,0),0)))))</f>
        <v>11</v>
      </c>
      <c r="N153" s="168" t="str">
        <f ca="1">IF($D153&lt;&gt;"Serviço","",
         IF(AUTOEVENTO="Manual",
                IF($A153=0,"&lt;-- defina o número do agrupador",
                       OFFSET(EVENTOS!$D$15,$A153-$A$15,0)),
                OFFSET($F$15,$A153,0)))</f>
        <v>INSTALAÇÕES HIDROSSANITÁRIAS</v>
      </c>
      <c r="O153" s="169"/>
      <c r="Q153" s="169"/>
      <c r="R153" s="170"/>
      <c r="S153" s="170"/>
      <c r="T153" s="170"/>
      <c r="U153" s="170"/>
      <c r="V153" s="170"/>
      <c r="W153" s="170"/>
      <c r="X153" s="170"/>
      <c r="Y153" s="170"/>
      <c r="Z153" s="171"/>
      <c r="AB153" s="454">
        <f ca="1">IF(AND($D153="Serviço",AB$12&lt;&gt;0,$H153&gt;0,OR(AUTOEVENTO&lt;&gt;"manual",$M153&lt;&gt;$A$15)),
        IF(Import.TipoArredondamento&lt;&gt;"TransfereGOV",
              ROUND(OFFSET($P153,0,AB$13),15-13*ORÇAMENTO!$AF$7)/$H153*OFFSET(ORÇAMENTO!$X$15,ROW(AB153)-ROW(AB$15),0),
              ROUND(ROUND(OFFSET($P153,0,AB$13),15-13*ORÇAMENTO!$AF$7)*OFFSET(ORÇAMENTO!$W$15,ROW(AB153)-ROW(AB$15),0),15-13*ORÇAMENTO!$AF$11)),
         0)</f>
        <v>0</v>
      </c>
      <c r="AC153" s="454">
        <f ca="1">IF(AND($D153="Serviço",AC$12&lt;&gt;0,$H153&gt;0,OR(AUTOEVENTO&lt;&gt;"manual",$M153&lt;&gt;$A$15)),
        IF(Import.TipoArredondamento&lt;&gt;"TransfereGOV",
              ROUND(OFFSET($P153,0,AC$13),15-13*ORÇAMENTO!$AF$7)/$H153*OFFSET(ORÇAMENTO!$X$15,ROW(AC153)-ROW(AC$15),0),
              ROUND(ROUND(OFFSET($P153,0,AC$13),15-13*ORÇAMENTO!$AF$7)*OFFSET(ORÇAMENTO!$W$15,ROW(AC153)-ROW(AC$15),0),15-13*ORÇAMENTO!$AF$11)),
         0)</f>
        <v>0</v>
      </c>
      <c r="AD153" s="454">
        <f ca="1">IF(AND($D153="Serviço",AD$12&lt;&gt;0,$H153&gt;0,OR(AUTOEVENTO&lt;&gt;"manual",$M153&lt;&gt;$A$15)),
        IF(Import.TipoArredondamento&lt;&gt;"TransfereGOV",
              ROUND(OFFSET($P153,0,AD$13),15-13*ORÇAMENTO!$AF$7)/$H153*OFFSET(ORÇAMENTO!$X$15,ROW(AD153)-ROW(AD$15),0),
              ROUND(ROUND(OFFSET($P153,0,AD$13),15-13*ORÇAMENTO!$AF$7)*OFFSET(ORÇAMENTO!$W$15,ROW(AD153)-ROW(AD$15),0),15-13*ORÇAMENTO!$AF$11)),
         0)</f>
        <v>0</v>
      </c>
      <c r="AE153" s="454">
        <f ca="1">IF(AND($D153="Serviço",AE$12&lt;&gt;0,$H153&gt;0,OR(AUTOEVENTO&lt;&gt;"manual",$M153&lt;&gt;$A$15)),
        IF(Import.TipoArredondamento&lt;&gt;"TransfereGOV",
              ROUND(OFFSET($P153,0,AE$13),15-13*ORÇAMENTO!$AF$7)/$H153*OFFSET(ORÇAMENTO!$X$15,ROW(AE153)-ROW(AE$15),0),
              ROUND(ROUND(OFFSET($P153,0,AE$13),15-13*ORÇAMENTO!$AF$7)*OFFSET(ORÇAMENTO!$W$15,ROW(AE153)-ROW(AE$15),0),15-13*ORÇAMENTO!$AF$11)),
         0)</f>
        <v>0</v>
      </c>
      <c r="AF153" s="454">
        <f ca="1">IF(AND($D153="Serviço",AF$12&lt;&gt;0,$H153&gt;0,OR(AUTOEVENTO&lt;&gt;"manual",$M153&lt;&gt;$A$15)),
        IF(Import.TipoArredondamento&lt;&gt;"TransfereGOV",
              ROUND(OFFSET($P153,0,AF$13),15-13*ORÇAMENTO!$AF$7)/$H153*OFFSET(ORÇAMENTO!$X$15,ROW(AF153)-ROW(AF$15),0),
              ROUND(ROUND(OFFSET($P153,0,AF$13),15-13*ORÇAMENTO!$AF$7)*OFFSET(ORÇAMENTO!$W$15,ROW(AF153)-ROW(AF$15),0),15-13*ORÇAMENTO!$AF$11)),
         0)</f>
        <v>0</v>
      </c>
      <c r="AG153" s="454">
        <f ca="1">IF(AND($D153="Serviço",AG$12&lt;&gt;0,$H153&gt;0,OR(AUTOEVENTO&lt;&gt;"manual",$M153&lt;&gt;$A$15)),
        IF(Import.TipoArredondamento&lt;&gt;"TransfereGOV",
              ROUND(OFFSET($P153,0,AG$13),15-13*ORÇAMENTO!$AF$7)/$H153*OFFSET(ORÇAMENTO!$X$15,ROW(AG153)-ROW(AG$15),0),
              ROUND(ROUND(OFFSET($P153,0,AG$13),15-13*ORÇAMENTO!$AF$7)*OFFSET(ORÇAMENTO!$W$15,ROW(AG153)-ROW(AG$15),0),15-13*ORÇAMENTO!$AF$11)),
         0)</f>
        <v>0</v>
      </c>
      <c r="AH153" s="454">
        <f ca="1">IF(AND($D153="Serviço",AH$12&lt;&gt;0,$H153&gt;0,OR(AUTOEVENTO&lt;&gt;"manual",$M153&lt;&gt;$A$15)),
        IF(Import.TipoArredondamento&lt;&gt;"TransfereGOV",
              ROUND(OFFSET($P153,0,AH$13),15-13*ORÇAMENTO!$AF$7)/$H153*OFFSET(ORÇAMENTO!$X$15,ROW(AH153)-ROW(AH$15),0),
              ROUND(ROUND(OFFSET($P153,0,AH$13),15-13*ORÇAMENTO!$AF$7)*OFFSET(ORÇAMENTO!$W$15,ROW(AH153)-ROW(AH$15),0),15-13*ORÇAMENTO!$AF$11)),
         0)</f>
        <v>0</v>
      </c>
      <c r="AI153" s="454">
        <f ca="1">IF(AND($D153="Serviço",AI$12&lt;&gt;0,$H153&gt;0,OR(AUTOEVENTO&lt;&gt;"manual",$M153&lt;&gt;$A$15)),
        IF(Import.TipoArredondamento&lt;&gt;"TransfereGOV",
              ROUND(OFFSET($P153,0,AI$13),15-13*ORÇAMENTO!$AF$7)/$H153*OFFSET(ORÇAMENTO!$X$15,ROW(AI153)-ROW(AI$15),0),
              ROUND(ROUND(OFFSET($P153,0,AI$13),15-13*ORÇAMENTO!$AF$7)*OFFSET(ORÇAMENTO!$W$15,ROW(AI153)-ROW(AI$15),0),15-13*ORÇAMENTO!$AF$11)),
         0)</f>
        <v>0</v>
      </c>
      <c r="AJ153" s="454">
        <f ca="1">IF(AND($D153="Serviço",AJ$12&lt;&gt;0,$H153&gt;0,OR(AUTOEVENTO&lt;&gt;"manual",$M153&lt;&gt;$A$15)),
        IF(Import.TipoArredondamento&lt;&gt;"TransfereGOV",
              ROUND(OFFSET($P153,0,AJ$13),15-13*ORÇAMENTO!$AF$7)/$H153*OFFSET(ORÇAMENTO!$X$15,ROW(AJ153)-ROW(AJ$15),0),
              ROUND(ROUND(OFFSET($P153,0,AJ$13),15-13*ORÇAMENTO!$AF$7)*OFFSET(ORÇAMENTO!$W$15,ROW(AJ153)-ROW(AJ$15),0),15-13*ORÇAMENTO!$AF$11)),
         0)</f>
        <v>0</v>
      </c>
      <c r="AK153" s="454">
        <f ca="1">IF(AND($D153="Serviço",AK$12&lt;&gt;0,$H153&gt;0,OR(AUTOEVENTO&lt;&gt;"manual",$M153&lt;&gt;$A$15)),
        IF(Import.TipoArredondamento&lt;&gt;"TransfereGOV",
              ROUND(OFFSET($P153,0,AK$13),15-13*ORÇAMENTO!$AF$7)/$H153*OFFSET(ORÇAMENTO!$X$15,ROW(AK153)-ROW(AK$15),0),
              ROUND(ROUND(OFFSET($P153,0,AK$13),15-13*ORÇAMENTO!$AF$7)*OFFSET(ORÇAMENTO!$W$15,ROW(AK153)-ROW(AK$15),0),15-13*ORÇAMENTO!$AF$11)),
         0)</f>
        <v>0</v>
      </c>
      <c r="AM153" s="172">
        <f ca="1">IF(OR($D153&lt;&gt;"Serviço",AND(AUTOEVENTO="Manual",$M153=$A$15)),0,
         IF(OFFSET(CRONOPLE!$F$15,$M153-$A$15,AM$13)="",10^12,OFFSET(CRONOPLE!$F$15,$M153-$A$15,AM$13)))</f>
        <v>1000000000000</v>
      </c>
      <c r="AN153" s="172">
        <f ca="1">IF(OR($D153&lt;&gt;"Serviço",AND(AUTOEVENTO="Manual",$M153=$A$15)),0,
         IF(OFFSET(CRONOPLE!$F$15,$M153-$A$15,AN$13)="",10^12,OFFSET(CRONOPLE!$F$15,$M153-$A$15,AN$13)))</f>
        <v>1000000000000</v>
      </c>
      <c r="AO153" s="172">
        <f ca="1">IF(OR($D153&lt;&gt;"Serviço",AND(AUTOEVENTO="Manual",$M153=$A$15)),0,
         IF(OFFSET(CRONOPLE!$F$15,$M153-$A$15,AO$13)="",10^12,OFFSET(CRONOPLE!$F$15,$M153-$A$15,AO$13)))</f>
        <v>1000000000000</v>
      </c>
      <c r="AP153" s="172">
        <f ca="1">IF(OR($D153&lt;&gt;"Serviço",AND(AUTOEVENTO="Manual",$M153=$A$15)),0,
         IF(OFFSET(CRONOPLE!$F$15,$M153-$A$15,AP$13)="",10^12,OFFSET(CRONOPLE!$F$15,$M153-$A$15,AP$13)))</f>
        <v>1000000000000</v>
      </c>
      <c r="AQ153" s="172">
        <f ca="1">IF(OR($D153&lt;&gt;"Serviço",AND(AUTOEVENTO="Manual",$M153=$A$15)),0,
         IF(OFFSET(CRONOPLE!$F$15,$M153-$A$15,AQ$13)="",10^12,OFFSET(CRONOPLE!$F$15,$M153-$A$15,AQ$13)))</f>
        <v>1000000000000</v>
      </c>
      <c r="AR153" s="172">
        <f ca="1">IF(OR($D153&lt;&gt;"Serviço",AND(AUTOEVENTO="Manual",$M153=$A$15)),0,
         IF(OFFSET(CRONOPLE!$F$15,$M153-$A$15,AR$13)="",10^12,OFFSET(CRONOPLE!$F$15,$M153-$A$15,AR$13)))</f>
        <v>1000000000000</v>
      </c>
      <c r="AS153" s="172">
        <f ca="1">IF(OR($D153&lt;&gt;"Serviço",AND(AUTOEVENTO="Manual",$M153=$A$15)),0,
         IF(OFFSET(CRONOPLE!$F$15,$M153-$A$15,AS$13)="",10^12,OFFSET(CRONOPLE!$F$15,$M153-$A$15,AS$13)))</f>
        <v>1000000000000</v>
      </c>
      <c r="AT153" s="172">
        <f ca="1">IF(OR($D153&lt;&gt;"Serviço",AND(AUTOEVENTO="Manual",$M153=$A$15)),0,
         IF(OFFSET(CRONOPLE!$F$15,$M153-$A$15,AT$13)="",10^12,OFFSET(CRONOPLE!$F$15,$M153-$A$15,AT$13)))</f>
        <v>1000000000000</v>
      </c>
      <c r="AU153" s="172">
        <f ca="1">IF(OR($D153&lt;&gt;"Serviço",AND(AUTOEVENTO="Manual",$M153=$A$15)),0,
         IF(OFFSET(CRONOPLE!$F$15,$M153-$A$15,AU$13)="",10^12,OFFSET(CRONOPLE!$F$15,$M153-$A$15,AU$13)))</f>
        <v>1000000000000</v>
      </c>
      <c r="AV153" s="172">
        <f ca="1">IF(OR($D153&lt;&gt;"Serviço",AND(AUTOEVENTO="Manual",$M153=$A$15)),0,
         IF(OFFSET(CRONOPLE!$F$15,$M153-$A$15,AV$13)="",10^12,OFFSET(CRONOPLE!$F$15,$M153-$A$15,AV$13)))</f>
        <v>1000000000000</v>
      </c>
      <c r="AX153" s="173">
        <f ca="1">IF(OR($D153&lt;&gt;"Serviço",AND(AUTOEVENTO="Manual",$M153=$A$15),$M153&gt;(ROW(PLE.lastrow)-ROW(PLE.firstrow))),0,
           IF(OFFSET(PLE!$G$15,$M153-$A$15,AX$13)="",10^12,OFFSET(PLE!$G$15,$M153-$A$15,AX$13)))</f>
        <v>1000000000000</v>
      </c>
      <c r="AY153" s="173">
        <f ca="1">IF(OR($D153&lt;&gt;"Serviço",AND(AUTOEVENTO="Manual",$M153=$A$15),$M153&gt;(ROW(PLE.lastrow)-ROW(PLE.firstrow))),0,
           IF(OFFSET(PLE!$G$15,$M153-$A$15,AY$13)="",10^12,OFFSET(PLE!$G$15,$M153-$A$15,AY$13)))</f>
        <v>1000000000000</v>
      </c>
      <c r="AZ153" s="173">
        <f ca="1">IF(OR($D153&lt;&gt;"Serviço",AND(AUTOEVENTO="Manual",$M153=$A$15),$M153&gt;(ROW(PLE.lastrow)-ROW(PLE.firstrow))),0,
           IF(OFFSET(PLE!$G$15,$M153-$A$15,AZ$13)="",10^12,OFFSET(PLE!$G$15,$M153-$A$15,AZ$13)))</f>
        <v>1000000000000</v>
      </c>
      <c r="BA153" s="173">
        <f ca="1">IF(OR($D153&lt;&gt;"Serviço",AND(AUTOEVENTO="Manual",$M153=$A$15),$M153&gt;(ROW(PLE.lastrow)-ROW(PLE.firstrow))),0,
           IF(OFFSET(PLE!$G$15,$M153-$A$15,BA$13)="",10^12,OFFSET(PLE!$G$15,$M153-$A$15,BA$13)))</f>
        <v>1000000000000</v>
      </c>
      <c r="BB153" s="173">
        <f ca="1">IF(OR($D153&lt;&gt;"Serviço",AND(AUTOEVENTO="Manual",$M153=$A$15),$M153&gt;(ROW(PLE.lastrow)-ROW(PLE.firstrow))),0,
           IF(OFFSET(PLE!$G$15,$M153-$A$15,BB$13)="",10^12,OFFSET(PLE!$G$15,$M153-$A$15,BB$13)))</f>
        <v>1000000000000</v>
      </c>
      <c r="BC153" s="173">
        <f ca="1">IF(OR($D153&lt;&gt;"Serviço",AND(AUTOEVENTO="Manual",$M153=$A$15),$M153&gt;(ROW(PLE.lastrow)-ROW(PLE.firstrow))),0,
           IF(OFFSET(PLE!$G$15,$M153-$A$15,BC$13)="",10^12,OFFSET(PLE!$G$15,$M153-$A$15,BC$13)))</f>
        <v>1000000000000</v>
      </c>
      <c r="BD153" s="173">
        <f ca="1">IF(OR($D153&lt;&gt;"Serviço",AND(AUTOEVENTO="Manual",$M153=$A$15),$M153&gt;(ROW(PLE.lastrow)-ROW(PLE.firstrow))),0,
           IF(OFFSET(PLE!$G$15,$M153-$A$15,BD$13)="",10^12,OFFSET(PLE!$G$15,$M153-$A$15,BD$13)))</f>
        <v>1000000000000</v>
      </c>
      <c r="BE153" s="173">
        <f ca="1">IF(OR($D153&lt;&gt;"Serviço",AND(AUTOEVENTO="Manual",$M153=$A$15),$M153&gt;(ROW(PLE.lastrow)-ROW(PLE.firstrow))),0,
           IF(OFFSET(PLE!$G$15,$M153-$A$15,BE$13)="",10^12,OFFSET(PLE!$G$15,$M153-$A$15,BE$13)))</f>
        <v>1000000000000</v>
      </c>
      <c r="BF153" s="173">
        <f ca="1">IF(OR($D153&lt;&gt;"Serviço",AND(AUTOEVENTO="Manual",$M153=$A$15),$M153&gt;(ROW(PLE.lastrow)-ROW(PLE.firstrow))),0,
           IF(OFFSET(PLE!$G$15,$M153-$A$15,BF$13)="",10^12,OFFSET(PLE!$G$15,$M153-$A$15,BF$13)))</f>
        <v>1000000000000</v>
      </c>
      <c r="BG153" s="173">
        <f ca="1">IF(OR($D153&lt;&gt;"Serviço",AND(AUTOEVENTO="Manual",$M153=$A$15),$M153&gt;(ROW(PLE.lastrow)-ROW(PLE.firstrow))),0,
           IF(OFFSET(PLE!$G$15,$M153-$A$15,BG$13)="",10^12,OFFSET(PLE!$G$15,$M153-$A$15,BG$13)))</f>
        <v>1000000000000</v>
      </c>
    </row>
    <row r="154" spans="1:59" ht="38.25" x14ac:dyDescent="0.2">
      <c r="A154" s="7" t="str">
        <f t="shared" ca="1" si="10"/>
        <v>114</v>
      </c>
      <c r="B154" s="7" t="str">
        <f ca="1">OFFSET(ORÇAMENTO!C$15,ROW(B154)-ROW(B$15),0)</f>
        <v>S</v>
      </c>
      <c r="C154" s="7" t="str">
        <f ca="1">OFFSET(ORÇAMENTO!L$15,ROW(C154)-ROW(C$15),0)</f>
        <v/>
      </c>
      <c r="D154" s="117" t="str">
        <f ca="1">OFFSET(ORÇAMENTO!N$15,ROW(D154)-ROW(D$15),0)</f>
        <v>Serviço</v>
      </c>
      <c r="E154" s="118" t="str">
        <f ca="1">OFFSET(ORÇAMENTO!O$15,ROW(E154)-ROW(E$15),0)</f>
        <v>-</v>
      </c>
      <c r="F154" s="164" t="str">
        <f ca="1">OFFSET(ORÇAMENTO!R$15,ROW(F154)-ROW(F$15),0)</f>
        <v>JUNÇÃO SIMPLES, PVC, SERIE NORMAL, ESGOTO PREDIAL, DN 75 X 75 MM, JUNTA ELÁSTICA, FORNECIDO E INSTALADO EM PRUMADA DE ESGOTO SANITÁRIO OU VENTILAÇÃO. AF_08/2022</v>
      </c>
      <c r="G154" s="165" t="str">
        <f ca="1">IF($D154&lt;&gt;"Serviço","",OFFSET(ORÇAMENTO!S$15,ROW(G154)-ROW(G$15),0))</f>
        <v>UN</v>
      </c>
      <c r="H154" s="123">
        <f ca="1">IF($D154&lt;&gt;"Serviço",0,IF(ACOMPANHAMENTO="BM",ROUND(OFFSET(ORÇAMENTO!AJ$15,ROW(H154)-ROW(H$15),0),15-13*ORÇAMENTO!$AF$7),SUMPRODUCT(($Q$1:$AA$1=1)*ROUND($Q154:$AA154,15-13*ORÇAMENTO!$AF$7))))</f>
        <v>1</v>
      </c>
      <c r="I154" s="469"/>
      <c r="J154" s="577" t="str" cm="1">
        <f t="array" aca="1" ref="J154" ca="1">IF(B154&lt;&gt;"S","",IF(AND(ACOMPANHAMENTO="PLE",AUTOEVENTO="Manual",OR(H154&gt;0,ORÇAMENTO!AC154="QUANT."),OR(K154="",M154=0,N154="")),"►",IF(AND(ACOMPANHAMENTO="PLE",ORÇAMENTO!AC154="QUANT."),"►►",IF(AND(COUNTIF($P$11:$AA$11,"▼")=0,H154&gt;0,I154=""),"◄",""))))</f>
        <v>◄</v>
      </c>
      <c r="K154" s="626"/>
      <c r="L154" s="166" t="s">
        <v>765</v>
      </c>
      <c r="M154" s="167">
        <f ca="1">IF($D154&lt;&gt;"Serviço","",
          IF(AUTOEVENTO="manual",$A154,
                IF(ISERROR(MATCH($A154,$A$15:OFFSET($A154,-1,0),0)),MAX($M$15:OFFSET(M154,-1,0))+1,
                      INDEX($M$15:OFFSET(M154,-1,0),MATCH($A154,$A$15:OFFSET($A154,-1,0),0)))))</f>
        <v>11</v>
      </c>
      <c r="N154" s="168" t="str">
        <f ca="1">IF($D154&lt;&gt;"Serviço","",
         IF(AUTOEVENTO="Manual",
                IF($A154=0,"&lt;-- defina o número do agrupador",
                       OFFSET(EVENTOS!$D$15,$A154-$A$15,0)),
                OFFSET($F$15,$A154,0)))</f>
        <v>INSTALAÇÕES HIDROSSANITÁRIAS</v>
      </c>
      <c r="O154" s="169"/>
      <c r="Q154" s="169"/>
      <c r="R154" s="170"/>
      <c r="S154" s="170"/>
      <c r="T154" s="170"/>
      <c r="U154" s="170"/>
      <c r="V154" s="170"/>
      <c r="W154" s="170"/>
      <c r="X154" s="170"/>
      <c r="Y154" s="170"/>
      <c r="Z154" s="171"/>
      <c r="AB154" s="454">
        <f ca="1">IF(AND($D154="Serviço",AB$12&lt;&gt;0,$H154&gt;0,OR(AUTOEVENTO&lt;&gt;"manual",$M154&lt;&gt;$A$15)),
        IF(Import.TipoArredondamento&lt;&gt;"TransfereGOV",
              ROUND(OFFSET($P154,0,AB$13),15-13*ORÇAMENTO!$AF$7)/$H154*OFFSET(ORÇAMENTO!$X$15,ROW(AB154)-ROW(AB$15),0),
              ROUND(ROUND(OFFSET($P154,0,AB$13),15-13*ORÇAMENTO!$AF$7)*OFFSET(ORÇAMENTO!$W$15,ROW(AB154)-ROW(AB$15),0),15-13*ORÇAMENTO!$AF$11)),
         0)</f>
        <v>0</v>
      </c>
      <c r="AC154" s="454">
        <f ca="1">IF(AND($D154="Serviço",AC$12&lt;&gt;0,$H154&gt;0,OR(AUTOEVENTO&lt;&gt;"manual",$M154&lt;&gt;$A$15)),
        IF(Import.TipoArredondamento&lt;&gt;"TransfereGOV",
              ROUND(OFFSET($P154,0,AC$13),15-13*ORÇAMENTO!$AF$7)/$H154*OFFSET(ORÇAMENTO!$X$15,ROW(AC154)-ROW(AC$15),0),
              ROUND(ROUND(OFFSET($P154,0,AC$13),15-13*ORÇAMENTO!$AF$7)*OFFSET(ORÇAMENTO!$W$15,ROW(AC154)-ROW(AC$15),0),15-13*ORÇAMENTO!$AF$11)),
         0)</f>
        <v>0</v>
      </c>
      <c r="AD154" s="454">
        <f ca="1">IF(AND($D154="Serviço",AD$12&lt;&gt;0,$H154&gt;0,OR(AUTOEVENTO&lt;&gt;"manual",$M154&lt;&gt;$A$15)),
        IF(Import.TipoArredondamento&lt;&gt;"TransfereGOV",
              ROUND(OFFSET($P154,0,AD$13),15-13*ORÇAMENTO!$AF$7)/$H154*OFFSET(ORÇAMENTO!$X$15,ROW(AD154)-ROW(AD$15),0),
              ROUND(ROUND(OFFSET($P154,0,AD$13),15-13*ORÇAMENTO!$AF$7)*OFFSET(ORÇAMENTO!$W$15,ROW(AD154)-ROW(AD$15),0),15-13*ORÇAMENTO!$AF$11)),
         0)</f>
        <v>0</v>
      </c>
      <c r="AE154" s="454">
        <f ca="1">IF(AND($D154="Serviço",AE$12&lt;&gt;0,$H154&gt;0,OR(AUTOEVENTO&lt;&gt;"manual",$M154&lt;&gt;$A$15)),
        IF(Import.TipoArredondamento&lt;&gt;"TransfereGOV",
              ROUND(OFFSET($P154,0,AE$13),15-13*ORÇAMENTO!$AF$7)/$H154*OFFSET(ORÇAMENTO!$X$15,ROW(AE154)-ROW(AE$15),0),
              ROUND(ROUND(OFFSET($P154,0,AE$13),15-13*ORÇAMENTO!$AF$7)*OFFSET(ORÇAMENTO!$W$15,ROW(AE154)-ROW(AE$15),0),15-13*ORÇAMENTO!$AF$11)),
         0)</f>
        <v>0</v>
      </c>
      <c r="AF154" s="454">
        <f ca="1">IF(AND($D154="Serviço",AF$12&lt;&gt;0,$H154&gt;0,OR(AUTOEVENTO&lt;&gt;"manual",$M154&lt;&gt;$A$15)),
        IF(Import.TipoArredondamento&lt;&gt;"TransfereGOV",
              ROUND(OFFSET($P154,0,AF$13),15-13*ORÇAMENTO!$AF$7)/$H154*OFFSET(ORÇAMENTO!$X$15,ROW(AF154)-ROW(AF$15),0),
              ROUND(ROUND(OFFSET($P154,0,AF$13),15-13*ORÇAMENTO!$AF$7)*OFFSET(ORÇAMENTO!$W$15,ROW(AF154)-ROW(AF$15),0),15-13*ORÇAMENTO!$AF$11)),
         0)</f>
        <v>0</v>
      </c>
      <c r="AG154" s="454">
        <f ca="1">IF(AND($D154="Serviço",AG$12&lt;&gt;0,$H154&gt;0,OR(AUTOEVENTO&lt;&gt;"manual",$M154&lt;&gt;$A$15)),
        IF(Import.TipoArredondamento&lt;&gt;"TransfereGOV",
              ROUND(OFFSET($P154,0,AG$13),15-13*ORÇAMENTO!$AF$7)/$H154*OFFSET(ORÇAMENTO!$X$15,ROW(AG154)-ROW(AG$15),0),
              ROUND(ROUND(OFFSET($P154,0,AG$13),15-13*ORÇAMENTO!$AF$7)*OFFSET(ORÇAMENTO!$W$15,ROW(AG154)-ROW(AG$15),0),15-13*ORÇAMENTO!$AF$11)),
         0)</f>
        <v>0</v>
      </c>
      <c r="AH154" s="454">
        <f ca="1">IF(AND($D154="Serviço",AH$12&lt;&gt;0,$H154&gt;0,OR(AUTOEVENTO&lt;&gt;"manual",$M154&lt;&gt;$A$15)),
        IF(Import.TipoArredondamento&lt;&gt;"TransfereGOV",
              ROUND(OFFSET($P154,0,AH$13),15-13*ORÇAMENTO!$AF$7)/$H154*OFFSET(ORÇAMENTO!$X$15,ROW(AH154)-ROW(AH$15),0),
              ROUND(ROUND(OFFSET($P154,0,AH$13),15-13*ORÇAMENTO!$AF$7)*OFFSET(ORÇAMENTO!$W$15,ROW(AH154)-ROW(AH$15),0),15-13*ORÇAMENTO!$AF$11)),
         0)</f>
        <v>0</v>
      </c>
      <c r="AI154" s="454">
        <f ca="1">IF(AND($D154="Serviço",AI$12&lt;&gt;0,$H154&gt;0,OR(AUTOEVENTO&lt;&gt;"manual",$M154&lt;&gt;$A$15)),
        IF(Import.TipoArredondamento&lt;&gt;"TransfereGOV",
              ROUND(OFFSET($P154,0,AI$13),15-13*ORÇAMENTO!$AF$7)/$H154*OFFSET(ORÇAMENTO!$X$15,ROW(AI154)-ROW(AI$15),0),
              ROUND(ROUND(OFFSET($P154,0,AI$13),15-13*ORÇAMENTO!$AF$7)*OFFSET(ORÇAMENTO!$W$15,ROW(AI154)-ROW(AI$15),0),15-13*ORÇAMENTO!$AF$11)),
         0)</f>
        <v>0</v>
      </c>
      <c r="AJ154" s="454">
        <f ca="1">IF(AND($D154="Serviço",AJ$12&lt;&gt;0,$H154&gt;0,OR(AUTOEVENTO&lt;&gt;"manual",$M154&lt;&gt;$A$15)),
        IF(Import.TipoArredondamento&lt;&gt;"TransfereGOV",
              ROUND(OFFSET($P154,0,AJ$13),15-13*ORÇAMENTO!$AF$7)/$H154*OFFSET(ORÇAMENTO!$X$15,ROW(AJ154)-ROW(AJ$15),0),
              ROUND(ROUND(OFFSET($P154,0,AJ$13),15-13*ORÇAMENTO!$AF$7)*OFFSET(ORÇAMENTO!$W$15,ROW(AJ154)-ROW(AJ$15),0),15-13*ORÇAMENTO!$AF$11)),
         0)</f>
        <v>0</v>
      </c>
      <c r="AK154" s="454">
        <f ca="1">IF(AND($D154="Serviço",AK$12&lt;&gt;0,$H154&gt;0,OR(AUTOEVENTO&lt;&gt;"manual",$M154&lt;&gt;$A$15)),
        IF(Import.TipoArredondamento&lt;&gt;"TransfereGOV",
              ROUND(OFFSET($P154,0,AK$13),15-13*ORÇAMENTO!$AF$7)/$H154*OFFSET(ORÇAMENTO!$X$15,ROW(AK154)-ROW(AK$15),0),
              ROUND(ROUND(OFFSET($P154,0,AK$13),15-13*ORÇAMENTO!$AF$7)*OFFSET(ORÇAMENTO!$W$15,ROW(AK154)-ROW(AK$15),0),15-13*ORÇAMENTO!$AF$11)),
         0)</f>
        <v>0</v>
      </c>
      <c r="AM154" s="172">
        <f ca="1">IF(OR($D154&lt;&gt;"Serviço",AND(AUTOEVENTO="Manual",$M154=$A$15)),0,
         IF(OFFSET(CRONOPLE!$F$15,$M154-$A$15,AM$13)="",10^12,OFFSET(CRONOPLE!$F$15,$M154-$A$15,AM$13)))</f>
        <v>1000000000000</v>
      </c>
      <c r="AN154" s="172">
        <f ca="1">IF(OR($D154&lt;&gt;"Serviço",AND(AUTOEVENTO="Manual",$M154=$A$15)),0,
         IF(OFFSET(CRONOPLE!$F$15,$M154-$A$15,AN$13)="",10^12,OFFSET(CRONOPLE!$F$15,$M154-$A$15,AN$13)))</f>
        <v>1000000000000</v>
      </c>
      <c r="AO154" s="172">
        <f ca="1">IF(OR($D154&lt;&gt;"Serviço",AND(AUTOEVENTO="Manual",$M154=$A$15)),0,
         IF(OFFSET(CRONOPLE!$F$15,$M154-$A$15,AO$13)="",10^12,OFFSET(CRONOPLE!$F$15,$M154-$A$15,AO$13)))</f>
        <v>1000000000000</v>
      </c>
      <c r="AP154" s="172">
        <f ca="1">IF(OR($D154&lt;&gt;"Serviço",AND(AUTOEVENTO="Manual",$M154=$A$15)),0,
         IF(OFFSET(CRONOPLE!$F$15,$M154-$A$15,AP$13)="",10^12,OFFSET(CRONOPLE!$F$15,$M154-$A$15,AP$13)))</f>
        <v>1000000000000</v>
      </c>
      <c r="AQ154" s="172">
        <f ca="1">IF(OR($D154&lt;&gt;"Serviço",AND(AUTOEVENTO="Manual",$M154=$A$15)),0,
         IF(OFFSET(CRONOPLE!$F$15,$M154-$A$15,AQ$13)="",10^12,OFFSET(CRONOPLE!$F$15,$M154-$A$15,AQ$13)))</f>
        <v>1000000000000</v>
      </c>
      <c r="AR154" s="172">
        <f ca="1">IF(OR($D154&lt;&gt;"Serviço",AND(AUTOEVENTO="Manual",$M154=$A$15)),0,
         IF(OFFSET(CRONOPLE!$F$15,$M154-$A$15,AR$13)="",10^12,OFFSET(CRONOPLE!$F$15,$M154-$A$15,AR$13)))</f>
        <v>1000000000000</v>
      </c>
      <c r="AS154" s="172">
        <f ca="1">IF(OR($D154&lt;&gt;"Serviço",AND(AUTOEVENTO="Manual",$M154=$A$15)),0,
         IF(OFFSET(CRONOPLE!$F$15,$M154-$A$15,AS$13)="",10^12,OFFSET(CRONOPLE!$F$15,$M154-$A$15,AS$13)))</f>
        <v>1000000000000</v>
      </c>
      <c r="AT154" s="172">
        <f ca="1">IF(OR($D154&lt;&gt;"Serviço",AND(AUTOEVENTO="Manual",$M154=$A$15)),0,
         IF(OFFSET(CRONOPLE!$F$15,$M154-$A$15,AT$13)="",10^12,OFFSET(CRONOPLE!$F$15,$M154-$A$15,AT$13)))</f>
        <v>1000000000000</v>
      </c>
      <c r="AU154" s="172">
        <f ca="1">IF(OR($D154&lt;&gt;"Serviço",AND(AUTOEVENTO="Manual",$M154=$A$15)),0,
         IF(OFFSET(CRONOPLE!$F$15,$M154-$A$15,AU$13)="",10^12,OFFSET(CRONOPLE!$F$15,$M154-$A$15,AU$13)))</f>
        <v>1000000000000</v>
      </c>
      <c r="AV154" s="172">
        <f ca="1">IF(OR($D154&lt;&gt;"Serviço",AND(AUTOEVENTO="Manual",$M154=$A$15)),0,
         IF(OFFSET(CRONOPLE!$F$15,$M154-$A$15,AV$13)="",10^12,OFFSET(CRONOPLE!$F$15,$M154-$A$15,AV$13)))</f>
        <v>1000000000000</v>
      </c>
      <c r="AX154" s="173">
        <f ca="1">IF(OR($D154&lt;&gt;"Serviço",AND(AUTOEVENTO="Manual",$M154=$A$15),$M154&gt;(ROW(PLE.lastrow)-ROW(PLE.firstrow))),0,
           IF(OFFSET(PLE!$G$15,$M154-$A$15,AX$13)="",10^12,OFFSET(PLE!$G$15,$M154-$A$15,AX$13)))</f>
        <v>1000000000000</v>
      </c>
      <c r="AY154" s="173">
        <f ca="1">IF(OR($D154&lt;&gt;"Serviço",AND(AUTOEVENTO="Manual",$M154=$A$15),$M154&gt;(ROW(PLE.lastrow)-ROW(PLE.firstrow))),0,
           IF(OFFSET(PLE!$G$15,$M154-$A$15,AY$13)="",10^12,OFFSET(PLE!$G$15,$M154-$A$15,AY$13)))</f>
        <v>1000000000000</v>
      </c>
      <c r="AZ154" s="173">
        <f ca="1">IF(OR($D154&lt;&gt;"Serviço",AND(AUTOEVENTO="Manual",$M154=$A$15),$M154&gt;(ROW(PLE.lastrow)-ROW(PLE.firstrow))),0,
           IF(OFFSET(PLE!$G$15,$M154-$A$15,AZ$13)="",10^12,OFFSET(PLE!$G$15,$M154-$A$15,AZ$13)))</f>
        <v>1000000000000</v>
      </c>
      <c r="BA154" s="173">
        <f ca="1">IF(OR($D154&lt;&gt;"Serviço",AND(AUTOEVENTO="Manual",$M154=$A$15),$M154&gt;(ROW(PLE.lastrow)-ROW(PLE.firstrow))),0,
           IF(OFFSET(PLE!$G$15,$M154-$A$15,BA$13)="",10^12,OFFSET(PLE!$G$15,$M154-$A$15,BA$13)))</f>
        <v>1000000000000</v>
      </c>
      <c r="BB154" s="173">
        <f ca="1">IF(OR($D154&lt;&gt;"Serviço",AND(AUTOEVENTO="Manual",$M154=$A$15),$M154&gt;(ROW(PLE.lastrow)-ROW(PLE.firstrow))),0,
           IF(OFFSET(PLE!$G$15,$M154-$A$15,BB$13)="",10^12,OFFSET(PLE!$G$15,$M154-$A$15,BB$13)))</f>
        <v>1000000000000</v>
      </c>
      <c r="BC154" s="173">
        <f ca="1">IF(OR($D154&lt;&gt;"Serviço",AND(AUTOEVENTO="Manual",$M154=$A$15),$M154&gt;(ROW(PLE.lastrow)-ROW(PLE.firstrow))),0,
           IF(OFFSET(PLE!$G$15,$M154-$A$15,BC$13)="",10^12,OFFSET(PLE!$G$15,$M154-$A$15,BC$13)))</f>
        <v>1000000000000</v>
      </c>
      <c r="BD154" s="173">
        <f ca="1">IF(OR($D154&lt;&gt;"Serviço",AND(AUTOEVENTO="Manual",$M154=$A$15),$M154&gt;(ROW(PLE.lastrow)-ROW(PLE.firstrow))),0,
           IF(OFFSET(PLE!$G$15,$M154-$A$15,BD$13)="",10^12,OFFSET(PLE!$G$15,$M154-$A$15,BD$13)))</f>
        <v>1000000000000</v>
      </c>
      <c r="BE154" s="173">
        <f ca="1">IF(OR($D154&lt;&gt;"Serviço",AND(AUTOEVENTO="Manual",$M154=$A$15),$M154&gt;(ROW(PLE.lastrow)-ROW(PLE.firstrow))),0,
           IF(OFFSET(PLE!$G$15,$M154-$A$15,BE$13)="",10^12,OFFSET(PLE!$G$15,$M154-$A$15,BE$13)))</f>
        <v>1000000000000</v>
      </c>
      <c r="BF154" s="173">
        <f ca="1">IF(OR($D154&lt;&gt;"Serviço",AND(AUTOEVENTO="Manual",$M154=$A$15),$M154&gt;(ROW(PLE.lastrow)-ROW(PLE.firstrow))),0,
           IF(OFFSET(PLE!$G$15,$M154-$A$15,BF$13)="",10^12,OFFSET(PLE!$G$15,$M154-$A$15,BF$13)))</f>
        <v>1000000000000</v>
      </c>
      <c r="BG154" s="173">
        <f ca="1">IF(OR($D154&lt;&gt;"Serviço",AND(AUTOEVENTO="Manual",$M154=$A$15),$M154&gt;(ROW(PLE.lastrow)-ROW(PLE.firstrow))),0,
           IF(OFFSET(PLE!$G$15,$M154-$A$15,BG$13)="",10^12,OFFSET(PLE!$G$15,$M154-$A$15,BG$13)))</f>
        <v>1000000000000</v>
      </c>
    </row>
    <row r="155" spans="1:59" ht="38.25" x14ac:dyDescent="0.2">
      <c r="A155" s="7" t="str">
        <f t="shared" ca="1" si="10"/>
        <v>114</v>
      </c>
      <c r="B155" s="7" t="str">
        <f ca="1">OFFSET(ORÇAMENTO!C$15,ROW(B155)-ROW(B$15),0)</f>
        <v>S</v>
      </c>
      <c r="C155" s="7" t="str">
        <f ca="1">OFFSET(ORÇAMENTO!L$15,ROW(C155)-ROW(C$15),0)</f>
        <v/>
      </c>
      <c r="D155" s="117" t="str">
        <f ca="1">OFFSET(ORÇAMENTO!N$15,ROW(D155)-ROW(D$15),0)</f>
        <v>Serviço</v>
      </c>
      <c r="E155" s="118" t="str">
        <f ca="1">OFFSET(ORÇAMENTO!O$15,ROW(E155)-ROW(E$15),0)</f>
        <v>-</v>
      </c>
      <c r="F155" s="164" t="str">
        <f ca="1">OFFSET(ORÇAMENTO!R$15,ROW(F155)-ROW(F$15),0)</f>
        <v>REDUÇÃO EXCÊNTRICA, PVC, SERIE R, ESGOTO PREDIAL, DN 100 X 75 MM, JUNTA ELÁSTICA, FORNECIDO E INSTALADO EM PRUMADA DE ESGOTO SANITÁRIO</v>
      </c>
      <c r="G155" s="165" t="str">
        <f ca="1">IF($D155&lt;&gt;"Serviço","",OFFSET(ORÇAMENTO!S$15,ROW(G155)-ROW(G$15),0))</f>
        <v xml:space="preserve">UN    </v>
      </c>
      <c r="H155" s="123">
        <f ca="1">IF($D155&lt;&gt;"Serviço",0,IF(ACOMPANHAMENTO="BM",ROUND(OFFSET(ORÇAMENTO!AJ$15,ROW(H155)-ROW(H$15),0),15-13*ORÇAMENTO!$AF$7),SUMPRODUCT(($Q$1:$AA$1=1)*ROUND($Q155:$AA155,15-13*ORÇAMENTO!$AF$7))))</f>
        <v>7</v>
      </c>
      <c r="I155" s="469"/>
      <c r="J155" s="577" t="str" cm="1">
        <f t="array" aca="1" ref="J155" ca="1">IF(B155&lt;&gt;"S","",IF(AND(ACOMPANHAMENTO="PLE",AUTOEVENTO="Manual",OR(H155&gt;0,ORÇAMENTO!AC155="QUANT."),OR(K155="",M155=0,N155="")),"►",IF(AND(ACOMPANHAMENTO="PLE",ORÇAMENTO!AC155="QUANT."),"►►",IF(AND(COUNTIF($P$11:$AA$11,"▼")=0,H155&gt;0,I155=""),"◄",""))))</f>
        <v>◄</v>
      </c>
      <c r="K155" s="626"/>
      <c r="L155" s="166" t="s">
        <v>765</v>
      </c>
      <c r="M155" s="167">
        <f ca="1">IF($D155&lt;&gt;"Serviço","",
          IF(AUTOEVENTO="manual",$A155,
                IF(ISERROR(MATCH($A155,$A$15:OFFSET($A155,-1,0),0)),MAX($M$15:OFFSET(M155,-1,0))+1,
                      INDEX($M$15:OFFSET(M155,-1,0),MATCH($A155,$A$15:OFFSET($A155,-1,0),0)))))</f>
        <v>11</v>
      </c>
      <c r="N155" s="168" t="str">
        <f ca="1">IF($D155&lt;&gt;"Serviço","",
         IF(AUTOEVENTO="Manual",
                IF($A155=0,"&lt;-- defina o número do agrupador",
                       OFFSET(EVENTOS!$D$15,$A155-$A$15,0)),
                OFFSET($F$15,$A155,0)))</f>
        <v>INSTALAÇÕES HIDROSSANITÁRIAS</v>
      </c>
      <c r="O155" s="169"/>
      <c r="Q155" s="169"/>
      <c r="R155" s="170"/>
      <c r="S155" s="170"/>
      <c r="T155" s="170"/>
      <c r="U155" s="170"/>
      <c r="V155" s="170"/>
      <c r="W155" s="170"/>
      <c r="X155" s="170"/>
      <c r="Y155" s="170"/>
      <c r="Z155" s="171"/>
      <c r="AB155" s="454">
        <f ca="1">IF(AND($D155="Serviço",AB$12&lt;&gt;0,$H155&gt;0,OR(AUTOEVENTO&lt;&gt;"manual",$M155&lt;&gt;$A$15)),
        IF(Import.TipoArredondamento&lt;&gt;"TransfereGOV",
              ROUND(OFFSET($P155,0,AB$13),15-13*ORÇAMENTO!$AF$7)/$H155*OFFSET(ORÇAMENTO!$X$15,ROW(AB155)-ROW(AB$15),0),
              ROUND(ROUND(OFFSET($P155,0,AB$13),15-13*ORÇAMENTO!$AF$7)*OFFSET(ORÇAMENTO!$W$15,ROW(AB155)-ROW(AB$15),0),15-13*ORÇAMENTO!$AF$11)),
         0)</f>
        <v>0</v>
      </c>
      <c r="AC155" s="454">
        <f ca="1">IF(AND($D155="Serviço",AC$12&lt;&gt;0,$H155&gt;0,OR(AUTOEVENTO&lt;&gt;"manual",$M155&lt;&gt;$A$15)),
        IF(Import.TipoArredondamento&lt;&gt;"TransfereGOV",
              ROUND(OFFSET($P155,0,AC$13),15-13*ORÇAMENTO!$AF$7)/$H155*OFFSET(ORÇAMENTO!$X$15,ROW(AC155)-ROW(AC$15),0),
              ROUND(ROUND(OFFSET($P155,0,AC$13),15-13*ORÇAMENTO!$AF$7)*OFFSET(ORÇAMENTO!$W$15,ROW(AC155)-ROW(AC$15),0),15-13*ORÇAMENTO!$AF$11)),
         0)</f>
        <v>0</v>
      </c>
      <c r="AD155" s="454">
        <f ca="1">IF(AND($D155="Serviço",AD$12&lt;&gt;0,$H155&gt;0,OR(AUTOEVENTO&lt;&gt;"manual",$M155&lt;&gt;$A$15)),
        IF(Import.TipoArredondamento&lt;&gt;"TransfereGOV",
              ROUND(OFFSET($P155,0,AD$13),15-13*ORÇAMENTO!$AF$7)/$H155*OFFSET(ORÇAMENTO!$X$15,ROW(AD155)-ROW(AD$15),0),
              ROUND(ROUND(OFFSET($P155,0,AD$13),15-13*ORÇAMENTO!$AF$7)*OFFSET(ORÇAMENTO!$W$15,ROW(AD155)-ROW(AD$15),0),15-13*ORÇAMENTO!$AF$11)),
         0)</f>
        <v>0</v>
      </c>
      <c r="AE155" s="454">
        <f ca="1">IF(AND($D155="Serviço",AE$12&lt;&gt;0,$H155&gt;0,OR(AUTOEVENTO&lt;&gt;"manual",$M155&lt;&gt;$A$15)),
        IF(Import.TipoArredondamento&lt;&gt;"TransfereGOV",
              ROUND(OFFSET($P155,0,AE$13),15-13*ORÇAMENTO!$AF$7)/$H155*OFFSET(ORÇAMENTO!$X$15,ROW(AE155)-ROW(AE$15),0),
              ROUND(ROUND(OFFSET($P155,0,AE$13),15-13*ORÇAMENTO!$AF$7)*OFFSET(ORÇAMENTO!$W$15,ROW(AE155)-ROW(AE$15),0),15-13*ORÇAMENTO!$AF$11)),
         0)</f>
        <v>0</v>
      </c>
      <c r="AF155" s="454">
        <f ca="1">IF(AND($D155="Serviço",AF$12&lt;&gt;0,$H155&gt;0,OR(AUTOEVENTO&lt;&gt;"manual",$M155&lt;&gt;$A$15)),
        IF(Import.TipoArredondamento&lt;&gt;"TransfereGOV",
              ROUND(OFFSET($P155,0,AF$13),15-13*ORÇAMENTO!$AF$7)/$H155*OFFSET(ORÇAMENTO!$X$15,ROW(AF155)-ROW(AF$15),0),
              ROUND(ROUND(OFFSET($P155,0,AF$13),15-13*ORÇAMENTO!$AF$7)*OFFSET(ORÇAMENTO!$W$15,ROW(AF155)-ROW(AF$15),0),15-13*ORÇAMENTO!$AF$11)),
         0)</f>
        <v>0</v>
      </c>
      <c r="AG155" s="454">
        <f ca="1">IF(AND($D155="Serviço",AG$12&lt;&gt;0,$H155&gt;0,OR(AUTOEVENTO&lt;&gt;"manual",$M155&lt;&gt;$A$15)),
        IF(Import.TipoArredondamento&lt;&gt;"TransfereGOV",
              ROUND(OFFSET($P155,0,AG$13),15-13*ORÇAMENTO!$AF$7)/$H155*OFFSET(ORÇAMENTO!$X$15,ROW(AG155)-ROW(AG$15),0),
              ROUND(ROUND(OFFSET($P155,0,AG$13),15-13*ORÇAMENTO!$AF$7)*OFFSET(ORÇAMENTO!$W$15,ROW(AG155)-ROW(AG$15),0),15-13*ORÇAMENTO!$AF$11)),
         0)</f>
        <v>0</v>
      </c>
      <c r="AH155" s="454">
        <f ca="1">IF(AND($D155="Serviço",AH$12&lt;&gt;0,$H155&gt;0,OR(AUTOEVENTO&lt;&gt;"manual",$M155&lt;&gt;$A$15)),
        IF(Import.TipoArredondamento&lt;&gt;"TransfereGOV",
              ROUND(OFFSET($P155,0,AH$13),15-13*ORÇAMENTO!$AF$7)/$H155*OFFSET(ORÇAMENTO!$X$15,ROW(AH155)-ROW(AH$15),0),
              ROUND(ROUND(OFFSET($P155,0,AH$13),15-13*ORÇAMENTO!$AF$7)*OFFSET(ORÇAMENTO!$W$15,ROW(AH155)-ROW(AH$15),0),15-13*ORÇAMENTO!$AF$11)),
         0)</f>
        <v>0</v>
      </c>
      <c r="AI155" s="454">
        <f ca="1">IF(AND($D155="Serviço",AI$12&lt;&gt;0,$H155&gt;0,OR(AUTOEVENTO&lt;&gt;"manual",$M155&lt;&gt;$A$15)),
        IF(Import.TipoArredondamento&lt;&gt;"TransfereGOV",
              ROUND(OFFSET($P155,0,AI$13),15-13*ORÇAMENTO!$AF$7)/$H155*OFFSET(ORÇAMENTO!$X$15,ROW(AI155)-ROW(AI$15),0),
              ROUND(ROUND(OFFSET($P155,0,AI$13),15-13*ORÇAMENTO!$AF$7)*OFFSET(ORÇAMENTO!$W$15,ROW(AI155)-ROW(AI$15),0),15-13*ORÇAMENTO!$AF$11)),
         0)</f>
        <v>0</v>
      </c>
      <c r="AJ155" s="454">
        <f ca="1">IF(AND($D155="Serviço",AJ$12&lt;&gt;0,$H155&gt;0,OR(AUTOEVENTO&lt;&gt;"manual",$M155&lt;&gt;$A$15)),
        IF(Import.TipoArredondamento&lt;&gt;"TransfereGOV",
              ROUND(OFFSET($P155,0,AJ$13),15-13*ORÇAMENTO!$AF$7)/$H155*OFFSET(ORÇAMENTO!$X$15,ROW(AJ155)-ROW(AJ$15),0),
              ROUND(ROUND(OFFSET($P155,0,AJ$13),15-13*ORÇAMENTO!$AF$7)*OFFSET(ORÇAMENTO!$W$15,ROW(AJ155)-ROW(AJ$15),0),15-13*ORÇAMENTO!$AF$11)),
         0)</f>
        <v>0</v>
      </c>
      <c r="AK155" s="454">
        <f ca="1">IF(AND($D155="Serviço",AK$12&lt;&gt;0,$H155&gt;0,OR(AUTOEVENTO&lt;&gt;"manual",$M155&lt;&gt;$A$15)),
        IF(Import.TipoArredondamento&lt;&gt;"TransfereGOV",
              ROUND(OFFSET($P155,0,AK$13),15-13*ORÇAMENTO!$AF$7)/$H155*OFFSET(ORÇAMENTO!$X$15,ROW(AK155)-ROW(AK$15),0),
              ROUND(ROUND(OFFSET($P155,0,AK$13),15-13*ORÇAMENTO!$AF$7)*OFFSET(ORÇAMENTO!$W$15,ROW(AK155)-ROW(AK$15),0),15-13*ORÇAMENTO!$AF$11)),
         0)</f>
        <v>0</v>
      </c>
      <c r="AM155" s="172">
        <f ca="1">IF(OR($D155&lt;&gt;"Serviço",AND(AUTOEVENTO="Manual",$M155=$A$15)),0,
         IF(OFFSET(CRONOPLE!$F$15,$M155-$A$15,AM$13)="",10^12,OFFSET(CRONOPLE!$F$15,$M155-$A$15,AM$13)))</f>
        <v>1000000000000</v>
      </c>
      <c r="AN155" s="172">
        <f ca="1">IF(OR($D155&lt;&gt;"Serviço",AND(AUTOEVENTO="Manual",$M155=$A$15)),0,
         IF(OFFSET(CRONOPLE!$F$15,$M155-$A$15,AN$13)="",10^12,OFFSET(CRONOPLE!$F$15,$M155-$A$15,AN$13)))</f>
        <v>1000000000000</v>
      </c>
      <c r="AO155" s="172">
        <f ca="1">IF(OR($D155&lt;&gt;"Serviço",AND(AUTOEVENTO="Manual",$M155=$A$15)),0,
         IF(OFFSET(CRONOPLE!$F$15,$M155-$A$15,AO$13)="",10^12,OFFSET(CRONOPLE!$F$15,$M155-$A$15,AO$13)))</f>
        <v>1000000000000</v>
      </c>
      <c r="AP155" s="172">
        <f ca="1">IF(OR($D155&lt;&gt;"Serviço",AND(AUTOEVENTO="Manual",$M155=$A$15)),0,
         IF(OFFSET(CRONOPLE!$F$15,$M155-$A$15,AP$13)="",10^12,OFFSET(CRONOPLE!$F$15,$M155-$A$15,AP$13)))</f>
        <v>1000000000000</v>
      </c>
      <c r="AQ155" s="172">
        <f ca="1">IF(OR($D155&lt;&gt;"Serviço",AND(AUTOEVENTO="Manual",$M155=$A$15)),0,
         IF(OFFSET(CRONOPLE!$F$15,$M155-$A$15,AQ$13)="",10^12,OFFSET(CRONOPLE!$F$15,$M155-$A$15,AQ$13)))</f>
        <v>1000000000000</v>
      </c>
      <c r="AR155" s="172">
        <f ca="1">IF(OR($D155&lt;&gt;"Serviço",AND(AUTOEVENTO="Manual",$M155=$A$15)),0,
         IF(OFFSET(CRONOPLE!$F$15,$M155-$A$15,AR$13)="",10^12,OFFSET(CRONOPLE!$F$15,$M155-$A$15,AR$13)))</f>
        <v>1000000000000</v>
      </c>
      <c r="AS155" s="172">
        <f ca="1">IF(OR($D155&lt;&gt;"Serviço",AND(AUTOEVENTO="Manual",$M155=$A$15)),0,
         IF(OFFSET(CRONOPLE!$F$15,$M155-$A$15,AS$13)="",10^12,OFFSET(CRONOPLE!$F$15,$M155-$A$15,AS$13)))</f>
        <v>1000000000000</v>
      </c>
      <c r="AT155" s="172">
        <f ca="1">IF(OR($D155&lt;&gt;"Serviço",AND(AUTOEVENTO="Manual",$M155=$A$15)),0,
         IF(OFFSET(CRONOPLE!$F$15,$M155-$A$15,AT$13)="",10^12,OFFSET(CRONOPLE!$F$15,$M155-$A$15,AT$13)))</f>
        <v>1000000000000</v>
      </c>
      <c r="AU155" s="172">
        <f ca="1">IF(OR($D155&lt;&gt;"Serviço",AND(AUTOEVENTO="Manual",$M155=$A$15)),0,
         IF(OFFSET(CRONOPLE!$F$15,$M155-$A$15,AU$13)="",10^12,OFFSET(CRONOPLE!$F$15,$M155-$A$15,AU$13)))</f>
        <v>1000000000000</v>
      </c>
      <c r="AV155" s="172">
        <f ca="1">IF(OR($D155&lt;&gt;"Serviço",AND(AUTOEVENTO="Manual",$M155=$A$15)),0,
         IF(OFFSET(CRONOPLE!$F$15,$M155-$A$15,AV$13)="",10^12,OFFSET(CRONOPLE!$F$15,$M155-$A$15,AV$13)))</f>
        <v>1000000000000</v>
      </c>
      <c r="AX155" s="173">
        <f ca="1">IF(OR($D155&lt;&gt;"Serviço",AND(AUTOEVENTO="Manual",$M155=$A$15),$M155&gt;(ROW(PLE.lastrow)-ROW(PLE.firstrow))),0,
           IF(OFFSET(PLE!$G$15,$M155-$A$15,AX$13)="",10^12,OFFSET(PLE!$G$15,$M155-$A$15,AX$13)))</f>
        <v>1000000000000</v>
      </c>
      <c r="AY155" s="173">
        <f ca="1">IF(OR($D155&lt;&gt;"Serviço",AND(AUTOEVENTO="Manual",$M155=$A$15),$M155&gt;(ROW(PLE.lastrow)-ROW(PLE.firstrow))),0,
           IF(OFFSET(PLE!$G$15,$M155-$A$15,AY$13)="",10^12,OFFSET(PLE!$G$15,$M155-$A$15,AY$13)))</f>
        <v>1000000000000</v>
      </c>
      <c r="AZ155" s="173">
        <f ca="1">IF(OR($D155&lt;&gt;"Serviço",AND(AUTOEVENTO="Manual",$M155=$A$15),$M155&gt;(ROW(PLE.lastrow)-ROW(PLE.firstrow))),0,
           IF(OFFSET(PLE!$G$15,$M155-$A$15,AZ$13)="",10^12,OFFSET(PLE!$G$15,$M155-$A$15,AZ$13)))</f>
        <v>1000000000000</v>
      </c>
      <c r="BA155" s="173">
        <f ca="1">IF(OR($D155&lt;&gt;"Serviço",AND(AUTOEVENTO="Manual",$M155=$A$15),$M155&gt;(ROW(PLE.lastrow)-ROW(PLE.firstrow))),0,
           IF(OFFSET(PLE!$G$15,$M155-$A$15,BA$13)="",10^12,OFFSET(PLE!$G$15,$M155-$A$15,BA$13)))</f>
        <v>1000000000000</v>
      </c>
      <c r="BB155" s="173">
        <f ca="1">IF(OR($D155&lt;&gt;"Serviço",AND(AUTOEVENTO="Manual",$M155=$A$15),$M155&gt;(ROW(PLE.lastrow)-ROW(PLE.firstrow))),0,
           IF(OFFSET(PLE!$G$15,$M155-$A$15,BB$13)="",10^12,OFFSET(PLE!$G$15,$M155-$A$15,BB$13)))</f>
        <v>1000000000000</v>
      </c>
      <c r="BC155" s="173">
        <f ca="1">IF(OR($D155&lt;&gt;"Serviço",AND(AUTOEVENTO="Manual",$M155=$A$15),$M155&gt;(ROW(PLE.lastrow)-ROW(PLE.firstrow))),0,
           IF(OFFSET(PLE!$G$15,$M155-$A$15,BC$13)="",10^12,OFFSET(PLE!$G$15,$M155-$A$15,BC$13)))</f>
        <v>1000000000000</v>
      </c>
      <c r="BD155" s="173">
        <f ca="1">IF(OR($D155&lt;&gt;"Serviço",AND(AUTOEVENTO="Manual",$M155=$A$15),$M155&gt;(ROW(PLE.lastrow)-ROW(PLE.firstrow))),0,
           IF(OFFSET(PLE!$G$15,$M155-$A$15,BD$13)="",10^12,OFFSET(PLE!$G$15,$M155-$A$15,BD$13)))</f>
        <v>1000000000000</v>
      </c>
      <c r="BE155" s="173">
        <f ca="1">IF(OR($D155&lt;&gt;"Serviço",AND(AUTOEVENTO="Manual",$M155=$A$15),$M155&gt;(ROW(PLE.lastrow)-ROW(PLE.firstrow))),0,
           IF(OFFSET(PLE!$G$15,$M155-$A$15,BE$13)="",10^12,OFFSET(PLE!$G$15,$M155-$A$15,BE$13)))</f>
        <v>1000000000000</v>
      </c>
      <c r="BF155" s="173">
        <f ca="1">IF(OR($D155&lt;&gt;"Serviço",AND(AUTOEVENTO="Manual",$M155=$A$15),$M155&gt;(ROW(PLE.lastrow)-ROW(PLE.firstrow))),0,
           IF(OFFSET(PLE!$G$15,$M155-$A$15,BF$13)="",10^12,OFFSET(PLE!$G$15,$M155-$A$15,BF$13)))</f>
        <v>1000000000000</v>
      </c>
      <c r="BG155" s="173">
        <f ca="1">IF(OR($D155&lt;&gt;"Serviço",AND(AUTOEVENTO="Manual",$M155=$A$15),$M155&gt;(ROW(PLE.lastrow)-ROW(PLE.firstrow))),0,
           IF(OFFSET(PLE!$G$15,$M155-$A$15,BG$13)="",10^12,OFFSET(PLE!$G$15,$M155-$A$15,BG$13)))</f>
        <v>1000000000000</v>
      </c>
    </row>
    <row r="156" spans="1:59" ht="38.25" x14ac:dyDescent="0.2">
      <c r="A156" s="7" t="str">
        <f t="shared" ca="1" si="10"/>
        <v>114</v>
      </c>
      <c r="B156" s="7" t="str">
        <f ca="1">OFFSET(ORÇAMENTO!C$15,ROW(B156)-ROW(B$15),0)</f>
        <v>S</v>
      </c>
      <c r="C156" s="7" t="str">
        <f ca="1">OFFSET(ORÇAMENTO!L$15,ROW(C156)-ROW(C$15),0)</f>
        <v/>
      </c>
      <c r="D156" s="117" t="str">
        <f ca="1">OFFSET(ORÇAMENTO!N$15,ROW(D156)-ROW(D$15),0)</f>
        <v>Serviço</v>
      </c>
      <c r="E156" s="118" t="str">
        <f ca="1">OFFSET(ORÇAMENTO!O$15,ROW(E156)-ROW(E$15),0)</f>
        <v>-</v>
      </c>
      <c r="F156" s="164" t="str">
        <f ca="1">OFFSET(ORÇAMENTO!R$15,ROW(F156)-ROW(F$15),0)</f>
        <v>TUBO PVC, SERIE NORMAL, ESGOTO PREDIAL, DN 100 MM, FORNECIDO E INSTALADO EM RAMAL DE DESCARGA OU RAMAL DE ESGOTO SANITÁRIO. AF_08/2022</v>
      </c>
      <c r="G156" s="165" t="str">
        <f ca="1">IF($D156&lt;&gt;"Serviço","",OFFSET(ORÇAMENTO!S$15,ROW(G156)-ROW(G$15),0))</f>
        <v>M</v>
      </c>
      <c r="H156" s="123">
        <f ca="1">IF($D156&lt;&gt;"Serviço",0,IF(ACOMPANHAMENTO="BM",ROUND(OFFSET(ORÇAMENTO!AJ$15,ROW(H156)-ROW(H$15),0),15-13*ORÇAMENTO!$AF$7),SUMPRODUCT(($Q$1:$AA$1=1)*ROUND($Q156:$AA156,15-13*ORÇAMENTO!$AF$7))))</f>
        <v>312.2</v>
      </c>
      <c r="I156" s="469"/>
      <c r="J156" s="577" t="str" cm="1">
        <f t="array" aca="1" ref="J156" ca="1">IF(B156&lt;&gt;"S","",IF(AND(ACOMPANHAMENTO="PLE",AUTOEVENTO="Manual",OR(H156&gt;0,ORÇAMENTO!AC156="QUANT."),OR(K156="",M156=0,N156="")),"►",IF(AND(ACOMPANHAMENTO="PLE",ORÇAMENTO!AC156="QUANT."),"►►",IF(AND(COUNTIF($P$11:$AA$11,"▼")=0,H156&gt;0,I156=""),"◄",""))))</f>
        <v>◄</v>
      </c>
      <c r="K156" s="626"/>
      <c r="L156" s="166" t="s">
        <v>765</v>
      </c>
      <c r="M156" s="167">
        <f ca="1">IF($D156&lt;&gt;"Serviço","",
          IF(AUTOEVENTO="manual",$A156,
                IF(ISERROR(MATCH($A156,$A$15:OFFSET($A156,-1,0),0)),MAX($M$15:OFFSET(M156,-1,0))+1,
                      INDEX($M$15:OFFSET(M156,-1,0),MATCH($A156,$A$15:OFFSET($A156,-1,0),0)))))</f>
        <v>11</v>
      </c>
      <c r="N156" s="168" t="str">
        <f ca="1">IF($D156&lt;&gt;"Serviço","",
         IF(AUTOEVENTO="Manual",
                IF($A156=0,"&lt;-- defina o número do agrupador",
                       OFFSET(EVENTOS!$D$15,$A156-$A$15,0)),
                OFFSET($F$15,$A156,0)))</f>
        <v>INSTALAÇÕES HIDROSSANITÁRIAS</v>
      </c>
      <c r="O156" s="169"/>
      <c r="Q156" s="169"/>
      <c r="R156" s="170"/>
      <c r="S156" s="170"/>
      <c r="T156" s="170"/>
      <c r="U156" s="170"/>
      <c r="V156" s="170"/>
      <c r="W156" s="170"/>
      <c r="X156" s="170"/>
      <c r="Y156" s="170"/>
      <c r="Z156" s="171"/>
      <c r="AB156" s="454">
        <f ca="1">IF(AND($D156="Serviço",AB$12&lt;&gt;0,$H156&gt;0,OR(AUTOEVENTO&lt;&gt;"manual",$M156&lt;&gt;$A$15)),
        IF(Import.TipoArredondamento&lt;&gt;"TransfereGOV",
              ROUND(OFFSET($P156,0,AB$13),15-13*ORÇAMENTO!$AF$7)/$H156*OFFSET(ORÇAMENTO!$X$15,ROW(AB156)-ROW(AB$15),0),
              ROUND(ROUND(OFFSET($P156,0,AB$13),15-13*ORÇAMENTO!$AF$7)*OFFSET(ORÇAMENTO!$W$15,ROW(AB156)-ROW(AB$15),0),15-13*ORÇAMENTO!$AF$11)),
         0)</f>
        <v>0</v>
      </c>
      <c r="AC156" s="454">
        <f ca="1">IF(AND($D156="Serviço",AC$12&lt;&gt;0,$H156&gt;0,OR(AUTOEVENTO&lt;&gt;"manual",$M156&lt;&gt;$A$15)),
        IF(Import.TipoArredondamento&lt;&gt;"TransfereGOV",
              ROUND(OFFSET($P156,0,AC$13),15-13*ORÇAMENTO!$AF$7)/$H156*OFFSET(ORÇAMENTO!$X$15,ROW(AC156)-ROW(AC$15),0),
              ROUND(ROUND(OFFSET($P156,0,AC$13),15-13*ORÇAMENTO!$AF$7)*OFFSET(ORÇAMENTO!$W$15,ROW(AC156)-ROW(AC$15),0),15-13*ORÇAMENTO!$AF$11)),
         0)</f>
        <v>0</v>
      </c>
      <c r="AD156" s="454">
        <f ca="1">IF(AND($D156="Serviço",AD$12&lt;&gt;0,$H156&gt;0,OR(AUTOEVENTO&lt;&gt;"manual",$M156&lt;&gt;$A$15)),
        IF(Import.TipoArredondamento&lt;&gt;"TransfereGOV",
              ROUND(OFFSET($P156,0,AD$13),15-13*ORÇAMENTO!$AF$7)/$H156*OFFSET(ORÇAMENTO!$X$15,ROW(AD156)-ROW(AD$15),0),
              ROUND(ROUND(OFFSET($P156,0,AD$13),15-13*ORÇAMENTO!$AF$7)*OFFSET(ORÇAMENTO!$W$15,ROW(AD156)-ROW(AD$15),0),15-13*ORÇAMENTO!$AF$11)),
         0)</f>
        <v>0</v>
      </c>
      <c r="AE156" s="454">
        <f ca="1">IF(AND($D156="Serviço",AE$12&lt;&gt;0,$H156&gt;0,OR(AUTOEVENTO&lt;&gt;"manual",$M156&lt;&gt;$A$15)),
        IF(Import.TipoArredondamento&lt;&gt;"TransfereGOV",
              ROUND(OFFSET($P156,0,AE$13),15-13*ORÇAMENTO!$AF$7)/$H156*OFFSET(ORÇAMENTO!$X$15,ROW(AE156)-ROW(AE$15),0),
              ROUND(ROUND(OFFSET($P156,0,AE$13),15-13*ORÇAMENTO!$AF$7)*OFFSET(ORÇAMENTO!$W$15,ROW(AE156)-ROW(AE$15),0),15-13*ORÇAMENTO!$AF$11)),
         0)</f>
        <v>0</v>
      </c>
      <c r="AF156" s="454">
        <f ca="1">IF(AND($D156="Serviço",AF$12&lt;&gt;0,$H156&gt;0,OR(AUTOEVENTO&lt;&gt;"manual",$M156&lt;&gt;$A$15)),
        IF(Import.TipoArredondamento&lt;&gt;"TransfereGOV",
              ROUND(OFFSET($P156,0,AF$13),15-13*ORÇAMENTO!$AF$7)/$H156*OFFSET(ORÇAMENTO!$X$15,ROW(AF156)-ROW(AF$15),0),
              ROUND(ROUND(OFFSET($P156,0,AF$13),15-13*ORÇAMENTO!$AF$7)*OFFSET(ORÇAMENTO!$W$15,ROW(AF156)-ROW(AF$15),0),15-13*ORÇAMENTO!$AF$11)),
         0)</f>
        <v>0</v>
      </c>
      <c r="AG156" s="454">
        <f ca="1">IF(AND($D156="Serviço",AG$12&lt;&gt;0,$H156&gt;0,OR(AUTOEVENTO&lt;&gt;"manual",$M156&lt;&gt;$A$15)),
        IF(Import.TipoArredondamento&lt;&gt;"TransfereGOV",
              ROUND(OFFSET($P156,0,AG$13),15-13*ORÇAMENTO!$AF$7)/$H156*OFFSET(ORÇAMENTO!$X$15,ROW(AG156)-ROW(AG$15),0),
              ROUND(ROUND(OFFSET($P156,0,AG$13),15-13*ORÇAMENTO!$AF$7)*OFFSET(ORÇAMENTO!$W$15,ROW(AG156)-ROW(AG$15),0),15-13*ORÇAMENTO!$AF$11)),
         0)</f>
        <v>0</v>
      </c>
      <c r="AH156" s="454">
        <f ca="1">IF(AND($D156="Serviço",AH$12&lt;&gt;0,$H156&gt;0,OR(AUTOEVENTO&lt;&gt;"manual",$M156&lt;&gt;$A$15)),
        IF(Import.TipoArredondamento&lt;&gt;"TransfereGOV",
              ROUND(OFFSET($P156,0,AH$13),15-13*ORÇAMENTO!$AF$7)/$H156*OFFSET(ORÇAMENTO!$X$15,ROW(AH156)-ROW(AH$15),0),
              ROUND(ROUND(OFFSET($P156,0,AH$13),15-13*ORÇAMENTO!$AF$7)*OFFSET(ORÇAMENTO!$W$15,ROW(AH156)-ROW(AH$15),0),15-13*ORÇAMENTO!$AF$11)),
         0)</f>
        <v>0</v>
      </c>
      <c r="AI156" s="454">
        <f ca="1">IF(AND($D156="Serviço",AI$12&lt;&gt;0,$H156&gt;0,OR(AUTOEVENTO&lt;&gt;"manual",$M156&lt;&gt;$A$15)),
        IF(Import.TipoArredondamento&lt;&gt;"TransfereGOV",
              ROUND(OFFSET($P156,0,AI$13),15-13*ORÇAMENTO!$AF$7)/$H156*OFFSET(ORÇAMENTO!$X$15,ROW(AI156)-ROW(AI$15),0),
              ROUND(ROUND(OFFSET($P156,0,AI$13),15-13*ORÇAMENTO!$AF$7)*OFFSET(ORÇAMENTO!$W$15,ROW(AI156)-ROW(AI$15),0),15-13*ORÇAMENTO!$AF$11)),
         0)</f>
        <v>0</v>
      </c>
      <c r="AJ156" s="454">
        <f ca="1">IF(AND($D156="Serviço",AJ$12&lt;&gt;0,$H156&gt;0,OR(AUTOEVENTO&lt;&gt;"manual",$M156&lt;&gt;$A$15)),
        IF(Import.TipoArredondamento&lt;&gt;"TransfereGOV",
              ROUND(OFFSET($P156,0,AJ$13),15-13*ORÇAMENTO!$AF$7)/$H156*OFFSET(ORÇAMENTO!$X$15,ROW(AJ156)-ROW(AJ$15),0),
              ROUND(ROUND(OFFSET($P156,0,AJ$13),15-13*ORÇAMENTO!$AF$7)*OFFSET(ORÇAMENTO!$W$15,ROW(AJ156)-ROW(AJ$15),0),15-13*ORÇAMENTO!$AF$11)),
         0)</f>
        <v>0</v>
      </c>
      <c r="AK156" s="454">
        <f ca="1">IF(AND($D156="Serviço",AK$12&lt;&gt;0,$H156&gt;0,OR(AUTOEVENTO&lt;&gt;"manual",$M156&lt;&gt;$A$15)),
        IF(Import.TipoArredondamento&lt;&gt;"TransfereGOV",
              ROUND(OFFSET($P156,0,AK$13),15-13*ORÇAMENTO!$AF$7)/$H156*OFFSET(ORÇAMENTO!$X$15,ROW(AK156)-ROW(AK$15),0),
              ROUND(ROUND(OFFSET($P156,0,AK$13),15-13*ORÇAMENTO!$AF$7)*OFFSET(ORÇAMENTO!$W$15,ROW(AK156)-ROW(AK$15),0),15-13*ORÇAMENTO!$AF$11)),
         0)</f>
        <v>0</v>
      </c>
      <c r="AM156" s="172">
        <f ca="1">IF(OR($D156&lt;&gt;"Serviço",AND(AUTOEVENTO="Manual",$M156=$A$15)),0,
         IF(OFFSET(CRONOPLE!$F$15,$M156-$A$15,AM$13)="",10^12,OFFSET(CRONOPLE!$F$15,$M156-$A$15,AM$13)))</f>
        <v>1000000000000</v>
      </c>
      <c r="AN156" s="172">
        <f ca="1">IF(OR($D156&lt;&gt;"Serviço",AND(AUTOEVENTO="Manual",$M156=$A$15)),0,
         IF(OFFSET(CRONOPLE!$F$15,$M156-$A$15,AN$13)="",10^12,OFFSET(CRONOPLE!$F$15,$M156-$A$15,AN$13)))</f>
        <v>1000000000000</v>
      </c>
      <c r="AO156" s="172">
        <f ca="1">IF(OR($D156&lt;&gt;"Serviço",AND(AUTOEVENTO="Manual",$M156=$A$15)),0,
         IF(OFFSET(CRONOPLE!$F$15,$M156-$A$15,AO$13)="",10^12,OFFSET(CRONOPLE!$F$15,$M156-$A$15,AO$13)))</f>
        <v>1000000000000</v>
      </c>
      <c r="AP156" s="172">
        <f ca="1">IF(OR($D156&lt;&gt;"Serviço",AND(AUTOEVENTO="Manual",$M156=$A$15)),0,
         IF(OFFSET(CRONOPLE!$F$15,$M156-$A$15,AP$13)="",10^12,OFFSET(CRONOPLE!$F$15,$M156-$A$15,AP$13)))</f>
        <v>1000000000000</v>
      </c>
      <c r="AQ156" s="172">
        <f ca="1">IF(OR($D156&lt;&gt;"Serviço",AND(AUTOEVENTO="Manual",$M156=$A$15)),0,
         IF(OFFSET(CRONOPLE!$F$15,$M156-$A$15,AQ$13)="",10^12,OFFSET(CRONOPLE!$F$15,$M156-$A$15,AQ$13)))</f>
        <v>1000000000000</v>
      </c>
      <c r="AR156" s="172">
        <f ca="1">IF(OR($D156&lt;&gt;"Serviço",AND(AUTOEVENTO="Manual",$M156=$A$15)),0,
         IF(OFFSET(CRONOPLE!$F$15,$M156-$A$15,AR$13)="",10^12,OFFSET(CRONOPLE!$F$15,$M156-$A$15,AR$13)))</f>
        <v>1000000000000</v>
      </c>
      <c r="AS156" s="172">
        <f ca="1">IF(OR($D156&lt;&gt;"Serviço",AND(AUTOEVENTO="Manual",$M156=$A$15)),0,
         IF(OFFSET(CRONOPLE!$F$15,$M156-$A$15,AS$13)="",10^12,OFFSET(CRONOPLE!$F$15,$M156-$A$15,AS$13)))</f>
        <v>1000000000000</v>
      </c>
      <c r="AT156" s="172">
        <f ca="1">IF(OR($D156&lt;&gt;"Serviço",AND(AUTOEVENTO="Manual",$M156=$A$15)),0,
         IF(OFFSET(CRONOPLE!$F$15,$M156-$A$15,AT$13)="",10^12,OFFSET(CRONOPLE!$F$15,$M156-$A$15,AT$13)))</f>
        <v>1000000000000</v>
      </c>
      <c r="AU156" s="172">
        <f ca="1">IF(OR($D156&lt;&gt;"Serviço",AND(AUTOEVENTO="Manual",$M156=$A$15)),0,
         IF(OFFSET(CRONOPLE!$F$15,$M156-$A$15,AU$13)="",10^12,OFFSET(CRONOPLE!$F$15,$M156-$A$15,AU$13)))</f>
        <v>1000000000000</v>
      </c>
      <c r="AV156" s="172">
        <f ca="1">IF(OR($D156&lt;&gt;"Serviço",AND(AUTOEVENTO="Manual",$M156=$A$15)),0,
         IF(OFFSET(CRONOPLE!$F$15,$M156-$A$15,AV$13)="",10^12,OFFSET(CRONOPLE!$F$15,$M156-$A$15,AV$13)))</f>
        <v>1000000000000</v>
      </c>
      <c r="AX156" s="173">
        <f ca="1">IF(OR($D156&lt;&gt;"Serviço",AND(AUTOEVENTO="Manual",$M156=$A$15),$M156&gt;(ROW(PLE.lastrow)-ROW(PLE.firstrow))),0,
           IF(OFFSET(PLE!$G$15,$M156-$A$15,AX$13)="",10^12,OFFSET(PLE!$G$15,$M156-$A$15,AX$13)))</f>
        <v>1000000000000</v>
      </c>
      <c r="AY156" s="173">
        <f ca="1">IF(OR($D156&lt;&gt;"Serviço",AND(AUTOEVENTO="Manual",$M156=$A$15),$M156&gt;(ROW(PLE.lastrow)-ROW(PLE.firstrow))),0,
           IF(OFFSET(PLE!$G$15,$M156-$A$15,AY$13)="",10^12,OFFSET(PLE!$G$15,$M156-$A$15,AY$13)))</f>
        <v>1000000000000</v>
      </c>
      <c r="AZ156" s="173">
        <f ca="1">IF(OR($D156&lt;&gt;"Serviço",AND(AUTOEVENTO="Manual",$M156=$A$15),$M156&gt;(ROW(PLE.lastrow)-ROW(PLE.firstrow))),0,
           IF(OFFSET(PLE!$G$15,$M156-$A$15,AZ$13)="",10^12,OFFSET(PLE!$G$15,$M156-$A$15,AZ$13)))</f>
        <v>1000000000000</v>
      </c>
      <c r="BA156" s="173">
        <f ca="1">IF(OR($D156&lt;&gt;"Serviço",AND(AUTOEVENTO="Manual",$M156=$A$15),$M156&gt;(ROW(PLE.lastrow)-ROW(PLE.firstrow))),0,
           IF(OFFSET(PLE!$G$15,$M156-$A$15,BA$13)="",10^12,OFFSET(PLE!$G$15,$M156-$A$15,BA$13)))</f>
        <v>1000000000000</v>
      </c>
      <c r="BB156" s="173">
        <f ca="1">IF(OR($D156&lt;&gt;"Serviço",AND(AUTOEVENTO="Manual",$M156=$A$15),$M156&gt;(ROW(PLE.lastrow)-ROW(PLE.firstrow))),0,
           IF(OFFSET(PLE!$G$15,$M156-$A$15,BB$13)="",10^12,OFFSET(PLE!$G$15,$M156-$A$15,BB$13)))</f>
        <v>1000000000000</v>
      </c>
      <c r="BC156" s="173">
        <f ca="1">IF(OR($D156&lt;&gt;"Serviço",AND(AUTOEVENTO="Manual",$M156=$A$15),$M156&gt;(ROW(PLE.lastrow)-ROW(PLE.firstrow))),0,
           IF(OFFSET(PLE!$G$15,$M156-$A$15,BC$13)="",10^12,OFFSET(PLE!$G$15,$M156-$A$15,BC$13)))</f>
        <v>1000000000000</v>
      </c>
      <c r="BD156" s="173">
        <f ca="1">IF(OR($D156&lt;&gt;"Serviço",AND(AUTOEVENTO="Manual",$M156=$A$15),$M156&gt;(ROW(PLE.lastrow)-ROW(PLE.firstrow))),0,
           IF(OFFSET(PLE!$G$15,$M156-$A$15,BD$13)="",10^12,OFFSET(PLE!$G$15,$M156-$A$15,BD$13)))</f>
        <v>1000000000000</v>
      </c>
      <c r="BE156" s="173">
        <f ca="1">IF(OR($D156&lt;&gt;"Serviço",AND(AUTOEVENTO="Manual",$M156=$A$15),$M156&gt;(ROW(PLE.lastrow)-ROW(PLE.firstrow))),0,
           IF(OFFSET(PLE!$G$15,$M156-$A$15,BE$13)="",10^12,OFFSET(PLE!$G$15,$M156-$A$15,BE$13)))</f>
        <v>1000000000000</v>
      </c>
      <c r="BF156" s="173">
        <f ca="1">IF(OR($D156&lt;&gt;"Serviço",AND(AUTOEVENTO="Manual",$M156=$A$15),$M156&gt;(ROW(PLE.lastrow)-ROW(PLE.firstrow))),0,
           IF(OFFSET(PLE!$G$15,$M156-$A$15,BF$13)="",10^12,OFFSET(PLE!$G$15,$M156-$A$15,BF$13)))</f>
        <v>1000000000000</v>
      </c>
      <c r="BG156" s="173">
        <f ca="1">IF(OR($D156&lt;&gt;"Serviço",AND(AUTOEVENTO="Manual",$M156=$A$15),$M156&gt;(ROW(PLE.lastrow)-ROW(PLE.firstrow))),0,
           IF(OFFSET(PLE!$G$15,$M156-$A$15,BG$13)="",10^12,OFFSET(PLE!$G$15,$M156-$A$15,BG$13)))</f>
        <v>1000000000000</v>
      </c>
    </row>
    <row r="157" spans="1:59" ht="38.25" x14ac:dyDescent="0.2">
      <c r="A157" s="7" t="str">
        <f t="shared" ca="1" si="10"/>
        <v>114</v>
      </c>
      <c r="B157" s="7" t="str">
        <f ca="1">OFFSET(ORÇAMENTO!C$15,ROW(B157)-ROW(B$15),0)</f>
        <v>S</v>
      </c>
      <c r="C157" s="7" t="str">
        <f ca="1">OFFSET(ORÇAMENTO!L$15,ROW(C157)-ROW(C$15),0)</f>
        <v/>
      </c>
      <c r="D157" s="117" t="str">
        <f ca="1">OFFSET(ORÇAMENTO!N$15,ROW(D157)-ROW(D$15),0)</f>
        <v>Serviço</v>
      </c>
      <c r="E157" s="118" t="str">
        <f ca="1">OFFSET(ORÇAMENTO!O$15,ROW(E157)-ROW(E$15),0)</f>
        <v>-</v>
      </c>
      <c r="F157" s="164" t="str">
        <f ca="1">OFFSET(ORÇAMENTO!R$15,ROW(F157)-ROW(F$15),0)</f>
        <v>TUBO PVC, SERIE NORMAL, ESGOTO PREDIAL, DN 150 MM, FORNECIDO E INSTALADO EM SUBCOLETOR AÉREO DE ESGOTO SANITÁRIO. AF_08/2022</v>
      </c>
      <c r="G157" s="165" t="str">
        <f ca="1">IF($D157&lt;&gt;"Serviço","",OFFSET(ORÇAMENTO!S$15,ROW(G157)-ROW(G$15),0))</f>
        <v>M</v>
      </c>
      <c r="H157" s="123">
        <f ca="1">IF($D157&lt;&gt;"Serviço",0,IF(ACOMPANHAMENTO="BM",ROUND(OFFSET(ORÇAMENTO!AJ$15,ROW(H157)-ROW(H$15),0),15-13*ORÇAMENTO!$AF$7),SUMPRODUCT(($Q$1:$AA$1=1)*ROUND($Q157:$AA157,15-13*ORÇAMENTO!$AF$7))))</f>
        <v>16.399999999999999</v>
      </c>
      <c r="I157" s="469"/>
      <c r="J157" s="577" t="str" cm="1">
        <f t="array" aca="1" ref="J157" ca="1">IF(B157&lt;&gt;"S","",IF(AND(ACOMPANHAMENTO="PLE",AUTOEVENTO="Manual",OR(H157&gt;0,ORÇAMENTO!AC157="QUANT."),OR(K157="",M157=0,N157="")),"►",IF(AND(ACOMPANHAMENTO="PLE",ORÇAMENTO!AC157="QUANT."),"►►",IF(AND(COUNTIF($P$11:$AA$11,"▼")=0,H157&gt;0,I157=""),"◄",""))))</f>
        <v>◄</v>
      </c>
      <c r="K157" s="626"/>
      <c r="L157" s="166" t="s">
        <v>765</v>
      </c>
      <c r="M157" s="167">
        <f ca="1">IF($D157&lt;&gt;"Serviço","",
          IF(AUTOEVENTO="manual",$A157,
                IF(ISERROR(MATCH($A157,$A$15:OFFSET($A157,-1,0),0)),MAX($M$15:OFFSET(M157,-1,0))+1,
                      INDEX($M$15:OFFSET(M157,-1,0),MATCH($A157,$A$15:OFFSET($A157,-1,0),0)))))</f>
        <v>11</v>
      </c>
      <c r="N157" s="168" t="str">
        <f ca="1">IF($D157&lt;&gt;"Serviço","",
         IF(AUTOEVENTO="Manual",
                IF($A157=0,"&lt;-- defina o número do agrupador",
                       OFFSET(EVENTOS!$D$15,$A157-$A$15,0)),
                OFFSET($F$15,$A157,0)))</f>
        <v>INSTALAÇÕES HIDROSSANITÁRIAS</v>
      </c>
      <c r="O157" s="169"/>
      <c r="Q157" s="169"/>
      <c r="R157" s="170"/>
      <c r="S157" s="170"/>
      <c r="T157" s="170"/>
      <c r="U157" s="170"/>
      <c r="V157" s="170"/>
      <c r="W157" s="170"/>
      <c r="X157" s="170"/>
      <c r="Y157" s="170"/>
      <c r="Z157" s="171"/>
      <c r="AB157" s="454">
        <f ca="1">IF(AND($D157="Serviço",AB$12&lt;&gt;0,$H157&gt;0,OR(AUTOEVENTO&lt;&gt;"manual",$M157&lt;&gt;$A$15)),
        IF(Import.TipoArredondamento&lt;&gt;"TransfereGOV",
              ROUND(OFFSET($P157,0,AB$13),15-13*ORÇAMENTO!$AF$7)/$H157*OFFSET(ORÇAMENTO!$X$15,ROW(AB157)-ROW(AB$15),0),
              ROUND(ROUND(OFFSET($P157,0,AB$13),15-13*ORÇAMENTO!$AF$7)*OFFSET(ORÇAMENTO!$W$15,ROW(AB157)-ROW(AB$15),0),15-13*ORÇAMENTO!$AF$11)),
         0)</f>
        <v>0</v>
      </c>
      <c r="AC157" s="454">
        <f ca="1">IF(AND($D157="Serviço",AC$12&lt;&gt;0,$H157&gt;0,OR(AUTOEVENTO&lt;&gt;"manual",$M157&lt;&gt;$A$15)),
        IF(Import.TipoArredondamento&lt;&gt;"TransfereGOV",
              ROUND(OFFSET($P157,0,AC$13),15-13*ORÇAMENTO!$AF$7)/$H157*OFFSET(ORÇAMENTO!$X$15,ROW(AC157)-ROW(AC$15),0),
              ROUND(ROUND(OFFSET($P157,0,AC$13),15-13*ORÇAMENTO!$AF$7)*OFFSET(ORÇAMENTO!$W$15,ROW(AC157)-ROW(AC$15),0),15-13*ORÇAMENTO!$AF$11)),
         0)</f>
        <v>0</v>
      </c>
      <c r="AD157" s="454">
        <f ca="1">IF(AND($D157="Serviço",AD$12&lt;&gt;0,$H157&gt;0,OR(AUTOEVENTO&lt;&gt;"manual",$M157&lt;&gt;$A$15)),
        IF(Import.TipoArredondamento&lt;&gt;"TransfereGOV",
              ROUND(OFFSET($P157,0,AD$13),15-13*ORÇAMENTO!$AF$7)/$H157*OFFSET(ORÇAMENTO!$X$15,ROW(AD157)-ROW(AD$15),0),
              ROUND(ROUND(OFFSET($P157,0,AD$13),15-13*ORÇAMENTO!$AF$7)*OFFSET(ORÇAMENTO!$W$15,ROW(AD157)-ROW(AD$15),0),15-13*ORÇAMENTO!$AF$11)),
         0)</f>
        <v>0</v>
      </c>
      <c r="AE157" s="454">
        <f ca="1">IF(AND($D157="Serviço",AE$12&lt;&gt;0,$H157&gt;0,OR(AUTOEVENTO&lt;&gt;"manual",$M157&lt;&gt;$A$15)),
        IF(Import.TipoArredondamento&lt;&gt;"TransfereGOV",
              ROUND(OFFSET($P157,0,AE$13),15-13*ORÇAMENTO!$AF$7)/$H157*OFFSET(ORÇAMENTO!$X$15,ROW(AE157)-ROW(AE$15),0),
              ROUND(ROUND(OFFSET($P157,0,AE$13),15-13*ORÇAMENTO!$AF$7)*OFFSET(ORÇAMENTO!$W$15,ROW(AE157)-ROW(AE$15),0),15-13*ORÇAMENTO!$AF$11)),
         0)</f>
        <v>0</v>
      </c>
      <c r="AF157" s="454">
        <f ca="1">IF(AND($D157="Serviço",AF$12&lt;&gt;0,$H157&gt;0,OR(AUTOEVENTO&lt;&gt;"manual",$M157&lt;&gt;$A$15)),
        IF(Import.TipoArredondamento&lt;&gt;"TransfereGOV",
              ROUND(OFFSET($P157,0,AF$13),15-13*ORÇAMENTO!$AF$7)/$H157*OFFSET(ORÇAMENTO!$X$15,ROW(AF157)-ROW(AF$15),0),
              ROUND(ROUND(OFFSET($P157,0,AF$13),15-13*ORÇAMENTO!$AF$7)*OFFSET(ORÇAMENTO!$W$15,ROW(AF157)-ROW(AF$15),0),15-13*ORÇAMENTO!$AF$11)),
         0)</f>
        <v>0</v>
      </c>
      <c r="AG157" s="454">
        <f ca="1">IF(AND($D157="Serviço",AG$12&lt;&gt;0,$H157&gt;0,OR(AUTOEVENTO&lt;&gt;"manual",$M157&lt;&gt;$A$15)),
        IF(Import.TipoArredondamento&lt;&gt;"TransfereGOV",
              ROUND(OFFSET($P157,0,AG$13),15-13*ORÇAMENTO!$AF$7)/$H157*OFFSET(ORÇAMENTO!$X$15,ROW(AG157)-ROW(AG$15),0),
              ROUND(ROUND(OFFSET($P157,0,AG$13),15-13*ORÇAMENTO!$AF$7)*OFFSET(ORÇAMENTO!$W$15,ROW(AG157)-ROW(AG$15),0),15-13*ORÇAMENTO!$AF$11)),
         0)</f>
        <v>0</v>
      </c>
      <c r="AH157" s="454">
        <f ca="1">IF(AND($D157="Serviço",AH$12&lt;&gt;0,$H157&gt;0,OR(AUTOEVENTO&lt;&gt;"manual",$M157&lt;&gt;$A$15)),
        IF(Import.TipoArredondamento&lt;&gt;"TransfereGOV",
              ROUND(OFFSET($P157,0,AH$13),15-13*ORÇAMENTO!$AF$7)/$H157*OFFSET(ORÇAMENTO!$X$15,ROW(AH157)-ROW(AH$15),0),
              ROUND(ROUND(OFFSET($P157,0,AH$13),15-13*ORÇAMENTO!$AF$7)*OFFSET(ORÇAMENTO!$W$15,ROW(AH157)-ROW(AH$15),0),15-13*ORÇAMENTO!$AF$11)),
         0)</f>
        <v>0</v>
      </c>
      <c r="AI157" s="454">
        <f ca="1">IF(AND($D157="Serviço",AI$12&lt;&gt;0,$H157&gt;0,OR(AUTOEVENTO&lt;&gt;"manual",$M157&lt;&gt;$A$15)),
        IF(Import.TipoArredondamento&lt;&gt;"TransfereGOV",
              ROUND(OFFSET($P157,0,AI$13),15-13*ORÇAMENTO!$AF$7)/$H157*OFFSET(ORÇAMENTO!$X$15,ROW(AI157)-ROW(AI$15),0),
              ROUND(ROUND(OFFSET($P157,0,AI$13),15-13*ORÇAMENTO!$AF$7)*OFFSET(ORÇAMENTO!$W$15,ROW(AI157)-ROW(AI$15),0),15-13*ORÇAMENTO!$AF$11)),
         0)</f>
        <v>0</v>
      </c>
      <c r="AJ157" s="454">
        <f ca="1">IF(AND($D157="Serviço",AJ$12&lt;&gt;0,$H157&gt;0,OR(AUTOEVENTO&lt;&gt;"manual",$M157&lt;&gt;$A$15)),
        IF(Import.TipoArredondamento&lt;&gt;"TransfereGOV",
              ROUND(OFFSET($P157,0,AJ$13),15-13*ORÇAMENTO!$AF$7)/$H157*OFFSET(ORÇAMENTO!$X$15,ROW(AJ157)-ROW(AJ$15),0),
              ROUND(ROUND(OFFSET($P157,0,AJ$13),15-13*ORÇAMENTO!$AF$7)*OFFSET(ORÇAMENTO!$W$15,ROW(AJ157)-ROW(AJ$15),0),15-13*ORÇAMENTO!$AF$11)),
         0)</f>
        <v>0</v>
      </c>
      <c r="AK157" s="454">
        <f ca="1">IF(AND($D157="Serviço",AK$12&lt;&gt;0,$H157&gt;0,OR(AUTOEVENTO&lt;&gt;"manual",$M157&lt;&gt;$A$15)),
        IF(Import.TipoArredondamento&lt;&gt;"TransfereGOV",
              ROUND(OFFSET($P157,0,AK$13),15-13*ORÇAMENTO!$AF$7)/$H157*OFFSET(ORÇAMENTO!$X$15,ROW(AK157)-ROW(AK$15),0),
              ROUND(ROUND(OFFSET($P157,0,AK$13),15-13*ORÇAMENTO!$AF$7)*OFFSET(ORÇAMENTO!$W$15,ROW(AK157)-ROW(AK$15),0),15-13*ORÇAMENTO!$AF$11)),
         0)</f>
        <v>0</v>
      </c>
      <c r="AM157" s="172">
        <f ca="1">IF(OR($D157&lt;&gt;"Serviço",AND(AUTOEVENTO="Manual",$M157=$A$15)),0,
         IF(OFFSET(CRONOPLE!$F$15,$M157-$A$15,AM$13)="",10^12,OFFSET(CRONOPLE!$F$15,$M157-$A$15,AM$13)))</f>
        <v>1000000000000</v>
      </c>
      <c r="AN157" s="172">
        <f ca="1">IF(OR($D157&lt;&gt;"Serviço",AND(AUTOEVENTO="Manual",$M157=$A$15)),0,
         IF(OFFSET(CRONOPLE!$F$15,$M157-$A$15,AN$13)="",10^12,OFFSET(CRONOPLE!$F$15,$M157-$A$15,AN$13)))</f>
        <v>1000000000000</v>
      </c>
      <c r="AO157" s="172">
        <f ca="1">IF(OR($D157&lt;&gt;"Serviço",AND(AUTOEVENTO="Manual",$M157=$A$15)),0,
         IF(OFFSET(CRONOPLE!$F$15,$M157-$A$15,AO$13)="",10^12,OFFSET(CRONOPLE!$F$15,$M157-$A$15,AO$13)))</f>
        <v>1000000000000</v>
      </c>
      <c r="AP157" s="172">
        <f ca="1">IF(OR($D157&lt;&gt;"Serviço",AND(AUTOEVENTO="Manual",$M157=$A$15)),0,
         IF(OFFSET(CRONOPLE!$F$15,$M157-$A$15,AP$13)="",10^12,OFFSET(CRONOPLE!$F$15,$M157-$A$15,AP$13)))</f>
        <v>1000000000000</v>
      </c>
      <c r="AQ157" s="172">
        <f ca="1">IF(OR($D157&lt;&gt;"Serviço",AND(AUTOEVENTO="Manual",$M157=$A$15)),0,
         IF(OFFSET(CRONOPLE!$F$15,$M157-$A$15,AQ$13)="",10^12,OFFSET(CRONOPLE!$F$15,$M157-$A$15,AQ$13)))</f>
        <v>1000000000000</v>
      </c>
      <c r="AR157" s="172">
        <f ca="1">IF(OR($D157&lt;&gt;"Serviço",AND(AUTOEVENTO="Manual",$M157=$A$15)),0,
         IF(OFFSET(CRONOPLE!$F$15,$M157-$A$15,AR$13)="",10^12,OFFSET(CRONOPLE!$F$15,$M157-$A$15,AR$13)))</f>
        <v>1000000000000</v>
      </c>
      <c r="AS157" s="172">
        <f ca="1">IF(OR($D157&lt;&gt;"Serviço",AND(AUTOEVENTO="Manual",$M157=$A$15)),0,
         IF(OFFSET(CRONOPLE!$F$15,$M157-$A$15,AS$13)="",10^12,OFFSET(CRONOPLE!$F$15,$M157-$A$15,AS$13)))</f>
        <v>1000000000000</v>
      </c>
      <c r="AT157" s="172">
        <f ca="1">IF(OR($D157&lt;&gt;"Serviço",AND(AUTOEVENTO="Manual",$M157=$A$15)),0,
         IF(OFFSET(CRONOPLE!$F$15,$M157-$A$15,AT$13)="",10^12,OFFSET(CRONOPLE!$F$15,$M157-$A$15,AT$13)))</f>
        <v>1000000000000</v>
      </c>
      <c r="AU157" s="172">
        <f ca="1">IF(OR($D157&lt;&gt;"Serviço",AND(AUTOEVENTO="Manual",$M157=$A$15)),0,
         IF(OFFSET(CRONOPLE!$F$15,$M157-$A$15,AU$13)="",10^12,OFFSET(CRONOPLE!$F$15,$M157-$A$15,AU$13)))</f>
        <v>1000000000000</v>
      </c>
      <c r="AV157" s="172">
        <f ca="1">IF(OR($D157&lt;&gt;"Serviço",AND(AUTOEVENTO="Manual",$M157=$A$15)),0,
         IF(OFFSET(CRONOPLE!$F$15,$M157-$A$15,AV$13)="",10^12,OFFSET(CRONOPLE!$F$15,$M157-$A$15,AV$13)))</f>
        <v>1000000000000</v>
      </c>
      <c r="AX157" s="173">
        <f ca="1">IF(OR($D157&lt;&gt;"Serviço",AND(AUTOEVENTO="Manual",$M157=$A$15),$M157&gt;(ROW(PLE.lastrow)-ROW(PLE.firstrow))),0,
           IF(OFFSET(PLE!$G$15,$M157-$A$15,AX$13)="",10^12,OFFSET(PLE!$G$15,$M157-$A$15,AX$13)))</f>
        <v>1000000000000</v>
      </c>
      <c r="AY157" s="173">
        <f ca="1">IF(OR($D157&lt;&gt;"Serviço",AND(AUTOEVENTO="Manual",$M157=$A$15),$M157&gt;(ROW(PLE.lastrow)-ROW(PLE.firstrow))),0,
           IF(OFFSET(PLE!$G$15,$M157-$A$15,AY$13)="",10^12,OFFSET(PLE!$G$15,$M157-$A$15,AY$13)))</f>
        <v>1000000000000</v>
      </c>
      <c r="AZ157" s="173">
        <f ca="1">IF(OR($D157&lt;&gt;"Serviço",AND(AUTOEVENTO="Manual",$M157=$A$15),$M157&gt;(ROW(PLE.lastrow)-ROW(PLE.firstrow))),0,
           IF(OFFSET(PLE!$G$15,$M157-$A$15,AZ$13)="",10^12,OFFSET(PLE!$G$15,$M157-$A$15,AZ$13)))</f>
        <v>1000000000000</v>
      </c>
      <c r="BA157" s="173">
        <f ca="1">IF(OR($D157&lt;&gt;"Serviço",AND(AUTOEVENTO="Manual",$M157=$A$15),$M157&gt;(ROW(PLE.lastrow)-ROW(PLE.firstrow))),0,
           IF(OFFSET(PLE!$G$15,$M157-$A$15,BA$13)="",10^12,OFFSET(PLE!$G$15,$M157-$A$15,BA$13)))</f>
        <v>1000000000000</v>
      </c>
      <c r="BB157" s="173">
        <f ca="1">IF(OR($D157&lt;&gt;"Serviço",AND(AUTOEVENTO="Manual",$M157=$A$15),$M157&gt;(ROW(PLE.lastrow)-ROW(PLE.firstrow))),0,
           IF(OFFSET(PLE!$G$15,$M157-$A$15,BB$13)="",10^12,OFFSET(PLE!$G$15,$M157-$A$15,BB$13)))</f>
        <v>1000000000000</v>
      </c>
      <c r="BC157" s="173">
        <f ca="1">IF(OR($D157&lt;&gt;"Serviço",AND(AUTOEVENTO="Manual",$M157=$A$15),$M157&gt;(ROW(PLE.lastrow)-ROW(PLE.firstrow))),0,
           IF(OFFSET(PLE!$G$15,$M157-$A$15,BC$13)="",10^12,OFFSET(PLE!$G$15,$M157-$A$15,BC$13)))</f>
        <v>1000000000000</v>
      </c>
      <c r="BD157" s="173">
        <f ca="1">IF(OR($D157&lt;&gt;"Serviço",AND(AUTOEVENTO="Manual",$M157=$A$15),$M157&gt;(ROW(PLE.lastrow)-ROW(PLE.firstrow))),0,
           IF(OFFSET(PLE!$G$15,$M157-$A$15,BD$13)="",10^12,OFFSET(PLE!$G$15,$M157-$A$15,BD$13)))</f>
        <v>1000000000000</v>
      </c>
      <c r="BE157" s="173">
        <f ca="1">IF(OR($D157&lt;&gt;"Serviço",AND(AUTOEVENTO="Manual",$M157=$A$15),$M157&gt;(ROW(PLE.lastrow)-ROW(PLE.firstrow))),0,
           IF(OFFSET(PLE!$G$15,$M157-$A$15,BE$13)="",10^12,OFFSET(PLE!$G$15,$M157-$A$15,BE$13)))</f>
        <v>1000000000000</v>
      </c>
      <c r="BF157" s="173">
        <f ca="1">IF(OR($D157&lt;&gt;"Serviço",AND(AUTOEVENTO="Manual",$M157=$A$15),$M157&gt;(ROW(PLE.lastrow)-ROW(PLE.firstrow))),0,
           IF(OFFSET(PLE!$G$15,$M157-$A$15,BF$13)="",10^12,OFFSET(PLE!$G$15,$M157-$A$15,BF$13)))</f>
        <v>1000000000000</v>
      </c>
      <c r="BG157" s="173">
        <f ca="1">IF(OR($D157&lt;&gt;"Serviço",AND(AUTOEVENTO="Manual",$M157=$A$15),$M157&gt;(ROW(PLE.lastrow)-ROW(PLE.firstrow))),0,
           IF(OFFSET(PLE!$G$15,$M157-$A$15,BG$13)="",10^12,OFFSET(PLE!$G$15,$M157-$A$15,BG$13)))</f>
        <v>1000000000000</v>
      </c>
    </row>
    <row r="158" spans="1:59" ht="38.25" x14ac:dyDescent="0.2">
      <c r="A158" s="7" t="str">
        <f t="shared" ca="1" si="10"/>
        <v>114</v>
      </c>
      <c r="B158" s="7" t="str">
        <f ca="1">OFFSET(ORÇAMENTO!C$15,ROW(B158)-ROW(B$15),0)</f>
        <v>S</v>
      </c>
      <c r="C158" s="7" t="str">
        <f ca="1">OFFSET(ORÇAMENTO!L$15,ROW(C158)-ROW(C$15),0)</f>
        <v/>
      </c>
      <c r="D158" s="117" t="str">
        <f ca="1">OFFSET(ORÇAMENTO!N$15,ROW(D158)-ROW(D$15),0)</f>
        <v>Serviço</v>
      </c>
      <c r="E158" s="118" t="str">
        <f ca="1">OFFSET(ORÇAMENTO!O$15,ROW(E158)-ROW(E$15),0)</f>
        <v>-</v>
      </c>
      <c r="F158" s="164" t="str">
        <f ca="1">OFFSET(ORÇAMENTO!R$15,ROW(F158)-ROW(F$15),0)</f>
        <v>TUBO PVC, SERIE NORMAL, ESGOTO PREDIAL, DN 50 MM, FORNECIDO E INSTALADO EM RAMAL DE DESCARGA OU RAMAL DE ESGOTO SANITÁRIO. AF_08/2022</v>
      </c>
      <c r="G158" s="165" t="str">
        <f ca="1">IF($D158&lt;&gt;"Serviço","",OFFSET(ORÇAMENTO!S$15,ROW(G158)-ROW(G$15),0))</f>
        <v>M</v>
      </c>
      <c r="H158" s="123">
        <f ca="1">IF($D158&lt;&gt;"Serviço",0,IF(ACOMPANHAMENTO="BM",ROUND(OFFSET(ORÇAMENTO!AJ$15,ROW(H158)-ROW(H$15),0),15-13*ORÇAMENTO!$AF$7),SUMPRODUCT(($Q$1:$AA$1=1)*ROUND($Q158:$AA158,15-13*ORÇAMENTO!$AF$7))))</f>
        <v>135.19999999999999</v>
      </c>
      <c r="I158" s="469"/>
      <c r="J158" s="577" t="str" cm="1">
        <f t="array" aca="1" ref="J158" ca="1">IF(B158&lt;&gt;"S","",IF(AND(ACOMPANHAMENTO="PLE",AUTOEVENTO="Manual",OR(H158&gt;0,ORÇAMENTO!AC158="QUANT."),OR(K158="",M158=0,N158="")),"►",IF(AND(ACOMPANHAMENTO="PLE",ORÇAMENTO!AC158="QUANT."),"►►",IF(AND(COUNTIF($P$11:$AA$11,"▼")=0,H158&gt;0,I158=""),"◄",""))))</f>
        <v>◄</v>
      </c>
      <c r="K158" s="626"/>
      <c r="L158" s="166" t="s">
        <v>765</v>
      </c>
      <c r="M158" s="167">
        <f ca="1">IF($D158&lt;&gt;"Serviço","",
          IF(AUTOEVENTO="manual",$A158,
                IF(ISERROR(MATCH($A158,$A$15:OFFSET($A158,-1,0),0)),MAX($M$15:OFFSET(M158,-1,0))+1,
                      INDEX($M$15:OFFSET(M158,-1,0),MATCH($A158,$A$15:OFFSET($A158,-1,0),0)))))</f>
        <v>11</v>
      </c>
      <c r="N158" s="168" t="str">
        <f ca="1">IF($D158&lt;&gt;"Serviço","",
         IF(AUTOEVENTO="Manual",
                IF($A158=0,"&lt;-- defina o número do agrupador",
                       OFFSET(EVENTOS!$D$15,$A158-$A$15,0)),
                OFFSET($F$15,$A158,0)))</f>
        <v>INSTALAÇÕES HIDROSSANITÁRIAS</v>
      </c>
      <c r="O158" s="169"/>
      <c r="Q158" s="169"/>
      <c r="R158" s="170"/>
      <c r="S158" s="170"/>
      <c r="T158" s="170"/>
      <c r="U158" s="170"/>
      <c r="V158" s="170"/>
      <c r="W158" s="170"/>
      <c r="X158" s="170"/>
      <c r="Y158" s="170"/>
      <c r="Z158" s="171"/>
      <c r="AB158" s="454">
        <f ca="1">IF(AND($D158="Serviço",AB$12&lt;&gt;0,$H158&gt;0,OR(AUTOEVENTO&lt;&gt;"manual",$M158&lt;&gt;$A$15)),
        IF(Import.TipoArredondamento&lt;&gt;"TransfereGOV",
              ROUND(OFFSET($P158,0,AB$13),15-13*ORÇAMENTO!$AF$7)/$H158*OFFSET(ORÇAMENTO!$X$15,ROW(AB158)-ROW(AB$15),0),
              ROUND(ROUND(OFFSET($P158,0,AB$13),15-13*ORÇAMENTO!$AF$7)*OFFSET(ORÇAMENTO!$W$15,ROW(AB158)-ROW(AB$15),0),15-13*ORÇAMENTO!$AF$11)),
         0)</f>
        <v>0</v>
      </c>
      <c r="AC158" s="454">
        <f ca="1">IF(AND($D158="Serviço",AC$12&lt;&gt;0,$H158&gt;0,OR(AUTOEVENTO&lt;&gt;"manual",$M158&lt;&gt;$A$15)),
        IF(Import.TipoArredondamento&lt;&gt;"TransfereGOV",
              ROUND(OFFSET($P158,0,AC$13),15-13*ORÇAMENTO!$AF$7)/$H158*OFFSET(ORÇAMENTO!$X$15,ROW(AC158)-ROW(AC$15),0),
              ROUND(ROUND(OFFSET($P158,0,AC$13),15-13*ORÇAMENTO!$AF$7)*OFFSET(ORÇAMENTO!$W$15,ROW(AC158)-ROW(AC$15),0),15-13*ORÇAMENTO!$AF$11)),
         0)</f>
        <v>0</v>
      </c>
      <c r="AD158" s="454">
        <f ca="1">IF(AND($D158="Serviço",AD$12&lt;&gt;0,$H158&gt;0,OR(AUTOEVENTO&lt;&gt;"manual",$M158&lt;&gt;$A$15)),
        IF(Import.TipoArredondamento&lt;&gt;"TransfereGOV",
              ROUND(OFFSET($P158,0,AD$13),15-13*ORÇAMENTO!$AF$7)/$H158*OFFSET(ORÇAMENTO!$X$15,ROW(AD158)-ROW(AD$15),0),
              ROUND(ROUND(OFFSET($P158,0,AD$13),15-13*ORÇAMENTO!$AF$7)*OFFSET(ORÇAMENTO!$W$15,ROW(AD158)-ROW(AD$15),0),15-13*ORÇAMENTO!$AF$11)),
         0)</f>
        <v>0</v>
      </c>
      <c r="AE158" s="454">
        <f ca="1">IF(AND($D158="Serviço",AE$12&lt;&gt;0,$H158&gt;0,OR(AUTOEVENTO&lt;&gt;"manual",$M158&lt;&gt;$A$15)),
        IF(Import.TipoArredondamento&lt;&gt;"TransfereGOV",
              ROUND(OFFSET($P158,0,AE$13),15-13*ORÇAMENTO!$AF$7)/$H158*OFFSET(ORÇAMENTO!$X$15,ROW(AE158)-ROW(AE$15),0),
              ROUND(ROUND(OFFSET($P158,0,AE$13),15-13*ORÇAMENTO!$AF$7)*OFFSET(ORÇAMENTO!$W$15,ROW(AE158)-ROW(AE$15),0),15-13*ORÇAMENTO!$AF$11)),
         0)</f>
        <v>0</v>
      </c>
      <c r="AF158" s="454">
        <f ca="1">IF(AND($D158="Serviço",AF$12&lt;&gt;0,$H158&gt;0,OR(AUTOEVENTO&lt;&gt;"manual",$M158&lt;&gt;$A$15)),
        IF(Import.TipoArredondamento&lt;&gt;"TransfereGOV",
              ROUND(OFFSET($P158,0,AF$13),15-13*ORÇAMENTO!$AF$7)/$H158*OFFSET(ORÇAMENTO!$X$15,ROW(AF158)-ROW(AF$15),0),
              ROUND(ROUND(OFFSET($P158,0,AF$13),15-13*ORÇAMENTO!$AF$7)*OFFSET(ORÇAMENTO!$W$15,ROW(AF158)-ROW(AF$15),0),15-13*ORÇAMENTO!$AF$11)),
         0)</f>
        <v>0</v>
      </c>
      <c r="AG158" s="454">
        <f ca="1">IF(AND($D158="Serviço",AG$12&lt;&gt;0,$H158&gt;0,OR(AUTOEVENTO&lt;&gt;"manual",$M158&lt;&gt;$A$15)),
        IF(Import.TipoArredondamento&lt;&gt;"TransfereGOV",
              ROUND(OFFSET($P158,0,AG$13),15-13*ORÇAMENTO!$AF$7)/$H158*OFFSET(ORÇAMENTO!$X$15,ROW(AG158)-ROW(AG$15),0),
              ROUND(ROUND(OFFSET($P158,0,AG$13),15-13*ORÇAMENTO!$AF$7)*OFFSET(ORÇAMENTO!$W$15,ROW(AG158)-ROW(AG$15),0),15-13*ORÇAMENTO!$AF$11)),
         0)</f>
        <v>0</v>
      </c>
      <c r="AH158" s="454">
        <f ca="1">IF(AND($D158="Serviço",AH$12&lt;&gt;0,$H158&gt;0,OR(AUTOEVENTO&lt;&gt;"manual",$M158&lt;&gt;$A$15)),
        IF(Import.TipoArredondamento&lt;&gt;"TransfereGOV",
              ROUND(OFFSET($P158,0,AH$13),15-13*ORÇAMENTO!$AF$7)/$H158*OFFSET(ORÇAMENTO!$X$15,ROW(AH158)-ROW(AH$15),0),
              ROUND(ROUND(OFFSET($P158,0,AH$13),15-13*ORÇAMENTO!$AF$7)*OFFSET(ORÇAMENTO!$W$15,ROW(AH158)-ROW(AH$15),0),15-13*ORÇAMENTO!$AF$11)),
         0)</f>
        <v>0</v>
      </c>
      <c r="AI158" s="454">
        <f ca="1">IF(AND($D158="Serviço",AI$12&lt;&gt;0,$H158&gt;0,OR(AUTOEVENTO&lt;&gt;"manual",$M158&lt;&gt;$A$15)),
        IF(Import.TipoArredondamento&lt;&gt;"TransfereGOV",
              ROUND(OFFSET($P158,0,AI$13),15-13*ORÇAMENTO!$AF$7)/$H158*OFFSET(ORÇAMENTO!$X$15,ROW(AI158)-ROW(AI$15),0),
              ROUND(ROUND(OFFSET($P158,0,AI$13),15-13*ORÇAMENTO!$AF$7)*OFFSET(ORÇAMENTO!$W$15,ROW(AI158)-ROW(AI$15),0),15-13*ORÇAMENTO!$AF$11)),
         0)</f>
        <v>0</v>
      </c>
      <c r="AJ158" s="454">
        <f ca="1">IF(AND($D158="Serviço",AJ$12&lt;&gt;0,$H158&gt;0,OR(AUTOEVENTO&lt;&gt;"manual",$M158&lt;&gt;$A$15)),
        IF(Import.TipoArredondamento&lt;&gt;"TransfereGOV",
              ROUND(OFFSET($P158,0,AJ$13),15-13*ORÇAMENTO!$AF$7)/$H158*OFFSET(ORÇAMENTO!$X$15,ROW(AJ158)-ROW(AJ$15),0),
              ROUND(ROUND(OFFSET($P158,0,AJ$13),15-13*ORÇAMENTO!$AF$7)*OFFSET(ORÇAMENTO!$W$15,ROW(AJ158)-ROW(AJ$15),0),15-13*ORÇAMENTO!$AF$11)),
         0)</f>
        <v>0</v>
      </c>
      <c r="AK158" s="454">
        <f ca="1">IF(AND($D158="Serviço",AK$12&lt;&gt;0,$H158&gt;0,OR(AUTOEVENTO&lt;&gt;"manual",$M158&lt;&gt;$A$15)),
        IF(Import.TipoArredondamento&lt;&gt;"TransfereGOV",
              ROUND(OFFSET($P158,0,AK$13),15-13*ORÇAMENTO!$AF$7)/$H158*OFFSET(ORÇAMENTO!$X$15,ROW(AK158)-ROW(AK$15),0),
              ROUND(ROUND(OFFSET($P158,0,AK$13),15-13*ORÇAMENTO!$AF$7)*OFFSET(ORÇAMENTO!$W$15,ROW(AK158)-ROW(AK$15),0),15-13*ORÇAMENTO!$AF$11)),
         0)</f>
        <v>0</v>
      </c>
      <c r="AM158" s="172">
        <f ca="1">IF(OR($D158&lt;&gt;"Serviço",AND(AUTOEVENTO="Manual",$M158=$A$15)),0,
         IF(OFFSET(CRONOPLE!$F$15,$M158-$A$15,AM$13)="",10^12,OFFSET(CRONOPLE!$F$15,$M158-$A$15,AM$13)))</f>
        <v>1000000000000</v>
      </c>
      <c r="AN158" s="172">
        <f ca="1">IF(OR($D158&lt;&gt;"Serviço",AND(AUTOEVENTO="Manual",$M158=$A$15)),0,
         IF(OFFSET(CRONOPLE!$F$15,$M158-$A$15,AN$13)="",10^12,OFFSET(CRONOPLE!$F$15,$M158-$A$15,AN$13)))</f>
        <v>1000000000000</v>
      </c>
      <c r="AO158" s="172">
        <f ca="1">IF(OR($D158&lt;&gt;"Serviço",AND(AUTOEVENTO="Manual",$M158=$A$15)),0,
         IF(OFFSET(CRONOPLE!$F$15,$M158-$A$15,AO$13)="",10^12,OFFSET(CRONOPLE!$F$15,$M158-$A$15,AO$13)))</f>
        <v>1000000000000</v>
      </c>
      <c r="AP158" s="172">
        <f ca="1">IF(OR($D158&lt;&gt;"Serviço",AND(AUTOEVENTO="Manual",$M158=$A$15)),0,
         IF(OFFSET(CRONOPLE!$F$15,$M158-$A$15,AP$13)="",10^12,OFFSET(CRONOPLE!$F$15,$M158-$A$15,AP$13)))</f>
        <v>1000000000000</v>
      </c>
      <c r="AQ158" s="172">
        <f ca="1">IF(OR($D158&lt;&gt;"Serviço",AND(AUTOEVENTO="Manual",$M158=$A$15)),0,
         IF(OFFSET(CRONOPLE!$F$15,$M158-$A$15,AQ$13)="",10^12,OFFSET(CRONOPLE!$F$15,$M158-$A$15,AQ$13)))</f>
        <v>1000000000000</v>
      </c>
      <c r="AR158" s="172">
        <f ca="1">IF(OR($D158&lt;&gt;"Serviço",AND(AUTOEVENTO="Manual",$M158=$A$15)),0,
         IF(OFFSET(CRONOPLE!$F$15,$M158-$A$15,AR$13)="",10^12,OFFSET(CRONOPLE!$F$15,$M158-$A$15,AR$13)))</f>
        <v>1000000000000</v>
      </c>
      <c r="AS158" s="172">
        <f ca="1">IF(OR($D158&lt;&gt;"Serviço",AND(AUTOEVENTO="Manual",$M158=$A$15)),0,
         IF(OFFSET(CRONOPLE!$F$15,$M158-$A$15,AS$13)="",10^12,OFFSET(CRONOPLE!$F$15,$M158-$A$15,AS$13)))</f>
        <v>1000000000000</v>
      </c>
      <c r="AT158" s="172">
        <f ca="1">IF(OR($D158&lt;&gt;"Serviço",AND(AUTOEVENTO="Manual",$M158=$A$15)),0,
         IF(OFFSET(CRONOPLE!$F$15,$M158-$A$15,AT$13)="",10^12,OFFSET(CRONOPLE!$F$15,$M158-$A$15,AT$13)))</f>
        <v>1000000000000</v>
      </c>
      <c r="AU158" s="172">
        <f ca="1">IF(OR($D158&lt;&gt;"Serviço",AND(AUTOEVENTO="Manual",$M158=$A$15)),0,
         IF(OFFSET(CRONOPLE!$F$15,$M158-$A$15,AU$13)="",10^12,OFFSET(CRONOPLE!$F$15,$M158-$A$15,AU$13)))</f>
        <v>1000000000000</v>
      </c>
      <c r="AV158" s="172">
        <f ca="1">IF(OR($D158&lt;&gt;"Serviço",AND(AUTOEVENTO="Manual",$M158=$A$15)),0,
         IF(OFFSET(CRONOPLE!$F$15,$M158-$A$15,AV$13)="",10^12,OFFSET(CRONOPLE!$F$15,$M158-$A$15,AV$13)))</f>
        <v>1000000000000</v>
      </c>
      <c r="AX158" s="173">
        <f ca="1">IF(OR($D158&lt;&gt;"Serviço",AND(AUTOEVENTO="Manual",$M158=$A$15),$M158&gt;(ROW(PLE.lastrow)-ROW(PLE.firstrow))),0,
           IF(OFFSET(PLE!$G$15,$M158-$A$15,AX$13)="",10^12,OFFSET(PLE!$G$15,$M158-$A$15,AX$13)))</f>
        <v>1000000000000</v>
      </c>
      <c r="AY158" s="173">
        <f ca="1">IF(OR($D158&lt;&gt;"Serviço",AND(AUTOEVENTO="Manual",$M158=$A$15),$M158&gt;(ROW(PLE.lastrow)-ROW(PLE.firstrow))),0,
           IF(OFFSET(PLE!$G$15,$M158-$A$15,AY$13)="",10^12,OFFSET(PLE!$G$15,$M158-$A$15,AY$13)))</f>
        <v>1000000000000</v>
      </c>
      <c r="AZ158" s="173">
        <f ca="1">IF(OR($D158&lt;&gt;"Serviço",AND(AUTOEVENTO="Manual",$M158=$A$15),$M158&gt;(ROW(PLE.lastrow)-ROW(PLE.firstrow))),0,
           IF(OFFSET(PLE!$G$15,$M158-$A$15,AZ$13)="",10^12,OFFSET(PLE!$G$15,$M158-$A$15,AZ$13)))</f>
        <v>1000000000000</v>
      </c>
      <c r="BA158" s="173">
        <f ca="1">IF(OR($D158&lt;&gt;"Serviço",AND(AUTOEVENTO="Manual",$M158=$A$15),$M158&gt;(ROW(PLE.lastrow)-ROW(PLE.firstrow))),0,
           IF(OFFSET(PLE!$G$15,$M158-$A$15,BA$13)="",10^12,OFFSET(PLE!$G$15,$M158-$A$15,BA$13)))</f>
        <v>1000000000000</v>
      </c>
      <c r="BB158" s="173">
        <f ca="1">IF(OR($D158&lt;&gt;"Serviço",AND(AUTOEVENTO="Manual",$M158=$A$15),$M158&gt;(ROW(PLE.lastrow)-ROW(PLE.firstrow))),0,
           IF(OFFSET(PLE!$G$15,$M158-$A$15,BB$13)="",10^12,OFFSET(PLE!$G$15,$M158-$A$15,BB$13)))</f>
        <v>1000000000000</v>
      </c>
      <c r="BC158" s="173">
        <f ca="1">IF(OR($D158&lt;&gt;"Serviço",AND(AUTOEVENTO="Manual",$M158=$A$15),$M158&gt;(ROW(PLE.lastrow)-ROW(PLE.firstrow))),0,
           IF(OFFSET(PLE!$G$15,$M158-$A$15,BC$13)="",10^12,OFFSET(PLE!$G$15,$M158-$A$15,BC$13)))</f>
        <v>1000000000000</v>
      </c>
      <c r="BD158" s="173">
        <f ca="1">IF(OR($D158&lt;&gt;"Serviço",AND(AUTOEVENTO="Manual",$M158=$A$15),$M158&gt;(ROW(PLE.lastrow)-ROW(PLE.firstrow))),0,
           IF(OFFSET(PLE!$G$15,$M158-$A$15,BD$13)="",10^12,OFFSET(PLE!$G$15,$M158-$A$15,BD$13)))</f>
        <v>1000000000000</v>
      </c>
      <c r="BE158" s="173">
        <f ca="1">IF(OR($D158&lt;&gt;"Serviço",AND(AUTOEVENTO="Manual",$M158=$A$15),$M158&gt;(ROW(PLE.lastrow)-ROW(PLE.firstrow))),0,
           IF(OFFSET(PLE!$G$15,$M158-$A$15,BE$13)="",10^12,OFFSET(PLE!$G$15,$M158-$A$15,BE$13)))</f>
        <v>1000000000000</v>
      </c>
      <c r="BF158" s="173">
        <f ca="1">IF(OR($D158&lt;&gt;"Serviço",AND(AUTOEVENTO="Manual",$M158=$A$15),$M158&gt;(ROW(PLE.lastrow)-ROW(PLE.firstrow))),0,
           IF(OFFSET(PLE!$G$15,$M158-$A$15,BF$13)="",10^12,OFFSET(PLE!$G$15,$M158-$A$15,BF$13)))</f>
        <v>1000000000000</v>
      </c>
      <c r="BG158" s="173">
        <f ca="1">IF(OR($D158&lt;&gt;"Serviço",AND(AUTOEVENTO="Manual",$M158=$A$15),$M158&gt;(ROW(PLE.lastrow)-ROW(PLE.firstrow))),0,
           IF(OFFSET(PLE!$G$15,$M158-$A$15,BG$13)="",10^12,OFFSET(PLE!$G$15,$M158-$A$15,BG$13)))</f>
        <v>1000000000000</v>
      </c>
    </row>
    <row r="159" spans="1:59" ht="38.25" x14ac:dyDescent="0.2">
      <c r="A159" s="7" t="str">
        <f t="shared" ca="1" si="10"/>
        <v>114</v>
      </c>
      <c r="B159" s="7" t="str">
        <f ca="1">OFFSET(ORÇAMENTO!C$15,ROW(B159)-ROW(B$15),0)</f>
        <v>S</v>
      </c>
      <c r="C159" s="7" t="str">
        <f ca="1">OFFSET(ORÇAMENTO!L$15,ROW(C159)-ROW(C$15),0)</f>
        <v/>
      </c>
      <c r="D159" s="117" t="str">
        <f ca="1">OFFSET(ORÇAMENTO!N$15,ROW(D159)-ROW(D$15),0)</f>
        <v>Serviço</v>
      </c>
      <c r="E159" s="118" t="str">
        <f ca="1">OFFSET(ORÇAMENTO!O$15,ROW(E159)-ROW(E$15),0)</f>
        <v>-</v>
      </c>
      <c r="F159" s="164" t="str">
        <f ca="1">OFFSET(ORÇAMENTO!R$15,ROW(F159)-ROW(F$15),0)</f>
        <v>TUBO PVC, SERIE NORMAL, ESGOTO PREDIAL, DN 75 MM, FORNECIDO E INSTALADO EM RAMAL DE DESCARGA OU RAMAL DE ESGOTO SANITÁRIO. AF_08/2022</v>
      </c>
      <c r="G159" s="165" t="str">
        <f ca="1">IF($D159&lt;&gt;"Serviço","",OFFSET(ORÇAMENTO!S$15,ROW(G159)-ROW(G$15),0))</f>
        <v>M</v>
      </c>
      <c r="H159" s="123">
        <f ca="1">IF($D159&lt;&gt;"Serviço",0,IF(ACOMPANHAMENTO="BM",ROUND(OFFSET(ORÇAMENTO!AJ$15,ROW(H159)-ROW(H$15),0),15-13*ORÇAMENTO!$AF$7),SUMPRODUCT(($Q$1:$AA$1=1)*ROUND($Q159:$AA159,15-13*ORÇAMENTO!$AF$7))))</f>
        <v>48.9</v>
      </c>
      <c r="I159" s="469"/>
      <c r="J159" s="577" t="str" cm="1">
        <f t="array" aca="1" ref="J159" ca="1">IF(B159&lt;&gt;"S","",IF(AND(ACOMPANHAMENTO="PLE",AUTOEVENTO="Manual",OR(H159&gt;0,ORÇAMENTO!AC159="QUANT."),OR(K159="",M159=0,N159="")),"►",IF(AND(ACOMPANHAMENTO="PLE",ORÇAMENTO!AC159="QUANT."),"►►",IF(AND(COUNTIF($P$11:$AA$11,"▼")=0,H159&gt;0,I159=""),"◄",""))))</f>
        <v>◄</v>
      </c>
      <c r="K159" s="626"/>
      <c r="L159" s="166" t="s">
        <v>765</v>
      </c>
      <c r="M159" s="167">
        <f ca="1">IF($D159&lt;&gt;"Serviço","",
          IF(AUTOEVENTO="manual",$A159,
                IF(ISERROR(MATCH($A159,$A$15:OFFSET($A159,-1,0),0)),MAX($M$15:OFFSET(M159,-1,0))+1,
                      INDEX($M$15:OFFSET(M159,-1,0),MATCH($A159,$A$15:OFFSET($A159,-1,0),0)))))</f>
        <v>11</v>
      </c>
      <c r="N159" s="168" t="str">
        <f ca="1">IF($D159&lt;&gt;"Serviço","",
         IF(AUTOEVENTO="Manual",
                IF($A159=0,"&lt;-- defina o número do agrupador",
                       OFFSET(EVENTOS!$D$15,$A159-$A$15,0)),
                OFFSET($F$15,$A159,0)))</f>
        <v>INSTALAÇÕES HIDROSSANITÁRIAS</v>
      </c>
      <c r="O159" s="169"/>
      <c r="Q159" s="169"/>
      <c r="R159" s="170"/>
      <c r="S159" s="170"/>
      <c r="T159" s="170"/>
      <c r="U159" s="170"/>
      <c r="V159" s="170"/>
      <c r="W159" s="170"/>
      <c r="X159" s="170"/>
      <c r="Y159" s="170"/>
      <c r="Z159" s="171"/>
      <c r="AB159" s="454">
        <f ca="1">IF(AND($D159="Serviço",AB$12&lt;&gt;0,$H159&gt;0,OR(AUTOEVENTO&lt;&gt;"manual",$M159&lt;&gt;$A$15)),
        IF(Import.TipoArredondamento&lt;&gt;"TransfereGOV",
              ROUND(OFFSET($P159,0,AB$13),15-13*ORÇAMENTO!$AF$7)/$H159*OFFSET(ORÇAMENTO!$X$15,ROW(AB159)-ROW(AB$15),0),
              ROUND(ROUND(OFFSET($P159,0,AB$13),15-13*ORÇAMENTO!$AF$7)*OFFSET(ORÇAMENTO!$W$15,ROW(AB159)-ROW(AB$15),0),15-13*ORÇAMENTO!$AF$11)),
         0)</f>
        <v>0</v>
      </c>
      <c r="AC159" s="454">
        <f ca="1">IF(AND($D159="Serviço",AC$12&lt;&gt;0,$H159&gt;0,OR(AUTOEVENTO&lt;&gt;"manual",$M159&lt;&gt;$A$15)),
        IF(Import.TipoArredondamento&lt;&gt;"TransfereGOV",
              ROUND(OFFSET($P159,0,AC$13),15-13*ORÇAMENTO!$AF$7)/$H159*OFFSET(ORÇAMENTO!$X$15,ROW(AC159)-ROW(AC$15),0),
              ROUND(ROUND(OFFSET($P159,0,AC$13),15-13*ORÇAMENTO!$AF$7)*OFFSET(ORÇAMENTO!$W$15,ROW(AC159)-ROW(AC$15),0),15-13*ORÇAMENTO!$AF$11)),
         0)</f>
        <v>0</v>
      </c>
      <c r="AD159" s="454">
        <f ca="1">IF(AND($D159="Serviço",AD$12&lt;&gt;0,$H159&gt;0,OR(AUTOEVENTO&lt;&gt;"manual",$M159&lt;&gt;$A$15)),
        IF(Import.TipoArredondamento&lt;&gt;"TransfereGOV",
              ROUND(OFFSET($P159,0,AD$13),15-13*ORÇAMENTO!$AF$7)/$H159*OFFSET(ORÇAMENTO!$X$15,ROW(AD159)-ROW(AD$15),0),
              ROUND(ROUND(OFFSET($P159,0,AD$13),15-13*ORÇAMENTO!$AF$7)*OFFSET(ORÇAMENTO!$W$15,ROW(AD159)-ROW(AD$15),0),15-13*ORÇAMENTO!$AF$11)),
         0)</f>
        <v>0</v>
      </c>
      <c r="AE159" s="454">
        <f ca="1">IF(AND($D159="Serviço",AE$12&lt;&gt;0,$H159&gt;0,OR(AUTOEVENTO&lt;&gt;"manual",$M159&lt;&gt;$A$15)),
        IF(Import.TipoArredondamento&lt;&gt;"TransfereGOV",
              ROUND(OFFSET($P159,0,AE$13),15-13*ORÇAMENTO!$AF$7)/$H159*OFFSET(ORÇAMENTO!$X$15,ROW(AE159)-ROW(AE$15),0),
              ROUND(ROUND(OFFSET($P159,0,AE$13),15-13*ORÇAMENTO!$AF$7)*OFFSET(ORÇAMENTO!$W$15,ROW(AE159)-ROW(AE$15),0),15-13*ORÇAMENTO!$AF$11)),
         0)</f>
        <v>0</v>
      </c>
      <c r="AF159" s="454">
        <f ca="1">IF(AND($D159="Serviço",AF$12&lt;&gt;0,$H159&gt;0,OR(AUTOEVENTO&lt;&gt;"manual",$M159&lt;&gt;$A$15)),
        IF(Import.TipoArredondamento&lt;&gt;"TransfereGOV",
              ROUND(OFFSET($P159,0,AF$13),15-13*ORÇAMENTO!$AF$7)/$H159*OFFSET(ORÇAMENTO!$X$15,ROW(AF159)-ROW(AF$15),0),
              ROUND(ROUND(OFFSET($P159,0,AF$13),15-13*ORÇAMENTO!$AF$7)*OFFSET(ORÇAMENTO!$W$15,ROW(AF159)-ROW(AF$15),0),15-13*ORÇAMENTO!$AF$11)),
         0)</f>
        <v>0</v>
      </c>
      <c r="AG159" s="454">
        <f ca="1">IF(AND($D159="Serviço",AG$12&lt;&gt;0,$H159&gt;0,OR(AUTOEVENTO&lt;&gt;"manual",$M159&lt;&gt;$A$15)),
        IF(Import.TipoArredondamento&lt;&gt;"TransfereGOV",
              ROUND(OFFSET($P159,0,AG$13),15-13*ORÇAMENTO!$AF$7)/$H159*OFFSET(ORÇAMENTO!$X$15,ROW(AG159)-ROW(AG$15),0),
              ROUND(ROUND(OFFSET($P159,0,AG$13),15-13*ORÇAMENTO!$AF$7)*OFFSET(ORÇAMENTO!$W$15,ROW(AG159)-ROW(AG$15),0),15-13*ORÇAMENTO!$AF$11)),
         0)</f>
        <v>0</v>
      </c>
      <c r="AH159" s="454">
        <f ca="1">IF(AND($D159="Serviço",AH$12&lt;&gt;0,$H159&gt;0,OR(AUTOEVENTO&lt;&gt;"manual",$M159&lt;&gt;$A$15)),
        IF(Import.TipoArredondamento&lt;&gt;"TransfereGOV",
              ROUND(OFFSET($P159,0,AH$13),15-13*ORÇAMENTO!$AF$7)/$H159*OFFSET(ORÇAMENTO!$X$15,ROW(AH159)-ROW(AH$15),0),
              ROUND(ROUND(OFFSET($P159,0,AH$13),15-13*ORÇAMENTO!$AF$7)*OFFSET(ORÇAMENTO!$W$15,ROW(AH159)-ROW(AH$15),0),15-13*ORÇAMENTO!$AF$11)),
         0)</f>
        <v>0</v>
      </c>
      <c r="AI159" s="454">
        <f ca="1">IF(AND($D159="Serviço",AI$12&lt;&gt;0,$H159&gt;0,OR(AUTOEVENTO&lt;&gt;"manual",$M159&lt;&gt;$A$15)),
        IF(Import.TipoArredondamento&lt;&gt;"TransfereGOV",
              ROUND(OFFSET($P159,0,AI$13),15-13*ORÇAMENTO!$AF$7)/$H159*OFFSET(ORÇAMENTO!$X$15,ROW(AI159)-ROW(AI$15),0),
              ROUND(ROUND(OFFSET($P159,0,AI$13),15-13*ORÇAMENTO!$AF$7)*OFFSET(ORÇAMENTO!$W$15,ROW(AI159)-ROW(AI$15),0),15-13*ORÇAMENTO!$AF$11)),
         0)</f>
        <v>0</v>
      </c>
      <c r="AJ159" s="454">
        <f ca="1">IF(AND($D159="Serviço",AJ$12&lt;&gt;0,$H159&gt;0,OR(AUTOEVENTO&lt;&gt;"manual",$M159&lt;&gt;$A$15)),
        IF(Import.TipoArredondamento&lt;&gt;"TransfereGOV",
              ROUND(OFFSET($P159,0,AJ$13),15-13*ORÇAMENTO!$AF$7)/$H159*OFFSET(ORÇAMENTO!$X$15,ROW(AJ159)-ROW(AJ$15),0),
              ROUND(ROUND(OFFSET($P159,0,AJ$13),15-13*ORÇAMENTO!$AF$7)*OFFSET(ORÇAMENTO!$W$15,ROW(AJ159)-ROW(AJ$15),0),15-13*ORÇAMENTO!$AF$11)),
         0)</f>
        <v>0</v>
      </c>
      <c r="AK159" s="454">
        <f ca="1">IF(AND($D159="Serviço",AK$12&lt;&gt;0,$H159&gt;0,OR(AUTOEVENTO&lt;&gt;"manual",$M159&lt;&gt;$A$15)),
        IF(Import.TipoArredondamento&lt;&gt;"TransfereGOV",
              ROUND(OFFSET($P159,0,AK$13),15-13*ORÇAMENTO!$AF$7)/$H159*OFFSET(ORÇAMENTO!$X$15,ROW(AK159)-ROW(AK$15),0),
              ROUND(ROUND(OFFSET($P159,0,AK$13),15-13*ORÇAMENTO!$AF$7)*OFFSET(ORÇAMENTO!$W$15,ROW(AK159)-ROW(AK$15),0),15-13*ORÇAMENTO!$AF$11)),
         0)</f>
        <v>0</v>
      </c>
      <c r="AM159" s="172">
        <f ca="1">IF(OR($D159&lt;&gt;"Serviço",AND(AUTOEVENTO="Manual",$M159=$A$15)),0,
         IF(OFFSET(CRONOPLE!$F$15,$M159-$A$15,AM$13)="",10^12,OFFSET(CRONOPLE!$F$15,$M159-$A$15,AM$13)))</f>
        <v>1000000000000</v>
      </c>
      <c r="AN159" s="172">
        <f ca="1">IF(OR($D159&lt;&gt;"Serviço",AND(AUTOEVENTO="Manual",$M159=$A$15)),0,
         IF(OFFSET(CRONOPLE!$F$15,$M159-$A$15,AN$13)="",10^12,OFFSET(CRONOPLE!$F$15,$M159-$A$15,AN$13)))</f>
        <v>1000000000000</v>
      </c>
      <c r="AO159" s="172">
        <f ca="1">IF(OR($D159&lt;&gt;"Serviço",AND(AUTOEVENTO="Manual",$M159=$A$15)),0,
         IF(OFFSET(CRONOPLE!$F$15,$M159-$A$15,AO$13)="",10^12,OFFSET(CRONOPLE!$F$15,$M159-$A$15,AO$13)))</f>
        <v>1000000000000</v>
      </c>
      <c r="AP159" s="172">
        <f ca="1">IF(OR($D159&lt;&gt;"Serviço",AND(AUTOEVENTO="Manual",$M159=$A$15)),0,
         IF(OFFSET(CRONOPLE!$F$15,$M159-$A$15,AP$13)="",10^12,OFFSET(CRONOPLE!$F$15,$M159-$A$15,AP$13)))</f>
        <v>1000000000000</v>
      </c>
      <c r="AQ159" s="172">
        <f ca="1">IF(OR($D159&lt;&gt;"Serviço",AND(AUTOEVENTO="Manual",$M159=$A$15)),0,
         IF(OFFSET(CRONOPLE!$F$15,$M159-$A$15,AQ$13)="",10^12,OFFSET(CRONOPLE!$F$15,$M159-$A$15,AQ$13)))</f>
        <v>1000000000000</v>
      </c>
      <c r="AR159" s="172">
        <f ca="1">IF(OR($D159&lt;&gt;"Serviço",AND(AUTOEVENTO="Manual",$M159=$A$15)),0,
         IF(OFFSET(CRONOPLE!$F$15,$M159-$A$15,AR$13)="",10^12,OFFSET(CRONOPLE!$F$15,$M159-$A$15,AR$13)))</f>
        <v>1000000000000</v>
      </c>
      <c r="AS159" s="172">
        <f ca="1">IF(OR($D159&lt;&gt;"Serviço",AND(AUTOEVENTO="Manual",$M159=$A$15)),0,
         IF(OFFSET(CRONOPLE!$F$15,$M159-$A$15,AS$13)="",10^12,OFFSET(CRONOPLE!$F$15,$M159-$A$15,AS$13)))</f>
        <v>1000000000000</v>
      </c>
      <c r="AT159" s="172">
        <f ca="1">IF(OR($D159&lt;&gt;"Serviço",AND(AUTOEVENTO="Manual",$M159=$A$15)),0,
         IF(OFFSET(CRONOPLE!$F$15,$M159-$A$15,AT$13)="",10^12,OFFSET(CRONOPLE!$F$15,$M159-$A$15,AT$13)))</f>
        <v>1000000000000</v>
      </c>
      <c r="AU159" s="172">
        <f ca="1">IF(OR($D159&lt;&gt;"Serviço",AND(AUTOEVENTO="Manual",$M159=$A$15)),0,
         IF(OFFSET(CRONOPLE!$F$15,$M159-$A$15,AU$13)="",10^12,OFFSET(CRONOPLE!$F$15,$M159-$A$15,AU$13)))</f>
        <v>1000000000000</v>
      </c>
      <c r="AV159" s="172">
        <f ca="1">IF(OR($D159&lt;&gt;"Serviço",AND(AUTOEVENTO="Manual",$M159=$A$15)),0,
         IF(OFFSET(CRONOPLE!$F$15,$M159-$A$15,AV$13)="",10^12,OFFSET(CRONOPLE!$F$15,$M159-$A$15,AV$13)))</f>
        <v>1000000000000</v>
      </c>
      <c r="AX159" s="173">
        <f ca="1">IF(OR($D159&lt;&gt;"Serviço",AND(AUTOEVENTO="Manual",$M159=$A$15),$M159&gt;(ROW(PLE.lastrow)-ROW(PLE.firstrow))),0,
           IF(OFFSET(PLE!$G$15,$M159-$A$15,AX$13)="",10^12,OFFSET(PLE!$G$15,$M159-$A$15,AX$13)))</f>
        <v>1000000000000</v>
      </c>
      <c r="AY159" s="173">
        <f ca="1">IF(OR($D159&lt;&gt;"Serviço",AND(AUTOEVENTO="Manual",$M159=$A$15),$M159&gt;(ROW(PLE.lastrow)-ROW(PLE.firstrow))),0,
           IF(OFFSET(PLE!$G$15,$M159-$A$15,AY$13)="",10^12,OFFSET(PLE!$G$15,$M159-$A$15,AY$13)))</f>
        <v>1000000000000</v>
      </c>
      <c r="AZ159" s="173">
        <f ca="1">IF(OR($D159&lt;&gt;"Serviço",AND(AUTOEVENTO="Manual",$M159=$A$15),$M159&gt;(ROW(PLE.lastrow)-ROW(PLE.firstrow))),0,
           IF(OFFSET(PLE!$G$15,$M159-$A$15,AZ$13)="",10^12,OFFSET(PLE!$G$15,$M159-$A$15,AZ$13)))</f>
        <v>1000000000000</v>
      </c>
      <c r="BA159" s="173">
        <f ca="1">IF(OR($D159&lt;&gt;"Serviço",AND(AUTOEVENTO="Manual",$M159=$A$15),$M159&gt;(ROW(PLE.lastrow)-ROW(PLE.firstrow))),0,
           IF(OFFSET(PLE!$G$15,$M159-$A$15,BA$13)="",10^12,OFFSET(PLE!$G$15,$M159-$A$15,BA$13)))</f>
        <v>1000000000000</v>
      </c>
      <c r="BB159" s="173">
        <f ca="1">IF(OR($D159&lt;&gt;"Serviço",AND(AUTOEVENTO="Manual",$M159=$A$15),$M159&gt;(ROW(PLE.lastrow)-ROW(PLE.firstrow))),0,
           IF(OFFSET(PLE!$G$15,$M159-$A$15,BB$13)="",10^12,OFFSET(PLE!$G$15,$M159-$A$15,BB$13)))</f>
        <v>1000000000000</v>
      </c>
      <c r="BC159" s="173">
        <f ca="1">IF(OR($D159&lt;&gt;"Serviço",AND(AUTOEVENTO="Manual",$M159=$A$15),$M159&gt;(ROW(PLE.lastrow)-ROW(PLE.firstrow))),0,
           IF(OFFSET(PLE!$G$15,$M159-$A$15,BC$13)="",10^12,OFFSET(PLE!$G$15,$M159-$A$15,BC$13)))</f>
        <v>1000000000000</v>
      </c>
      <c r="BD159" s="173">
        <f ca="1">IF(OR($D159&lt;&gt;"Serviço",AND(AUTOEVENTO="Manual",$M159=$A$15),$M159&gt;(ROW(PLE.lastrow)-ROW(PLE.firstrow))),0,
           IF(OFFSET(PLE!$G$15,$M159-$A$15,BD$13)="",10^12,OFFSET(PLE!$G$15,$M159-$A$15,BD$13)))</f>
        <v>1000000000000</v>
      </c>
      <c r="BE159" s="173">
        <f ca="1">IF(OR($D159&lt;&gt;"Serviço",AND(AUTOEVENTO="Manual",$M159=$A$15),$M159&gt;(ROW(PLE.lastrow)-ROW(PLE.firstrow))),0,
           IF(OFFSET(PLE!$G$15,$M159-$A$15,BE$13)="",10^12,OFFSET(PLE!$G$15,$M159-$A$15,BE$13)))</f>
        <v>1000000000000</v>
      </c>
      <c r="BF159" s="173">
        <f ca="1">IF(OR($D159&lt;&gt;"Serviço",AND(AUTOEVENTO="Manual",$M159=$A$15),$M159&gt;(ROW(PLE.lastrow)-ROW(PLE.firstrow))),0,
           IF(OFFSET(PLE!$G$15,$M159-$A$15,BF$13)="",10^12,OFFSET(PLE!$G$15,$M159-$A$15,BF$13)))</f>
        <v>1000000000000</v>
      </c>
      <c r="BG159" s="173">
        <f ca="1">IF(OR($D159&lt;&gt;"Serviço",AND(AUTOEVENTO="Manual",$M159=$A$15),$M159&gt;(ROW(PLE.lastrow)-ROW(PLE.firstrow))),0,
           IF(OFFSET(PLE!$G$15,$M159-$A$15,BG$13)="",10^12,OFFSET(PLE!$G$15,$M159-$A$15,BG$13)))</f>
        <v>1000000000000</v>
      </c>
    </row>
    <row r="160" spans="1:59" ht="38.25" x14ac:dyDescent="0.2">
      <c r="A160" s="7" t="str">
        <f t="shared" ca="1" si="10"/>
        <v>114</v>
      </c>
      <c r="B160" s="7" t="str">
        <f ca="1">OFFSET(ORÇAMENTO!C$15,ROW(B160)-ROW(B$15),0)</f>
        <v>S</v>
      </c>
      <c r="C160" s="7" t="str">
        <f ca="1">OFFSET(ORÇAMENTO!L$15,ROW(C160)-ROW(C$15),0)</f>
        <v/>
      </c>
      <c r="D160" s="117" t="str">
        <f ca="1">OFFSET(ORÇAMENTO!N$15,ROW(D160)-ROW(D$15),0)</f>
        <v>Serviço</v>
      </c>
      <c r="E160" s="118" t="str">
        <f ca="1">OFFSET(ORÇAMENTO!O$15,ROW(E160)-ROW(E$15),0)</f>
        <v>-</v>
      </c>
      <c r="F160" s="164" t="str">
        <f ca="1">OFFSET(ORÇAMENTO!R$15,ROW(F160)-ROW(F$15),0)</f>
        <v>TUBO PVC, SERIE NORMAL, ESGOTO PREDIAL, DN 40 MM, FORNECIDO E INSTALADO EM RAMAL DE DESCARGA OU RAMAL DE ESGOTO SANITÁRIO. AF_08/2022</v>
      </c>
      <c r="G160" s="165" t="str">
        <f ca="1">IF($D160&lt;&gt;"Serviço","",OFFSET(ORÇAMENTO!S$15,ROW(G160)-ROW(G$15),0))</f>
        <v>M</v>
      </c>
      <c r="H160" s="123">
        <f ca="1">IF($D160&lt;&gt;"Serviço",0,IF(ACOMPANHAMENTO="BM",ROUND(OFFSET(ORÇAMENTO!AJ$15,ROW(H160)-ROW(H$15),0),15-13*ORÇAMENTO!$AF$7),SUMPRODUCT(($Q$1:$AA$1=1)*ROUND($Q160:$AA160,15-13*ORÇAMENTO!$AF$7))))</f>
        <v>73.2</v>
      </c>
      <c r="I160" s="469"/>
      <c r="J160" s="577" t="str" cm="1">
        <f t="array" aca="1" ref="J160" ca="1">IF(B160&lt;&gt;"S","",IF(AND(ACOMPANHAMENTO="PLE",AUTOEVENTO="Manual",OR(H160&gt;0,ORÇAMENTO!AC160="QUANT."),OR(K160="",M160=0,N160="")),"►",IF(AND(ACOMPANHAMENTO="PLE",ORÇAMENTO!AC160="QUANT."),"►►",IF(AND(COUNTIF($P$11:$AA$11,"▼")=0,H160&gt;0,I160=""),"◄",""))))</f>
        <v>◄</v>
      </c>
      <c r="K160" s="626"/>
      <c r="L160" s="166" t="s">
        <v>765</v>
      </c>
      <c r="M160" s="167">
        <f ca="1">IF($D160&lt;&gt;"Serviço","",
          IF(AUTOEVENTO="manual",$A160,
                IF(ISERROR(MATCH($A160,$A$15:OFFSET($A160,-1,0),0)),MAX($M$15:OFFSET(M160,-1,0))+1,
                      INDEX($M$15:OFFSET(M160,-1,0),MATCH($A160,$A$15:OFFSET($A160,-1,0),0)))))</f>
        <v>11</v>
      </c>
      <c r="N160" s="168" t="str">
        <f ca="1">IF($D160&lt;&gt;"Serviço","",
         IF(AUTOEVENTO="Manual",
                IF($A160=0,"&lt;-- defina o número do agrupador",
                       OFFSET(EVENTOS!$D$15,$A160-$A$15,0)),
                OFFSET($F$15,$A160,0)))</f>
        <v>INSTALAÇÕES HIDROSSANITÁRIAS</v>
      </c>
      <c r="O160" s="169"/>
      <c r="Q160" s="169"/>
      <c r="R160" s="170"/>
      <c r="S160" s="170"/>
      <c r="T160" s="170"/>
      <c r="U160" s="170"/>
      <c r="V160" s="170"/>
      <c r="W160" s="170"/>
      <c r="X160" s="170"/>
      <c r="Y160" s="170"/>
      <c r="Z160" s="171"/>
      <c r="AB160" s="454">
        <f ca="1">IF(AND($D160="Serviço",AB$12&lt;&gt;0,$H160&gt;0,OR(AUTOEVENTO&lt;&gt;"manual",$M160&lt;&gt;$A$15)),
        IF(Import.TipoArredondamento&lt;&gt;"TransfereGOV",
              ROUND(OFFSET($P160,0,AB$13),15-13*ORÇAMENTO!$AF$7)/$H160*OFFSET(ORÇAMENTO!$X$15,ROW(AB160)-ROW(AB$15),0),
              ROUND(ROUND(OFFSET($P160,0,AB$13),15-13*ORÇAMENTO!$AF$7)*OFFSET(ORÇAMENTO!$W$15,ROW(AB160)-ROW(AB$15),0),15-13*ORÇAMENTO!$AF$11)),
         0)</f>
        <v>0</v>
      </c>
      <c r="AC160" s="454">
        <f ca="1">IF(AND($D160="Serviço",AC$12&lt;&gt;0,$H160&gt;0,OR(AUTOEVENTO&lt;&gt;"manual",$M160&lt;&gt;$A$15)),
        IF(Import.TipoArredondamento&lt;&gt;"TransfereGOV",
              ROUND(OFFSET($P160,0,AC$13),15-13*ORÇAMENTO!$AF$7)/$H160*OFFSET(ORÇAMENTO!$X$15,ROW(AC160)-ROW(AC$15),0),
              ROUND(ROUND(OFFSET($P160,0,AC$13),15-13*ORÇAMENTO!$AF$7)*OFFSET(ORÇAMENTO!$W$15,ROW(AC160)-ROW(AC$15),0),15-13*ORÇAMENTO!$AF$11)),
         0)</f>
        <v>0</v>
      </c>
      <c r="AD160" s="454">
        <f ca="1">IF(AND($D160="Serviço",AD$12&lt;&gt;0,$H160&gt;0,OR(AUTOEVENTO&lt;&gt;"manual",$M160&lt;&gt;$A$15)),
        IF(Import.TipoArredondamento&lt;&gt;"TransfereGOV",
              ROUND(OFFSET($P160,0,AD$13),15-13*ORÇAMENTO!$AF$7)/$H160*OFFSET(ORÇAMENTO!$X$15,ROW(AD160)-ROW(AD$15),0),
              ROUND(ROUND(OFFSET($P160,0,AD$13),15-13*ORÇAMENTO!$AF$7)*OFFSET(ORÇAMENTO!$W$15,ROW(AD160)-ROW(AD$15),0),15-13*ORÇAMENTO!$AF$11)),
         0)</f>
        <v>0</v>
      </c>
      <c r="AE160" s="454">
        <f ca="1">IF(AND($D160="Serviço",AE$12&lt;&gt;0,$H160&gt;0,OR(AUTOEVENTO&lt;&gt;"manual",$M160&lt;&gt;$A$15)),
        IF(Import.TipoArredondamento&lt;&gt;"TransfereGOV",
              ROUND(OFFSET($P160,0,AE$13),15-13*ORÇAMENTO!$AF$7)/$H160*OFFSET(ORÇAMENTO!$X$15,ROW(AE160)-ROW(AE$15),0),
              ROUND(ROUND(OFFSET($P160,0,AE$13),15-13*ORÇAMENTO!$AF$7)*OFFSET(ORÇAMENTO!$W$15,ROW(AE160)-ROW(AE$15),0),15-13*ORÇAMENTO!$AF$11)),
         0)</f>
        <v>0</v>
      </c>
      <c r="AF160" s="454">
        <f ca="1">IF(AND($D160="Serviço",AF$12&lt;&gt;0,$H160&gt;0,OR(AUTOEVENTO&lt;&gt;"manual",$M160&lt;&gt;$A$15)),
        IF(Import.TipoArredondamento&lt;&gt;"TransfereGOV",
              ROUND(OFFSET($P160,0,AF$13),15-13*ORÇAMENTO!$AF$7)/$H160*OFFSET(ORÇAMENTO!$X$15,ROW(AF160)-ROW(AF$15),0),
              ROUND(ROUND(OFFSET($P160,0,AF$13),15-13*ORÇAMENTO!$AF$7)*OFFSET(ORÇAMENTO!$W$15,ROW(AF160)-ROW(AF$15),0),15-13*ORÇAMENTO!$AF$11)),
         0)</f>
        <v>0</v>
      </c>
      <c r="AG160" s="454">
        <f ca="1">IF(AND($D160="Serviço",AG$12&lt;&gt;0,$H160&gt;0,OR(AUTOEVENTO&lt;&gt;"manual",$M160&lt;&gt;$A$15)),
        IF(Import.TipoArredondamento&lt;&gt;"TransfereGOV",
              ROUND(OFFSET($P160,0,AG$13),15-13*ORÇAMENTO!$AF$7)/$H160*OFFSET(ORÇAMENTO!$X$15,ROW(AG160)-ROW(AG$15),0),
              ROUND(ROUND(OFFSET($P160,0,AG$13),15-13*ORÇAMENTO!$AF$7)*OFFSET(ORÇAMENTO!$W$15,ROW(AG160)-ROW(AG$15),0),15-13*ORÇAMENTO!$AF$11)),
         0)</f>
        <v>0</v>
      </c>
      <c r="AH160" s="454">
        <f ca="1">IF(AND($D160="Serviço",AH$12&lt;&gt;0,$H160&gt;0,OR(AUTOEVENTO&lt;&gt;"manual",$M160&lt;&gt;$A$15)),
        IF(Import.TipoArredondamento&lt;&gt;"TransfereGOV",
              ROUND(OFFSET($P160,0,AH$13),15-13*ORÇAMENTO!$AF$7)/$H160*OFFSET(ORÇAMENTO!$X$15,ROW(AH160)-ROW(AH$15),0),
              ROUND(ROUND(OFFSET($P160,0,AH$13),15-13*ORÇAMENTO!$AF$7)*OFFSET(ORÇAMENTO!$W$15,ROW(AH160)-ROW(AH$15),0),15-13*ORÇAMENTO!$AF$11)),
         0)</f>
        <v>0</v>
      </c>
      <c r="AI160" s="454">
        <f ca="1">IF(AND($D160="Serviço",AI$12&lt;&gt;0,$H160&gt;0,OR(AUTOEVENTO&lt;&gt;"manual",$M160&lt;&gt;$A$15)),
        IF(Import.TipoArredondamento&lt;&gt;"TransfereGOV",
              ROUND(OFFSET($P160,0,AI$13),15-13*ORÇAMENTO!$AF$7)/$H160*OFFSET(ORÇAMENTO!$X$15,ROW(AI160)-ROW(AI$15),0),
              ROUND(ROUND(OFFSET($P160,0,AI$13),15-13*ORÇAMENTO!$AF$7)*OFFSET(ORÇAMENTO!$W$15,ROW(AI160)-ROW(AI$15),0),15-13*ORÇAMENTO!$AF$11)),
         0)</f>
        <v>0</v>
      </c>
      <c r="AJ160" s="454">
        <f ca="1">IF(AND($D160="Serviço",AJ$12&lt;&gt;0,$H160&gt;0,OR(AUTOEVENTO&lt;&gt;"manual",$M160&lt;&gt;$A$15)),
        IF(Import.TipoArredondamento&lt;&gt;"TransfereGOV",
              ROUND(OFFSET($P160,0,AJ$13),15-13*ORÇAMENTO!$AF$7)/$H160*OFFSET(ORÇAMENTO!$X$15,ROW(AJ160)-ROW(AJ$15),0),
              ROUND(ROUND(OFFSET($P160,0,AJ$13),15-13*ORÇAMENTO!$AF$7)*OFFSET(ORÇAMENTO!$W$15,ROW(AJ160)-ROW(AJ$15),0),15-13*ORÇAMENTO!$AF$11)),
         0)</f>
        <v>0</v>
      </c>
      <c r="AK160" s="454">
        <f ca="1">IF(AND($D160="Serviço",AK$12&lt;&gt;0,$H160&gt;0,OR(AUTOEVENTO&lt;&gt;"manual",$M160&lt;&gt;$A$15)),
        IF(Import.TipoArredondamento&lt;&gt;"TransfereGOV",
              ROUND(OFFSET($P160,0,AK$13),15-13*ORÇAMENTO!$AF$7)/$H160*OFFSET(ORÇAMENTO!$X$15,ROW(AK160)-ROW(AK$15),0),
              ROUND(ROUND(OFFSET($P160,0,AK$13),15-13*ORÇAMENTO!$AF$7)*OFFSET(ORÇAMENTO!$W$15,ROW(AK160)-ROW(AK$15),0),15-13*ORÇAMENTO!$AF$11)),
         0)</f>
        <v>0</v>
      </c>
      <c r="AM160" s="172">
        <f ca="1">IF(OR($D160&lt;&gt;"Serviço",AND(AUTOEVENTO="Manual",$M160=$A$15)),0,
         IF(OFFSET(CRONOPLE!$F$15,$M160-$A$15,AM$13)="",10^12,OFFSET(CRONOPLE!$F$15,$M160-$A$15,AM$13)))</f>
        <v>1000000000000</v>
      </c>
      <c r="AN160" s="172">
        <f ca="1">IF(OR($D160&lt;&gt;"Serviço",AND(AUTOEVENTO="Manual",$M160=$A$15)),0,
         IF(OFFSET(CRONOPLE!$F$15,$M160-$A$15,AN$13)="",10^12,OFFSET(CRONOPLE!$F$15,$M160-$A$15,AN$13)))</f>
        <v>1000000000000</v>
      </c>
      <c r="AO160" s="172">
        <f ca="1">IF(OR($D160&lt;&gt;"Serviço",AND(AUTOEVENTO="Manual",$M160=$A$15)),0,
         IF(OFFSET(CRONOPLE!$F$15,$M160-$A$15,AO$13)="",10^12,OFFSET(CRONOPLE!$F$15,$M160-$A$15,AO$13)))</f>
        <v>1000000000000</v>
      </c>
      <c r="AP160" s="172">
        <f ca="1">IF(OR($D160&lt;&gt;"Serviço",AND(AUTOEVENTO="Manual",$M160=$A$15)),0,
         IF(OFFSET(CRONOPLE!$F$15,$M160-$A$15,AP$13)="",10^12,OFFSET(CRONOPLE!$F$15,$M160-$A$15,AP$13)))</f>
        <v>1000000000000</v>
      </c>
      <c r="AQ160" s="172">
        <f ca="1">IF(OR($D160&lt;&gt;"Serviço",AND(AUTOEVENTO="Manual",$M160=$A$15)),0,
         IF(OFFSET(CRONOPLE!$F$15,$M160-$A$15,AQ$13)="",10^12,OFFSET(CRONOPLE!$F$15,$M160-$A$15,AQ$13)))</f>
        <v>1000000000000</v>
      </c>
      <c r="AR160" s="172">
        <f ca="1">IF(OR($D160&lt;&gt;"Serviço",AND(AUTOEVENTO="Manual",$M160=$A$15)),0,
         IF(OFFSET(CRONOPLE!$F$15,$M160-$A$15,AR$13)="",10^12,OFFSET(CRONOPLE!$F$15,$M160-$A$15,AR$13)))</f>
        <v>1000000000000</v>
      </c>
      <c r="AS160" s="172">
        <f ca="1">IF(OR($D160&lt;&gt;"Serviço",AND(AUTOEVENTO="Manual",$M160=$A$15)),0,
         IF(OFFSET(CRONOPLE!$F$15,$M160-$A$15,AS$13)="",10^12,OFFSET(CRONOPLE!$F$15,$M160-$A$15,AS$13)))</f>
        <v>1000000000000</v>
      </c>
      <c r="AT160" s="172">
        <f ca="1">IF(OR($D160&lt;&gt;"Serviço",AND(AUTOEVENTO="Manual",$M160=$A$15)),0,
         IF(OFFSET(CRONOPLE!$F$15,$M160-$A$15,AT$13)="",10^12,OFFSET(CRONOPLE!$F$15,$M160-$A$15,AT$13)))</f>
        <v>1000000000000</v>
      </c>
      <c r="AU160" s="172">
        <f ca="1">IF(OR($D160&lt;&gt;"Serviço",AND(AUTOEVENTO="Manual",$M160=$A$15)),0,
         IF(OFFSET(CRONOPLE!$F$15,$M160-$A$15,AU$13)="",10^12,OFFSET(CRONOPLE!$F$15,$M160-$A$15,AU$13)))</f>
        <v>1000000000000</v>
      </c>
      <c r="AV160" s="172">
        <f ca="1">IF(OR($D160&lt;&gt;"Serviço",AND(AUTOEVENTO="Manual",$M160=$A$15)),0,
         IF(OFFSET(CRONOPLE!$F$15,$M160-$A$15,AV$13)="",10^12,OFFSET(CRONOPLE!$F$15,$M160-$A$15,AV$13)))</f>
        <v>1000000000000</v>
      </c>
      <c r="AX160" s="173">
        <f ca="1">IF(OR($D160&lt;&gt;"Serviço",AND(AUTOEVENTO="Manual",$M160=$A$15),$M160&gt;(ROW(PLE.lastrow)-ROW(PLE.firstrow))),0,
           IF(OFFSET(PLE!$G$15,$M160-$A$15,AX$13)="",10^12,OFFSET(PLE!$G$15,$M160-$A$15,AX$13)))</f>
        <v>1000000000000</v>
      </c>
      <c r="AY160" s="173">
        <f ca="1">IF(OR($D160&lt;&gt;"Serviço",AND(AUTOEVENTO="Manual",$M160=$A$15),$M160&gt;(ROW(PLE.lastrow)-ROW(PLE.firstrow))),0,
           IF(OFFSET(PLE!$G$15,$M160-$A$15,AY$13)="",10^12,OFFSET(PLE!$G$15,$M160-$A$15,AY$13)))</f>
        <v>1000000000000</v>
      </c>
      <c r="AZ160" s="173">
        <f ca="1">IF(OR($D160&lt;&gt;"Serviço",AND(AUTOEVENTO="Manual",$M160=$A$15),$M160&gt;(ROW(PLE.lastrow)-ROW(PLE.firstrow))),0,
           IF(OFFSET(PLE!$G$15,$M160-$A$15,AZ$13)="",10^12,OFFSET(PLE!$G$15,$M160-$A$15,AZ$13)))</f>
        <v>1000000000000</v>
      </c>
      <c r="BA160" s="173">
        <f ca="1">IF(OR($D160&lt;&gt;"Serviço",AND(AUTOEVENTO="Manual",$M160=$A$15),$M160&gt;(ROW(PLE.lastrow)-ROW(PLE.firstrow))),0,
           IF(OFFSET(PLE!$G$15,$M160-$A$15,BA$13)="",10^12,OFFSET(PLE!$G$15,$M160-$A$15,BA$13)))</f>
        <v>1000000000000</v>
      </c>
      <c r="BB160" s="173">
        <f ca="1">IF(OR($D160&lt;&gt;"Serviço",AND(AUTOEVENTO="Manual",$M160=$A$15),$M160&gt;(ROW(PLE.lastrow)-ROW(PLE.firstrow))),0,
           IF(OFFSET(PLE!$G$15,$M160-$A$15,BB$13)="",10^12,OFFSET(PLE!$G$15,$M160-$A$15,BB$13)))</f>
        <v>1000000000000</v>
      </c>
      <c r="BC160" s="173">
        <f ca="1">IF(OR($D160&lt;&gt;"Serviço",AND(AUTOEVENTO="Manual",$M160=$A$15),$M160&gt;(ROW(PLE.lastrow)-ROW(PLE.firstrow))),0,
           IF(OFFSET(PLE!$G$15,$M160-$A$15,BC$13)="",10^12,OFFSET(PLE!$G$15,$M160-$A$15,BC$13)))</f>
        <v>1000000000000</v>
      </c>
      <c r="BD160" s="173">
        <f ca="1">IF(OR($D160&lt;&gt;"Serviço",AND(AUTOEVENTO="Manual",$M160=$A$15),$M160&gt;(ROW(PLE.lastrow)-ROW(PLE.firstrow))),0,
           IF(OFFSET(PLE!$G$15,$M160-$A$15,BD$13)="",10^12,OFFSET(PLE!$G$15,$M160-$A$15,BD$13)))</f>
        <v>1000000000000</v>
      </c>
      <c r="BE160" s="173">
        <f ca="1">IF(OR($D160&lt;&gt;"Serviço",AND(AUTOEVENTO="Manual",$M160=$A$15),$M160&gt;(ROW(PLE.lastrow)-ROW(PLE.firstrow))),0,
           IF(OFFSET(PLE!$G$15,$M160-$A$15,BE$13)="",10^12,OFFSET(PLE!$G$15,$M160-$A$15,BE$13)))</f>
        <v>1000000000000</v>
      </c>
      <c r="BF160" s="173">
        <f ca="1">IF(OR($D160&lt;&gt;"Serviço",AND(AUTOEVENTO="Manual",$M160=$A$15),$M160&gt;(ROW(PLE.lastrow)-ROW(PLE.firstrow))),0,
           IF(OFFSET(PLE!$G$15,$M160-$A$15,BF$13)="",10^12,OFFSET(PLE!$G$15,$M160-$A$15,BF$13)))</f>
        <v>1000000000000</v>
      </c>
      <c r="BG160" s="173">
        <f ca="1">IF(OR($D160&lt;&gt;"Serviço",AND(AUTOEVENTO="Manual",$M160=$A$15),$M160&gt;(ROW(PLE.lastrow)-ROW(PLE.firstrow))),0,
           IF(OFFSET(PLE!$G$15,$M160-$A$15,BG$13)="",10^12,OFFSET(PLE!$G$15,$M160-$A$15,BG$13)))</f>
        <v>1000000000000</v>
      </c>
    </row>
    <row r="161" spans="1:59" ht="38.25" x14ac:dyDescent="0.2">
      <c r="A161" s="7" t="str">
        <f t="shared" ca="1" si="10"/>
        <v>114</v>
      </c>
      <c r="B161" s="7" t="str">
        <f ca="1">OFFSET(ORÇAMENTO!C$15,ROW(B161)-ROW(B$15),0)</f>
        <v>S</v>
      </c>
      <c r="C161" s="7" t="str">
        <f ca="1">OFFSET(ORÇAMENTO!L$15,ROW(C161)-ROW(C$15),0)</f>
        <v/>
      </c>
      <c r="D161" s="117" t="str">
        <f ca="1">OFFSET(ORÇAMENTO!N$15,ROW(D161)-ROW(D$15),0)</f>
        <v>Serviço</v>
      </c>
      <c r="E161" s="118" t="str">
        <f ca="1">OFFSET(ORÇAMENTO!O$15,ROW(E161)-ROW(E$15),0)</f>
        <v>-</v>
      </c>
      <c r="F161" s="164" t="str">
        <f ca="1">OFFSET(ORÇAMENTO!R$15,ROW(F161)-ROW(F$15),0)</f>
        <v>TE, PVC, SERIE NORMAL, ESGOTO PREDIAL, DN 40 X 40 MM, JUNTA SOLDÁVEL, FORNECIDO E INSTALADO EM RAMAL DE DESCARGA OU RAMAL DE ESGOTO SANITÁRIO. AF_08/2022</v>
      </c>
      <c r="G161" s="165" t="str">
        <f ca="1">IF($D161&lt;&gt;"Serviço","",OFFSET(ORÇAMENTO!S$15,ROW(G161)-ROW(G$15),0))</f>
        <v>UN</v>
      </c>
      <c r="H161" s="123">
        <f ca="1">IF($D161&lt;&gt;"Serviço",0,IF(ACOMPANHAMENTO="BM",ROUND(OFFSET(ORÇAMENTO!AJ$15,ROW(H161)-ROW(H$15),0),15-13*ORÇAMENTO!$AF$7),SUMPRODUCT(($Q$1:$AA$1=1)*ROUND($Q161:$AA161,15-13*ORÇAMENTO!$AF$7))))</f>
        <v>6</v>
      </c>
      <c r="I161" s="469"/>
      <c r="J161" s="577" t="str" cm="1">
        <f t="array" aca="1" ref="J161" ca="1">IF(B161&lt;&gt;"S","",IF(AND(ACOMPANHAMENTO="PLE",AUTOEVENTO="Manual",OR(H161&gt;0,ORÇAMENTO!AC161="QUANT."),OR(K161="",M161=0,N161="")),"►",IF(AND(ACOMPANHAMENTO="PLE",ORÇAMENTO!AC161="QUANT."),"►►",IF(AND(COUNTIF($P$11:$AA$11,"▼")=0,H161&gt;0,I161=""),"◄",""))))</f>
        <v>◄</v>
      </c>
      <c r="K161" s="626"/>
      <c r="L161" s="166" t="s">
        <v>765</v>
      </c>
      <c r="M161" s="167">
        <f ca="1">IF($D161&lt;&gt;"Serviço","",
          IF(AUTOEVENTO="manual",$A161,
                IF(ISERROR(MATCH($A161,$A$15:OFFSET($A161,-1,0),0)),MAX($M$15:OFFSET(M161,-1,0))+1,
                      INDEX($M$15:OFFSET(M161,-1,0),MATCH($A161,$A$15:OFFSET($A161,-1,0),0)))))</f>
        <v>11</v>
      </c>
      <c r="N161" s="168" t="str">
        <f ca="1">IF($D161&lt;&gt;"Serviço","",
         IF(AUTOEVENTO="Manual",
                IF($A161=0,"&lt;-- defina o número do agrupador",
                       OFFSET(EVENTOS!$D$15,$A161-$A$15,0)),
                OFFSET($F$15,$A161,0)))</f>
        <v>INSTALAÇÕES HIDROSSANITÁRIAS</v>
      </c>
      <c r="O161" s="169"/>
      <c r="Q161" s="169"/>
      <c r="R161" s="170"/>
      <c r="S161" s="170"/>
      <c r="T161" s="170"/>
      <c r="U161" s="170"/>
      <c r="V161" s="170"/>
      <c r="W161" s="170"/>
      <c r="X161" s="170"/>
      <c r="Y161" s="170"/>
      <c r="Z161" s="171"/>
      <c r="AB161" s="454">
        <f ca="1">IF(AND($D161="Serviço",AB$12&lt;&gt;0,$H161&gt;0,OR(AUTOEVENTO&lt;&gt;"manual",$M161&lt;&gt;$A$15)),
        IF(Import.TipoArredondamento&lt;&gt;"TransfereGOV",
              ROUND(OFFSET($P161,0,AB$13),15-13*ORÇAMENTO!$AF$7)/$H161*OFFSET(ORÇAMENTO!$X$15,ROW(AB161)-ROW(AB$15),0),
              ROUND(ROUND(OFFSET($P161,0,AB$13),15-13*ORÇAMENTO!$AF$7)*OFFSET(ORÇAMENTO!$W$15,ROW(AB161)-ROW(AB$15),0),15-13*ORÇAMENTO!$AF$11)),
         0)</f>
        <v>0</v>
      </c>
      <c r="AC161" s="454">
        <f ca="1">IF(AND($D161="Serviço",AC$12&lt;&gt;0,$H161&gt;0,OR(AUTOEVENTO&lt;&gt;"manual",$M161&lt;&gt;$A$15)),
        IF(Import.TipoArredondamento&lt;&gt;"TransfereGOV",
              ROUND(OFFSET($P161,0,AC$13),15-13*ORÇAMENTO!$AF$7)/$H161*OFFSET(ORÇAMENTO!$X$15,ROW(AC161)-ROW(AC$15),0),
              ROUND(ROUND(OFFSET($P161,0,AC$13),15-13*ORÇAMENTO!$AF$7)*OFFSET(ORÇAMENTO!$W$15,ROW(AC161)-ROW(AC$15),0),15-13*ORÇAMENTO!$AF$11)),
         0)</f>
        <v>0</v>
      </c>
      <c r="AD161" s="454">
        <f ca="1">IF(AND($D161="Serviço",AD$12&lt;&gt;0,$H161&gt;0,OR(AUTOEVENTO&lt;&gt;"manual",$M161&lt;&gt;$A$15)),
        IF(Import.TipoArredondamento&lt;&gt;"TransfereGOV",
              ROUND(OFFSET($P161,0,AD$13),15-13*ORÇAMENTO!$AF$7)/$H161*OFFSET(ORÇAMENTO!$X$15,ROW(AD161)-ROW(AD$15),0),
              ROUND(ROUND(OFFSET($P161,0,AD$13),15-13*ORÇAMENTO!$AF$7)*OFFSET(ORÇAMENTO!$W$15,ROW(AD161)-ROW(AD$15),0),15-13*ORÇAMENTO!$AF$11)),
         0)</f>
        <v>0</v>
      </c>
      <c r="AE161" s="454">
        <f ca="1">IF(AND($D161="Serviço",AE$12&lt;&gt;0,$H161&gt;0,OR(AUTOEVENTO&lt;&gt;"manual",$M161&lt;&gt;$A$15)),
        IF(Import.TipoArredondamento&lt;&gt;"TransfereGOV",
              ROUND(OFFSET($P161,0,AE$13),15-13*ORÇAMENTO!$AF$7)/$H161*OFFSET(ORÇAMENTO!$X$15,ROW(AE161)-ROW(AE$15),0),
              ROUND(ROUND(OFFSET($P161,0,AE$13),15-13*ORÇAMENTO!$AF$7)*OFFSET(ORÇAMENTO!$W$15,ROW(AE161)-ROW(AE$15),0),15-13*ORÇAMENTO!$AF$11)),
         0)</f>
        <v>0</v>
      </c>
      <c r="AF161" s="454">
        <f ca="1">IF(AND($D161="Serviço",AF$12&lt;&gt;0,$H161&gt;0,OR(AUTOEVENTO&lt;&gt;"manual",$M161&lt;&gt;$A$15)),
        IF(Import.TipoArredondamento&lt;&gt;"TransfereGOV",
              ROUND(OFFSET($P161,0,AF$13),15-13*ORÇAMENTO!$AF$7)/$H161*OFFSET(ORÇAMENTO!$X$15,ROW(AF161)-ROW(AF$15),0),
              ROUND(ROUND(OFFSET($P161,0,AF$13),15-13*ORÇAMENTO!$AF$7)*OFFSET(ORÇAMENTO!$W$15,ROW(AF161)-ROW(AF$15),0),15-13*ORÇAMENTO!$AF$11)),
         0)</f>
        <v>0</v>
      </c>
      <c r="AG161" s="454">
        <f ca="1">IF(AND($D161="Serviço",AG$12&lt;&gt;0,$H161&gt;0,OR(AUTOEVENTO&lt;&gt;"manual",$M161&lt;&gt;$A$15)),
        IF(Import.TipoArredondamento&lt;&gt;"TransfereGOV",
              ROUND(OFFSET($P161,0,AG$13),15-13*ORÇAMENTO!$AF$7)/$H161*OFFSET(ORÇAMENTO!$X$15,ROW(AG161)-ROW(AG$15),0),
              ROUND(ROUND(OFFSET($P161,0,AG$13),15-13*ORÇAMENTO!$AF$7)*OFFSET(ORÇAMENTO!$W$15,ROW(AG161)-ROW(AG$15),0),15-13*ORÇAMENTO!$AF$11)),
         0)</f>
        <v>0</v>
      </c>
      <c r="AH161" s="454">
        <f ca="1">IF(AND($D161="Serviço",AH$12&lt;&gt;0,$H161&gt;0,OR(AUTOEVENTO&lt;&gt;"manual",$M161&lt;&gt;$A$15)),
        IF(Import.TipoArredondamento&lt;&gt;"TransfereGOV",
              ROUND(OFFSET($P161,0,AH$13),15-13*ORÇAMENTO!$AF$7)/$H161*OFFSET(ORÇAMENTO!$X$15,ROW(AH161)-ROW(AH$15),0),
              ROUND(ROUND(OFFSET($P161,0,AH$13),15-13*ORÇAMENTO!$AF$7)*OFFSET(ORÇAMENTO!$W$15,ROW(AH161)-ROW(AH$15),0),15-13*ORÇAMENTO!$AF$11)),
         0)</f>
        <v>0</v>
      </c>
      <c r="AI161" s="454">
        <f ca="1">IF(AND($D161="Serviço",AI$12&lt;&gt;0,$H161&gt;0,OR(AUTOEVENTO&lt;&gt;"manual",$M161&lt;&gt;$A$15)),
        IF(Import.TipoArredondamento&lt;&gt;"TransfereGOV",
              ROUND(OFFSET($P161,0,AI$13),15-13*ORÇAMENTO!$AF$7)/$H161*OFFSET(ORÇAMENTO!$X$15,ROW(AI161)-ROW(AI$15),0),
              ROUND(ROUND(OFFSET($P161,0,AI$13),15-13*ORÇAMENTO!$AF$7)*OFFSET(ORÇAMENTO!$W$15,ROW(AI161)-ROW(AI$15),0),15-13*ORÇAMENTO!$AF$11)),
         0)</f>
        <v>0</v>
      </c>
      <c r="AJ161" s="454">
        <f ca="1">IF(AND($D161="Serviço",AJ$12&lt;&gt;0,$H161&gt;0,OR(AUTOEVENTO&lt;&gt;"manual",$M161&lt;&gt;$A$15)),
        IF(Import.TipoArredondamento&lt;&gt;"TransfereGOV",
              ROUND(OFFSET($P161,0,AJ$13),15-13*ORÇAMENTO!$AF$7)/$H161*OFFSET(ORÇAMENTO!$X$15,ROW(AJ161)-ROW(AJ$15),0),
              ROUND(ROUND(OFFSET($P161,0,AJ$13),15-13*ORÇAMENTO!$AF$7)*OFFSET(ORÇAMENTO!$W$15,ROW(AJ161)-ROW(AJ$15),0),15-13*ORÇAMENTO!$AF$11)),
         0)</f>
        <v>0</v>
      </c>
      <c r="AK161" s="454">
        <f ca="1">IF(AND($D161="Serviço",AK$12&lt;&gt;0,$H161&gt;0,OR(AUTOEVENTO&lt;&gt;"manual",$M161&lt;&gt;$A$15)),
        IF(Import.TipoArredondamento&lt;&gt;"TransfereGOV",
              ROUND(OFFSET($P161,0,AK$13),15-13*ORÇAMENTO!$AF$7)/$H161*OFFSET(ORÇAMENTO!$X$15,ROW(AK161)-ROW(AK$15),0),
              ROUND(ROUND(OFFSET($P161,0,AK$13),15-13*ORÇAMENTO!$AF$7)*OFFSET(ORÇAMENTO!$W$15,ROW(AK161)-ROW(AK$15),0),15-13*ORÇAMENTO!$AF$11)),
         0)</f>
        <v>0</v>
      </c>
      <c r="AM161" s="172">
        <f ca="1">IF(OR($D161&lt;&gt;"Serviço",AND(AUTOEVENTO="Manual",$M161=$A$15)),0,
         IF(OFFSET(CRONOPLE!$F$15,$M161-$A$15,AM$13)="",10^12,OFFSET(CRONOPLE!$F$15,$M161-$A$15,AM$13)))</f>
        <v>1000000000000</v>
      </c>
      <c r="AN161" s="172">
        <f ca="1">IF(OR($D161&lt;&gt;"Serviço",AND(AUTOEVENTO="Manual",$M161=$A$15)),0,
         IF(OFFSET(CRONOPLE!$F$15,$M161-$A$15,AN$13)="",10^12,OFFSET(CRONOPLE!$F$15,$M161-$A$15,AN$13)))</f>
        <v>1000000000000</v>
      </c>
      <c r="AO161" s="172">
        <f ca="1">IF(OR($D161&lt;&gt;"Serviço",AND(AUTOEVENTO="Manual",$M161=$A$15)),0,
         IF(OFFSET(CRONOPLE!$F$15,$M161-$A$15,AO$13)="",10^12,OFFSET(CRONOPLE!$F$15,$M161-$A$15,AO$13)))</f>
        <v>1000000000000</v>
      </c>
      <c r="AP161" s="172">
        <f ca="1">IF(OR($D161&lt;&gt;"Serviço",AND(AUTOEVENTO="Manual",$M161=$A$15)),0,
         IF(OFFSET(CRONOPLE!$F$15,$M161-$A$15,AP$13)="",10^12,OFFSET(CRONOPLE!$F$15,$M161-$A$15,AP$13)))</f>
        <v>1000000000000</v>
      </c>
      <c r="AQ161" s="172">
        <f ca="1">IF(OR($D161&lt;&gt;"Serviço",AND(AUTOEVENTO="Manual",$M161=$A$15)),0,
         IF(OFFSET(CRONOPLE!$F$15,$M161-$A$15,AQ$13)="",10^12,OFFSET(CRONOPLE!$F$15,$M161-$A$15,AQ$13)))</f>
        <v>1000000000000</v>
      </c>
      <c r="AR161" s="172">
        <f ca="1">IF(OR($D161&lt;&gt;"Serviço",AND(AUTOEVENTO="Manual",$M161=$A$15)),0,
         IF(OFFSET(CRONOPLE!$F$15,$M161-$A$15,AR$13)="",10^12,OFFSET(CRONOPLE!$F$15,$M161-$A$15,AR$13)))</f>
        <v>1000000000000</v>
      </c>
      <c r="AS161" s="172">
        <f ca="1">IF(OR($D161&lt;&gt;"Serviço",AND(AUTOEVENTO="Manual",$M161=$A$15)),0,
         IF(OFFSET(CRONOPLE!$F$15,$M161-$A$15,AS$13)="",10^12,OFFSET(CRONOPLE!$F$15,$M161-$A$15,AS$13)))</f>
        <v>1000000000000</v>
      </c>
      <c r="AT161" s="172">
        <f ca="1">IF(OR($D161&lt;&gt;"Serviço",AND(AUTOEVENTO="Manual",$M161=$A$15)),0,
         IF(OFFSET(CRONOPLE!$F$15,$M161-$A$15,AT$13)="",10^12,OFFSET(CRONOPLE!$F$15,$M161-$A$15,AT$13)))</f>
        <v>1000000000000</v>
      </c>
      <c r="AU161" s="172">
        <f ca="1">IF(OR($D161&lt;&gt;"Serviço",AND(AUTOEVENTO="Manual",$M161=$A$15)),0,
         IF(OFFSET(CRONOPLE!$F$15,$M161-$A$15,AU$13)="",10^12,OFFSET(CRONOPLE!$F$15,$M161-$A$15,AU$13)))</f>
        <v>1000000000000</v>
      </c>
      <c r="AV161" s="172">
        <f ca="1">IF(OR($D161&lt;&gt;"Serviço",AND(AUTOEVENTO="Manual",$M161=$A$15)),0,
         IF(OFFSET(CRONOPLE!$F$15,$M161-$A$15,AV$13)="",10^12,OFFSET(CRONOPLE!$F$15,$M161-$A$15,AV$13)))</f>
        <v>1000000000000</v>
      </c>
      <c r="AX161" s="173">
        <f ca="1">IF(OR($D161&lt;&gt;"Serviço",AND(AUTOEVENTO="Manual",$M161=$A$15),$M161&gt;(ROW(PLE.lastrow)-ROW(PLE.firstrow))),0,
           IF(OFFSET(PLE!$G$15,$M161-$A$15,AX$13)="",10^12,OFFSET(PLE!$G$15,$M161-$A$15,AX$13)))</f>
        <v>1000000000000</v>
      </c>
      <c r="AY161" s="173">
        <f ca="1">IF(OR($D161&lt;&gt;"Serviço",AND(AUTOEVENTO="Manual",$M161=$A$15),$M161&gt;(ROW(PLE.lastrow)-ROW(PLE.firstrow))),0,
           IF(OFFSET(PLE!$G$15,$M161-$A$15,AY$13)="",10^12,OFFSET(PLE!$G$15,$M161-$A$15,AY$13)))</f>
        <v>1000000000000</v>
      </c>
      <c r="AZ161" s="173">
        <f ca="1">IF(OR($D161&lt;&gt;"Serviço",AND(AUTOEVENTO="Manual",$M161=$A$15),$M161&gt;(ROW(PLE.lastrow)-ROW(PLE.firstrow))),0,
           IF(OFFSET(PLE!$G$15,$M161-$A$15,AZ$13)="",10^12,OFFSET(PLE!$G$15,$M161-$A$15,AZ$13)))</f>
        <v>1000000000000</v>
      </c>
      <c r="BA161" s="173">
        <f ca="1">IF(OR($D161&lt;&gt;"Serviço",AND(AUTOEVENTO="Manual",$M161=$A$15),$M161&gt;(ROW(PLE.lastrow)-ROW(PLE.firstrow))),0,
           IF(OFFSET(PLE!$G$15,$M161-$A$15,BA$13)="",10^12,OFFSET(PLE!$G$15,$M161-$A$15,BA$13)))</f>
        <v>1000000000000</v>
      </c>
      <c r="BB161" s="173">
        <f ca="1">IF(OR($D161&lt;&gt;"Serviço",AND(AUTOEVENTO="Manual",$M161=$A$15),$M161&gt;(ROW(PLE.lastrow)-ROW(PLE.firstrow))),0,
           IF(OFFSET(PLE!$G$15,$M161-$A$15,BB$13)="",10^12,OFFSET(PLE!$G$15,$M161-$A$15,BB$13)))</f>
        <v>1000000000000</v>
      </c>
      <c r="BC161" s="173">
        <f ca="1">IF(OR($D161&lt;&gt;"Serviço",AND(AUTOEVENTO="Manual",$M161=$A$15),$M161&gt;(ROW(PLE.lastrow)-ROW(PLE.firstrow))),0,
           IF(OFFSET(PLE!$G$15,$M161-$A$15,BC$13)="",10^12,OFFSET(PLE!$G$15,$M161-$A$15,BC$13)))</f>
        <v>1000000000000</v>
      </c>
      <c r="BD161" s="173">
        <f ca="1">IF(OR($D161&lt;&gt;"Serviço",AND(AUTOEVENTO="Manual",$M161=$A$15),$M161&gt;(ROW(PLE.lastrow)-ROW(PLE.firstrow))),0,
           IF(OFFSET(PLE!$G$15,$M161-$A$15,BD$13)="",10^12,OFFSET(PLE!$G$15,$M161-$A$15,BD$13)))</f>
        <v>1000000000000</v>
      </c>
      <c r="BE161" s="173">
        <f ca="1">IF(OR($D161&lt;&gt;"Serviço",AND(AUTOEVENTO="Manual",$M161=$A$15),$M161&gt;(ROW(PLE.lastrow)-ROW(PLE.firstrow))),0,
           IF(OFFSET(PLE!$G$15,$M161-$A$15,BE$13)="",10^12,OFFSET(PLE!$G$15,$M161-$A$15,BE$13)))</f>
        <v>1000000000000</v>
      </c>
      <c r="BF161" s="173">
        <f ca="1">IF(OR($D161&lt;&gt;"Serviço",AND(AUTOEVENTO="Manual",$M161=$A$15),$M161&gt;(ROW(PLE.lastrow)-ROW(PLE.firstrow))),0,
           IF(OFFSET(PLE!$G$15,$M161-$A$15,BF$13)="",10^12,OFFSET(PLE!$G$15,$M161-$A$15,BF$13)))</f>
        <v>1000000000000</v>
      </c>
      <c r="BG161" s="173">
        <f ca="1">IF(OR($D161&lt;&gt;"Serviço",AND(AUTOEVENTO="Manual",$M161=$A$15),$M161&gt;(ROW(PLE.lastrow)-ROW(PLE.firstrow))),0,
           IF(OFFSET(PLE!$G$15,$M161-$A$15,BG$13)="",10^12,OFFSET(PLE!$G$15,$M161-$A$15,BG$13)))</f>
        <v>1000000000000</v>
      </c>
    </row>
    <row r="162" spans="1:59" ht="38.25" x14ac:dyDescent="0.2">
      <c r="A162" s="7" t="str">
        <f t="shared" ca="1" si="10"/>
        <v>114</v>
      </c>
      <c r="B162" s="7" t="str">
        <f ca="1">OFFSET(ORÇAMENTO!C$15,ROW(B162)-ROW(B$15),0)</f>
        <v>S</v>
      </c>
      <c r="C162" s="7" t="str">
        <f ca="1">OFFSET(ORÇAMENTO!L$15,ROW(C162)-ROW(C$15),0)</f>
        <v/>
      </c>
      <c r="D162" s="117" t="str">
        <f ca="1">OFFSET(ORÇAMENTO!N$15,ROW(D162)-ROW(D$15),0)</f>
        <v>Serviço</v>
      </c>
      <c r="E162" s="118" t="str">
        <f ca="1">OFFSET(ORÇAMENTO!O$15,ROW(E162)-ROW(E$15),0)</f>
        <v>-</v>
      </c>
      <c r="F162" s="164" t="str">
        <f ca="1">OFFSET(ORÇAMENTO!R$15,ROW(F162)-ROW(F$15),0)</f>
        <v>REDUÇÃO EXCÊNTRICA, PVC, SERIE R, ÁGUA PLUVIAL, DN 75 X 50 MM, JUNTA ELÁSTICA, FORNECIDO E INSTALADO EM RAMAL DE ENCAMINHAMENTO. AF_06/2022</v>
      </c>
      <c r="G162" s="165" t="str">
        <f ca="1">IF($D162&lt;&gt;"Serviço","",OFFSET(ORÇAMENTO!S$15,ROW(G162)-ROW(G$15),0))</f>
        <v>UN</v>
      </c>
      <c r="H162" s="123">
        <f ca="1">IF($D162&lt;&gt;"Serviço",0,IF(ACOMPANHAMENTO="BM",ROUND(OFFSET(ORÇAMENTO!AJ$15,ROW(H162)-ROW(H$15),0),15-13*ORÇAMENTO!$AF$7),SUMPRODUCT(($Q$1:$AA$1=1)*ROUND($Q162:$AA162,15-13*ORÇAMENTO!$AF$7))))</f>
        <v>3</v>
      </c>
      <c r="I162" s="469"/>
      <c r="J162" s="577" t="str" cm="1">
        <f t="array" aca="1" ref="J162" ca="1">IF(B162&lt;&gt;"S","",IF(AND(ACOMPANHAMENTO="PLE",AUTOEVENTO="Manual",OR(H162&gt;0,ORÇAMENTO!AC162="QUANT."),OR(K162="",M162=0,N162="")),"►",IF(AND(ACOMPANHAMENTO="PLE",ORÇAMENTO!AC162="QUANT."),"►►",IF(AND(COUNTIF($P$11:$AA$11,"▼")=0,H162&gt;0,I162=""),"◄",""))))</f>
        <v>◄</v>
      </c>
      <c r="K162" s="626"/>
      <c r="L162" s="166" t="s">
        <v>765</v>
      </c>
      <c r="M162" s="167">
        <f ca="1">IF($D162&lt;&gt;"Serviço","",
          IF(AUTOEVENTO="manual",$A162,
                IF(ISERROR(MATCH($A162,$A$15:OFFSET($A162,-1,0),0)),MAX($M$15:OFFSET(M162,-1,0))+1,
                      INDEX($M$15:OFFSET(M162,-1,0),MATCH($A162,$A$15:OFFSET($A162,-1,0),0)))))</f>
        <v>11</v>
      </c>
      <c r="N162" s="168" t="str">
        <f ca="1">IF($D162&lt;&gt;"Serviço","",
         IF(AUTOEVENTO="Manual",
                IF($A162=0,"&lt;-- defina o número do agrupador",
                       OFFSET(EVENTOS!$D$15,$A162-$A$15,0)),
                OFFSET($F$15,$A162,0)))</f>
        <v>INSTALAÇÕES HIDROSSANITÁRIAS</v>
      </c>
      <c r="O162" s="169"/>
      <c r="Q162" s="169"/>
      <c r="R162" s="170"/>
      <c r="S162" s="170"/>
      <c r="T162" s="170"/>
      <c r="U162" s="170"/>
      <c r="V162" s="170"/>
      <c r="W162" s="170"/>
      <c r="X162" s="170"/>
      <c r="Y162" s="170"/>
      <c r="Z162" s="171"/>
      <c r="AB162" s="454">
        <f ca="1">IF(AND($D162="Serviço",AB$12&lt;&gt;0,$H162&gt;0,OR(AUTOEVENTO&lt;&gt;"manual",$M162&lt;&gt;$A$15)),
        IF(Import.TipoArredondamento&lt;&gt;"TransfereGOV",
              ROUND(OFFSET($P162,0,AB$13),15-13*ORÇAMENTO!$AF$7)/$H162*OFFSET(ORÇAMENTO!$X$15,ROW(AB162)-ROW(AB$15),0),
              ROUND(ROUND(OFFSET($P162,0,AB$13),15-13*ORÇAMENTO!$AF$7)*OFFSET(ORÇAMENTO!$W$15,ROW(AB162)-ROW(AB$15),0),15-13*ORÇAMENTO!$AF$11)),
         0)</f>
        <v>0</v>
      </c>
      <c r="AC162" s="454">
        <f ca="1">IF(AND($D162="Serviço",AC$12&lt;&gt;0,$H162&gt;0,OR(AUTOEVENTO&lt;&gt;"manual",$M162&lt;&gt;$A$15)),
        IF(Import.TipoArredondamento&lt;&gt;"TransfereGOV",
              ROUND(OFFSET($P162,0,AC$13),15-13*ORÇAMENTO!$AF$7)/$H162*OFFSET(ORÇAMENTO!$X$15,ROW(AC162)-ROW(AC$15),0),
              ROUND(ROUND(OFFSET($P162,0,AC$13),15-13*ORÇAMENTO!$AF$7)*OFFSET(ORÇAMENTO!$W$15,ROW(AC162)-ROW(AC$15),0),15-13*ORÇAMENTO!$AF$11)),
         0)</f>
        <v>0</v>
      </c>
      <c r="AD162" s="454">
        <f ca="1">IF(AND($D162="Serviço",AD$12&lt;&gt;0,$H162&gt;0,OR(AUTOEVENTO&lt;&gt;"manual",$M162&lt;&gt;$A$15)),
        IF(Import.TipoArredondamento&lt;&gt;"TransfereGOV",
              ROUND(OFFSET($P162,0,AD$13),15-13*ORÇAMENTO!$AF$7)/$H162*OFFSET(ORÇAMENTO!$X$15,ROW(AD162)-ROW(AD$15),0),
              ROUND(ROUND(OFFSET($P162,0,AD$13),15-13*ORÇAMENTO!$AF$7)*OFFSET(ORÇAMENTO!$W$15,ROW(AD162)-ROW(AD$15),0),15-13*ORÇAMENTO!$AF$11)),
         0)</f>
        <v>0</v>
      </c>
      <c r="AE162" s="454">
        <f ca="1">IF(AND($D162="Serviço",AE$12&lt;&gt;0,$H162&gt;0,OR(AUTOEVENTO&lt;&gt;"manual",$M162&lt;&gt;$A$15)),
        IF(Import.TipoArredondamento&lt;&gt;"TransfereGOV",
              ROUND(OFFSET($P162,0,AE$13),15-13*ORÇAMENTO!$AF$7)/$H162*OFFSET(ORÇAMENTO!$X$15,ROW(AE162)-ROW(AE$15),0),
              ROUND(ROUND(OFFSET($P162,0,AE$13),15-13*ORÇAMENTO!$AF$7)*OFFSET(ORÇAMENTO!$W$15,ROW(AE162)-ROW(AE$15),0),15-13*ORÇAMENTO!$AF$11)),
         0)</f>
        <v>0</v>
      </c>
      <c r="AF162" s="454">
        <f ca="1">IF(AND($D162="Serviço",AF$12&lt;&gt;0,$H162&gt;0,OR(AUTOEVENTO&lt;&gt;"manual",$M162&lt;&gt;$A$15)),
        IF(Import.TipoArredondamento&lt;&gt;"TransfereGOV",
              ROUND(OFFSET($P162,0,AF$13),15-13*ORÇAMENTO!$AF$7)/$H162*OFFSET(ORÇAMENTO!$X$15,ROW(AF162)-ROW(AF$15),0),
              ROUND(ROUND(OFFSET($P162,0,AF$13),15-13*ORÇAMENTO!$AF$7)*OFFSET(ORÇAMENTO!$W$15,ROW(AF162)-ROW(AF$15),0),15-13*ORÇAMENTO!$AF$11)),
         0)</f>
        <v>0</v>
      </c>
      <c r="AG162" s="454">
        <f ca="1">IF(AND($D162="Serviço",AG$12&lt;&gt;0,$H162&gt;0,OR(AUTOEVENTO&lt;&gt;"manual",$M162&lt;&gt;$A$15)),
        IF(Import.TipoArredondamento&lt;&gt;"TransfereGOV",
              ROUND(OFFSET($P162,0,AG$13),15-13*ORÇAMENTO!$AF$7)/$H162*OFFSET(ORÇAMENTO!$X$15,ROW(AG162)-ROW(AG$15),0),
              ROUND(ROUND(OFFSET($P162,0,AG$13),15-13*ORÇAMENTO!$AF$7)*OFFSET(ORÇAMENTO!$W$15,ROW(AG162)-ROW(AG$15),0),15-13*ORÇAMENTO!$AF$11)),
         0)</f>
        <v>0</v>
      </c>
      <c r="AH162" s="454">
        <f ca="1">IF(AND($D162="Serviço",AH$12&lt;&gt;0,$H162&gt;0,OR(AUTOEVENTO&lt;&gt;"manual",$M162&lt;&gt;$A$15)),
        IF(Import.TipoArredondamento&lt;&gt;"TransfereGOV",
              ROUND(OFFSET($P162,0,AH$13),15-13*ORÇAMENTO!$AF$7)/$H162*OFFSET(ORÇAMENTO!$X$15,ROW(AH162)-ROW(AH$15),0),
              ROUND(ROUND(OFFSET($P162,0,AH$13),15-13*ORÇAMENTO!$AF$7)*OFFSET(ORÇAMENTO!$W$15,ROW(AH162)-ROW(AH$15),0),15-13*ORÇAMENTO!$AF$11)),
         0)</f>
        <v>0</v>
      </c>
      <c r="AI162" s="454">
        <f ca="1">IF(AND($D162="Serviço",AI$12&lt;&gt;0,$H162&gt;0,OR(AUTOEVENTO&lt;&gt;"manual",$M162&lt;&gt;$A$15)),
        IF(Import.TipoArredondamento&lt;&gt;"TransfereGOV",
              ROUND(OFFSET($P162,0,AI$13),15-13*ORÇAMENTO!$AF$7)/$H162*OFFSET(ORÇAMENTO!$X$15,ROW(AI162)-ROW(AI$15),0),
              ROUND(ROUND(OFFSET($P162,0,AI$13),15-13*ORÇAMENTO!$AF$7)*OFFSET(ORÇAMENTO!$W$15,ROW(AI162)-ROW(AI$15),0),15-13*ORÇAMENTO!$AF$11)),
         0)</f>
        <v>0</v>
      </c>
      <c r="AJ162" s="454">
        <f ca="1">IF(AND($D162="Serviço",AJ$12&lt;&gt;0,$H162&gt;0,OR(AUTOEVENTO&lt;&gt;"manual",$M162&lt;&gt;$A$15)),
        IF(Import.TipoArredondamento&lt;&gt;"TransfereGOV",
              ROUND(OFFSET($P162,0,AJ$13),15-13*ORÇAMENTO!$AF$7)/$H162*OFFSET(ORÇAMENTO!$X$15,ROW(AJ162)-ROW(AJ$15),0),
              ROUND(ROUND(OFFSET($P162,0,AJ$13),15-13*ORÇAMENTO!$AF$7)*OFFSET(ORÇAMENTO!$W$15,ROW(AJ162)-ROW(AJ$15),0),15-13*ORÇAMENTO!$AF$11)),
         0)</f>
        <v>0</v>
      </c>
      <c r="AK162" s="454">
        <f ca="1">IF(AND($D162="Serviço",AK$12&lt;&gt;0,$H162&gt;0,OR(AUTOEVENTO&lt;&gt;"manual",$M162&lt;&gt;$A$15)),
        IF(Import.TipoArredondamento&lt;&gt;"TransfereGOV",
              ROUND(OFFSET($P162,0,AK$13),15-13*ORÇAMENTO!$AF$7)/$H162*OFFSET(ORÇAMENTO!$X$15,ROW(AK162)-ROW(AK$15),0),
              ROUND(ROUND(OFFSET($P162,0,AK$13),15-13*ORÇAMENTO!$AF$7)*OFFSET(ORÇAMENTO!$W$15,ROW(AK162)-ROW(AK$15),0),15-13*ORÇAMENTO!$AF$11)),
         0)</f>
        <v>0</v>
      </c>
      <c r="AM162" s="172">
        <f ca="1">IF(OR($D162&lt;&gt;"Serviço",AND(AUTOEVENTO="Manual",$M162=$A$15)),0,
         IF(OFFSET(CRONOPLE!$F$15,$M162-$A$15,AM$13)="",10^12,OFFSET(CRONOPLE!$F$15,$M162-$A$15,AM$13)))</f>
        <v>1000000000000</v>
      </c>
      <c r="AN162" s="172">
        <f ca="1">IF(OR($D162&lt;&gt;"Serviço",AND(AUTOEVENTO="Manual",$M162=$A$15)),0,
         IF(OFFSET(CRONOPLE!$F$15,$M162-$A$15,AN$13)="",10^12,OFFSET(CRONOPLE!$F$15,$M162-$A$15,AN$13)))</f>
        <v>1000000000000</v>
      </c>
      <c r="AO162" s="172">
        <f ca="1">IF(OR($D162&lt;&gt;"Serviço",AND(AUTOEVENTO="Manual",$M162=$A$15)),0,
         IF(OFFSET(CRONOPLE!$F$15,$M162-$A$15,AO$13)="",10^12,OFFSET(CRONOPLE!$F$15,$M162-$A$15,AO$13)))</f>
        <v>1000000000000</v>
      </c>
      <c r="AP162" s="172">
        <f ca="1">IF(OR($D162&lt;&gt;"Serviço",AND(AUTOEVENTO="Manual",$M162=$A$15)),0,
         IF(OFFSET(CRONOPLE!$F$15,$M162-$A$15,AP$13)="",10^12,OFFSET(CRONOPLE!$F$15,$M162-$A$15,AP$13)))</f>
        <v>1000000000000</v>
      </c>
      <c r="AQ162" s="172">
        <f ca="1">IF(OR($D162&lt;&gt;"Serviço",AND(AUTOEVENTO="Manual",$M162=$A$15)),0,
         IF(OFFSET(CRONOPLE!$F$15,$M162-$A$15,AQ$13)="",10^12,OFFSET(CRONOPLE!$F$15,$M162-$A$15,AQ$13)))</f>
        <v>1000000000000</v>
      </c>
      <c r="AR162" s="172">
        <f ca="1">IF(OR($D162&lt;&gt;"Serviço",AND(AUTOEVENTO="Manual",$M162=$A$15)),0,
         IF(OFFSET(CRONOPLE!$F$15,$M162-$A$15,AR$13)="",10^12,OFFSET(CRONOPLE!$F$15,$M162-$A$15,AR$13)))</f>
        <v>1000000000000</v>
      </c>
      <c r="AS162" s="172">
        <f ca="1">IF(OR($D162&lt;&gt;"Serviço",AND(AUTOEVENTO="Manual",$M162=$A$15)),0,
         IF(OFFSET(CRONOPLE!$F$15,$M162-$A$15,AS$13)="",10^12,OFFSET(CRONOPLE!$F$15,$M162-$A$15,AS$13)))</f>
        <v>1000000000000</v>
      </c>
      <c r="AT162" s="172">
        <f ca="1">IF(OR($D162&lt;&gt;"Serviço",AND(AUTOEVENTO="Manual",$M162=$A$15)),0,
         IF(OFFSET(CRONOPLE!$F$15,$M162-$A$15,AT$13)="",10^12,OFFSET(CRONOPLE!$F$15,$M162-$A$15,AT$13)))</f>
        <v>1000000000000</v>
      </c>
      <c r="AU162" s="172">
        <f ca="1">IF(OR($D162&lt;&gt;"Serviço",AND(AUTOEVENTO="Manual",$M162=$A$15)),0,
         IF(OFFSET(CRONOPLE!$F$15,$M162-$A$15,AU$13)="",10^12,OFFSET(CRONOPLE!$F$15,$M162-$A$15,AU$13)))</f>
        <v>1000000000000</v>
      </c>
      <c r="AV162" s="172">
        <f ca="1">IF(OR($D162&lt;&gt;"Serviço",AND(AUTOEVENTO="Manual",$M162=$A$15)),0,
         IF(OFFSET(CRONOPLE!$F$15,$M162-$A$15,AV$13)="",10^12,OFFSET(CRONOPLE!$F$15,$M162-$A$15,AV$13)))</f>
        <v>1000000000000</v>
      </c>
      <c r="AX162" s="173">
        <f ca="1">IF(OR($D162&lt;&gt;"Serviço",AND(AUTOEVENTO="Manual",$M162=$A$15),$M162&gt;(ROW(PLE.lastrow)-ROW(PLE.firstrow))),0,
           IF(OFFSET(PLE!$G$15,$M162-$A$15,AX$13)="",10^12,OFFSET(PLE!$G$15,$M162-$A$15,AX$13)))</f>
        <v>1000000000000</v>
      </c>
      <c r="AY162" s="173">
        <f ca="1">IF(OR($D162&lt;&gt;"Serviço",AND(AUTOEVENTO="Manual",$M162=$A$15),$M162&gt;(ROW(PLE.lastrow)-ROW(PLE.firstrow))),0,
           IF(OFFSET(PLE!$G$15,$M162-$A$15,AY$13)="",10^12,OFFSET(PLE!$G$15,$M162-$A$15,AY$13)))</f>
        <v>1000000000000</v>
      </c>
      <c r="AZ162" s="173">
        <f ca="1">IF(OR($D162&lt;&gt;"Serviço",AND(AUTOEVENTO="Manual",$M162=$A$15),$M162&gt;(ROW(PLE.lastrow)-ROW(PLE.firstrow))),0,
           IF(OFFSET(PLE!$G$15,$M162-$A$15,AZ$13)="",10^12,OFFSET(PLE!$G$15,$M162-$A$15,AZ$13)))</f>
        <v>1000000000000</v>
      </c>
      <c r="BA162" s="173">
        <f ca="1">IF(OR($D162&lt;&gt;"Serviço",AND(AUTOEVENTO="Manual",$M162=$A$15),$M162&gt;(ROW(PLE.lastrow)-ROW(PLE.firstrow))),0,
           IF(OFFSET(PLE!$G$15,$M162-$A$15,BA$13)="",10^12,OFFSET(PLE!$G$15,$M162-$A$15,BA$13)))</f>
        <v>1000000000000</v>
      </c>
      <c r="BB162" s="173">
        <f ca="1">IF(OR($D162&lt;&gt;"Serviço",AND(AUTOEVENTO="Manual",$M162=$A$15),$M162&gt;(ROW(PLE.lastrow)-ROW(PLE.firstrow))),0,
           IF(OFFSET(PLE!$G$15,$M162-$A$15,BB$13)="",10^12,OFFSET(PLE!$G$15,$M162-$A$15,BB$13)))</f>
        <v>1000000000000</v>
      </c>
      <c r="BC162" s="173">
        <f ca="1">IF(OR($D162&lt;&gt;"Serviço",AND(AUTOEVENTO="Manual",$M162=$A$15),$M162&gt;(ROW(PLE.lastrow)-ROW(PLE.firstrow))),0,
           IF(OFFSET(PLE!$G$15,$M162-$A$15,BC$13)="",10^12,OFFSET(PLE!$G$15,$M162-$A$15,BC$13)))</f>
        <v>1000000000000</v>
      </c>
      <c r="BD162" s="173">
        <f ca="1">IF(OR($D162&lt;&gt;"Serviço",AND(AUTOEVENTO="Manual",$M162=$A$15),$M162&gt;(ROW(PLE.lastrow)-ROW(PLE.firstrow))),0,
           IF(OFFSET(PLE!$G$15,$M162-$A$15,BD$13)="",10^12,OFFSET(PLE!$G$15,$M162-$A$15,BD$13)))</f>
        <v>1000000000000</v>
      </c>
      <c r="BE162" s="173">
        <f ca="1">IF(OR($D162&lt;&gt;"Serviço",AND(AUTOEVENTO="Manual",$M162=$A$15),$M162&gt;(ROW(PLE.lastrow)-ROW(PLE.firstrow))),0,
           IF(OFFSET(PLE!$G$15,$M162-$A$15,BE$13)="",10^12,OFFSET(PLE!$G$15,$M162-$A$15,BE$13)))</f>
        <v>1000000000000</v>
      </c>
      <c r="BF162" s="173">
        <f ca="1">IF(OR($D162&lt;&gt;"Serviço",AND(AUTOEVENTO="Manual",$M162=$A$15),$M162&gt;(ROW(PLE.lastrow)-ROW(PLE.firstrow))),0,
           IF(OFFSET(PLE!$G$15,$M162-$A$15,BF$13)="",10^12,OFFSET(PLE!$G$15,$M162-$A$15,BF$13)))</f>
        <v>1000000000000</v>
      </c>
      <c r="BG162" s="173">
        <f ca="1">IF(OR($D162&lt;&gt;"Serviço",AND(AUTOEVENTO="Manual",$M162=$A$15),$M162&gt;(ROW(PLE.lastrow)-ROW(PLE.firstrow))),0,
           IF(OFFSET(PLE!$G$15,$M162-$A$15,BG$13)="",10^12,OFFSET(PLE!$G$15,$M162-$A$15,BG$13)))</f>
        <v>1000000000000</v>
      </c>
    </row>
    <row r="163" spans="1:59" ht="38.25" x14ac:dyDescent="0.2">
      <c r="A163" s="7" t="str">
        <f t="shared" ca="1" si="10"/>
        <v>114</v>
      </c>
      <c r="B163" s="7" t="str">
        <f ca="1">OFFSET(ORÇAMENTO!C$15,ROW(B163)-ROW(B$15),0)</f>
        <v>S</v>
      </c>
      <c r="C163" s="7" t="str">
        <f ca="1">OFFSET(ORÇAMENTO!L$15,ROW(C163)-ROW(C$15),0)</f>
        <v/>
      </c>
      <c r="D163" s="117" t="str">
        <f ca="1">OFFSET(ORÇAMENTO!N$15,ROW(D163)-ROW(D$15),0)</f>
        <v>Serviço</v>
      </c>
      <c r="E163" s="118" t="str">
        <f ca="1">OFFSET(ORÇAMENTO!O$15,ROW(E163)-ROW(E$15),0)</f>
        <v>-</v>
      </c>
      <c r="F163" s="164" t="str">
        <f ca="1">OFFSET(ORÇAMENTO!R$15,ROW(F163)-ROW(F$15),0)</f>
        <v>TERMINAL DE VENTILAÇÃO, PVC, SÉRIE NORMAL, ESGOTO PREDIAL, DN 50 MM, JUNTA SOLDÁVEL, FORNECIDO E INSTALADO EM PRUMADA DE ESGOTO SANITÁRIO OU VENTILAÇÃO. AF_08/2022</v>
      </c>
      <c r="G163" s="165" t="str">
        <f ca="1">IF($D163&lt;&gt;"Serviço","",OFFSET(ORÇAMENTO!S$15,ROW(G163)-ROW(G$15),0))</f>
        <v>UN</v>
      </c>
      <c r="H163" s="123">
        <f ca="1">IF($D163&lt;&gt;"Serviço",0,IF(ACOMPANHAMENTO="BM",ROUND(OFFSET(ORÇAMENTO!AJ$15,ROW(H163)-ROW(H$15),0),15-13*ORÇAMENTO!$AF$7),SUMPRODUCT(($Q$1:$AA$1=1)*ROUND($Q163:$AA163,15-13*ORÇAMENTO!$AF$7))))</f>
        <v>12</v>
      </c>
      <c r="I163" s="469"/>
      <c r="J163" s="577" t="str" cm="1">
        <f t="array" aca="1" ref="J163" ca="1">IF(B163&lt;&gt;"S","",IF(AND(ACOMPANHAMENTO="PLE",AUTOEVENTO="Manual",OR(H163&gt;0,ORÇAMENTO!AC163="QUANT."),OR(K163="",M163=0,N163="")),"►",IF(AND(ACOMPANHAMENTO="PLE",ORÇAMENTO!AC163="QUANT."),"►►",IF(AND(COUNTIF($P$11:$AA$11,"▼")=0,H163&gt;0,I163=""),"◄",""))))</f>
        <v>◄</v>
      </c>
      <c r="K163" s="626"/>
      <c r="L163" s="166" t="s">
        <v>765</v>
      </c>
      <c r="M163" s="167">
        <f ca="1">IF($D163&lt;&gt;"Serviço","",
          IF(AUTOEVENTO="manual",$A163,
                IF(ISERROR(MATCH($A163,$A$15:OFFSET($A163,-1,0),0)),MAX($M$15:OFFSET(M163,-1,0))+1,
                      INDEX($M$15:OFFSET(M163,-1,0),MATCH($A163,$A$15:OFFSET($A163,-1,0),0)))))</f>
        <v>11</v>
      </c>
      <c r="N163" s="168" t="str">
        <f ca="1">IF($D163&lt;&gt;"Serviço","",
         IF(AUTOEVENTO="Manual",
                IF($A163=0,"&lt;-- defina o número do agrupador",
                       OFFSET(EVENTOS!$D$15,$A163-$A$15,0)),
                OFFSET($F$15,$A163,0)))</f>
        <v>INSTALAÇÕES HIDROSSANITÁRIAS</v>
      </c>
      <c r="O163" s="169"/>
      <c r="Q163" s="169"/>
      <c r="R163" s="170"/>
      <c r="S163" s="170"/>
      <c r="T163" s="170"/>
      <c r="U163" s="170"/>
      <c r="V163" s="170"/>
      <c r="W163" s="170"/>
      <c r="X163" s="170"/>
      <c r="Y163" s="170"/>
      <c r="Z163" s="171"/>
      <c r="AB163" s="454">
        <f ca="1">IF(AND($D163="Serviço",AB$12&lt;&gt;0,$H163&gt;0,OR(AUTOEVENTO&lt;&gt;"manual",$M163&lt;&gt;$A$15)),
        IF(Import.TipoArredondamento&lt;&gt;"TransfereGOV",
              ROUND(OFFSET($P163,0,AB$13),15-13*ORÇAMENTO!$AF$7)/$H163*OFFSET(ORÇAMENTO!$X$15,ROW(AB163)-ROW(AB$15),0),
              ROUND(ROUND(OFFSET($P163,0,AB$13),15-13*ORÇAMENTO!$AF$7)*OFFSET(ORÇAMENTO!$W$15,ROW(AB163)-ROW(AB$15),0),15-13*ORÇAMENTO!$AF$11)),
         0)</f>
        <v>0</v>
      </c>
      <c r="AC163" s="454">
        <f ca="1">IF(AND($D163="Serviço",AC$12&lt;&gt;0,$H163&gt;0,OR(AUTOEVENTO&lt;&gt;"manual",$M163&lt;&gt;$A$15)),
        IF(Import.TipoArredondamento&lt;&gt;"TransfereGOV",
              ROUND(OFFSET($P163,0,AC$13),15-13*ORÇAMENTO!$AF$7)/$H163*OFFSET(ORÇAMENTO!$X$15,ROW(AC163)-ROW(AC$15),0),
              ROUND(ROUND(OFFSET($P163,0,AC$13),15-13*ORÇAMENTO!$AF$7)*OFFSET(ORÇAMENTO!$W$15,ROW(AC163)-ROW(AC$15),0),15-13*ORÇAMENTO!$AF$11)),
         0)</f>
        <v>0</v>
      </c>
      <c r="AD163" s="454">
        <f ca="1">IF(AND($D163="Serviço",AD$12&lt;&gt;0,$H163&gt;0,OR(AUTOEVENTO&lt;&gt;"manual",$M163&lt;&gt;$A$15)),
        IF(Import.TipoArredondamento&lt;&gt;"TransfereGOV",
              ROUND(OFFSET($P163,0,AD$13),15-13*ORÇAMENTO!$AF$7)/$H163*OFFSET(ORÇAMENTO!$X$15,ROW(AD163)-ROW(AD$15),0),
              ROUND(ROUND(OFFSET($P163,0,AD$13),15-13*ORÇAMENTO!$AF$7)*OFFSET(ORÇAMENTO!$W$15,ROW(AD163)-ROW(AD$15),0),15-13*ORÇAMENTO!$AF$11)),
         0)</f>
        <v>0</v>
      </c>
      <c r="AE163" s="454">
        <f ca="1">IF(AND($D163="Serviço",AE$12&lt;&gt;0,$H163&gt;0,OR(AUTOEVENTO&lt;&gt;"manual",$M163&lt;&gt;$A$15)),
        IF(Import.TipoArredondamento&lt;&gt;"TransfereGOV",
              ROUND(OFFSET($P163,0,AE$13),15-13*ORÇAMENTO!$AF$7)/$H163*OFFSET(ORÇAMENTO!$X$15,ROW(AE163)-ROW(AE$15),0),
              ROUND(ROUND(OFFSET($P163,0,AE$13),15-13*ORÇAMENTO!$AF$7)*OFFSET(ORÇAMENTO!$W$15,ROW(AE163)-ROW(AE$15),0),15-13*ORÇAMENTO!$AF$11)),
         0)</f>
        <v>0</v>
      </c>
      <c r="AF163" s="454">
        <f ca="1">IF(AND($D163="Serviço",AF$12&lt;&gt;0,$H163&gt;0,OR(AUTOEVENTO&lt;&gt;"manual",$M163&lt;&gt;$A$15)),
        IF(Import.TipoArredondamento&lt;&gt;"TransfereGOV",
              ROUND(OFFSET($P163,0,AF$13),15-13*ORÇAMENTO!$AF$7)/$H163*OFFSET(ORÇAMENTO!$X$15,ROW(AF163)-ROW(AF$15),0),
              ROUND(ROUND(OFFSET($P163,0,AF$13),15-13*ORÇAMENTO!$AF$7)*OFFSET(ORÇAMENTO!$W$15,ROW(AF163)-ROW(AF$15),0),15-13*ORÇAMENTO!$AF$11)),
         0)</f>
        <v>0</v>
      </c>
      <c r="AG163" s="454">
        <f ca="1">IF(AND($D163="Serviço",AG$12&lt;&gt;0,$H163&gt;0,OR(AUTOEVENTO&lt;&gt;"manual",$M163&lt;&gt;$A$15)),
        IF(Import.TipoArredondamento&lt;&gt;"TransfereGOV",
              ROUND(OFFSET($P163,0,AG$13),15-13*ORÇAMENTO!$AF$7)/$H163*OFFSET(ORÇAMENTO!$X$15,ROW(AG163)-ROW(AG$15),0),
              ROUND(ROUND(OFFSET($P163,0,AG$13),15-13*ORÇAMENTO!$AF$7)*OFFSET(ORÇAMENTO!$W$15,ROW(AG163)-ROW(AG$15),0),15-13*ORÇAMENTO!$AF$11)),
         0)</f>
        <v>0</v>
      </c>
      <c r="AH163" s="454">
        <f ca="1">IF(AND($D163="Serviço",AH$12&lt;&gt;0,$H163&gt;0,OR(AUTOEVENTO&lt;&gt;"manual",$M163&lt;&gt;$A$15)),
        IF(Import.TipoArredondamento&lt;&gt;"TransfereGOV",
              ROUND(OFFSET($P163,0,AH$13),15-13*ORÇAMENTO!$AF$7)/$H163*OFFSET(ORÇAMENTO!$X$15,ROW(AH163)-ROW(AH$15),0),
              ROUND(ROUND(OFFSET($P163,0,AH$13),15-13*ORÇAMENTO!$AF$7)*OFFSET(ORÇAMENTO!$W$15,ROW(AH163)-ROW(AH$15),0),15-13*ORÇAMENTO!$AF$11)),
         0)</f>
        <v>0</v>
      </c>
      <c r="AI163" s="454">
        <f ca="1">IF(AND($D163="Serviço",AI$12&lt;&gt;0,$H163&gt;0,OR(AUTOEVENTO&lt;&gt;"manual",$M163&lt;&gt;$A$15)),
        IF(Import.TipoArredondamento&lt;&gt;"TransfereGOV",
              ROUND(OFFSET($P163,0,AI$13),15-13*ORÇAMENTO!$AF$7)/$H163*OFFSET(ORÇAMENTO!$X$15,ROW(AI163)-ROW(AI$15),0),
              ROUND(ROUND(OFFSET($P163,0,AI$13),15-13*ORÇAMENTO!$AF$7)*OFFSET(ORÇAMENTO!$W$15,ROW(AI163)-ROW(AI$15),0),15-13*ORÇAMENTO!$AF$11)),
         0)</f>
        <v>0</v>
      </c>
      <c r="AJ163" s="454">
        <f ca="1">IF(AND($D163="Serviço",AJ$12&lt;&gt;0,$H163&gt;0,OR(AUTOEVENTO&lt;&gt;"manual",$M163&lt;&gt;$A$15)),
        IF(Import.TipoArredondamento&lt;&gt;"TransfereGOV",
              ROUND(OFFSET($P163,0,AJ$13),15-13*ORÇAMENTO!$AF$7)/$H163*OFFSET(ORÇAMENTO!$X$15,ROW(AJ163)-ROW(AJ$15),0),
              ROUND(ROUND(OFFSET($P163,0,AJ$13),15-13*ORÇAMENTO!$AF$7)*OFFSET(ORÇAMENTO!$W$15,ROW(AJ163)-ROW(AJ$15),0),15-13*ORÇAMENTO!$AF$11)),
         0)</f>
        <v>0</v>
      </c>
      <c r="AK163" s="454">
        <f ca="1">IF(AND($D163="Serviço",AK$12&lt;&gt;0,$H163&gt;0,OR(AUTOEVENTO&lt;&gt;"manual",$M163&lt;&gt;$A$15)),
        IF(Import.TipoArredondamento&lt;&gt;"TransfereGOV",
              ROUND(OFFSET($P163,0,AK$13),15-13*ORÇAMENTO!$AF$7)/$H163*OFFSET(ORÇAMENTO!$X$15,ROW(AK163)-ROW(AK$15),0),
              ROUND(ROUND(OFFSET($P163,0,AK$13),15-13*ORÇAMENTO!$AF$7)*OFFSET(ORÇAMENTO!$W$15,ROW(AK163)-ROW(AK$15),0),15-13*ORÇAMENTO!$AF$11)),
         0)</f>
        <v>0</v>
      </c>
      <c r="AM163" s="172">
        <f ca="1">IF(OR($D163&lt;&gt;"Serviço",AND(AUTOEVENTO="Manual",$M163=$A$15)),0,
         IF(OFFSET(CRONOPLE!$F$15,$M163-$A$15,AM$13)="",10^12,OFFSET(CRONOPLE!$F$15,$M163-$A$15,AM$13)))</f>
        <v>1000000000000</v>
      </c>
      <c r="AN163" s="172">
        <f ca="1">IF(OR($D163&lt;&gt;"Serviço",AND(AUTOEVENTO="Manual",$M163=$A$15)),0,
         IF(OFFSET(CRONOPLE!$F$15,$M163-$A$15,AN$13)="",10^12,OFFSET(CRONOPLE!$F$15,$M163-$A$15,AN$13)))</f>
        <v>1000000000000</v>
      </c>
      <c r="AO163" s="172">
        <f ca="1">IF(OR($D163&lt;&gt;"Serviço",AND(AUTOEVENTO="Manual",$M163=$A$15)),0,
         IF(OFFSET(CRONOPLE!$F$15,$M163-$A$15,AO$13)="",10^12,OFFSET(CRONOPLE!$F$15,$M163-$A$15,AO$13)))</f>
        <v>1000000000000</v>
      </c>
      <c r="AP163" s="172">
        <f ca="1">IF(OR($D163&lt;&gt;"Serviço",AND(AUTOEVENTO="Manual",$M163=$A$15)),0,
         IF(OFFSET(CRONOPLE!$F$15,$M163-$A$15,AP$13)="",10^12,OFFSET(CRONOPLE!$F$15,$M163-$A$15,AP$13)))</f>
        <v>1000000000000</v>
      </c>
      <c r="AQ163" s="172">
        <f ca="1">IF(OR($D163&lt;&gt;"Serviço",AND(AUTOEVENTO="Manual",$M163=$A$15)),0,
         IF(OFFSET(CRONOPLE!$F$15,$M163-$A$15,AQ$13)="",10^12,OFFSET(CRONOPLE!$F$15,$M163-$A$15,AQ$13)))</f>
        <v>1000000000000</v>
      </c>
      <c r="AR163" s="172">
        <f ca="1">IF(OR($D163&lt;&gt;"Serviço",AND(AUTOEVENTO="Manual",$M163=$A$15)),0,
         IF(OFFSET(CRONOPLE!$F$15,$M163-$A$15,AR$13)="",10^12,OFFSET(CRONOPLE!$F$15,$M163-$A$15,AR$13)))</f>
        <v>1000000000000</v>
      </c>
      <c r="AS163" s="172">
        <f ca="1">IF(OR($D163&lt;&gt;"Serviço",AND(AUTOEVENTO="Manual",$M163=$A$15)),0,
         IF(OFFSET(CRONOPLE!$F$15,$M163-$A$15,AS$13)="",10^12,OFFSET(CRONOPLE!$F$15,$M163-$A$15,AS$13)))</f>
        <v>1000000000000</v>
      </c>
      <c r="AT163" s="172">
        <f ca="1">IF(OR($D163&lt;&gt;"Serviço",AND(AUTOEVENTO="Manual",$M163=$A$15)),0,
         IF(OFFSET(CRONOPLE!$F$15,$M163-$A$15,AT$13)="",10^12,OFFSET(CRONOPLE!$F$15,$M163-$A$15,AT$13)))</f>
        <v>1000000000000</v>
      </c>
      <c r="AU163" s="172">
        <f ca="1">IF(OR($D163&lt;&gt;"Serviço",AND(AUTOEVENTO="Manual",$M163=$A$15)),0,
         IF(OFFSET(CRONOPLE!$F$15,$M163-$A$15,AU$13)="",10^12,OFFSET(CRONOPLE!$F$15,$M163-$A$15,AU$13)))</f>
        <v>1000000000000</v>
      </c>
      <c r="AV163" s="172">
        <f ca="1">IF(OR($D163&lt;&gt;"Serviço",AND(AUTOEVENTO="Manual",$M163=$A$15)),0,
         IF(OFFSET(CRONOPLE!$F$15,$M163-$A$15,AV$13)="",10^12,OFFSET(CRONOPLE!$F$15,$M163-$A$15,AV$13)))</f>
        <v>1000000000000</v>
      </c>
      <c r="AX163" s="173">
        <f ca="1">IF(OR($D163&lt;&gt;"Serviço",AND(AUTOEVENTO="Manual",$M163=$A$15),$M163&gt;(ROW(PLE.lastrow)-ROW(PLE.firstrow))),0,
           IF(OFFSET(PLE!$G$15,$M163-$A$15,AX$13)="",10^12,OFFSET(PLE!$G$15,$M163-$A$15,AX$13)))</f>
        <v>1000000000000</v>
      </c>
      <c r="AY163" s="173">
        <f ca="1">IF(OR($D163&lt;&gt;"Serviço",AND(AUTOEVENTO="Manual",$M163=$A$15),$M163&gt;(ROW(PLE.lastrow)-ROW(PLE.firstrow))),0,
           IF(OFFSET(PLE!$G$15,$M163-$A$15,AY$13)="",10^12,OFFSET(PLE!$G$15,$M163-$A$15,AY$13)))</f>
        <v>1000000000000</v>
      </c>
      <c r="AZ163" s="173">
        <f ca="1">IF(OR($D163&lt;&gt;"Serviço",AND(AUTOEVENTO="Manual",$M163=$A$15),$M163&gt;(ROW(PLE.lastrow)-ROW(PLE.firstrow))),0,
           IF(OFFSET(PLE!$G$15,$M163-$A$15,AZ$13)="",10^12,OFFSET(PLE!$G$15,$M163-$A$15,AZ$13)))</f>
        <v>1000000000000</v>
      </c>
      <c r="BA163" s="173">
        <f ca="1">IF(OR($D163&lt;&gt;"Serviço",AND(AUTOEVENTO="Manual",$M163=$A$15),$M163&gt;(ROW(PLE.lastrow)-ROW(PLE.firstrow))),0,
           IF(OFFSET(PLE!$G$15,$M163-$A$15,BA$13)="",10^12,OFFSET(PLE!$G$15,$M163-$A$15,BA$13)))</f>
        <v>1000000000000</v>
      </c>
      <c r="BB163" s="173">
        <f ca="1">IF(OR($D163&lt;&gt;"Serviço",AND(AUTOEVENTO="Manual",$M163=$A$15),$M163&gt;(ROW(PLE.lastrow)-ROW(PLE.firstrow))),0,
           IF(OFFSET(PLE!$G$15,$M163-$A$15,BB$13)="",10^12,OFFSET(PLE!$G$15,$M163-$A$15,BB$13)))</f>
        <v>1000000000000</v>
      </c>
      <c r="BC163" s="173">
        <f ca="1">IF(OR($D163&lt;&gt;"Serviço",AND(AUTOEVENTO="Manual",$M163=$A$15),$M163&gt;(ROW(PLE.lastrow)-ROW(PLE.firstrow))),0,
           IF(OFFSET(PLE!$G$15,$M163-$A$15,BC$13)="",10^12,OFFSET(PLE!$G$15,$M163-$A$15,BC$13)))</f>
        <v>1000000000000</v>
      </c>
      <c r="BD163" s="173">
        <f ca="1">IF(OR($D163&lt;&gt;"Serviço",AND(AUTOEVENTO="Manual",$M163=$A$15),$M163&gt;(ROW(PLE.lastrow)-ROW(PLE.firstrow))),0,
           IF(OFFSET(PLE!$G$15,$M163-$A$15,BD$13)="",10^12,OFFSET(PLE!$G$15,$M163-$A$15,BD$13)))</f>
        <v>1000000000000</v>
      </c>
      <c r="BE163" s="173">
        <f ca="1">IF(OR($D163&lt;&gt;"Serviço",AND(AUTOEVENTO="Manual",$M163=$A$15),$M163&gt;(ROW(PLE.lastrow)-ROW(PLE.firstrow))),0,
           IF(OFFSET(PLE!$G$15,$M163-$A$15,BE$13)="",10^12,OFFSET(PLE!$G$15,$M163-$A$15,BE$13)))</f>
        <v>1000000000000</v>
      </c>
      <c r="BF163" s="173">
        <f ca="1">IF(OR($D163&lt;&gt;"Serviço",AND(AUTOEVENTO="Manual",$M163=$A$15),$M163&gt;(ROW(PLE.lastrow)-ROW(PLE.firstrow))),0,
           IF(OFFSET(PLE!$G$15,$M163-$A$15,BF$13)="",10^12,OFFSET(PLE!$G$15,$M163-$A$15,BF$13)))</f>
        <v>1000000000000</v>
      </c>
      <c r="BG163" s="173">
        <f ca="1">IF(OR($D163&lt;&gt;"Serviço",AND(AUTOEVENTO="Manual",$M163=$A$15),$M163&gt;(ROW(PLE.lastrow)-ROW(PLE.firstrow))),0,
           IF(OFFSET(PLE!$G$15,$M163-$A$15,BG$13)="",10^12,OFFSET(PLE!$G$15,$M163-$A$15,BG$13)))</f>
        <v>1000000000000</v>
      </c>
    </row>
    <row r="164" spans="1:59" ht="38.25" x14ac:dyDescent="0.2">
      <c r="A164" s="7" t="str">
        <f t="shared" ca="1" si="10"/>
        <v>114</v>
      </c>
      <c r="B164" s="7" t="str">
        <f ca="1">OFFSET(ORÇAMENTO!C$15,ROW(B164)-ROW(B$15),0)</f>
        <v>S</v>
      </c>
      <c r="C164" s="7" t="str">
        <f ca="1">OFFSET(ORÇAMENTO!L$15,ROW(C164)-ROW(C$15),0)</f>
        <v/>
      </c>
      <c r="D164" s="117" t="str">
        <f ca="1">OFFSET(ORÇAMENTO!N$15,ROW(D164)-ROW(D$15),0)</f>
        <v>Serviço</v>
      </c>
      <c r="E164" s="118" t="str">
        <f ca="1">OFFSET(ORÇAMENTO!O$15,ROW(E164)-ROW(E$15),0)</f>
        <v>-</v>
      </c>
      <c r="F164" s="164" t="str">
        <f ca="1">OFFSET(ORÇAMENTO!R$15,ROW(F164)-ROW(F$15),0)</f>
        <v>TERMINAL DE VENTILAÇÃO, PVC, SÉRIE NORMAL, ESGOTO PREDIAL, DN 75 MM, JUNTA SOLDÁVEL, FORNECIDO E INSTALADO EM PRUMADA DE ESGOTO SANITÁRIO OU VENTILAÇÃO. AF_08/2022</v>
      </c>
      <c r="G164" s="165" t="str">
        <f ca="1">IF($D164&lt;&gt;"Serviço","",OFFSET(ORÇAMENTO!S$15,ROW(G164)-ROW(G$15),0))</f>
        <v>UN</v>
      </c>
      <c r="H164" s="123">
        <f ca="1">IF($D164&lt;&gt;"Serviço",0,IF(ACOMPANHAMENTO="BM",ROUND(OFFSET(ORÇAMENTO!AJ$15,ROW(H164)-ROW(H$15),0),15-13*ORÇAMENTO!$AF$7),SUMPRODUCT(($Q$1:$AA$1=1)*ROUND($Q164:$AA164,15-13*ORÇAMENTO!$AF$7))))</f>
        <v>5</v>
      </c>
      <c r="I164" s="469"/>
      <c r="J164" s="577" t="str" cm="1">
        <f t="array" aca="1" ref="J164" ca="1">IF(B164&lt;&gt;"S","",IF(AND(ACOMPANHAMENTO="PLE",AUTOEVENTO="Manual",OR(H164&gt;0,ORÇAMENTO!AC164="QUANT."),OR(K164="",M164=0,N164="")),"►",IF(AND(ACOMPANHAMENTO="PLE",ORÇAMENTO!AC164="QUANT."),"►►",IF(AND(COUNTIF($P$11:$AA$11,"▼")=0,H164&gt;0,I164=""),"◄",""))))</f>
        <v>◄</v>
      </c>
      <c r="K164" s="626"/>
      <c r="L164" s="166" t="s">
        <v>765</v>
      </c>
      <c r="M164" s="167">
        <f ca="1">IF($D164&lt;&gt;"Serviço","",
          IF(AUTOEVENTO="manual",$A164,
                IF(ISERROR(MATCH($A164,$A$15:OFFSET($A164,-1,0),0)),MAX($M$15:OFFSET(M164,-1,0))+1,
                      INDEX($M$15:OFFSET(M164,-1,0),MATCH($A164,$A$15:OFFSET($A164,-1,0),0)))))</f>
        <v>11</v>
      </c>
      <c r="N164" s="168" t="str">
        <f ca="1">IF($D164&lt;&gt;"Serviço","",
         IF(AUTOEVENTO="Manual",
                IF($A164=0,"&lt;-- defina o número do agrupador",
                       OFFSET(EVENTOS!$D$15,$A164-$A$15,0)),
                OFFSET($F$15,$A164,0)))</f>
        <v>INSTALAÇÕES HIDROSSANITÁRIAS</v>
      </c>
      <c r="O164" s="169"/>
      <c r="Q164" s="169"/>
      <c r="R164" s="170"/>
      <c r="S164" s="170"/>
      <c r="T164" s="170"/>
      <c r="U164" s="170"/>
      <c r="V164" s="170"/>
      <c r="W164" s="170"/>
      <c r="X164" s="170"/>
      <c r="Y164" s="170"/>
      <c r="Z164" s="171"/>
      <c r="AB164" s="454">
        <f ca="1">IF(AND($D164="Serviço",AB$12&lt;&gt;0,$H164&gt;0,OR(AUTOEVENTO&lt;&gt;"manual",$M164&lt;&gt;$A$15)),
        IF(Import.TipoArredondamento&lt;&gt;"TransfereGOV",
              ROUND(OFFSET($P164,0,AB$13),15-13*ORÇAMENTO!$AF$7)/$H164*OFFSET(ORÇAMENTO!$X$15,ROW(AB164)-ROW(AB$15),0),
              ROUND(ROUND(OFFSET($P164,0,AB$13),15-13*ORÇAMENTO!$AF$7)*OFFSET(ORÇAMENTO!$W$15,ROW(AB164)-ROW(AB$15),0),15-13*ORÇAMENTO!$AF$11)),
         0)</f>
        <v>0</v>
      </c>
      <c r="AC164" s="454">
        <f ca="1">IF(AND($D164="Serviço",AC$12&lt;&gt;0,$H164&gt;0,OR(AUTOEVENTO&lt;&gt;"manual",$M164&lt;&gt;$A$15)),
        IF(Import.TipoArredondamento&lt;&gt;"TransfereGOV",
              ROUND(OFFSET($P164,0,AC$13),15-13*ORÇAMENTO!$AF$7)/$H164*OFFSET(ORÇAMENTO!$X$15,ROW(AC164)-ROW(AC$15),0),
              ROUND(ROUND(OFFSET($P164,0,AC$13),15-13*ORÇAMENTO!$AF$7)*OFFSET(ORÇAMENTO!$W$15,ROW(AC164)-ROW(AC$15),0),15-13*ORÇAMENTO!$AF$11)),
         0)</f>
        <v>0</v>
      </c>
      <c r="AD164" s="454">
        <f ca="1">IF(AND($D164="Serviço",AD$12&lt;&gt;0,$H164&gt;0,OR(AUTOEVENTO&lt;&gt;"manual",$M164&lt;&gt;$A$15)),
        IF(Import.TipoArredondamento&lt;&gt;"TransfereGOV",
              ROUND(OFFSET($P164,0,AD$13),15-13*ORÇAMENTO!$AF$7)/$H164*OFFSET(ORÇAMENTO!$X$15,ROW(AD164)-ROW(AD$15),0),
              ROUND(ROUND(OFFSET($P164,0,AD$13),15-13*ORÇAMENTO!$AF$7)*OFFSET(ORÇAMENTO!$W$15,ROW(AD164)-ROW(AD$15),0),15-13*ORÇAMENTO!$AF$11)),
         0)</f>
        <v>0</v>
      </c>
      <c r="AE164" s="454">
        <f ca="1">IF(AND($D164="Serviço",AE$12&lt;&gt;0,$H164&gt;0,OR(AUTOEVENTO&lt;&gt;"manual",$M164&lt;&gt;$A$15)),
        IF(Import.TipoArredondamento&lt;&gt;"TransfereGOV",
              ROUND(OFFSET($P164,0,AE$13),15-13*ORÇAMENTO!$AF$7)/$H164*OFFSET(ORÇAMENTO!$X$15,ROW(AE164)-ROW(AE$15),0),
              ROUND(ROUND(OFFSET($P164,0,AE$13),15-13*ORÇAMENTO!$AF$7)*OFFSET(ORÇAMENTO!$W$15,ROW(AE164)-ROW(AE$15),0),15-13*ORÇAMENTO!$AF$11)),
         0)</f>
        <v>0</v>
      </c>
      <c r="AF164" s="454">
        <f ca="1">IF(AND($D164="Serviço",AF$12&lt;&gt;0,$H164&gt;0,OR(AUTOEVENTO&lt;&gt;"manual",$M164&lt;&gt;$A$15)),
        IF(Import.TipoArredondamento&lt;&gt;"TransfereGOV",
              ROUND(OFFSET($P164,0,AF$13),15-13*ORÇAMENTO!$AF$7)/$H164*OFFSET(ORÇAMENTO!$X$15,ROW(AF164)-ROW(AF$15),0),
              ROUND(ROUND(OFFSET($P164,0,AF$13),15-13*ORÇAMENTO!$AF$7)*OFFSET(ORÇAMENTO!$W$15,ROW(AF164)-ROW(AF$15),0),15-13*ORÇAMENTO!$AF$11)),
         0)</f>
        <v>0</v>
      </c>
      <c r="AG164" s="454">
        <f ca="1">IF(AND($D164="Serviço",AG$12&lt;&gt;0,$H164&gt;0,OR(AUTOEVENTO&lt;&gt;"manual",$M164&lt;&gt;$A$15)),
        IF(Import.TipoArredondamento&lt;&gt;"TransfereGOV",
              ROUND(OFFSET($P164,0,AG$13),15-13*ORÇAMENTO!$AF$7)/$H164*OFFSET(ORÇAMENTO!$X$15,ROW(AG164)-ROW(AG$15),0),
              ROUND(ROUND(OFFSET($P164,0,AG$13),15-13*ORÇAMENTO!$AF$7)*OFFSET(ORÇAMENTO!$W$15,ROW(AG164)-ROW(AG$15),0),15-13*ORÇAMENTO!$AF$11)),
         0)</f>
        <v>0</v>
      </c>
      <c r="AH164" s="454">
        <f ca="1">IF(AND($D164="Serviço",AH$12&lt;&gt;0,$H164&gt;0,OR(AUTOEVENTO&lt;&gt;"manual",$M164&lt;&gt;$A$15)),
        IF(Import.TipoArredondamento&lt;&gt;"TransfereGOV",
              ROUND(OFFSET($P164,0,AH$13),15-13*ORÇAMENTO!$AF$7)/$H164*OFFSET(ORÇAMENTO!$X$15,ROW(AH164)-ROW(AH$15),0),
              ROUND(ROUND(OFFSET($P164,0,AH$13),15-13*ORÇAMENTO!$AF$7)*OFFSET(ORÇAMENTO!$W$15,ROW(AH164)-ROW(AH$15),0),15-13*ORÇAMENTO!$AF$11)),
         0)</f>
        <v>0</v>
      </c>
      <c r="AI164" s="454">
        <f ca="1">IF(AND($D164="Serviço",AI$12&lt;&gt;0,$H164&gt;0,OR(AUTOEVENTO&lt;&gt;"manual",$M164&lt;&gt;$A$15)),
        IF(Import.TipoArredondamento&lt;&gt;"TransfereGOV",
              ROUND(OFFSET($P164,0,AI$13),15-13*ORÇAMENTO!$AF$7)/$H164*OFFSET(ORÇAMENTO!$X$15,ROW(AI164)-ROW(AI$15),0),
              ROUND(ROUND(OFFSET($P164,0,AI$13),15-13*ORÇAMENTO!$AF$7)*OFFSET(ORÇAMENTO!$W$15,ROW(AI164)-ROW(AI$15),0),15-13*ORÇAMENTO!$AF$11)),
         0)</f>
        <v>0</v>
      </c>
      <c r="AJ164" s="454">
        <f ca="1">IF(AND($D164="Serviço",AJ$12&lt;&gt;0,$H164&gt;0,OR(AUTOEVENTO&lt;&gt;"manual",$M164&lt;&gt;$A$15)),
        IF(Import.TipoArredondamento&lt;&gt;"TransfereGOV",
              ROUND(OFFSET($P164,0,AJ$13),15-13*ORÇAMENTO!$AF$7)/$H164*OFFSET(ORÇAMENTO!$X$15,ROW(AJ164)-ROW(AJ$15),0),
              ROUND(ROUND(OFFSET($P164,0,AJ$13),15-13*ORÇAMENTO!$AF$7)*OFFSET(ORÇAMENTO!$W$15,ROW(AJ164)-ROW(AJ$15),0),15-13*ORÇAMENTO!$AF$11)),
         0)</f>
        <v>0</v>
      </c>
      <c r="AK164" s="454">
        <f ca="1">IF(AND($D164="Serviço",AK$12&lt;&gt;0,$H164&gt;0,OR(AUTOEVENTO&lt;&gt;"manual",$M164&lt;&gt;$A$15)),
        IF(Import.TipoArredondamento&lt;&gt;"TransfereGOV",
              ROUND(OFFSET($P164,0,AK$13),15-13*ORÇAMENTO!$AF$7)/$H164*OFFSET(ORÇAMENTO!$X$15,ROW(AK164)-ROW(AK$15),0),
              ROUND(ROUND(OFFSET($P164,0,AK$13),15-13*ORÇAMENTO!$AF$7)*OFFSET(ORÇAMENTO!$W$15,ROW(AK164)-ROW(AK$15),0),15-13*ORÇAMENTO!$AF$11)),
         0)</f>
        <v>0</v>
      </c>
      <c r="AM164" s="172">
        <f ca="1">IF(OR($D164&lt;&gt;"Serviço",AND(AUTOEVENTO="Manual",$M164=$A$15)),0,
         IF(OFFSET(CRONOPLE!$F$15,$M164-$A$15,AM$13)="",10^12,OFFSET(CRONOPLE!$F$15,$M164-$A$15,AM$13)))</f>
        <v>1000000000000</v>
      </c>
      <c r="AN164" s="172">
        <f ca="1">IF(OR($D164&lt;&gt;"Serviço",AND(AUTOEVENTO="Manual",$M164=$A$15)),0,
         IF(OFFSET(CRONOPLE!$F$15,$M164-$A$15,AN$13)="",10^12,OFFSET(CRONOPLE!$F$15,$M164-$A$15,AN$13)))</f>
        <v>1000000000000</v>
      </c>
      <c r="AO164" s="172">
        <f ca="1">IF(OR($D164&lt;&gt;"Serviço",AND(AUTOEVENTO="Manual",$M164=$A$15)),0,
         IF(OFFSET(CRONOPLE!$F$15,$M164-$A$15,AO$13)="",10^12,OFFSET(CRONOPLE!$F$15,$M164-$A$15,AO$13)))</f>
        <v>1000000000000</v>
      </c>
      <c r="AP164" s="172">
        <f ca="1">IF(OR($D164&lt;&gt;"Serviço",AND(AUTOEVENTO="Manual",$M164=$A$15)),0,
         IF(OFFSET(CRONOPLE!$F$15,$M164-$A$15,AP$13)="",10^12,OFFSET(CRONOPLE!$F$15,$M164-$A$15,AP$13)))</f>
        <v>1000000000000</v>
      </c>
      <c r="AQ164" s="172">
        <f ca="1">IF(OR($D164&lt;&gt;"Serviço",AND(AUTOEVENTO="Manual",$M164=$A$15)),0,
         IF(OFFSET(CRONOPLE!$F$15,$M164-$A$15,AQ$13)="",10^12,OFFSET(CRONOPLE!$F$15,$M164-$A$15,AQ$13)))</f>
        <v>1000000000000</v>
      </c>
      <c r="AR164" s="172">
        <f ca="1">IF(OR($D164&lt;&gt;"Serviço",AND(AUTOEVENTO="Manual",$M164=$A$15)),0,
         IF(OFFSET(CRONOPLE!$F$15,$M164-$A$15,AR$13)="",10^12,OFFSET(CRONOPLE!$F$15,$M164-$A$15,AR$13)))</f>
        <v>1000000000000</v>
      </c>
      <c r="AS164" s="172">
        <f ca="1">IF(OR($D164&lt;&gt;"Serviço",AND(AUTOEVENTO="Manual",$M164=$A$15)),0,
         IF(OFFSET(CRONOPLE!$F$15,$M164-$A$15,AS$13)="",10^12,OFFSET(CRONOPLE!$F$15,$M164-$A$15,AS$13)))</f>
        <v>1000000000000</v>
      </c>
      <c r="AT164" s="172">
        <f ca="1">IF(OR($D164&lt;&gt;"Serviço",AND(AUTOEVENTO="Manual",$M164=$A$15)),0,
         IF(OFFSET(CRONOPLE!$F$15,$M164-$A$15,AT$13)="",10^12,OFFSET(CRONOPLE!$F$15,$M164-$A$15,AT$13)))</f>
        <v>1000000000000</v>
      </c>
      <c r="AU164" s="172">
        <f ca="1">IF(OR($D164&lt;&gt;"Serviço",AND(AUTOEVENTO="Manual",$M164=$A$15)),0,
         IF(OFFSET(CRONOPLE!$F$15,$M164-$A$15,AU$13)="",10^12,OFFSET(CRONOPLE!$F$15,$M164-$A$15,AU$13)))</f>
        <v>1000000000000</v>
      </c>
      <c r="AV164" s="172">
        <f ca="1">IF(OR($D164&lt;&gt;"Serviço",AND(AUTOEVENTO="Manual",$M164=$A$15)),0,
         IF(OFFSET(CRONOPLE!$F$15,$M164-$A$15,AV$13)="",10^12,OFFSET(CRONOPLE!$F$15,$M164-$A$15,AV$13)))</f>
        <v>1000000000000</v>
      </c>
      <c r="AX164" s="173">
        <f ca="1">IF(OR($D164&lt;&gt;"Serviço",AND(AUTOEVENTO="Manual",$M164=$A$15),$M164&gt;(ROW(PLE.lastrow)-ROW(PLE.firstrow))),0,
           IF(OFFSET(PLE!$G$15,$M164-$A$15,AX$13)="",10^12,OFFSET(PLE!$G$15,$M164-$A$15,AX$13)))</f>
        <v>1000000000000</v>
      </c>
      <c r="AY164" s="173">
        <f ca="1">IF(OR($D164&lt;&gt;"Serviço",AND(AUTOEVENTO="Manual",$M164=$A$15),$M164&gt;(ROW(PLE.lastrow)-ROW(PLE.firstrow))),0,
           IF(OFFSET(PLE!$G$15,$M164-$A$15,AY$13)="",10^12,OFFSET(PLE!$G$15,$M164-$A$15,AY$13)))</f>
        <v>1000000000000</v>
      </c>
      <c r="AZ164" s="173">
        <f ca="1">IF(OR($D164&lt;&gt;"Serviço",AND(AUTOEVENTO="Manual",$M164=$A$15),$M164&gt;(ROW(PLE.lastrow)-ROW(PLE.firstrow))),0,
           IF(OFFSET(PLE!$G$15,$M164-$A$15,AZ$13)="",10^12,OFFSET(PLE!$G$15,$M164-$A$15,AZ$13)))</f>
        <v>1000000000000</v>
      </c>
      <c r="BA164" s="173">
        <f ca="1">IF(OR($D164&lt;&gt;"Serviço",AND(AUTOEVENTO="Manual",$M164=$A$15),$M164&gt;(ROW(PLE.lastrow)-ROW(PLE.firstrow))),0,
           IF(OFFSET(PLE!$G$15,$M164-$A$15,BA$13)="",10^12,OFFSET(PLE!$G$15,$M164-$A$15,BA$13)))</f>
        <v>1000000000000</v>
      </c>
      <c r="BB164" s="173">
        <f ca="1">IF(OR($D164&lt;&gt;"Serviço",AND(AUTOEVENTO="Manual",$M164=$A$15),$M164&gt;(ROW(PLE.lastrow)-ROW(PLE.firstrow))),0,
           IF(OFFSET(PLE!$G$15,$M164-$A$15,BB$13)="",10^12,OFFSET(PLE!$G$15,$M164-$A$15,BB$13)))</f>
        <v>1000000000000</v>
      </c>
      <c r="BC164" s="173">
        <f ca="1">IF(OR($D164&lt;&gt;"Serviço",AND(AUTOEVENTO="Manual",$M164=$A$15),$M164&gt;(ROW(PLE.lastrow)-ROW(PLE.firstrow))),0,
           IF(OFFSET(PLE!$G$15,$M164-$A$15,BC$13)="",10^12,OFFSET(PLE!$G$15,$M164-$A$15,BC$13)))</f>
        <v>1000000000000</v>
      </c>
      <c r="BD164" s="173">
        <f ca="1">IF(OR($D164&lt;&gt;"Serviço",AND(AUTOEVENTO="Manual",$M164=$A$15),$M164&gt;(ROW(PLE.lastrow)-ROW(PLE.firstrow))),0,
           IF(OFFSET(PLE!$G$15,$M164-$A$15,BD$13)="",10^12,OFFSET(PLE!$G$15,$M164-$A$15,BD$13)))</f>
        <v>1000000000000</v>
      </c>
      <c r="BE164" s="173">
        <f ca="1">IF(OR($D164&lt;&gt;"Serviço",AND(AUTOEVENTO="Manual",$M164=$A$15),$M164&gt;(ROW(PLE.lastrow)-ROW(PLE.firstrow))),0,
           IF(OFFSET(PLE!$G$15,$M164-$A$15,BE$13)="",10^12,OFFSET(PLE!$G$15,$M164-$A$15,BE$13)))</f>
        <v>1000000000000</v>
      </c>
      <c r="BF164" s="173">
        <f ca="1">IF(OR($D164&lt;&gt;"Serviço",AND(AUTOEVENTO="Manual",$M164=$A$15),$M164&gt;(ROW(PLE.lastrow)-ROW(PLE.firstrow))),0,
           IF(OFFSET(PLE!$G$15,$M164-$A$15,BF$13)="",10^12,OFFSET(PLE!$G$15,$M164-$A$15,BF$13)))</f>
        <v>1000000000000</v>
      </c>
      <c r="BG164" s="173">
        <f ca="1">IF(OR($D164&lt;&gt;"Serviço",AND(AUTOEVENTO="Manual",$M164=$A$15),$M164&gt;(ROW(PLE.lastrow)-ROW(PLE.firstrow))),0,
           IF(OFFSET(PLE!$G$15,$M164-$A$15,BG$13)="",10^12,OFFSET(PLE!$G$15,$M164-$A$15,BG$13)))</f>
        <v>1000000000000</v>
      </c>
    </row>
    <row r="165" spans="1:59" ht="38.25" x14ac:dyDescent="0.2">
      <c r="A165" s="7" t="str">
        <f t="shared" ca="1" si="10"/>
        <v>114</v>
      </c>
      <c r="B165" s="7" t="str">
        <f ca="1">OFFSET(ORÇAMENTO!C$15,ROW(B165)-ROW(B$15),0)</f>
        <v>S</v>
      </c>
      <c r="C165" s="7" t="str">
        <f ca="1">OFFSET(ORÇAMENTO!L$15,ROW(C165)-ROW(C$15),0)</f>
        <v/>
      </c>
      <c r="D165" s="117" t="str">
        <f ca="1">OFFSET(ORÇAMENTO!N$15,ROW(D165)-ROW(D$15),0)</f>
        <v>Serviço</v>
      </c>
      <c r="E165" s="118" t="str">
        <f ca="1">OFFSET(ORÇAMENTO!O$15,ROW(E165)-ROW(E$15),0)</f>
        <v>-</v>
      </c>
      <c r="F165" s="164" t="str">
        <f ca="1">OFFSET(ORÇAMENTO!R$15,ROW(F165)-ROW(F$15),0)</f>
        <v>TE, PVC, SÉRIE NORMAL, ESGOTO PREDIAL, DN 100 X 50 MM, JUNTA ELÁSTICA, FORNECIDO E INSTALADO EM RAMAL DE DESCARGA OU RAMAL DE ESGOTO SANITÁRIO. AF_08/2022</v>
      </c>
      <c r="G165" s="165" t="str">
        <f ca="1">IF($D165&lt;&gt;"Serviço","",OFFSET(ORÇAMENTO!S$15,ROW(G165)-ROW(G$15),0))</f>
        <v>UN</v>
      </c>
      <c r="H165" s="123">
        <f ca="1">IF($D165&lt;&gt;"Serviço",0,IF(ACOMPANHAMENTO="BM",ROUND(OFFSET(ORÇAMENTO!AJ$15,ROW(H165)-ROW(H$15),0),15-13*ORÇAMENTO!$AF$7),SUMPRODUCT(($Q$1:$AA$1=1)*ROUND($Q165:$AA165,15-13*ORÇAMENTO!$AF$7))))</f>
        <v>6</v>
      </c>
      <c r="I165" s="469"/>
      <c r="J165" s="577" t="str" cm="1">
        <f t="array" aca="1" ref="J165" ca="1">IF(B165&lt;&gt;"S","",IF(AND(ACOMPANHAMENTO="PLE",AUTOEVENTO="Manual",OR(H165&gt;0,ORÇAMENTO!AC165="QUANT."),OR(K165="",M165=0,N165="")),"►",IF(AND(ACOMPANHAMENTO="PLE",ORÇAMENTO!AC165="QUANT."),"►►",IF(AND(COUNTIF($P$11:$AA$11,"▼")=0,H165&gt;0,I165=""),"◄",""))))</f>
        <v>◄</v>
      </c>
      <c r="K165" s="626"/>
      <c r="L165" s="166" t="s">
        <v>765</v>
      </c>
      <c r="M165" s="167">
        <f ca="1">IF($D165&lt;&gt;"Serviço","",
          IF(AUTOEVENTO="manual",$A165,
                IF(ISERROR(MATCH($A165,$A$15:OFFSET($A165,-1,0),0)),MAX($M$15:OFFSET(M165,-1,0))+1,
                      INDEX($M$15:OFFSET(M165,-1,0),MATCH($A165,$A$15:OFFSET($A165,-1,0),0)))))</f>
        <v>11</v>
      </c>
      <c r="N165" s="168" t="str">
        <f ca="1">IF($D165&lt;&gt;"Serviço","",
         IF(AUTOEVENTO="Manual",
                IF($A165=0,"&lt;-- defina o número do agrupador",
                       OFFSET(EVENTOS!$D$15,$A165-$A$15,0)),
                OFFSET($F$15,$A165,0)))</f>
        <v>INSTALAÇÕES HIDROSSANITÁRIAS</v>
      </c>
      <c r="O165" s="169"/>
      <c r="Q165" s="169"/>
      <c r="R165" s="170"/>
      <c r="S165" s="170"/>
      <c r="T165" s="170"/>
      <c r="U165" s="170"/>
      <c r="V165" s="170"/>
      <c r="W165" s="170"/>
      <c r="X165" s="170"/>
      <c r="Y165" s="170"/>
      <c r="Z165" s="171"/>
      <c r="AB165" s="454">
        <f ca="1">IF(AND($D165="Serviço",AB$12&lt;&gt;0,$H165&gt;0,OR(AUTOEVENTO&lt;&gt;"manual",$M165&lt;&gt;$A$15)),
        IF(Import.TipoArredondamento&lt;&gt;"TransfereGOV",
              ROUND(OFFSET($P165,0,AB$13),15-13*ORÇAMENTO!$AF$7)/$H165*OFFSET(ORÇAMENTO!$X$15,ROW(AB165)-ROW(AB$15),0),
              ROUND(ROUND(OFFSET($P165,0,AB$13),15-13*ORÇAMENTO!$AF$7)*OFFSET(ORÇAMENTO!$W$15,ROW(AB165)-ROW(AB$15),0),15-13*ORÇAMENTO!$AF$11)),
         0)</f>
        <v>0</v>
      </c>
      <c r="AC165" s="454">
        <f ca="1">IF(AND($D165="Serviço",AC$12&lt;&gt;0,$H165&gt;0,OR(AUTOEVENTO&lt;&gt;"manual",$M165&lt;&gt;$A$15)),
        IF(Import.TipoArredondamento&lt;&gt;"TransfereGOV",
              ROUND(OFFSET($P165,0,AC$13),15-13*ORÇAMENTO!$AF$7)/$H165*OFFSET(ORÇAMENTO!$X$15,ROW(AC165)-ROW(AC$15),0),
              ROUND(ROUND(OFFSET($P165,0,AC$13),15-13*ORÇAMENTO!$AF$7)*OFFSET(ORÇAMENTO!$W$15,ROW(AC165)-ROW(AC$15),0),15-13*ORÇAMENTO!$AF$11)),
         0)</f>
        <v>0</v>
      </c>
      <c r="AD165" s="454">
        <f ca="1">IF(AND($D165="Serviço",AD$12&lt;&gt;0,$H165&gt;0,OR(AUTOEVENTO&lt;&gt;"manual",$M165&lt;&gt;$A$15)),
        IF(Import.TipoArredondamento&lt;&gt;"TransfereGOV",
              ROUND(OFFSET($P165,0,AD$13),15-13*ORÇAMENTO!$AF$7)/$H165*OFFSET(ORÇAMENTO!$X$15,ROW(AD165)-ROW(AD$15),0),
              ROUND(ROUND(OFFSET($P165,0,AD$13),15-13*ORÇAMENTO!$AF$7)*OFFSET(ORÇAMENTO!$W$15,ROW(AD165)-ROW(AD$15),0),15-13*ORÇAMENTO!$AF$11)),
         0)</f>
        <v>0</v>
      </c>
      <c r="AE165" s="454">
        <f ca="1">IF(AND($D165="Serviço",AE$12&lt;&gt;0,$H165&gt;0,OR(AUTOEVENTO&lt;&gt;"manual",$M165&lt;&gt;$A$15)),
        IF(Import.TipoArredondamento&lt;&gt;"TransfereGOV",
              ROUND(OFFSET($P165,0,AE$13),15-13*ORÇAMENTO!$AF$7)/$H165*OFFSET(ORÇAMENTO!$X$15,ROW(AE165)-ROW(AE$15),0),
              ROUND(ROUND(OFFSET($P165,0,AE$13),15-13*ORÇAMENTO!$AF$7)*OFFSET(ORÇAMENTO!$W$15,ROW(AE165)-ROW(AE$15),0),15-13*ORÇAMENTO!$AF$11)),
         0)</f>
        <v>0</v>
      </c>
      <c r="AF165" s="454">
        <f ca="1">IF(AND($D165="Serviço",AF$12&lt;&gt;0,$H165&gt;0,OR(AUTOEVENTO&lt;&gt;"manual",$M165&lt;&gt;$A$15)),
        IF(Import.TipoArredondamento&lt;&gt;"TransfereGOV",
              ROUND(OFFSET($P165,0,AF$13),15-13*ORÇAMENTO!$AF$7)/$H165*OFFSET(ORÇAMENTO!$X$15,ROW(AF165)-ROW(AF$15),0),
              ROUND(ROUND(OFFSET($P165,0,AF$13),15-13*ORÇAMENTO!$AF$7)*OFFSET(ORÇAMENTO!$W$15,ROW(AF165)-ROW(AF$15),0),15-13*ORÇAMENTO!$AF$11)),
         0)</f>
        <v>0</v>
      </c>
      <c r="AG165" s="454">
        <f ca="1">IF(AND($D165="Serviço",AG$12&lt;&gt;0,$H165&gt;0,OR(AUTOEVENTO&lt;&gt;"manual",$M165&lt;&gt;$A$15)),
        IF(Import.TipoArredondamento&lt;&gt;"TransfereGOV",
              ROUND(OFFSET($P165,0,AG$13),15-13*ORÇAMENTO!$AF$7)/$H165*OFFSET(ORÇAMENTO!$X$15,ROW(AG165)-ROW(AG$15),0),
              ROUND(ROUND(OFFSET($P165,0,AG$13),15-13*ORÇAMENTO!$AF$7)*OFFSET(ORÇAMENTO!$W$15,ROW(AG165)-ROW(AG$15),0),15-13*ORÇAMENTO!$AF$11)),
         0)</f>
        <v>0</v>
      </c>
      <c r="AH165" s="454">
        <f ca="1">IF(AND($D165="Serviço",AH$12&lt;&gt;0,$H165&gt;0,OR(AUTOEVENTO&lt;&gt;"manual",$M165&lt;&gt;$A$15)),
        IF(Import.TipoArredondamento&lt;&gt;"TransfereGOV",
              ROUND(OFFSET($P165,0,AH$13),15-13*ORÇAMENTO!$AF$7)/$H165*OFFSET(ORÇAMENTO!$X$15,ROW(AH165)-ROW(AH$15),0),
              ROUND(ROUND(OFFSET($P165,0,AH$13),15-13*ORÇAMENTO!$AF$7)*OFFSET(ORÇAMENTO!$W$15,ROW(AH165)-ROW(AH$15),0),15-13*ORÇAMENTO!$AF$11)),
         0)</f>
        <v>0</v>
      </c>
      <c r="AI165" s="454">
        <f ca="1">IF(AND($D165="Serviço",AI$12&lt;&gt;0,$H165&gt;0,OR(AUTOEVENTO&lt;&gt;"manual",$M165&lt;&gt;$A$15)),
        IF(Import.TipoArredondamento&lt;&gt;"TransfereGOV",
              ROUND(OFFSET($P165,0,AI$13),15-13*ORÇAMENTO!$AF$7)/$H165*OFFSET(ORÇAMENTO!$X$15,ROW(AI165)-ROW(AI$15),0),
              ROUND(ROUND(OFFSET($P165,0,AI$13),15-13*ORÇAMENTO!$AF$7)*OFFSET(ORÇAMENTO!$W$15,ROW(AI165)-ROW(AI$15),0),15-13*ORÇAMENTO!$AF$11)),
         0)</f>
        <v>0</v>
      </c>
      <c r="AJ165" s="454">
        <f ca="1">IF(AND($D165="Serviço",AJ$12&lt;&gt;0,$H165&gt;0,OR(AUTOEVENTO&lt;&gt;"manual",$M165&lt;&gt;$A$15)),
        IF(Import.TipoArredondamento&lt;&gt;"TransfereGOV",
              ROUND(OFFSET($P165,0,AJ$13),15-13*ORÇAMENTO!$AF$7)/$H165*OFFSET(ORÇAMENTO!$X$15,ROW(AJ165)-ROW(AJ$15),0),
              ROUND(ROUND(OFFSET($P165,0,AJ$13),15-13*ORÇAMENTO!$AF$7)*OFFSET(ORÇAMENTO!$W$15,ROW(AJ165)-ROW(AJ$15),0),15-13*ORÇAMENTO!$AF$11)),
         0)</f>
        <v>0</v>
      </c>
      <c r="AK165" s="454">
        <f ca="1">IF(AND($D165="Serviço",AK$12&lt;&gt;0,$H165&gt;0,OR(AUTOEVENTO&lt;&gt;"manual",$M165&lt;&gt;$A$15)),
        IF(Import.TipoArredondamento&lt;&gt;"TransfereGOV",
              ROUND(OFFSET($P165,0,AK$13),15-13*ORÇAMENTO!$AF$7)/$H165*OFFSET(ORÇAMENTO!$X$15,ROW(AK165)-ROW(AK$15),0),
              ROUND(ROUND(OFFSET($P165,0,AK$13),15-13*ORÇAMENTO!$AF$7)*OFFSET(ORÇAMENTO!$W$15,ROW(AK165)-ROW(AK$15),0),15-13*ORÇAMENTO!$AF$11)),
         0)</f>
        <v>0</v>
      </c>
      <c r="AM165" s="172">
        <f ca="1">IF(OR($D165&lt;&gt;"Serviço",AND(AUTOEVENTO="Manual",$M165=$A$15)),0,
         IF(OFFSET(CRONOPLE!$F$15,$M165-$A$15,AM$13)="",10^12,OFFSET(CRONOPLE!$F$15,$M165-$A$15,AM$13)))</f>
        <v>1000000000000</v>
      </c>
      <c r="AN165" s="172">
        <f ca="1">IF(OR($D165&lt;&gt;"Serviço",AND(AUTOEVENTO="Manual",$M165=$A$15)),0,
         IF(OFFSET(CRONOPLE!$F$15,$M165-$A$15,AN$13)="",10^12,OFFSET(CRONOPLE!$F$15,$M165-$A$15,AN$13)))</f>
        <v>1000000000000</v>
      </c>
      <c r="AO165" s="172">
        <f ca="1">IF(OR($D165&lt;&gt;"Serviço",AND(AUTOEVENTO="Manual",$M165=$A$15)),0,
         IF(OFFSET(CRONOPLE!$F$15,$M165-$A$15,AO$13)="",10^12,OFFSET(CRONOPLE!$F$15,$M165-$A$15,AO$13)))</f>
        <v>1000000000000</v>
      </c>
      <c r="AP165" s="172">
        <f ca="1">IF(OR($D165&lt;&gt;"Serviço",AND(AUTOEVENTO="Manual",$M165=$A$15)),0,
         IF(OFFSET(CRONOPLE!$F$15,$M165-$A$15,AP$13)="",10^12,OFFSET(CRONOPLE!$F$15,$M165-$A$15,AP$13)))</f>
        <v>1000000000000</v>
      </c>
      <c r="AQ165" s="172">
        <f ca="1">IF(OR($D165&lt;&gt;"Serviço",AND(AUTOEVENTO="Manual",$M165=$A$15)),0,
         IF(OFFSET(CRONOPLE!$F$15,$M165-$A$15,AQ$13)="",10^12,OFFSET(CRONOPLE!$F$15,$M165-$A$15,AQ$13)))</f>
        <v>1000000000000</v>
      </c>
      <c r="AR165" s="172">
        <f ca="1">IF(OR($D165&lt;&gt;"Serviço",AND(AUTOEVENTO="Manual",$M165=$A$15)),0,
         IF(OFFSET(CRONOPLE!$F$15,$M165-$A$15,AR$13)="",10^12,OFFSET(CRONOPLE!$F$15,$M165-$A$15,AR$13)))</f>
        <v>1000000000000</v>
      </c>
      <c r="AS165" s="172">
        <f ca="1">IF(OR($D165&lt;&gt;"Serviço",AND(AUTOEVENTO="Manual",$M165=$A$15)),0,
         IF(OFFSET(CRONOPLE!$F$15,$M165-$A$15,AS$13)="",10^12,OFFSET(CRONOPLE!$F$15,$M165-$A$15,AS$13)))</f>
        <v>1000000000000</v>
      </c>
      <c r="AT165" s="172">
        <f ca="1">IF(OR($D165&lt;&gt;"Serviço",AND(AUTOEVENTO="Manual",$M165=$A$15)),0,
         IF(OFFSET(CRONOPLE!$F$15,$M165-$A$15,AT$13)="",10^12,OFFSET(CRONOPLE!$F$15,$M165-$A$15,AT$13)))</f>
        <v>1000000000000</v>
      </c>
      <c r="AU165" s="172">
        <f ca="1">IF(OR($D165&lt;&gt;"Serviço",AND(AUTOEVENTO="Manual",$M165=$A$15)),0,
         IF(OFFSET(CRONOPLE!$F$15,$M165-$A$15,AU$13)="",10^12,OFFSET(CRONOPLE!$F$15,$M165-$A$15,AU$13)))</f>
        <v>1000000000000</v>
      </c>
      <c r="AV165" s="172">
        <f ca="1">IF(OR($D165&lt;&gt;"Serviço",AND(AUTOEVENTO="Manual",$M165=$A$15)),0,
         IF(OFFSET(CRONOPLE!$F$15,$M165-$A$15,AV$13)="",10^12,OFFSET(CRONOPLE!$F$15,$M165-$A$15,AV$13)))</f>
        <v>1000000000000</v>
      </c>
      <c r="AX165" s="173">
        <f ca="1">IF(OR($D165&lt;&gt;"Serviço",AND(AUTOEVENTO="Manual",$M165=$A$15),$M165&gt;(ROW(PLE.lastrow)-ROW(PLE.firstrow))),0,
           IF(OFFSET(PLE!$G$15,$M165-$A$15,AX$13)="",10^12,OFFSET(PLE!$G$15,$M165-$A$15,AX$13)))</f>
        <v>1000000000000</v>
      </c>
      <c r="AY165" s="173">
        <f ca="1">IF(OR($D165&lt;&gt;"Serviço",AND(AUTOEVENTO="Manual",$M165=$A$15),$M165&gt;(ROW(PLE.lastrow)-ROW(PLE.firstrow))),0,
           IF(OFFSET(PLE!$G$15,$M165-$A$15,AY$13)="",10^12,OFFSET(PLE!$G$15,$M165-$A$15,AY$13)))</f>
        <v>1000000000000</v>
      </c>
      <c r="AZ165" s="173">
        <f ca="1">IF(OR($D165&lt;&gt;"Serviço",AND(AUTOEVENTO="Manual",$M165=$A$15),$M165&gt;(ROW(PLE.lastrow)-ROW(PLE.firstrow))),0,
           IF(OFFSET(PLE!$G$15,$M165-$A$15,AZ$13)="",10^12,OFFSET(PLE!$G$15,$M165-$A$15,AZ$13)))</f>
        <v>1000000000000</v>
      </c>
      <c r="BA165" s="173">
        <f ca="1">IF(OR($D165&lt;&gt;"Serviço",AND(AUTOEVENTO="Manual",$M165=$A$15),$M165&gt;(ROW(PLE.lastrow)-ROW(PLE.firstrow))),0,
           IF(OFFSET(PLE!$G$15,$M165-$A$15,BA$13)="",10^12,OFFSET(PLE!$G$15,$M165-$A$15,BA$13)))</f>
        <v>1000000000000</v>
      </c>
      <c r="BB165" s="173">
        <f ca="1">IF(OR($D165&lt;&gt;"Serviço",AND(AUTOEVENTO="Manual",$M165=$A$15),$M165&gt;(ROW(PLE.lastrow)-ROW(PLE.firstrow))),0,
           IF(OFFSET(PLE!$G$15,$M165-$A$15,BB$13)="",10^12,OFFSET(PLE!$G$15,$M165-$A$15,BB$13)))</f>
        <v>1000000000000</v>
      </c>
      <c r="BC165" s="173">
        <f ca="1">IF(OR($D165&lt;&gt;"Serviço",AND(AUTOEVENTO="Manual",$M165=$A$15),$M165&gt;(ROW(PLE.lastrow)-ROW(PLE.firstrow))),0,
           IF(OFFSET(PLE!$G$15,$M165-$A$15,BC$13)="",10^12,OFFSET(PLE!$G$15,$M165-$A$15,BC$13)))</f>
        <v>1000000000000</v>
      </c>
      <c r="BD165" s="173">
        <f ca="1">IF(OR($D165&lt;&gt;"Serviço",AND(AUTOEVENTO="Manual",$M165=$A$15),$M165&gt;(ROW(PLE.lastrow)-ROW(PLE.firstrow))),0,
           IF(OFFSET(PLE!$G$15,$M165-$A$15,BD$13)="",10^12,OFFSET(PLE!$G$15,$M165-$A$15,BD$13)))</f>
        <v>1000000000000</v>
      </c>
      <c r="BE165" s="173">
        <f ca="1">IF(OR($D165&lt;&gt;"Serviço",AND(AUTOEVENTO="Manual",$M165=$A$15),$M165&gt;(ROW(PLE.lastrow)-ROW(PLE.firstrow))),0,
           IF(OFFSET(PLE!$G$15,$M165-$A$15,BE$13)="",10^12,OFFSET(PLE!$G$15,$M165-$A$15,BE$13)))</f>
        <v>1000000000000</v>
      </c>
      <c r="BF165" s="173">
        <f ca="1">IF(OR($D165&lt;&gt;"Serviço",AND(AUTOEVENTO="Manual",$M165=$A$15),$M165&gt;(ROW(PLE.lastrow)-ROW(PLE.firstrow))),0,
           IF(OFFSET(PLE!$G$15,$M165-$A$15,BF$13)="",10^12,OFFSET(PLE!$G$15,$M165-$A$15,BF$13)))</f>
        <v>1000000000000</v>
      </c>
      <c r="BG165" s="173">
        <f ca="1">IF(OR($D165&lt;&gt;"Serviço",AND(AUTOEVENTO="Manual",$M165=$A$15),$M165&gt;(ROW(PLE.lastrow)-ROW(PLE.firstrow))),0,
           IF(OFFSET(PLE!$G$15,$M165-$A$15,BG$13)="",10^12,OFFSET(PLE!$G$15,$M165-$A$15,BG$13)))</f>
        <v>1000000000000</v>
      </c>
    </row>
    <row r="166" spans="1:59" ht="38.25" x14ac:dyDescent="0.2">
      <c r="A166" s="7" t="str">
        <f t="shared" ca="1" si="10"/>
        <v>114</v>
      </c>
      <c r="B166" s="7" t="str">
        <f ca="1">OFFSET(ORÇAMENTO!C$15,ROW(B166)-ROW(B$15),0)</f>
        <v>S</v>
      </c>
      <c r="C166" s="7" t="str">
        <f ca="1">OFFSET(ORÇAMENTO!L$15,ROW(C166)-ROW(C$15),0)</f>
        <v/>
      </c>
      <c r="D166" s="117" t="str">
        <f ca="1">OFFSET(ORÇAMENTO!N$15,ROW(D166)-ROW(D$15),0)</f>
        <v>Serviço</v>
      </c>
      <c r="E166" s="118" t="str">
        <f ca="1">OFFSET(ORÇAMENTO!O$15,ROW(E166)-ROW(E$15),0)</f>
        <v>-</v>
      </c>
      <c r="F166" s="164" t="str">
        <f ca="1">OFFSET(ORÇAMENTO!R$15,ROW(F166)-ROW(F$15),0)</f>
        <v>TE, PVC, SÉRIE NORMAL, ESGOTO PREDIAL, DN 100 X 50 MM, JUNTA ELÁSTICA, FORNECIDO E INSTALADO EM RAMAL DE DESCARGA OU RAMAL DE ESGOTO SANITÁRIO. AF_08/2022</v>
      </c>
      <c r="G166" s="165" t="str">
        <f ca="1">IF($D166&lt;&gt;"Serviço","",OFFSET(ORÇAMENTO!S$15,ROW(G166)-ROW(G$15),0))</f>
        <v>UN</v>
      </c>
      <c r="H166" s="123">
        <f ca="1">IF($D166&lt;&gt;"Serviço",0,IF(ACOMPANHAMENTO="BM",ROUND(OFFSET(ORÇAMENTO!AJ$15,ROW(H166)-ROW(H$15),0),15-13*ORÇAMENTO!$AF$7),SUMPRODUCT(($Q$1:$AA$1=1)*ROUND($Q166:$AA166,15-13*ORÇAMENTO!$AF$7))))</f>
        <v>5</v>
      </c>
      <c r="I166" s="469"/>
      <c r="J166" s="577" t="str" cm="1">
        <f t="array" aca="1" ref="J166" ca="1">IF(B166&lt;&gt;"S","",IF(AND(ACOMPANHAMENTO="PLE",AUTOEVENTO="Manual",OR(H166&gt;0,ORÇAMENTO!AC166="QUANT."),OR(K166="",M166=0,N166="")),"►",IF(AND(ACOMPANHAMENTO="PLE",ORÇAMENTO!AC166="QUANT."),"►►",IF(AND(COUNTIF($P$11:$AA$11,"▼")=0,H166&gt;0,I166=""),"◄",""))))</f>
        <v>◄</v>
      </c>
      <c r="K166" s="626"/>
      <c r="L166" s="166" t="s">
        <v>765</v>
      </c>
      <c r="M166" s="167">
        <f ca="1">IF($D166&lt;&gt;"Serviço","",
          IF(AUTOEVENTO="manual",$A166,
                IF(ISERROR(MATCH($A166,$A$15:OFFSET($A166,-1,0),0)),MAX($M$15:OFFSET(M166,-1,0))+1,
                      INDEX($M$15:OFFSET(M166,-1,0),MATCH($A166,$A$15:OFFSET($A166,-1,0),0)))))</f>
        <v>11</v>
      </c>
      <c r="N166" s="168" t="str">
        <f ca="1">IF($D166&lt;&gt;"Serviço","",
         IF(AUTOEVENTO="Manual",
                IF($A166=0,"&lt;-- defina o número do agrupador",
                       OFFSET(EVENTOS!$D$15,$A166-$A$15,0)),
                OFFSET($F$15,$A166,0)))</f>
        <v>INSTALAÇÕES HIDROSSANITÁRIAS</v>
      </c>
      <c r="O166" s="169"/>
      <c r="Q166" s="169"/>
      <c r="R166" s="170"/>
      <c r="S166" s="170"/>
      <c r="T166" s="170"/>
      <c r="U166" s="170"/>
      <c r="V166" s="170"/>
      <c r="W166" s="170"/>
      <c r="X166" s="170"/>
      <c r="Y166" s="170"/>
      <c r="Z166" s="171"/>
      <c r="AB166" s="454">
        <f ca="1">IF(AND($D166="Serviço",AB$12&lt;&gt;0,$H166&gt;0,OR(AUTOEVENTO&lt;&gt;"manual",$M166&lt;&gt;$A$15)),
        IF(Import.TipoArredondamento&lt;&gt;"TransfereGOV",
              ROUND(OFFSET($P166,0,AB$13),15-13*ORÇAMENTO!$AF$7)/$H166*OFFSET(ORÇAMENTO!$X$15,ROW(AB166)-ROW(AB$15),0),
              ROUND(ROUND(OFFSET($P166,0,AB$13),15-13*ORÇAMENTO!$AF$7)*OFFSET(ORÇAMENTO!$W$15,ROW(AB166)-ROW(AB$15),0),15-13*ORÇAMENTO!$AF$11)),
         0)</f>
        <v>0</v>
      </c>
      <c r="AC166" s="454">
        <f ca="1">IF(AND($D166="Serviço",AC$12&lt;&gt;0,$H166&gt;0,OR(AUTOEVENTO&lt;&gt;"manual",$M166&lt;&gt;$A$15)),
        IF(Import.TipoArredondamento&lt;&gt;"TransfereGOV",
              ROUND(OFFSET($P166,0,AC$13),15-13*ORÇAMENTO!$AF$7)/$H166*OFFSET(ORÇAMENTO!$X$15,ROW(AC166)-ROW(AC$15),0),
              ROUND(ROUND(OFFSET($P166,0,AC$13),15-13*ORÇAMENTO!$AF$7)*OFFSET(ORÇAMENTO!$W$15,ROW(AC166)-ROW(AC$15),0),15-13*ORÇAMENTO!$AF$11)),
         0)</f>
        <v>0</v>
      </c>
      <c r="AD166" s="454">
        <f ca="1">IF(AND($D166="Serviço",AD$12&lt;&gt;0,$H166&gt;0,OR(AUTOEVENTO&lt;&gt;"manual",$M166&lt;&gt;$A$15)),
        IF(Import.TipoArredondamento&lt;&gt;"TransfereGOV",
              ROUND(OFFSET($P166,0,AD$13),15-13*ORÇAMENTO!$AF$7)/$H166*OFFSET(ORÇAMENTO!$X$15,ROW(AD166)-ROW(AD$15),0),
              ROUND(ROUND(OFFSET($P166,0,AD$13),15-13*ORÇAMENTO!$AF$7)*OFFSET(ORÇAMENTO!$W$15,ROW(AD166)-ROW(AD$15),0),15-13*ORÇAMENTO!$AF$11)),
         0)</f>
        <v>0</v>
      </c>
      <c r="AE166" s="454">
        <f ca="1">IF(AND($D166="Serviço",AE$12&lt;&gt;0,$H166&gt;0,OR(AUTOEVENTO&lt;&gt;"manual",$M166&lt;&gt;$A$15)),
        IF(Import.TipoArredondamento&lt;&gt;"TransfereGOV",
              ROUND(OFFSET($P166,0,AE$13),15-13*ORÇAMENTO!$AF$7)/$H166*OFFSET(ORÇAMENTO!$X$15,ROW(AE166)-ROW(AE$15),0),
              ROUND(ROUND(OFFSET($P166,0,AE$13),15-13*ORÇAMENTO!$AF$7)*OFFSET(ORÇAMENTO!$W$15,ROW(AE166)-ROW(AE$15),0),15-13*ORÇAMENTO!$AF$11)),
         0)</f>
        <v>0</v>
      </c>
      <c r="AF166" s="454">
        <f ca="1">IF(AND($D166="Serviço",AF$12&lt;&gt;0,$H166&gt;0,OR(AUTOEVENTO&lt;&gt;"manual",$M166&lt;&gt;$A$15)),
        IF(Import.TipoArredondamento&lt;&gt;"TransfereGOV",
              ROUND(OFFSET($P166,0,AF$13),15-13*ORÇAMENTO!$AF$7)/$H166*OFFSET(ORÇAMENTO!$X$15,ROW(AF166)-ROW(AF$15),0),
              ROUND(ROUND(OFFSET($P166,0,AF$13),15-13*ORÇAMENTO!$AF$7)*OFFSET(ORÇAMENTO!$W$15,ROW(AF166)-ROW(AF$15),0),15-13*ORÇAMENTO!$AF$11)),
         0)</f>
        <v>0</v>
      </c>
      <c r="AG166" s="454">
        <f ca="1">IF(AND($D166="Serviço",AG$12&lt;&gt;0,$H166&gt;0,OR(AUTOEVENTO&lt;&gt;"manual",$M166&lt;&gt;$A$15)),
        IF(Import.TipoArredondamento&lt;&gt;"TransfereGOV",
              ROUND(OFFSET($P166,0,AG$13),15-13*ORÇAMENTO!$AF$7)/$H166*OFFSET(ORÇAMENTO!$X$15,ROW(AG166)-ROW(AG$15),0),
              ROUND(ROUND(OFFSET($P166,0,AG$13),15-13*ORÇAMENTO!$AF$7)*OFFSET(ORÇAMENTO!$W$15,ROW(AG166)-ROW(AG$15),0),15-13*ORÇAMENTO!$AF$11)),
         0)</f>
        <v>0</v>
      </c>
      <c r="AH166" s="454">
        <f ca="1">IF(AND($D166="Serviço",AH$12&lt;&gt;0,$H166&gt;0,OR(AUTOEVENTO&lt;&gt;"manual",$M166&lt;&gt;$A$15)),
        IF(Import.TipoArredondamento&lt;&gt;"TransfereGOV",
              ROUND(OFFSET($P166,0,AH$13),15-13*ORÇAMENTO!$AF$7)/$H166*OFFSET(ORÇAMENTO!$X$15,ROW(AH166)-ROW(AH$15),0),
              ROUND(ROUND(OFFSET($P166,0,AH$13),15-13*ORÇAMENTO!$AF$7)*OFFSET(ORÇAMENTO!$W$15,ROW(AH166)-ROW(AH$15),0),15-13*ORÇAMENTO!$AF$11)),
         0)</f>
        <v>0</v>
      </c>
      <c r="AI166" s="454">
        <f ca="1">IF(AND($D166="Serviço",AI$12&lt;&gt;0,$H166&gt;0,OR(AUTOEVENTO&lt;&gt;"manual",$M166&lt;&gt;$A$15)),
        IF(Import.TipoArredondamento&lt;&gt;"TransfereGOV",
              ROUND(OFFSET($P166,0,AI$13),15-13*ORÇAMENTO!$AF$7)/$H166*OFFSET(ORÇAMENTO!$X$15,ROW(AI166)-ROW(AI$15),0),
              ROUND(ROUND(OFFSET($P166,0,AI$13),15-13*ORÇAMENTO!$AF$7)*OFFSET(ORÇAMENTO!$W$15,ROW(AI166)-ROW(AI$15),0),15-13*ORÇAMENTO!$AF$11)),
         0)</f>
        <v>0</v>
      </c>
      <c r="AJ166" s="454">
        <f ca="1">IF(AND($D166="Serviço",AJ$12&lt;&gt;0,$H166&gt;0,OR(AUTOEVENTO&lt;&gt;"manual",$M166&lt;&gt;$A$15)),
        IF(Import.TipoArredondamento&lt;&gt;"TransfereGOV",
              ROUND(OFFSET($P166,0,AJ$13),15-13*ORÇAMENTO!$AF$7)/$H166*OFFSET(ORÇAMENTO!$X$15,ROW(AJ166)-ROW(AJ$15),0),
              ROUND(ROUND(OFFSET($P166,0,AJ$13),15-13*ORÇAMENTO!$AF$7)*OFFSET(ORÇAMENTO!$W$15,ROW(AJ166)-ROW(AJ$15),0),15-13*ORÇAMENTO!$AF$11)),
         0)</f>
        <v>0</v>
      </c>
      <c r="AK166" s="454">
        <f ca="1">IF(AND($D166="Serviço",AK$12&lt;&gt;0,$H166&gt;0,OR(AUTOEVENTO&lt;&gt;"manual",$M166&lt;&gt;$A$15)),
        IF(Import.TipoArredondamento&lt;&gt;"TransfereGOV",
              ROUND(OFFSET($P166,0,AK$13),15-13*ORÇAMENTO!$AF$7)/$H166*OFFSET(ORÇAMENTO!$X$15,ROW(AK166)-ROW(AK$15),0),
              ROUND(ROUND(OFFSET($P166,0,AK$13),15-13*ORÇAMENTO!$AF$7)*OFFSET(ORÇAMENTO!$W$15,ROW(AK166)-ROW(AK$15),0),15-13*ORÇAMENTO!$AF$11)),
         0)</f>
        <v>0</v>
      </c>
      <c r="AM166" s="172">
        <f ca="1">IF(OR($D166&lt;&gt;"Serviço",AND(AUTOEVENTO="Manual",$M166=$A$15)),0,
         IF(OFFSET(CRONOPLE!$F$15,$M166-$A$15,AM$13)="",10^12,OFFSET(CRONOPLE!$F$15,$M166-$A$15,AM$13)))</f>
        <v>1000000000000</v>
      </c>
      <c r="AN166" s="172">
        <f ca="1">IF(OR($D166&lt;&gt;"Serviço",AND(AUTOEVENTO="Manual",$M166=$A$15)),0,
         IF(OFFSET(CRONOPLE!$F$15,$M166-$A$15,AN$13)="",10^12,OFFSET(CRONOPLE!$F$15,$M166-$A$15,AN$13)))</f>
        <v>1000000000000</v>
      </c>
      <c r="AO166" s="172">
        <f ca="1">IF(OR($D166&lt;&gt;"Serviço",AND(AUTOEVENTO="Manual",$M166=$A$15)),0,
         IF(OFFSET(CRONOPLE!$F$15,$M166-$A$15,AO$13)="",10^12,OFFSET(CRONOPLE!$F$15,$M166-$A$15,AO$13)))</f>
        <v>1000000000000</v>
      </c>
      <c r="AP166" s="172">
        <f ca="1">IF(OR($D166&lt;&gt;"Serviço",AND(AUTOEVENTO="Manual",$M166=$A$15)),0,
         IF(OFFSET(CRONOPLE!$F$15,$M166-$A$15,AP$13)="",10^12,OFFSET(CRONOPLE!$F$15,$M166-$A$15,AP$13)))</f>
        <v>1000000000000</v>
      </c>
      <c r="AQ166" s="172">
        <f ca="1">IF(OR($D166&lt;&gt;"Serviço",AND(AUTOEVENTO="Manual",$M166=$A$15)),0,
         IF(OFFSET(CRONOPLE!$F$15,$M166-$A$15,AQ$13)="",10^12,OFFSET(CRONOPLE!$F$15,$M166-$A$15,AQ$13)))</f>
        <v>1000000000000</v>
      </c>
      <c r="AR166" s="172">
        <f ca="1">IF(OR($D166&lt;&gt;"Serviço",AND(AUTOEVENTO="Manual",$M166=$A$15)),0,
         IF(OFFSET(CRONOPLE!$F$15,$M166-$A$15,AR$13)="",10^12,OFFSET(CRONOPLE!$F$15,$M166-$A$15,AR$13)))</f>
        <v>1000000000000</v>
      </c>
      <c r="AS166" s="172">
        <f ca="1">IF(OR($D166&lt;&gt;"Serviço",AND(AUTOEVENTO="Manual",$M166=$A$15)),0,
         IF(OFFSET(CRONOPLE!$F$15,$M166-$A$15,AS$13)="",10^12,OFFSET(CRONOPLE!$F$15,$M166-$A$15,AS$13)))</f>
        <v>1000000000000</v>
      </c>
      <c r="AT166" s="172">
        <f ca="1">IF(OR($D166&lt;&gt;"Serviço",AND(AUTOEVENTO="Manual",$M166=$A$15)),0,
         IF(OFFSET(CRONOPLE!$F$15,$M166-$A$15,AT$13)="",10^12,OFFSET(CRONOPLE!$F$15,$M166-$A$15,AT$13)))</f>
        <v>1000000000000</v>
      </c>
      <c r="AU166" s="172">
        <f ca="1">IF(OR($D166&lt;&gt;"Serviço",AND(AUTOEVENTO="Manual",$M166=$A$15)),0,
         IF(OFFSET(CRONOPLE!$F$15,$M166-$A$15,AU$13)="",10^12,OFFSET(CRONOPLE!$F$15,$M166-$A$15,AU$13)))</f>
        <v>1000000000000</v>
      </c>
      <c r="AV166" s="172">
        <f ca="1">IF(OR($D166&lt;&gt;"Serviço",AND(AUTOEVENTO="Manual",$M166=$A$15)),0,
         IF(OFFSET(CRONOPLE!$F$15,$M166-$A$15,AV$13)="",10^12,OFFSET(CRONOPLE!$F$15,$M166-$A$15,AV$13)))</f>
        <v>1000000000000</v>
      </c>
      <c r="AX166" s="173">
        <f ca="1">IF(OR($D166&lt;&gt;"Serviço",AND(AUTOEVENTO="Manual",$M166=$A$15),$M166&gt;(ROW(PLE.lastrow)-ROW(PLE.firstrow))),0,
           IF(OFFSET(PLE!$G$15,$M166-$A$15,AX$13)="",10^12,OFFSET(PLE!$G$15,$M166-$A$15,AX$13)))</f>
        <v>1000000000000</v>
      </c>
      <c r="AY166" s="173">
        <f ca="1">IF(OR($D166&lt;&gt;"Serviço",AND(AUTOEVENTO="Manual",$M166=$A$15),$M166&gt;(ROW(PLE.lastrow)-ROW(PLE.firstrow))),0,
           IF(OFFSET(PLE!$G$15,$M166-$A$15,AY$13)="",10^12,OFFSET(PLE!$G$15,$M166-$A$15,AY$13)))</f>
        <v>1000000000000</v>
      </c>
      <c r="AZ166" s="173">
        <f ca="1">IF(OR($D166&lt;&gt;"Serviço",AND(AUTOEVENTO="Manual",$M166=$A$15),$M166&gt;(ROW(PLE.lastrow)-ROW(PLE.firstrow))),0,
           IF(OFFSET(PLE!$G$15,$M166-$A$15,AZ$13)="",10^12,OFFSET(PLE!$G$15,$M166-$A$15,AZ$13)))</f>
        <v>1000000000000</v>
      </c>
      <c r="BA166" s="173">
        <f ca="1">IF(OR($D166&lt;&gt;"Serviço",AND(AUTOEVENTO="Manual",$M166=$A$15),$M166&gt;(ROW(PLE.lastrow)-ROW(PLE.firstrow))),0,
           IF(OFFSET(PLE!$G$15,$M166-$A$15,BA$13)="",10^12,OFFSET(PLE!$G$15,$M166-$A$15,BA$13)))</f>
        <v>1000000000000</v>
      </c>
      <c r="BB166" s="173">
        <f ca="1">IF(OR($D166&lt;&gt;"Serviço",AND(AUTOEVENTO="Manual",$M166=$A$15),$M166&gt;(ROW(PLE.lastrow)-ROW(PLE.firstrow))),0,
           IF(OFFSET(PLE!$G$15,$M166-$A$15,BB$13)="",10^12,OFFSET(PLE!$G$15,$M166-$A$15,BB$13)))</f>
        <v>1000000000000</v>
      </c>
      <c r="BC166" s="173">
        <f ca="1">IF(OR($D166&lt;&gt;"Serviço",AND(AUTOEVENTO="Manual",$M166=$A$15),$M166&gt;(ROW(PLE.lastrow)-ROW(PLE.firstrow))),0,
           IF(OFFSET(PLE!$G$15,$M166-$A$15,BC$13)="",10^12,OFFSET(PLE!$G$15,$M166-$A$15,BC$13)))</f>
        <v>1000000000000</v>
      </c>
      <c r="BD166" s="173">
        <f ca="1">IF(OR($D166&lt;&gt;"Serviço",AND(AUTOEVENTO="Manual",$M166=$A$15),$M166&gt;(ROW(PLE.lastrow)-ROW(PLE.firstrow))),0,
           IF(OFFSET(PLE!$G$15,$M166-$A$15,BD$13)="",10^12,OFFSET(PLE!$G$15,$M166-$A$15,BD$13)))</f>
        <v>1000000000000</v>
      </c>
      <c r="BE166" s="173">
        <f ca="1">IF(OR($D166&lt;&gt;"Serviço",AND(AUTOEVENTO="Manual",$M166=$A$15),$M166&gt;(ROW(PLE.lastrow)-ROW(PLE.firstrow))),0,
           IF(OFFSET(PLE!$G$15,$M166-$A$15,BE$13)="",10^12,OFFSET(PLE!$G$15,$M166-$A$15,BE$13)))</f>
        <v>1000000000000</v>
      </c>
      <c r="BF166" s="173">
        <f ca="1">IF(OR($D166&lt;&gt;"Serviço",AND(AUTOEVENTO="Manual",$M166=$A$15),$M166&gt;(ROW(PLE.lastrow)-ROW(PLE.firstrow))),0,
           IF(OFFSET(PLE!$G$15,$M166-$A$15,BF$13)="",10^12,OFFSET(PLE!$G$15,$M166-$A$15,BF$13)))</f>
        <v>1000000000000</v>
      </c>
      <c r="BG166" s="173">
        <f ca="1">IF(OR($D166&lt;&gt;"Serviço",AND(AUTOEVENTO="Manual",$M166=$A$15),$M166&gt;(ROW(PLE.lastrow)-ROW(PLE.firstrow))),0,
           IF(OFFSET(PLE!$G$15,$M166-$A$15,BG$13)="",10^12,OFFSET(PLE!$G$15,$M166-$A$15,BG$13)))</f>
        <v>1000000000000</v>
      </c>
    </row>
    <row r="167" spans="1:59" ht="38.25" x14ac:dyDescent="0.2">
      <c r="A167" s="7" t="str">
        <f t="shared" ca="1" si="10"/>
        <v>114</v>
      </c>
      <c r="B167" s="7" t="str">
        <f ca="1">OFFSET(ORÇAMENTO!C$15,ROW(B167)-ROW(B$15),0)</f>
        <v>S</v>
      </c>
      <c r="C167" s="7" t="str">
        <f ca="1">OFFSET(ORÇAMENTO!L$15,ROW(C167)-ROW(C$15),0)</f>
        <v/>
      </c>
      <c r="D167" s="117" t="str">
        <f ca="1">OFFSET(ORÇAMENTO!N$15,ROW(D167)-ROW(D$15),0)</f>
        <v>Serviço</v>
      </c>
      <c r="E167" s="118" t="str">
        <f ca="1">OFFSET(ORÇAMENTO!O$15,ROW(E167)-ROW(E$15),0)</f>
        <v>-</v>
      </c>
      <c r="F167" s="164" t="str">
        <f ca="1">OFFSET(ORÇAMENTO!R$15,ROW(F167)-ROW(F$15),0)</f>
        <v>TE, PVC, SERIE NORMAL, ESGOTO PREDIAL, DN 50 X 50 MM, JUNTA ELÁSTICA, FORNECIDO E INSTALADO EM RAMAL DE DESCARGA OU RAMAL DE ESGOTO SANITÁRIO. AF_08/2022</v>
      </c>
      <c r="G167" s="165" t="str">
        <f ca="1">IF($D167&lt;&gt;"Serviço","",OFFSET(ORÇAMENTO!S$15,ROW(G167)-ROW(G$15),0))</f>
        <v>UN</v>
      </c>
      <c r="H167" s="123">
        <f ca="1">IF($D167&lt;&gt;"Serviço",0,IF(ACOMPANHAMENTO="BM",ROUND(OFFSET(ORÇAMENTO!AJ$15,ROW(H167)-ROW(H$15),0),15-13*ORÇAMENTO!$AF$7),SUMPRODUCT(($Q$1:$AA$1=1)*ROUND($Q167:$AA167,15-13*ORÇAMENTO!$AF$7))))</f>
        <v>5</v>
      </c>
      <c r="I167" s="469"/>
      <c r="J167" s="577" t="str" cm="1">
        <f t="array" aca="1" ref="J167" ca="1">IF(B167&lt;&gt;"S","",IF(AND(ACOMPANHAMENTO="PLE",AUTOEVENTO="Manual",OR(H167&gt;0,ORÇAMENTO!AC167="QUANT."),OR(K167="",M167=0,N167="")),"►",IF(AND(ACOMPANHAMENTO="PLE",ORÇAMENTO!AC167="QUANT."),"►►",IF(AND(COUNTIF($P$11:$AA$11,"▼")=0,H167&gt;0,I167=""),"◄",""))))</f>
        <v>◄</v>
      </c>
      <c r="K167" s="626"/>
      <c r="L167" s="166" t="s">
        <v>765</v>
      </c>
      <c r="M167" s="167">
        <f ca="1">IF($D167&lt;&gt;"Serviço","",
          IF(AUTOEVENTO="manual",$A167,
                IF(ISERROR(MATCH($A167,$A$15:OFFSET($A167,-1,0),0)),MAX($M$15:OFFSET(M167,-1,0))+1,
                      INDEX($M$15:OFFSET(M167,-1,0),MATCH($A167,$A$15:OFFSET($A167,-1,0),0)))))</f>
        <v>11</v>
      </c>
      <c r="N167" s="168" t="str">
        <f ca="1">IF($D167&lt;&gt;"Serviço","",
         IF(AUTOEVENTO="Manual",
                IF($A167=0,"&lt;-- defina o número do agrupador",
                       OFFSET(EVENTOS!$D$15,$A167-$A$15,0)),
                OFFSET($F$15,$A167,0)))</f>
        <v>INSTALAÇÕES HIDROSSANITÁRIAS</v>
      </c>
      <c r="O167" s="169"/>
      <c r="Q167" s="169"/>
      <c r="R167" s="170"/>
      <c r="S167" s="170"/>
      <c r="T167" s="170"/>
      <c r="U167" s="170"/>
      <c r="V167" s="170"/>
      <c r="W167" s="170"/>
      <c r="X167" s="170"/>
      <c r="Y167" s="170"/>
      <c r="Z167" s="171"/>
      <c r="AB167" s="454">
        <f ca="1">IF(AND($D167="Serviço",AB$12&lt;&gt;0,$H167&gt;0,OR(AUTOEVENTO&lt;&gt;"manual",$M167&lt;&gt;$A$15)),
        IF(Import.TipoArredondamento&lt;&gt;"TransfereGOV",
              ROUND(OFFSET($P167,0,AB$13),15-13*ORÇAMENTO!$AF$7)/$H167*OFFSET(ORÇAMENTO!$X$15,ROW(AB167)-ROW(AB$15),0),
              ROUND(ROUND(OFFSET($P167,0,AB$13),15-13*ORÇAMENTO!$AF$7)*OFFSET(ORÇAMENTO!$W$15,ROW(AB167)-ROW(AB$15),0),15-13*ORÇAMENTO!$AF$11)),
         0)</f>
        <v>0</v>
      </c>
      <c r="AC167" s="454">
        <f ca="1">IF(AND($D167="Serviço",AC$12&lt;&gt;0,$H167&gt;0,OR(AUTOEVENTO&lt;&gt;"manual",$M167&lt;&gt;$A$15)),
        IF(Import.TipoArredondamento&lt;&gt;"TransfereGOV",
              ROUND(OFFSET($P167,0,AC$13),15-13*ORÇAMENTO!$AF$7)/$H167*OFFSET(ORÇAMENTO!$X$15,ROW(AC167)-ROW(AC$15),0),
              ROUND(ROUND(OFFSET($P167,0,AC$13),15-13*ORÇAMENTO!$AF$7)*OFFSET(ORÇAMENTO!$W$15,ROW(AC167)-ROW(AC$15),0),15-13*ORÇAMENTO!$AF$11)),
         0)</f>
        <v>0</v>
      </c>
      <c r="AD167" s="454">
        <f ca="1">IF(AND($D167="Serviço",AD$12&lt;&gt;0,$H167&gt;0,OR(AUTOEVENTO&lt;&gt;"manual",$M167&lt;&gt;$A$15)),
        IF(Import.TipoArredondamento&lt;&gt;"TransfereGOV",
              ROUND(OFFSET($P167,0,AD$13),15-13*ORÇAMENTO!$AF$7)/$H167*OFFSET(ORÇAMENTO!$X$15,ROW(AD167)-ROW(AD$15),0),
              ROUND(ROUND(OFFSET($P167,0,AD$13),15-13*ORÇAMENTO!$AF$7)*OFFSET(ORÇAMENTO!$W$15,ROW(AD167)-ROW(AD$15),0),15-13*ORÇAMENTO!$AF$11)),
         0)</f>
        <v>0</v>
      </c>
      <c r="AE167" s="454">
        <f ca="1">IF(AND($D167="Serviço",AE$12&lt;&gt;0,$H167&gt;0,OR(AUTOEVENTO&lt;&gt;"manual",$M167&lt;&gt;$A$15)),
        IF(Import.TipoArredondamento&lt;&gt;"TransfereGOV",
              ROUND(OFFSET($P167,0,AE$13),15-13*ORÇAMENTO!$AF$7)/$H167*OFFSET(ORÇAMENTO!$X$15,ROW(AE167)-ROW(AE$15),0),
              ROUND(ROUND(OFFSET($P167,0,AE$13),15-13*ORÇAMENTO!$AF$7)*OFFSET(ORÇAMENTO!$W$15,ROW(AE167)-ROW(AE$15),0),15-13*ORÇAMENTO!$AF$11)),
         0)</f>
        <v>0</v>
      </c>
      <c r="AF167" s="454">
        <f ca="1">IF(AND($D167="Serviço",AF$12&lt;&gt;0,$H167&gt;0,OR(AUTOEVENTO&lt;&gt;"manual",$M167&lt;&gt;$A$15)),
        IF(Import.TipoArredondamento&lt;&gt;"TransfereGOV",
              ROUND(OFFSET($P167,0,AF$13),15-13*ORÇAMENTO!$AF$7)/$H167*OFFSET(ORÇAMENTO!$X$15,ROW(AF167)-ROW(AF$15),0),
              ROUND(ROUND(OFFSET($P167,0,AF$13),15-13*ORÇAMENTO!$AF$7)*OFFSET(ORÇAMENTO!$W$15,ROW(AF167)-ROW(AF$15),0),15-13*ORÇAMENTO!$AF$11)),
         0)</f>
        <v>0</v>
      </c>
      <c r="AG167" s="454">
        <f ca="1">IF(AND($D167="Serviço",AG$12&lt;&gt;0,$H167&gt;0,OR(AUTOEVENTO&lt;&gt;"manual",$M167&lt;&gt;$A$15)),
        IF(Import.TipoArredondamento&lt;&gt;"TransfereGOV",
              ROUND(OFFSET($P167,0,AG$13),15-13*ORÇAMENTO!$AF$7)/$H167*OFFSET(ORÇAMENTO!$X$15,ROW(AG167)-ROW(AG$15),0),
              ROUND(ROUND(OFFSET($P167,0,AG$13),15-13*ORÇAMENTO!$AF$7)*OFFSET(ORÇAMENTO!$W$15,ROW(AG167)-ROW(AG$15),0),15-13*ORÇAMENTO!$AF$11)),
         0)</f>
        <v>0</v>
      </c>
      <c r="AH167" s="454">
        <f ca="1">IF(AND($D167="Serviço",AH$12&lt;&gt;0,$H167&gt;0,OR(AUTOEVENTO&lt;&gt;"manual",$M167&lt;&gt;$A$15)),
        IF(Import.TipoArredondamento&lt;&gt;"TransfereGOV",
              ROUND(OFFSET($P167,0,AH$13),15-13*ORÇAMENTO!$AF$7)/$H167*OFFSET(ORÇAMENTO!$X$15,ROW(AH167)-ROW(AH$15),0),
              ROUND(ROUND(OFFSET($P167,0,AH$13),15-13*ORÇAMENTO!$AF$7)*OFFSET(ORÇAMENTO!$W$15,ROW(AH167)-ROW(AH$15),0),15-13*ORÇAMENTO!$AF$11)),
         0)</f>
        <v>0</v>
      </c>
      <c r="AI167" s="454">
        <f ca="1">IF(AND($D167="Serviço",AI$12&lt;&gt;0,$H167&gt;0,OR(AUTOEVENTO&lt;&gt;"manual",$M167&lt;&gt;$A$15)),
        IF(Import.TipoArredondamento&lt;&gt;"TransfereGOV",
              ROUND(OFFSET($P167,0,AI$13),15-13*ORÇAMENTO!$AF$7)/$H167*OFFSET(ORÇAMENTO!$X$15,ROW(AI167)-ROW(AI$15),0),
              ROUND(ROUND(OFFSET($P167,0,AI$13),15-13*ORÇAMENTO!$AF$7)*OFFSET(ORÇAMENTO!$W$15,ROW(AI167)-ROW(AI$15),0),15-13*ORÇAMENTO!$AF$11)),
         0)</f>
        <v>0</v>
      </c>
      <c r="AJ167" s="454">
        <f ca="1">IF(AND($D167="Serviço",AJ$12&lt;&gt;0,$H167&gt;0,OR(AUTOEVENTO&lt;&gt;"manual",$M167&lt;&gt;$A$15)),
        IF(Import.TipoArredondamento&lt;&gt;"TransfereGOV",
              ROUND(OFFSET($P167,0,AJ$13),15-13*ORÇAMENTO!$AF$7)/$H167*OFFSET(ORÇAMENTO!$X$15,ROW(AJ167)-ROW(AJ$15),0),
              ROUND(ROUND(OFFSET($P167,0,AJ$13),15-13*ORÇAMENTO!$AF$7)*OFFSET(ORÇAMENTO!$W$15,ROW(AJ167)-ROW(AJ$15),0),15-13*ORÇAMENTO!$AF$11)),
         0)</f>
        <v>0</v>
      </c>
      <c r="AK167" s="454">
        <f ca="1">IF(AND($D167="Serviço",AK$12&lt;&gt;0,$H167&gt;0,OR(AUTOEVENTO&lt;&gt;"manual",$M167&lt;&gt;$A$15)),
        IF(Import.TipoArredondamento&lt;&gt;"TransfereGOV",
              ROUND(OFFSET($P167,0,AK$13),15-13*ORÇAMENTO!$AF$7)/$H167*OFFSET(ORÇAMENTO!$X$15,ROW(AK167)-ROW(AK$15),0),
              ROUND(ROUND(OFFSET($P167,0,AK$13),15-13*ORÇAMENTO!$AF$7)*OFFSET(ORÇAMENTO!$W$15,ROW(AK167)-ROW(AK$15),0),15-13*ORÇAMENTO!$AF$11)),
         0)</f>
        <v>0</v>
      </c>
      <c r="AM167" s="172">
        <f ca="1">IF(OR($D167&lt;&gt;"Serviço",AND(AUTOEVENTO="Manual",$M167=$A$15)),0,
         IF(OFFSET(CRONOPLE!$F$15,$M167-$A$15,AM$13)="",10^12,OFFSET(CRONOPLE!$F$15,$M167-$A$15,AM$13)))</f>
        <v>1000000000000</v>
      </c>
      <c r="AN167" s="172">
        <f ca="1">IF(OR($D167&lt;&gt;"Serviço",AND(AUTOEVENTO="Manual",$M167=$A$15)),0,
         IF(OFFSET(CRONOPLE!$F$15,$M167-$A$15,AN$13)="",10^12,OFFSET(CRONOPLE!$F$15,$M167-$A$15,AN$13)))</f>
        <v>1000000000000</v>
      </c>
      <c r="AO167" s="172">
        <f ca="1">IF(OR($D167&lt;&gt;"Serviço",AND(AUTOEVENTO="Manual",$M167=$A$15)),0,
         IF(OFFSET(CRONOPLE!$F$15,$M167-$A$15,AO$13)="",10^12,OFFSET(CRONOPLE!$F$15,$M167-$A$15,AO$13)))</f>
        <v>1000000000000</v>
      </c>
      <c r="AP167" s="172">
        <f ca="1">IF(OR($D167&lt;&gt;"Serviço",AND(AUTOEVENTO="Manual",$M167=$A$15)),0,
         IF(OFFSET(CRONOPLE!$F$15,$M167-$A$15,AP$13)="",10^12,OFFSET(CRONOPLE!$F$15,$M167-$A$15,AP$13)))</f>
        <v>1000000000000</v>
      </c>
      <c r="AQ167" s="172">
        <f ca="1">IF(OR($D167&lt;&gt;"Serviço",AND(AUTOEVENTO="Manual",$M167=$A$15)),0,
         IF(OFFSET(CRONOPLE!$F$15,$M167-$A$15,AQ$13)="",10^12,OFFSET(CRONOPLE!$F$15,$M167-$A$15,AQ$13)))</f>
        <v>1000000000000</v>
      </c>
      <c r="AR167" s="172">
        <f ca="1">IF(OR($D167&lt;&gt;"Serviço",AND(AUTOEVENTO="Manual",$M167=$A$15)),0,
         IF(OFFSET(CRONOPLE!$F$15,$M167-$A$15,AR$13)="",10^12,OFFSET(CRONOPLE!$F$15,$M167-$A$15,AR$13)))</f>
        <v>1000000000000</v>
      </c>
      <c r="AS167" s="172">
        <f ca="1">IF(OR($D167&lt;&gt;"Serviço",AND(AUTOEVENTO="Manual",$M167=$A$15)),0,
         IF(OFFSET(CRONOPLE!$F$15,$M167-$A$15,AS$13)="",10^12,OFFSET(CRONOPLE!$F$15,$M167-$A$15,AS$13)))</f>
        <v>1000000000000</v>
      </c>
      <c r="AT167" s="172">
        <f ca="1">IF(OR($D167&lt;&gt;"Serviço",AND(AUTOEVENTO="Manual",$M167=$A$15)),0,
         IF(OFFSET(CRONOPLE!$F$15,$M167-$A$15,AT$13)="",10^12,OFFSET(CRONOPLE!$F$15,$M167-$A$15,AT$13)))</f>
        <v>1000000000000</v>
      </c>
      <c r="AU167" s="172">
        <f ca="1">IF(OR($D167&lt;&gt;"Serviço",AND(AUTOEVENTO="Manual",$M167=$A$15)),0,
         IF(OFFSET(CRONOPLE!$F$15,$M167-$A$15,AU$13)="",10^12,OFFSET(CRONOPLE!$F$15,$M167-$A$15,AU$13)))</f>
        <v>1000000000000</v>
      </c>
      <c r="AV167" s="172">
        <f ca="1">IF(OR($D167&lt;&gt;"Serviço",AND(AUTOEVENTO="Manual",$M167=$A$15)),0,
         IF(OFFSET(CRONOPLE!$F$15,$M167-$A$15,AV$13)="",10^12,OFFSET(CRONOPLE!$F$15,$M167-$A$15,AV$13)))</f>
        <v>1000000000000</v>
      </c>
      <c r="AX167" s="173">
        <f ca="1">IF(OR($D167&lt;&gt;"Serviço",AND(AUTOEVENTO="Manual",$M167=$A$15),$M167&gt;(ROW(PLE.lastrow)-ROW(PLE.firstrow))),0,
           IF(OFFSET(PLE!$G$15,$M167-$A$15,AX$13)="",10^12,OFFSET(PLE!$G$15,$M167-$A$15,AX$13)))</f>
        <v>1000000000000</v>
      </c>
      <c r="AY167" s="173">
        <f ca="1">IF(OR($D167&lt;&gt;"Serviço",AND(AUTOEVENTO="Manual",$M167=$A$15),$M167&gt;(ROW(PLE.lastrow)-ROW(PLE.firstrow))),0,
           IF(OFFSET(PLE!$G$15,$M167-$A$15,AY$13)="",10^12,OFFSET(PLE!$G$15,$M167-$A$15,AY$13)))</f>
        <v>1000000000000</v>
      </c>
      <c r="AZ167" s="173">
        <f ca="1">IF(OR($D167&lt;&gt;"Serviço",AND(AUTOEVENTO="Manual",$M167=$A$15),$M167&gt;(ROW(PLE.lastrow)-ROW(PLE.firstrow))),0,
           IF(OFFSET(PLE!$G$15,$M167-$A$15,AZ$13)="",10^12,OFFSET(PLE!$G$15,$M167-$A$15,AZ$13)))</f>
        <v>1000000000000</v>
      </c>
      <c r="BA167" s="173">
        <f ca="1">IF(OR($D167&lt;&gt;"Serviço",AND(AUTOEVENTO="Manual",$M167=$A$15),$M167&gt;(ROW(PLE.lastrow)-ROW(PLE.firstrow))),0,
           IF(OFFSET(PLE!$G$15,$M167-$A$15,BA$13)="",10^12,OFFSET(PLE!$G$15,$M167-$A$15,BA$13)))</f>
        <v>1000000000000</v>
      </c>
      <c r="BB167" s="173">
        <f ca="1">IF(OR($D167&lt;&gt;"Serviço",AND(AUTOEVENTO="Manual",$M167=$A$15),$M167&gt;(ROW(PLE.lastrow)-ROW(PLE.firstrow))),0,
           IF(OFFSET(PLE!$G$15,$M167-$A$15,BB$13)="",10^12,OFFSET(PLE!$G$15,$M167-$A$15,BB$13)))</f>
        <v>1000000000000</v>
      </c>
      <c r="BC167" s="173">
        <f ca="1">IF(OR($D167&lt;&gt;"Serviço",AND(AUTOEVENTO="Manual",$M167=$A$15),$M167&gt;(ROW(PLE.lastrow)-ROW(PLE.firstrow))),0,
           IF(OFFSET(PLE!$G$15,$M167-$A$15,BC$13)="",10^12,OFFSET(PLE!$G$15,$M167-$A$15,BC$13)))</f>
        <v>1000000000000</v>
      </c>
      <c r="BD167" s="173">
        <f ca="1">IF(OR($D167&lt;&gt;"Serviço",AND(AUTOEVENTO="Manual",$M167=$A$15),$M167&gt;(ROW(PLE.lastrow)-ROW(PLE.firstrow))),0,
           IF(OFFSET(PLE!$G$15,$M167-$A$15,BD$13)="",10^12,OFFSET(PLE!$G$15,$M167-$A$15,BD$13)))</f>
        <v>1000000000000</v>
      </c>
      <c r="BE167" s="173">
        <f ca="1">IF(OR($D167&lt;&gt;"Serviço",AND(AUTOEVENTO="Manual",$M167=$A$15),$M167&gt;(ROW(PLE.lastrow)-ROW(PLE.firstrow))),0,
           IF(OFFSET(PLE!$G$15,$M167-$A$15,BE$13)="",10^12,OFFSET(PLE!$G$15,$M167-$A$15,BE$13)))</f>
        <v>1000000000000</v>
      </c>
      <c r="BF167" s="173">
        <f ca="1">IF(OR($D167&lt;&gt;"Serviço",AND(AUTOEVENTO="Manual",$M167=$A$15),$M167&gt;(ROW(PLE.lastrow)-ROW(PLE.firstrow))),0,
           IF(OFFSET(PLE!$G$15,$M167-$A$15,BF$13)="",10^12,OFFSET(PLE!$G$15,$M167-$A$15,BF$13)))</f>
        <v>1000000000000</v>
      </c>
      <c r="BG167" s="173">
        <f ca="1">IF(OR($D167&lt;&gt;"Serviço",AND(AUTOEVENTO="Manual",$M167=$A$15),$M167&gt;(ROW(PLE.lastrow)-ROW(PLE.firstrow))),0,
           IF(OFFSET(PLE!$G$15,$M167-$A$15,BG$13)="",10^12,OFFSET(PLE!$G$15,$M167-$A$15,BG$13)))</f>
        <v>1000000000000</v>
      </c>
    </row>
    <row r="168" spans="1:59" ht="12.75" x14ac:dyDescent="0.2">
      <c r="A168" s="7" t="str">
        <f t="shared" ca="1" si="10"/>
        <v>114</v>
      </c>
      <c r="B168" s="7">
        <f ca="1">OFFSET(ORÇAMENTO!C$15,ROW(B168)-ROW(B$15),0)</f>
        <v>3</v>
      </c>
      <c r="C168" s="7" t="str">
        <f ca="1">OFFSET(ORÇAMENTO!L$15,ROW(C168)-ROW(C$15),0)</f>
        <v>F</v>
      </c>
      <c r="D168" s="117" t="str">
        <f ca="1">OFFSET(ORÇAMENTO!N$15,ROW(D168)-ROW(D$15),0)</f>
        <v>Nível 3</v>
      </c>
      <c r="E168" s="118" t="str">
        <f ca="1">OFFSET(ORÇAMENTO!O$15,ROW(E168)-ROW(E$15),0)</f>
        <v>1.11.2.</v>
      </c>
      <c r="F168" s="164" t="str">
        <f ca="1">OFFSET(ORÇAMENTO!R$15,ROW(F168)-ROW(F$15),0)</f>
        <v>HIDRÁULICA</v>
      </c>
      <c r="G168" s="165" t="str">
        <f ca="1">IF($D168&lt;&gt;"Serviço","",OFFSET(ORÇAMENTO!S$15,ROW(G168)-ROW(G$15),0))</f>
        <v/>
      </c>
      <c r="H168" s="123">
        <f ca="1">IF($D168&lt;&gt;"Serviço",0,IF(ACOMPANHAMENTO="BM",ROUND(OFFSET(ORÇAMENTO!AJ$15,ROW(H168)-ROW(H$15),0),15-13*ORÇAMENTO!$AF$7),SUMPRODUCT(($Q$1:$AA$1=1)*ROUND($Q168:$AA168,15-13*ORÇAMENTO!$AF$7))))</f>
        <v>0</v>
      </c>
      <c r="I168" s="469"/>
      <c r="J168" s="577" t="str" cm="1">
        <f t="array" aca="1" ref="J168" ca="1">IF(B168&lt;&gt;"S","",IF(AND(ACOMPANHAMENTO="PLE",AUTOEVENTO="Manual",OR(H168&gt;0,ORÇAMENTO!AC168="QUANT."),OR(K168="",M168=0,N168="")),"►",IF(AND(ACOMPANHAMENTO="PLE",ORÇAMENTO!AC168="QUANT."),"►►",IF(AND(COUNTIF($P$11:$AA$11,"▼")=0,H168&gt;0,I168=""),"◄",""))))</f>
        <v/>
      </c>
      <c r="K168" s="626"/>
      <c r="L168" s="166" t="s">
        <v>765</v>
      </c>
      <c r="M168" s="167" t="str">
        <f ca="1">IF($D168&lt;&gt;"Serviço","",
          IF(AUTOEVENTO="manual",$A168,
                IF(ISERROR(MATCH($A168,$A$15:OFFSET($A168,-1,0),0)),MAX($M$15:OFFSET(M168,-1,0))+1,
                      INDEX($M$15:OFFSET(M168,-1,0),MATCH($A168,$A$15:OFFSET($A168,-1,0),0)))))</f>
        <v/>
      </c>
      <c r="N168" s="168" t="str">
        <f ca="1">IF($D168&lt;&gt;"Serviço","",
         IF(AUTOEVENTO="Manual",
                IF($A168=0,"&lt;-- defina o número do agrupador",
                       OFFSET(EVENTOS!$D$15,$A168-$A$15,0)),
                OFFSET($F$15,$A168,0)))</f>
        <v/>
      </c>
      <c r="O168" s="169"/>
      <c r="Q168" s="169"/>
      <c r="R168" s="170"/>
      <c r="S168" s="170"/>
      <c r="T168" s="170"/>
      <c r="U168" s="170"/>
      <c r="V168" s="170"/>
      <c r="W168" s="170"/>
      <c r="X168" s="170"/>
      <c r="Y168" s="170"/>
      <c r="Z168" s="171"/>
      <c r="AB168" s="454">
        <f ca="1">IF(AND($D168="Serviço",AB$12&lt;&gt;0,$H168&gt;0,OR(AUTOEVENTO&lt;&gt;"manual",$M168&lt;&gt;$A$15)),
        IF(Import.TipoArredondamento&lt;&gt;"TransfereGOV",
              ROUND(OFFSET($P168,0,AB$13),15-13*ORÇAMENTO!$AF$7)/$H168*OFFSET(ORÇAMENTO!$X$15,ROW(AB168)-ROW(AB$15),0),
              ROUND(ROUND(OFFSET($P168,0,AB$13),15-13*ORÇAMENTO!$AF$7)*OFFSET(ORÇAMENTO!$W$15,ROW(AB168)-ROW(AB$15),0),15-13*ORÇAMENTO!$AF$11)),
         0)</f>
        <v>0</v>
      </c>
      <c r="AC168" s="454">
        <f ca="1">IF(AND($D168="Serviço",AC$12&lt;&gt;0,$H168&gt;0,OR(AUTOEVENTO&lt;&gt;"manual",$M168&lt;&gt;$A$15)),
        IF(Import.TipoArredondamento&lt;&gt;"TransfereGOV",
              ROUND(OFFSET($P168,0,AC$13),15-13*ORÇAMENTO!$AF$7)/$H168*OFFSET(ORÇAMENTO!$X$15,ROW(AC168)-ROW(AC$15),0),
              ROUND(ROUND(OFFSET($P168,0,AC$13),15-13*ORÇAMENTO!$AF$7)*OFFSET(ORÇAMENTO!$W$15,ROW(AC168)-ROW(AC$15),0),15-13*ORÇAMENTO!$AF$11)),
         0)</f>
        <v>0</v>
      </c>
      <c r="AD168" s="454">
        <f ca="1">IF(AND($D168="Serviço",AD$12&lt;&gt;0,$H168&gt;0,OR(AUTOEVENTO&lt;&gt;"manual",$M168&lt;&gt;$A$15)),
        IF(Import.TipoArredondamento&lt;&gt;"TransfereGOV",
              ROUND(OFFSET($P168,0,AD$13),15-13*ORÇAMENTO!$AF$7)/$H168*OFFSET(ORÇAMENTO!$X$15,ROW(AD168)-ROW(AD$15),0),
              ROUND(ROUND(OFFSET($P168,0,AD$13),15-13*ORÇAMENTO!$AF$7)*OFFSET(ORÇAMENTO!$W$15,ROW(AD168)-ROW(AD$15),0),15-13*ORÇAMENTO!$AF$11)),
         0)</f>
        <v>0</v>
      </c>
      <c r="AE168" s="454">
        <f ca="1">IF(AND($D168="Serviço",AE$12&lt;&gt;0,$H168&gt;0,OR(AUTOEVENTO&lt;&gt;"manual",$M168&lt;&gt;$A$15)),
        IF(Import.TipoArredondamento&lt;&gt;"TransfereGOV",
              ROUND(OFFSET($P168,0,AE$13),15-13*ORÇAMENTO!$AF$7)/$H168*OFFSET(ORÇAMENTO!$X$15,ROW(AE168)-ROW(AE$15),0),
              ROUND(ROUND(OFFSET($P168,0,AE$13),15-13*ORÇAMENTO!$AF$7)*OFFSET(ORÇAMENTO!$W$15,ROW(AE168)-ROW(AE$15),0),15-13*ORÇAMENTO!$AF$11)),
         0)</f>
        <v>0</v>
      </c>
      <c r="AF168" s="454">
        <f ca="1">IF(AND($D168="Serviço",AF$12&lt;&gt;0,$H168&gt;0,OR(AUTOEVENTO&lt;&gt;"manual",$M168&lt;&gt;$A$15)),
        IF(Import.TipoArredondamento&lt;&gt;"TransfereGOV",
              ROUND(OFFSET($P168,0,AF$13),15-13*ORÇAMENTO!$AF$7)/$H168*OFFSET(ORÇAMENTO!$X$15,ROW(AF168)-ROW(AF$15),0),
              ROUND(ROUND(OFFSET($P168,0,AF$13),15-13*ORÇAMENTO!$AF$7)*OFFSET(ORÇAMENTO!$W$15,ROW(AF168)-ROW(AF$15),0),15-13*ORÇAMENTO!$AF$11)),
         0)</f>
        <v>0</v>
      </c>
      <c r="AG168" s="454">
        <f ca="1">IF(AND($D168="Serviço",AG$12&lt;&gt;0,$H168&gt;0,OR(AUTOEVENTO&lt;&gt;"manual",$M168&lt;&gt;$A$15)),
        IF(Import.TipoArredondamento&lt;&gt;"TransfereGOV",
              ROUND(OFFSET($P168,0,AG$13),15-13*ORÇAMENTO!$AF$7)/$H168*OFFSET(ORÇAMENTO!$X$15,ROW(AG168)-ROW(AG$15),0),
              ROUND(ROUND(OFFSET($P168,0,AG$13),15-13*ORÇAMENTO!$AF$7)*OFFSET(ORÇAMENTO!$W$15,ROW(AG168)-ROW(AG$15),0),15-13*ORÇAMENTO!$AF$11)),
         0)</f>
        <v>0</v>
      </c>
      <c r="AH168" s="454">
        <f ca="1">IF(AND($D168="Serviço",AH$12&lt;&gt;0,$H168&gt;0,OR(AUTOEVENTO&lt;&gt;"manual",$M168&lt;&gt;$A$15)),
        IF(Import.TipoArredondamento&lt;&gt;"TransfereGOV",
              ROUND(OFFSET($P168,0,AH$13),15-13*ORÇAMENTO!$AF$7)/$H168*OFFSET(ORÇAMENTO!$X$15,ROW(AH168)-ROW(AH$15),0),
              ROUND(ROUND(OFFSET($P168,0,AH$13),15-13*ORÇAMENTO!$AF$7)*OFFSET(ORÇAMENTO!$W$15,ROW(AH168)-ROW(AH$15),0),15-13*ORÇAMENTO!$AF$11)),
         0)</f>
        <v>0</v>
      </c>
      <c r="AI168" s="454">
        <f ca="1">IF(AND($D168="Serviço",AI$12&lt;&gt;0,$H168&gt;0,OR(AUTOEVENTO&lt;&gt;"manual",$M168&lt;&gt;$A$15)),
        IF(Import.TipoArredondamento&lt;&gt;"TransfereGOV",
              ROUND(OFFSET($P168,0,AI$13),15-13*ORÇAMENTO!$AF$7)/$H168*OFFSET(ORÇAMENTO!$X$15,ROW(AI168)-ROW(AI$15),0),
              ROUND(ROUND(OFFSET($P168,0,AI$13),15-13*ORÇAMENTO!$AF$7)*OFFSET(ORÇAMENTO!$W$15,ROW(AI168)-ROW(AI$15),0),15-13*ORÇAMENTO!$AF$11)),
         0)</f>
        <v>0</v>
      </c>
      <c r="AJ168" s="454">
        <f ca="1">IF(AND($D168="Serviço",AJ$12&lt;&gt;0,$H168&gt;0,OR(AUTOEVENTO&lt;&gt;"manual",$M168&lt;&gt;$A$15)),
        IF(Import.TipoArredondamento&lt;&gt;"TransfereGOV",
              ROUND(OFFSET($P168,0,AJ$13),15-13*ORÇAMENTO!$AF$7)/$H168*OFFSET(ORÇAMENTO!$X$15,ROW(AJ168)-ROW(AJ$15),0),
              ROUND(ROUND(OFFSET($P168,0,AJ$13),15-13*ORÇAMENTO!$AF$7)*OFFSET(ORÇAMENTO!$W$15,ROW(AJ168)-ROW(AJ$15),0),15-13*ORÇAMENTO!$AF$11)),
         0)</f>
        <v>0</v>
      </c>
      <c r="AK168" s="454">
        <f ca="1">IF(AND($D168="Serviço",AK$12&lt;&gt;0,$H168&gt;0,OR(AUTOEVENTO&lt;&gt;"manual",$M168&lt;&gt;$A$15)),
        IF(Import.TipoArredondamento&lt;&gt;"TransfereGOV",
              ROUND(OFFSET($P168,0,AK$13),15-13*ORÇAMENTO!$AF$7)/$H168*OFFSET(ORÇAMENTO!$X$15,ROW(AK168)-ROW(AK$15),0),
              ROUND(ROUND(OFFSET($P168,0,AK$13),15-13*ORÇAMENTO!$AF$7)*OFFSET(ORÇAMENTO!$W$15,ROW(AK168)-ROW(AK$15),0),15-13*ORÇAMENTO!$AF$11)),
         0)</f>
        <v>0</v>
      </c>
      <c r="AM168" s="172">
        <f ca="1">IF(OR($D168&lt;&gt;"Serviço",AND(AUTOEVENTO="Manual",$M168=$A$15)),0,
         IF(OFFSET(CRONOPLE!$F$15,$M168-$A$15,AM$13)="",10^12,OFFSET(CRONOPLE!$F$15,$M168-$A$15,AM$13)))</f>
        <v>0</v>
      </c>
      <c r="AN168" s="172">
        <f ca="1">IF(OR($D168&lt;&gt;"Serviço",AND(AUTOEVENTO="Manual",$M168=$A$15)),0,
         IF(OFFSET(CRONOPLE!$F$15,$M168-$A$15,AN$13)="",10^12,OFFSET(CRONOPLE!$F$15,$M168-$A$15,AN$13)))</f>
        <v>0</v>
      </c>
      <c r="AO168" s="172">
        <f ca="1">IF(OR($D168&lt;&gt;"Serviço",AND(AUTOEVENTO="Manual",$M168=$A$15)),0,
         IF(OFFSET(CRONOPLE!$F$15,$M168-$A$15,AO$13)="",10^12,OFFSET(CRONOPLE!$F$15,$M168-$A$15,AO$13)))</f>
        <v>0</v>
      </c>
      <c r="AP168" s="172">
        <f ca="1">IF(OR($D168&lt;&gt;"Serviço",AND(AUTOEVENTO="Manual",$M168=$A$15)),0,
         IF(OFFSET(CRONOPLE!$F$15,$M168-$A$15,AP$13)="",10^12,OFFSET(CRONOPLE!$F$15,$M168-$A$15,AP$13)))</f>
        <v>0</v>
      </c>
      <c r="AQ168" s="172">
        <f ca="1">IF(OR($D168&lt;&gt;"Serviço",AND(AUTOEVENTO="Manual",$M168=$A$15)),0,
         IF(OFFSET(CRONOPLE!$F$15,$M168-$A$15,AQ$13)="",10^12,OFFSET(CRONOPLE!$F$15,$M168-$A$15,AQ$13)))</f>
        <v>0</v>
      </c>
      <c r="AR168" s="172">
        <f ca="1">IF(OR($D168&lt;&gt;"Serviço",AND(AUTOEVENTO="Manual",$M168=$A$15)),0,
         IF(OFFSET(CRONOPLE!$F$15,$M168-$A$15,AR$13)="",10^12,OFFSET(CRONOPLE!$F$15,$M168-$A$15,AR$13)))</f>
        <v>0</v>
      </c>
      <c r="AS168" s="172">
        <f ca="1">IF(OR($D168&lt;&gt;"Serviço",AND(AUTOEVENTO="Manual",$M168=$A$15)),0,
         IF(OFFSET(CRONOPLE!$F$15,$M168-$A$15,AS$13)="",10^12,OFFSET(CRONOPLE!$F$15,$M168-$A$15,AS$13)))</f>
        <v>0</v>
      </c>
      <c r="AT168" s="172">
        <f ca="1">IF(OR($D168&lt;&gt;"Serviço",AND(AUTOEVENTO="Manual",$M168=$A$15)),0,
         IF(OFFSET(CRONOPLE!$F$15,$M168-$A$15,AT$13)="",10^12,OFFSET(CRONOPLE!$F$15,$M168-$A$15,AT$13)))</f>
        <v>0</v>
      </c>
      <c r="AU168" s="172">
        <f ca="1">IF(OR($D168&lt;&gt;"Serviço",AND(AUTOEVENTO="Manual",$M168=$A$15)),0,
         IF(OFFSET(CRONOPLE!$F$15,$M168-$A$15,AU$13)="",10^12,OFFSET(CRONOPLE!$F$15,$M168-$A$15,AU$13)))</f>
        <v>0</v>
      </c>
      <c r="AV168" s="172">
        <f ca="1">IF(OR($D168&lt;&gt;"Serviço",AND(AUTOEVENTO="Manual",$M168=$A$15)),0,
         IF(OFFSET(CRONOPLE!$F$15,$M168-$A$15,AV$13)="",10^12,OFFSET(CRONOPLE!$F$15,$M168-$A$15,AV$13)))</f>
        <v>0</v>
      </c>
      <c r="AX168" s="173">
        <f ca="1">IF(OR($D168&lt;&gt;"Serviço",AND(AUTOEVENTO="Manual",$M168=$A$15),$M168&gt;(ROW(PLE.lastrow)-ROW(PLE.firstrow))),0,
           IF(OFFSET(PLE!$G$15,$M168-$A$15,AX$13)="",10^12,OFFSET(PLE!$G$15,$M168-$A$15,AX$13)))</f>
        <v>0</v>
      </c>
      <c r="AY168" s="173">
        <f ca="1">IF(OR($D168&lt;&gt;"Serviço",AND(AUTOEVENTO="Manual",$M168=$A$15),$M168&gt;(ROW(PLE.lastrow)-ROW(PLE.firstrow))),0,
           IF(OFFSET(PLE!$G$15,$M168-$A$15,AY$13)="",10^12,OFFSET(PLE!$G$15,$M168-$A$15,AY$13)))</f>
        <v>0</v>
      </c>
      <c r="AZ168" s="173">
        <f ca="1">IF(OR($D168&lt;&gt;"Serviço",AND(AUTOEVENTO="Manual",$M168=$A$15),$M168&gt;(ROW(PLE.lastrow)-ROW(PLE.firstrow))),0,
           IF(OFFSET(PLE!$G$15,$M168-$A$15,AZ$13)="",10^12,OFFSET(PLE!$G$15,$M168-$A$15,AZ$13)))</f>
        <v>0</v>
      </c>
      <c r="BA168" s="173">
        <f ca="1">IF(OR($D168&lt;&gt;"Serviço",AND(AUTOEVENTO="Manual",$M168=$A$15),$M168&gt;(ROW(PLE.lastrow)-ROW(PLE.firstrow))),0,
           IF(OFFSET(PLE!$G$15,$M168-$A$15,BA$13)="",10^12,OFFSET(PLE!$G$15,$M168-$A$15,BA$13)))</f>
        <v>0</v>
      </c>
      <c r="BB168" s="173">
        <f ca="1">IF(OR($D168&lt;&gt;"Serviço",AND(AUTOEVENTO="Manual",$M168=$A$15),$M168&gt;(ROW(PLE.lastrow)-ROW(PLE.firstrow))),0,
           IF(OFFSET(PLE!$G$15,$M168-$A$15,BB$13)="",10^12,OFFSET(PLE!$G$15,$M168-$A$15,BB$13)))</f>
        <v>0</v>
      </c>
      <c r="BC168" s="173">
        <f ca="1">IF(OR($D168&lt;&gt;"Serviço",AND(AUTOEVENTO="Manual",$M168=$A$15),$M168&gt;(ROW(PLE.lastrow)-ROW(PLE.firstrow))),0,
           IF(OFFSET(PLE!$G$15,$M168-$A$15,BC$13)="",10^12,OFFSET(PLE!$G$15,$M168-$A$15,BC$13)))</f>
        <v>0</v>
      </c>
      <c r="BD168" s="173">
        <f ca="1">IF(OR($D168&lt;&gt;"Serviço",AND(AUTOEVENTO="Manual",$M168=$A$15),$M168&gt;(ROW(PLE.lastrow)-ROW(PLE.firstrow))),0,
           IF(OFFSET(PLE!$G$15,$M168-$A$15,BD$13)="",10^12,OFFSET(PLE!$G$15,$M168-$A$15,BD$13)))</f>
        <v>0</v>
      </c>
      <c r="BE168" s="173">
        <f ca="1">IF(OR($D168&lt;&gt;"Serviço",AND(AUTOEVENTO="Manual",$M168=$A$15),$M168&gt;(ROW(PLE.lastrow)-ROW(PLE.firstrow))),0,
           IF(OFFSET(PLE!$G$15,$M168-$A$15,BE$13)="",10^12,OFFSET(PLE!$G$15,$M168-$A$15,BE$13)))</f>
        <v>0</v>
      </c>
      <c r="BF168" s="173">
        <f ca="1">IF(OR($D168&lt;&gt;"Serviço",AND(AUTOEVENTO="Manual",$M168=$A$15),$M168&gt;(ROW(PLE.lastrow)-ROW(PLE.firstrow))),0,
           IF(OFFSET(PLE!$G$15,$M168-$A$15,BF$13)="",10^12,OFFSET(PLE!$G$15,$M168-$A$15,BF$13)))</f>
        <v>0</v>
      </c>
      <c r="BG168" s="173">
        <f ca="1">IF(OR($D168&lt;&gt;"Serviço",AND(AUTOEVENTO="Manual",$M168=$A$15),$M168&gt;(ROW(PLE.lastrow)-ROW(PLE.firstrow))),0,
           IF(OFFSET(PLE!$G$15,$M168-$A$15,BG$13)="",10^12,OFFSET(PLE!$G$15,$M168-$A$15,BG$13)))</f>
        <v>0</v>
      </c>
    </row>
    <row r="169" spans="1:59" ht="38.25" x14ac:dyDescent="0.2">
      <c r="A169" s="7" t="str">
        <f t="shared" ca="1" si="10"/>
        <v>114</v>
      </c>
      <c r="B169" s="7" t="str">
        <f ca="1">OFFSET(ORÇAMENTO!C$15,ROW(B169)-ROW(B$15),0)</f>
        <v>S</v>
      </c>
      <c r="C169" s="7" t="str">
        <f ca="1">OFFSET(ORÇAMENTO!L$15,ROW(C169)-ROW(C$15),0)</f>
        <v/>
      </c>
      <c r="D169" s="117" t="str">
        <f ca="1">OFFSET(ORÇAMENTO!N$15,ROW(D169)-ROW(D$15),0)</f>
        <v>Serviço</v>
      </c>
      <c r="E169" s="118" t="str">
        <f ca="1">OFFSET(ORÇAMENTO!O$15,ROW(E169)-ROW(E$15),0)</f>
        <v>-</v>
      </c>
      <c r="F169" s="164" t="str">
        <f ca="1">OFFSET(ORÇAMENTO!R$15,ROW(F169)-ROW(F$15),0)</f>
        <v>REGISTRO DE PRESSÃO BRUTO, LATÃO, ROSCÁVEL, 3/4", COM ACABAMENTO E CANOPLA CROMADOS - FORNECIMENTO E INSTALAÇÃO. AF_08/2021</v>
      </c>
      <c r="G169" s="165" t="str">
        <f ca="1">IF($D169&lt;&gt;"Serviço","",OFFSET(ORÇAMENTO!S$15,ROW(G169)-ROW(G$15),0))</f>
        <v>UN</v>
      </c>
      <c r="H169" s="123">
        <f ca="1">IF($D169&lt;&gt;"Serviço",0,IF(ACOMPANHAMENTO="BM",ROUND(OFFSET(ORÇAMENTO!AJ$15,ROW(H169)-ROW(H$15),0),15-13*ORÇAMENTO!$AF$7),SUMPRODUCT(($Q$1:$AA$1=1)*ROUND($Q169:$AA169,15-13*ORÇAMENTO!$AF$7))))</f>
        <v>22</v>
      </c>
      <c r="I169" s="469"/>
      <c r="J169" s="577" t="str" cm="1">
        <f t="array" aca="1" ref="J169" ca="1">IF(B169&lt;&gt;"S","",IF(AND(ACOMPANHAMENTO="PLE",AUTOEVENTO="Manual",OR(H169&gt;0,ORÇAMENTO!AC169="QUANT."),OR(K169="",M169=0,N169="")),"►",IF(AND(ACOMPANHAMENTO="PLE",ORÇAMENTO!AC169="QUANT."),"►►",IF(AND(COUNTIF($P$11:$AA$11,"▼")=0,H169&gt;0,I169=""),"◄",""))))</f>
        <v>◄</v>
      </c>
      <c r="K169" s="626"/>
      <c r="L169" s="166" t="s">
        <v>765</v>
      </c>
      <c r="M169" s="167">
        <f ca="1">IF($D169&lt;&gt;"Serviço","",
          IF(AUTOEVENTO="manual",$A169,
                IF(ISERROR(MATCH($A169,$A$15:OFFSET($A169,-1,0),0)),MAX($M$15:OFFSET(M169,-1,0))+1,
                      INDEX($M$15:OFFSET(M169,-1,0),MATCH($A169,$A$15:OFFSET($A169,-1,0),0)))))</f>
        <v>11</v>
      </c>
      <c r="N169" s="168" t="str">
        <f ca="1">IF($D169&lt;&gt;"Serviço","",
         IF(AUTOEVENTO="Manual",
                IF($A169=0,"&lt;-- defina o número do agrupador",
                       OFFSET(EVENTOS!$D$15,$A169-$A$15,0)),
                OFFSET($F$15,$A169,0)))</f>
        <v>INSTALAÇÕES HIDROSSANITÁRIAS</v>
      </c>
      <c r="O169" s="169"/>
      <c r="Q169" s="169"/>
      <c r="R169" s="170"/>
      <c r="S169" s="170"/>
      <c r="T169" s="170"/>
      <c r="U169" s="170"/>
      <c r="V169" s="170"/>
      <c r="W169" s="170"/>
      <c r="X169" s="170"/>
      <c r="Y169" s="170"/>
      <c r="Z169" s="171"/>
      <c r="AB169" s="454">
        <f ca="1">IF(AND($D169="Serviço",AB$12&lt;&gt;0,$H169&gt;0,OR(AUTOEVENTO&lt;&gt;"manual",$M169&lt;&gt;$A$15)),
        IF(Import.TipoArredondamento&lt;&gt;"TransfereGOV",
              ROUND(OFFSET($P169,0,AB$13),15-13*ORÇAMENTO!$AF$7)/$H169*OFFSET(ORÇAMENTO!$X$15,ROW(AB169)-ROW(AB$15),0),
              ROUND(ROUND(OFFSET($P169,0,AB$13),15-13*ORÇAMENTO!$AF$7)*OFFSET(ORÇAMENTO!$W$15,ROW(AB169)-ROW(AB$15),0),15-13*ORÇAMENTO!$AF$11)),
         0)</f>
        <v>0</v>
      </c>
      <c r="AC169" s="454">
        <f ca="1">IF(AND($D169="Serviço",AC$12&lt;&gt;0,$H169&gt;0,OR(AUTOEVENTO&lt;&gt;"manual",$M169&lt;&gt;$A$15)),
        IF(Import.TipoArredondamento&lt;&gt;"TransfereGOV",
              ROUND(OFFSET($P169,0,AC$13),15-13*ORÇAMENTO!$AF$7)/$H169*OFFSET(ORÇAMENTO!$X$15,ROW(AC169)-ROW(AC$15),0),
              ROUND(ROUND(OFFSET($P169,0,AC$13),15-13*ORÇAMENTO!$AF$7)*OFFSET(ORÇAMENTO!$W$15,ROW(AC169)-ROW(AC$15),0),15-13*ORÇAMENTO!$AF$11)),
         0)</f>
        <v>0</v>
      </c>
      <c r="AD169" s="454">
        <f ca="1">IF(AND($D169="Serviço",AD$12&lt;&gt;0,$H169&gt;0,OR(AUTOEVENTO&lt;&gt;"manual",$M169&lt;&gt;$A$15)),
        IF(Import.TipoArredondamento&lt;&gt;"TransfereGOV",
              ROUND(OFFSET($P169,0,AD$13),15-13*ORÇAMENTO!$AF$7)/$H169*OFFSET(ORÇAMENTO!$X$15,ROW(AD169)-ROW(AD$15),0),
              ROUND(ROUND(OFFSET($P169,0,AD$13),15-13*ORÇAMENTO!$AF$7)*OFFSET(ORÇAMENTO!$W$15,ROW(AD169)-ROW(AD$15),0),15-13*ORÇAMENTO!$AF$11)),
         0)</f>
        <v>0</v>
      </c>
      <c r="AE169" s="454">
        <f ca="1">IF(AND($D169="Serviço",AE$12&lt;&gt;0,$H169&gt;0,OR(AUTOEVENTO&lt;&gt;"manual",$M169&lt;&gt;$A$15)),
        IF(Import.TipoArredondamento&lt;&gt;"TransfereGOV",
              ROUND(OFFSET($P169,0,AE$13),15-13*ORÇAMENTO!$AF$7)/$H169*OFFSET(ORÇAMENTO!$X$15,ROW(AE169)-ROW(AE$15),0),
              ROUND(ROUND(OFFSET($P169,0,AE$13),15-13*ORÇAMENTO!$AF$7)*OFFSET(ORÇAMENTO!$W$15,ROW(AE169)-ROW(AE$15),0),15-13*ORÇAMENTO!$AF$11)),
         0)</f>
        <v>0</v>
      </c>
      <c r="AF169" s="454">
        <f ca="1">IF(AND($D169="Serviço",AF$12&lt;&gt;0,$H169&gt;0,OR(AUTOEVENTO&lt;&gt;"manual",$M169&lt;&gt;$A$15)),
        IF(Import.TipoArredondamento&lt;&gt;"TransfereGOV",
              ROUND(OFFSET($P169,0,AF$13),15-13*ORÇAMENTO!$AF$7)/$H169*OFFSET(ORÇAMENTO!$X$15,ROW(AF169)-ROW(AF$15),0),
              ROUND(ROUND(OFFSET($P169,0,AF$13),15-13*ORÇAMENTO!$AF$7)*OFFSET(ORÇAMENTO!$W$15,ROW(AF169)-ROW(AF$15),0),15-13*ORÇAMENTO!$AF$11)),
         0)</f>
        <v>0</v>
      </c>
      <c r="AG169" s="454">
        <f ca="1">IF(AND($D169="Serviço",AG$12&lt;&gt;0,$H169&gt;0,OR(AUTOEVENTO&lt;&gt;"manual",$M169&lt;&gt;$A$15)),
        IF(Import.TipoArredondamento&lt;&gt;"TransfereGOV",
              ROUND(OFFSET($P169,0,AG$13),15-13*ORÇAMENTO!$AF$7)/$H169*OFFSET(ORÇAMENTO!$X$15,ROW(AG169)-ROW(AG$15),0),
              ROUND(ROUND(OFFSET($P169,0,AG$13),15-13*ORÇAMENTO!$AF$7)*OFFSET(ORÇAMENTO!$W$15,ROW(AG169)-ROW(AG$15),0),15-13*ORÇAMENTO!$AF$11)),
         0)</f>
        <v>0</v>
      </c>
      <c r="AH169" s="454">
        <f ca="1">IF(AND($D169="Serviço",AH$12&lt;&gt;0,$H169&gt;0,OR(AUTOEVENTO&lt;&gt;"manual",$M169&lt;&gt;$A$15)),
        IF(Import.TipoArredondamento&lt;&gt;"TransfereGOV",
              ROUND(OFFSET($P169,0,AH$13),15-13*ORÇAMENTO!$AF$7)/$H169*OFFSET(ORÇAMENTO!$X$15,ROW(AH169)-ROW(AH$15),0),
              ROUND(ROUND(OFFSET($P169,0,AH$13),15-13*ORÇAMENTO!$AF$7)*OFFSET(ORÇAMENTO!$W$15,ROW(AH169)-ROW(AH$15),0),15-13*ORÇAMENTO!$AF$11)),
         0)</f>
        <v>0</v>
      </c>
      <c r="AI169" s="454">
        <f ca="1">IF(AND($D169="Serviço",AI$12&lt;&gt;0,$H169&gt;0,OR(AUTOEVENTO&lt;&gt;"manual",$M169&lt;&gt;$A$15)),
        IF(Import.TipoArredondamento&lt;&gt;"TransfereGOV",
              ROUND(OFFSET($P169,0,AI$13),15-13*ORÇAMENTO!$AF$7)/$H169*OFFSET(ORÇAMENTO!$X$15,ROW(AI169)-ROW(AI$15),0),
              ROUND(ROUND(OFFSET($P169,0,AI$13),15-13*ORÇAMENTO!$AF$7)*OFFSET(ORÇAMENTO!$W$15,ROW(AI169)-ROW(AI$15),0),15-13*ORÇAMENTO!$AF$11)),
         0)</f>
        <v>0</v>
      </c>
      <c r="AJ169" s="454">
        <f ca="1">IF(AND($D169="Serviço",AJ$12&lt;&gt;0,$H169&gt;0,OR(AUTOEVENTO&lt;&gt;"manual",$M169&lt;&gt;$A$15)),
        IF(Import.TipoArredondamento&lt;&gt;"TransfereGOV",
              ROUND(OFFSET($P169,0,AJ$13),15-13*ORÇAMENTO!$AF$7)/$H169*OFFSET(ORÇAMENTO!$X$15,ROW(AJ169)-ROW(AJ$15),0),
              ROUND(ROUND(OFFSET($P169,0,AJ$13),15-13*ORÇAMENTO!$AF$7)*OFFSET(ORÇAMENTO!$W$15,ROW(AJ169)-ROW(AJ$15),0),15-13*ORÇAMENTO!$AF$11)),
         0)</f>
        <v>0</v>
      </c>
      <c r="AK169" s="454">
        <f ca="1">IF(AND($D169="Serviço",AK$12&lt;&gt;0,$H169&gt;0,OR(AUTOEVENTO&lt;&gt;"manual",$M169&lt;&gt;$A$15)),
        IF(Import.TipoArredondamento&lt;&gt;"TransfereGOV",
              ROUND(OFFSET($P169,0,AK$13),15-13*ORÇAMENTO!$AF$7)/$H169*OFFSET(ORÇAMENTO!$X$15,ROW(AK169)-ROW(AK$15),0),
              ROUND(ROUND(OFFSET($P169,0,AK$13),15-13*ORÇAMENTO!$AF$7)*OFFSET(ORÇAMENTO!$W$15,ROW(AK169)-ROW(AK$15),0),15-13*ORÇAMENTO!$AF$11)),
         0)</f>
        <v>0</v>
      </c>
      <c r="AM169" s="172">
        <f ca="1">IF(OR($D169&lt;&gt;"Serviço",AND(AUTOEVENTO="Manual",$M169=$A$15)),0,
         IF(OFFSET(CRONOPLE!$F$15,$M169-$A$15,AM$13)="",10^12,OFFSET(CRONOPLE!$F$15,$M169-$A$15,AM$13)))</f>
        <v>1000000000000</v>
      </c>
      <c r="AN169" s="172">
        <f ca="1">IF(OR($D169&lt;&gt;"Serviço",AND(AUTOEVENTO="Manual",$M169=$A$15)),0,
         IF(OFFSET(CRONOPLE!$F$15,$M169-$A$15,AN$13)="",10^12,OFFSET(CRONOPLE!$F$15,$M169-$A$15,AN$13)))</f>
        <v>1000000000000</v>
      </c>
      <c r="AO169" s="172">
        <f ca="1">IF(OR($D169&lt;&gt;"Serviço",AND(AUTOEVENTO="Manual",$M169=$A$15)),0,
         IF(OFFSET(CRONOPLE!$F$15,$M169-$A$15,AO$13)="",10^12,OFFSET(CRONOPLE!$F$15,$M169-$A$15,AO$13)))</f>
        <v>1000000000000</v>
      </c>
      <c r="AP169" s="172">
        <f ca="1">IF(OR($D169&lt;&gt;"Serviço",AND(AUTOEVENTO="Manual",$M169=$A$15)),0,
         IF(OFFSET(CRONOPLE!$F$15,$M169-$A$15,AP$13)="",10^12,OFFSET(CRONOPLE!$F$15,$M169-$A$15,AP$13)))</f>
        <v>1000000000000</v>
      </c>
      <c r="AQ169" s="172">
        <f ca="1">IF(OR($D169&lt;&gt;"Serviço",AND(AUTOEVENTO="Manual",$M169=$A$15)),0,
         IF(OFFSET(CRONOPLE!$F$15,$M169-$A$15,AQ$13)="",10^12,OFFSET(CRONOPLE!$F$15,$M169-$A$15,AQ$13)))</f>
        <v>1000000000000</v>
      </c>
      <c r="AR169" s="172">
        <f ca="1">IF(OR($D169&lt;&gt;"Serviço",AND(AUTOEVENTO="Manual",$M169=$A$15)),0,
         IF(OFFSET(CRONOPLE!$F$15,$M169-$A$15,AR$13)="",10^12,OFFSET(CRONOPLE!$F$15,$M169-$A$15,AR$13)))</f>
        <v>1000000000000</v>
      </c>
      <c r="AS169" s="172">
        <f ca="1">IF(OR($D169&lt;&gt;"Serviço",AND(AUTOEVENTO="Manual",$M169=$A$15)),0,
         IF(OFFSET(CRONOPLE!$F$15,$M169-$A$15,AS$13)="",10^12,OFFSET(CRONOPLE!$F$15,$M169-$A$15,AS$13)))</f>
        <v>1000000000000</v>
      </c>
      <c r="AT169" s="172">
        <f ca="1">IF(OR($D169&lt;&gt;"Serviço",AND(AUTOEVENTO="Manual",$M169=$A$15)),0,
         IF(OFFSET(CRONOPLE!$F$15,$M169-$A$15,AT$13)="",10^12,OFFSET(CRONOPLE!$F$15,$M169-$A$15,AT$13)))</f>
        <v>1000000000000</v>
      </c>
      <c r="AU169" s="172">
        <f ca="1">IF(OR($D169&lt;&gt;"Serviço",AND(AUTOEVENTO="Manual",$M169=$A$15)),0,
         IF(OFFSET(CRONOPLE!$F$15,$M169-$A$15,AU$13)="",10^12,OFFSET(CRONOPLE!$F$15,$M169-$A$15,AU$13)))</f>
        <v>1000000000000</v>
      </c>
      <c r="AV169" s="172">
        <f ca="1">IF(OR($D169&lt;&gt;"Serviço",AND(AUTOEVENTO="Manual",$M169=$A$15)),0,
         IF(OFFSET(CRONOPLE!$F$15,$M169-$A$15,AV$13)="",10^12,OFFSET(CRONOPLE!$F$15,$M169-$A$15,AV$13)))</f>
        <v>1000000000000</v>
      </c>
      <c r="AX169" s="173">
        <f ca="1">IF(OR($D169&lt;&gt;"Serviço",AND(AUTOEVENTO="Manual",$M169=$A$15),$M169&gt;(ROW(PLE.lastrow)-ROW(PLE.firstrow))),0,
           IF(OFFSET(PLE!$G$15,$M169-$A$15,AX$13)="",10^12,OFFSET(PLE!$G$15,$M169-$A$15,AX$13)))</f>
        <v>1000000000000</v>
      </c>
      <c r="AY169" s="173">
        <f ca="1">IF(OR($D169&lt;&gt;"Serviço",AND(AUTOEVENTO="Manual",$M169=$A$15),$M169&gt;(ROW(PLE.lastrow)-ROW(PLE.firstrow))),0,
           IF(OFFSET(PLE!$G$15,$M169-$A$15,AY$13)="",10^12,OFFSET(PLE!$G$15,$M169-$A$15,AY$13)))</f>
        <v>1000000000000</v>
      </c>
      <c r="AZ169" s="173">
        <f ca="1">IF(OR($D169&lt;&gt;"Serviço",AND(AUTOEVENTO="Manual",$M169=$A$15),$M169&gt;(ROW(PLE.lastrow)-ROW(PLE.firstrow))),0,
           IF(OFFSET(PLE!$G$15,$M169-$A$15,AZ$13)="",10^12,OFFSET(PLE!$G$15,$M169-$A$15,AZ$13)))</f>
        <v>1000000000000</v>
      </c>
      <c r="BA169" s="173">
        <f ca="1">IF(OR($D169&lt;&gt;"Serviço",AND(AUTOEVENTO="Manual",$M169=$A$15),$M169&gt;(ROW(PLE.lastrow)-ROW(PLE.firstrow))),0,
           IF(OFFSET(PLE!$G$15,$M169-$A$15,BA$13)="",10^12,OFFSET(PLE!$G$15,$M169-$A$15,BA$13)))</f>
        <v>1000000000000</v>
      </c>
      <c r="BB169" s="173">
        <f ca="1">IF(OR($D169&lt;&gt;"Serviço",AND(AUTOEVENTO="Manual",$M169=$A$15),$M169&gt;(ROW(PLE.lastrow)-ROW(PLE.firstrow))),0,
           IF(OFFSET(PLE!$G$15,$M169-$A$15,BB$13)="",10^12,OFFSET(PLE!$G$15,$M169-$A$15,BB$13)))</f>
        <v>1000000000000</v>
      </c>
      <c r="BC169" s="173">
        <f ca="1">IF(OR($D169&lt;&gt;"Serviço",AND(AUTOEVENTO="Manual",$M169=$A$15),$M169&gt;(ROW(PLE.lastrow)-ROW(PLE.firstrow))),0,
           IF(OFFSET(PLE!$G$15,$M169-$A$15,BC$13)="",10^12,OFFSET(PLE!$G$15,$M169-$A$15,BC$13)))</f>
        <v>1000000000000</v>
      </c>
      <c r="BD169" s="173">
        <f ca="1">IF(OR($D169&lt;&gt;"Serviço",AND(AUTOEVENTO="Manual",$M169=$A$15),$M169&gt;(ROW(PLE.lastrow)-ROW(PLE.firstrow))),0,
           IF(OFFSET(PLE!$G$15,$M169-$A$15,BD$13)="",10^12,OFFSET(PLE!$G$15,$M169-$A$15,BD$13)))</f>
        <v>1000000000000</v>
      </c>
      <c r="BE169" s="173">
        <f ca="1">IF(OR($D169&lt;&gt;"Serviço",AND(AUTOEVENTO="Manual",$M169=$A$15),$M169&gt;(ROW(PLE.lastrow)-ROW(PLE.firstrow))),0,
           IF(OFFSET(PLE!$G$15,$M169-$A$15,BE$13)="",10^12,OFFSET(PLE!$G$15,$M169-$A$15,BE$13)))</f>
        <v>1000000000000</v>
      </c>
      <c r="BF169" s="173">
        <f ca="1">IF(OR($D169&lt;&gt;"Serviço",AND(AUTOEVENTO="Manual",$M169=$A$15),$M169&gt;(ROW(PLE.lastrow)-ROW(PLE.firstrow))),0,
           IF(OFFSET(PLE!$G$15,$M169-$A$15,BF$13)="",10^12,OFFSET(PLE!$G$15,$M169-$A$15,BF$13)))</f>
        <v>1000000000000</v>
      </c>
      <c r="BG169" s="173">
        <f ca="1">IF(OR($D169&lt;&gt;"Serviço",AND(AUTOEVENTO="Manual",$M169=$A$15),$M169&gt;(ROW(PLE.lastrow)-ROW(PLE.firstrow))),0,
           IF(OFFSET(PLE!$G$15,$M169-$A$15,BG$13)="",10^12,OFFSET(PLE!$G$15,$M169-$A$15,BG$13)))</f>
        <v>1000000000000</v>
      </c>
    </row>
    <row r="170" spans="1:59" ht="38.25" x14ac:dyDescent="0.2">
      <c r="A170" s="7" t="str">
        <f t="shared" ca="1" si="10"/>
        <v>114</v>
      </c>
      <c r="B170" s="7" t="str">
        <f ca="1">OFFSET(ORÇAMENTO!C$15,ROW(B170)-ROW(B$15),0)</f>
        <v>S</v>
      </c>
      <c r="C170" s="7" t="str">
        <f ca="1">OFFSET(ORÇAMENTO!L$15,ROW(C170)-ROW(C$15),0)</f>
        <v/>
      </c>
      <c r="D170" s="117" t="str">
        <f ca="1">OFFSET(ORÇAMENTO!N$15,ROW(D170)-ROW(D$15),0)</f>
        <v>Serviço</v>
      </c>
      <c r="E170" s="118" t="str">
        <f ca="1">OFFSET(ORÇAMENTO!O$15,ROW(E170)-ROW(E$15),0)</f>
        <v>-</v>
      </c>
      <c r="F170" s="164" t="str">
        <f ca="1">OFFSET(ORÇAMENTO!R$15,ROW(F170)-ROW(F$15),0)</f>
        <v>LUVA COM BUCHA DE LATÃO, PVC, SOLDÁVEL, DN 25MM X 3/4 , INSTALADO EM RAMAL OU SUB-RAMAL DE ÁGUA - FORNECIMENTO E INSTALAÇÃO. AF_06/2022</v>
      </c>
      <c r="G170" s="165" t="str">
        <f ca="1">IF($D170&lt;&gt;"Serviço","",OFFSET(ORÇAMENTO!S$15,ROW(G170)-ROW(G$15),0))</f>
        <v>UN</v>
      </c>
      <c r="H170" s="123">
        <f ca="1">IF($D170&lt;&gt;"Serviço",0,IF(ACOMPANHAMENTO="BM",ROUND(OFFSET(ORÇAMENTO!AJ$15,ROW(H170)-ROW(H$15),0),15-13*ORÇAMENTO!$AF$7),SUMPRODUCT(($Q$1:$AA$1=1)*ROUND($Q170:$AA170,15-13*ORÇAMENTO!$AF$7))))</f>
        <v>96</v>
      </c>
      <c r="I170" s="469"/>
      <c r="J170" s="577" t="str" cm="1">
        <f t="array" aca="1" ref="J170" ca="1">IF(B170&lt;&gt;"S","",IF(AND(ACOMPANHAMENTO="PLE",AUTOEVENTO="Manual",OR(H170&gt;0,ORÇAMENTO!AC170="QUANT."),OR(K170="",M170=0,N170="")),"►",IF(AND(ACOMPANHAMENTO="PLE",ORÇAMENTO!AC170="QUANT."),"►►",IF(AND(COUNTIF($P$11:$AA$11,"▼")=0,H170&gt;0,I170=""),"◄",""))))</f>
        <v>◄</v>
      </c>
      <c r="K170" s="626"/>
      <c r="L170" s="166" t="s">
        <v>765</v>
      </c>
      <c r="M170" s="167">
        <f ca="1">IF($D170&lt;&gt;"Serviço","",
          IF(AUTOEVENTO="manual",$A170,
                IF(ISERROR(MATCH($A170,$A$15:OFFSET($A170,-1,0),0)),MAX($M$15:OFFSET(M170,-1,0))+1,
                      INDEX($M$15:OFFSET(M170,-1,0),MATCH($A170,$A$15:OFFSET($A170,-1,0),0)))))</f>
        <v>11</v>
      </c>
      <c r="N170" s="168" t="str">
        <f ca="1">IF($D170&lt;&gt;"Serviço","",
         IF(AUTOEVENTO="Manual",
                IF($A170=0,"&lt;-- defina o número do agrupador",
                       OFFSET(EVENTOS!$D$15,$A170-$A$15,0)),
                OFFSET($F$15,$A170,0)))</f>
        <v>INSTALAÇÕES HIDROSSANITÁRIAS</v>
      </c>
      <c r="O170" s="169"/>
      <c r="Q170" s="169"/>
      <c r="R170" s="170"/>
      <c r="S170" s="170"/>
      <c r="T170" s="170"/>
      <c r="U170" s="170"/>
      <c r="V170" s="170"/>
      <c r="W170" s="170"/>
      <c r="X170" s="170"/>
      <c r="Y170" s="170"/>
      <c r="Z170" s="171"/>
      <c r="AB170" s="454">
        <f ca="1">IF(AND($D170="Serviço",AB$12&lt;&gt;0,$H170&gt;0,OR(AUTOEVENTO&lt;&gt;"manual",$M170&lt;&gt;$A$15)),
        IF(Import.TipoArredondamento&lt;&gt;"TransfereGOV",
              ROUND(OFFSET($P170,0,AB$13),15-13*ORÇAMENTO!$AF$7)/$H170*OFFSET(ORÇAMENTO!$X$15,ROW(AB170)-ROW(AB$15),0),
              ROUND(ROUND(OFFSET($P170,0,AB$13),15-13*ORÇAMENTO!$AF$7)*OFFSET(ORÇAMENTO!$W$15,ROW(AB170)-ROW(AB$15),0),15-13*ORÇAMENTO!$AF$11)),
         0)</f>
        <v>0</v>
      </c>
      <c r="AC170" s="454">
        <f ca="1">IF(AND($D170="Serviço",AC$12&lt;&gt;0,$H170&gt;0,OR(AUTOEVENTO&lt;&gt;"manual",$M170&lt;&gt;$A$15)),
        IF(Import.TipoArredondamento&lt;&gt;"TransfereGOV",
              ROUND(OFFSET($P170,0,AC$13),15-13*ORÇAMENTO!$AF$7)/$H170*OFFSET(ORÇAMENTO!$X$15,ROW(AC170)-ROW(AC$15),0),
              ROUND(ROUND(OFFSET($P170,0,AC$13),15-13*ORÇAMENTO!$AF$7)*OFFSET(ORÇAMENTO!$W$15,ROW(AC170)-ROW(AC$15),0),15-13*ORÇAMENTO!$AF$11)),
         0)</f>
        <v>0</v>
      </c>
      <c r="AD170" s="454">
        <f ca="1">IF(AND($D170="Serviço",AD$12&lt;&gt;0,$H170&gt;0,OR(AUTOEVENTO&lt;&gt;"manual",$M170&lt;&gt;$A$15)),
        IF(Import.TipoArredondamento&lt;&gt;"TransfereGOV",
              ROUND(OFFSET($P170,0,AD$13),15-13*ORÇAMENTO!$AF$7)/$H170*OFFSET(ORÇAMENTO!$X$15,ROW(AD170)-ROW(AD$15),0),
              ROUND(ROUND(OFFSET($P170,0,AD$13),15-13*ORÇAMENTO!$AF$7)*OFFSET(ORÇAMENTO!$W$15,ROW(AD170)-ROW(AD$15),0),15-13*ORÇAMENTO!$AF$11)),
         0)</f>
        <v>0</v>
      </c>
      <c r="AE170" s="454">
        <f ca="1">IF(AND($D170="Serviço",AE$12&lt;&gt;0,$H170&gt;0,OR(AUTOEVENTO&lt;&gt;"manual",$M170&lt;&gt;$A$15)),
        IF(Import.TipoArredondamento&lt;&gt;"TransfereGOV",
              ROUND(OFFSET($P170,0,AE$13),15-13*ORÇAMENTO!$AF$7)/$H170*OFFSET(ORÇAMENTO!$X$15,ROW(AE170)-ROW(AE$15),0),
              ROUND(ROUND(OFFSET($P170,0,AE$13),15-13*ORÇAMENTO!$AF$7)*OFFSET(ORÇAMENTO!$W$15,ROW(AE170)-ROW(AE$15),0),15-13*ORÇAMENTO!$AF$11)),
         0)</f>
        <v>0</v>
      </c>
      <c r="AF170" s="454">
        <f ca="1">IF(AND($D170="Serviço",AF$12&lt;&gt;0,$H170&gt;0,OR(AUTOEVENTO&lt;&gt;"manual",$M170&lt;&gt;$A$15)),
        IF(Import.TipoArredondamento&lt;&gt;"TransfereGOV",
              ROUND(OFFSET($P170,0,AF$13),15-13*ORÇAMENTO!$AF$7)/$H170*OFFSET(ORÇAMENTO!$X$15,ROW(AF170)-ROW(AF$15),0),
              ROUND(ROUND(OFFSET($P170,0,AF$13),15-13*ORÇAMENTO!$AF$7)*OFFSET(ORÇAMENTO!$W$15,ROW(AF170)-ROW(AF$15),0),15-13*ORÇAMENTO!$AF$11)),
         0)</f>
        <v>0</v>
      </c>
      <c r="AG170" s="454">
        <f ca="1">IF(AND($D170="Serviço",AG$12&lt;&gt;0,$H170&gt;0,OR(AUTOEVENTO&lt;&gt;"manual",$M170&lt;&gt;$A$15)),
        IF(Import.TipoArredondamento&lt;&gt;"TransfereGOV",
              ROUND(OFFSET($P170,0,AG$13),15-13*ORÇAMENTO!$AF$7)/$H170*OFFSET(ORÇAMENTO!$X$15,ROW(AG170)-ROW(AG$15),0),
              ROUND(ROUND(OFFSET($P170,0,AG$13),15-13*ORÇAMENTO!$AF$7)*OFFSET(ORÇAMENTO!$W$15,ROW(AG170)-ROW(AG$15),0),15-13*ORÇAMENTO!$AF$11)),
         0)</f>
        <v>0</v>
      </c>
      <c r="AH170" s="454">
        <f ca="1">IF(AND($D170="Serviço",AH$12&lt;&gt;0,$H170&gt;0,OR(AUTOEVENTO&lt;&gt;"manual",$M170&lt;&gt;$A$15)),
        IF(Import.TipoArredondamento&lt;&gt;"TransfereGOV",
              ROUND(OFFSET($P170,0,AH$13),15-13*ORÇAMENTO!$AF$7)/$H170*OFFSET(ORÇAMENTO!$X$15,ROW(AH170)-ROW(AH$15),0),
              ROUND(ROUND(OFFSET($P170,0,AH$13),15-13*ORÇAMENTO!$AF$7)*OFFSET(ORÇAMENTO!$W$15,ROW(AH170)-ROW(AH$15),0),15-13*ORÇAMENTO!$AF$11)),
         0)</f>
        <v>0</v>
      </c>
      <c r="AI170" s="454">
        <f ca="1">IF(AND($D170="Serviço",AI$12&lt;&gt;0,$H170&gt;0,OR(AUTOEVENTO&lt;&gt;"manual",$M170&lt;&gt;$A$15)),
        IF(Import.TipoArredondamento&lt;&gt;"TransfereGOV",
              ROUND(OFFSET($P170,0,AI$13),15-13*ORÇAMENTO!$AF$7)/$H170*OFFSET(ORÇAMENTO!$X$15,ROW(AI170)-ROW(AI$15),0),
              ROUND(ROUND(OFFSET($P170,0,AI$13),15-13*ORÇAMENTO!$AF$7)*OFFSET(ORÇAMENTO!$W$15,ROW(AI170)-ROW(AI$15),0),15-13*ORÇAMENTO!$AF$11)),
         0)</f>
        <v>0</v>
      </c>
      <c r="AJ170" s="454">
        <f ca="1">IF(AND($D170="Serviço",AJ$12&lt;&gt;0,$H170&gt;0,OR(AUTOEVENTO&lt;&gt;"manual",$M170&lt;&gt;$A$15)),
        IF(Import.TipoArredondamento&lt;&gt;"TransfereGOV",
              ROUND(OFFSET($P170,0,AJ$13),15-13*ORÇAMENTO!$AF$7)/$H170*OFFSET(ORÇAMENTO!$X$15,ROW(AJ170)-ROW(AJ$15),0),
              ROUND(ROUND(OFFSET($P170,0,AJ$13),15-13*ORÇAMENTO!$AF$7)*OFFSET(ORÇAMENTO!$W$15,ROW(AJ170)-ROW(AJ$15),0),15-13*ORÇAMENTO!$AF$11)),
         0)</f>
        <v>0</v>
      </c>
      <c r="AK170" s="454">
        <f ca="1">IF(AND($D170="Serviço",AK$12&lt;&gt;0,$H170&gt;0,OR(AUTOEVENTO&lt;&gt;"manual",$M170&lt;&gt;$A$15)),
        IF(Import.TipoArredondamento&lt;&gt;"TransfereGOV",
              ROUND(OFFSET($P170,0,AK$13),15-13*ORÇAMENTO!$AF$7)/$H170*OFFSET(ORÇAMENTO!$X$15,ROW(AK170)-ROW(AK$15),0),
              ROUND(ROUND(OFFSET($P170,0,AK$13),15-13*ORÇAMENTO!$AF$7)*OFFSET(ORÇAMENTO!$W$15,ROW(AK170)-ROW(AK$15),0),15-13*ORÇAMENTO!$AF$11)),
         0)</f>
        <v>0</v>
      </c>
      <c r="AM170" s="172">
        <f ca="1">IF(OR($D170&lt;&gt;"Serviço",AND(AUTOEVENTO="Manual",$M170=$A$15)),0,
         IF(OFFSET(CRONOPLE!$F$15,$M170-$A$15,AM$13)="",10^12,OFFSET(CRONOPLE!$F$15,$M170-$A$15,AM$13)))</f>
        <v>1000000000000</v>
      </c>
      <c r="AN170" s="172">
        <f ca="1">IF(OR($D170&lt;&gt;"Serviço",AND(AUTOEVENTO="Manual",$M170=$A$15)),0,
         IF(OFFSET(CRONOPLE!$F$15,$M170-$A$15,AN$13)="",10^12,OFFSET(CRONOPLE!$F$15,$M170-$A$15,AN$13)))</f>
        <v>1000000000000</v>
      </c>
      <c r="AO170" s="172">
        <f ca="1">IF(OR($D170&lt;&gt;"Serviço",AND(AUTOEVENTO="Manual",$M170=$A$15)),0,
         IF(OFFSET(CRONOPLE!$F$15,$M170-$A$15,AO$13)="",10^12,OFFSET(CRONOPLE!$F$15,$M170-$A$15,AO$13)))</f>
        <v>1000000000000</v>
      </c>
      <c r="AP170" s="172">
        <f ca="1">IF(OR($D170&lt;&gt;"Serviço",AND(AUTOEVENTO="Manual",$M170=$A$15)),0,
         IF(OFFSET(CRONOPLE!$F$15,$M170-$A$15,AP$13)="",10^12,OFFSET(CRONOPLE!$F$15,$M170-$A$15,AP$13)))</f>
        <v>1000000000000</v>
      </c>
      <c r="AQ170" s="172">
        <f ca="1">IF(OR($D170&lt;&gt;"Serviço",AND(AUTOEVENTO="Manual",$M170=$A$15)),0,
         IF(OFFSET(CRONOPLE!$F$15,$M170-$A$15,AQ$13)="",10^12,OFFSET(CRONOPLE!$F$15,$M170-$A$15,AQ$13)))</f>
        <v>1000000000000</v>
      </c>
      <c r="AR170" s="172">
        <f ca="1">IF(OR($D170&lt;&gt;"Serviço",AND(AUTOEVENTO="Manual",$M170=$A$15)),0,
         IF(OFFSET(CRONOPLE!$F$15,$M170-$A$15,AR$13)="",10^12,OFFSET(CRONOPLE!$F$15,$M170-$A$15,AR$13)))</f>
        <v>1000000000000</v>
      </c>
      <c r="AS170" s="172">
        <f ca="1">IF(OR($D170&lt;&gt;"Serviço",AND(AUTOEVENTO="Manual",$M170=$A$15)),0,
         IF(OFFSET(CRONOPLE!$F$15,$M170-$A$15,AS$13)="",10^12,OFFSET(CRONOPLE!$F$15,$M170-$A$15,AS$13)))</f>
        <v>1000000000000</v>
      </c>
      <c r="AT170" s="172">
        <f ca="1">IF(OR($D170&lt;&gt;"Serviço",AND(AUTOEVENTO="Manual",$M170=$A$15)),0,
         IF(OFFSET(CRONOPLE!$F$15,$M170-$A$15,AT$13)="",10^12,OFFSET(CRONOPLE!$F$15,$M170-$A$15,AT$13)))</f>
        <v>1000000000000</v>
      </c>
      <c r="AU170" s="172">
        <f ca="1">IF(OR($D170&lt;&gt;"Serviço",AND(AUTOEVENTO="Manual",$M170=$A$15)),0,
         IF(OFFSET(CRONOPLE!$F$15,$M170-$A$15,AU$13)="",10^12,OFFSET(CRONOPLE!$F$15,$M170-$A$15,AU$13)))</f>
        <v>1000000000000</v>
      </c>
      <c r="AV170" s="172">
        <f ca="1">IF(OR($D170&lt;&gt;"Serviço",AND(AUTOEVENTO="Manual",$M170=$A$15)),0,
         IF(OFFSET(CRONOPLE!$F$15,$M170-$A$15,AV$13)="",10^12,OFFSET(CRONOPLE!$F$15,$M170-$A$15,AV$13)))</f>
        <v>1000000000000</v>
      </c>
      <c r="AX170" s="173">
        <f ca="1">IF(OR($D170&lt;&gt;"Serviço",AND(AUTOEVENTO="Manual",$M170=$A$15),$M170&gt;(ROW(PLE.lastrow)-ROW(PLE.firstrow))),0,
           IF(OFFSET(PLE!$G$15,$M170-$A$15,AX$13)="",10^12,OFFSET(PLE!$G$15,$M170-$A$15,AX$13)))</f>
        <v>1000000000000</v>
      </c>
      <c r="AY170" s="173">
        <f ca="1">IF(OR($D170&lt;&gt;"Serviço",AND(AUTOEVENTO="Manual",$M170=$A$15),$M170&gt;(ROW(PLE.lastrow)-ROW(PLE.firstrow))),0,
           IF(OFFSET(PLE!$G$15,$M170-$A$15,AY$13)="",10^12,OFFSET(PLE!$G$15,$M170-$A$15,AY$13)))</f>
        <v>1000000000000</v>
      </c>
      <c r="AZ170" s="173">
        <f ca="1">IF(OR($D170&lt;&gt;"Serviço",AND(AUTOEVENTO="Manual",$M170=$A$15),$M170&gt;(ROW(PLE.lastrow)-ROW(PLE.firstrow))),0,
           IF(OFFSET(PLE!$G$15,$M170-$A$15,AZ$13)="",10^12,OFFSET(PLE!$G$15,$M170-$A$15,AZ$13)))</f>
        <v>1000000000000</v>
      </c>
      <c r="BA170" s="173">
        <f ca="1">IF(OR($D170&lt;&gt;"Serviço",AND(AUTOEVENTO="Manual",$M170=$A$15),$M170&gt;(ROW(PLE.lastrow)-ROW(PLE.firstrow))),0,
           IF(OFFSET(PLE!$G$15,$M170-$A$15,BA$13)="",10^12,OFFSET(PLE!$G$15,$M170-$A$15,BA$13)))</f>
        <v>1000000000000</v>
      </c>
      <c r="BB170" s="173">
        <f ca="1">IF(OR($D170&lt;&gt;"Serviço",AND(AUTOEVENTO="Manual",$M170=$A$15),$M170&gt;(ROW(PLE.lastrow)-ROW(PLE.firstrow))),0,
           IF(OFFSET(PLE!$G$15,$M170-$A$15,BB$13)="",10^12,OFFSET(PLE!$G$15,$M170-$A$15,BB$13)))</f>
        <v>1000000000000</v>
      </c>
      <c r="BC170" s="173">
        <f ca="1">IF(OR($D170&lt;&gt;"Serviço",AND(AUTOEVENTO="Manual",$M170=$A$15),$M170&gt;(ROW(PLE.lastrow)-ROW(PLE.firstrow))),0,
           IF(OFFSET(PLE!$G$15,$M170-$A$15,BC$13)="",10^12,OFFSET(PLE!$G$15,$M170-$A$15,BC$13)))</f>
        <v>1000000000000</v>
      </c>
      <c r="BD170" s="173">
        <f ca="1">IF(OR($D170&lt;&gt;"Serviço",AND(AUTOEVENTO="Manual",$M170=$A$15),$M170&gt;(ROW(PLE.lastrow)-ROW(PLE.firstrow))),0,
           IF(OFFSET(PLE!$G$15,$M170-$A$15,BD$13)="",10^12,OFFSET(PLE!$G$15,$M170-$A$15,BD$13)))</f>
        <v>1000000000000</v>
      </c>
      <c r="BE170" s="173">
        <f ca="1">IF(OR($D170&lt;&gt;"Serviço",AND(AUTOEVENTO="Manual",$M170=$A$15),$M170&gt;(ROW(PLE.lastrow)-ROW(PLE.firstrow))),0,
           IF(OFFSET(PLE!$G$15,$M170-$A$15,BE$13)="",10^12,OFFSET(PLE!$G$15,$M170-$A$15,BE$13)))</f>
        <v>1000000000000</v>
      </c>
      <c r="BF170" s="173">
        <f ca="1">IF(OR($D170&lt;&gt;"Serviço",AND(AUTOEVENTO="Manual",$M170=$A$15),$M170&gt;(ROW(PLE.lastrow)-ROW(PLE.firstrow))),0,
           IF(OFFSET(PLE!$G$15,$M170-$A$15,BF$13)="",10^12,OFFSET(PLE!$G$15,$M170-$A$15,BF$13)))</f>
        <v>1000000000000</v>
      </c>
      <c r="BG170" s="173">
        <f ca="1">IF(OR($D170&lt;&gt;"Serviço",AND(AUTOEVENTO="Manual",$M170=$A$15),$M170&gt;(ROW(PLE.lastrow)-ROW(PLE.firstrow))),0,
           IF(OFFSET(PLE!$G$15,$M170-$A$15,BG$13)="",10^12,OFFSET(PLE!$G$15,$M170-$A$15,BG$13)))</f>
        <v>1000000000000</v>
      </c>
    </row>
    <row r="171" spans="1:59" ht="25.5" x14ac:dyDescent="0.2">
      <c r="A171" s="7" t="str">
        <f t="shared" ca="1" si="10"/>
        <v>114</v>
      </c>
      <c r="B171" s="7" t="str">
        <f ca="1">OFFSET(ORÇAMENTO!C$15,ROW(B171)-ROW(B$15),0)</f>
        <v>S</v>
      </c>
      <c r="C171" s="7" t="str">
        <f ca="1">OFFSET(ORÇAMENTO!L$15,ROW(C171)-ROW(C$15),0)</f>
        <v/>
      </c>
      <c r="D171" s="117" t="str">
        <f ca="1">OFFSET(ORÇAMENTO!N$15,ROW(D171)-ROW(D$15),0)</f>
        <v>Serviço</v>
      </c>
      <c r="E171" s="118" t="str">
        <f ca="1">OFFSET(ORÇAMENTO!O$15,ROW(E171)-ROW(E$15),0)</f>
        <v>-</v>
      </c>
      <c r="F171" s="164" t="str">
        <f ca="1">OFFSET(ORÇAMENTO!R$15,ROW(F171)-ROW(F$15),0)</f>
        <v>TORNEIRA PLÁSTICA 3/4" PARA TANQUE - FORNECIMENTO E INSTALAÇÃO. AF_01/2020</v>
      </c>
      <c r="G171" s="165" t="str">
        <f ca="1">IF($D171&lt;&gt;"Serviço","",OFFSET(ORÇAMENTO!S$15,ROW(G171)-ROW(G$15),0))</f>
        <v>UN</v>
      </c>
      <c r="H171" s="123">
        <f ca="1">IF($D171&lt;&gt;"Serviço",0,IF(ACOMPANHAMENTO="BM",ROUND(OFFSET(ORÇAMENTO!AJ$15,ROW(H171)-ROW(H$15),0),15-13*ORÇAMENTO!$AF$7),SUMPRODUCT(($Q$1:$AA$1=1)*ROUND($Q171:$AA171,15-13*ORÇAMENTO!$AF$7))))</f>
        <v>8</v>
      </c>
      <c r="I171" s="469"/>
      <c r="J171" s="577" t="str" cm="1">
        <f t="array" aca="1" ref="J171" ca="1">IF(B171&lt;&gt;"S","",IF(AND(ACOMPANHAMENTO="PLE",AUTOEVENTO="Manual",OR(H171&gt;0,ORÇAMENTO!AC171="QUANT."),OR(K171="",M171=0,N171="")),"►",IF(AND(ACOMPANHAMENTO="PLE",ORÇAMENTO!AC171="QUANT."),"►►",IF(AND(COUNTIF($P$11:$AA$11,"▼")=0,H171&gt;0,I171=""),"◄",""))))</f>
        <v>◄</v>
      </c>
      <c r="K171" s="626"/>
      <c r="L171" s="166" t="s">
        <v>765</v>
      </c>
      <c r="M171" s="167">
        <f ca="1">IF($D171&lt;&gt;"Serviço","",
          IF(AUTOEVENTO="manual",$A171,
                IF(ISERROR(MATCH($A171,$A$15:OFFSET($A171,-1,0),0)),MAX($M$15:OFFSET(M171,-1,0))+1,
                      INDEX($M$15:OFFSET(M171,-1,0),MATCH($A171,$A$15:OFFSET($A171,-1,0),0)))))</f>
        <v>11</v>
      </c>
      <c r="N171" s="168" t="str">
        <f ca="1">IF($D171&lt;&gt;"Serviço","",
         IF(AUTOEVENTO="Manual",
                IF($A171=0,"&lt;-- defina o número do agrupador",
                       OFFSET(EVENTOS!$D$15,$A171-$A$15,0)),
                OFFSET($F$15,$A171,0)))</f>
        <v>INSTALAÇÕES HIDROSSANITÁRIAS</v>
      </c>
      <c r="O171" s="169"/>
      <c r="Q171" s="169"/>
      <c r="R171" s="170"/>
      <c r="S171" s="170"/>
      <c r="T171" s="170"/>
      <c r="U171" s="170"/>
      <c r="V171" s="170"/>
      <c r="W171" s="170"/>
      <c r="X171" s="170"/>
      <c r="Y171" s="170"/>
      <c r="Z171" s="171"/>
      <c r="AB171" s="454">
        <f ca="1">IF(AND($D171="Serviço",AB$12&lt;&gt;0,$H171&gt;0,OR(AUTOEVENTO&lt;&gt;"manual",$M171&lt;&gt;$A$15)),
        IF(Import.TipoArredondamento&lt;&gt;"TransfereGOV",
              ROUND(OFFSET($P171,0,AB$13),15-13*ORÇAMENTO!$AF$7)/$H171*OFFSET(ORÇAMENTO!$X$15,ROW(AB171)-ROW(AB$15),0),
              ROUND(ROUND(OFFSET($P171,0,AB$13),15-13*ORÇAMENTO!$AF$7)*OFFSET(ORÇAMENTO!$W$15,ROW(AB171)-ROW(AB$15),0),15-13*ORÇAMENTO!$AF$11)),
         0)</f>
        <v>0</v>
      </c>
      <c r="AC171" s="454">
        <f ca="1">IF(AND($D171="Serviço",AC$12&lt;&gt;0,$H171&gt;0,OR(AUTOEVENTO&lt;&gt;"manual",$M171&lt;&gt;$A$15)),
        IF(Import.TipoArredondamento&lt;&gt;"TransfereGOV",
              ROUND(OFFSET($P171,0,AC$13),15-13*ORÇAMENTO!$AF$7)/$H171*OFFSET(ORÇAMENTO!$X$15,ROW(AC171)-ROW(AC$15),0),
              ROUND(ROUND(OFFSET($P171,0,AC$13),15-13*ORÇAMENTO!$AF$7)*OFFSET(ORÇAMENTO!$W$15,ROW(AC171)-ROW(AC$15),0),15-13*ORÇAMENTO!$AF$11)),
         0)</f>
        <v>0</v>
      </c>
      <c r="AD171" s="454">
        <f ca="1">IF(AND($D171="Serviço",AD$12&lt;&gt;0,$H171&gt;0,OR(AUTOEVENTO&lt;&gt;"manual",$M171&lt;&gt;$A$15)),
        IF(Import.TipoArredondamento&lt;&gt;"TransfereGOV",
              ROUND(OFFSET($P171,0,AD$13),15-13*ORÇAMENTO!$AF$7)/$H171*OFFSET(ORÇAMENTO!$X$15,ROW(AD171)-ROW(AD$15),0),
              ROUND(ROUND(OFFSET($P171,0,AD$13),15-13*ORÇAMENTO!$AF$7)*OFFSET(ORÇAMENTO!$W$15,ROW(AD171)-ROW(AD$15),0),15-13*ORÇAMENTO!$AF$11)),
         0)</f>
        <v>0</v>
      </c>
      <c r="AE171" s="454">
        <f ca="1">IF(AND($D171="Serviço",AE$12&lt;&gt;0,$H171&gt;0,OR(AUTOEVENTO&lt;&gt;"manual",$M171&lt;&gt;$A$15)),
        IF(Import.TipoArredondamento&lt;&gt;"TransfereGOV",
              ROUND(OFFSET($P171,0,AE$13),15-13*ORÇAMENTO!$AF$7)/$H171*OFFSET(ORÇAMENTO!$X$15,ROW(AE171)-ROW(AE$15),0),
              ROUND(ROUND(OFFSET($P171,0,AE$13),15-13*ORÇAMENTO!$AF$7)*OFFSET(ORÇAMENTO!$W$15,ROW(AE171)-ROW(AE$15),0),15-13*ORÇAMENTO!$AF$11)),
         0)</f>
        <v>0</v>
      </c>
      <c r="AF171" s="454">
        <f ca="1">IF(AND($D171="Serviço",AF$12&lt;&gt;0,$H171&gt;0,OR(AUTOEVENTO&lt;&gt;"manual",$M171&lt;&gt;$A$15)),
        IF(Import.TipoArredondamento&lt;&gt;"TransfereGOV",
              ROUND(OFFSET($P171,0,AF$13),15-13*ORÇAMENTO!$AF$7)/$H171*OFFSET(ORÇAMENTO!$X$15,ROW(AF171)-ROW(AF$15),0),
              ROUND(ROUND(OFFSET($P171,0,AF$13),15-13*ORÇAMENTO!$AF$7)*OFFSET(ORÇAMENTO!$W$15,ROW(AF171)-ROW(AF$15),0),15-13*ORÇAMENTO!$AF$11)),
         0)</f>
        <v>0</v>
      </c>
      <c r="AG171" s="454">
        <f ca="1">IF(AND($D171="Serviço",AG$12&lt;&gt;0,$H171&gt;0,OR(AUTOEVENTO&lt;&gt;"manual",$M171&lt;&gt;$A$15)),
        IF(Import.TipoArredondamento&lt;&gt;"TransfereGOV",
              ROUND(OFFSET($P171,0,AG$13),15-13*ORÇAMENTO!$AF$7)/$H171*OFFSET(ORÇAMENTO!$X$15,ROW(AG171)-ROW(AG$15),0),
              ROUND(ROUND(OFFSET($P171,0,AG$13),15-13*ORÇAMENTO!$AF$7)*OFFSET(ORÇAMENTO!$W$15,ROW(AG171)-ROW(AG$15),0),15-13*ORÇAMENTO!$AF$11)),
         0)</f>
        <v>0</v>
      </c>
      <c r="AH171" s="454">
        <f ca="1">IF(AND($D171="Serviço",AH$12&lt;&gt;0,$H171&gt;0,OR(AUTOEVENTO&lt;&gt;"manual",$M171&lt;&gt;$A$15)),
        IF(Import.TipoArredondamento&lt;&gt;"TransfereGOV",
              ROUND(OFFSET($P171,0,AH$13),15-13*ORÇAMENTO!$AF$7)/$H171*OFFSET(ORÇAMENTO!$X$15,ROW(AH171)-ROW(AH$15),0),
              ROUND(ROUND(OFFSET($P171,0,AH$13),15-13*ORÇAMENTO!$AF$7)*OFFSET(ORÇAMENTO!$W$15,ROW(AH171)-ROW(AH$15),0),15-13*ORÇAMENTO!$AF$11)),
         0)</f>
        <v>0</v>
      </c>
      <c r="AI171" s="454">
        <f ca="1">IF(AND($D171="Serviço",AI$12&lt;&gt;0,$H171&gt;0,OR(AUTOEVENTO&lt;&gt;"manual",$M171&lt;&gt;$A$15)),
        IF(Import.TipoArredondamento&lt;&gt;"TransfereGOV",
              ROUND(OFFSET($P171,0,AI$13),15-13*ORÇAMENTO!$AF$7)/$H171*OFFSET(ORÇAMENTO!$X$15,ROW(AI171)-ROW(AI$15),0),
              ROUND(ROUND(OFFSET($P171,0,AI$13),15-13*ORÇAMENTO!$AF$7)*OFFSET(ORÇAMENTO!$W$15,ROW(AI171)-ROW(AI$15),0),15-13*ORÇAMENTO!$AF$11)),
         0)</f>
        <v>0</v>
      </c>
      <c r="AJ171" s="454">
        <f ca="1">IF(AND($D171="Serviço",AJ$12&lt;&gt;0,$H171&gt;0,OR(AUTOEVENTO&lt;&gt;"manual",$M171&lt;&gt;$A$15)),
        IF(Import.TipoArredondamento&lt;&gt;"TransfereGOV",
              ROUND(OFFSET($P171,0,AJ$13),15-13*ORÇAMENTO!$AF$7)/$H171*OFFSET(ORÇAMENTO!$X$15,ROW(AJ171)-ROW(AJ$15),0),
              ROUND(ROUND(OFFSET($P171,0,AJ$13),15-13*ORÇAMENTO!$AF$7)*OFFSET(ORÇAMENTO!$W$15,ROW(AJ171)-ROW(AJ$15),0),15-13*ORÇAMENTO!$AF$11)),
         0)</f>
        <v>0</v>
      </c>
      <c r="AK171" s="454">
        <f ca="1">IF(AND($D171="Serviço",AK$12&lt;&gt;0,$H171&gt;0,OR(AUTOEVENTO&lt;&gt;"manual",$M171&lt;&gt;$A$15)),
        IF(Import.TipoArredondamento&lt;&gt;"TransfereGOV",
              ROUND(OFFSET($P171,0,AK$13),15-13*ORÇAMENTO!$AF$7)/$H171*OFFSET(ORÇAMENTO!$X$15,ROW(AK171)-ROW(AK$15),0),
              ROUND(ROUND(OFFSET($P171,0,AK$13),15-13*ORÇAMENTO!$AF$7)*OFFSET(ORÇAMENTO!$W$15,ROW(AK171)-ROW(AK$15),0),15-13*ORÇAMENTO!$AF$11)),
         0)</f>
        <v>0</v>
      </c>
      <c r="AM171" s="172">
        <f ca="1">IF(OR($D171&lt;&gt;"Serviço",AND(AUTOEVENTO="Manual",$M171=$A$15)),0,
         IF(OFFSET(CRONOPLE!$F$15,$M171-$A$15,AM$13)="",10^12,OFFSET(CRONOPLE!$F$15,$M171-$A$15,AM$13)))</f>
        <v>1000000000000</v>
      </c>
      <c r="AN171" s="172">
        <f ca="1">IF(OR($D171&lt;&gt;"Serviço",AND(AUTOEVENTO="Manual",$M171=$A$15)),0,
         IF(OFFSET(CRONOPLE!$F$15,$M171-$A$15,AN$13)="",10^12,OFFSET(CRONOPLE!$F$15,$M171-$A$15,AN$13)))</f>
        <v>1000000000000</v>
      </c>
      <c r="AO171" s="172">
        <f ca="1">IF(OR($D171&lt;&gt;"Serviço",AND(AUTOEVENTO="Manual",$M171=$A$15)),0,
         IF(OFFSET(CRONOPLE!$F$15,$M171-$A$15,AO$13)="",10^12,OFFSET(CRONOPLE!$F$15,$M171-$A$15,AO$13)))</f>
        <v>1000000000000</v>
      </c>
      <c r="AP171" s="172">
        <f ca="1">IF(OR($D171&lt;&gt;"Serviço",AND(AUTOEVENTO="Manual",$M171=$A$15)),0,
         IF(OFFSET(CRONOPLE!$F$15,$M171-$A$15,AP$13)="",10^12,OFFSET(CRONOPLE!$F$15,$M171-$A$15,AP$13)))</f>
        <v>1000000000000</v>
      </c>
      <c r="AQ171" s="172">
        <f ca="1">IF(OR($D171&lt;&gt;"Serviço",AND(AUTOEVENTO="Manual",$M171=$A$15)),0,
         IF(OFFSET(CRONOPLE!$F$15,$M171-$A$15,AQ$13)="",10^12,OFFSET(CRONOPLE!$F$15,$M171-$A$15,AQ$13)))</f>
        <v>1000000000000</v>
      </c>
      <c r="AR171" s="172">
        <f ca="1">IF(OR($D171&lt;&gt;"Serviço",AND(AUTOEVENTO="Manual",$M171=$A$15)),0,
         IF(OFFSET(CRONOPLE!$F$15,$M171-$A$15,AR$13)="",10^12,OFFSET(CRONOPLE!$F$15,$M171-$A$15,AR$13)))</f>
        <v>1000000000000</v>
      </c>
      <c r="AS171" s="172">
        <f ca="1">IF(OR($D171&lt;&gt;"Serviço",AND(AUTOEVENTO="Manual",$M171=$A$15)),0,
         IF(OFFSET(CRONOPLE!$F$15,$M171-$A$15,AS$13)="",10^12,OFFSET(CRONOPLE!$F$15,$M171-$A$15,AS$13)))</f>
        <v>1000000000000</v>
      </c>
      <c r="AT171" s="172">
        <f ca="1">IF(OR($D171&lt;&gt;"Serviço",AND(AUTOEVENTO="Manual",$M171=$A$15)),0,
         IF(OFFSET(CRONOPLE!$F$15,$M171-$A$15,AT$13)="",10^12,OFFSET(CRONOPLE!$F$15,$M171-$A$15,AT$13)))</f>
        <v>1000000000000</v>
      </c>
      <c r="AU171" s="172">
        <f ca="1">IF(OR($D171&lt;&gt;"Serviço",AND(AUTOEVENTO="Manual",$M171=$A$15)),0,
         IF(OFFSET(CRONOPLE!$F$15,$M171-$A$15,AU$13)="",10^12,OFFSET(CRONOPLE!$F$15,$M171-$A$15,AU$13)))</f>
        <v>1000000000000</v>
      </c>
      <c r="AV171" s="172">
        <f ca="1">IF(OR($D171&lt;&gt;"Serviço",AND(AUTOEVENTO="Manual",$M171=$A$15)),0,
         IF(OFFSET(CRONOPLE!$F$15,$M171-$A$15,AV$13)="",10^12,OFFSET(CRONOPLE!$F$15,$M171-$A$15,AV$13)))</f>
        <v>1000000000000</v>
      </c>
      <c r="AX171" s="173">
        <f ca="1">IF(OR($D171&lt;&gt;"Serviço",AND(AUTOEVENTO="Manual",$M171=$A$15),$M171&gt;(ROW(PLE.lastrow)-ROW(PLE.firstrow))),0,
           IF(OFFSET(PLE!$G$15,$M171-$A$15,AX$13)="",10^12,OFFSET(PLE!$G$15,$M171-$A$15,AX$13)))</f>
        <v>1000000000000</v>
      </c>
      <c r="AY171" s="173">
        <f ca="1">IF(OR($D171&lt;&gt;"Serviço",AND(AUTOEVENTO="Manual",$M171=$A$15),$M171&gt;(ROW(PLE.lastrow)-ROW(PLE.firstrow))),0,
           IF(OFFSET(PLE!$G$15,$M171-$A$15,AY$13)="",10^12,OFFSET(PLE!$G$15,$M171-$A$15,AY$13)))</f>
        <v>1000000000000</v>
      </c>
      <c r="AZ171" s="173">
        <f ca="1">IF(OR($D171&lt;&gt;"Serviço",AND(AUTOEVENTO="Manual",$M171=$A$15),$M171&gt;(ROW(PLE.lastrow)-ROW(PLE.firstrow))),0,
           IF(OFFSET(PLE!$G$15,$M171-$A$15,AZ$13)="",10^12,OFFSET(PLE!$G$15,$M171-$A$15,AZ$13)))</f>
        <v>1000000000000</v>
      </c>
      <c r="BA171" s="173">
        <f ca="1">IF(OR($D171&lt;&gt;"Serviço",AND(AUTOEVENTO="Manual",$M171=$A$15),$M171&gt;(ROW(PLE.lastrow)-ROW(PLE.firstrow))),0,
           IF(OFFSET(PLE!$G$15,$M171-$A$15,BA$13)="",10^12,OFFSET(PLE!$G$15,$M171-$A$15,BA$13)))</f>
        <v>1000000000000</v>
      </c>
      <c r="BB171" s="173">
        <f ca="1">IF(OR($D171&lt;&gt;"Serviço",AND(AUTOEVENTO="Manual",$M171=$A$15),$M171&gt;(ROW(PLE.lastrow)-ROW(PLE.firstrow))),0,
           IF(OFFSET(PLE!$G$15,$M171-$A$15,BB$13)="",10^12,OFFSET(PLE!$G$15,$M171-$A$15,BB$13)))</f>
        <v>1000000000000</v>
      </c>
      <c r="BC171" s="173">
        <f ca="1">IF(OR($D171&lt;&gt;"Serviço",AND(AUTOEVENTO="Manual",$M171=$A$15),$M171&gt;(ROW(PLE.lastrow)-ROW(PLE.firstrow))),0,
           IF(OFFSET(PLE!$G$15,$M171-$A$15,BC$13)="",10^12,OFFSET(PLE!$G$15,$M171-$A$15,BC$13)))</f>
        <v>1000000000000</v>
      </c>
      <c r="BD171" s="173">
        <f ca="1">IF(OR($D171&lt;&gt;"Serviço",AND(AUTOEVENTO="Manual",$M171=$A$15),$M171&gt;(ROW(PLE.lastrow)-ROW(PLE.firstrow))),0,
           IF(OFFSET(PLE!$G$15,$M171-$A$15,BD$13)="",10^12,OFFSET(PLE!$G$15,$M171-$A$15,BD$13)))</f>
        <v>1000000000000</v>
      </c>
      <c r="BE171" s="173">
        <f ca="1">IF(OR($D171&lt;&gt;"Serviço",AND(AUTOEVENTO="Manual",$M171=$A$15),$M171&gt;(ROW(PLE.lastrow)-ROW(PLE.firstrow))),0,
           IF(OFFSET(PLE!$G$15,$M171-$A$15,BE$13)="",10^12,OFFSET(PLE!$G$15,$M171-$A$15,BE$13)))</f>
        <v>1000000000000</v>
      </c>
      <c r="BF171" s="173">
        <f ca="1">IF(OR($D171&lt;&gt;"Serviço",AND(AUTOEVENTO="Manual",$M171=$A$15),$M171&gt;(ROW(PLE.lastrow)-ROW(PLE.firstrow))),0,
           IF(OFFSET(PLE!$G$15,$M171-$A$15,BF$13)="",10^12,OFFSET(PLE!$G$15,$M171-$A$15,BF$13)))</f>
        <v>1000000000000</v>
      </c>
      <c r="BG171" s="173">
        <f ca="1">IF(OR($D171&lt;&gt;"Serviço",AND(AUTOEVENTO="Manual",$M171=$A$15),$M171&gt;(ROW(PLE.lastrow)-ROW(PLE.firstrow))),0,
           IF(OFFSET(PLE!$G$15,$M171-$A$15,BG$13)="",10^12,OFFSET(PLE!$G$15,$M171-$A$15,BG$13)))</f>
        <v>1000000000000</v>
      </c>
    </row>
    <row r="172" spans="1:59" ht="38.25" x14ac:dyDescent="0.2">
      <c r="A172" s="7" t="str">
        <f t="shared" ca="1" si="10"/>
        <v>114</v>
      </c>
      <c r="B172" s="7" t="str">
        <f ca="1">OFFSET(ORÇAMENTO!C$15,ROW(B172)-ROW(B$15),0)</f>
        <v>S</v>
      </c>
      <c r="C172" s="7" t="str">
        <f ca="1">OFFSET(ORÇAMENTO!L$15,ROW(C172)-ROW(C$15),0)</f>
        <v/>
      </c>
      <c r="D172" s="117" t="str">
        <f ca="1">OFFSET(ORÇAMENTO!N$15,ROW(D172)-ROW(D$15),0)</f>
        <v>Serviço</v>
      </c>
      <c r="E172" s="118" t="str">
        <f ca="1">OFFSET(ORÇAMENTO!O$15,ROW(E172)-ROW(E$15),0)</f>
        <v>-</v>
      </c>
      <c r="F172" s="164" t="str">
        <f ca="1">OFFSET(ORÇAMENTO!R$15,ROW(F172)-ROW(F$15),0)</f>
        <v>REGISTRO DE GAVETA BRUTO, LATÃO, ROSCÁVEL, 1 1/2", COM ACABAMENTO E CANOPLA CROMADOS - FORNECIMENTO E INSTALAÇÃO. AF_08/2021</v>
      </c>
      <c r="G172" s="165" t="str">
        <f ca="1">IF($D172&lt;&gt;"Serviço","",OFFSET(ORÇAMENTO!S$15,ROW(G172)-ROW(G$15),0))</f>
        <v>UN</v>
      </c>
      <c r="H172" s="123">
        <f ca="1">IF($D172&lt;&gt;"Serviço",0,IF(ACOMPANHAMENTO="BM",ROUND(OFFSET(ORÇAMENTO!AJ$15,ROW(H172)-ROW(H$15),0),15-13*ORÇAMENTO!$AF$7),SUMPRODUCT(($Q$1:$AA$1=1)*ROUND($Q172:$AA172,15-13*ORÇAMENTO!$AF$7))))</f>
        <v>4</v>
      </c>
      <c r="I172" s="469"/>
      <c r="J172" s="577" t="str" cm="1">
        <f t="array" aca="1" ref="J172" ca="1">IF(B172&lt;&gt;"S","",IF(AND(ACOMPANHAMENTO="PLE",AUTOEVENTO="Manual",OR(H172&gt;0,ORÇAMENTO!AC172="QUANT."),OR(K172="",M172=0,N172="")),"►",IF(AND(ACOMPANHAMENTO="PLE",ORÇAMENTO!AC172="QUANT."),"►►",IF(AND(COUNTIF($P$11:$AA$11,"▼")=0,H172&gt;0,I172=""),"◄",""))))</f>
        <v>◄</v>
      </c>
      <c r="K172" s="626"/>
      <c r="L172" s="166" t="s">
        <v>765</v>
      </c>
      <c r="M172" s="167">
        <f ca="1">IF($D172&lt;&gt;"Serviço","",
          IF(AUTOEVENTO="manual",$A172,
                IF(ISERROR(MATCH($A172,$A$15:OFFSET($A172,-1,0),0)),MAX($M$15:OFFSET(M172,-1,0))+1,
                      INDEX($M$15:OFFSET(M172,-1,0),MATCH($A172,$A$15:OFFSET($A172,-1,0),0)))))</f>
        <v>11</v>
      </c>
      <c r="N172" s="168" t="str">
        <f ca="1">IF($D172&lt;&gt;"Serviço","",
         IF(AUTOEVENTO="Manual",
                IF($A172=0,"&lt;-- defina o número do agrupador",
                       OFFSET(EVENTOS!$D$15,$A172-$A$15,0)),
                OFFSET($F$15,$A172,0)))</f>
        <v>INSTALAÇÕES HIDROSSANITÁRIAS</v>
      </c>
      <c r="O172" s="169"/>
      <c r="Q172" s="169"/>
      <c r="R172" s="170"/>
      <c r="S172" s="170"/>
      <c r="T172" s="170"/>
      <c r="U172" s="170"/>
      <c r="V172" s="170"/>
      <c r="W172" s="170"/>
      <c r="X172" s="170"/>
      <c r="Y172" s="170"/>
      <c r="Z172" s="171"/>
      <c r="AB172" s="454">
        <f ca="1">IF(AND($D172="Serviço",AB$12&lt;&gt;0,$H172&gt;0,OR(AUTOEVENTO&lt;&gt;"manual",$M172&lt;&gt;$A$15)),
        IF(Import.TipoArredondamento&lt;&gt;"TransfereGOV",
              ROUND(OFFSET($P172,0,AB$13),15-13*ORÇAMENTO!$AF$7)/$H172*OFFSET(ORÇAMENTO!$X$15,ROW(AB172)-ROW(AB$15),0),
              ROUND(ROUND(OFFSET($P172,0,AB$13),15-13*ORÇAMENTO!$AF$7)*OFFSET(ORÇAMENTO!$W$15,ROW(AB172)-ROW(AB$15),0),15-13*ORÇAMENTO!$AF$11)),
         0)</f>
        <v>0</v>
      </c>
      <c r="AC172" s="454">
        <f ca="1">IF(AND($D172="Serviço",AC$12&lt;&gt;0,$H172&gt;0,OR(AUTOEVENTO&lt;&gt;"manual",$M172&lt;&gt;$A$15)),
        IF(Import.TipoArredondamento&lt;&gt;"TransfereGOV",
              ROUND(OFFSET($P172,0,AC$13),15-13*ORÇAMENTO!$AF$7)/$H172*OFFSET(ORÇAMENTO!$X$15,ROW(AC172)-ROW(AC$15),0),
              ROUND(ROUND(OFFSET($P172,0,AC$13),15-13*ORÇAMENTO!$AF$7)*OFFSET(ORÇAMENTO!$W$15,ROW(AC172)-ROW(AC$15),0),15-13*ORÇAMENTO!$AF$11)),
         0)</f>
        <v>0</v>
      </c>
      <c r="AD172" s="454">
        <f ca="1">IF(AND($D172="Serviço",AD$12&lt;&gt;0,$H172&gt;0,OR(AUTOEVENTO&lt;&gt;"manual",$M172&lt;&gt;$A$15)),
        IF(Import.TipoArredondamento&lt;&gt;"TransfereGOV",
              ROUND(OFFSET($P172,0,AD$13),15-13*ORÇAMENTO!$AF$7)/$H172*OFFSET(ORÇAMENTO!$X$15,ROW(AD172)-ROW(AD$15),0),
              ROUND(ROUND(OFFSET($P172,0,AD$13),15-13*ORÇAMENTO!$AF$7)*OFFSET(ORÇAMENTO!$W$15,ROW(AD172)-ROW(AD$15),0),15-13*ORÇAMENTO!$AF$11)),
         0)</f>
        <v>0</v>
      </c>
      <c r="AE172" s="454">
        <f ca="1">IF(AND($D172="Serviço",AE$12&lt;&gt;0,$H172&gt;0,OR(AUTOEVENTO&lt;&gt;"manual",$M172&lt;&gt;$A$15)),
        IF(Import.TipoArredondamento&lt;&gt;"TransfereGOV",
              ROUND(OFFSET($P172,0,AE$13),15-13*ORÇAMENTO!$AF$7)/$H172*OFFSET(ORÇAMENTO!$X$15,ROW(AE172)-ROW(AE$15),0),
              ROUND(ROUND(OFFSET($P172,0,AE$13),15-13*ORÇAMENTO!$AF$7)*OFFSET(ORÇAMENTO!$W$15,ROW(AE172)-ROW(AE$15),0),15-13*ORÇAMENTO!$AF$11)),
         0)</f>
        <v>0</v>
      </c>
      <c r="AF172" s="454">
        <f ca="1">IF(AND($D172="Serviço",AF$12&lt;&gt;0,$H172&gt;0,OR(AUTOEVENTO&lt;&gt;"manual",$M172&lt;&gt;$A$15)),
        IF(Import.TipoArredondamento&lt;&gt;"TransfereGOV",
              ROUND(OFFSET($P172,0,AF$13),15-13*ORÇAMENTO!$AF$7)/$H172*OFFSET(ORÇAMENTO!$X$15,ROW(AF172)-ROW(AF$15),0),
              ROUND(ROUND(OFFSET($P172,0,AF$13),15-13*ORÇAMENTO!$AF$7)*OFFSET(ORÇAMENTO!$W$15,ROW(AF172)-ROW(AF$15),0),15-13*ORÇAMENTO!$AF$11)),
         0)</f>
        <v>0</v>
      </c>
      <c r="AG172" s="454">
        <f ca="1">IF(AND($D172="Serviço",AG$12&lt;&gt;0,$H172&gt;0,OR(AUTOEVENTO&lt;&gt;"manual",$M172&lt;&gt;$A$15)),
        IF(Import.TipoArredondamento&lt;&gt;"TransfereGOV",
              ROUND(OFFSET($P172,0,AG$13),15-13*ORÇAMENTO!$AF$7)/$H172*OFFSET(ORÇAMENTO!$X$15,ROW(AG172)-ROW(AG$15),0),
              ROUND(ROUND(OFFSET($P172,0,AG$13),15-13*ORÇAMENTO!$AF$7)*OFFSET(ORÇAMENTO!$W$15,ROW(AG172)-ROW(AG$15),0),15-13*ORÇAMENTO!$AF$11)),
         0)</f>
        <v>0</v>
      </c>
      <c r="AH172" s="454">
        <f ca="1">IF(AND($D172="Serviço",AH$12&lt;&gt;0,$H172&gt;0,OR(AUTOEVENTO&lt;&gt;"manual",$M172&lt;&gt;$A$15)),
        IF(Import.TipoArredondamento&lt;&gt;"TransfereGOV",
              ROUND(OFFSET($P172,0,AH$13),15-13*ORÇAMENTO!$AF$7)/$H172*OFFSET(ORÇAMENTO!$X$15,ROW(AH172)-ROW(AH$15),0),
              ROUND(ROUND(OFFSET($P172,0,AH$13),15-13*ORÇAMENTO!$AF$7)*OFFSET(ORÇAMENTO!$W$15,ROW(AH172)-ROW(AH$15),0),15-13*ORÇAMENTO!$AF$11)),
         0)</f>
        <v>0</v>
      </c>
      <c r="AI172" s="454">
        <f ca="1">IF(AND($D172="Serviço",AI$12&lt;&gt;0,$H172&gt;0,OR(AUTOEVENTO&lt;&gt;"manual",$M172&lt;&gt;$A$15)),
        IF(Import.TipoArredondamento&lt;&gt;"TransfereGOV",
              ROUND(OFFSET($P172,0,AI$13),15-13*ORÇAMENTO!$AF$7)/$H172*OFFSET(ORÇAMENTO!$X$15,ROW(AI172)-ROW(AI$15),0),
              ROUND(ROUND(OFFSET($P172,0,AI$13),15-13*ORÇAMENTO!$AF$7)*OFFSET(ORÇAMENTO!$W$15,ROW(AI172)-ROW(AI$15),0),15-13*ORÇAMENTO!$AF$11)),
         0)</f>
        <v>0</v>
      </c>
      <c r="AJ172" s="454">
        <f ca="1">IF(AND($D172="Serviço",AJ$12&lt;&gt;0,$H172&gt;0,OR(AUTOEVENTO&lt;&gt;"manual",$M172&lt;&gt;$A$15)),
        IF(Import.TipoArredondamento&lt;&gt;"TransfereGOV",
              ROUND(OFFSET($P172,0,AJ$13),15-13*ORÇAMENTO!$AF$7)/$H172*OFFSET(ORÇAMENTO!$X$15,ROW(AJ172)-ROW(AJ$15),0),
              ROUND(ROUND(OFFSET($P172,0,AJ$13),15-13*ORÇAMENTO!$AF$7)*OFFSET(ORÇAMENTO!$W$15,ROW(AJ172)-ROW(AJ$15),0),15-13*ORÇAMENTO!$AF$11)),
         0)</f>
        <v>0</v>
      </c>
      <c r="AK172" s="454">
        <f ca="1">IF(AND($D172="Serviço",AK$12&lt;&gt;0,$H172&gt;0,OR(AUTOEVENTO&lt;&gt;"manual",$M172&lt;&gt;$A$15)),
        IF(Import.TipoArredondamento&lt;&gt;"TransfereGOV",
              ROUND(OFFSET($P172,0,AK$13),15-13*ORÇAMENTO!$AF$7)/$H172*OFFSET(ORÇAMENTO!$X$15,ROW(AK172)-ROW(AK$15),0),
              ROUND(ROUND(OFFSET($P172,0,AK$13),15-13*ORÇAMENTO!$AF$7)*OFFSET(ORÇAMENTO!$W$15,ROW(AK172)-ROW(AK$15),0),15-13*ORÇAMENTO!$AF$11)),
         0)</f>
        <v>0</v>
      </c>
      <c r="AM172" s="172">
        <f ca="1">IF(OR($D172&lt;&gt;"Serviço",AND(AUTOEVENTO="Manual",$M172=$A$15)),0,
         IF(OFFSET(CRONOPLE!$F$15,$M172-$A$15,AM$13)="",10^12,OFFSET(CRONOPLE!$F$15,$M172-$A$15,AM$13)))</f>
        <v>1000000000000</v>
      </c>
      <c r="AN172" s="172">
        <f ca="1">IF(OR($D172&lt;&gt;"Serviço",AND(AUTOEVENTO="Manual",$M172=$A$15)),0,
         IF(OFFSET(CRONOPLE!$F$15,$M172-$A$15,AN$13)="",10^12,OFFSET(CRONOPLE!$F$15,$M172-$A$15,AN$13)))</f>
        <v>1000000000000</v>
      </c>
      <c r="AO172" s="172">
        <f ca="1">IF(OR($D172&lt;&gt;"Serviço",AND(AUTOEVENTO="Manual",$M172=$A$15)),0,
         IF(OFFSET(CRONOPLE!$F$15,$M172-$A$15,AO$13)="",10^12,OFFSET(CRONOPLE!$F$15,$M172-$A$15,AO$13)))</f>
        <v>1000000000000</v>
      </c>
      <c r="AP172" s="172">
        <f ca="1">IF(OR($D172&lt;&gt;"Serviço",AND(AUTOEVENTO="Manual",$M172=$A$15)),0,
         IF(OFFSET(CRONOPLE!$F$15,$M172-$A$15,AP$13)="",10^12,OFFSET(CRONOPLE!$F$15,$M172-$A$15,AP$13)))</f>
        <v>1000000000000</v>
      </c>
      <c r="AQ172" s="172">
        <f ca="1">IF(OR($D172&lt;&gt;"Serviço",AND(AUTOEVENTO="Manual",$M172=$A$15)),0,
         IF(OFFSET(CRONOPLE!$F$15,$M172-$A$15,AQ$13)="",10^12,OFFSET(CRONOPLE!$F$15,$M172-$A$15,AQ$13)))</f>
        <v>1000000000000</v>
      </c>
      <c r="AR172" s="172">
        <f ca="1">IF(OR($D172&lt;&gt;"Serviço",AND(AUTOEVENTO="Manual",$M172=$A$15)),0,
         IF(OFFSET(CRONOPLE!$F$15,$M172-$A$15,AR$13)="",10^12,OFFSET(CRONOPLE!$F$15,$M172-$A$15,AR$13)))</f>
        <v>1000000000000</v>
      </c>
      <c r="AS172" s="172">
        <f ca="1">IF(OR($D172&lt;&gt;"Serviço",AND(AUTOEVENTO="Manual",$M172=$A$15)),0,
         IF(OFFSET(CRONOPLE!$F$15,$M172-$A$15,AS$13)="",10^12,OFFSET(CRONOPLE!$F$15,$M172-$A$15,AS$13)))</f>
        <v>1000000000000</v>
      </c>
      <c r="AT172" s="172">
        <f ca="1">IF(OR($D172&lt;&gt;"Serviço",AND(AUTOEVENTO="Manual",$M172=$A$15)),0,
         IF(OFFSET(CRONOPLE!$F$15,$M172-$A$15,AT$13)="",10^12,OFFSET(CRONOPLE!$F$15,$M172-$A$15,AT$13)))</f>
        <v>1000000000000</v>
      </c>
      <c r="AU172" s="172">
        <f ca="1">IF(OR($D172&lt;&gt;"Serviço",AND(AUTOEVENTO="Manual",$M172=$A$15)),0,
         IF(OFFSET(CRONOPLE!$F$15,$M172-$A$15,AU$13)="",10^12,OFFSET(CRONOPLE!$F$15,$M172-$A$15,AU$13)))</f>
        <v>1000000000000</v>
      </c>
      <c r="AV172" s="172">
        <f ca="1">IF(OR($D172&lt;&gt;"Serviço",AND(AUTOEVENTO="Manual",$M172=$A$15)),0,
         IF(OFFSET(CRONOPLE!$F$15,$M172-$A$15,AV$13)="",10^12,OFFSET(CRONOPLE!$F$15,$M172-$A$15,AV$13)))</f>
        <v>1000000000000</v>
      </c>
      <c r="AX172" s="173">
        <f ca="1">IF(OR($D172&lt;&gt;"Serviço",AND(AUTOEVENTO="Manual",$M172=$A$15),$M172&gt;(ROW(PLE.lastrow)-ROW(PLE.firstrow))),0,
           IF(OFFSET(PLE!$G$15,$M172-$A$15,AX$13)="",10^12,OFFSET(PLE!$G$15,$M172-$A$15,AX$13)))</f>
        <v>1000000000000</v>
      </c>
      <c r="AY172" s="173">
        <f ca="1">IF(OR($D172&lt;&gt;"Serviço",AND(AUTOEVENTO="Manual",$M172=$A$15),$M172&gt;(ROW(PLE.lastrow)-ROW(PLE.firstrow))),0,
           IF(OFFSET(PLE!$G$15,$M172-$A$15,AY$13)="",10^12,OFFSET(PLE!$G$15,$M172-$A$15,AY$13)))</f>
        <v>1000000000000</v>
      </c>
      <c r="AZ172" s="173">
        <f ca="1">IF(OR($D172&lt;&gt;"Serviço",AND(AUTOEVENTO="Manual",$M172=$A$15),$M172&gt;(ROW(PLE.lastrow)-ROW(PLE.firstrow))),0,
           IF(OFFSET(PLE!$G$15,$M172-$A$15,AZ$13)="",10^12,OFFSET(PLE!$G$15,$M172-$A$15,AZ$13)))</f>
        <v>1000000000000</v>
      </c>
      <c r="BA172" s="173">
        <f ca="1">IF(OR($D172&lt;&gt;"Serviço",AND(AUTOEVENTO="Manual",$M172=$A$15),$M172&gt;(ROW(PLE.lastrow)-ROW(PLE.firstrow))),0,
           IF(OFFSET(PLE!$G$15,$M172-$A$15,BA$13)="",10^12,OFFSET(PLE!$G$15,$M172-$A$15,BA$13)))</f>
        <v>1000000000000</v>
      </c>
      <c r="BB172" s="173">
        <f ca="1">IF(OR($D172&lt;&gt;"Serviço",AND(AUTOEVENTO="Manual",$M172=$A$15),$M172&gt;(ROW(PLE.lastrow)-ROW(PLE.firstrow))),0,
           IF(OFFSET(PLE!$G$15,$M172-$A$15,BB$13)="",10^12,OFFSET(PLE!$G$15,$M172-$A$15,BB$13)))</f>
        <v>1000000000000</v>
      </c>
      <c r="BC172" s="173">
        <f ca="1">IF(OR($D172&lt;&gt;"Serviço",AND(AUTOEVENTO="Manual",$M172=$A$15),$M172&gt;(ROW(PLE.lastrow)-ROW(PLE.firstrow))),0,
           IF(OFFSET(PLE!$G$15,$M172-$A$15,BC$13)="",10^12,OFFSET(PLE!$G$15,$M172-$A$15,BC$13)))</f>
        <v>1000000000000</v>
      </c>
      <c r="BD172" s="173">
        <f ca="1">IF(OR($D172&lt;&gt;"Serviço",AND(AUTOEVENTO="Manual",$M172=$A$15),$M172&gt;(ROW(PLE.lastrow)-ROW(PLE.firstrow))),0,
           IF(OFFSET(PLE!$G$15,$M172-$A$15,BD$13)="",10^12,OFFSET(PLE!$G$15,$M172-$A$15,BD$13)))</f>
        <v>1000000000000</v>
      </c>
      <c r="BE172" s="173">
        <f ca="1">IF(OR($D172&lt;&gt;"Serviço",AND(AUTOEVENTO="Manual",$M172=$A$15),$M172&gt;(ROW(PLE.lastrow)-ROW(PLE.firstrow))),0,
           IF(OFFSET(PLE!$G$15,$M172-$A$15,BE$13)="",10^12,OFFSET(PLE!$G$15,$M172-$A$15,BE$13)))</f>
        <v>1000000000000</v>
      </c>
      <c r="BF172" s="173">
        <f ca="1">IF(OR($D172&lt;&gt;"Serviço",AND(AUTOEVENTO="Manual",$M172=$A$15),$M172&gt;(ROW(PLE.lastrow)-ROW(PLE.firstrow))),0,
           IF(OFFSET(PLE!$G$15,$M172-$A$15,BF$13)="",10^12,OFFSET(PLE!$G$15,$M172-$A$15,BF$13)))</f>
        <v>1000000000000</v>
      </c>
      <c r="BG172" s="173">
        <f ca="1">IF(OR($D172&lt;&gt;"Serviço",AND(AUTOEVENTO="Manual",$M172=$A$15),$M172&gt;(ROW(PLE.lastrow)-ROW(PLE.firstrow))),0,
           IF(OFFSET(PLE!$G$15,$M172-$A$15,BG$13)="",10^12,OFFSET(PLE!$G$15,$M172-$A$15,BG$13)))</f>
        <v>1000000000000</v>
      </c>
    </row>
    <row r="173" spans="1:59" ht="38.25" x14ac:dyDescent="0.2">
      <c r="A173" s="7" t="str">
        <f t="shared" ca="1" si="10"/>
        <v>114</v>
      </c>
      <c r="B173" s="7" t="str">
        <f ca="1">OFFSET(ORÇAMENTO!C$15,ROW(B173)-ROW(B$15),0)</f>
        <v>S</v>
      </c>
      <c r="C173" s="7" t="str">
        <f ca="1">OFFSET(ORÇAMENTO!L$15,ROW(C173)-ROW(C$15),0)</f>
        <v/>
      </c>
      <c r="D173" s="117" t="str">
        <f ca="1">OFFSET(ORÇAMENTO!N$15,ROW(D173)-ROW(D$15),0)</f>
        <v>Serviço</v>
      </c>
      <c r="E173" s="118" t="str">
        <f ca="1">OFFSET(ORÇAMENTO!O$15,ROW(E173)-ROW(E$15),0)</f>
        <v>-</v>
      </c>
      <c r="F173" s="164" t="str">
        <f ca="1">OFFSET(ORÇAMENTO!R$15,ROW(F173)-ROW(F$15),0)</f>
        <v>REGISTRO DE GAVETA BRUTO, LATÃO, ROSCÁVEL, 1 1/4", COM ACABAMENTO E CANOPLA CROMADOS - FORNECIMENTO E INSTALAÇÃO. AF_08/2021</v>
      </c>
      <c r="G173" s="165" t="str">
        <f ca="1">IF($D173&lt;&gt;"Serviço","",OFFSET(ORÇAMENTO!S$15,ROW(G173)-ROW(G$15),0))</f>
        <v>UN</v>
      </c>
      <c r="H173" s="123">
        <f ca="1">IF($D173&lt;&gt;"Serviço",0,IF(ACOMPANHAMENTO="BM",ROUND(OFFSET(ORÇAMENTO!AJ$15,ROW(H173)-ROW(H$15),0),15-13*ORÇAMENTO!$AF$7),SUMPRODUCT(($Q$1:$AA$1=1)*ROUND($Q173:$AA173,15-13*ORÇAMENTO!$AF$7))))</f>
        <v>5</v>
      </c>
      <c r="I173" s="469"/>
      <c r="J173" s="577" t="str" cm="1">
        <f t="array" aca="1" ref="J173" ca="1">IF(B173&lt;&gt;"S","",IF(AND(ACOMPANHAMENTO="PLE",AUTOEVENTO="Manual",OR(H173&gt;0,ORÇAMENTO!AC173="QUANT."),OR(K173="",M173=0,N173="")),"►",IF(AND(ACOMPANHAMENTO="PLE",ORÇAMENTO!AC173="QUANT."),"►►",IF(AND(COUNTIF($P$11:$AA$11,"▼")=0,H173&gt;0,I173=""),"◄",""))))</f>
        <v>◄</v>
      </c>
      <c r="K173" s="626"/>
      <c r="L173" s="166" t="s">
        <v>765</v>
      </c>
      <c r="M173" s="167">
        <f ca="1">IF($D173&lt;&gt;"Serviço","",
          IF(AUTOEVENTO="manual",$A173,
                IF(ISERROR(MATCH($A173,$A$15:OFFSET($A173,-1,0),0)),MAX($M$15:OFFSET(M173,-1,0))+1,
                      INDEX($M$15:OFFSET(M173,-1,0),MATCH($A173,$A$15:OFFSET($A173,-1,0),0)))))</f>
        <v>11</v>
      </c>
      <c r="N173" s="168" t="str">
        <f ca="1">IF($D173&lt;&gt;"Serviço","",
         IF(AUTOEVENTO="Manual",
                IF($A173=0,"&lt;-- defina o número do agrupador",
                       OFFSET(EVENTOS!$D$15,$A173-$A$15,0)),
                OFFSET($F$15,$A173,0)))</f>
        <v>INSTALAÇÕES HIDROSSANITÁRIAS</v>
      </c>
      <c r="O173" s="169"/>
      <c r="Q173" s="169"/>
      <c r="R173" s="170"/>
      <c r="S173" s="170"/>
      <c r="T173" s="170"/>
      <c r="U173" s="170"/>
      <c r="V173" s="170"/>
      <c r="W173" s="170"/>
      <c r="X173" s="170"/>
      <c r="Y173" s="170"/>
      <c r="Z173" s="171"/>
      <c r="AB173" s="454">
        <f ca="1">IF(AND($D173="Serviço",AB$12&lt;&gt;0,$H173&gt;0,OR(AUTOEVENTO&lt;&gt;"manual",$M173&lt;&gt;$A$15)),
        IF(Import.TipoArredondamento&lt;&gt;"TransfereGOV",
              ROUND(OFFSET($P173,0,AB$13),15-13*ORÇAMENTO!$AF$7)/$H173*OFFSET(ORÇAMENTO!$X$15,ROW(AB173)-ROW(AB$15),0),
              ROUND(ROUND(OFFSET($P173,0,AB$13),15-13*ORÇAMENTO!$AF$7)*OFFSET(ORÇAMENTO!$W$15,ROW(AB173)-ROW(AB$15),0),15-13*ORÇAMENTO!$AF$11)),
         0)</f>
        <v>0</v>
      </c>
      <c r="AC173" s="454">
        <f ca="1">IF(AND($D173="Serviço",AC$12&lt;&gt;0,$H173&gt;0,OR(AUTOEVENTO&lt;&gt;"manual",$M173&lt;&gt;$A$15)),
        IF(Import.TipoArredondamento&lt;&gt;"TransfereGOV",
              ROUND(OFFSET($P173,0,AC$13),15-13*ORÇAMENTO!$AF$7)/$H173*OFFSET(ORÇAMENTO!$X$15,ROW(AC173)-ROW(AC$15),0),
              ROUND(ROUND(OFFSET($P173,0,AC$13),15-13*ORÇAMENTO!$AF$7)*OFFSET(ORÇAMENTO!$W$15,ROW(AC173)-ROW(AC$15),0),15-13*ORÇAMENTO!$AF$11)),
         0)</f>
        <v>0</v>
      </c>
      <c r="AD173" s="454">
        <f ca="1">IF(AND($D173="Serviço",AD$12&lt;&gt;0,$H173&gt;0,OR(AUTOEVENTO&lt;&gt;"manual",$M173&lt;&gt;$A$15)),
        IF(Import.TipoArredondamento&lt;&gt;"TransfereGOV",
              ROUND(OFFSET($P173,0,AD$13),15-13*ORÇAMENTO!$AF$7)/$H173*OFFSET(ORÇAMENTO!$X$15,ROW(AD173)-ROW(AD$15),0),
              ROUND(ROUND(OFFSET($P173,0,AD$13),15-13*ORÇAMENTO!$AF$7)*OFFSET(ORÇAMENTO!$W$15,ROW(AD173)-ROW(AD$15),0),15-13*ORÇAMENTO!$AF$11)),
         0)</f>
        <v>0</v>
      </c>
      <c r="AE173" s="454">
        <f ca="1">IF(AND($D173="Serviço",AE$12&lt;&gt;0,$H173&gt;0,OR(AUTOEVENTO&lt;&gt;"manual",$M173&lt;&gt;$A$15)),
        IF(Import.TipoArredondamento&lt;&gt;"TransfereGOV",
              ROUND(OFFSET($P173,0,AE$13),15-13*ORÇAMENTO!$AF$7)/$H173*OFFSET(ORÇAMENTO!$X$15,ROW(AE173)-ROW(AE$15),0),
              ROUND(ROUND(OFFSET($P173,0,AE$13),15-13*ORÇAMENTO!$AF$7)*OFFSET(ORÇAMENTO!$W$15,ROW(AE173)-ROW(AE$15),0),15-13*ORÇAMENTO!$AF$11)),
         0)</f>
        <v>0</v>
      </c>
      <c r="AF173" s="454">
        <f ca="1">IF(AND($D173="Serviço",AF$12&lt;&gt;0,$H173&gt;0,OR(AUTOEVENTO&lt;&gt;"manual",$M173&lt;&gt;$A$15)),
        IF(Import.TipoArredondamento&lt;&gt;"TransfereGOV",
              ROUND(OFFSET($P173,0,AF$13),15-13*ORÇAMENTO!$AF$7)/$H173*OFFSET(ORÇAMENTO!$X$15,ROW(AF173)-ROW(AF$15),0),
              ROUND(ROUND(OFFSET($P173,0,AF$13),15-13*ORÇAMENTO!$AF$7)*OFFSET(ORÇAMENTO!$W$15,ROW(AF173)-ROW(AF$15),0),15-13*ORÇAMENTO!$AF$11)),
         0)</f>
        <v>0</v>
      </c>
      <c r="AG173" s="454">
        <f ca="1">IF(AND($D173="Serviço",AG$12&lt;&gt;0,$H173&gt;0,OR(AUTOEVENTO&lt;&gt;"manual",$M173&lt;&gt;$A$15)),
        IF(Import.TipoArredondamento&lt;&gt;"TransfereGOV",
              ROUND(OFFSET($P173,0,AG$13),15-13*ORÇAMENTO!$AF$7)/$H173*OFFSET(ORÇAMENTO!$X$15,ROW(AG173)-ROW(AG$15),0),
              ROUND(ROUND(OFFSET($P173,0,AG$13),15-13*ORÇAMENTO!$AF$7)*OFFSET(ORÇAMENTO!$W$15,ROW(AG173)-ROW(AG$15),0),15-13*ORÇAMENTO!$AF$11)),
         0)</f>
        <v>0</v>
      </c>
      <c r="AH173" s="454">
        <f ca="1">IF(AND($D173="Serviço",AH$12&lt;&gt;0,$H173&gt;0,OR(AUTOEVENTO&lt;&gt;"manual",$M173&lt;&gt;$A$15)),
        IF(Import.TipoArredondamento&lt;&gt;"TransfereGOV",
              ROUND(OFFSET($P173,0,AH$13),15-13*ORÇAMENTO!$AF$7)/$H173*OFFSET(ORÇAMENTO!$X$15,ROW(AH173)-ROW(AH$15),0),
              ROUND(ROUND(OFFSET($P173,0,AH$13),15-13*ORÇAMENTO!$AF$7)*OFFSET(ORÇAMENTO!$W$15,ROW(AH173)-ROW(AH$15),0),15-13*ORÇAMENTO!$AF$11)),
         0)</f>
        <v>0</v>
      </c>
      <c r="AI173" s="454">
        <f ca="1">IF(AND($D173="Serviço",AI$12&lt;&gt;0,$H173&gt;0,OR(AUTOEVENTO&lt;&gt;"manual",$M173&lt;&gt;$A$15)),
        IF(Import.TipoArredondamento&lt;&gt;"TransfereGOV",
              ROUND(OFFSET($P173,0,AI$13),15-13*ORÇAMENTO!$AF$7)/$H173*OFFSET(ORÇAMENTO!$X$15,ROW(AI173)-ROW(AI$15),0),
              ROUND(ROUND(OFFSET($P173,0,AI$13),15-13*ORÇAMENTO!$AF$7)*OFFSET(ORÇAMENTO!$W$15,ROW(AI173)-ROW(AI$15),0),15-13*ORÇAMENTO!$AF$11)),
         0)</f>
        <v>0</v>
      </c>
      <c r="AJ173" s="454">
        <f ca="1">IF(AND($D173="Serviço",AJ$12&lt;&gt;0,$H173&gt;0,OR(AUTOEVENTO&lt;&gt;"manual",$M173&lt;&gt;$A$15)),
        IF(Import.TipoArredondamento&lt;&gt;"TransfereGOV",
              ROUND(OFFSET($P173,0,AJ$13),15-13*ORÇAMENTO!$AF$7)/$H173*OFFSET(ORÇAMENTO!$X$15,ROW(AJ173)-ROW(AJ$15),0),
              ROUND(ROUND(OFFSET($P173,0,AJ$13),15-13*ORÇAMENTO!$AF$7)*OFFSET(ORÇAMENTO!$W$15,ROW(AJ173)-ROW(AJ$15),0),15-13*ORÇAMENTO!$AF$11)),
         0)</f>
        <v>0</v>
      </c>
      <c r="AK173" s="454">
        <f ca="1">IF(AND($D173="Serviço",AK$12&lt;&gt;0,$H173&gt;0,OR(AUTOEVENTO&lt;&gt;"manual",$M173&lt;&gt;$A$15)),
        IF(Import.TipoArredondamento&lt;&gt;"TransfereGOV",
              ROUND(OFFSET($P173,0,AK$13),15-13*ORÇAMENTO!$AF$7)/$H173*OFFSET(ORÇAMENTO!$X$15,ROW(AK173)-ROW(AK$15),0),
              ROUND(ROUND(OFFSET($P173,0,AK$13),15-13*ORÇAMENTO!$AF$7)*OFFSET(ORÇAMENTO!$W$15,ROW(AK173)-ROW(AK$15),0),15-13*ORÇAMENTO!$AF$11)),
         0)</f>
        <v>0</v>
      </c>
      <c r="AM173" s="172">
        <f ca="1">IF(OR($D173&lt;&gt;"Serviço",AND(AUTOEVENTO="Manual",$M173=$A$15)),0,
         IF(OFFSET(CRONOPLE!$F$15,$M173-$A$15,AM$13)="",10^12,OFFSET(CRONOPLE!$F$15,$M173-$A$15,AM$13)))</f>
        <v>1000000000000</v>
      </c>
      <c r="AN173" s="172">
        <f ca="1">IF(OR($D173&lt;&gt;"Serviço",AND(AUTOEVENTO="Manual",$M173=$A$15)),0,
         IF(OFFSET(CRONOPLE!$F$15,$M173-$A$15,AN$13)="",10^12,OFFSET(CRONOPLE!$F$15,$M173-$A$15,AN$13)))</f>
        <v>1000000000000</v>
      </c>
      <c r="AO173" s="172">
        <f ca="1">IF(OR($D173&lt;&gt;"Serviço",AND(AUTOEVENTO="Manual",$M173=$A$15)),0,
         IF(OFFSET(CRONOPLE!$F$15,$M173-$A$15,AO$13)="",10^12,OFFSET(CRONOPLE!$F$15,$M173-$A$15,AO$13)))</f>
        <v>1000000000000</v>
      </c>
      <c r="AP173" s="172">
        <f ca="1">IF(OR($D173&lt;&gt;"Serviço",AND(AUTOEVENTO="Manual",$M173=$A$15)),0,
         IF(OFFSET(CRONOPLE!$F$15,$M173-$A$15,AP$13)="",10^12,OFFSET(CRONOPLE!$F$15,$M173-$A$15,AP$13)))</f>
        <v>1000000000000</v>
      </c>
      <c r="AQ173" s="172">
        <f ca="1">IF(OR($D173&lt;&gt;"Serviço",AND(AUTOEVENTO="Manual",$M173=$A$15)),0,
         IF(OFFSET(CRONOPLE!$F$15,$M173-$A$15,AQ$13)="",10^12,OFFSET(CRONOPLE!$F$15,$M173-$A$15,AQ$13)))</f>
        <v>1000000000000</v>
      </c>
      <c r="AR173" s="172">
        <f ca="1">IF(OR($D173&lt;&gt;"Serviço",AND(AUTOEVENTO="Manual",$M173=$A$15)),0,
         IF(OFFSET(CRONOPLE!$F$15,$M173-$A$15,AR$13)="",10^12,OFFSET(CRONOPLE!$F$15,$M173-$A$15,AR$13)))</f>
        <v>1000000000000</v>
      </c>
      <c r="AS173" s="172">
        <f ca="1">IF(OR($D173&lt;&gt;"Serviço",AND(AUTOEVENTO="Manual",$M173=$A$15)),0,
         IF(OFFSET(CRONOPLE!$F$15,$M173-$A$15,AS$13)="",10^12,OFFSET(CRONOPLE!$F$15,$M173-$A$15,AS$13)))</f>
        <v>1000000000000</v>
      </c>
      <c r="AT173" s="172">
        <f ca="1">IF(OR($D173&lt;&gt;"Serviço",AND(AUTOEVENTO="Manual",$M173=$A$15)),0,
         IF(OFFSET(CRONOPLE!$F$15,$M173-$A$15,AT$13)="",10^12,OFFSET(CRONOPLE!$F$15,$M173-$A$15,AT$13)))</f>
        <v>1000000000000</v>
      </c>
      <c r="AU173" s="172">
        <f ca="1">IF(OR($D173&lt;&gt;"Serviço",AND(AUTOEVENTO="Manual",$M173=$A$15)),0,
         IF(OFFSET(CRONOPLE!$F$15,$M173-$A$15,AU$13)="",10^12,OFFSET(CRONOPLE!$F$15,$M173-$A$15,AU$13)))</f>
        <v>1000000000000</v>
      </c>
      <c r="AV173" s="172">
        <f ca="1">IF(OR($D173&lt;&gt;"Serviço",AND(AUTOEVENTO="Manual",$M173=$A$15)),0,
         IF(OFFSET(CRONOPLE!$F$15,$M173-$A$15,AV$13)="",10^12,OFFSET(CRONOPLE!$F$15,$M173-$A$15,AV$13)))</f>
        <v>1000000000000</v>
      </c>
      <c r="AX173" s="173">
        <f ca="1">IF(OR($D173&lt;&gt;"Serviço",AND(AUTOEVENTO="Manual",$M173=$A$15),$M173&gt;(ROW(PLE.lastrow)-ROW(PLE.firstrow))),0,
           IF(OFFSET(PLE!$G$15,$M173-$A$15,AX$13)="",10^12,OFFSET(PLE!$G$15,$M173-$A$15,AX$13)))</f>
        <v>1000000000000</v>
      </c>
      <c r="AY173" s="173">
        <f ca="1">IF(OR($D173&lt;&gt;"Serviço",AND(AUTOEVENTO="Manual",$M173=$A$15),$M173&gt;(ROW(PLE.lastrow)-ROW(PLE.firstrow))),0,
           IF(OFFSET(PLE!$G$15,$M173-$A$15,AY$13)="",10^12,OFFSET(PLE!$G$15,$M173-$A$15,AY$13)))</f>
        <v>1000000000000</v>
      </c>
      <c r="AZ173" s="173">
        <f ca="1">IF(OR($D173&lt;&gt;"Serviço",AND(AUTOEVENTO="Manual",$M173=$A$15),$M173&gt;(ROW(PLE.lastrow)-ROW(PLE.firstrow))),0,
           IF(OFFSET(PLE!$G$15,$M173-$A$15,AZ$13)="",10^12,OFFSET(PLE!$G$15,$M173-$A$15,AZ$13)))</f>
        <v>1000000000000</v>
      </c>
      <c r="BA173" s="173">
        <f ca="1">IF(OR($D173&lt;&gt;"Serviço",AND(AUTOEVENTO="Manual",$M173=$A$15),$M173&gt;(ROW(PLE.lastrow)-ROW(PLE.firstrow))),0,
           IF(OFFSET(PLE!$G$15,$M173-$A$15,BA$13)="",10^12,OFFSET(PLE!$G$15,$M173-$A$15,BA$13)))</f>
        <v>1000000000000</v>
      </c>
      <c r="BB173" s="173">
        <f ca="1">IF(OR($D173&lt;&gt;"Serviço",AND(AUTOEVENTO="Manual",$M173=$A$15),$M173&gt;(ROW(PLE.lastrow)-ROW(PLE.firstrow))),0,
           IF(OFFSET(PLE!$G$15,$M173-$A$15,BB$13)="",10^12,OFFSET(PLE!$G$15,$M173-$A$15,BB$13)))</f>
        <v>1000000000000</v>
      </c>
      <c r="BC173" s="173">
        <f ca="1">IF(OR($D173&lt;&gt;"Serviço",AND(AUTOEVENTO="Manual",$M173=$A$15),$M173&gt;(ROW(PLE.lastrow)-ROW(PLE.firstrow))),0,
           IF(OFFSET(PLE!$G$15,$M173-$A$15,BC$13)="",10^12,OFFSET(PLE!$G$15,$M173-$A$15,BC$13)))</f>
        <v>1000000000000</v>
      </c>
      <c r="BD173" s="173">
        <f ca="1">IF(OR($D173&lt;&gt;"Serviço",AND(AUTOEVENTO="Manual",$M173=$A$15),$M173&gt;(ROW(PLE.lastrow)-ROW(PLE.firstrow))),0,
           IF(OFFSET(PLE!$G$15,$M173-$A$15,BD$13)="",10^12,OFFSET(PLE!$G$15,$M173-$A$15,BD$13)))</f>
        <v>1000000000000</v>
      </c>
      <c r="BE173" s="173">
        <f ca="1">IF(OR($D173&lt;&gt;"Serviço",AND(AUTOEVENTO="Manual",$M173=$A$15),$M173&gt;(ROW(PLE.lastrow)-ROW(PLE.firstrow))),0,
           IF(OFFSET(PLE!$G$15,$M173-$A$15,BE$13)="",10^12,OFFSET(PLE!$G$15,$M173-$A$15,BE$13)))</f>
        <v>1000000000000</v>
      </c>
      <c r="BF173" s="173">
        <f ca="1">IF(OR($D173&lt;&gt;"Serviço",AND(AUTOEVENTO="Manual",$M173=$A$15),$M173&gt;(ROW(PLE.lastrow)-ROW(PLE.firstrow))),0,
           IF(OFFSET(PLE!$G$15,$M173-$A$15,BF$13)="",10^12,OFFSET(PLE!$G$15,$M173-$A$15,BF$13)))</f>
        <v>1000000000000</v>
      </c>
      <c r="BG173" s="173">
        <f ca="1">IF(OR($D173&lt;&gt;"Serviço",AND(AUTOEVENTO="Manual",$M173=$A$15),$M173&gt;(ROW(PLE.lastrow)-ROW(PLE.firstrow))),0,
           IF(OFFSET(PLE!$G$15,$M173-$A$15,BG$13)="",10^12,OFFSET(PLE!$G$15,$M173-$A$15,BG$13)))</f>
        <v>1000000000000</v>
      </c>
    </row>
    <row r="174" spans="1:59" ht="25.5" x14ac:dyDescent="0.2">
      <c r="A174" s="7" t="str">
        <f t="shared" ca="1" si="10"/>
        <v>114</v>
      </c>
      <c r="B174" s="7" t="str">
        <f ca="1">OFFSET(ORÇAMENTO!C$15,ROW(B174)-ROW(B$15),0)</f>
        <v>S</v>
      </c>
      <c r="C174" s="7" t="str">
        <f ca="1">OFFSET(ORÇAMENTO!L$15,ROW(C174)-ROW(C$15),0)</f>
        <v/>
      </c>
      <c r="D174" s="117" t="str">
        <f ca="1">OFFSET(ORÇAMENTO!N$15,ROW(D174)-ROW(D$15),0)</f>
        <v>Serviço</v>
      </c>
      <c r="E174" s="118" t="str">
        <f ca="1">OFFSET(ORÇAMENTO!O$15,ROW(E174)-ROW(E$15),0)</f>
        <v>-</v>
      </c>
      <c r="F174" s="164" t="str">
        <f ca="1">OFFSET(ORÇAMENTO!R$15,ROW(F174)-ROW(F$15),0)</f>
        <v>ENGATE FLEXÍVEL EM INOX, 1/2  X 40CM - FORNECIMENTO E INSTALAÇÃO. AF_01/2020</v>
      </c>
      <c r="G174" s="165" t="str">
        <f ca="1">IF($D174&lt;&gt;"Serviço","",OFFSET(ORÇAMENTO!S$15,ROW(G174)-ROW(G$15),0))</f>
        <v>UN</v>
      </c>
      <c r="H174" s="123">
        <f ca="1">IF($D174&lt;&gt;"Serviço",0,IF(ACOMPANHAMENTO="BM",ROUND(OFFSET(ORÇAMENTO!AJ$15,ROW(H174)-ROW(H$15),0),15-13*ORÇAMENTO!$AF$7),SUMPRODUCT(($Q$1:$AA$1=1)*ROUND($Q174:$AA174,15-13*ORÇAMENTO!$AF$7))))</f>
        <v>44</v>
      </c>
      <c r="I174" s="469"/>
      <c r="J174" s="577" t="str" cm="1">
        <f t="array" aca="1" ref="J174" ca="1">IF(B174&lt;&gt;"S","",IF(AND(ACOMPANHAMENTO="PLE",AUTOEVENTO="Manual",OR(H174&gt;0,ORÇAMENTO!AC174="QUANT."),OR(K174="",M174=0,N174="")),"►",IF(AND(ACOMPANHAMENTO="PLE",ORÇAMENTO!AC174="QUANT."),"►►",IF(AND(COUNTIF($P$11:$AA$11,"▼")=0,H174&gt;0,I174=""),"◄",""))))</f>
        <v>◄</v>
      </c>
      <c r="K174" s="626"/>
      <c r="L174" s="166" t="s">
        <v>765</v>
      </c>
      <c r="M174" s="167">
        <f ca="1">IF($D174&lt;&gt;"Serviço","",
          IF(AUTOEVENTO="manual",$A174,
                IF(ISERROR(MATCH($A174,$A$15:OFFSET($A174,-1,0),0)),MAX($M$15:OFFSET(M174,-1,0))+1,
                      INDEX($M$15:OFFSET(M174,-1,0),MATCH($A174,$A$15:OFFSET($A174,-1,0),0)))))</f>
        <v>11</v>
      </c>
      <c r="N174" s="168" t="str">
        <f ca="1">IF($D174&lt;&gt;"Serviço","",
         IF(AUTOEVENTO="Manual",
                IF($A174=0,"&lt;-- defina o número do agrupador",
                       OFFSET(EVENTOS!$D$15,$A174-$A$15,0)),
                OFFSET($F$15,$A174,0)))</f>
        <v>INSTALAÇÕES HIDROSSANITÁRIAS</v>
      </c>
      <c r="O174" s="169"/>
      <c r="Q174" s="169"/>
      <c r="R174" s="170"/>
      <c r="S174" s="170"/>
      <c r="T174" s="170"/>
      <c r="U174" s="170"/>
      <c r="V174" s="170"/>
      <c r="W174" s="170"/>
      <c r="X174" s="170"/>
      <c r="Y174" s="170"/>
      <c r="Z174" s="171"/>
      <c r="AB174" s="454">
        <f ca="1">IF(AND($D174="Serviço",AB$12&lt;&gt;0,$H174&gt;0,OR(AUTOEVENTO&lt;&gt;"manual",$M174&lt;&gt;$A$15)),
        IF(Import.TipoArredondamento&lt;&gt;"TransfereGOV",
              ROUND(OFFSET($P174,0,AB$13),15-13*ORÇAMENTO!$AF$7)/$H174*OFFSET(ORÇAMENTO!$X$15,ROW(AB174)-ROW(AB$15),0),
              ROUND(ROUND(OFFSET($P174,0,AB$13),15-13*ORÇAMENTO!$AF$7)*OFFSET(ORÇAMENTO!$W$15,ROW(AB174)-ROW(AB$15),0),15-13*ORÇAMENTO!$AF$11)),
         0)</f>
        <v>0</v>
      </c>
      <c r="AC174" s="454">
        <f ca="1">IF(AND($D174="Serviço",AC$12&lt;&gt;0,$H174&gt;0,OR(AUTOEVENTO&lt;&gt;"manual",$M174&lt;&gt;$A$15)),
        IF(Import.TipoArredondamento&lt;&gt;"TransfereGOV",
              ROUND(OFFSET($P174,0,AC$13),15-13*ORÇAMENTO!$AF$7)/$H174*OFFSET(ORÇAMENTO!$X$15,ROW(AC174)-ROW(AC$15),0),
              ROUND(ROUND(OFFSET($P174,0,AC$13),15-13*ORÇAMENTO!$AF$7)*OFFSET(ORÇAMENTO!$W$15,ROW(AC174)-ROW(AC$15),0),15-13*ORÇAMENTO!$AF$11)),
         0)</f>
        <v>0</v>
      </c>
      <c r="AD174" s="454">
        <f ca="1">IF(AND($D174="Serviço",AD$12&lt;&gt;0,$H174&gt;0,OR(AUTOEVENTO&lt;&gt;"manual",$M174&lt;&gt;$A$15)),
        IF(Import.TipoArredondamento&lt;&gt;"TransfereGOV",
              ROUND(OFFSET($P174,0,AD$13),15-13*ORÇAMENTO!$AF$7)/$H174*OFFSET(ORÇAMENTO!$X$15,ROW(AD174)-ROW(AD$15),0),
              ROUND(ROUND(OFFSET($P174,0,AD$13),15-13*ORÇAMENTO!$AF$7)*OFFSET(ORÇAMENTO!$W$15,ROW(AD174)-ROW(AD$15),0),15-13*ORÇAMENTO!$AF$11)),
         0)</f>
        <v>0</v>
      </c>
      <c r="AE174" s="454">
        <f ca="1">IF(AND($D174="Serviço",AE$12&lt;&gt;0,$H174&gt;0,OR(AUTOEVENTO&lt;&gt;"manual",$M174&lt;&gt;$A$15)),
        IF(Import.TipoArredondamento&lt;&gt;"TransfereGOV",
              ROUND(OFFSET($P174,0,AE$13),15-13*ORÇAMENTO!$AF$7)/$H174*OFFSET(ORÇAMENTO!$X$15,ROW(AE174)-ROW(AE$15),0),
              ROUND(ROUND(OFFSET($P174,0,AE$13),15-13*ORÇAMENTO!$AF$7)*OFFSET(ORÇAMENTO!$W$15,ROW(AE174)-ROW(AE$15),0),15-13*ORÇAMENTO!$AF$11)),
         0)</f>
        <v>0</v>
      </c>
      <c r="AF174" s="454">
        <f ca="1">IF(AND($D174="Serviço",AF$12&lt;&gt;0,$H174&gt;0,OR(AUTOEVENTO&lt;&gt;"manual",$M174&lt;&gt;$A$15)),
        IF(Import.TipoArredondamento&lt;&gt;"TransfereGOV",
              ROUND(OFFSET($P174,0,AF$13),15-13*ORÇAMENTO!$AF$7)/$H174*OFFSET(ORÇAMENTO!$X$15,ROW(AF174)-ROW(AF$15),0),
              ROUND(ROUND(OFFSET($P174,0,AF$13),15-13*ORÇAMENTO!$AF$7)*OFFSET(ORÇAMENTO!$W$15,ROW(AF174)-ROW(AF$15),0),15-13*ORÇAMENTO!$AF$11)),
         0)</f>
        <v>0</v>
      </c>
      <c r="AG174" s="454">
        <f ca="1">IF(AND($D174="Serviço",AG$12&lt;&gt;0,$H174&gt;0,OR(AUTOEVENTO&lt;&gt;"manual",$M174&lt;&gt;$A$15)),
        IF(Import.TipoArredondamento&lt;&gt;"TransfereGOV",
              ROUND(OFFSET($P174,0,AG$13),15-13*ORÇAMENTO!$AF$7)/$H174*OFFSET(ORÇAMENTO!$X$15,ROW(AG174)-ROW(AG$15),0),
              ROUND(ROUND(OFFSET($P174,0,AG$13),15-13*ORÇAMENTO!$AF$7)*OFFSET(ORÇAMENTO!$W$15,ROW(AG174)-ROW(AG$15),0),15-13*ORÇAMENTO!$AF$11)),
         0)</f>
        <v>0</v>
      </c>
      <c r="AH174" s="454">
        <f ca="1">IF(AND($D174="Serviço",AH$12&lt;&gt;0,$H174&gt;0,OR(AUTOEVENTO&lt;&gt;"manual",$M174&lt;&gt;$A$15)),
        IF(Import.TipoArredondamento&lt;&gt;"TransfereGOV",
              ROUND(OFFSET($P174,0,AH$13),15-13*ORÇAMENTO!$AF$7)/$H174*OFFSET(ORÇAMENTO!$X$15,ROW(AH174)-ROW(AH$15),0),
              ROUND(ROUND(OFFSET($P174,0,AH$13),15-13*ORÇAMENTO!$AF$7)*OFFSET(ORÇAMENTO!$W$15,ROW(AH174)-ROW(AH$15),0),15-13*ORÇAMENTO!$AF$11)),
         0)</f>
        <v>0</v>
      </c>
      <c r="AI174" s="454">
        <f ca="1">IF(AND($D174="Serviço",AI$12&lt;&gt;0,$H174&gt;0,OR(AUTOEVENTO&lt;&gt;"manual",$M174&lt;&gt;$A$15)),
        IF(Import.TipoArredondamento&lt;&gt;"TransfereGOV",
              ROUND(OFFSET($P174,0,AI$13),15-13*ORÇAMENTO!$AF$7)/$H174*OFFSET(ORÇAMENTO!$X$15,ROW(AI174)-ROW(AI$15),0),
              ROUND(ROUND(OFFSET($P174,0,AI$13),15-13*ORÇAMENTO!$AF$7)*OFFSET(ORÇAMENTO!$W$15,ROW(AI174)-ROW(AI$15),0),15-13*ORÇAMENTO!$AF$11)),
         0)</f>
        <v>0</v>
      </c>
      <c r="AJ174" s="454">
        <f ca="1">IF(AND($D174="Serviço",AJ$12&lt;&gt;0,$H174&gt;0,OR(AUTOEVENTO&lt;&gt;"manual",$M174&lt;&gt;$A$15)),
        IF(Import.TipoArredondamento&lt;&gt;"TransfereGOV",
              ROUND(OFFSET($P174,0,AJ$13),15-13*ORÇAMENTO!$AF$7)/$H174*OFFSET(ORÇAMENTO!$X$15,ROW(AJ174)-ROW(AJ$15),0),
              ROUND(ROUND(OFFSET($P174,0,AJ$13),15-13*ORÇAMENTO!$AF$7)*OFFSET(ORÇAMENTO!$W$15,ROW(AJ174)-ROW(AJ$15),0),15-13*ORÇAMENTO!$AF$11)),
         0)</f>
        <v>0</v>
      </c>
      <c r="AK174" s="454">
        <f ca="1">IF(AND($D174="Serviço",AK$12&lt;&gt;0,$H174&gt;0,OR(AUTOEVENTO&lt;&gt;"manual",$M174&lt;&gt;$A$15)),
        IF(Import.TipoArredondamento&lt;&gt;"TransfereGOV",
              ROUND(OFFSET($P174,0,AK$13),15-13*ORÇAMENTO!$AF$7)/$H174*OFFSET(ORÇAMENTO!$X$15,ROW(AK174)-ROW(AK$15),0),
              ROUND(ROUND(OFFSET($P174,0,AK$13),15-13*ORÇAMENTO!$AF$7)*OFFSET(ORÇAMENTO!$W$15,ROW(AK174)-ROW(AK$15),0),15-13*ORÇAMENTO!$AF$11)),
         0)</f>
        <v>0</v>
      </c>
      <c r="AM174" s="172">
        <f ca="1">IF(OR($D174&lt;&gt;"Serviço",AND(AUTOEVENTO="Manual",$M174=$A$15)),0,
         IF(OFFSET(CRONOPLE!$F$15,$M174-$A$15,AM$13)="",10^12,OFFSET(CRONOPLE!$F$15,$M174-$A$15,AM$13)))</f>
        <v>1000000000000</v>
      </c>
      <c r="AN174" s="172">
        <f ca="1">IF(OR($D174&lt;&gt;"Serviço",AND(AUTOEVENTO="Manual",$M174=$A$15)),0,
         IF(OFFSET(CRONOPLE!$F$15,$M174-$A$15,AN$13)="",10^12,OFFSET(CRONOPLE!$F$15,$M174-$A$15,AN$13)))</f>
        <v>1000000000000</v>
      </c>
      <c r="AO174" s="172">
        <f ca="1">IF(OR($D174&lt;&gt;"Serviço",AND(AUTOEVENTO="Manual",$M174=$A$15)),0,
         IF(OFFSET(CRONOPLE!$F$15,$M174-$A$15,AO$13)="",10^12,OFFSET(CRONOPLE!$F$15,$M174-$A$15,AO$13)))</f>
        <v>1000000000000</v>
      </c>
      <c r="AP174" s="172">
        <f ca="1">IF(OR($D174&lt;&gt;"Serviço",AND(AUTOEVENTO="Manual",$M174=$A$15)),0,
         IF(OFFSET(CRONOPLE!$F$15,$M174-$A$15,AP$13)="",10^12,OFFSET(CRONOPLE!$F$15,$M174-$A$15,AP$13)))</f>
        <v>1000000000000</v>
      </c>
      <c r="AQ174" s="172">
        <f ca="1">IF(OR($D174&lt;&gt;"Serviço",AND(AUTOEVENTO="Manual",$M174=$A$15)),0,
         IF(OFFSET(CRONOPLE!$F$15,$M174-$A$15,AQ$13)="",10^12,OFFSET(CRONOPLE!$F$15,$M174-$A$15,AQ$13)))</f>
        <v>1000000000000</v>
      </c>
      <c r="AR174" s="172">
        <f ca="1">IF(OR($D174&lt;&gt;"Serviço",AND(AUTOEVENTO="Manual",$M174=$A$15)),0,
         IF(OFFSET(CRONOPLE!$F$15,$M174-$A$15,AR$13)="",10^12,OFFSET(CRONOPLE!$F$15,$M174-$A$15,AR$13)))</f>
        <v>1000000000000</v>
      </c>
      <c r="AS174" s="172">
        <f ca="1">IF(OR($D174&lt;&gt;"Serviço",AND(AUTOEVENTO="Manual",$M174=$A$15)),0,
         IF(OFFSET(CRONOPLE!$F$15,$M174-$A$15,AS$13)="",10^12,OFFSET(CRONOPLE!$F$15,$M174-$A$15,AS$13)))</f>
        <v>1000000000000</v>
      </c>
      <c r="AT174" s="172">
        <f ca="1">IF(OR($D174&lt;&gt;"Serviço",AND(AUTOEVENTO="Manual",$M174=$A$15)),0,
         IF(OFFSET(CRONOPLE!$F$15,$M174-$A$15,AT$13)="",10^12,OFFSET(CRONOPLE!$F$15,$M174-$A$15,AT$13)))</f>
        <v>1000000000000</v>
      </c>
      <c r="AU174" s="172">
        <f ca="1">IF(OR($D174&lt;&gt;"Serviço",AND(AUTOEVENTO="Manual",$M174=$A$15)),0,
         IF(OFFSET(CRONOPLE!$F$15,$M174-$A$15,AU$13)="",10^12,OFFSET(CRONOPLE!$F$15,$M174-$A$15,AU$13)))</f>
        <v>1000000000000</v>
      </c>
      <c r="AV174" s="172">
        <f ca="1">IF(OR($D174&lt;&gt;"Serviço",AND(AUTOEVENTO="Manual",$M174=$A$15)),0,
         IF(OFFSET(CRONOPLE!$F$15,$M174-$A$15,AV$13)="",10^12,OFFSET(CRONOPLE!$F$15,$M174-$A$15,AV$13)))</f>
        <v>1000000000000</v>
      </c>
      <c r="AX174" s="173">
        <f ca="1">IF(OR($D174&lt;&gt;"Serviço",AND(AUTOEVENTO="Manual",$M174=$A$15),$M174&gt;(ROW(PLE.lastrow)-ROW(PLE.firstrow))),0,
           IF(OFFSET(PLE!$G$15,$M174-$A$15,AX$13)="",10^12,OFFSET(PLE!$G$15,$M174-$A$15,AX$13)))</f>
        <v>1000000000000</v>
      </c>
      <c r="AY174" s="173">
        <f ca="1">IF(OR($D174&lt;&gt;"Serviço",AND(AUTOEVENTO="Manual",$M174=$A$15),$M174&gt;(ROW(PLE.lastrow)-ROW(PLE.firstrow))),0,
           IF(OFFSET(PLE!$G$15,$M174-$A$15,AY$13)="",10^12,OFFSET(PLE!$G$15,$M174-$A$15,AY$13)))</f>
        <v>1000000000000</v>
      </c>
      <c r="AZ174" s="173">
        <f ca="1">IF(OR($D174&lt;&gt;"Serviço",AND(AUTOEVENTO="Manual",$M174=$A$15),$M174&gt;(ROW(PLE.lastrow)-ROW(PLE.firstrow))),0,
           IF(OFFSET(PLE!$G$15,$M174-$A$15,AZ$13)="",10^12,OFFSET(PLE!$G$15,$M174-$A$15,AZ$13)))</f>
        <v>1000000000000</v>
      </c>
      <c r="BA174" s="173">
        <f ca="1">IF(OR($D174&lt;&gt;"Serviço",AND(AUTOEVENTO="Manual",$M174=$A$15),$M174&gt;(ROW(PLE.lastrow)-ROW(PLE.firstrow))),0,
           IF(OFFSET(PLE!$G$15,$M174-$A$15,BA$13)="",10^12,OFFSET(PLE!$G$15,$M174-$A$15,BA$13)))</f>
        <v>1000000000000</v>
      </c>
      <c r="BB174" s="173">
        <f ca="1">IF(OR($D174&lt;&gt;"Serviço",AND(AUTOEVENTO="Manual",$M174=$A$15),$M174&gt;(ROW(PLE.lastrow)-ROW(PLE.firstrow))),0,
           IF(OFFSET(PLE!$G$15,$M174-$A$15,BB$13)="",10^12,OFFSET(PLE!$G$15,$M174-$A$15,BB$13)))</f>
        <v>1000000000000</v>
      </c>
      <c r="BC174" s="173">
        <f ca="1">IF(OR($D174&lt;&gt;"Serviço",AND(AUTOEVENTO="Manual",$M174=$A$15),$M174&gt;(ROW(PLE.lastrow)-ROW(PLE.firstrow))),0,
           IF(OFFSET(PLE!$G$15,$M174-$A$15,BC$13)="",10^12,OFFSET(PLE!$G$15,$M174-$A$15,BC$13)))</f>
        <v>1000000000000</v>
      </c>
      <c r="BD174" s="173">
        <f ca="1">IF(OR($D174&lt;&gt;"Serviço",AND(AUTOEVENTO="Manual",$M174=$A$15),$M174&gt;(ROW(PLE.lastrow)-ROW(PLE.firstrow))),0,
           IF(OFFSET(PLE!$G$15,$M174-$A$15,BD$13)="",10^12,OFFSET(PLE!$G$15,$M174-$A$15,BD$13)))</f>
        <v>1000000000000</v>
      </c>
      <c r="BE174" s="173">
        <f ca="1">IF(OR($D174&lt;&gt;"Serviço",AND(AUTOEVENTO="Manual",$M174=$A$15),$M174&gt;(ROW(PLE.lastrow)-ROW(PLE.firstrow))),0,
           IF(OFFSET(PLE!$G$15,$M174-$A$15,BE$13)="",10^12,OFFSET(PLE!$G$15,$M174-$A$15,BE$13)))</f>
        <v>1000000000000</v>
      </c>
      <c r="BF174" s="173">
        <f ca="1">IF(OR($D174&lt;&gt;"Serviço",AND(AUTOEVENTO="Manual",$M174=$A$15),$M174&gt;(ROW(PLE.lastrow)-ROW(PLE.firstrow))),0,
           IF(OFFSET(PLE!$G$15,$M174-$A$15,BF$13)="",10^12,OFFSET(PLE!$G$15,$M174-$A$15,BF$13)))</f>
        <v>1000000000000</v>
      </c>
      <c r="BG174" s="173">
        <f ca="1">IF(OR($D174&lt;&gt;"Serviço",AND(AUTOEVENTO="Manual",$M174=$A$15),$M174&gt;(ROW(PLE.lastrow)-ROW(PLE.firstrow))),0,
           IF(OFFSET(PLE!$G$15,$M174-$A$15,BG$13)="",10^12,OFFSET(PLE!$G$15,$M174-$A$15,BG$13)))</f>
        <v>1000000000000</v>
      </c>
    </row>
    <row r="175" spans="1:59" ht="25.5" x14ac:dyDescent="0.2">
      <c r="A175" s="7" t="str">
        <f t="shared" ca="1" si="10"/>
        <v>114</v>
      </c>
      <c r="B175" s="7" t="str">
        <f ca="1">OFFSET(ORÇAMENTO!C$15,ROW(B175)-ROW(B$15),0)</f>
        <v>S</v>
      </c>
      <c r="C175" s="7" t="str">
        <f ca="1">OFFSET(ORÇAMENTO!L$15,ROW(C175)-ROW(C$15),0)</f>
        <v/>
      </c>
      <c r="D175" s="117" t="str">
        <f ca="1">OFFSET(ORÇAMENTO!N$15,ROW(D175)-ROW(D$15),0)</f>
        <v>Serviço</v>
      </c>
      <c r="E175" s="118" t="str">
        <f ca="1">OFFSET(ORÇAMENTO!O$15,ROW(E175)-ROW(E$15),0)</f>
        <v>-</v>
      </c>
      <c r="F175" s="164" t="str">
        <f ca="1">OFFSET(ORÇAMENTO!R$15,ROW(F175)-ROW(F$15),0)</f>
        <v>HIDRÔMETRO DN 3/4", 5,0 M3/H - FORNECIMENTO E INSTALAÇÃO. AF_03/2024</v>
      </c>
      <c r="G175" s="165" t="str">
        <f ca="1">IF($D175&lt;&gt;"Serviço","",OFFSET(ORÇAMENTO!S$15,ROW(G175)-ROW(G$15),0))</f>
        <v>UN</v>
      </c>
      <c r="H175" s="123">
        <f ca="1">IF($D175&lt;&gt;"Serviço",0,IF(ACOMPANHAMENTO="BM",ROUND(OFFSET(ORÇAMENTO!AJ$15,ROW(H175)-ROW(H$15),0),15-13*ORÇAMENTO!$AF$7),SUMPRODUCT(($Q$1:$AA$1=1)*ROUND($Q175:$AA175,15-13*ORÇAMENTO!$AF$7))))</f>
        <v>1</v>
      </c>
      <c r="I175" s="469"/>
      <c r="J175" s="577" t="str" cm="1">
        <f t="array" aca="1" ref="J175" ca="1">IF(B175&lt;&gt;"S","",IF(AND(ACOMPANHAMENTO="PLE",AUTOEVENTO="Manual",OR(H175&gt;0,ORÇAMENTO!AC175="QUANT."),OR(K175="",M175=0,N175="")),"►",IF(AND(ACOMPANHAMENTO="PLE",ORÇAMENTO!AC175="QUANT."),"►►",IF(AND(COUNTIF($P$11:$AA$11,"▼")=0,H175&gt;0,I175=""),"◄",""))))</f>
        <v>◄</v>
      </c>
      <c r="K175" s="626"/>
      <c r="L175" s="166" t="s">
        <v>765</v>
      </c>
      <c r="M175" s="167">
        <f ca="1">IF($D175&lt;&gt;"Serviço","",
          IF(AUTOEVENTO="manual",$A175,
                IF(ISERROR(MATCH($A175,$A$15:OFFSET($A175,-1,0),0)),MAX($M$15:OFFSET(M175,-1,0))+1,
                      INDEX($M$15:OFFSET(M175,-1,0),MATCH($A175,$A$15:OFFSET($A175,-1,0),0)))))</f>
        <v>11</v>
      </c>
      <c r="N175" s="168" t="str">
        <f ca="1">IF($D175&lt;&gt;"Serviço","",
         IF(AUTOEVENTO="Manual",
                IF($A175=0,"&lt;-- defina o número do agrupador",
                       OFFSET(EVENTOS!$D$15,$A175-$A$15,0)),
                OFFSET($F$15,$A175,0)))</f>
        <v>INSTALAÇÕES HIDROSSANITÁRIAS</v>
      </c>
      <c r="O175" s="169"/>
      <c r="Q175" s="169"/>
      <c r="R175" s="170"/>
      <c r="S175" s="170"/>
      <c r="T175" s="170"/>
      <c r="U175" s="170"/>
      <c r="V175" s="170"/>
      <c r="W175" s="170"/>
      <c r="X175" s="170"/>
      <c r="Y175" s="170"/>
      <c r="Z175" s="171"/>
      <c r="AB175" s="454">
        <f ca="1">IF(AND($D175="Serviço",AB$12&lt;&gt;0,$H175&gt;0,OR(AUTOEVENTO&lt;&gt;"manual",$M175&lt;&gt;$A$15)),
        IF(Import.TipoArredondamento&lt;&gt;"TransfereGOV",
              ROUND(OFFSET($P175,0,AB$13),15-13*ORÇAMENTO!$AF$7)/$H175*OFFSET(ORÇAMENTO!$X$15,ROW(AB175)-ROW(AB$15),0),
              ROUND(ROUND(OFFSET($P175,0,AB$13),15-13*ORÇAMENTO!$AF$7)*OFFSET(ORÇAMENTO!$W$15,ROW(AB175)-ROW(AB$15),0),15-13*ORÇAMENTO!$AF$11)),
         0)</f>
        <v>0</v>
      </c>
      <c r="AC175" s="454">
        <f ca="1">IF(AND($D175="Serviço",AC$12&lt;&gt;0,$H175&gt;0,OR(AUTOEVENTO&lt;&gt;"manual",$M175&lt;&gt;$A$15)),
        IF(Import.TipoArredondamento&lt;&gt;"TransfereGOV",
              ROUND(OFFSET($P175,0,AC$13),15-13*ORÇAMENTO!$AF$7)/$H175*OFFSET(ORÇAMENTO!$X$15,ROW(AC175)-ROW(AC$15),0),
              ROUND(ROUND(OFFSET($P175,0,AC$13),15-13*ORÇAMENTO!$AF$7)*OFFSET(ORÇAMENTO!$W$15,ROW(AC175)-ROW(AC$15),0),15-13*ORÇAMENTO!$AF$11)),
         0)</f>
        <v>0</v>
      </c>
      <c r="AD175" s="454">
        <f ca="1">IF(AND($D175="Serviço",AD$12&lt;&gt;0,$H175&gt;0,OR(AUTOEVENTO&lt;&gt;"manual",$M175&lt;&gt;$A$15)),
        IF(Import.TipoArredondamento&lt;&gt;"TransfereGOV",
              ROUND(OFFSET($P175,0,AD$13),15-13*ORÇAMENTO!$AF$7)/$H175*OFFSET(ORÇAMENTO!$X$15,ROW(AD175)-ROW(AD$15),0),
              ROUND(ROUND(OFFSET($P175,0,AD$13),15-13*ORÇAMENTO!$AF$7)*OFFSET(ORÇAMENTO!$W$15,ROW(AD175)-ROW(AD$15),0),15-13*ORÇAMENTO!$AF$11)),
         0)</f>
        <v>0</v>
      </c>
      <c r="AE175" s="454">
        <f ca="1">IF(AND($D175="Serviço",AE$12&lt;&gt;0,$H175&gt;0,OR(AUTOEVENTO&lt;&gt;"manual",$M175&lt;&gt;$A$15)),
        IF(Import.TipoArredondamento&lt;&gt;"TransfereGOV",
              ROUND(OFFSET($P175,0,AE$13),15-13*ORÇAMENTO!$AF$7)/$H175*OFFSET(ORÇAMENTO!$X$15,ROW(AE175)-ROW(AE$15),0),
              ROUND(ROUND(OFFSET($P175,0,AE$13),15-13*ORÇAMENTO!$AF$7)*OFFSET(ORÇAMENTO!$W$15,ROW(AE175)-ROW(AE$15),0),15-13*ORÇAMENTO!$AF$11)),
         0)</f>
        <v>0</v>
      </c>
      <c r="AF175" s="454">
        <f ca="1">IF(AND($D175="Serviço",AF$12&lt;&gt;0,$H175&gt;0,OR(AUTOEVENTO&lt;&gt;"manual",$M175&lt;&gt;$A$15)),
        IF(Import.TipoArredondamento&lt;&gt;"TransfereGOV",
              ROUND(OFFSET($P175,0,AF$13),15-13*ORÇAMENTO!$AF$7)/$H175*OFFSET(ORÇAMENTO!$X$15,ROW(AF175)-ROW(AF$15),0),
              ROUND(ROUND(OFFSET($P175,0,AF$13),15-13*ORÇAMENTO!$AF$7)*OFFSET(ORÇAMENTO!$W$15,ROW(AF175)-ROW(AF$15),0),15-13*ORÇAMENTO!$AF$11)),
         0)</f>
        <v>0</v>
      </c>
      <c r="AG175" s="454">
        <f ca="1">IF(AND($D175="Serviço",AG$12&lt;&gt;0,$H175&gt;0,OR(AUTOEVENTO&lt;&gt;"manual",$M175&lt;&gt;$A$15)),
        IF(Import.TipoArredondamento&lt;&gt;"TransfereGOV",
              ROUND(OFFSET($P175,0,AG$13),15-13*ORÇAMENTO!$AF$7)/$H175*OFFSET(ORÇAMENTO!$X$15,ROW(AG175)-ROW(AG$15),0),
              ROUND(ROUND(OFFSET($P175,0,AG$13),15-13*ORÇAMENTO!$AF$7)*OFFSET(ORÇAMENTO!$W$15,ROW(AG175)-ROW(AG$15),0),15-13*ORÇAMENTO!$AF$11)),
         0)</f>
        <v>0</v>
      </c>
      <c r="AH175" s="454">
        <f ca="1">IF(AND($D175="Serviço",AH$12&lt;&gt;0,$H175&gt;0,OR(AUTOEVENTO&lt;&gt;"manual",$M175&lt;&gt;$A$15)),
        IF(Import.TipoArredondamento&lt;&gt;"TransfereGOV",
              ROUND(OFFSET($P175,0,AH$13),15-13*ORÇAMENTO!$AF$7)/$H175*OFFSET(ORÇAMENTO!$X$15,ROW(AH175)-ROW(AH$15),0),
              ROUND(ROUND(OFFSET($P175,0,AH$13),15-13*ORÇAMENTO!$AF$7)*OFFSET(ORÇAMENTO!$W$15,ROW(AH175)-ROW(AH$15),0),15-13*ORÇAMENTO!$AF$11)),
         0)</f>
        <v>0</v>
      </c>
      <c r="AI175" s="454">
        <f ca="1">IF(AND($D175="Serviço",AI$12&lt;&gt;0,$H175&gt;0,OR(AUTOEVENTO&lt;&gt;"manual",$M175&lt;&gt;$A$15)),
        IF(Import.TipoArredondamento&lt;&gt;"TransfereGOV",
              ROUND(OFFSET($P175,0,AI$13),15-13*ORÇAMENTO!$AF$7)/$H175*OFFSET(ORÇAMENTO!$X$15,ROW(AI175)-ROW(AI$15),0),
              ROUND(ROUND(OFFSET($P175,0,AI$13),15-13*ORÇAMENTO!$AF$7)*OFFSET(ORÇAMENTO!$W$15,ROW(AI175)-ROW(AI$15),0),15-13*ORÇAMENTO!$AF$11)),
         0)</f>
        <v>0</v>
      </c>
      <c r="AJ175" s="454">
        <f ca="1">IF(AND($D175="Serviço",AJ$12&lt;&gt;0,$H175&gt;0,OR(AUTOEVENTO&lt;&gt;"manual",$M175&lt;&gt;$A$15)),
        IF(Import.TipoArredondamento&lt;&gt;"TransfereGOV",
              ROUND(OFFSET($P175,0,AJ$13),15-13*ORÇAMENTO!$AF$7)/$H175*OFFSET(ORÇAMENTO!$X$15,ROW(AJ175)-ROW(AJ$15),0),
              ROUND(ROUND(OFFSET($P175,0,AJ$13),15-13*ORÇAMENTO!$AF$7)*OFFSET(ORÇAMENTO!$W$15,ROW(AJ175)-ROW(AJ$15),0),15-13*ORÇAMENTO!$AF$11)),
         0)</f>
        <v>0</v>
      </c>
      <c r="AK175" s="454">
        <f ca="1">IF(AND($D175="Serviço",AK$12&lt;&gt;0,$H175&gt;0,OR(AUTOEVENTO&lt;&gt;"manual",$M175&lt;&gt;$A$15)),
        IF(Import.TipoArredondamento&lt;&gt;"TransfereGOV",
              ROUND(OFFSET($P175,0,AK$13),15-13*ORÇAMENTO!$AF$7)/$H175*OFFSET(ORÇAMENTO!$X$15,ROW(AK175)-ROW(AK$15),0),
              ROUND(ROUND(OFFSET($P175,0,AK$13),15-13*ORÇAMENTO!$AF$7)*OFFSET(ORÇAMENTO!$W$15,ROW(AK175)-ROW(AK$15),0),15-13*ORÇAMENTO!$AF$11)),
         0)</f>
        <v>0</v>
      </c>
      <c r="AM175" s="172">
        <f ca="1">IF(OR($D175&lt;&gt;"Serviço",AND(AUTOEVENTO="Manual",$M175=$A$15)),0,
         IF(OFFSET(CRONOPLE!$F$15,$M175-$A$15,AM$13)="",10^12,OFFSET(CRONOPLE!$F$15,$M175-$A$15,AM$13)))</f>
        <v>1000000000000</v>
      </c>
      <c r="AN175" s="172">
        <f ca="1">IF(OR($D175&lt;&gt;"Serviço",AND(AUTOEVENTO="Manual",$M175=$A$15)),0,
         IF(OFFSET(CRONOPLE!$F$15,$M175-$A$15,AN$13)="",10^12,OFFSET(CRONOPLE!$F$15,$M175-$A$15,AN$13)))</f>
        <v>1000000000000</v>
      </c>
      <c r="AO175" s="172">
        <f ca="1">IF(OR($D175&lt;&gt;"Serviço",AND(AUTOEVENTO="Manual",$M175=$A$15)),0,
         IF(OFFSET(CRONOPLE!$F$15,$M175-$A$15,AO$13)="",10^12,OFFSET(CRONOPLE!$F$15,$M175-$A$15,AO$13)))</f>
        <v>1000000000000</v>
      </c>
      <c r="AP175" s="172">
        <f ca="1">IF(OR($D175&lt;&gt;"Serviço",AND(AUTOEVENTO="Manual",$M175=$A$15)),0,
         IF(OFFSET(CRONOPLE!$F$15,$M175-$A$15,AP$13)="",10^12,OFFSET(CRONOPLE!$F$15,$M175-$A$15,AP$13)))</f>
        <v>1000000000000</v>
      </c>
      <c r="AQ175" s="172">
        <f ca="1">IF(OR($D175&lt;&gt;"Serviço",AND(AUTOEVENTO="Manual",$M175=$A$15)),0,
         IF(OFFSET(CRONOPLE!$F$15,$M175-$A$15,AQ$13)="",10^12,OFFSET(CRONOPLE!$F$15,$M175-$A$15,AQ$13)))</f>
        <v>1000000000000</v>
      </c>
      <c r="AR175" s="172">
        <f ca="1">IF(OR($D175&lt;&gt;"Serviço",AND(AUTOEVENTO="Manual",$M175=$A$15)),0,
         IF(OFFSET(CRONOPLE!$F$15,$M175-$A$15,AR$13)="",10^12,OFFSET(CRONOPLE!$F$15,$M175-$A$15,AR$13)))</f>
        <v>1000000000000</v>
      </c>
      <c r="AS175" s="172">
        <f ca="1">IF(OR($D175&lt;&gt;"Serviço",AND(AUTOEVENTO="Manual",$M175=$A$15)),0,
         IF(OFFSET(CRONOPLE!$F$15,$M175-$A$15,AS$13)="",10^12,OFFSET(CRONOPLE!$F$15,$M175-$A$15,AS$13)))</f>
        <v>1000000000000</v>
      </c>
      <c r="AT175" s="172">
        <f ca="1">IF(OR($D175&lt;&gt;"Serviço",AND(AUTOEVENTO="Manual",$M175=$A$15)),0,
         IF(OFFSET(CRONOPLE!$F$15,$M175-$A$15,AT$13)="",10^12,OFFSET(CRONOPLE!$F$15,$M175-$A$15,AT$13)))</f>
        <v>1000000000000</v>
      </c>
      <c r="AU175" s="172">
        <f ca="1">IF(OR($D175&lt;&gt;"Serviço",AND(AUTOEVENTO="Manual",$M175=$A$15)),0,
         IF(OFFSET(CRONOPLE!$F$15,$M175-$A$15,AU$13)="",10^12,OFFSET(CRONOPLE!$F$15,$M175-$A$15,AU$13)))</f>
        <v>1000000000000</v>
      </c>
      <c r="AV175" s="172">
        <f ca="1">IF(OR($D175&lt;&gt;"Serviço",AND(AUTOEVENTO="Manual",$M175=$A$15)),0,
         IF(OFFSET(CRONOPLE!$F$15,$M175-$A$15,AV$13)="",10^12,OFFSET(CRONOPLE!$F$15,$M175-$A$15,AV$13)))</f>
        <v>1000000000000</v>
      </c>
      <c r="AX175" s="173">
        <f ca="1">IF(OR($D175&lt;&gt;"Serviço",AND(AUTOEVENTO="Manual",$M175=$A$15),$M175&gt;(ROW(PLE.lastrow)-ROW(PLE.firstrow))),0,
           IF(OFFSET(PLE!$G$15,$M175-$A$15,AX$13)="",10^12,OFFSET(PLE!$G$15,$M175-$A$15,AX$13)))</f>
        <v>1000000000000</v>
      </c>
      <c r="AY175" s="173">
        <f ca="1">IF(OR($D175&lt;&gt;"Serviço",AND(AUTOEVENTO="Manual",$M175=$A$15),$M175&gt;(ROW(PLE.lastrow)-ROW(PLE.firstrow))),0,
           IF(OFFSET(PLE!$G$15,$M175-$A$15,AY$13)="",10^12,OFFSET(PLE!$G$15,$M175-$A$15,AY$13)))</f>
        <v>1000000000000</v>
      </c>
      <c r="AZ175" s="173">
        <f ca="1">IF(OR($D175&lt;&gt;"Serviço",AND(AUTOEVENTO="Manual",$M175=$A$15),$M175&gt;(ROW(PLE.lastrow)-ROW(PLE.firstrow))),0,
           IF(OFFSET(PLE!$G$15,$M175-$A$15,AZ$13)="",10^12,OFFSET(PLE!$G$15,$M175-$A$15,AZ$13)))</f>
        <v>1000000000000</v>
      </c>
      <c r="BA175" s="173">
        <f ca="1">IF(OR($D175&lt;&gt;"Serviço",AND(AUTOEVENTO="Manual",$M175=$A$15),$M175&gt;(ROW(PLE.lastrow)-ROW(PLE.firstrow))),0,
           IF(OFFSET(PLE!$G$15,$M175-$A$15,BA$13)="",10^12,OFFSET(PLE!$G$15,$M175-$A$15,BA$13)))</f>
        <v>1000000000000</v>
      </c>
      <c r="BB175" s="173">
        <f ca="1">IF(OR($D175&lt;&gt;"Serviço",AND(AUTOEVENTO="Manual",$M175=$A$15),$M175&gt;(ROW(PLE.lastrow)-ROW(PLE.firstrow))),0,
           IF(OFFSET(PLE!$G$15,$M175-$A$15,BB$13)="",10^12,OFFSET(PLE!$G$15,$M175-$A$15,BB$13)))</f>
        <v>1000000000000</v>
      </c>
      <c r="BC175" s="173">
        <f ca="1">IF(OR($D175&lt;&gt;"Serviço",AND(AUTOEVENTO="Manual",$M175=$A$15),$M175&gt;(ROW(PLE.lastrow)-ROW(PLE.firstrow))),0,
           IF(OFFSET(PLE!$G$15,$M175-$A$15,BC$13)="",10^12,OFFSET(PLE!$G$15,$M175-$A$15,BC$13)))</f>
        <v>1000000000000</v>
      </c>
      <c r="BD175" s="173">
        <f ca="1">IF(OR($D175&lt;&gt;"Serviço",AND(AUTOEVENTO="Manual",$M175=$A$15),$M175&gt;(ROW(PLE.lastrow)-ROW(PLE.firstrow))),0,
           IF(OFFSET(PLE!$G$15,$M175-$A$15,BD$13)="",10^12,OFFSET(PLE!$G$15,$M175-$A$15,BD$13)))</f>
        <v>1000000000000</v>
      </c>
      <c r="BE175" s="173">
        <f ca="1">IF(OR($D175&lt;&gt;"Serviço",AND(AUTOEVENTO="Manual",$M175=$A$15),$M175&gt;(ROW(PLE.lastrow)-ROW(PLE.firstrow))),0,
           IF(OFFSET(PLE!$G$15,$M175-$A$15,BE$13)="",10^12,OFFSET(PLE!$G$15,$M175-$A$15,BE$13)))</f>
        <v>1000000000000</v>
      </c>
      <c r="BF175" s="173">
        <f ca="1">IF(OR($D175&lt;&gt;"Serviço",AND(AUTOEVENTO="Manual",$M175=$A$15),$M175&gt;(ROW(PLE.lastrow)-ROW(PLE.firstrow))),0,
           IF(OFFSET(PLE!$G$15,$M175-$A$15,BF$13)="",10^12,OFFSET(PLE!$G$15,$M175-$A$15,BF$13)))</f>
        <v>1000000000000</v>
      </c>
      <c r="BG175" s="173">
        <f ca="1">IF(OR($D175&lt;&gt;"Serviço",AND(AUTOEVENTO="Manual",$M175=$A$15),$M175&gt;(ROW(PLE.lastrow)-ROW(PLE.firstrow))),0,
           IF(OFFSET(PLE!$G$15,$M175-$A$15,BG$13)="",10^12,OFFSET(PLE!$G$15,$M175-$A$15,BG$13)))</f>
        <v>1000000000000</v>
      </c>
    </row>
    <row r="176" spans="1:59" ht="38.25" x14ac:dyDescent="0.2">
      <c r="A176" s="7" t="str">
        <f t="shared" ca="1" si="10"/>
        <v>114</v>
      </c>
      <c r="B176" s="7" t="str">
        <f ca="1">OFFSET(ORÇAMENTO!C$15,ROW(B176)-ROW(B$15),0)</f>
        <v>S</v>
      </c>
      <c r="C176" s="7" t="str">
        <f ca="1">OFFSET(ORÇAMENTO!L$15,ROW(C176)-ROW(C$15),0)</f>
        <v/>
      </c>
      <c r="D176" s="117" t="str">
        <f ca="1">OFFSET(ORÇAMENTO!N$15,ROW(D176)-ROW(D$15),0)</f>
        <v>Serviço</v>
      </c>
      <c r="E176" s="118" t="str">
        <f ca="1">OFFSET(ORÇAMENTO!O$15,ROW(E176)-ROW(E$15),0)</f>
        <v>-</v>
      </c>
      <c r="F176" s="164" t="str">
        <f ca="1">OFFSET(ORÇAMENTO!R$15,ROW(F176)-ROW(F$15),0)</f>
        <v>KIT CAVALETE PARA MEDIÇÃO DE ÁGUA - ENTRADA PRINCIPAL, EM PVC 25 MM (3/4") - FORNECIMENTO E INSTALAÇÃO (EXCLUSIVE HIDRÔMETRO). AF_03/2024</v>
      </c>
      <c r="G176" s="165" t="str">
        <f ca="1">IF($D176&lt;&gt;"Serviço","",OFFSET(ORÇAMENTO!S$15,ROW(G176)-ROW(G$15),0))</f>
        <v>UN</v>
      </c>
      <c r="H176" s="123">
        <f ca="1">IF($D176&lt;&gt;"Serviço",0,IF(ACOMPANHAMENTO="BM",ROUND(OFFSET(ORÇAMENTO!AJ$15,ROW(H176)-ROW(H$15),0),15-13*ORÇAMENTO!$AF$7),SUMPRODUCT(($Q$1:$AA$1=1)*ROUND($Q176:$AA176,15-13*ORÇAMENTO!$AF$7))))</f>
        <v>1</v>
      </c>
      <c r="I176" s="469"/>
      <c r="J176" s="577" t="str" cm="1">
        <f t="array" aca="1" ref="J176" ca="1">IF(B176&lt;&gt;"S","",IF(AND(ACOMPANHAMENTO="PLE",AUTOEVENTO="Manual",OR(H176&gt;0,ORÇAMENTO!AC176="QUANT."),OR(K176="",M176=0,N176="")),"►",IF(AND(ACOMPANHAMENTO="PLE",ORÇAMENTO!AC176="QUANT."),"►►",IF(AND(COUNTIF($P$11:$AA$11,"▼")=0,H176&gt;0,I176=""),"◄",""))))</f>
        <v>◄</v>
      </c>
      <c r="K176" s="626"/>
      <c r="L176" s="166" t="s">
        <v>765</v>
      </c>
      <c r="M176" s="167">
        <f ca="1">IF($D176&lt;&gt;"Serviço","",
          IF(AUTOEVENTO="manual",$A176,
                IF(ISERROR(MATCH($A176,$A$15:OFFSET($A176,-1,0),0)),MAX($M$15:OFFSET(M176,-1,0))+1,
                      INDEX($M$15:OFFSET(M176,-1,0),MATCH($A176,$A$15:OFFSET($A176,-1,0),0)))))</f>
        <v>11</v>
      </c>
      <c r="N176" s="168" t="str">
        <f ca="1">IF($D176&lt;&gt;"Serviço","",
         IF(AUTOEVENTO="Manual",
                IF($A176=0,"&lt;-- defina o número do agrupador",
                       OFFSET(EVENTOS!$D$15,$A176-$A$15,0)),
                OFFSET($F$15,$A176,0)))</f>
        <v>INSTALAÇÕES HIDROSSANITÁRIAS</v>
      </c>
      <c r="O176" s="169"/>
      <c r="Q176" s="169"/>
      <c r="R176" s="170"/>
      <c r="S176" s="170"/>
      <c r="T176" s="170"/>
      <c r="U176" s="170"/>
      <c r="V176" s="170"/>
      <c r="W176" s="170"/>
      <c r="X176" s="170"/>
      <c r="Y176" s="170"/>
      <c r="Z176" s="171"/>
      <c r="AB176" s="454">
        <f ca="1">IF(AND($D176="Serviço",AB$12&lt;&gt;0,$H176&gt;0,OR(AUTOEVENTO&lt;&gt;"manual",$M176&lt;&gt;$A$15)),
        IF(Import.TipoArredondamento&lt;&gt;"TransfereGOV",
              ROUND(OFFSET($P176,0,AB$13),15-13*ORÇAMENTO!$AF$7)/$H176*OFFSET(ORÇAMENTO!$X$15,ROW(AB176)-ROW(AB$15),0),
              ROUND(ROUND(OFFSET($P176,0,AB$13),15-13*ORÇAMENTO!$AF$7)*OFFSET(ORÇAMENTO!$W$15,ROW(AB176)-ROW(AB$15),0),15-13*ORÇAMENTO!$AF$11)),
         0)</f>
        <v>0</v>
      </c>
      <c r="AC176" s="454">
        <f ca="1">IF(AND($D176="Serviço",AC$12&lt;&gt;0,$H176&gt;0,OR(AUTOEVENTO&lt;&gt;"manual",$M176&lt;&gt;$A$15)),
        IF(Import.TipoArredondamento&lt;&gt;"TransfereGOV",
              ROUND(OFFSET($P176,0,AC$13),15-13*ORÇAMENTO!$AF$7)/$H176*OFFSET(ORÇAMENTO!$X$15,ROW(AC176)-ROW(AC$15),0),
              ROUND(ROUND(OFFSET($P176,0,AC$13),15-13*ORÇAMENTO!$AF$7)*OFFSET(ORÇAMENTO!$W$15,ROW(AC176)-ROW(AC$15),0),15-13*ORÇAMENTO!$AF$11)),
         0)</f>
        <v>0</v>
      </c>
      <c r="AD176" s="454">
        <f ca="1">IF(AND($D176="Serviço",AD$12&lt;&gt;0,$H176&gt;0,OR(AUTOEVENTO&lt;&gt;"manual",$M176&lt;&gt;$A$15)),
        IF(Import.TipoArredondamento&lt;&gt;"TransfereGOV",
              ROUND(OFFSET($P176,0,AD$13),15-13*ORÇAMENTO!$AF$7)/$H176*OFFSET(ORÇAMENTO!$X$15,ROW(AD176)-ROW(AD$15),0),
              ROUND(ROUND(OFFSET($P176,0,AD$13),15-13*ORÇAMENTO!$AF$7)*OFFSET(ORÇAMENTO!$W$15,ROW(AD176)-ROW(AD$15),0),15-13*ORÇAMENTO!$AF$11)),
         0)</f>
        <v>0</v>
      </c>
      <c r="AE176" s="454">
        <f ca="1">IF(AND($D176="Serviço",AE$12&lt;&gt;0,$H176&gt;0,OR(AUTOEVENTO&lt;&gt;"manual",$M176&lt;&gt;$A$15)),
        IF(Import.TipoArredondamento&lt;&gt;"TransfereGOV",
              ROUND(OFFSET($P176,0,AE$13),15-13*ORÇAMENTO!$AF$7)/$H176*OFFSET(ORÇAMENTO!$X$15,ROW(AE176)-ROW(AE$15),0),
              ROUND(ROUND(OFFSET($P176,0,AE$13),15-13*ORÇAMENTO!$AF$7)*OFFSET(ORÇAMENTO!$W$15,ROW(AE176)-ROW(AE$15),0),15-13*ORÇAMENTO!$AF$11)),
         0)</f>
        <v>0</v>
      </c>
      <c r="AF176" s="454">
        <f ca="1">IF(AND($D176="Serviço",AF$12&lt;&gt;0,$H176&gt;0,OR(AUTOEVENTO&lt;&gt;"manual",$M176&lt;&gt;$A$15)),
        IF(Import.TipoArredondamento&lt;&gt;"TransfereGOV",
              ROUND(OFFSET($P176,0,AF$13),15-13*ORÇAMENTO!$AF$7)/$H176*OFFSET(ORÇAMENTO!$X$15,ROW(AF176)-ROW(AF$15),0),
              ROUND(ROUND(OFFSET($P176,0,AF$13),15-13*ORÇAMENTO!$AF$7)*OFFSET(ORÇAMENTO!$W$15,ROW(AF176)-ROW(AF$15),0),15-13*ORÇAMENTO!$AF$11)),
         0)</f>
        <v>0</v>
      </c>
      <c r="AG176" s="454">
        <f ca="1">IF(AND($D176="Serviço",AG$12&lt;&gt;0,$H176&gt;0,OR(AUTOEVENTO&lt;&gt;"manual",$M176&lt;&gt;$A$15)),
        IF(Import.TipoArredondamento&lt;&gt;"TransfereGOV",
              ROUND(OFFSET($P176,0,AG$13),15-13*ORÇAMENTO!$AF$7)/$H176*OFFSET(ORÇAMENTO!$X$15,ROW(AG176)-ROW(AG$15),0),
              ROUND(ROUND(OFFSET($P176,0,AG$13),15-13*ORÇAMENTO!$AF$7)*OFFSET(ORÇAMENTO!$W$15,ROW(AG176)-ROW(AG$15),0),15-13*ORÇAMENTO!$AF$11)),
         0)</f>
        <v>0</v>
      </c>
      <c r="AH176" s="454">
        <f ca="1">IF(AND($D176="Serviço",AH$12&lt;&gt;0,$H176&gt;0,OR(AUTOEVENTO&lt;&gt;"manual",$M176&lt;&gt;$A$15)),
        IF(Import.TipoArredondamento&lt;&gt;"TransfereGOV",
              ROUND(OFFSET($P176,0,AH$13),15-13*ORÇAMENTO!$AF$7)/$H176*OFFSET(ORÇAMENTO!$X$15,ROW(AH176)-ROW(AH$15),0),
              ROUND(ROUND(OFFSET($P176,0,AH$13),15-13*ORÇAMENTO!$AF$7)*OFFSET(ORÇAMENTO!$W$15,ROW(AH176)-ROW(AH$15),0),15-13*ORÇAMENTO!$AF$11)),
         0)</f>
        <v>0</v>
      </c>
      <c r="AI176" s="454">
        <f ca="1">IF(AND($D176="Serviço",AI$12&lt;&gt;0,$H176&gt;0,OR(AUTOEVENTO&lt;&gt;"manual",$M176&lt;&gt;$A$15)),
        IF(Import.TipoArredondamento&lt;&gt;"TransfereGOV",
              ROUND(OFFSET($P176,0,AI$13),15-13*ORÇAMENTO!$AF$7)/$H176*OFFSET(ORÇAMENTO!$X$15,ROW(AI176)-ROW(AI$15),0),
              ROUND(ROUND(OFFSET($P176,0,AI$13),15-13*ORÇAMENTO!$AF$7)*OFFSET(ORÇAMENTO!$W$15,ROW(AI176)-ROW(AI$15),0),15-13*ORÇAMENTO!$AF$11)),
         0)</f>
        <v>0</v>
      </c>
      <c r="AJ176" s="454">
        <f ca="1">IF(AND($D176="Serviço",AJ$12&lt;&gt;0,$H176&gt;0,OR(AUTOEVENTO&lt;&gt;"manual",$M176&lt;&gt;$A$15)),
        IF(Import.TipoArredondamento&lt;&gt;"TransfereGOV",
              ROUND(OFFSET($P176,0,AJ$13),15-13*ORÇAMENTO!$AF$7)/$H176*OFFSET(ORÇAMENTO!$X$15,ROW(AJ176)-ROW(AJ$15),0),
              ROUND(ROUND(OFFSET($P176,0,AJ$13),15-13*ORÇAMENTO!$AF$7)*OFFSET(ORÇAMENTO!$W$15,ROW(AJ176)-ROW(AJ$15),0),15-13*ORÇAMENTO!$AF$11)),
         0)</f>
        <v>0</v>
      </c>
      <c r="AK176" s="454">
        <f ca="1">IF(AND($D176="Serviço",AK$12&lt;&gt;0,$H176&gt;0,OR(AUTOEVENTO&lt;&gt;"manual",$M176&lt;&gt;$A$15)),
        IF(Import.TipoArredondamento&lt;&gt;"TransfereGOV",
              ROUND(OFFSET($P176,0,AK$13),15-13*ORÇAMENTO!$AF$7)/$H176*OFFSET(ORÇAMENTO!$X$15,ROW(AK176)-ROW(AK$15),0),
              ROUND(ROUND(OFFSET($P176,0,AK$13),15-13*ORÇAMENTO!$AF$7)*OFFSET(ORÇAMENTO!$W$15,ROW(AK176)-ROW(AK$15),0),15-13*ORÇAMENTO!$AF$11)),
         0)</f>
        <v>0</v>
      </c>
      <c r="AM176" s="172">
        <f ca="1">IF(OR($D176&lt;&gt;"Serviço",AND(AUTOEVENTO="Manual",$M176=$A$15)),0,
         IF(OFFSET(CRONOPLE!$F$15,$M176-$A$15,AM$13)="",10^12,OFFSET(CRONOPLE!$F$15,$M176-$A$15,AM$13)))</f>
        <v>1000000000000</v>
      </c>
      <c r="AN176" s="172">
        <f ca="1">IF(OR($D176&lt;&gt;"Serviço",AND(AUTOEVENTO="Manual",$M176=$A$15)),0,
         IF(OFFSET(CRONOPLE!$F$15,$M176-$A$15,AN$13)="",10^12,OFFSET(CRONOPLE!$F$15,$M176-$A$15,AN$13)))</f>
        <v>1000000000000</v>
      </c>
      <c r="AO176" s="172">
        <f ca="1">IF(OR($D176&lt;&gt;"Serviço",AND(AUTOEVENTO="Manual",$M176=$A$15)),0,
         IF(OFFSET(CRONOPLE!$F$15,$M176-$A$15,AO$13)="",10^12,OFFSET(CRONOPLE!$F$15,$M176-$A$15,AO$13)))</f>
        <v>1000000000000</v>
      </c>
      <c r="AP176" s="172">
        <f ca="1">IF(OR($D176&lt;&gt;"Serviço",AND(AUTOEVENTO="Manual",$M176=$A$15)),0,
         IF(OFFSET(CRONOPLE!$F$15,$M176-$A$15,AP$13)="",10^12,OFFSET(CRONOPLE!$F$15,$M176-$A$15,AP$13)))</f>
        <v>1000000000000</v>
      </c>
      <c r="AQ176" s="172">
        <f ca="1">IF(OR($D176&lt;&gt;"Serviço",AND(AUTOEVENTO="Manual",$M176=$A$15)),0,
         IF(OFFSET(CRONOPLE!$F$15,$M176-$A$15,AQ$13)="",10^12,OFFSET(CRONOPLE!$F$15,$M176-$A$15,AQ$13)))</f>
        <v>1000000000000</v>
      </c>
      <c r="AR176" s="172">
        <f ca="1">IF(OR($D176&lt;&gt;"Serviço",AND(AUTOEVENTO="Manual",$M176=$A$15)),0,
         IF(OFFSET(CRONOPLE!$F$15,$M176-$A$15,AR$13)="",10^12,OFFSET(CRONOPLE!$F$15,$M176-$A$15,AR$13)))</f>
        <v>1000000000000</v>
      </c>
      <c r="AS176" s="172">
        <f ca="1">IF(OR($D176&lt;&gt;"Serviço",AND(AUTOEVENTO="Manual",$M176=$A$15)),0,
         IF(OFFSET(CRONOPLE!$F$15,$M176-$A$15,AS$13)="",10^12,OFFSET(CRONOPLE!$F$15,$M176-$A$15,AS$13)))</f>
        <v>1000000000000</v>
      </c>
      <c r="AT176" s="172">
        <f ca="1">IF(OR($D176&lt;&gt;"Serviço",AND(AUTOEVENTO="Manual",$M176=$A$15)),0,
         IF(OFFSET(CRONOPLE!$F$15,$M176-$A$15,AT$13)="",10^12,OFFSET(CRONOPLE!$F$15,$M176-$A$15,AT$13)))</f>
        <v>1000000000000</v>
      </c>
      <c r="AU176" s="172">
        <f ca="1">IF(OR($D176&lt;&gt;"Serviço",AND(AUTOEVENTO="Manual",$M176=$A$15)),0,
         IF(OFFSET(CRONOPLE!$F$15,$M176-$A$15,AU$13)="",10^12,OFFSET(CRONOPLE!$F$15,$M176-$A$15,AU$13)))</f>
        <v>1000000000000</v>
      </c>
      <c r="AV176" s="172">
        <f ca="1">IF(OR($D176&lt;&gt;"Serviço",AND(AUTOEVENTO="Manual",$M176=$A$15)),0,
         IF(OFFSET(CRONOPLE!$F$15,$M176-$A$15,AV$13)="",10^12,OFFSET(CRONOPLE!$F$15,$M176-$A$15,AV$13)))</f>
        <v>1000000000000</v>
      </c>
      <c r="AX176" s="173">
        <f ca="1">IF(OR($D176&lt;&gt;"Serviço",AND(AUTOEVENTO="Manual",$M176=$A$15),$M176&gt;(ROW(PLE.lastrow)-ROW(PLE.firstrow))),0,
           IF(OFFSET(PLE!$G$15,$M176-$A$15,AX$13)="",10^12,OFFSET(PLE!$G$15,$M176-$A$15,AX$13)))</f>
        <v>1000000000000</v>
      </c>
      <c r="AY176" s="173">
        <f ca="1">IF(OR($D176&lt;&gt;"Serviço",AND(AUTOEVENTO="Manual",$M176=$A$15),$M176&gt;(ROW(PLE.lastrow)-ROW(PLE.firstrow))),0,
           IF(OFFSET(PLE!$G$15,$M176-$A$15,AY$13)="",10^12,OFFSET(PLE!$G$15,$M176-$A$15,AY$13)))</f>
        <v>1000000000000</v>
      </c>
      <c r="AZ176" s="173">
        <f ca="1">IF(OR($D176&lt;&gt;"Serviço",AND(AUTOEVENTO="Manual",$M176=$A$15),$M176&gt;(ROW(PLE.lastrow)-ROW(PLE.firstrow))),0,
           IF(OFFSET(PLE!$G$15,$M176-$A$15,AZ$13)="",10^12,OFFSET(PLE!$G$15,$M176-$A$15,AZ$13)))</f>
        <v>1000000000000</v>
      </c>
      <c r="BA176" s="173">
        <f ca="1">IF(OR($D176&lt;&gt;"Serviço",AND(AUTOEVENTO="Manual",$M176=$A$15),$M176&gt;(ROW(PLE.lastrow)-ROW(PLE.firstrow))),0,
           IF(OFFSET(PLE!$G$15,$M176-$A$15,BA$13)="",10^12,OFFSET(PLE!$G$15,$M176-$A$15,BA$13)))</f>
        <v>1000000000000</v>
      </c>
      <c r="BB176" s="173">
        <f ca="1">IF(OR($D176&lt;&gt;"Serviço",AND(AUTOEVENTO="Manual",$M176=$A$15),$M176&gt;(ROW(PLE.lastrow)-ROW(PLE.firstrow))),0,
           IF(OFFSET(PLE!$G$15,$M176-$A$15,BB$13)="",10^12,OFFSET(PLE!$G$15,$M176-$A$15,BB$13)))</f>
        <v>1000000000000</v>
      </c>
      <c r="BC176" s="173">
        <f ca="1">IF(OR($D176&lt;&gt;"Serviço",AND(AUTOEVENTO="Manual",$M176=$A$15),$M176&gt;(ROW(PLE.lastrow)-ROW(PLE.firstrow))),0,
           IF(OFFSET(PLE!$G$15,$M176-$A$15,BC$13)="",10^12,OFFSET(PLE!$G$15,$M176-$A$15,BC$13)))</f>
        <v>1000000000000</v>
      </c>
      <c r="BD176" s="173">
        <f ca="1">IF(OR($D176&lt;&gt;"Serviço",AND(AUTOEVENTO="Manual",$M176=$A$15),$M176&gt;(ROW(PLE.lastrow)-ROW(PLE.firstrow))),0,
           IF(OFFSET(PLE!$G$15,$M176-$A$15,BD$13)="",10^12,OFFSET(PLE!$G$15,$M176-$A$15,BD$13)))</f>
        <v>1000000000000</v>
      </c>
      <c r="BE176" s="173">
        <f ca="1">IF(OR($D176&lt;&gt;"Serviço",AND(AUTOEVENTO="Manual",$M176=$A$15),$M176&gt;(ROW(PLE.lastrow)-ROW(PLE.firstrow))),0,
           IF(OFFSET(PLE!$G$15,$M176-$A$15,BE$13)="",10^12,OFFSET(PLE!$G$15,$M176-$A$15,BE$13)))</f>
        <v>1000000000000</v>
      </c>
      <c r="BF176" s="173">
        <f ca="1">IF(OR($D176&lt;&gt;"Serviço",AND(AUTOEVENTO="Manual",$M176=$A$15),$M176&gt;(ROW(PLE.lastrow)-ROW(PLE.firstrow))),0,
           IF(OFFSET(PLE!$G$15,$M176-$A$15,BF$13)="",10^12,OFFSET(PLE!$G$15,$M176-$A$15,BF$13)))</f>
        <v>1000000000000</v>
      </c>
      <c r="BG176" s="173">
        <f ca="1">IF(OR($D176&lt;&gt;"Serviço",AND(AUTOEVENTO="Manual",$M176=$A$15),$M176&gt;(ROW(PLE.lastrow)-ROW(PLE.firstrow))),0,
           IF(OFFSET(PLE!$G$15,$M176-$A$15,BG$13)="",10^12,OFFSET(PLE!$G$15,$M176-$A$15,BG$13)))</f>
        <v>1000000000000</v>
      </c>
    </row>
    <row r="177" spans="1:59" ht="38.25" x14ac:dyDescent="0.2">
      <c r="A177" s="7" t="str">
        <f t="shared" ca="1" si="10"/>
        <v>114</v>
      </c>
      <c r="B177" s="7" t="str">
        <f ca="1">OFFSET(ORÇAMENTO!C$15,ROW(B177)-ROW(B$15),0)</f>
        <v>S</v>
      </c>
      <c r="C177" s="7" t="str">
        <f ca="1">OFFSET(ORÇAMENTO!L$15,ROW(C177)-ROW(C$15),0)</f>
        <v/>
      </c>
      <c r="D177" s="117" t="str">
        <f ca="1">OFFSET(ORÇAMENTO!N$15,ROW(D177)-ROW(D$15),0)</f>
        <v>Serviço</v>
      </c>
      <c r="E177" s="118" t="str">
        <f ca="1">OFFSET(ORÇAMENTO!O$15,ROW(E177)-ROW(E$15),0)</f>
        <v>-</v>
      </c>
      <c r="F177" s="164" t="str">
        <f ca="1">OFFSET(ORÇAMENTO!R$15,ROW(F177)-ROW(F$15),0)</f>
        <v>LUVA COM BUCHA DE LATÃO, PVC, SOLDÁVEL, DN 25MM X 3/4 , INSTALADO EM RAMAL OU SUB-RAMAL DE ÁGUA - FORNECIMENTO E INSTALAÇÃO. AF_06/2022</v>
      </c>
      <c r="G177" s="165" t="str">
        <f ca="1">IF($D177&lt;&gt;"Serviço","",OFFSET(ORÇAMENTO!S$15,ROW(G177)-ROW(G$15),0))</f>
        <v>UN</v>
      </c>
      <c r="H177" s="123">
        <f ca="1">IF($D177&lt;&gt;"Serviço",0,IF(ACOMPANHAMENTO="BM",ROUND(OFFSET(ORÇAMENTO!AJ$15,ROW(H177)-ROW(H$15),0),15-13*ORÇAMENTO!$AF$7),SUMPRODUCT(($Q$1:$AA$1=1)*ROUND($Q177:$AA177,15-13*ORÇAMENTO!$AF$7))))</f>
        <v>9</v>
      </c>
      <c r="I177" s="469"/>
      <c r="J177" s="577" t="str" cm="1">
        <f t="array" aca="1" ref="J177" ca="1">IF(B177&lt;&gt;"S","",IF(AND(ACOMPANHAMENTO="PLE",AUTOEVENTO="Manual",OR(H177&gt;0,ORÇAMENTO!AC177="QUANT."),OR(K177="",M177=0,N177="")),"►",IF(AND(ACOMPANHAMENTO="PLE",ORÇAMENTO!AC177="QUANT."),"►►",IF(AND(COUNTIF($P$11:$AA$11,"▼")=0,H177&gt;0,I177=""),"◄",""))))</f>
        <v>◄</v>
      </c>
      <c r="K177" s="626"/>
      <c r="L177" s="166" t="s">
        <v>765</v>
      </c>
      <c r="M177" s="167">
        <f ca="1">IF($D177&lt;&gt;"Serviço","",
          IF(AUTOEVENTO="manual",$A177,
                IF(ISERROR(MATCH($A177,$A$15:OFFSET($A177,-1,0),0)),MAX($M$15:OFFSET(M177,-1,0))+1,
                      INDEX($M$15:OFFSET(M177,-1,0),MATCH($A177,$A$15:OFFSET($A177,-1,0),0)))))</f>
        <v>11</v>
      </c>
      <c r="N177" s="168" t="str">
        <f ca="1">IF($D177&lt;&gt;"Serviço","",
         IF(AUTOEVENTO="Manual",
                IF($A177=0,"&lt;-- defina o número do agrupador",
                       OFFSET(EVENTOS!$D$15,$A177-$A$15,0)),
                OFFSET($F$15,$A177,0)))</f>
        <v>INSTALAÇÕES HIDROSSANITÁRIAS</v>
      </c>
      <c r="O177" s="169"/>
      <c r="Q177" s="169"/>
      <c r="R177" s="170"/>
      <c r="S177" s="170"/>
      <c r="T177" s="170"/>
      <c r="U177" s="170"/>
      <c r="V177" s="170"/>
      <c r="W177" s="170"/>
      <c r="X177" s="170"/>
      <c r="Y177" s="170"/>
      <c r="Z177" s="171"/>
      <c r="AB177" s="454">
        <f ca="1">IF(AND($D177="Serviço",AB$12&lt;&gt;0,$H177&gt;0,OR(AUTOEVENTO&lt;&gt;"manual",$M177&lt;&gt;$A$15)),
        IF(Import.TipoArredondamento&lt;&gt;"TransfereGOV",
              ROUND(OFFSET($P177,0,AB$13),15-13*ORÇAMENTO!$AF$7)/$H177*OFFSET(ORÇAMENTO!$X$15,ROW(AB177)-ROW(AB$15),0),
              ROUND(ROUND(OFFSET($P177,0,AB$13),15-13*ORÇAMENTO!$AF$7)*OFFSET(ORÇAMENTO!$W$15,ROW(AB177)-ROW(AB$15),0),15-13*ORÇAMENTO!$AF$11)),
         0)</f>
        <v>0</v>
      </c>
      <c r="AC177" s="454">
        <f ca="1">IF(AND($D177="Serviço",AC$12&lt;&gt;0,$H177&gt;0,OR(AUTOEVENTO&lt;&gt;"manual",$M177&lt;&gt;$A$15)),
        IF(Import.TipoArredondamento&lt;&gt;"TransfereGOV",
              ROUND(OFFSET($P177,0,AC$13),15-13*ORÇAMENTO!$AF$7)/$H177*OFFSET(ORÇAMENTO!$X$15,ROW(AC177)-ROW(AC$15),0),
              ROUND(ROUND(OFFSET($P177,0,AC$13),15-13*ORÇAMENTO!$AF$7)*OFFSET(ORÇAMENTO!$W$15,ROW(AC177)-ROW(AC$15),0),15-13*ORÇAMENTO!$AF$11)),
         0)</f>
        <v>0</v>
      </c>
      <c r="AD177" s="454">
        <f ca="1">IF(AND($D177="Serviço",AD$12&lt;&gt;0,$H177&gt;0,OR(AUTOEVENTO&lt;&gt;"manual",$M177&lt;&gt;$A$15)),
        IF(Import.TipoArredondamento&lt;&gt;"TransfereGOV",
              ROUND(OFFSET($P177,0,AD$13),15-13*ORÇAMENTO!$AF$7)/$H177*OFFSET(ORÇAMENTO!$X$15,ROW(AD177)-ROW(AD$15),0),
              ROUND(ROUND(OFFSET($P177,0,AD$13),15-13*ORÇAMENTO!$AF$7)*OFFSET(ORÇAMENTO!$W$15,ROW(AD177)-ROW(AD$15),0),15-13*ORÇAMENTO!$AF$11)),
         0)</f>
        <v>0</v>
      </c>
      <c r="AE177" s="454">
        <f ca="1">IF(AND($D177="Serviço",AE$12&lt;&gt;0,$H177&gt;0,OR(AUTOEVENTO&lt;&gt;"manual",$M177&lt;&gt;$A$15)),
        IF(Import.TipoArredondamento&lt;&gt;"TransfereGOV",
              ROUND(OFFSET($P177,0,AE$13),15-13*ORÇAMENTO!$AF$7)/$H177*OFFSET(ORÇAMENTO!$X$15,ROW(AE177)-ROW(AE$15),0),
              ROUND(ROUND(OFFSET($P177,0,AE$13),15-13*ORÇAMENTO!$AF$7)*OFFSET(ORÇAMENTO!$W$15,ROW(AE177)-ROW(AE$15),0),15-13*ORÇAMENTO!$AF$11)),
         0)</f>
        <v>0</v>
      </c>
      <c r="AF177" s="454">
        <f ca="1">IF(AND($D177="Serviço",AF$12&lt;&gt;0,$H177&gt;0,OR(AUTOEVENTO&lt;&gt;"manual",$M177&lt;&gt;$A$15)),
        IF(Import.TipoArredondamento&lt;&gt;"TransfereGOV",
              ROUND(OFFSET($P177,0,AF$13),15-13*ORÇAMENTO!$AF$7)/$H177*OFFSET(ORÇAMENTO!$X$15,ROW(AF177)-ROW(AF$15),0),
              ROUND(ROUND(OFFSET($P177,0,AF$13),15-13*ORÇAMENTO!$AF$7)*OFFSET(ORÇAMENTO!$W$15,ROW(AF177)-ROW(AF$15),0),15-13*ORÇAMENTO!$AF$11)),
         0)</f>
        <v>0</v>
      </c>
      <c r="AG177" s="454">
        <f ca="1">IF(AND($D177="Serviço",AG$12&lt;&gt;0,$H177&gt;0,OR(AUTOEVENTO&lt;&gt;"manual",$M177&lt;&gt;$A$15)),
        IF(Import.TipoArredondamento&lt;&gt;"TransfereGOV",
              ROUND(OFFSET($P177,0,AG$13),15-13*ORÇAMENTO!$AF$7)/$H177*OFFSET(ORÇAMENTO!$X$15,ROW(AG177)-ROW(AG$15),0),
              ROUND(ROUND(OFFSET($P177,0,AG$13),15-13*ORÇAMENTO!$AF$7)*OFFSET(ORÇAMENTO!$W$15,ROW(AG177)-ROW(AG$15),0),15-13*ORÇAMENTO!$AF$11)),
         0)</f>
        <v>0</v>
      </c>
      <c r="AH177" s="454">
        <f ca="1">IF(AND($D177="Serviço",AH$12&lt;&gt;0,$H177&gt;0,OR(AUTOEVENTO&lt;&gt;"manual",$M177&lt;&gt;$A$15)),
        IF(Import.TipoArredondamento&lt;&gt;"TransfereGOV",
              ROUND(OFFSET($P177,0,AH$13),15-13*ORÇAMENTO!$AF$7)/$H177*OFFSET(ORÇAMENTO!$X$15,ROW(AH177)-ROW(AH$15),0),
              ROUND(ROUND(OFFSET($P177,0,AH$13),15-13*ORÇAMENTO!$AF$7)*OFFSET(ORÇAMENTO!$W$15,ROW(AH177)-ROW(AH$15),0),15-13*ORÇAMENTO!$AF$11)),
         0)</f>
        <v>0</v>
      </c>
      <c r="AI177" s="454">
        <f ca="1">IF(AND($D177="Serviço",AI$12&lt;&gt;0,$H177&gt;0,OR(AUTOEVENTO&lt;&gt;"manual",$M177&lt;&gt;$A$15)),
        IF(Import.TipoArredondamento&lt;&gt;"TransfereGOV",
              ROUND(OFFSET($P177,0,AI$13),15-13*ORÇAMENTO!$AF$7)/$H177*OFFSET(ORÇAMENTO!$X$15,ROW(AI177)-ROW(AI$15),0),
              ROUND(ROUND(OFFSET($P177,0,AI$13),15-13*ORÇAMENTO!$AF$7)*OFFSET(ORÇAMENTO!$W$15,ROW(AI177)-ROW(AI$15),0),15-13*ORÇAMENTO!$AF$11)),
         0)</f>
        <v>0</v>
      </c>
      <c r="AJ177" s="454">
        <f ca="1">IF(AND($D177="Serviço",AJ$12&lt;&gt;0,$H177&gt;0,OR(AUTOEVENTO&lt;&gt;"manual",$M177&lt;&gt;$A$15)),
        IF(Import.TipoArredondamento&lt;&gt;"TransfereGOV",
              ROUND(OFFSET($P177,0,AJ$13),15-13*ORÇAMENTO!$AF$7)/$H177*OFFSET(ORÇAMENTO!$X$15,ROW(AJ177)-ROW(AJ$15),0),
              ROUND(ROUND(OFFSET($P177,0,AJ$13),15-13*ORÇAMENTO!$AF$7)*OFFSET(ORÇAMENTO!$W$15,ROW(AJ177)-ROW(AJ$15),0),15-13*ORÇAMENTO!$AF$11)),
         0)</f>
        <v>0</v>
      </c>
      <c r="AK177" s="454">
        <f ca="1">IF(AND($D177="Serviço",AK$12&lt;&gt;0,$H177&gt;0,OR(AUTOEVENTO&lt;&gt;"manual",$M177&lt;&gt;$A$15)),
        IF(Import.TipoArredondamento&lt;&gt;"TransfereGOV",
              ROUND(OFFSET($P177,0,AK$13),15-13*ORÇAMENTO!$AF$7)/$H177*OFFSET(ORÇAMENTO!$X$15,ROW(AK177)-ROW(AK$15),0),
              ROUND(ROUND(OFFSET($P177,0,AK$13),15-13*ORÇAMENTO!$AF$7)*OFFSET(ORÇAMENTO!$W$15,ROW(AK177)-ROW(AK$15),0),15-13*ORÇAMENTO!$AF$11)),
         0)</f>
        <v>0</v>
      </c>
      <c r="AM177" s="172">
        <f ca="1">IF(OR($D177&lt;&gt;"Serviço",AND(AUTOEVENTO="Manual",$M177=$A$15)),0,
         IF(OFFSET(CRONOPLE!$F$15,$M177-$A$15,AM$13)="",10^12,OFFSET(CRONOPLE!$F$15,$M177-$A$15,AM$13)))</f>
        <v>1000000000000</v>
      </c>
      <c r="AN177" s="172">
        <f ca="1">IF(OR($D177&lt;&gt;"Serviço",AND(AUTOEVENTO="Manual",$M177=$A$15)),0,
         IF(OFFSET(CRONOPLE!$F$15,$M177-$A$15,AN$13)="",10^12,OFFSET(CRONOPLE!$F$15,$M177-$A$15,AN$13)))</f>
        <v>1000000000000</v>
      </c>
      <c r="AO177" s="172">
        <f ca="1">IF(OR($D177&lt;&gt;"Serviço",AND(AUTOEVENTO="Manual",$M177=$A$15)),0,
         IF(OFFSET(CRONOPLE!$F$15,$M177-$A$15,AO$13)="",10^12,OFFSET(CRONOPLE!$F$15,$M177-$A$15,AO$13)))</f>
        <v>1000000000000</v>
      </c>
      <c r="AP177" s="172">
        <f ca="1">IF(OR($D177&lt;&gt;"Serviço",AND(AUTOEVENTO="Manual",$M177=$A$15)),0,
         IF(OFFSET(CRONOPLE!$F$15,$M177-$A$15,AP$13)="",10^12,OFFSET(CRONOPLE!$F$15,$M177-$A$15,AP$13)))</f>
        <v>1000000000000</v>
      </c>
      <c r="AQ177" s="172">
        <f ca="1">IF(OR($D177&lt;&gt;"Serviço",AND(AUTOEVENTO="Manual",$M177=$A$15)),0,
         IF(OFFSET(CRONOPLE!$F$15,$M177-$A$15,AQ$13)="",10^12,OFFSET(CRONOPLE!$F$15,$M177-$A$15,AQ$13)))</f>
        <v>1000000000000</v>
      </c>
      <c r="AR177" s="172">
        <f ca="1">IF(OR($D177&lt;&gt;"Serviço",AND(AUTOEVENTO="Manual",$M177=$A$15)),0,
         IF(OFFSET(CRONOPLE!$F$15,$M177-$A$15,AR$13)="",10^12,OFFSET(CRONOPLE!$F$15,$M177-$A$15,AR$13)))</f>
        <v>1000000000000</v>
      </c>
      <c r="AS177" s="172">
        <f ca="1">IF(OR($D177&lt;&gt;"Serviço",AND(AUTOEVENTO="Manual",$M177=$A$15)),0,
         IF(OFFSET(CRONOPLE!$F$15,$M177-$A$15,AS$13)="",10^12,OFFSET(CRONOPLE!$F$15,$M177-$A$15,AS$13)))</f>
        <v>1000000000000</v>
      </c>
      <c r="AT177" s="172">
        <f ca="1">IF(OR($D177&lt;&gt;"Serviço",AND(AUTOEVENTO="Manual",$M177=$A$15)),0,
         IF(OFFSET(CRONOPLE!$F$15,$M177-$A$15,AT$13)="",10^12,OFFSET(CRONOPLE!$F$15,$M177-$A$15,AT$13)))</f>
        <v>1000000000000</v>
      </c>
      <c r="AU177" s="172">
        <f ca="1">IF(OR($D177&lt;&gt;"Serviço",AND(AUTOEVENTO="Manual",$M177=$A$15)),0,
         IF(OFFSET(CRONOPLE!$F$15,$M177-$A$15,AU$13)="",10^12,OFFSET(CRONOPLE!$F$15,$M177-$A$15,AU$13)))</f>
        <v>1000000000000</v>
      </c>
      <c r="AV177" s="172">
        <f ca="1">IF(OR($D177&lt;&gt;"Serviço",AND(AUTOEVENTO="Manual",$M177=$A$15)),0,
         IF(OFFSET(CRONOPLE!$F$15,$M177-$A$15,AV$13)="",10^12,OFFSET(CRONOPLE!$F$15,$M177-$A$15,AV$13)))</f>
        <v>1000000000000</v>
      </c>
      <c r="AX177" s="173">
        <f ca="1">IF(OR($D177&lt;&gt;"Serviço",AND(AUTOEVENTO="Manual",$M177=$A$15),$M177&gt;(ROW(PLE.lastrow)-ROW(PLE.firstrow))),0,
           IF(OFFSET(PLE!$G$15,$M177-$A$15,AX$13)="",10^12,OFFSET(PLE!$G$15,$M177-$A$15,AX$13)))</f>
        <v>1000000000000</v>
      </c>
      <c r="AY177" s="173">
        <f ca="1">IF(OR($D177&lt;&gt;"Serviço",AND(AUTOEVENTO="Manual",$M177=$A$15),$M177&gt;(ROW(PLE.lastrow)-ROW(PLE.firstrow))),0,
           IF(OFFSET(PLE!$G$15,$M177-$A$15,AY$13)="",10^12,OFFSET(PLE!$G$15,$M177-$A$15,AY$13)))</f>
        <v>1000000000000</v>
      </c>
      <c r="AZ177" s="173">
        <f ca="1">IF(OR($D177&lt;&gt;"Serviço",AND(AUTOEVENTO="Manual",$M177=$A$15),$M177&gt;(ROW(PLE.lastrow)-ROW(PLE.firstrow))),0,
           IF(OFFSET(PLE!$G$15,$M177-$A$15,AZ$13)="",10^12,OFFSET(PLE!$G$15,$M177-$A$15,AZ$13)))</f>
        <v>1000000000000</v>
      </c>
      <c r="BA177" s="173">
        <f ca="1">IF(OR($D177&lt;&gt;"Serviço",AND(AUTOEVENTO="Manual",$M177=$A$15),$M177&gt;(ROW(PLE.lastrow)-ROW(PLE.firstrow))),0,
           IF(OFFSET(PLE!$G$15,$M177-$A$15,BA$13)="",10^12,OFFSET(PLE!$G$15,$M177-$A$15,BA$13)))</f>
        <v>1000000000000</v>
      </c>
      <c r="BB177" s="173">
        <f ca="1">IF(OR($D177&lt;&gt;"Serviço",AND(AUTOEVENTO="Manual",$M177=$A$15),$M177&gt;(ROW(PLE.lastrow)-ROW(PLE.firstrow))),0,
           IF(OFFSET(PLE!$G$15,$M177-$A$15,BB$13)="",10^12,OFFSET(PLE!$G$15,$M177-$A$15,BB$13)))</f>
        <v>1000000000000</v>
      </c>
      <c r="BC177" s="173">
        <f ca="1">IF(OR($D177&lt;&gt;"Serviço",AND(AUTOEVENTO="Manual",$M177=$A$15),$M177&gt;(ROW(PLE.lastrow)-ROW(PLE.firstrow))),0,
           IF(OFFSET(PLE!$G$15,$M177-$A$15,BC$13)="",10^12,OFFSET(PLE!$G$15,$M177-$A$15,BC$13)))</f>
        <v>1000000000000</v>
      </c>
      <c r="BD177" s="173">
        <f ca="1">IF(OR($D177&lt;&gt;"Serviço",AND(AUTOEVENTO="Manual",$M177=$A$15),$M177&gt;(ROW(PLE.lastrow)-ROW(PLE.firstrow))),0,
           IF(OFFSET(PLE!$G$15,$M177-$A$15,BD$13)="",10^12,OFFSET(PLE!$G$15,$M177-$A$15,BD$13)))</f>
        <v>1000000000000</v>
      </c>
      <c r="BE177" s="173">
        <f ca="1">IF(OR($D177&lt;&gt;"Serviço",AND(AUTOEVENTO="Manual",$M177=$A$15),$M177&gt;(ROW(PLE.lastrow)-ROW(PLE.firstrow))),0,
           IF(OFFSET(PLE!$G$15,$M177-$A$15,BE$13)="",10^12,OFFSET(PLE!$G$15,$M177-$A$15,BE$13)))</f>
        <v>1000000000000</v>
      </c>
      <c r="BF177" s="173">
        <f ca="1">IF(OR($D177&lt;&gt;"Serviço",AND(AUTOEVENTO="Manual",$M177=$A$15),$M177&gt;(ROW(PLE.lastrow)-ROW(PLE.firstrow))),0,
           IF(OFFSET(PLE!$G$15,$M177-$A$15,BF$13)="",10^12,OFFSET(PLE!$G$15,$M177-$A$15,BF$13)))</f>
        <v>1000000000000</v>
      </c>
      <c r="BG177" s="173">
        <f ca="1">IF(OR($D177&lt;&gt;"Serviço",AND(AUTOEVENTO="Manual",$M177=$A$15),$M177&gt;(ROW(PLE.lastrow)-ROW(PLE.firstrow))),0,
           IF(OFFSET(PLE!$G$15,$M177-$A$15,BG$13)="",10^12,OFFSET(PLE!$G$15,$M177-$A$15,BG$13)))</f>
        <v>1000000000000</v>
      </c>
    </row>
    <row r="178" spans="1:59" ht="38.25" x14ac:dyDescent="0.2">
      <c r="A178" s="7" t="str">
        <f t="shared" ca="1" si="10"/>
        <v>114</v>
      </c>
      <c r="B178" s="7" t="str">
        <f ca="1">OFFSET(ORÇAMENTO!C$15,ROW(B178)-ROW(B$15),0)</f>
        <v>S</v>
      </c>
      <c r="C178" s="7" t="str">
        <f ca="1">OFFSET(ORÇAMENTO!L$15,ROW(C178)-ROW(C$15),0)</f>
        <v/>
      </c>
      <c r="D178" s="117" t="str">
        <f ca="1">OFFSET(ORÇAMENTO!N$15,ROW(D178)-ROW(D$15),0)</f>
        <v>Serviço</v>
      </c>
      <c r="E178" s="118" t="str">
        <f ca="1">OFFSET(ORÇAMENTO!O$15,ROW(E178)-ROW(E$15),0)</f>
        <v>-</v>
      </c>
      <c r="F178" s="164" t="str">
        <f ca="1">OFFSET(ORÇAMENTO!R$15,ROW(F178)-ROW(F$15),0)</f>
        <v>BUCHA DE REDUÇÃO, CURTA, PVC, SOLDÁVEL, DN 32 X 25 MM, INSTALADO EM RAMAL OU SUB-RAMAL DE ÁGUA - FORNECIMENTO E INSTALAÇÃO. AF_06/2022</v>
      </c>
      <c r="G178" s="165" t="str">
        <f ca="1">IF($D178&lt;&gt;"Serviço","",OFFSET(ORÇAMENTO!S$15,ROW(G178)-ROW(G$15),0))</f>
        <v>UN</v>
      </c>
      <c r="H178" s="123">
        <f ca="1">IF($D178&lt;&gt;"Serviço",0,IF(ACOMPANHAMENTO="BM",ROUND(OFFSET(ORÇAMENTO!AJ$15,ROW(H178)-ROW(H$15),0),15-13*ORÇAMENTO!$AF$7),SUMPRODUCT(($Q$1:$AA$1=1)*ROUND($Q178:$AA178,15-13*ORÇAMENTO!$AF$7))))</f>
        <v>9</v>
      </c>
      <c r="I178" s="469"/>
      <c r="J178" s="577" t="str" cm="1">
        <f t="array" aca="1" ref="J178" ca="1">IF(B178&lt;&gt;"S","",IF(AND(ACOMPANHAMENTO="PLE",AUTOEVENTO="Manual",OR(H178&gt;0,ORÇAMENTO!AC178="QUANT."),OR(K178="",M178=0,N178="")),"►",IF(AND(ACOMPANHAMENTO="PLE",ORÇAMENTO!AC178="QUANT."),"►►",IF(AND(COUNTIF($P$11:$AA$11,"▼")=0,H178&gt;0,I178=""),"◄",""))))</f>
        <v>◄</v>
      </c>
      <c r="K178" s="626"/>
      <c r="L178" s="166" t="s">
        <v>765</v>
      </c>
      <c r="M178" s="167">
        <f ca="1">IF($D178&lt;&gt;"Serviço","",
          IF(AUTOEVENTO="manual",$A178,
                IF(ISERROR(MATCH($A178,$A$15:OFFSET($A178,-1,0),0)),MAX($M$15:OFFSET(M178,-1,0))+1,
                      INDEX($M$15:OFFSET(M178,-1,0),MATCH($A178,$A$15:OFFSET($A178,-1,0),0)))))</f>
        <v>11</v>
      </c>
      <c r="N178" s="168" t="str">
        <f ca="1">IF($D178&lt;&gt;"Serviço","",
         IF(AUTOEVENTO="Manual",
                IF($A178=0,"&lt;-- defina o número do agrupador",
                       OFFSET(EVENTOS!$D$15,$A178-$A$15,0)),
                OFFSET($F$15,$A178,0)))</f>
        <v>INSTALAÇÕES HIDROSSANITÁRIAS</v>
      </c>
      <c r="O178" s="169"/>
      <c r="Q178" s="169"/>
      <c r="R178" s="170"/>
      <c r="S178" s="170"/>
      <c r="T178" s="170"/>
      <c r="U178" s="170"/>
      <c r="V178" s="170"/>
      <c r="W178" s="170"/>
      <c r="X178" s="170"/>
      <c r="Y178" s="170"/>
      <c r="Z178" s="171"/>
      <c r="AB178" s="454">
        <f ca="1">IF(AND($D178="Serviço",AB$12&lt;&gt;0,$H178&gt;0,OR(AUTOEVENTO&lt;&gt;"manual",$M178&lt;&gt;$A$15)),
        IF(Import.TipoArredondamento&lt;&gt;"TransfereGOV",
              ROUND(OFFSET($P178,0,AB$13),15-13*ORÇAMENTO!$AF$7)/$H178*OFFSET(ORÇAMENTO!$X$15,ROW(AB178)-ROW(AB$15),0),
              ROUND(ROUND(OFFSET($P178,0,AB$13),15-13*ORÇAMENTO!$AF$7)*OFFSET(ORÇAMENTO!$W$15,ROW(AB178)-ROW(AB$15),0),15-13*ORÇAMENTO!$AF$11)),
         0)</f>
        <v>0</v>
      </c>
      <c r="AC178" s="454">
        <f ca="1">IF(AND($D178="Serviço",AC$12&lt;&gt;0,$H178&gt;0,OR(AUTOEVENTO&lt;&gt;"manual",$M178&lt;&gt;$A$15)),
        IF(Import.TipoArredondamento&lt;&gt;"TransfereGOV",
              ROUND(OFFSET($P178,0,AC$13),15-13*ORÇAMENTO!$AF$7)/$H178*OFFSET(ORÇAMENTO!$X$15,ROW(AC178)-ROW(AC$15),0),
              ROUND(ROUND(OFFSET($P178,0,AC$13),15-13*ORÇAMENTO!$AF$7)*OFFSET(ORÇAMENTO!$W$15,ROW(AC178)-ROW(AC$15),0),15-13*ORÇAMENTO!$AF$11)),
         0)</f>
        <v>0</v>
      </c>
      <c r="AD178" s="454">
        <f ca="1">IF(AND($D178="Serviço",AD$12&lt;&gt;0,$H178&gt;0,OR(AUTOEVENTO&lt;&gt;"manual",$M178&lt;&gt;$A$15)),
        IF(Import.TipoArredondamento&lt;&gt;"TransfereGOV",
              ROUND(OFFSET($P178,0,AD$13),15-13*ORÇAMENTO!$AF$7)/$H178*OFFSET(ORÇAMENTO!$X$15,ROW(AD178)-ROW(AD$15),0),
              ROUND(ROUND(OFFSET($P178,0,AD$13),15-13*ORÇAMENTO!$AF$7)*OFFSET(ORÇAMENTO!$W$15,ROW(AD178)-ROW(AD$15),0),15-13*ORÇAMENTO!$AF$11)),
         0)</f>
        <v>0</v>
      </c>
      <c r="AE178" s="454">
        <f ca="1">IF(AND($D178="Serviço",AE$12&lt;&gt;0,$H178&gt;0,OR(AUTOEVENTO&lt;&gt;"manual",$M178&lt;&gt;$A$15)),
        IF(Import.TipoArredondamento&lt;&gt;"TransfereGOV",
              ROUND(OFFSET($P178,0,AE$13),15-13*ORÇAMENTO!$AF$7)/$H178*OFFSET(ORÇAMENTO!$X$15,ROW(AE178)-ROW(AE$15),0),
              ROUND(ROUND(OFFSET($P178,0,AE$13),15-13*ORÇAMENTO!$AF$7)*OFFSET(ORÇAMENTO!$W$15,ROW(AE178)-ROW(AE$15),0),15-13*ORÇAMENTO!$AF$11)),
         0)</f>
        <v>0</v>
      </c>
      <c r="AF178" s="454">
        <f ca="1">IF(AND($D178="Serviço",AF$12&lt;&gt;0,$H178&gt;0,OR(AUTOEVENTO&lt;&gt;"manual",$M178&lt;&gt;$A$15)),
        IF(Import.TipoArredondamento&lt;&gt;"TransfereGOV",
              ROUND(OFFSET($P178,0,AF$13),15-13*ORÇAMENTO!$AF$7)/$H178*OFFSET(ORÇAMENTO!$X$15,ROW(AF178)-ROW(AF$15),0),
              ROUND(ROUND(OFFSET($P178,0,AF$13),15-13*ORÇAMENTO!$AF$7)*OFFSET(ORÇAMENTO!$W$15,ROW(AF178)-ROW(AF$15),0),15-13*ORÇAMENTO!$AF$11)),
         0)</f>
        <v>0</v>
      </c>
      <c r="AG178" s="454">
        <f ca="1">IF(AND($D178="Serviço",AG$12&lt;&gt;0,$H178&gt;0,OR(AUTOEVENTO&lt;&gt;"manual",$M178&lt;&gt;$A$15)),
        IF(Import.TipoArredondamento&lt;&gt;"TransfereGOV",
              ROUND(OFFSET($P178,0,AG$13),15-13*ORÇAMENTO!$AF$7)/$H178*OFFSET(ORÇAMENTO!$X$15,ROW(AG178)-ROW(AG$15),0),
              ROUND(ROUND(OFFSET($P178,0,AG$13),15-13*ORÇAMENTO!$AF$7)*OFFSET(ORÇAMENTO!$W$15,ROW(AG178)-ROW(AG$15),0),15-13*ORÇAMENTO!$AF$11)),
         0)</f>
        <v>0</v>
      </c>
      <c r="AH178" s="454">
        <f ca="1">IF(AND($D178="Serviço",AH$12&lt;&gt;0,$H178&gt;0,OR(AUTOEVENTO&lt;&gt;"manual",$M178&lt;&gt;$A$15)),
        IF(Import.TipoArredondamento&lt;&gt;"TransfereGOV",
              ROUND(OFFSET($P178,0,AH$13),15-13*ORÇAMENTO!$AF$7)/$H178*OFFSET(ORÇAMENTO!$X$15,ROW(AH178)-ROW(AH$15),0),
              ROUND(ROUND(OFFSET($P178,0,AH$13),15-13*ORÇAMENTO!$AF$7)*OFFSET(ORÇAMENTO!$W$15,ROW(AH178)-ROW(AH$15),0),15-13*ORÇAMENTO!$AF$11)),
         0)</f>
        <v>0</v>
      </c>
      <c r="AI178" s="454">
        <f ca="1">IF(AND($D178="Serviço",AI$12&lt;&gt;0,$H178&gt;0,OR(AUTOEVENTO&lt;&gt;"manual",$M178&lt;&gt;$A$15)),
        IF(Import.TipoArredondamento&lt;&gt;"TransfereGOV",
              ROUND(OFFSET($P178,0,AI$13),15-13*ORÇAMENTO!$AF$7)/$H178*OFFSET(ORÇAMENTO!$X$15,ROW(AI178)-ROW(AI$15),0),
              ROUND(ROUND(OFFSET($P178,0,AI$13),15-13*ORÇAMENTO!$AF$7)*OFFSET(ORÇAMENTO!$W$15,ROW(AI178)-ROW(AI$15),0),15-13*ORÇAMENTO!$AF$11)),
         0)</f>
        <v>0</v>
      </c>
      <c r="AJ178" s="454">
        <f ca="1">IF(AND($D178="Serviço",AJ$12&lt;&gt;0,$H178&gt;0,OR(AUTOEVENTO&lt;&gt;"manual",$M178&lt;&gt;$A$15)),
        IF(Import.TipoArredondamento&lt;&gt;"TransfereGOV",
              ROUND(OFFSET($P178,0,AJ$13),15-13*ORÇAMENTO!$AF$7)/$H178*OFFSET(ORÇAMENTO!$X$15,ROW(AJ178)-ROW(AJ$15),0),
              ROUND(ROUND(OFFSET($P178,0,AJ$13),15-13*ORÇAMENTO!$AF$7)*OFFSET(ORÇAMENTO!$W$15,ROW(AJ178)-ROW(AJ$15),0),15-13*ORÇAMENTO!$AF$11)),
         0)</f>
        <v>0</v>
      </c>
      <c r="AK178" s="454">
        <f ca="1">IF(AND($D178="Serviço",AK$12&lt;&gt;0,$H178&gt;0,OR(AUTOEVENTO&lt;&gt;"manual",$M178&lt;&gt;$A$15)),
        IF(Import.TipoArredondamento&lt;&gt;"TransfereGOV",
              ROUND(OFFSET($P178,0,AK$13),15-13*ORÇAMENTO!$AF$7)/$H178*OFFSET(ORÇAMENTO!$X$15,ROW(AK178)-ROW(AK$15),0),
              ROUND(ROUND(OFFSET($P178,0,AK$13),15-13*ORÇAMENTO!$AF$7)*OFFSET(ORÇAMENTO!$W$15,ROW(AK178)-ROW(AK$15),0),15-13*ORÇAMENTO!$AF$11)),
         0)</f>
        <v>0</v>
      </c>
      <c r="AM178" s="172">
        <f ca="1">IF(OR($D178&lt;&gt;"Serviço",AND(AUTOEVENTO="Manual",$M178=$A$15)),0,
         IF(OFFSET(CRONOPLE!$F$15,$M178-$A$15,AM$13)="",10^12,OFFSET(CRONOPLE!$F$15,$M178-$A$15,AM$13)))</f>
        <v>1000000000000</v>
      </c>
      <c r="AN178" s="172">
        <f ca="1">IF(OR($D178&lt;&gt;"Serviço",AND(AUTOEVENTO="Manual",$M178=$A$15)),0,
         IF(OFFSET(CRONOPLE!$F$15,$M178-$A$15,AN$13)="",10^12,OFFSET(CRONOPLE!$F$15,$M178-$A$15,AN$13)))</f>
        <v>1000000000000</v>
      </c>
      <c r="AO178" s="172">
        <f ca="1">IF(OR($D178&lt;&gt;"Serviço",AND(AUTOEVENTO="Manual",$M178=$A$15)),0,
         IF(OFFSET(CRONOPLE!$F$15,$M178-$A$15,AO$13)="",10^12,OFFSET(CRONOPLE!$F$15,$M178-$A$15,AO$13)))</f>
        <v>1000000000000</v>
      </c>
      <c r="AP178" s="172">
        <f ca="1">IF(OR($D178&lt;&gt;"Serviço",AND(AUTOEVENTO="Manual",$M178=$A$15)),0,
         IF(OFFSET(CRONOPLE!$F$15,$M178-$A$15,AP$13)="",10^12,OFFSET(CRONOPLE!$F$15,$M178-$A$15,AP$13)))</f>
        <v>1000000000000</v>
      </c>
      <c r="AQ178" s="172">
        <f ca="1">IF(OR($D178&lt;&gt;"Serviço",AND(AUTOEVENTO="Manual",$M178=$A$15)),0,
         IF(OFFSET(CRONOPLE!$F$15,$M178-$A$15,AQ$13)="",10^12,OFFSET(CRONOPLE!$F$15,$M178-$A$15,AQ$13)))</f>
        <v>1000000000000</v>
      </c>
      <c r="AR178" s="172">
        <f ca="1">IF(OR($D178&lt;&gt;"Serviço",AND(AUTOEVENTO="Manual",$M178=$A$15)),0,
         IF(OFFSET(CRONOPLE!$F$15,$M178-$A$15,AR$13)="",10^12,OFFSET(CRONOPLE!$F$15,$M178-$A$15,AR$13)))</f>
        <v>1000000000000</v>
      </c>
      <c r="AS178" s="172">
        <f ca="1">IF(OR($D178&lt;&gt;"Serviço",AND(AUTOEVENTO="Manual",$M178=$A$15)),0,
         IF(OFFSET(CRONOPLE!$F$15,$M178-$A$15,AS$13)="",10^12,OFFSET(CRONOPLE!$F$15,$M178-$A$15,AS$13)))</f>
        <v>1000000000000</v>
      </c>
      <c r="AT178" s="172">
        <f ca="1">IF(OR($D178&lt;&gt;"Serviço",AND(AUTOEVENTO="Manual",$M178=$A$15)),0,
         IF(OFFSET(CRONOPLE!$F$15,$M178-$A$15,AT$13)="",10^12,OFFSET(CRONOPLE!$F$15,$M178-$A$15,AT$13)))</f>
        <v>1000000000000</v>
      </c>
      <c r="AU178" s="172">
        <f ca="1">IF(OR($D178&lt;&gt;"Serviço",AND(AUTOEVENTO="Manual",$M178=$A$15)),0,
         IF(OFFSET(CRONOPLE!$F$15,$M178-$A$15,AU$13)="",10^12,OFFSET(CRONOPLE!$F$15,$M178-$A$15,AU$13)))</f>
        <v>1000000000000</v>
      </c>
      <c r="AV178" s="172">
        <f ca="1">IF(OR($D178&lt;&gt;"Serviço",AND(AUTOEVENTO="Manual",$M178=$A$15)),0,
         IF(OFFSET(CRONOPLE!$F$15,$M178-$A$15,AV$13)="",10^12,OFFSET(CRONOPLE!$F$15,$M178-$A$15,AV$13)))</f>
        <v>1000000000000</v>
      </c>
      <c r="AX178" s="173">
        <f ca="1">IF(OR($D178&lt;&gt;"Serviço",AND(AUTOEVENTO="Manual",$M178=$A$15),$M178&gt;(ROW(PLE.lastrow)-ROW(PLE.firstrow))),0,
           IF(OFFSET(PLE!$G$15,$M178-$A$15,AX$13)="",10^12,OFFSET(PLE!$G$15,$M178-$A$15,AX$13)))</f>
        <v>1000000000000</v>
      </c>
      <c r="AY178" s="173">
        <f ca="1">IF(OR($D178&lt;&gt;"Serviço",AND(AUTOEVENTO="Manual",$M178=$A$15),$M178&gt;(ROW(PLE.lastrow)-ROW(PLE.firstrow))),0,
           IF(OFFSET(PLE!$G$15,$M178-$A$15,AY$13)="",10^12,OFFSET(PLE!$G$15,$M178-$A$15,AY$13)))</f>
        <v>1000000000000</v>
      </c>
      <c r="AZ178" s="173">
        <f ca="1">IF(OR($D178&lt;&gt;"Serviço",AND(AUTOEVENTO="Manual",$M178=$A$15),$M178&gt;(ROW(PLE.lastrow)-ROW(PLE.firstrow))),0,
           IF(OFFSET(PLE!$G$15,$M178-$A$15,AZ$13)="",10^12,OFFSET(PLE!$G$15,$M178-$A$15,AZ$13)))</f>
        <v>1000000000000</v>
      </c>
      <c r="BA178" s="173">
        <f ca="1">IF(OR($D178&lt;&gt;"Serviço",AND(AUTOEVENTO="Manual",$M178=$A$15),$M178&gt;(ROW(PLE.lastrow)-ROW(PLE.firstrow))),0,
           IF(OFFSET(PLE!$G$15,$M178-$A$15,BA$13)="",10^12,OFFSET(PLE!$G$15,$M178-$A$15,BA$13)))</f>
        <v>1000000000000</v>
      </c>
      <c r="BB178" s="173">
        <f ca="1">IF(OR($D178&lt;&gt;"Serviço",AND(AUTOEVENTO="Manual",$M178=$A$15),$M178&gt;(ROW(PLE.lastrow)-ROW(PLE.firstrow))),0,
           IF(OFFSET(PLE!$G$15,$M178-$A$15,BB$13)="",10^12,OFFSET(PLE!$G$15,$M178-$A$15,BB$13)))</f>
        <v>1000000000000</v>
      </c>
      <c r="BC178" s="173">
        <f ca="1">IF(OR($D178&lt;&gt;"Serviço",AND(AUTOEVENTO="Manual",$M178=$A$15),$M178&gt;(ROW(PLE.lastrow)-ROW(PLE.firstrow))),0,
           IF(OFFSET(PLE!$G$15,$M178-$A$15,BC$13)="",10^12,OFFSET(PLE!$G$15,$M178-$A$15,BC$13)))</f>
        <v>1000000000000</v>
      </c>
      <c r="BD178" s="173">
        <f ca="1">IF(OR($D178&lt;&gt;"Serviço",AND(AUTOEVENTO="Manual",$M178=$A$15),$M178&gt;(ROW(PLE.lastrow)-ROW(PLE.firstrow))),0,
           IF(OFFSET(PLE!$G$15,$M178-$A$15,BD$13)="",10^12,OFFSET(PLE!$G$15,$M178-$A$15,BD$13)))</f>
        <v>1000000000000</v>
      </c>
      <c r="BE178" s="173">
        <f ca="1">IF(OR($D178&lt;&gt;"Serviço",AND(AUTOEVENTO="Manual",$M178=$A$15),$M178&gt;(ROW(PLE.lastrow)-ROW(PLE.firstrow))),0,
           IF(OFFSET(PLE!$G$15,$M178-$A$15,BE$13)="",10^12,OFFSET(PLE!$G$15,$M178-$A$15,BE$13)))</f>
        <v>1000000000000</v>
      </c>
      <c r="BF178" s="173">
        <f ca="1">IF(OR($D178&lt;&gt;"Serviço",AND(AUTOEVENTO="Manual",$M178=$A$15),$M178&gt;(ROW(PLE.lastrow)-ROW(PLE.firstrow))),0,
           IF(OFFSET(PLE!$G$15,$M178-$A$15,BF$13)="",10^12,OFFSET(PLE!$G$15,$M178-$A$15,BF$13)))</f>
        <v>1000000000000</v>
      </c>
      <c r="BG178" s="173">
        <f ca="1">IF(OR($D178&lt;&gt;"Serviço",AND(AUTOEVENTO="Manual",$M178=$A$15),$M178&gt;(ROW(PLE.lastrow)-ROW(PLE.firstrow))),0,
           IF(OFFSET(PLE!$G$15,$M178-$A$15,BG$13)="",10^12,OFFSET(PLE!$G$15,$M178-$A$15,BG$13)))</f>
        <v>1000000000000</v>
      </c>
    </row>
    <row r="179" spans="1:59" ht="38.25" x14ac:dyDescent="0.2">
      <c r="A179" s="7" t="str">
        <f t="shared" ca="1" si="10"/>
        <v>114</v>
      </c>
      <c r="B179" s="7" t="str">
        <f ca="1">OFFSET(ORÇAMENTO!C$15,ROW(B179)-ROW(B$15),0)</f>
        <v>S</v>
      </c>
      <c r="C179" s="7" t="str">
        <f ca="1">OFFSET(ORÇAMENTO!L$15,ROW(C179)-ROW(C$15),0)</f>
        <v/>
      </c>
      <c r="D179" s="117" t="str">
        <f ca="1">OFFSET(ORÇAMENTO!N$15,ROW(D179)-ROW(D$15),0)</f>
        <v>Serviço</v>
      </c>
      <c r="E179" s="118" t="str">
        <f ca="1">OFFSET(ORÇAMENTO!O$15,ROW(E179)-ROW(E$15),0)</f>
        <v>-</v>
      </c>
      <c r="F179" s="164" t="str">
        <f ca="1">OFFSET(ORÇAMENTO!R$15,ROW(F179)-ROW(F$15),0)</f>
        <v>BUCHA DE REDUÇÃO, CURTA, PVC, SOLDÁVEL, DN 50 X 40 MM, INSTALADO EM RAMAL DE DISTRIBUIÇÃO DE ÁGUA - FORNECIMENTO E INSTALAÇÃO. AF_06/2022</v>
      </c>
      <c r="G179" s="165" t="str">
        <f ca="1">IF($D179&lt;&gt;"Serviço","",OFFSET(ORÇAMENTO!S$15,ROW(G179)-ROW(G$15),0))</f>
        <v>UN</v>
      </c>
      <c r="H179" s="123">
        <f ca="1">IF($D179&lt;&gt;"Serviço",0,IF(ACOMPANHAMENTO="BM",ROUND(OFFSET(ORÇAMENTO!AJ$15,ROW(H179)-ROW(H$15),0),15-13*ORÇAMENTO!$AF$7),SUMPRODUCT(($Q$1:$AA$1=1)*ROUND($Q179:$AA179,15-13*ORÇAMENTO!$AF$7))))</f>
        <v>4</v>
      </c>
      <c r="I179" s="469"/>
      <c r="J179" s="577" t="str" cm="1">
        <f t="array" aca="1" ref="J179" ca="1">IF(B179&lt;&gt;"S","",IF(AND(ACOMPANHAMENTO="PLE",AUTOEVENTO="Manual",OR(H179&gt;0,ORÇAMENTO!AC179="QUANT."),OR(K179="",M179=0,N179="")),"►",IF(AND(ACOMPANHAMENTO="PLE",ORÇAMENTO!AC179="QUANT."),"►►",IF(AND(COUNTIF($P$11:$AA$11,"▼")=0,H179&gt;0,I179=""),"◄",""))))</f>
        <v>◄</v>
      </c>
      <c r="K179" s="626"/>
      <c r="L179" s="166" t="s">
        <v>765</v>
      </c>
      <c r="M179" s="167">
        <f ca="1">IF($D179&lt;&gt;"Serviço","",
          IF(AUTOEVENTO="manual",$A179,
                IF(ISERROR(MATCH($A179,$A$15:OFFSET($A179,-1,0),0)),MAX($M$15:OFFSET(M179,-1,0))+1,
                      INDEX($M$15:OFFSET(M179,-1,0),MATCH($A179,$A$15:OFFSET($A179,-1,0),0)))))</f>
        <v>11</v>
      </c>
      <c r="N179" s="168" t="str">
        <f ca="1">IF($D179&lt;&gt;"Serviço","",
         IF(AUTOEVENTO="Manual",
                IF($A179=0,"&lt;-- defina o número do agrupador",
                       OFFSET(EVENTOS!$D$15,$A179-$A$15,0)),
                OFFSET($F$15,$A179,0)))</f>
        <v>INSTALAÇÕES HIDROSSANITÁRIAS</v>
      </c>
      <c r="O179" s="169"/>
      <c r="Q179" s="169"/>
      <c r="R179" s="170"/>
      <c r="S179" s="170"/>
      <c r="T179" s="170"/>
      <c r="U179" s="170"/>
      <c r="V179" s="170"/>
      <c r="W179" s="170"/>
      <c r="X179" s="170"/>
      <c r="Y179" s="170"/>
      <c r="Z179" s="171"/>
      <c r="AB179" s="454">
        <f ca="1">IF(AND($D179="Serviço",AB$12&lt;&gt;0,$H179&gt;0,OR(AUTOEVENTO&lt;&gt;"manual",$M179&lt;&gt;$A$15)),
        IF(Import.TipoArredondamento&lt;&gt;"TransfereGOV",
              ROUND(OFFSET($P179,0,AB$13),15-13*ORÇAMENTO!$AF$7)/$H179*OFFSET(ORÇAMENTO!$X$15,ROW(AB179)-ROW(AB$15),0),
              ROUND(ROUND(OFFSET($P179,0,AB$13),15-13*ORÇAMENTO!$AF$7)*OFFSET(ORÇAMENTO!$W$15,ROW(AB179)-ROW(AB$15),0),15-13*ORÇAMENTO!$AF$11)),
         0)</f>
        <v>0</v>
      </c>
      <c r="AC179" s="454">
        <f ca="1">IF(AND($D179="Serviço",AC$12&lt;&gt;0,$H179&gt;0,OR(AUTOEVENTO&lt;&gt;"manual",$M179&lt;&gt;$A$15)),
        IF(Import.TipoArredondamento&lt;&gt;"TransfereGOV",
              ROUND(OFFSET($P179,0,AC$13),15-13*ORÇAMENTO!$AF$7)/$H179*OFFSET(ORÇAMENTO!$X$15,ROW(AC179)-ROW(AC$15),0),
              ROUND(ROUND(OFFSET($P179,0,AC$13),15-13*ORÇAMENTO!$AF$7)*OFFSET(ORÇAMENTO!$W$15,ROW(AC179)-ROW(AC$15),0),15-13*ORÇAMENTO!$AF$11)),
         0)</f>
        <v>0</v>
      </c>
      <c r="AD179" s="454">
        <f ca="1">IF(AND($D179="Serviço",AD$12&lt;&gt;0,$H179&gt;0,OR(AUTOEVENTO&lt;&gt;"manual",$M179&lt;&gt;$A$15)),
        IF(Import.TipoArredondamento&lt;&gt;"TransfereGOV",
              ROUND(OFFSET($P179,0,AD$13),15-13*ORÇAMENTO!$AF$7)/$H179*OFFSET(ORÇAMENTO!$X$15,ROW(AD179)-ROW(AD$15),0),
              ROUND(ROUND(OFFSET($P179,0,AD$13),15-13*ORÇAMENTO!$AF$7)*OFFSET(ORÇAMENTO!$W$15,ROW(AD179)-ROW(AD$15),0),15-13*ORÇAMENTO!$AF$11)),
         0)</f>
        <v>0</v>
      </c>
      <c r="AE179" s="454">
        <f ca="1">IF(AND($D179="Serviço",AE$12&lt;&gt;0,$H179&gt;0,OR(AUTOEVENTO&lt;&gt;"manual",$M179&lt;&gt;$A$15)),
        IF(Import.TipoArredondamento&lt;&gt;"TransfereGOV",
              ROUND(OFFSET($P179,0,AE$13),15-13*ORÇAMENTO!$AF$7)/$H179*OFFSET(ORÇAMENTO!$X$15,ROW(AE179)-ROW(AE$15),0),
              ROUND(ROUND(OFFSET($P179,0,AE$13),15-13*ORÇAMENTO!$AF$7)*OFFSET(ORÇAMENTO!$W$15,ROW(AE179)-ROW(AE$15),0),15-13*ORÇAMENTO!$AF$11)),
         0)</f>
        <v>0</v>
      </c>
      <c r="AF179" s="454">
        <f ca="1">IF(AND($D179="Serviço",AF$12&lt;&gt;0,$H179&gt;0,OR(AUTOEVENTO&lt;&gt;"manual",$M179&lt;&gt;$A$15)),
        IF(Import.TipoArredondamento&lt;&gt;"TransfereGOV",
              ROUND(OFFSET($P179,0,AF$13),15-13*ORÇAMENTO!$AF$7)/$H179*OFFSET(ORÇAMENTO!$X$15,ROW(AF179)-ROW(AF$15),0),
              ROUND(ROUND(OFFSET($P179,0,AF$13),15-13*ORÇAMENTO!$AF$7)*OFFSET(ORÇAMENTO!$W$15,ROW(AF179)-ROW(AF$15),0),15-13*ORÇAMENTO!$AF$11)),
         0)</f>
        <v>0</v>
      </c>
      <c r="AG179" s="454">
        <f ca="1">IF(AND($D179="Serviço",AG$12&lt;&gt;0,$H179&gt;0,OR(AUTOEVENTO&lt;&gt;"manual",$M179&lt;&gt;$A$15)),
        IF(Import.TipoArredondamento&lt;&gt;"TransfereGOV",
              ROUND(OFFSET($P179,0,AG$13),15-13*ORÇAMENTO!$AF$7)/$H179*OFFSET(ORÇAMENTO!$X$15,ROW(AG179)-ROW(AG$15),0),
              ROUND(ROUND(OFFSET($P179,0,AG$13),15-13*ORÇAMENTO!$AF$7)*OFFSET(ORÇAMENTO!$W$15,ROW(AG179)-ROW(AG$15),0),15-13*ORÇAMENTO!$AF$11)),
         0)</f>
        <v>0</v>
      </c>
      <c r="AH179" s="454">
        <f ca="1">IF(AND($D179="Serviço",AH$12&lt;&gt;0,$H179&gt;0,OR(AUTOEVENTO&lt;&gt;"manual",$M179&lt;&gt;$A$15)),
        IF(Import.TipoArredondamento&lt;&gt;"TransfereGOV",
              ROUND(OFFSET($P179,0,AH$13),15-13*ORÇAMENTO!$AF$7)/$H179*OFFSET(ORÇAMENTO!$X$15,ROW(AH179)-ROW(AH$15),0),
              ROUND(ROUND(OFFSET($P179,0,AH$13),15-13*ORÇAMENTO!$AF$7)*OFFSET(ORÇAMENTO!$W$15,ROW(AH179)-ROW(AH$15),0),15-13*ORÇAMENTO!$AF$11)),
         0)</f>
        <v>0</v>
      </c>
      <c r="AI179" s="454">
        <f ca="1">IF(AND($D179="Serviço",AI$12&lt;&gt;0,$H179&gt;0,OR(AUTOEVENTO&lt;&gt;"manual",$M179&lt;&gt;$A$15)),
        IF(Import.TipoArredondamento&lt;&gt;"TransfereGOV",
              ROUND(OFFSET($P179,0,AI$13),15-13*ORÇAMENTO!$AF$7)/$H179*OFFSET(ORÇAMENTO!$X$15,ROW(AI179)-ROW(AI$15),0),
              ROUND(ROUND(OFFSET($P179,0,AI$13),15-13*ORÇAMENTO!$AF$7)*OFFSET(ORÇAMENTO!$W$15,ROW(AI179)-ROW(AI$15),0),15-13*ORÇAMENTO!$AF$11)),
         0)</f>
        <v>0</v>
      </c>
      <c r="AJ179" s="454">
        <f ca="1">IF(AND($D179="Serviço",AJ$12&lt;&gt;0,$H179&gt;0,OR(AUTOEVENTO&lt;&gt;"manual",$M179&lt;&gt;$A$15)),
        IF(Import.TipoArredondamento&lt;&gt;"TransfereGOV",
              ROUND(OFFSET($P179,0,AJ$13),15-13*ORÇAMENTO!$AF$7)/$H179*OFFSET(ORÇAMENTO!$X$15,ROW(AJ179)-ROW(AJ$15),0),
              ROUND(ROUND(OFFSET($P179,0,AJ$13),15-13*ORÇAMENTO!$AF$7)*OFFSET(ORÇAMENTO!$W$15,ROW(AJ179)-ROW(AJ$15),0),15-13*ORÇAMENTO!$AF$11)),
         0)</f>
        <v>0</v>
      </c>
      <c r="AK179" s="454">
        <f ca="1">IF(AND($D179="Serviço",AK$12&lt;&gt;0,$H179&gt;0,OR(AUTOEVENTO&lt;&gt;"manual",$M179&lt;&gt;$A$15)),
        IF(Import.TipoArredondamento&lt;&gt;"TransfereGOV",
              ROUND(OFFSET($P179,0,AK$13),15-13*ORÇAMENTO!$AF$7)/$H179*OFFSET(ORÇAMENTO!$X$15,ROW(AK179)-ROW(AK$15),0),
              ROUND(ROUND(OFFSET($P179,0,AK$13),15-13*ORÇAMENTO!$AF$7)*OFFSET(ORÇAMENTO!$W$15,ROW(AK179)-ROW(AK$15),0),15-13*ORÇAMENTO!$AF$11)),
         0)</f>
        <v>0</v>
      </c>
      <c r="AM179" s="172">
        <f ca="1">IF(OR($D179&lt;&gt;"Serviço",AND(AUTOEVENTO="Manual",$M179=$A$15)),0,
         IF(OFFSET(CRONOPLE!$F$15,$M179-$A$15,AM$13)="",10^12,OFFSET(CRONOPLE!$F$15,$M179-$A$15,AM$13)))</f>
        <v>1000000000000</v>
      </c>
      <c r="AN179" s="172">
        <f ca="1">IF(OR($D179&lt;&gt;"Serviço",AND(AUTOEVENTO="Manual",$M179=$A$15)),0,
         IF(OFFSET(CRONOPLE!$F$15,$M179-$A$15,AN$13)="",10^12,OFFSET(CRONOPLE!$F$15,$M179-$A$15,AN$13)))</f>
        <v>1000000000000</v>
      </c>
      <c r="AO179" s="172">
        <f ca="1">IF(OR($D179&lt;&gt;"Serviço",AND(AUTOEVENTO="Manual",$M179=$A$15)),0,
         IF(OFFSET(CRONOPLE!$F$15,$M179-$A$15,AO$13)="",10^12,OFFSET(CRONOPLE!$F$15,$M179-$A$15,AO$13)))</f>
        <v>1000000000000</v>
      </c>
      <c r="AP179" s="172">
        <f ca="1">IF(OR($D179&lt;&gt;"Serviço",AND(AUTOEVENTO="Manual",$M179=$A$15)),0,
         IF(OFFSET(CRONOPLE!$F$15,$M179-$A$15,AP$13)="",10^12,OFFSET(CRONOPLE!$F$15,$M179-$A$15,AP$13)))</f>
        <v>1000000000000</v>
      </c>
      <c r="AQ179" s="172">
        <f ca="1">IF(OR($D179&lt;&gt;"Serviço",AND(AUTOEVENTO="Manual",$M179=$A$15)),0,
         IF(OFFSET(CRONOPLE!$F$15,$M179-$A$15,AQ$13)="",10^12,OFFSET(CRONOPLE!$F$15,$M179-$A$15,AQ$13)))</f>
        <v>1000000000000</v>
      </c>
      <c r="AR179" s="172">
        <f ca="1">IF(OR($D179&lt;&gt;"Serviço",AND(AUTOEVENTO="Manual",$M179=$A$15)),0,
         IF(OFFSET(CRONOPLE!$F$15,$M179-$A$15,AR$13)="",10^12,OFFSET(CRONOPLE!$F$15,$M179-$A$15,AR$13)))</f>
        <v>1000000000000</v>
      </c>
      <c r="AS179" s="172">
        <f ca="1">IF(OR($D179&lt;&gt;"Serviço",AND(AUTOEVENTO="Manual",$M179=$A$15)),0,
         IF(OFFSET(CRONOPLE!$F$15,$M179-$A$15,AS$13)="",10^12,OFFSET(CRONOPLE!$F$15,$M179-$A$15,AS$13)))</f>
        <v>1000000000000</v>
      </c>
      <c r="AT179" s="172">
        <f ca="1">IF(OR($D179&lt;&gt;"Serviço",AND(AUTOEVENTO="Manual",$M179=$A$15)),0,
         IF(OFFSET(CRONOPLE!$F$15,$M179-$A$15,AT$13)="",10^12,OFFSET(CRONOPLE!$F$15,$M179-$A$15,AT$13)))</f>
        <v>1000000000000</v>
      </c>
      <c r="AU179" s="172">
        <f ca="1">IF(OR($D179&lt;&gt;"Serviço",AND(AUTOEVENTO="Manual",$M179=$A$15)),0,
         IF(OFFSET(CRONOPLE!$F$15,$M179-$A$15,AU$13)="",10^12,OFFSET(CRONOPLE!$F$15,$M179-$A$15,AU$13)))</f>
        <v>1000000000000</v>
      </c>
      <c r="AV179" s="172">
        <f ca="1">IF(OR($D179&lt;&gt;"Serviço",AND(AUTOEVENTO="Manual",$M179=$A$15)),0,
         IF(OFFSET(CRONOPLE!$F$15,$M179-$A$15,AV$13)="",10^12,OFFSET(CRONOPLE!$F$15,$M179-$A$15,AV$13)))</f>
        <v>1000000000000</v>
      </c>
      <c r="AX179" s="173">
        <f ca="1">IF(OR($D179&lt;&gt;"Serviço",AND(AUTOEVENTO="Manual",$M179=$A$15),$M179&gt;(ROW(PLE.lastrow)-ROW(PLE.firstrow))),0,
           IF(OFFSET(PLE!$G$15,$M179-$A$15,AX$13)="",10^12,OFFSET(PLE!$G$15,$M179-$A$15,AX$13)))</f>
        <v>1000000000000</v>
      </c>
      <c r="AY179" s="173">
        <f ca="1">IF(OR($D179&lt;&gt;"Serviço",AND(AUTOEVENTO="Manual",$M179=$A$15),$M179&gt;(ROW(PLE.lastrow)-ROW(PLE.firstrow))),0,
           IF(OFFSET(PLE!$G$15,$M179-$A$15,AY$13)="",10^12,OFFSET(PLE!$G$15,$M179-$A$15,AY$13)))</f>
        <v>1000000000000</v>
      </c>
      <c r="AZ179" s="173">
        <f ca="1">IF(OR($D179&lt;&gt;"Serviço",AND(AUTOEVENTO="Manual",$M179=$A$15),$M179&gt;(ROW(PLE.lastrow)-ROW(PLE.firstrow))),0,
           IF(OFFSET(PLE!$G$15,$M179-$A$15,AZ$13)="",10^12,OFFSET(PLE!$G$15,$M179-$A$15,AZ$13)))</f>
        <v>1000000000000</v>
      </c>
      <c r="BA179" s="173">
        <f ca="1">IF(OR($D179&lt;&gt;"Serviço",AND(AUTOEVENTO="Manual",$M179=$A$15),$M179&gt;(ROW(PLE.lastrow)-ROW(PLE.firstrow))),0,
           IF(OFFSET(PLE!$G$15,$M179-$A$15,BA$13)="",10^12,OFFSET(PLE!$G$15,$M179-$A$15,BA$13)))</f>
        <v>1000000000000</v>
      </c>
      <c r="BB179" s="173">
        <f ca="1">IF(OR($D179&lt;&gt;"Serviço",AND(AUTOEVENTO="Manual",$M179=$A$15),$M179&gt;(ROW(PLE.lastrow)-ROW(PLE.firstrow))),0,
           IF(OFFSET(PLE!$G$15,$M179-$A$15,BB$13)="",10^12,OFFSET(PLE!$G$15,$M179-$A$15,BB$13)))</f>
        <v>1000000000000</v>
      </c>
      <c r="BC179" s="173">
        <f ca="1">IF(OR($D179&lt;&gt;"Serviço",AND(AUTOEVENTO="Manual",$M179=$A$15),$M179&gt;(ROW(PLE.lastrow)-ROW(PLE.firstrow))),0,
           IF(OFFSET(PLE!$G$15,$M179-$A$15,BC$13)="",10^12,OFFSET(PLE!$G$15,$M179-$A$15,BC$13)))</f>
        <v>1000000000000</v>
      </c>
      <c r="BD179" s="173">
        <f ca="1">IF(OR($D179&lt;&gt;"Serviço",AND(AUTOEVENTO="Manual",$M179=$A$15),$M179&gt;(ROW(PLE.lastrow)-ROW(PLE.firstrow))),0,
           IF(OFFSET(PLE!$G$15,$M179-$A$15,BD$13)="",10^12,OFFSET(PLE!$G$15,$M179-$A$15,BD$13)))</f>
        <v>1000000000000</v>
      </c>
      <c r="BE179" s="173">
        <f ca="1">IF(OR($D179&lt;&gt;"Serviço",AND(AUTOEVENTO="Manual",$M179=$A$15),$M179&gt;(ROW(PLE.lastrow)-ROW(PLE.firstrow))),0,
           IF(OFFSET(PLE!$G$15,$M179-$A$15,BE$13)="",10^12,OFFSET(PLE!$G$15,$M179-$A$15,BE$13)))</f>
        <v>1000000000000</v>
      </c>
      <c r="BF179" s="173">
        <f ca="1">IF(OR($D179&lt;&gt;"Serviço",AND(AUTOEVENTO="Manual",$M179=$A$15),$M179&gt;(ROW(PLE.lastrow)-ROW(PLE.firstrow))),0,
           IF(OFFSET(PLE!$G$15,$M179-$A$15,BF$13)="",10^12,OFFSET(PLE!$G$15,$M179-$A$15,BF$13)))</f>
        <v>1000000000000</v>
      </c>
      <c r="BG179" s="173">
        <f ca="1">IF(OR($D179&lt;&gt;"Serviço",AND(AUTOEVENTO="Manual",$M179=$A$15),$M179&gt;(ROW(PLE.lastrow)-ROW(PLE.firstrow))),0,
           IF(OFFSET(PLE!$G$15,$M179-$A$15,BG$13)="",10^12,OFFSET(PLE!$G$15,$M179-$A$15,BG$13)))</f>
        <v>1000000000000</v>
      </c>
    </row>
    <row r="180" spans="1:59" ht="38.25" x14ac:dyDescent="0.2">
      <c r="A180" s="7" t="str">
        <f t="shared" ca="1" si="10"/>
        <v>114</v>
      </c>
      <c r="B180" s="7" t="str">
        <f ca="1">OFFSET(ORÇAMENTO!C$15,ROW(B180)-ROW(B$15),0)</f>
        <v>S</v>
      </c>
      <c r="C180" s="7" t="str">
        <f ca="1">OFFSET(ORÇAMENTO!L$15,ROW(C180)-ROW(C$15),0)</f>
        <v/>
      </c>
      <c r="D180" s="117" t="str">
        <f ca="1">OFFSET(ORÇAMENTO!N$15,ROW(D180)-ROW(D$15),0)</f>
        <v>Serviço</v>
      </c>
      <c r="E180" s="118" t="str">
        <f ca="1">OFFSET(ORÇAMENTO!O$15,ROW(E180)-ROW(E$15),0)</f>
        <v>-</v>
      </c>
      <c r="F180" s="164" t="str">
        <f ca="1">OFFSET(ORÇAMENTO!R$15,ROW(F180)-ROW(F$15),0)</f>
        <v>BUCHA DE REDUÇÃO, LONGA, PVC, SOLDÁVEL, DN 40 X 25 MM, INSTALADO EM PRUMADA DE ÁGUA - FORNECIMENTO E INSTALAÇÃO. AF_06/2022</v>
      </c>
      <c r="G180" s="165" t="str">
        <f ca="1">IF($D180&lt;&gt;"Serviço","",OFFSET(ORÇAMENTO!S$15,ROW(G180)-ROW(G$15),0))</f>
        <v>UN</v>
      </c>
      <c r="H180" s="123">
        <f ca="1">IF($D180&lt;&gt;"Serviço",0,IF(ACOMPANHAMENTO="BM",ROUND(OFFSET(ORÇAMENTO!AJ$15,ROW(H180)-ROW(H$15),0),15-13*ORÇAMENTO!$AF$7),SUMPRODUCT(($Q$1:$AA$1=1)*ROUND($Q180:$AA180,15-13*ORÇAMENTO!$AF$7))))</f>
        <v>3</v>
      </c>
      <c r="I180" s="469"/>
      <c r="J180" s="577" t="str" cm="1">
        <f t="array" aca="1" ref="J180" ca="1">IF(B180&lt;&gt;"S","",IF(AND(ACOMPANHAMENTO="PLE",AUTOEVENTO="Manual",OR(H180&gt;0,ORÇAMENTO!AC180="QUANT."),OR(K180="",M180=0,N180="")),"►",IF(AND(ACOMPANHAMENTO="PLE",ORÇAMENTO!AC180="QUANT."),"►►",IF(AND(COUNTIF($P$11:$AA$11,"▼")=0,H180&gt;0,I180=""),"◄",""))))</f>
        <v>◄</v>
      </c>
      <c r="K180" s="626"/>
      <c r="L180" s="166" t="s">
        <v>765</v>
      </c>
      <c r="M180" s="167">
        <f ca="1">IF($D180&lt;&gt;"Serviço","",
          IF(AUTOEVENTO="manual",$A180,
                IF(ISERROR(MATCH($A180,$A$15:OFFSET($A180,-1,0),0)),MAX($M$15:OFFSET(M180,-1,0))+1,
                      INDEX($M$15:OFFSET(M180,-1,0),MATCH($A180,$A$15:OFFSET($A180,-1,0),0)))))</f>
        <v>11</v>
      </c>
      <c r="N180" s="168" t="str">
        <f ca="1">IF($D180&lt;&gt;"Serviço","",
         IF(AUTOEVENTO="Manual",
                IF($A180=0,"&lt;-- defina o número do agrupador",
                       OFFSET(EVENTOS!$D$15,$A180-$A$15,0)),
                OFFSET($F$15,$A180,0)))</f>
        <v>INSTALAÇÕES HIDROSSANITÁRIAS</v>
      </c>
      <c r="O180" s="169"/>
      <c r="Q180" s="169"/>
      <c r="R180" s="170"/>
      <c r="S180" s="170"/>
      <c r="T180" s="170"/>
      <c r="U180" s="170"/>
      <c r="V180" s="170"/>
      <c r="W180" s="170"/>
      <c r="X180" s="170"/>
      <c r="Y180" s="170"/>
      <c r="Z180" s="171"/>
      <c r="AB180" s="454">
        <f ca="1">IF(AND($D180="Serviço",AB$12&lt;&gt;0,$H180&gt;0,OR(AUTOEVENTO&lt;&gt;"manual",$M180&lt;&gt;$A$15)),
        IF(Import.TipoArredondamento&lt;&gt;"TransfereGOV",
              ROUND(OFFSET($P180,0,AB$13),15-13*ORÇAMENTO!$AF$7)/$H180*OFFSET(ORÇAMENTO!$X$15,ROW(AB180)-ROW(AB$15),0),
              ROUND(ROUND(OFFSET($P180,0,AB$13),15-13*ORÇAMENTO!$AF$7)*OFFSET(ORÇAMENTO!$W$15,ROW(AB180)-ROW(AB$15),0),15-13*ORÇAMENTO!$AF$11)),
         0)</f>
        <v>0</v>
      </c>
      <c r="AC180" s="454">
        <f ca="1">IF(AND($D180="Serviço",AC$12&lt;&gt;0,$H180&gt;0,OR(AUTOEVENTO&lt;&gt;"manual",$M180&lt;&gt;$A$15)),
        IF(Import.TipoArredondamento&lt;&gt;"TransfereGOV",
              ROUND(OFFSET($P180,0,AC$13),15-13*ORÇAMENTO!$AF$7)/$H180*OFFSET(ORÇAMENTO!$X$15,ROW(AC180)-ROW(AC$15),0),
              ROUND(ROUND(OFFSET($P180,0,AC$13),15-13*ORÇAMENTO!$AF$7)*OFFSET(ORÇAMENTO!$W$15,ROW(AC180)-ROW(AC$15),0),15-13*ORÇAMENTO!$AF$11)),
         0)</f>
        <v>0</v>
      </c>
      <c r="AD180" s="454">
        <f ca="1">IF(AND($D180="Serviço",AD$12&lt;&gt;0,$H180&gt;0,OR(AUTOEVENTO&lt;&gt;"manual",$M180&lt;&gt;$A$15)),
        IF(Import.TipoArredondamento&lt;&gt;"TransfereGOV",
              ROUND(OFFSET($P180,0,AD$13),15-13*ORÇAMENTO!$AF$7)/$H180*OFFSET(ORÇAMENTO!$X$15,ROW(AD180)-ROW(AD$15),0),
              ROUND(ROUND(OFFSET($P180,0,AD$13),15-13*ORÇAMENTO!$AF$7)*OFFSET(ORÇAMENTO!$W$15,ROW(AD180)-ROW(AD$15),0),15-13*ORÇAMENTO!$AF$11)),
         0)</f>
        <v>0</v>
      </c>
      <c r="AE180" s="454">
        <f ca="1">IF(AND($D180="Serviço",AE$12&lt;&gt;0,$H180&gt;0,OR(AUTOEVENTO&lt;&gt;"manual",$M180&lt;&gt;$A$15)),
        IF(Import.TipoArredondamento&lt;&gt;"TransfereGOV",
              ROUND(OFFSET($P180,0,AE$13),15-13*ORÇAMENTO!$AF$7)/$H180*OFFSET(ORÇAMENTO!$X$15,ROW(AE180)-ROW(AE$15),0),
              ROUND(ROUND(OFFSET($P180,0,AE$13),15-13*ORÇAMENTO!$AF$7)*OFFSET(ORÇAMENTO!$W$15,ROW(AE180)-ROW(AE$15),0),15-13*ORÇAMENTO!$AF$11)),
         0)</f>
        <v>0</v>
      </c>
      <c r="AF180" s="454">
        <f ca="1">IF(AND($D180="Serviço",AF$12&lt;&gt;0,$H180&gt;0,OR(AUTOEVENTO&lt;&gt;"manual",$M180&lt;&gt;$A$15)),
        IF(Import.TipoArredondamento&lt;&gt;"TransfereGOV",
              ROUND(OFFSET($P180,0,AF$13),15-13*ORÇAMENTO!$AF$7)/$H180*OFFSET(ORÇAMENTO!$X$15,ROW(AF180)-ROW(AF$15),0),
              ROUND(ROUND(OFFSET($P180,0,AF$13),15-13*ORÇAMENTO!$AF$7)*OFFSET(ORÇAMENTO!$W$15,ROW(AF180)-ROW(AF$15),0),15-13*ORÇAMENTO!$AF$11)),
         0)</f>
        <v>0</v>
      </c>
      <c r="AG180" s="454">
        <f ca="1">IF(AND($D180="Serviço",AG$12&lt;&gt;0,$H180&gt;0,OR(AUTOEVENTO&lt;&gt;"manual",$M180&lt;&gt;$A$15)),
        IF(Import.TipoArredondamento&lt;&gt;"TransfereGOV",
              ROUND(OFFSET($P180,0,AG$13),15-13*ORÇAMENTO!$AF$7)/$H180*OFFSET(ORÇAMENTO!$X$15,ROW(AG180)-ROW(AG$15),0),
              ROUND(ROUND(OFFSET($P180,0,AG$13),15-13*ORÇAMENTO!$AF$7)*OFFSET(ORÇAMENTO!$W$15,ROW(AG180)-ROW(AG$15),0),15-13*ORÇAMENTO!$AF$11)),
         0)</f>
        <v>0</v>
      </c>
      <c r="AH180" s="454">
        <f ca="1">IF(AND($D180="Serviço",AH$12&lt;&gt;0,$H180&gt;0,OR(AUTOEVENTO&lt;&gt;"manual",$M180&lt;&gt;$A$15)),
        IF(Import.TipoArredondamento&lt;&gt;"TransfereGOV",
              ROUND(OFFSET($P180,0,AH$13),15-13*ORÇAMENTO!$AF$7)/$H180*OFFSET(ORÇAMENTO!$X$15,ROW(AH180)-ROW(AH$15),0),
              ROUND(ROUND(OFFSET($P180,0,AH$13),15-13*ORÇAMENTO!$AF$7)*OFFSET(ORÇAMENTO!$W$15,ROW(AH180)-ROW(AH$15),0),15-13*ORÇAMENTO!$AF$11)),
         0)</f>
        <v>0</v>
      </c>
      <c r="AI180" s="454">
        <f ca="1">IF(AND($D180="Serviço",AI$12&lt;&gt;0,$H180&gt;0,OR(AUTOEVENTO&lt;&gt;"manual",$M180&lt;&gt;$A$15)),
        IF(Import.TipoArredondamento&lt;&gt;"TransfereGOV",
              ROUND(OFFSET($P180,0,AI$13),15-13*ORÇAMENTO!$AF$7)/$H180*OFFSET(ORÇAMENTO!$X$15,ROW(AI180)-ROW(AI$15),0),
              ROUND(ROUND(OFFSET($P180,0,AI$13),15-13*ORÇAMENTO!$AF$7)*OFFSET(ORÇAMENTO!$W$15,ROW(AI180)-ROW(AI$15),0),15-13*ORÇAMENTO!$AF$11)),
         0)</f>
        <v>0</v>
      </c>
      <c r="AJ180" s="454">
        <f ca="1">IF(AND($D180="Serviço",AJ$12&lt;&gt;0,$H180&gt;0,OR(AUTOEVENTO&lt;&gt;"manual",$M180&lt;&gt;$A$15)),
        IF(Import.TipoArredondamento&lt;&gt;"TransfereGOV",
              ROUND(OFFSET($P180,0,AJ$13),15-13*ORÇAMENTO!$AF$7)/$H180*OFFSET(ORÇAMENTO!$X$15,ROW(AJ180)-ROW(AJ$15),0),
              ROUND(ROUND(OFFSET($P180,0,AJ$13),15-13*ORÇAMENTO!$AF$7)*OFFSET(ORÇAMENTO!$W$15,ROW(AJ180)-ROW(AJ$15),0),15-13*ORÇAMENTO!$AF$11)),
         0)</f>
        <v>0</v>
      </c>
      <c r="AK180" s="454">
        <f ca="1">IF(AND($D180="Serviço",AK$12&lt;&gt;0,$H180&gt;0,OR(AUTOEVENTO&lt;&gt;"manual",$M180&lt;&gt;$A$15)),
        IF(Import.TipoArredondamento&lt;&gt;"TransfereGOV",
              ROUND(OFFSET($P180,0,AK$13),15-13*ORÇAMENTO!$AF$7)/$H180*OFFSET(ORÇAMENTO!$X$15,ROW(AK180)-ROW(AK$15),0),
              ROUND(ROUND(OFFSET($P180,0,AK$13),15-13*ORÇAMENTO!$AF$7)*OFFSET(ORÇAMENTO!$W$15,ROW(AK180)-ROW(AK$15),0),15-13*ORÇAMENTO!$AF$11)),
         0)</f>
        <v>0</v>
      </c>
      <c r="AM180" s="172">
        <f ca="1">IF(OR($D180&lt;&gt;"Serviço",AND(AUTOEVENTO="Manual",$M180=$A$15)),0,
         IF(OFFSET(CRONOPLE!$F$15,$M180-$A$15,AM$13)="",10^12,OFFSET(CRONOPLE!$F$15,$M180-$A$15,AM$13)))</f>
        <v>1000000000000</v>
      </c>
      <c r="AN180" s="172">
        <f ca="1">IF(OR($D180&lt;&gt;"Serviço",AND(AUTOEVENTO="Manual",$M180=$A$15)),0,
         IF(OFFSET(CRONOPLE!$F$15,$M180-$A$15,AN$13)="",10^12,OFFSET(CRONOPLE!$F$15,$M180-$A$15,AN$13)))</f>
        <v>1000000000000</v>
      </c>
      <c r="AO180" s="172">
        <f ca="1">IF(OR($D180&lt;&gt;"Serviço",AND(AUTOEVENTO="Manual",$M180=$A$15)),0,
         IF(OFFSET(CRONOPLE!$F$15,$M180-$A$15,AO$13)="",10^12,OFFSET(CRONOPLE!$F$15,$M180-$A$15,AO$13)))</f>
        <v>1000000000000</v>
      </c>
      <c r="AP180" s="172">
        <f ca="1">IF(OR($D180&lt;&gt;"Serviço",AND(AUTOEVENTO="Manual",$M180=$A$15)),0,
         IF(OFFSET(CRONOPLE!$F$15,$M180-$A$15,AP$13)="",10^12,OFFSET(CRONOPLE!$F$15,$M180-$A$15,AP$13)))</f>
        <v>1000000000000</v>
      </c>
      <c r="AQ180" s="172">
        <f ca="1">IF(OR($D180&lt;&gt;"Serviço",AND(AUTOEVENTO="Manual",$M180=$A$15)),0,
         IF(OFFSET(CRONOPLE!$F$15,$M180-$A$15,AQ$13)="",10^12,OFFSET(CRONOPLE!$F$15,$M180-$A$15,AQ$13)))</f>
        <v>1000000000000</v>
      </c>
      <c r="AR180" s="172">
        <f ca="1">IF(OR($D180&lt;&gt;"Serviço",AND(AUTOEVENTO="Manual",$M180=$A$15)),0,
         IF(OFFSET(CRONOPLE!$F$15,$M180-$A$15,AR$13)="",10^12,OFFSET(CRONOPLE!$F$15,$M180-$A$15,AR$13)))</f>
        <v>1000000000000</v>
      </c>
      <c r="AS180" s="172">
        <f ca="1">IF(OR($D180&lt;&gt;"Serviço",AND(AUTOEVENTO="Manual",$M180=$A$15)),0,
         IF(OFFSET(CRONOPLE!$F$15,$M180-$A$15,AS$13)="",10^12,OFFSET(CRONOPLE!$F$15,$M180-$A$15,AS$13)))</f>
        <v>1000000000000</v>
      </c>
      <c r="AT180" s="172">
        <f ca="1">IF(OR($D180&lt;&gt;"Serviço",AND(AUTOEVENTO="Manual",$M180=$A$15)),0,
         IF(OFFSET(CRONOPLE!$F$15,$M180-$A$15,AT$13)="",10^12,OFFSET(CRONOPLE!$F$15,$M180-$A$15,AT$13)))</f>
        <v>1000000000000</v>
      </c>
      <c r="AU180" s="172">
        <f ca="1">IF(OR($D180&lt;&gt;"Serviço",AND(AUTOEVENTO="Manual",$M180=$A$15)),0,
         IF(OFFSET(CRONOPLE!$F$15,$M180-$A$15,AU$13)="",10^12,OFFSET(CRONOPLE!$F$15,$M180-$A$15,AU$13)))</f>
        <v>1000000000000</v>
      </c>
      <c r="AV180" s="172">
        <f ca="1">IF(OR($D180&lt;&gt;"Serviço",AND(AUTOEVENTO="Manual",$M180=$A$15)),0,
         IF(OFFSET(CRONOPLE!$F$15,$M180-$A$15,AV$13)="",10^12,OFFSET(CRONOPLE!$F$15,$M180-$A$15,AV$13)))</f>
        <v>1000000000000</v>
      </c>
      <c r="AX180" s="173">
        <f ca="1">IF(OR($D180&lt;&gt;"Serviço",AND(AUTOEVENTO="Manual",$M180=$A$15),$M180&gt;(ROW(PLE.lastrow)-ROW(PLE.firstrow))),0,
           IF(OFFSET(PLE!$G$15,$M180-$A$15,AX$13)="",10^12,OFFSET(PLE!$G$15,$M180-$A$15,AX$13)))</f>
        <v>1000000000000</v>
      </c>
      <c r="AY180" s="173">
        <f ca="1">IF(OR($D180&lt;&gt;"Serviço",AND(AUTOEVENTO="Manual",$M180=$A$15),$M180&gt;(ROW(PLE.lastrow)-ROW(PLE.firstrow))),0,
           IF(OFFSET(PLE!$G$15,$M180-$A$15,AY$13)="",10^12,OFFSET(PLE!$G$15,$M180-$A$15,AY$13)))</f>
        <v>1000000000000</v>
      </c>
      <c r="AZ180" s="173">
        <f ca="1">IF(OR($D180&lt;&gt;"Serviço",AND(AUTOEVENTO="Manual",$M180=$A$15),$M180&gt;(ROW(PLE.lastrow)-ROW(PLE.firstrow))),0,
           IF(OFFSET(PLE!$G$15,$M180-$A$15,AZ$13)="",10^12,OFFSET(PLE!$G$15,$M180-$A$15,AZ$13)))</f>
        <v>1000000000000</v>
      </c>
      <c r="BA180" s="173">
        <f ca="1">IF(OR($D180&lt;&gt;"Serviço",AND(AUTOEVENTO="Manual",$M180=$A$15),$M180&gt;(ROW(PLE.lastrow)-ROW(PLE.firstrow))),0,
           IF(OFFSET(PLE!$G$15,$M180-$A$15,BA$13)="",10^12,OFFSET(PLE!$G$15,$M180-$A$15,BA$13)))</f>
        <v>1000000000000</v>
      </c>
      <c r="BB180" s="173">
        <f ca="1">IF(OR($D180&lt;&gt;"Serviço",AND(AUTOEVENTO="Manual",$M180=$A$15),$M180&gt;(ROW(PLE.lastrow)-ROW(PLE.firstrow))),0,
           IF(OFFSET(PLE!$G$15,$M180-$A$15,BB$13)="",10^12,OFFSET(PLE!$G$15,$M180-$A$15,BB$13)))</f>
        <v>1000000000000</v>
      </c>
      <c r="BC180" s="173">
        <f ca="1">IF(OR($D180&lt;&gt;"Serviço",AND(AUTOEVENTO="Manual",$M180=$A$15),$M180&gt;(ROW(PLE.lastrow)-ROW(PLE.firstrow))),0,
           IF(OFFSET(PLE!$G$15,$M180-$A$15,BC$13)="",10^12,OFFSET(PLE!$G$15,$M180-$A$15,BC$13)))</f>
        <v>1000000000000</v>
      </c>
      <c r="BD180" s="173">
        <f ca="1">IF(OR($D180&lt;&gt;"Serviço",AND(AUTOEVENTO="Manual",$M180=$A$15),$M180&gt;(ROW(PLE.lastrow)-ROW(PLE.firstrow))),0,
           IF(OFFSET(PLE!$G$15,$M180-$A$15,BD$13)="",10^12,OFFSET(PLE!$G$15,$M180-$A$15,BD$13)))</f>
        <v>1000000000000</v>
      </c>
      <c r="BE180" s="173">
        <f ca="1">IF(OR($D180&lt;&gt;"Serviço",AND(AUTOEVENTO="Manual",$M180=$A$15),$M180&gt;(ROW(PLE.lastrow)-ROW(PLE.firstrow))),0,
           IF(OFFSET(PLE!$G$15,$M180-$A$15,BE$13)="",10^12,OFFSET(PLE!$G$15,$M180-$A$15,BE$13)))</f>
        <v>1000000000000</v>
      </c>
      <c r="BF180" s="173">
        <f ca="1">IF(OR($D180&lt;&gt;"Serviço",AND(AUTOEVENTO="Manual",$M180=$A$15),$M180&gt;(ROW(PLE.lastrow)-ROW(PLE.firstrow))),0,
           IF(OFFSET(PLE!$G$15,$M180-$A$15,BF$13)="",10^12,OFFSET(PLE!$G$15,$M180-$A$15,BF$13)))</f>
        <v>1000000000000</v>
      </c>
      <c r="BG180" s="173">
        <f ca="1">IF(OR($D180&lt;&gt;"Serviço",AND(AUTOEVENTO="Manual",$M180=$A$15),$M180&gt;(ROW(PLE.lastrow)-ROW(PLE.firstrow))),0,
           IF(OFFSET(PLE!$G$15,$M180-$A$15,BG$13)="",10^12,OFFSET(PLE!$G$15,$M180-$A$15,BG$13)))</f>
        <v>1000000000000</v>
      </c>
    </row>
    <row r="181" spans="1:59" ht="38.25" x14ac:dyDescent="0.2">
      <c r="A181" s="7" t="str">
        <f t="shared" ca="1" si="10"/>
        <v>114</v>
      </c>
      <c r="B181" s="7" t="str">
        <f ca="1">OFFSET(ORÇAMENTO!C$15,ROW(B181)-ROW(B$15),0)</f>
        <v>S</v>
      </c>
      <c r="C181" s="7" t="str">
        <f ca="1">OFFSET(ORÇAMENTO!L$15,ROW(C181)-ROW(C$15),0)</f>
        <v/>
      </c>
      <c r="D181" s="117" t="str">
        <f ca="1">OFFSET(ORÇAMENTO!N$15,ROW(D181)-ROW(D$15),0)</f>
        <v>Serviço</v>
      </c>
      <c r="E181" s="118" t="str">
        <f ca="1">OFFSET(ORÇAMENTO!O$15,ROW(E181)-ROW(E$15),0)</f>
        <v>-</v>
      </c>
      <c r="F181" s="164" t="str">
        <f ca="1">OFFSET(ORÇAMENTO!R$15,ROW(F181)-ROW(F$15),0)</f>
        <v>BUCHA DE REDUÇÃO, LONGA, PVC, SOLDÁVEL, DN 50 X 25 MM, INSTALADO EM PRUMADA DE ÁGUA - FORNECIMENTO E INSTALAÇÃO. AF_06/2022</v>
      </c>
      <c r="G181" s="165" t="str">
        <f ca="1">IF($D181&lt;&gt;"Serviço","",OFFSET(ORÇAMENTO!S$15,ROW(G181)-ROW(G$15),0))</f>
        <v>UN</v>
      </c>
      <c r="H181" s="123">
        <f ca="1">IF($D181&lt;&gt;"Serviço",0,IF(ACOMPANHAMENTO="BM",ROUND(OFFSET(ORÇAMENTO!AJ$15,ROW(H181)-ROW(H$15),0),15-13*ORÇAMENTO!$AF$7),SUMPRODUCT(($Q$1:$AA$1=1)*ROUND($Q181:$AA181,15-13*ORÇAMENTO!$AF$7))))</f>
        <v>1</v>
      </c>
      <c r="I181" s="469"/>
      <c r="J181" s="577" t="str" cm="1">
        <f t="array" aca="1" ref="J181" ca="1">IF(B181&lt;&gt;"S","",IF(AND(ACOMPANHAMENTO="PLE",AUTOEVENTO="Manual",OR(H181&gt;0,ORÇAMENTO!AC181="QUANT."),OR(K181="",M181=0,N181="")),"►",IF(AND(ACOMPANHAMENTO="PLE",ORÇAMENTO!AC181="QUANT."),"►►",IF(AND(COUNTIF($P$11:$AA$11,"▼")=0,H181&gt;0,I181=""),"◄",""))))</f>
        <v>◄</v>
      </c>
      <c r="K181" s="626"/>
      <c r="L181" s="166" t="s">
        <v>765</v>
      </c>
      <c r="M181" s="167">
        <f ca="1">IF($D181&lt;&gt;"Serviço","",
          IF(AUTOEVENTO="manual",$A181,
                IF(ISERROR(MATCH($A181,$A$15:OFFSET($A181,-1,0),0)),MAX($M$15:OFFSET(M181,-1,0))+1,
                      INDEX($M$15:OFFSET(M181,-1,0),MATCH($A181,$A$15:OFFSET($A181,-1,0),0)))))</f>
        <v>11</v>
      </c>
      <c r="N181" s="168" t="str">
        <f ca="1">IF($D181&lt;&gt;"Serviço","",
         IF(AUTOEVENTO="Manual",
                IF($A181=0,"&lt;-- defina o número do agrupador",
                       OFFSET(EVENTOS!$D$15,$A181-$A$15,0)),
                OFFSET($F$15,$A181,0)))</f>
        <v>INSTALAÇÕES HIDROSSANITÁRIAS</v>
      </c>
      <c r="O181" s="169"/>
      <c r="Q181" s="169"/>
      <c r="R181" s="170"/>
      <c r="S181" s="170"/>
      <c r="T181" s="170"/>
      <c r="U181" s="170"/>
      <c r="V181" s="170"/>
      <c r="W181" s="170"/>
      <c r="X181" s="170"/>
      <c r="Y181" s="170"/>
      <c r="Z181" s="171"/>
      <c r="AB181" s="454">
        <f ca="1">IF(AND($D181="Serviço",AB$12&lt;&gt;0,$H181&gt;0,OR(AUTOEVENTO&lt;&gt;"manual",$M181&lt;&gt;$A$15)),
        IF(Import.TipoArredondamento&lt;&gt;"TransfereGOV",
              ROUND(OFFSET($P181,0,AB$13),15-13*ORÇAMENTO!$AF$7)/$H181*OFFSET(ORÇAMENTO!$X$15,ROW(AB181)-ROW(AB$15),0),
              ROUND(ROUND(OFFSET($P181,0,AB$13),15-13*ORÇAMENTO!$AF$7)*OFFSET(ORÇAMENTO!$W$15,ROW(AB181)-ROW(AB$15),0),15-13*ORÇAMENTO!$AF$11)),
         0)</f>
        <v>0</v>
      </c>
      <c r="AC181" s="454">
        <f ca="1">IF(AND($D181="Serviço",AC$12&lt;&gt;0,$H181&gt;0,OR(AUTOEVENTO&lt;&gt;"manual",$M181&lt;&gt;$A$15)),
        IF(Import.TipoArredondamento&lt;&gt;"TransfereGOV",
              ROUND(OFFSET($P181,0,AC$13),15-13*ORÇAMENTO!$AF$7)/$H181*OFFSET(ORÇAMENTO!$X$15,ROW(AC181)-ROW(AC$15),0),
              ROUND(ROUND(OFFSET($P181,0,AC$13),15-13*ORÇAMENTO!$AF$7)*OFFSET(ORÇAMENTO!$W$15,ROW(AC181)-ROW(AC$15),0),15-13*ORÇAMENTO!$AF$11)),
         0)</f>
        <v>0</v>
      </c>
      <c r="AD181" s="454">
        <f ca="1">IF(AND($D181="Serviço",AD$12&lt;&gt;0,$H181&gt;0,OR(AUTOEVENTO&lt;&gt;"manual",$M181&lt;&gt;$A$15)),
        IF(Import.TipoArredondamento&lt;&gt;"TransfereGOV",
              ROUND(OFFSET($P181,0,AD$13),15-13*ORÇAMENTO!$AF$7)/$H181*OFFSET(ORÇAMENTO!$X$15,ROW(AD181)-ROW(AD$15),0),
              ROUND(ROUND(OFFSET($P181,0,AD$13),15-13*ORÇAMENTO!$AF$7)*OFFSET(ORÇAMENTO!$W$15,ROW(AD181)-ROW(AD$15),0),15-13*ORÇAMENTO!$AF$11)),
         0)</f>
        <v>0</v>
      </c>
      <c r="AE181" s="454">
        <f ca="1">IF(AND($D181="Serviço",AE$12&lt;&gt;0,$H181&gt;0,OR(AUTOEVENTO&lt;&gt;"manual",$M181&lt;&gt;$A$15)),
        IF(Import.TipoArredondamento&lt;&gt;"TransfereGOV",
              ROUND(OFFSET($P181,0,AE$13),15-13*ORÇAMENTO!$AF$7)/$H181*OFFSET(ORÇAMENTO!$X$15,ROW(AE181)-ROW(AE$15),0),
              ROUND(ROUND(OFFSET($P181,0,AE$13),15-13*ORÇAMENTO!$AF$7)*OFFSET(ORÇAMENTO!$W$15,ROW(AE181)-ROW(AE$15),0),15-13*ORÇAMENTO!$AF$11)),
         0)</f>
        <v>0</v>
      </c>
      <c r="AF181" s="454">
        <f ca="1">IF(AND($D181="Serviço",AF$12&lt;&gt;0,$H181&gt;0,OR(AUTOEVENTO&lt;&gt;"manual",$M181&lt;&gt;$A$15)),
        IF(Import.TipoArredondamento&lt;&gt;"TransfereGOV",
              ROUND(OFFSET($P181,0,AF$13),15-13*ORÇAMENTO!$AF$7)/$H181*OFFSET(ORÇAMENTO!$X$15,ROW(AF181)-ROW(AF$15),0),
              ROUND(ROUND(OFFSET($P181,0,AF$13),15-13*ORÇAMENTO!$AF$7)*OFFSET(ORÇAMENTO!$W$15,ROW(AF181)-ROW(AF$15),0),15-13*ORÇAMENTO!$AF$11)),
         0)</f>
        <v>0</v>
      </c>
      <c r="AG181" s="454">
        <f ca="1">IF(AND($D181="Serviço",AG$12&lt;&gt;0,$H181&gt;0,OR(AUTOEVENTO&lt;&gt;"manual",$M181&lt;&gt;$A$15)),
        IF(Import.TipoArredondamento&lt;&gt;"TransfereGOV",
              ROUND(OFFSET($P181,0,AG$13),15-13*ORÇAMENTO!$AF$7)/$H181*OFFSET(ORÇAMENTO!$X$15,ROW(AG181)-ROW(AG$15),0),
              ROUND(ROUND(OFFSET($P181,0,AG$13),15-13*ORÇAMENTO!$AF$7)*OFFSET(ORÇAMENTO!$W$15,ROW(AG181)-ROW(AG$15),0),15-13*ORÇAMENTO!$AF$11)),
         0)</f>
        <v>0</v>
      </c>
      <c r="AH181" s="454">
        <f ca="1">IF(AND($D181="Serviço",AH$12&lt;&gt;0,$H181&gt;0,OR(AUTOEVENTO&lt;&gt;"manual",$M181&lt;&gt;$A$15)),
        IF(Import.TipoArredondamento&lt;&gt;"TransfereGOV",
              ROUND(OFFSET($P181,0,AH$13),15-13*ORÇAMENTO!$AF$7)/$H181*OFFSET(ORÇAMENTO!$X$15,ROW(AH181)-ROW(AH$15),0),
              ROUND(ROUND(OFFSET($P181,0,AH$13),15-13*ORÇAMENTO!$AF$7)*OFFSET(ORÇAMENTO!$W$15,ROW(AH181)-ROW(AH$15),0),15-13*ORÇAMENTO!$AF$11)),
         0)</f>
        <v>0</v>
      </c>
      <c r="AI181" s="454">
        <f ca="1">IF(AND($D181="Serviço",AI$12&lt;&gt;0,$H181&gt;0,OR(AUTOEVENTO&lt;&gt;"manual",$M181&lt;&gt;$A$15)),
        IF(Import.TipoArredondamento&lt;&gt;"TransfereGOV",
              ROUND(OFFSET($P181,0,AI$13),15-13*ORÇAMENTO!$AF$7)/$H181*OFFSET(ORÇAMENTO!$X$15,ROW(AI181)-ROW(AI$15),0),
              ROUND(ROUND(OFFSET($P181,0,AI$13),15-13*ORÇAMENTO!$AF$7)*OFFSET(ORÇAMENTO!$W$15,ROW(AI181)-ROW(AI$15),0),15-13*ORÇAMENTO!$AF$11)),
         0)</f>
        <v>0</v>
      </c>
      <c r="AJ181" s="454">
        <f ca="1">IF(AND($D181="Serviço",AJ$12&lt;&gt;0,$H181&gt;0,OR(AUTOEVENTO&lt;&gt;"manual",$M181&lt;&gt;$A$15)),
        IF(Import.TipoArredondamento&lt;&gt;"TransfereGOV",
              ROUND(OFFSET($P181,0,AJ$13),15-13*ORÇAMENTO!$AF$7)/$H181*OFFSET(ORÇAMENTO!$X$15,ROW(AJ181)-ROW(AJ$15),0),
              ROUND(ROUND(OFFSET($P181,0,AJ$13),15-13*ORÇAMENTO!$AF$7)*OFFSET(ORÇAMENTO!$W$15,ROW(AJ181)-ROW(AJ$15),0),15-13*ORÇAMENTO!$AF$11)),
         0)</f>
        <v>0</v>
      </c>
      <c r="AK181" s="454">
        <f ca="1">IF(AND($D181="Serviço",AK$12&lt;&gt;0,$H181&gt;0,OR(AUTOEVENTO&lt;&gt;"manual",$M181&lt;&gt;$A$15)),
        IF(Import.TipoArredondamento&lt;&gt;"TransfereGOV",
              ROUND(OFFSET($P181,0,AK$13),15-13*ORÇAMENTO!$AF$7)/$H181*OFFSET(ORÇAMENTO!$X$15,ROW(AK181)-ROW(AK$15),0),
              ROUND(ROUND(OFFSET($P181,0,AK$13),15-13*ORÇAMENTO!$AF$7)*OFFSET(ORÇAMENTO!$W$15,ROW(AK181)-ROW(AK$15),0),15-13*ORÇAMENTO!$AF$11)),
         0)</f>
        <v>0</v>
      </c>
      <c r="AM181" s="172">
        <f ca="1">IF(OR($D181&lt;&gt;"Serviço",AND(AUTOEVENTO="Manual",$M181=$A$15)),0,
         IF(OFFSET(CRONOPLE!$F$15,$M181-$A$15,AM$13)="",10^12,OFFSET(CRONOPLE!$F$15,$M181-$A$15,AM$13)))</f>
        <v>1000000000000</v>
      </c>
      <c r="AN181" s="172">
        <f ca="1">IF(OR($D181&lt;&gt;"Serviço",AND(AUTOEVENTO="Manual",$M181=$A$15)),0,
         IF(OFFSET(CRONOPLE!$F$15,$M181-$A$15,AN$13)="",10^12,OFFSET(CRONOPLE!$F$15,$M181-$A$15,AN$13)))</f>
        <v>1000000000000</v>
      </c>
      <c r="AO181" s="172">
        <f ca="1">IF(OR($D181&lt;&gt;"Serviço",AND(AUTOEVENTO="Manual",$M181=$A$15)),0,
         IF(OFFSET(CRONOPLE!$F$15,$M181-$A$15,AO$13)="",10^12,OFFSET(CRONOPLE!$F$15,$M181-$A$15,AO$13)))</f>
        <v>1000000000000</v>
      </c>
      <c r="AP181" s="172">
        <f ca="1">IF(OR($D181&lt;&gt;"Serviço",AND(AUTOEVENTO="Manual",$M181=$A$15)),0,
         IF(OFFSET(CRONOPLE!$F$15,$M181-$A$15,AP$13)="",10^12,OFFSET(CRONOPLE!$F$15,$M181-$A$15,AP$13)))</f>
        <v>1000000000000</v>
      </c>
      <c r="AQ181" s="172">
        <f ca="1">IF(OR($D181&lt;&gt;"Serviço",AND(AUTOEVENTO="Manual",$M181=$A$15)),0,
         IF(OFFSET(CRONOPLE!$F$15,$M181-$A$15,AQ$13)="",10^12,OFFSET(CRONOPLE!$F$15,$M181-$A$15,AQ$13)))</f>
        <v>1000000000000</v>
      </c>
      <c r="AR181" s="172">
        <f ca="1">IF(OR($D181&lt;&gt;"Serviço",AND(AUTOEVENTO="Manual",$M181=$A$15)),0,
         IF(OFFSET(CRONOPLE!$F$15,$M181-$A$15,AR$13)="",10^12,OFFSET(CRONOPLE!$F$15,$M181-$A$15,AR$13)))</f>
        <v>1000000000000</v>
      </c>
      <c r="AS181" s="172">
        <f ca="1">IF(OR($D181&lt;&gt;"Serviço",AND(AUTOEVENTO="Manual",$M181=$A$15)),0,
         IF(OFFSET(CRONOPLE!$F$15,$M181-$A$15,AS$13)="",10^12,OFFSET(CRONOPLE!$F$15,$M181-$A$15,AS$13)))</f>
        <v>1000000000000</v>
      </c>
      <c r="AT181" s="172">
        <f ca="1">IF(OR($D181&lt;&gt;"Serviço",AND(AUTOEVENTO="Manual",$M181=$A$15)),0,
         IF(OFFSET(CRONOPLE!$F$15,$M181-$A$15,AT$13)="",10^12,OFFSET(CRONOPLE!$F$15,$M181-$A$15,AT$13)))</f>
        <v>1000000000000</v>
      </c>
      <c r="AU181" s="172">
        <f ca="1">IF(OR($D181&lt;&gt;"Serviço",AND(AUTOEVENTO="Manual",$M181=$A$15)),0,
         IF(OFFSET(CRONOPLE!$F$15,$M181-$A$15,AU$13)="",10^12,OFFSET(CRONOPLE!$F$15,$M181-$A$15,AU$13)))</f>
        <v>1000000000000</v>
      </c>
      <c r="AV181" s="172">
        <f ca="1">IF(OR($D181&lt;&gt;"Serviço",AND(AUTOEVENTO="Manual",$M181=$A$15)),0,
         IF(OFFSET(CRONOPLE!$F$15,$M181-$A$15,AV$13)="",10^12,OFFSET(CRONOPLE!$F$15,$M181-$A$15,AV$13)))</f>
        <v>1000000000000</v>
      </c>
      <c r="AX181" s="173">
        <f ca="1">IF(OR($D181&lt;&gt;"Serviço",AND(AUTOEVENTO="Manual",$M181=$A$15),$M181&gt;(ROW(PLE.lastrow)-ROW(PLE.firstrow))),0,
           IF(OFFSET(PLE!$G$15,$M181-$A$15,AX$13)="",10^12,OFFSET(PLE!$G$15,$M181-$A$15,AX$13)))</f>
        <v>1000000000000</v>
      </c>
      <c r="AY181" s="173">
        <f ca="1">IF(OR($D181&lt;&gt;"Serviço",AND(AUTOEVENTO="Manual",$M181=$A$15),$M181&gt;(ROW(PLE.lastrow)-ROW(PLE.firstrow))),0,
           IF(OFFSET(PLE!$G$15,$M181-$A$15,AY$13)="",10^12,OFFSET(PLE!$G$15,$M181-$A$15,AY$13)))</f>
        <v>1000000000000</v>
      </c>
      <c r="AZ181" s="173">
        <f ca="1">IF(OR($D181&lt;&gt;"Serviço",AND(AUTOEVENTO="Manual",$M181=$A$15),$M181&gt;(ROW(PLE.lastrow)-ROW(PLE.firstrow))),0,
           IF(OFFSET(PLE!$G$15,$M181-$A$15,AZ$13)="",10^12,OFFSET(PLE!$G$15,$M181-$A$15,AZ$13)))</f>
        <v>1000000000000</v>
      </c>
      <c r="BA181" s="173">
        <f ca="1">IF(OR($D181&lt;&gt;"Serviço",AND(AUTOEVENTO="Manual",$M181=$A$15),$M181&gt;(ROW(PLE.lastrow)-ROW(PLE.firstrow))),0,
           IF(OFFSET(PLE!$G$15,$M181-$A$15,BA$13)="",10^12,OFFSET(PLE!$G$15,$M181-$A$15,BA$13)))</f>
        <v>1000000000000</v>
      </c>
      <c r="BB181" s="173">
        <f ca="1">IF(OR($D181&lt;&gt;"Serviço",AND(AUTOEVENTO="Manual",$M181=$A$15),$M181&gt;(ROW(PLE.lastrow)-ROW(PLE.firstrow))),0,
           IF(OFFSET(PLE!$G$15,$M181-$A$15,BB$13)="",10^12,OFFSET(PLE!$G$15,$M181-$A$15,BB$13)))</f>
        <v>1000000000000</v>
      </c>
      <c r="BC181" s="173">
        <f ca="1">IF(OR($D181&lt;&gt;"Serviço",AND(AUTOEVENTO="Manual",$M181=$A$15),$M181&gt;(ROW(PLE.lastrow)-ROW(PLE.firstrow))),0,
           IF(OFFSET(PLE!$G$15,$M181-$A$15,BC$13)="",10^12,OFFSET(PLE!$G$15,$M181-$A$15,BC$13)))</f>
        <v>1000000000000</v>
      </c>
      <c r="BD181" s="173">
        <f ca="1">IF(OR($D181&lt;&gt;"Serviço",AND(AUTOEVENTO="Manual",$M181=$A$15),$M181&gt;(ROW(PLE.lastrow)-ROW(PLE.firstrow))),0,
           IF(OFFSET(PLE!$G$15,$M181-$A$15,BD$13)="",10^12,OFFSET(PLE!$G$15,$M181-$A$15,BD$13)))</f>
        <v>1000000000000</v>
      </c>
      <c r="BE181" s="173">
        <f ca="1">IF(OR($D181&lt;&gt;"Serviço",AND(AUTOEVENTO="Manual",$M181=$A$15),$M181&gt;(ROW(PLE.lastrow)-ROW(PLE.firstrow))),0,
           IF(OFFSET(PLE!$G$15,$M181-$A$15,BE$13)="",10^12,OFFSET(PLE!$G$15,$M181-$A$15,BE$13)))</f>
        <v>1000000000000</v>
      </c>
      <c r="BF181" s="173">
        <f ca="1">IF(OR($D181&lt;&gt;"Serviço",AND(AUTOEVENTO="Manual",$M181=$A$15),$M181&gt;(ROW(PLE.lastrow)-ROW(PLE.firstrow))),0,
           IF(OFFSET(PLE!$G$15,$M181-$A$15,BF$13)="",10^12,OFFSET(PLE!$G$15,$M181-$A$15,BF$13)))</f>
        <v>1000000000000</v>
      </c>
      <c r="BG181" s="173">
        <f ca="1">IF(OR($D181&lt;&gt;"Serviço",AND(AUTOEVENTO="Manual",$M181=$A$15),$M181&gt;(ROW(PLE.lastrow)-ROW(PLE.firstrow))),0,
           IF(OFFSET(PLE!$G$15,$M181-$A$15,BG$13)="",10^12,OFFSET(PLE!$G$15,$M181-$A$15,BG$13)))</f>
        <v>1000000000000</v>
      </c>
    </row>
    <row r="182" spans="1:59" ht="38.25" x14ac:dyDescent="0.2">
      <c r="A182" s="7" t="str">
        <f t="shared" ca="1" si="10"/>
        <v>114</v>
      </c>
      <c r="B182" s="7" t="str">
        <f ca="1">OFFSET(ORÇAMENTO!C$15,ROW(B182)-ROW(B$15),0)</f>
        <v>S</v>
      </c>
      <c r="C182" s="7" t="str">
        <f ca="1">OFFSET(ORÇAMENTO!L$15,ROW(C182)-ROW(C$15),0)</f>
        <v/>
      </c>
      <c r="D182" s="117" t="str">
        <f ca="1">OFFSET(ORÇAMENTO!N$15,ROW(D182)-ROW(D$15),0)</f>
        <v>Serviço</v>
      </c>
      <c r="E182" s="118" t="str">
        <f ca="1">OFFSET(ORÇAMENTO!O$15,ROW(E182)-ROW(E$15),0)</f>
        <v>-</v>
      </c>
      <c r="F182" s="164" t="str">
        <f ca="1">OFFSET(ORÇAMENTO!R$15,ROW(F182)-ROW(F$15),0)</f>
        <v>BUCHA DE REDUÇÃO , LONGA, PVC, SOLDÁVEL, DN 50 X 32 MM, INSTALADO EM RAMAL DE DISTRIBUIÇÃO DE ÁGUA - FORNECIMENTO E INSTALAÇÃO. AF_06/2022</v>
      </c>
      <c r="G182" s="165" t="str">
        <f ca="1">IF($D182&lt;&gt;"Serviço","",OFFSET(ORÇAMENTO!S$15,ROW(G182)-ROW(G$15),0))</f>
        <v>UN</v>
      </c>
      <c r="H182" s="123">
        <f ca="1">IF($D182&lt;&gt;"Serviço",0,IF(ACOMPANHAMENTO="BM",ROUND(OFFSET(ORÇAMENTO!AJ$15,ROW(H182)-ROW(H$15),0),15-13*ORÇAMENTO!$AF$7),SUMPRODUCT(($Q$1:$AA$1=1)*ROUND($Q182:$AA182,15-13*ORÇAMENTO!$AF$7))))</f>
        <v>4</v>
      </c>
      <c r="I182" s="469"/>
      <c r="J182" s="577" t="str" cm="1">
        <f t="array" aca="1" ref="J182" ca="1">IF(B182&lt;&gt;"S","",IF(AND(ACOMPANHAMENTO="PLE",AUTOEVENTO="Manual",OR(H182&gt;0,ORÇAMENTO!AC182="QUANT."),OR(K182="",M182=0,N182="")),"►",IF(AND(ACOMPANHAMENTO="PLE",ORÇAMENTO!AC182="QUANT."),"►►",IF(AND(COUNTIF($P$11:$AA$11,"▼")=0,H182&gt;0,I182=""),"◄",""))))</f>
        <v>◄</v>
      </c>
      <c r="K182" s="626"/>
      <c r="L182" s="166" t="s">
        <v>765</v>
      </c>
      <c r="M182" s="167">
        <f ca="1">IF($D182&lt;&gt;"Serviço","",
          IF(AUTOEVENTO="manual",$A182,
                IF(ISERROR(MATCH($A182,$A$15:OFFSET($A182,-1,0),0)),MAX($M$15:OFFSET(M182,-1,0))+1,
                      INDEX($M$15:OFFSET(M182,-1,0),MATCH($A182,$A$15:OFFSET($A182,-1,0),0)))))</f>
        <v>11</v>
      </c>
      <c r="N182" s="168" t="str">
        <f ca="1">IF($D182&lt;&gt;"Serviço","",
         IF(AUTOEVENTO="Manual",
                IF($A182=0,"&lt;-- defina o número do agrupador",
                       OFFSET(EVENTOS!$D$15,$A182-$A$15,0)),
                OFFSET($F$15,$A182,0)))</f>
        <v>INSTALAÇÕES HIDROSSANITÁRIAS</v>
      </c>
      <c r="O182" s="169"/>
      <c r="Q182" s="169"/>
      <c r="R182" s="170"/>
      <c r="S182" s="170"/>
      <c r="T182" s="170"/>
      <c r="U182" s="170"/>
      <c r="V182" s="170"/>
      <c r="W182" s="170"/>
      <c r="X182" s="170"/>
      <c r="Y182" s="170"/>
      <c r="Z182" s="171"/>
      <c r="AB182" s="454">
        <f ca="1">IF(AND($D182="Serviço",AB$12&lt;&gt;0,$H182&gt;0,OR(AUTOEVENTO&lt;&gt;"manual",$M182&lt;&gt;$A$15)),
        IF(Import.TipoArredondamento&lt;&gt;"TransfereGOV",
              ROUND(OFFSET($P182,0,AB$13),15-13*ORÇAMENTO!$AF$7)/$H182*OFFSET(ORÇAMENTO!$X$15,ROW(AB182)-ROW(AB$15),0),
              ROUND(ROUND(OFFSET($P182,0,AB$13),15-13*ORÇAMENTO!$AF$7)*OFFSET(ORÇAMENTO!$W$15,ROW(AB182)-ROW(AB$15),0),15-13*ORÇAMENTO!$AF$11)),
         0)</f>
        <v>0</v>
      </c>
      <c r="AC182" s="454">
        <f ca="1">IF(AND($D182="Serviço",AC$12&lt;&gt;0,$H182&gt;0,OR(AUTOEVENTO&lt;&gt;"manual",$M182&lt;&gt;$A$15)),
        IF(Import.TipoArredondamento&lt;&gt;"TransfereGOV",
              ROUND(OFFSET($P182,0,AC$13),15-13*ORÇAMENTO!$AF$7)/$H182*OFFSET(ORÇAMENTO!$X$15,ROW(AC182)-ROW(AC$15),0),
              ROUND(ROUND(OFFSET($P182,0,AC$13),15-13*ORÇAMENTO!$AF$7)*OFFSET(ORÇAMENTO!$W$15,ROW(AC182)-ROW(AC$15),0),15-13*ORÇAMENTO!$AF$11)),
         0)</f>
        <v>0</v>
      </c>
      <c r="AD182" s="454">
        <f ca="1">IF(AND($D182="Serviço",AD$12&lt;&gt;0,$H182&gt;0,OR(AUTOEVENTO&lt;&gt;"manual",$M182&lt;&gt;$A$15)),
        IF(Import.TipoArredondamento&lt;&gt;"TransfereGOV",
              ROUND(OFFSET($P182,0,AD$13),15-13*ORÇAMENTO!$AF$7)/$H182*OFFSET(ORÇAMENTO!$X$15,ROW(AD182)-ROW(AD$15),0),
              ROUND(ROUND(OFFSET($P182,0,AD$13),15-13*ORÇAMENTO!$AF$7)*OFFSET(ORÇAMENTO!$W$15,ROW(AD182)-ROW(AD$15),0),15-13*ORÇAMENTO!$AF$11)),
         0)</f>
        <v>0</v>
      </c>
      <c r="AE182" s="454">
        <f ca="1">IF(AND($D182="Serviço",AE$12&lt;&gt;0,$H182&gt;0,OR(AUTOEVENTO&lt;&gt;"manual",$M182&lt;&gt;$A$15)),
        IF(Import.TipoArredondamento&lt;&gt;"TransfereGOV",
              ROUND(OFFSET($P182,0,AE$13),15-13*ORÇAMENTO!$AF$7)/$H182*OFFSET(ORÇAMENTO!$X$15,ROW(AE182)-ROW(AE$15),0),
              ROUND(ROUND(OFFSET($P182,0,AE$13),15-13*ORÇAMENTO!$AF$7)*OFFSET(ORÇAMENTO!$W$15,ROW(AE182)-ROW(AE$15),0),15-13*ORÇAMENTO!$AF$11)),
         0)</f>
        <v>0</v>
      </c>
      <c r="AF182" s="454">
        <f ca="1">IF(AND($D182="Serviço",AF$12&lt;&gt;0,$H182&gt;0,OR(AUTOEVENTO&lt;&gt;"manual",$M182&lt;&gt;$A$15)),
        IF(Import.TipoArredondamento&lt;&gt;"TransfereGOV",
              ROUND(OFFSET($P182,0,AF$13),15-13*ORÇAMENTO!$AF$7)/$H182*OFFSET(ORÇAMENTO!$X$15,ROW(AF182)-ROW(AF$15),0),
              ROUND(ROUND(OFFSET($P182,0,AF$13),15-13*ORÇAMENTO!$AF$7)*OFFSET(ORÇAMENTO!$W$15,ROW(AF182)-ROW(AF$15),0),15-13*ORÇAMENTO!$AF$11)),
         0)</f>
        <v>0</v>
      </c>
      <c r="AG182" s="454">
        <f ca="1">IF(AND($D182="Serviço",AG$12&lt;&gt;0,$H182&gt;0,OR(AUTOEVENTO&lt;&gt;"manual",$M182&lt;&gt;$A$15)),
        IF(Import.TipoArredondamento&lt;&gt;"TransfereGOV",
              ROUND(OFFSET($P182,0,AG$13),15-13*ORÇAMENTO!$AF$7)/$H182*OFFSET(ORÇAMENTO!$X$15,ROW(AG182)-ROW(AG$15),0),
              ROUND(ROUND(OFFSET($P182,0,AG$13),15-13*ORÇAMENTO!$AF$7)*OFFSET(ORÇAMENTO!$W$15,ROW(AG182)-ROW(AG$15),0),15-13*ORÇAMENTO!$AF$11)),
         0)</f>
        <v>0</v>
      </c>
      <c r="AH182" s="454">
        <f ca="1">IF(AND($D182="Serviço",AH$12&lt;&gt;0,$H182&gt;0,OR(AUTOEVENTO&lt;&gt;"manual",$M182&lt;&gt;$A$15)),
        IF(Import.TipoArredondamento&lt;&gt;"TransfereGOV",
              ROUND(OFFSET($P182,0,AH$13),15-13*ORÇAMENTO!$AF$7)/$H182*OFFSET(ORÇAMENTO!$X$15,ROW(AH182)-ROW(AH$15),0),
              ROUND(ROUND(OFFSET($P182,0,AH$13),15-13*ORÇAMENTO!$AF$7)*OFFSET(ORÇAMENTO!$W$15,ROW(AH182)-ROW(AH$15),0),15-13*ORÇAMENTO!$AF$11)),
         0)</f>
        <v>0</v>
      </c>
      <c r="AI182" s="454">
        <f ca="1">IF(AND($D182="Serviço",AI$12&lt;&gt;0,$H182&gt;0,OR(AUTOEVENTO&lt;&gt;"manual",$M182&lt;&gt;$A$15)),
        IF(Import.TipoArredondamento&lt;&gt;"TransfereGOV",
              ROUND(OFFSET($P182,0,AI$13),15-13*ORÇAMENTO!$AF$7)/$H182*OFFSET(ORÇAMENTO!$X$15,ROW(AI182)-ROW(AI$15),0),
              ROUND(ROUND(OFFSET($P182,0,AI$13),15-13*ORÇAMENTO!$AF$7)*OFFSET(ORÇAMENTO!$W$15,ROW(AI182)-ROW(AI$15),0),15-13*ORÇAMENTO!$AF$11)),
         0)</f>
        <v>0</v>
      </c>
      <c r="AJ182" s="454">
        <f ca="1">IF(AND($D182="Serviço",AJ$12&lt;&gt;0,$H182&gt;0,OR(AUTOEVENTO&lt;&gt;"manual",$M182&lt;&gt;$A$15)),
        IF(Import.TipoArredondamento&lt;&gt;"TransfereGOV",
              ROUND(OFFSET($P182,0,AJ$13),15-13*ORÇAMENTO!$AF$7)/$H182*OFFSET(ORÇAMENTO!$X$15,ROW(AJ182)-ROW(AJ$15),0),
              ROUND(ROUND(OFFSET($P182,0,AJ$13),15-13*ORÇAMENTO!$AF$7)*OFFSET(ORÇAMENTO!$W$15,ROW(AJ182)-ROW(AJ$15),0),15-13*ORÇAMENTO!$AF$11)),
         0)</f>
        <v>0</v>
      </c>
      <c r="AK182" s="454">
        <f ca="1">IF(AND($D182="Serviço",AK$12&lt;&gt;0,$H182&gt;0,OR(AUTOEVENTO&lt;&gt;"manual",$M182&lt;&gt;$A$15)),
        IF(Import.TipoArredondamento&lt;&gt;"TransfereGOV",
              ROUND(OFFSET($P182,0,AK$13),15-13*ORÇAMENTO!$AF$7)/$H182*OFFSET(ORÇAMENTO!$X$15,ROW(AK182)-ROW(AK$15),0),
              ROUND(ROUND(OFFSET($P182,0,AK$13),15-13*ORÇAMENTO!$AF$7)*OFFSET(ORÇAMENTO!$W$15,ROW(AK182)-ROW(AK$15),0),15-13*ORÇAMENTO!$AF$11)),
         0)</f>
        <v>0</v>
      </c>
      <c r="AM182" s="172">
        <f ca="1">IF(OR($D182&lt;&gt;"Serviço",AND(AUTOEVENTO="Manual",$M182=$A$15)),0,
         IF(OFFSET(CRONOPLE!$F$15,$M182-$A$15,AM$13)="",10^12,OFFSET(CRONOPLE!$F$15,$M182-$A$15,AM$13)))</f>
        <v>1000000000000</v>
      </c>
      <c r="AN182" s="172">
        <f ca="1">IF(OR($D182&lt;&gt;"Serviço",AND(AUTOEVENTO="Manual",$M182=$A$15)),0,
         IF(OFFSET(CRONOPLE!$F$15,$M182-$A$15,AN$13)="",10^12,OFFSET(CRONOPLE!$F$15,$M182-$A$15,AN$13)))</f>
        <v>1000000000000</v>
      </c>
      <c r="AO182" s="172">
        <f ca="1">IF(OR($D182&lt;&gt;"Serviço",AND(AUTOEVENTO="Manual",$M182=$A$15)),0,
         IF(OFFSET(CRONOPLE!$F$15,$M182-$A$15,AO$13)="",10^12,OFFSET(CRONOPLE!$F$15,$M182-$A$15,AO$13)))</f>
        <v>1000000000000</v>
      </c>
      <c r="AP182" s="172">
        <f ca="1">IF(OR($D182&lt;&gt;"Serviço",AND(AUTOEVENTO="Manual",$M182=$A$15)),0,
         IF(OFFSET(CRONOPLE!$F$15,$M182-$A$15,AP$13)="",10^12,OFFSET(CRONOPLE!$F$15,$M182-$A$15,AP$13)))</f>
        <v>1000000000000</v>
      </c>
      <c r="AQ182" s="172">
        <f ca="1">IF(OR($D182&lt;&gt;"Serviço",AND(AUTOEVENTO="Manual",$M182=$A$15)),0,
         IF(OFFSET(CRONOPLE!$F$15,$M182-$A$15,AQ$13)="",10^12,OFFSET(CRONOPLE!$F$15,$M182-$A$15,AQ$13)))</f>
        <v>1000000000000</v>
      </c>
      <c r="AR182" s="172">
        <f ca="1">IF(OR($D182&lt;&gt;"Serviço",AND(AUTOEVENTO="Manual",$M182=$A$15)),0,
         IF(OFFSET(CRONOPLE!$F$15,$M182-$A$15,AR$13)="",10^12,OFFSET(CRONOPLE!$F$15,$M182-$A$15,AR$13)))</f>
        <v>1000000000000</v>
      </c>
      <c r="AS182" s="172">
        <f ca="1">IF(OR($D182&lt;&gt;"Serviço",AND(AUTOEVENTO="Manual",$M182=$A$15)),0,
         IF(OFFSET(CRONOPLE!$F$15,$M182-$A$15,AS$13)="",10^12,OFFSET(CRONOPLE!$F$15,$M182-$A$15,AS$13)))</f>
        <v>1000000000000</v>
      </c>
      <c r="AT182" s="172">
        <f ca="1">IF(OR($D182&lt;&gt;"Serviço",AND(AUTOEVENTO="Manual",$M182=$A$15)),0,
         IF(OFFSET(CRONOPLE!$F$15,$M182-$A$15,AT$13)="",10^12,OFFSET(CRONOPLE!$F$15,$M182-$A$15,AT$13)))</f>
        <v>1000000000000</v>
      </c>
      <c r="AU182" s="172">
        <f ca="1">IF(OR($D182&lt;&gt;"Serviço",AND(AUTOEVENTO="Manual",$M182=$A$15)),0,
         IF(OFFSET(CRONOPLE!$F$15,$M182-$A$15,AU$13)="",10^12,OFFSET(CRONOPLE!$F$15,$M182-$A$15,AU$13)))</f>
        <v>1000000000000</v>
      </c>
      <c r="AV182" s="172">
        <f ca="1">IF(OR($D182&lt;&gt;"Serviço",AND(AUTOEVENTO="Manual",$M182=$A$15)),0,
         IF(OFFSET(CRONOPLE!$F$15,$M182-$A$15,AV$13)="",10^12,OFFSET(CRONOPLE!$F$15,$M182-$A$15,AV$13)))</f>
        <v>1000000000000</v>
      </c>
      <c r="AX182" s="173">
        <f ca="1">IF(OR($D182&lt;&gt;"Serviço",AND(AUTOEVENTO="Manual",$M182=$A$15),$M182&gt;(ROW(PLE.lastrow)-ROW(PLE.firstrow))),0,
           IF(OFFSET(PLE!$G$15,$M182-$A$15,AX$13)="",10^12,OFFSET(PLE!$G$15,$M182-$A$15,AX$13)))</f>
        <v>1000000000000</v>
      </c>
      <c r="AY182" s="173">
        <f ca="1">IF(OR($D182&lt;&gt;"Serviço",AND(AUTOEVENTO="Manual",$M182=$A$15),$M182&gt;(ROW(PLE.lastrow)-ROW(PLE.firstrow))),0,
           IF(OFFSET(PLE!$G$15,$M182-$A$15,AY$13)="",10^12,OFFSET(PLE!$G$15,$M182-$A$15,AY$13)))</f>
        <v>1000000000000</v>
      </c>
      <c r="AZ182" s="173">
        <f ca="1">IF(OR($D182&lt;&gt;"Serviço",AND(AUTOEVENTO="Manual",$M182=$A$15),$M182&gt;(ROW(PLE.lastrow)-ROW(PLE.firstrow))),0,
           IF(OFFSET(PLE!$G$15,$M182-$A$15,AZ$13)="",10^12,OFFSET(PLE!$G$15,$M182-$A$15,AZ$13)))</f>
        <v>1000000000000</v>
      </c>
      <c r="BA182" s="173">
        <f ca="1">IF(OR($D182&lt;&gt;"Serviço",AND(AUTOEVENTO="Manual",$M182=$A$15),$M182&gt;(ROW(PLE.lastrow)-ROW(PLE.firstrow))),0,
           IF(OFFSET(PLE!$G$15,$M182-$A$15,BA$13)="",10^12,OFFSET(PLE!$G$15,$M182-$A$15,BA$13)))</f>
        <v>1000000000000</v>
      </c>
      <c r="BB182" s="173">
        <f ca="1">IF(OR($D182&lt;&gt;"Serviço",AND(AUTOEVENTO="Manual",$M182=$A$15),$M182&gt;(ROW(PLE.lastrow)-ROW(PLE.firstrow))),0,
           IF(OFFSET(PLE!$G$15,$M182-$A$15,BB$13)="",10^12,OFFSET(PLE!$G$15,$M182-$A$15,BB$13)))</f>
        <v>1000000000000</v>
      </c>
      <c r="BC182" s="173">
        <f ca="1">IF(OR($D182&lt;&gt;"Serviço",AND(AUTOEVENTO="Manual",$M182=$A$15),$M182&gt;(ROW(PLE.lastrow)-ROW(PLE.firstrow))),0,
           IF(OFFSET(PLE!$G$15,$M182-$A$15,BC$13)="",10^12,OFFSET(PLE!$G$15,$M182-$A$15,BC$13)))</f>
        <v>1000000000000</v>
      </c>
      <c r="BD182" s="173">
        <f ca="1">IF(OR($D182&lt;&gt;"Serviço",AND(AUTOEVENTO="Manual",$M182=$A$15),$M182&gt;(ROW(PLE.lastrow)-ROW(PLE.firstrow))),0,
           IF(OFFSET(PLE!$G$15,$M182-$A$15,BD$13)="",10^12,OFFSET(PLE!$G$15,$M182-$A$15,BD$13)))</f>
        <v>1000000000000</v>
      </c>
      <c r="BE182" s="173">
        <f ca="1">IF(OR($D182&lt;&gt;"Serviço",AND(AUTOEVENTO="Manual",$M182=$A$15),$M182&gt;(ROW(PLE.lastrow)-ROW(PLE.firstrow))),0,
           IF(OFFSET(PLE!$G$15,$M182-$A$15,BE$13)="",10^12,OFFSET(PLE!$G$15,$M182-$A$15,BE$13)))</f>
        <v>1000000000000</v>
      </c>
      <c r="BF182" s="173">
        <f ca="1">IF(OR($D182&lt;&gt;"Serviço",AND(AUTOEVENTO="Manual",$M182=$A$15),$M182&gt;(ROW(PLE.lastrow)-ROW(PLE.firstrow))),0,
           IF(OFFSET(PLE!$G$15,$M182-$A$15,BF$13)="",10^12,OFFSET(PLE!$G$15,$M182-$A$15,BF$13)))</f>
        <v>1000000000000</v>
      </c>
      <c r="BG182" s="173">
        <f ca="1">IF(OR($D182&lt;&gt;"Serviço",AND(AUTOEVENTO="Manual",$M182=$A$15),$M182&gt;(ROW(PLE.lastrow)-ROW(PLE.firstrow))),0,
           IF(OFFSET(PLE!$G$15,$M182-$A$15,BG$13)="",10^12,OFFSET(PLE!$G$15,$M182-$A$15,BG$13)))</f>
        <v>1000000000000</v>
      </c>
    </row>
    <row r="183" spans="1:59" ht="51" x14ac:dyDescent="0.2">
      <c r="A183" s="7" t="str">
        <f t="shared" ca="1" si="10"/>
        <v>114</v>
      </c>
      <c r="B183" s="7" t="str">
        <f ca="1">OFFSET(ORÇAMENTO!C$15,ROW(B183)-ROW(B$15),0)</f>
        <v>S</v>
      </c>
      <c r="C183" s="7" t="str">
        <f ca="1">OFFSET(ORÇAMENTO!L$15,ROW(C183)-ROW(C$15),0)</f>
        <v/>
      </c>
      <c r="D183" s="117" t="str">
        <f ca="1">OFFSET(ORÇAMENTO!N$15,ROW(D183)-ROW(D$15),0)</f>
        <v>Serviço</v>
      </c>
      <c r="E183" s="118" t="str">
        <f ca="1">OFFSET(ORÇAMENTO!O$15,ROW(E183)-ROW(E$15),0)</f>
        <v>-</v>
      </c>
      <c r="F183" s="164" t="str">
        <f ca="1">OFFSET(ORÇAMENTO!R$15,ROW(F183)-ROW(F$15),0)</f>
        <v>ADAPTADOR CURTO COM BOLSA E ROSCA PARA REGISTRO, PVC, SOLDÁVEL, DN 25MM X 3/4 , INSTALADO EM RAMAL DE DISTRIBUIÇÃO DE ÁGUA - FORNECIMENTO E INSTALAÇÃO. AF_06/2022</v>
      </c>
      <c r="G183" s="165" t="str">
        <f ca="1">IF($D183&lt;&gt;"Serviço","",OFFSET(ORÇAMENTO!S$15,ROW(G183)-ROW(G$15),0))</f>
        <v>UN</v>
      </c>
      <c r="H183" s="123">
        <f ca="1">IF($D183&lt;&gt;"Serviço",0,IF(ACOMPANHAMENTO="BM",ROUND(OFFSET(ORÇAMENTO!AJ$15,ROW(H183)-ROW(H$15),0),15-13*ORÇAMENTO!$AF$7),SUMPRODUCT(($Q$1:$AA$1=1)*ROUND($Q183:$AA183,15-13*ORÇAMENTO!$AF$7))))</f>
        <v>26</v>
      </c>
      <c r="I183" s="469"/>
      <c r="J183" s="577" t="str" cm="1">
        <f t="array" aca="1" ref="J183" ca="1">IF(B183&lt;&gt;"S","",IF(AND(ACOMPANHAMENTO="PLE",AUTOEVENTO="Manual",OR(H183&gt;0,ORÇAMENTO!AC183="QUANT."),OR(K183="",M183=0,N183="")),"►",IF(AND(ACOMPANHAMENTO="PLE",ORÇAMENTO!AC183="QUANT."),"►►",IF(AND(COUNTIF($P$11:$AA$11,"▼")=0,H183&gt;0,I183=""),"◄",""))))</f>
        <v>◄</v>
      </c>
      <c r="K183" s="626"/>
      <c r="L183" s="166" t="s">
        <v>765</v>
      </c>
      <c r="M183" s="167">
        <f ca="1">IF($D183&lt;&gt;"Serviço","",
          IF(AUTOEVENTO="manual",$A183,
                IF(ISERROR(MATCH($A183,$A$15:OFFSET($A183,-1,0),0)),MAX($M$15:OFFSET(M183,-1,0))+1,
                      INDEX($M$15:OFFSET(M183,-1,0),MATCH($A183,$A$15:OFFSET($A183,-1,0),0)))))</f>
        <v>11</v>
      </c>
      <c r="N183" s="168" t="str">
        <f ca="1">IF($D183&lt;&gt;"Serviço","",
         IF(AUTOEVENTO="Manual",
                IF($A183=0,"&lt;-- defina o número do agrupador",
                       OFFSET(EVENTOS!$D$15,$A183-$A$15,0)),
                OFFSET($F$15,$A183,0)))</f>
        <v>INSTALAÇÕES HIDROSSANITÁRIAS</v>
      </c>
      <c r="O183" s="169"/>
      <c r="Q183" s="169"/>
      <c r="R183" s="170"/>
      <c r="S183" s="170"/>
      <c r="T183" s="170"/>
      <c r="U183" s="170"/>
      <c r="V183" s="170"/>
      <c r="W183" s="170"/>
      <c r="X183" s="170"/>
      <c r="Y183" s="170"/>
      <c r="Z183" s="171"/>
      <c r="AB183" s="454">
        <f ca="1">IF(AND($D183="Serviço",AB$12&lt;&gt;0,$H183&gt;0,OR(AUTOEVENTO&lt;&gt;"manual",$M183&lt;&gt;$A$15)),
        IF(Import.TipoArredondamento&lt;&gt;"TransfereGOV",
              ROUND(OFFSET($P183,0,AB$13),15-13*ORÇAMENTO!$AF$7)/$H183*OFFSET(ORÇAMENTO!$X$15,ROW(AB183)-ROW(AB$15),0),
              ROUND(ROUND(OFFSET($P183,0,AB$13),15-13*ORÇAMENTO!$AF$7)*OFFSET(ORÇAMENTO!$W$15,ROW(AB183)-ROW(AB$15),0),15-13*ORÇAMENTO!$AF$11)),
         0)</f>
        <v>0</v>
      </c>
      <c r="AC183" s="454">
        <f ca="1">IF(AND($D183="Serviço",AC$12&lt;&gt;0,$H183&gt;0,OR(AUTOEVENTO&lt;&gt;"manual",$M183&lt;&gt;$A$15)),
        IF(Import.TipoArredondamento&lt;&gt;"TransfereGOV",
              ROUND(OFFSET($P183,0,AC$13),15-13*ORÇAMENTO!$AF$7)/$H183*OFFSET(ORÇAMENTO!$X$15,ROW(AC183)-ROW(AC$15),0),
              ROUND(ROUND(OFFSET($P183,0,AC$13),15-13*ORÇAMENTO!$AF$7)*OFFSET(ORÇAMENTO!$W$15,ROW(AC183)-ROW(AC$15),0),15-13*ORÇAMENTO!$AF$11)),
         0)</f>
        <v>0</v>
      </c>
      <c r="AD183" s="454">
        <f ca="1">IF(AND($D183="Serviço",AD$12&lt;&gt;0,$H183&gt;0,OR(AUTOEVENTO&lt;&gt;"manual",$M183&lt;&gt;$A$15)),
        IF(Import.TipoArredondamento&lt;&gt;"TransfereGOV",
              ROUND(OFFSET($P183,0,AD$13),15-13*ORÇAMENTO!$AF$7)/$H183*OFFSET(ORÇAMENTO!$X$15,ROW(AD183)-ROW(AD$15),0),
              ROUND(ROUND(OFFSET($P183,0,AD$13),15-13*ORÇAMENTO!$AF$7)*OFFSET(ORÇAMENTO!$W$15,ROW(AD183)-ROW(AD$15),0),15-13*ORÇAMENTO!$AF$11)),
         0)</f>
        <v>0</v>
      </c>
      <c r="AE183" s="454">
        <f ca="1">IF(AND($D183="Serviço",AE$12&lt;&gt;0,$H183&gt;0,OR(AUTOEVENTO&lt;&gt;"manual",$M183&lt;&gt;$A$15)),
        IF(Import.TipoArredondamento&lt;&gt;"TransfereGOV",
              ROUND(OFFSET($P183,0,AE$13),15-13*ORÇAMENTO!$AF$7)/$H183*OFFSET(ORÇAMENTO!$X$15,ROW(AE183)-ROW(AE$15),0),
              ROUND(ROUND(OFFSET($P183,0,AE$13),15-13*ORÇAMENTO!$AF$7)*OFFSET(ORÇAMENTO!$W$15,ROW(AE183)-ROW(AE$15),0),15-13*ORÇAMENTO!$AF$11)),
         0)</f>
        <v>0</v>
      </c>
      <c r="AF183" s="454">
        <f ca="1">IF(AND($D183="Serviço",AF$12&lt;&gt;0,$H183&gt;0,OR(AUTOEVENTO&lt;&gt;"manual",$M183&lt;&gt;$A$15)),
        IF(Import.TipoArredondamento&lt;&gt;"TransfereGOV",
              ROUND(OFFSET($P183,0,AF$13),15-13*ORÇAMENTO!$AF$7)/$H183*OFFSET(ORÇAMENTO!$X$15,ROW(AF183)-ROW(AF$15),0),
              ROUND(ROUND(OFFSET($P183,0,AF$13),15-13*ORÇAMENTO!$AF$7)*OFFSET(ORÇAMENTO!$W$15,ROW(AF183)-ROW(AF$15),0),15-13*ORÇAMENTO!$AF$11)),
         0)</f>
        <v>0</v>
      </c>
      <c r="AG183" s="454">
        <f ca="1">IF(AND($D183="Serviço",AG$12&lt;&gt;0,$H183&gt;0,OR(AUTOEVENTO&lt;&gt;"manual",$M183&lt;&gt;$A$15)),
        IF(Import.TipoArredondamento&lt;&gt;"TransfereGOV",
              ROUND(OFFSET($P183,0,AG$13),15-13*ORÇAMENTO!$AF$7)/$H183*OFFSET(ORÇAMENTO!$X$15,ROW(AG183)-ROW(AG$15),0),
              ROUND(ROUND(OFFSET($P183,0,AG$13),15-13*ORÇAMENTO!$AF$7)*OFFSET(ORÇAMENTO!$W$15,ROW(AG183)-ROW(AG$15),0),15-13*ORÇAMENTO!$AF$11)),
         0)</f>
        <v>0</v>
      </c>
      <c r="AH183" s="454">
        <f ca="1">IF(AND($D183="Serviço",AH$12&lt;&gt;0,$H183&gt;0,OR(AUTOEVENTO&lt;&gt;"manual",$M183&lt;&gt;$A$15)),
        IF(Import.TipoArredondamento&lt;&gt;"TransfereGOV",
              ROUND(OFFSET($P183,0,AH$13),15-13*ORÇAMENTO!$AF$7)/$H183*OFFSET(ORÇAMENTO!$X$15,ROW(AH183)-ROW(AH$15),0),
              ROUND(ROUND(OFFSET($P183,0,AH$13),15-13*ORÇAMENTO!$AF$7)*OFFSET(ORÇAMENTO!$W$15,ROW(AH183)-ROW(AH$15),0),15-13*ORÇAMENTO!$AF$11)),
         0)</f>
        <v>0</v>
      </c>
      <c r="AI183" s="454">
        <f ca="1">IF(AND($D183="Serviço",AI$12&lt;&gt;0,$H183&gt;0,OR(AUTOEVENTO&lt;&gt;"manual",$M183&lt;&gt;$A$15)),
        IF(Import.TipoArredondamento&lt;&gt;"TransfereGOV",
              ROUND(OFFSET($P183,0,AI$13),15-13*ORÇAMENTO!$AF$7)/$H183*OFFSET(ORÇAMENTO!$X$15,ROW(AI183)-ROW(AI$15),0),
              ROUND(ROUND(OFFSET($P183,0,AI$13),15-13*ORÇAMENTO!$AF$7)*OFFSET(ORÇAMENTO!$W$15,ROW(AI183)-ROW(AI$15),0),15-13*ORÇAMENTO!$AF$11)),
         0)</f>
        <v>0</v>
      </c>
      <c r="AJ183" s="454">
        <f ca="1">IF(AND($D183="Serviço",AJ$12&lt;&gt;0,$H183&gt;0,OR(AUTOEVENTO&lt;&gt;"manual",$M183&lt;&gt;$A$15)),
        IF(Import.TipoArredondamento&lt;&gt;"TransfereGOV",
              ROUND(OFFSET($P183,0,AJ$13),15-13*ORÇAMENTO!$AF$7)/$H183*OFFSET(ORÇAMENTO!$X$15,ROW(AJ183)-ROW(AJ$15),0),
              ROUND(ROUND(OFFSET($P183,0,AJ$13),15-13*ORÇAMENTO!$AF$7)*OFFSET(ORÇAMENTO!$W$15,ROW(AJ183)-ROW(AJ$15),0),15-13*ORÇAMENTO!$AF$11)),
         0)</f>
        <v>0</v>
      </c>
      <c r="AK183" s="454">
        <f ca="1">IF(AND($D183="Serviço",AK$12&lt;&gt;0,$H183&gt;0,OR(AUTOEVENTO&lt;&gt;"manual",$M183&lt;&gt;$A$15)),
        IF(Import.TipoArredondamento&lt;&gt;"TransfereGOV",
              ROUND(OFFSET($P183,0,AK$13),15-13*ORÇAMENTO!$AF$7)/$H183*OFFSET(ORÇAMENTO!$X$15,ROW(AK183)-ROW(AK$15),0),
              ROUND(ROUND(OFFSET($P183,0,AK$13),15-13*ORÇAMENTO!$AF$7)*OFFSET(ORÇAMENTO!$W$15,ROW(AK183)-ROW(AK$15),0),15-13*ORÇAMENTO!$AF$11)),
         0)</f>
        <v>0</v>
      </c>
      <c r="AM183" s="172">
        <f ca="1">IF(OR($D183&lt;&gt;"Serviço",AND(AUTOEVENTO="Manual",$M183=$A$15)),0,
         IF(OFFSET(CRONOPLE!$F$15,$M183-$A$15,AM$13)="",10^12,OFFSET(CRONOPLE!$F$15,$M183-$A$15,AM$13)))</f>
        <v>1000000000000</v>
      </c>
      <c r="AN183" s="172">
        <f ca="1">IF(OR($D183&lt;&gt;"Serviço",AND(AUTOEVENTO="Manual",$M183=$A$15)),0,
         IF(OFFSET(CRONOPLE!$F$15,$M183-$A$15,AN$13)="",10^12,OFFSET(CRONOPLE!$F$15,$M183-$A$15,AN$13)))</f>
        <v>1000000000000</v>
      </c>
      <c r="AO183" s="172">
        <f ca="1">IF(OR($D183&lt;&gt;"Serviço",AND(AUTOEVENTO="Manual",$M183=$A$15)),0,
         IF(OFFSET(CRONOPLE!$F$15,$M183-$A$15,AO$13)="",10^12,OFFSET(CRONOPLE!$F$15,$M183-$A$15,AO$13)))</f>
        <v>1000000000000</v>
      </c>
      <c r="AP183" s="172">
        <f ca="1">IF(OR($D183&lt;&gt;"Serviço",AND(AUTOEVENTO="Manual",$M183=$A$15)),0,
         IF(OFFSET(CRONOPLE!$F$15,$M183-$A$15,AP$13)="",10^12,OFFSET(CRONOPLE!$F$15,$M183-$A$15,AP$13)))</f>
        <v>1000000000000</v>
      </c>
      <c r="AQ183" s="172">
        <f ca="1">IF(OR($D183&lt;&gt;"Serviço",AND(AUTOEVENTO="Manual",$M183=$A$15)),0,
         IF(OFFSET(CRONOPLE!$F$15,$M183-$A$15,AQ$13)="",10^12,OFFSET(CRONOPLE!$F$15,$M183-$A$15,AQ$13)))</f>
        <v>1000000000000</v>
      </c>
      <c r="AR183" s="172">
        <f ca="1">IF(OR($D183&lt;&gt;"Serviço",AND(AUTOEVENTO="Manual",$M183=$A$15)),0,
         IF(OFFSET(CRONOPLE!$F$15,$M183-$A$15,AR$13)="",10^12,OFFSET(CRONOPLE!$F$15,$M183-$A$15,AR$13)))</f>
        <v>1000000000000</v>
      </c>
      <c r="AS183" s="172">
        <f ca="1">IF(OR($D183&lt;&gt;"Serviço",AND(AUTOEVENTO="Manual",$M183=$A$15)),0,
         IF(OFFSET(CRONOPLE!$F$15,$M183-$A$15,AS$13)="",10^12,OFFSET(CRONOPLE!$F$15,$M183-$A$15,AS$13)))</f>
        <v>1000000000000</v>
      </c>
      <c r="AT183" s="172">
        <f ca="1">IF(OR($D183&lt;&gt;"Serviço",AND(AUTOEVENTO="Manual",$M183=$A$15)),0,
         IF(OFFSET(CRONOPLE!$F$15,$M183-$A$15,AT$13)="",10^12,OFFSET(CRONOPLE!$F$15,$M183-$A$15,AT$13)))</f>
        <v>1000000000000</v>
      </c>
      <c r="AU183" s="172">
        <f ca="1">IF(OR($D183&lt;&gt;"Serviço",AND(AUTOEVENTO="Manual",$M183=$A$15)),0,
         IF(OFFSET(CRONOPLE!$F$15,$M183-$A$15,AU$13)="",10^12,OFFSET(CRONOPLE!$F$15,$M183-$A$15,AU$13)))</f>
        <v>1000000000000</v>
      </c>
      <c r="AV183" s="172">
        <f ca="1">IF(OR($D183&lt;&gt;"Serviço",AND(AUTOEVENTO="Manual",$M183=$A$15)),0,
         IF(OFFSET(CRONOPLE!$F$15,$M183-$A$15,AV$13)="",10^12,OFFSET(CRONOPLE!$F$15,$M183-$A$15,AV$13)))</f>
        <v>1000000000000</v>
      </c>
      <c r="AX183" s="173">
        <f ca="1">IF(OR($D183&lt;&gt;"Serviço",AND(AUTOEVENTO="Manual",$M183=$A$15),$M183&gt;(ROW(PLE.lastrow)-ROW(PLE.firstrow))),0,
           IF(OFFSET(PLE!$G$15,$M183-$A$15,AX$13)="",10^12,OFFSET(PLE!$G$15,$M183-$A$15,AX$13)))</f>
        <v>1000000000000</v>
      </c>
      <c r="AY183" s="173">
        <f ca="1">IF(OR($D183&lt;&gt;"Serviço",AND(AUTOEVENTO="Manual",$M183=$A$15),$M183&gt;(ROW(PLE.lastrow)-ROW(PLE.firstrow))),0,
           IF(OFFSET(PLE!$G$15,$M183-$A$15,AY$13)="",10^12,OFFSET(PLE!$G$15,$M183-$A$15,AY$13)))</f>
        <v>1000000000000</v>
      </c>
      <c r="AZ183" s="173">
        <f ca="1">IF(OR($D183&lt;&gt;"Serviço",AND(AUTOEVENTO="Manual",$M183=$A$15),$M183&gt;(ROW(PLE.lastrow)-ROW(PLE.firstrow))),0,
           IF(OFFSET(PLE!$G$15,$M183-$A$15,AZ$13)="",10^12,OFFSET(PLE!$G$15,$M183-$A$15,AZ$13)))</f>
        <v>1000000000000</v>
      </c>
      <c r="BA183" s="173">
        <f ca="1">IF(OR($D183&lt;&gt;"Serviço",AND(AUTOEVENTO="Manual",$M183=$A$15),$M183&gt;(ROW(PLE.lastrow)-ROW(PLE.firstrow))),0,
           IF(OFFSET(PLE!$G$15,$M183-$A$15,BA$13)="",10^12,OFFSET(PLE!$G$15,$M183-$A$15,BA$13)))</f>
        <v>1000000000000</v>
      </c>
      <c r="BB183" s="173">
        <f ca="1">IF(OR($D183&lt;&gt;"Serviço",AND(AUTOEVENTO="Manual",$M183=$A$15),$M183&gt;(ROW(PLE.lastrow)-ROW(PLE.firstrow))),0,
           IF(OFFSET(PLE!$G$15,$M183-$A$15,BB$13)="",10^12,OFFSET(PLE!$G$15,$M183-$A$15,BB$13)))</f>
        <v>1000000000000</v>
      </c>
      <c r="BC183" s="173">
        <f ca="1">IF(OR($D183&lt;&gt;"Serviço",AND(AUTOEVENTO="Manual",$M183=$A$15),$M183&gt;(ROW(PLE.lastrow)-ROW(PLE.firstrow))),0,
           IF(OFFSET(PLE!$G$15,$M183-$A$15,BC$13)="",10^12,OFFSET(PLE!$G$15,$M183-$A$15,BC$13)))</f>
        <v>1000000000000</v>
      </c>
      <c r="BD183" s="173">
        <f ca="1">IF(OR($D183&lt;&gt;"Serviço",AND(AUTOEVENTO="Manual",$M183=$A$15),$M183&gt;(ROW(PLE.lastrow)-ROW(PLE.firstrow))),0,
           IF(OFFSET(PLE!$G$15,$M183-$A$15,BD$13)="",10^12,OFFSET(PLE!$G$15,$M183-$A$15,BD$13)))</f>
        <v>1000000000000</v>
      </c>
      <c r="BE183" s="173">
        <f ca="1">IF(OR($D183&lt;&gt;"Serviço",AND(AUTOEVENTO="Manual",$M183=$A$15),$M183&gt;(ROW(PLE.lastrow)-ROW(PLE.firstrow))),0,
           IF(OFFSET(PLE!$G$15,$M183-$A$15,BE$13)="",10^12,OFFSET(PLE!$G$15,$M183-$A$15,BE$13)))</f>
        <v>1000000000000</v>
      </c>
      <c r="BF183" s="173">
        <f ca="1">IF(OR($D183&lt;&gt;"Serviço",AND(AUTOEVENTO="Manual",$M183=$A$15),$M183&gt;(ROW(PLE.lastrow)-ROW(PLE.firstrow))),0,
           IF(OFFSET(PLE!$G$15,$M183-$A$15,BF$13)="",10^12,OFFSET(PLE!$G$15,$M183-$A$15,BF$13)))</f>
        <v>1000000000000</v>
      </c>
      <c r="BG183" s="173">
        <f ca="1">IF(OR($D183&lt;&gt;"Serviço",AND(AUTOEVENTO="Manual",$M183=$A$15),$M183&gt;(ROW(PLE.lastrow)-ROW(PLE.firstrow))),0,
           IF(OFFSET(PLE!$G$15,$M183-$A$15,BG$13)="",10^12,OFFSET(PLE!$G$15,$M183-$A$15,BG$13)))</f>
        <v>1000000000000</v>
      </c>
    </row>
    <row r="184" spans="1:59" ht="38.25" x14ac:dyDescent="0.2">
      <c r="A184" s="7" t="str">
        <f t="shared" ca="1" si="10"/>
        <v>114</v>
      </c>
      <c r="B184" s="7" t="str">
        <f ca="1">OFFSET(ORÇAMENTO!C$15,ROW(B184)-ROW(B$15),0)</f>
        <v>S</v>
      </c>
      <c r="C184" s="7" t="str">
        <f ca="1">OFFSET(ORÇAMENTO!L$15,ROW(C184)-ROW(C$15),0)</f>
        <v/>
      </c>
      <c r="D184" s="117" t="str">
        <f ca="1">OFFSET(ORÇAMENTO!N$15,ROW(D184)-ROW(D$15),0)</f>
        <v>Serviço</v>
      </c>
      <c r="E184" s="118" t="str">
        <f ca="1">OFFSET(ORÇAMENTO!O$15,ROW(E184)-ROW(E$15),0)</f>
        <v>-</v>
      </c>
      <c r="F184" s="164" t="str">
        <f ca="1">OFFSET(ORÇAMENTO!R$15,ROW(F184)-ROW(F$15),0)</f>
        <v>ADAPTADOR CURTO COM BOLSA E ROSCA PARA REGISTRO, PVC, SOLDÁVEL, DN 50MM X 1.1/4 , INSTALADO EM PRUMADA DE ÁGUA - FORNECIMENTO E INSTALAÇÃO. AF_06/2022</v>
      </c>
      <c r="G184" s="165" t="str">
        <f ca="1">IF($D184&lt;&gt;"Serviço","",OFFSET(ORÇAMENTO!S$15,ROW(G184)-ROW(G$15),0))</f>
        <v>UN</v>
      </c>
      <c r="H184" s="123">
        <f ca="1">IF($D184&lt;&gt;"Serviço",0,IF(ACOMPANHAMENTO="BM",ROUND(OFFSET(ORÇAMENTO!AJ$15,ROW(H184)-ROW(H$15),0),15-13*ORÇAMENTO!$AF$7),SUMPRODUCT(($Q$1:$AA$1=1)*ROUND($Q184:$AA184,15-13*ORÇAMENTO!$AF$7))))</f>
        <v>3</v>
      </c>
      <c r="I184" s="469"/>
      <c r="J184" s="577" t="str" cm="1">
        <f t="array" aca="1" ref="J184" ca="1">IF(B184&lt;&gt;"S","",IF(AND(ACOMPANHAMENTO="PLE",AUTOEVENTO="Manual",OR(H184&gt;0,ORÇAMENTO!AC184="QUANT."),OR(K184="",M184=0,N184="")),"►",IF(AND(ACOMPANHAMENTO="PLE",ORÇAMENTO!AC184="QUANT."),"►►",IF(AND(COUNTIF($P$11:$AA$11,"▼")=0,H184&gt;0,I184=""),"◄",""))))</f>
        <v>◄</v>
      </c>
      <c r="K184" s="626"/>
      <c r="L184" s="166" t="s">
        <v>765</v>
      </c>
      <c r="M184" s="167">
        <f ca="1">IF($D184&lt;&gt;"Serviço","",
          IF(AUTOEVENTO="manual",$A184,
                IF(ISERROR(MATCH($A184,$A$15:OFFSET($A184,-1,0),0)),MAX($M$15:OFFSET(M184,-1,0))+1,
                      INDEX($M$15:OFFSET(M184,-1,0),MATCH($A184,$A$15:OFFSET($A184,-1,0),0)))))</f>
        <v>11</v>
      </c>
      <c r="N184" s="168" t="str">
        <f ca="1">IF($D184&lt;&gt;"Serviço","",
         IF(AUTOEVENTO="Manual",
                IF($A184=0,"&lt;-- defina o número do agrupador",
                       OFFSET(EVENTOS!$D$15,$A184-$A$15,0)),
                OFFSET($F$15,$A184,0)))</f>
        <v>INSTALAÇÕES HIDROSSANITÁRIAS</v>
      </c>
      <c r="O184" s="169"/>
      <c r="Q184" s="169"/>
      <c r="R184" s="170"/>
      <c r="S184" s="170"/>
      <c r="T184" s="170"/>
      <c r="U184" s="170"/>
      <c r="V184" s="170"/>
      <c r="W184" s="170"/>
      <c r="X184" s="170"/>
      <c r="Y184" s="170"/>
      <c r="Z184" s="171"/>
      <c r="AB184" s="454">
        <f ca="1">IF(AND($D184="Serviço",AB$12&lt;&gt;0,$H184&gt;0,OR(AUTOEVENTO&lt;&gt;"manual",$M184&lt;&gt;$A$15)),
        IF(Import.TipoArredondamento&lt;&gt;"TransfereGOV",
              ROUND(OFFSET($P184,0,AB$13),15-13*ORÇAMENTO!$AF$7)/$H184*OFFSET(ORÇAMENTO!$X$15,ROW(AB184)-ROW(AB$15),0),
              ROUND(ROUND(OFFSET($P184,0,AB$13),15-13*ORÇAMENTO!$AF$7)*OFFSET(ORÇAMENTO!$W$15,ROW(AB184)-ROW(AB$15),0),15-13*ORÇAMENTO!$AF$11)),
         0)</f>
        <v>0</v>
      </c>
      <c r="AC184" s="454">
        <f ca="1">IF(AND($D184="Serviço",AC$12&lt;&gt;0,$H184&gt;0,OR(AUTOEVENTO&lt;&gt;"manual",$M184&lt;&gt;$A$15)),
        IF(Import.TipoArredondamento&lt;&gt;"TransfereGOV",
              ROUND(OFFSET($P184,0,AC$13),15-13*ORÇAMENTO!$AF$7)/$H184*OFFSET(ORÇAMENTO!$X$15,ROW(AC184)-ROW(AC$15),0),
              ROUND(ROUND(OFFSET($P184,0,AC$13),15-13*ORÇAMENTO!$AF$7)*OFFSET(ORÇAMENTO!$W$15,ROW(AC184)-ROW(AC$15),0),15-13*ORÇAMENTO!$AF$11)),
         0)</f>
        <v>0</v>
      </c>
      <c r="AD184" s="454">
        <f ca="1">IF(AND($D184="Serviço",AD$12&lt;&gt;0,$H184&gt;0,OR(AUTOEVENTO&lt;&gt;"manual",$M184&lt;&gt;$A$15)),
        IF(Import.TipoArredondamento&lt;&gt;"TransfereGOV",
              ROUND(OFFSET($P184,0,AD$13),15-13*ORÇAMENTO!$AF$7)/$H184*OFFSET(ORÇAMENTO!$X$15,ROW(AD184)-ROW(AD$15),0),
              ROUND(ROUND(OFFSET($P184,0,AD$13),15-13*ORÇAMENTO!$AF$7)*OFFSET(ORÇAMENTO!$W$15,ROW(AD184)-ROW(AD$15),0),15-13*ORÇAMENTO!$AF$11)),
         0)</f>
        <v>0</v>
      </c>
      <c r="AE184" s="454">
        <f ca="1">IF(AND($D184="Serviço",AE$12&lt;&gt;0,$H184&gt;0,OR(AUTOEVENTO&lt;&gt;"manual",$M184&lt;&gt;$A$15)),
        IF(Import.TipoArredondamento&lt;&gt;"TransfereGOV",
              ROUND(OFFSET($P184,0,AE$13),15-13*ORÇAMENTO!$AF$7)/$H184*OFFSET(ORÇAMENTO!$X$15,ROW(AE184)-ROW(AE$15),0),
              ROUND(ROUND(OFFSET($P184,0,AE$13),15-13*ORÇAMENTO!$AF$7)*OFFSET(ORÇAMENTO!$W$15,ROW(AE184)-ROW(AE$15),0),15-13*ORÇAMENTO!$AF$11)),
         0)</f>
        <v>0</v>
      </c>
      <c r="AF184" s="454">
        <f ca="1">IF(AND($D184="Serviço",AF$12&lt;&gt;0,$H184&gt;0,OR(AUTOEVENTO&lt;&gt;"manual",$M184&lt;&gt;$A$15)),
        IF(Import.TipoArredondamento&lt;&gt;"TransfereGOV",
              ROUND(OFFSET($P184,0,AF$13),15-13*ORÇAMENTO!$AF$7)/$H184*OFFSET(ORÇAMENTO!$X$15,ROW(AF184)-ROW(AF$15),0),
              ROUND(ROUND(OFFSET($P184,0,AF$13),15-13*ORÇAMENTO!$AF$7)*OFFSET(ORÇAMENTO!$W$15,ROW(AF184)-ROW(AF$15),0),15-13*ORÇAMENTO!$AF$11)),
         0)</f>
        <v>0</v>
      </c>
      <c r="AG184" s="454">
        <f ca="1">IF(AND($D184="Serviço",AG$12&lt;&gt;0,$H184&gt;0,OR(AUTOEVENTO&lt;&gt;"manual",$M184&lt;&gt;$A$15)),
        IF(Import.TipoArredondamento&lt;&gt;"TransfereGOV",
              ROUND(OFFSET($P184,0,AG$13),15-13*ORÇAMENTO!$AF$7)/$H184*OFFSET(ORÇAMENTO!$X$15,ROW(AG184)-ROW(AG$15),0),
              ROUND(ROUND(OFFSET($P184,0,AG$13),15-13*ORÇAMENTO!$AF$7)*OFFSET(ORÇAMENTO!$W$15,ROW(AG184)-ROW(AG$15),0),15-13*ORÇAMENTO!$AF$11)),
         0)</f>
        <v>0</v>
      </c>
      <c r="AH184" s="454">
        <f ca="1">IF(AND($D184="Serviço",AH$12&lt;&gt;0,$H184&gt;0,OR(AUTOEVENTO&lt;&gt;"manual",$M184&lt;&gt;$A$15)),
        IF(Import.TipoArredondamento&lt;&gt;"TransfereGOV",
              ROUND(OFFSET($P184,0,AH$13),15-13*ORÇAMENTO!$AF$7)/$H184*OFFSET(ORÇAMENTO!$X$15,ROW(AH184)-ROW(AH$15),0),
              ROUND(ROUND(OFFSET($P184,0,AH$13),15-13*ORÇAMENTO!$AF$7)*OFFSET(ORÇAMENTO!$W$15,ROW(AH184)-ROW(AH$15),0),15-13*ORÇAMENTO!$AF$11)),
         0)</f>
        <v>0</v>
      </c>
      <c r="AI184" s="454">
        <f ca="1">IF(AND($D184="Serviço",AI$12&lt;&gt;0,$H184&gt;0,OR(AUTOEVENTO&lt;&gt;"manual",$M184&lt;&gt;$A$15)),
        IF(Import.TipoArredondamento&lt;&gt;"TransfereGOV",
              ROUND(OFFSET($P184,0,AI$13),15-13*ORÇAMENTO!$AF$7)/$H184*OFFSET(ORÇAMENTO!$X$15,ROW(AI184)-ROW(AI$15),0),
              ROUND(ROUND(OFFSET($P184,0,AI$13),15-13*ORÇAMENTO!$AF$7)*OFFSET(ORÇAMENTO!$W$15,ROW(AI184)-ROW(AI$15),0),15-13*ORÇAMENTO!$AF$11)),
         0)</f>
        <v>0</v>
      </c>
      <c r="AJ184" s="454">
        <f ca="1">IF(AND($D184="Serviço",AJ$12&lt;&gt;0,$H184&gt;0,OR(AUTOEVENTO&lt;&gt;"manual",$M184&lt;&gt;$A$15)),
        IF(Import.TipoArredondamento&lt;&gt;"TransfereGOV",
              ROUND(OFFSET($P184,0,AJ$13),15-13*ORÇAMENTO!$AF$7)/$H184*OFFSET(ORÇAMENTO!$X$15,ROW(AJ184)-ROW(AJ$15),0),
              ROUND(ROUND(OFFSET($P184,0,AJ$13),15-13*ORÇAMENTO!$AF$7)*OFFSET(ORÇAMENTO!$W$15,ROW(AJ184)-ROW(AJ$15),0),15-13*ORÇAMENTO!$AF$11)),
         0)</f>
        <v>0</v>
      </c>
      <c r="AK184" s="454">
        <f ca="1">IF(AND($D184="Serviço",AK$12&lt;&gt;0,$H184&gt;0,OR(AUTOEVENTO&lt;&gt;"manual",$M184&lt;&gt;$A$15)),
        IF(Import.TipoArredondamento&lt;&gt;"TransfereGOV",
              ROUND(OFFSET($P184,0,AK$13),15-13*ORÇAMENTO!$AF$7)/$H184*OFFSET(ORÇAMENTO!$X$15,ROW(AK184)-ROW(AK$15),0),
              ROUND(ROUND(OFFSET($P184,0,AK$13),15-13*ORÇAMENTO!$AF$7)*OFFSET(ORÇAMENTO!$W$15,ROW(AK184)-ROW(AK$15),0),15-13*ORÇAMENTO!$AF$11)),
         0)</f>
        <v>0</v>
      </c>
      <c r="AM184" s="172">
        <f ca="1">IF(OR($D184&lt;&gt;"Serviço",AND(AUTOEVENTO="Manual",$M184=$A$15)),0,
         IF(OFFSET(CRONOPLE!$F$15,$M184-$A$15,AM$13)="",10^12,OFFSET(CRONOPLE!$F$15,$M184-$A$15,AM$13)))</f>
        <v>1000000000000</v>
      </c>
      <c r="AN184" s="172">
        <f ca="1">IF(OR($D184&lt;&gt;"Serviço",AND(AUTOEVENTO="Manual",$M184=$A$15)),0,
         IF(OFFSET(CRONOPLE!$F$15,$M184-$A$15,AN$13)="",10^12,OFFSET(CRONOPLE!$F$15,$M184-$A$15,AN$13)))</f>
        <v>1000000000000</v>
      </c>
      <c r="AO184" s="172">
        <f ca="1">IF(OR($D184&lt;&gt;"Serviço",AND(AUTOEVENTO="Manual",$M184=$A$15)),0,
         IF(OFFSET(CRONOPLE!$F$15,$M184-$A$15,AO$13)="",10^12,OFFSET(CRONOPLE!$F$15,$M184-$A$15,AO$13)))</f>
        <v>1000000000000</v>
      </c>
      <c r="AP184" s="172">
        <f ca="1">IF(OR($D184&lt;&gt;"Serviço",AND(AUTOEVENTO="Manual",$M184=$A$15)),0,
         IF(OFFSET(CRONOPLE!$F$15,$M184-$A$15,AP$13)="",10^12,OFFSET(CRONOPLE!$F$15,$M184-$A$15,AP$13)))</f>
        <v>1000000000000</v>
      </c>
      <c r="AQ184" s="172">
        <f ca="1">IF(OR($D184&lt;&gt;"Serviço",AND(AUTOEVENTO="Manual",$M184=$A$15)),0,
         IF(OFFSET(CRONOPLE!$F$15,$M184-$A$15,AQ$13)="",10^12,OFFSET(CRONOPLE!$F$15,$M184-$A$15,AQ$13)))</f>
        <v>1000000000000</v>
      </c>
      <c r="AR184" s="172">
        <f ca="1">IF(OR($D184&lt;&gt;"Serviço",AND(AUTOEVENTO="Manual",$M184=$A$15)),0,
         IF(OFFSET(CRONOPLE!$F$15,$M184-$A$15,AR$13)="",10^12,OFFSET(CRONOPLE!$F$15,$M184-$A$15,AR$13)))</f>
        <v>1000000000000</v>
      </c>
      <c r="AS184" s="172">
        <f ca="1">IF(OR($D184&lt;&gt;"Serviço",AND(AUTOEVENTO="Manual",$M184=$A$15)),0,
         IF(OFFSET(CRONOPLE!$F$15,$M184-$A$15,AS$13)="",10^12,OFFSET(CRONOPLE!$F$15,$M184-$A$15,AS$13)))</f>
        <v>1000000000000</v>
      </c>
      <c r="AT184" s="172">
        <f ca="1">IF(OR($D184&lt;&gt;"Serviço",AND(AUTOEVENTO="Manual",$M184=$A$15)),0,
         IF(OFFSET(CRONOPLE!$F$15,$M184-$A$15,AT$13)="",10^12,OFFSET(CRONOPLE!$F$15,$M184-$A$15,AT$13)))</f>
        <v>1000000000000</v>
      </c>
      <c r="AU184" s="172">
        <f ca="1">IF(OR($D184&lt;&gt;"Serviço",AND(AUTOEVENTO="Manual",$M184=$A$15)),0,
         IF(OFFSET(CRONOPLE!$F$15,$M184-$A$15,AU$13)="",10^12,OFFSET(CRONOPLE!$F$15,$M184-$A$15,AU$13)))</f>
        <v>1000000000000</v>
      </c>
      <c r="AV184" s="172">
        <f ca="1">IF(OR($D184&lt;&gt;"Serviço",AND(AUTOEVENTO="Manual",$M184=$A$15)),0,
         IF(OFFSET(CRONOPLE!$F$15,$M184-$A$15,AV$13)="",10^12,OFFSET(CRONOPLE!$F$15,$M184-$A$15,AV$13)))</f>
        <v>1000000000000</v>
      </c>
      <c r="AX184" s="173">
        <f ca="1">IF(OR($D184&lt;&gt;"Serviço",AND(AUTOEVENTO="Manual",$M184=$A$15),$M184&gt;(ROW(PLE.lastrow)-ROW(PLE.firstrow))),0,
           IF(OFFSET(PLE!$G$15,$M184-$A$15,AX$13)="",10^12,OFFSET(PLE!$G$15,$M184-$A$15,AX$13)))</f>
        <v>1000000000000</v>
      </c>
      <c r="AY184" s="173">
        <f ca="1">IF(OR($D184&lt;&gt;"Serviço",AND(AUTOEVENTO="Manual",$M184=$A$15),$M184&gt;(ROW(PLE.lastrow)-ROW(PLE.firstrow))),0,
           IF(OFFSET(PLE!$G$15,$M184-$A$15,AY$13)="",10^12,OFFSET(PLE!$G$15,$M184-$A$15,AY$13)))</f>
        <v>1000000000000</v>
      </c>
      <c r="AZ184" s="173">
        <f ca="1">IF(OR($D184&lt;&gt;"Serviço",AND(AUTOEVENTO="Manual",$M184=$A$15),$M184&gt;(ROW(PLE.lastrow)-ROW(PLE.firstrow))),0,
           IF(OFFSET(PLE!$G$15,$M184-$A$15,AZ$13)="",10^12,OFFSET(PLE!$G$15,$M184-$A$15,AZ$13)))</f>
        <v>1000000000000</v>
      </c>
      <c r="BA184" s="173">
        <f ca="1">IF(OR($D184&lt;&gt;"Serviço",AND(AUTOEVENTO="Manual",$M184=$A$15),$M184&gt;(ROW(PLE.lastrow)-ROW(PLE.firstrow))),0,
           IF(OFFSET(PLE!$G$15,$M184-$A$15,BA$13)="",10^12,OFFSET(PLE!$G$15,$M184-$A$15,BA$13)))</f>
        <v>1000000000000</v>
      </c>
      <c r="BB184" s="173">
        <f ca="1">IF(OR($D184&lt;&gt;"Serviço",AND(AUTOEVENTO="Manual",$M184=$A$15),$M184&gt;(ROW(PLE.lastrow)-ROW(PLE.firstrow))),0,
           IF(OFFSET(PLE!$G$15,$M184-$A$15,BB$13)="",10^12,OFFSET(PLE!$G$15,$M184-$A$15,BB$13)))</f>
        <v>1000000000000</v>
      </c>
      <c r="BC184" s="173">
        <f ca="1">IF(OR($D184&lt;&gt;"Serviço",AND(AUTOEVENTO="Manual",$M184=$A$15),$M184&gt;(ROW(PLE.lastrow)-ROW(PLE.firstrow))),0,
           IF(OFFSET(PLE!$G$15,$M184-$A$15,BC$13)="",10^12,OFFSET(PLE!$G$15,$M184-$A$15,BC$13)))</f>
        <v>1000000000000</v>
      </c>
      <c r="BD184" s="173">
        <f ca="1">IF(OR($D184&lt;&gt;"Serviço",AND(AUTOEVENTO="Manual",$M184=$A$15),$M184&gt;(ROW(PLE.lastrow)-ROW(PLE.firstrow))),0,
           IF(OFFSET(PLE!$G$15,$M184-$A$15,BD$13)="",10^12,OFFSET(PLE!$G$15,$M184-$A$15,BD$13)))</f>
        <v>1000000000000</v>
      </c>
      <c r="BE184" s="173">
        <f ca="1">IF(OR($D184&lt;&gt;"Serviço",AND(AUTOEVENTO="Manual",$M184=$A$15),$M184&gt;(ROW(PLE.lastrow)-ROW(PLE.firstrow))),0,
           IF(OFFSET(PLE!$G$15,$M184-$A$15,BE$13)="",10^12,OFFSET(PLE!$G$15,$M184-$A$15,BE$13)))</f>
        <v>1000000000000</v>
      </c>
      <c r="BF184" s="173">
        <f ca="1">IF(OR($D184&lt;&gt;"Serviço",AND(AUTOEVENTO="Manual",$M184=$A$15),$M184&gt;(ROW(PLE.lastrow)-ROW(PLE.firstrow))),0,
           IF(OFFSET(PLE!$G$15,$M184-$A$15,BF$13)="",10^12,OFFSET(PLE!$G$15,$M184-$A$15,BF$13)))</f>
        <v>1000000000000</v>
      </c>
      <c r="BG184" s="173">
        <f ca="1">IF(OR($D184&lt;&gt;"Serviço",AND(AUTOEVENTO="Manual",$M184=$A$15),$M184&gt;(ROW(PLE.lastrow)-ROW(PLE.firstrow))),0,
           IF(OFFSET(PLE!$G$15,$M184-$A$15,BG$13)="",10^12,OFFSET(PLE!$G$15,$M184-$A$15,BG$13)))</f>
        <v>1000000000000</v>
      </c>
    </row>
    <row r="185" spans="1:59" ht="38.25" x14ac:dyDescent="0.2">
      <c r="A185" s="7" t="str">
        <f t="shared" ca="1" si="10"/>
        <v>114</v>
      </c>
      <c r="B185" s="7" t="str">
        <f ca="1">OFFSET(ORÇAMENTO!C$15,ROW(B185)-ROW(B$15),0)</f>
        <v>S</v>
      </c>
      <c r="C185" s="7" t="str">
        <f ca="1">OFFSET(ORÇAMENTO!L$15,ROW(C185)-ROW(C$15),0)</f>
        <v/>
      </c>
      <c r="D185" s="117" t="str">
        <f ca="1">OFFSET(ORÇAMENTO!N$15,ROW(D185)-ROW(D$15),0)</f>
        <v>Serviço</v>
      </c>
      <c r="E185" s="118" t="str">
        <f ca="1">OFFSET(ORÇAMENTO!O$15,ROW(E185)-ROW(E$15),0)</f>
        <v>-</v>
      </c>
      <c r="F185" s="164" t="str">
        <f ca="1">OFFSET(ORÇAMENTO!R$15,ROW(F185)-ROW(F$15),0)</f>
        <v>ADAPTADOR CURTO COM BOLSA E ROSCA PARA REGISTRO, PVC, SOLDÁVEL, DN 32MM X 1 , INSTALADO EM RAMAL OU SUB-RAMAL DE ÁGUA - FORNECIMENTO E INSTALAÇÃO. AF_06/2022</v>
      </c>
      <c r="G185" s="165" t="str">
        <f ca="1">IF($D185&lt;&gt;"Serviço","",OFFSET(ORÇAMENTO!S$15,ROW(G185)-ROW(G$15),0))</f>
        <v>UN</v>
      </c>
      <c r="H185" s="123">
        <f ca="1">IF($D185&lt;&gt;"Serviço",0,IF(ACOMPANHAMENTO="BM",ROUND(OFFSET(ORÇAMENTO!AJ$15,ROW(H185)-ROW(H$15),0),15-13*ORÇAMENTO!$AF$7),SUMPRODUCT(($Q$1:$AA$1=1)*ROUND($Q185:$AA185,15-13*ORÇAMENTO!$AF$7))))</f>
        <v>1</v>
      </c>
      <c r="I185" s="469"/>
      <c r="J185" s="577" t="str" cm="1">
        <f t="array" aca="1" ref="J185" ca="1">IF(B185&lt;&gt;"S","",IF(AND(ACOMPANHAMENTO="PLE",AUTOEVENTO="Manual",OR(H185&gt;0,ORÇAMENTO!AC185="QUANT."),OR(K185="",M185=0,N185="")),"►",IF(AND(ACOMPANHAMENTO="PLE",ORÇAMENTO!AC185="QUANT."),"►►",IF(AND(COUNTIF($P$11:$AA$11,"▼")=0,H185&gt;0,I185=""),"◄",""))))</f>
        <v>◄</v>
      </c>
      <c r="K185" s="626"/>
      <c r="L185" s="166" t="s">
        <v>765</v>
      </c>
      <c r="M185" s="167">
        <f ca="1">IF($D185&lt;&gt;"Serviço","",
          IF(AUTOEVENTO="manual",$A185,
                IF(ISERROR(MATCH($A185,$A$15:OFFSET($A185,-1,0),0)),MAX($M$15:OFFSET(M185,-1,0))+1,
                      INDEX($M$15:OFFSET(M185,-1,0),MATCH($A185,$A$15:OFFSET($A185,-1,0),0)))))</f>
        <v>11</v>
      </c>
      <c r="N185" s="168" t="str">
        <f ca="1">IF($D185&lt;&gt;"Serviço","",
         IF(AUTOEVENTO="Manual",
                IF($A185=0,"&lt;-- defina o número do agrupador",
                       OFFSET(EVENTOS!$D$15,$A185-$A$15,0)),
                OFFSET($F$15,$A185,0)))</f>
        <v>INSTALAÇÕES HIDROSSANITÁRIAS</v>
      </c>
      <c r="O185" s="169"/>
      <c r="Q185" s="169"/>
      <c r="R185" s="170"/>
      <c r="S185" s="170"/>
      <c r="T185" s="170"/>
      <c r="U185" s="170"/>
      <c r="V185" s="170"/>
      <c r="W185" s="170"/>
      <c r="X185" s="170"/>
      <c r="Y185" s="170"/>
      <c r="Z185" s="171"/>
      <c r="AB185" s="454">
        <f ca="1">IF(AND($D185="Serviço",AB$12&lt;&gt;0,$H185&gt;0,OR(AUTOEVENTO&lt;&gt;"manual",$M185&lt;&gt;$A$15)),
        IF(Import.TipoArredondamento&lt;&gt;"TransfereGOV",
              ROUND(OFFSET($P185,0,AB$13),15-13*ORÇAMENTO!$AF$7)/$H185*OFFSET(ORÇAMENTO!$X$15,ROW(AB185)-ROW(AB$15),0),
              ROUND(ROUND(OFFSET($P185,0,AB$13),15-13*ORÇAMENTO!$AF$7)*OFFSET(ORÇAMENTO!$W$15,ROW(AB185)-ROW(AB$15),0),15-13*ORÇAMENTO!$AF$11)),
         0)</f>
        <v>0</v>
      </c>
      <c r="AC185" s="454">
        <f ca="1">IF(AND($D185="Serviço",AC$12&lt;&gt;0,$H185&gt;0,OR(AUTOEVENTO&lt;&gt;"manual",$M185&lt;&gt;$A$15)),
        IF(Import.TipoArredondamento&lt;&gt;"TransfereGOV",
              ROUND(OFFSET($P185,0,AC$13),15-13*ORÇAMENTO!$AF$7)/$H185*OFFSET(ORÇAMENTO!$X$15,ROW(AC185)-ROW(AC$15),0),
              ROUND(ROUND(OFFSET($P185,0,AC$13),15-13*ORÇAMENTO!$AF$7)*OFFSET(ORÇAMENTO!$W$15,ROW(AC185)-ROW(AC$15),0),15-13*ORÇAMENTO!$AF$11)),
         0)</f>
        <v>0</v>
      </c>
      <c r="AD185" s="454">
        <f ca="1">IF(AND($D185="Serviço",AD$12&lt;&gt;0,$H185&gt;0,OR(AUTOEVENTO&lt;&gt;"manual",$M185&lt;&gt;$A$15)),
        IF(Import.TipoArredondamento&lt;&gt;"TransfereGOV",
              ROUND(OFFSET($P185,0,AD$13),15-13*ORÇAMENTO!$AF$7)/$H185*OFFSET(ORÇAMENTO!$X$15,ROW(AD185)-ROW(AD$15),0),
              ROUND(ROUND(OFFSET($P185,0,AD$13),15-13*ORÇAMENTO!$AF$7)*OFFSET(ORÇAMENTO!$W$15,ROW(AD185)-ROW(AD$15),0),15-13*ORÇAMENTO!$AF$11)),
         0)</f>
        <v>0</v>
      </c>
      <c r="AE185" s="454">
        <f ca="1">IF(AND($D185="Serviço",AE$12&lt;&gt;0,$H185&gt;0,OR(AUTOEVENTO&lt;&gt;"manual",$M185&lt;&gt;$A$15)),
        IF(Import.TipoArredondamento&lt;&gt;"TransfereGOV",
              ROUND(OFFSET($P185,0,AE$13),15-13*ORÇAMENTO!$AF$7)/$H185*OFFSET(ORÇAMENTO!$X$15,ROW(AE185)-ROW(AE$15),0),
              ROUND(ROUND(OFFSET($P185,0,AE$13),15-13*ORÇAMENTO!$AF$7)*OFFSET(ORÇAMENTO!$W$15,ROW(AE185)-ROW(AE$15),0),15-13*ORÇAMENTO!$AF$11)),
         0)</f>
        <v>0</v>
      </c>
      <c r="AF185" s="454">
        <f ca="1">IF(AND($D185="Serviço",AF$12&lt;&gt;0,$H185&gt;0,OR(AUTOEVENTO&lt;&gt;"manual",$M185&lt;&gt;$A$15)),
        IF(Import.TipoArredondamento&lt;&gt;"TransfereGOV",
              ROUND(OFFSET($P185,0,AF$13),15-13*ORÇAMENTO!$AF$7)/$H185*OFFSET(ORÇAMENTO!$X$15,ROW(AF185)-ROW(AF$15),0),
              ROUND(ROUND(OFFSET($P185,0,AF$13),15-13*ORÇAMENTO!$AF$7)*OFFSET(ORÇAMENTO!$W$15,ROW(AF185)-ROW(AF$15),0),15-13*ORÇAMENTO!$AF$11)),
         0)</f>
        <v>0</v>
      </c>
      <c r="AG185" s="454">
        <f ca="1">IF(AND($D185="Serviço",AG$12&lt;&gt;0,$H185&gt;0,OR(AUTOEVENTO&lt;&gt;"manual",$M185&lt;&gt;$A$15)),
        IF(Import.TipoArredondamento&lt;&gt;"TransfereGOV",
              ROUND(OFFSET($P185,0,AG$13),15-13*ORÇAMENTO!$AF$7)/$H185*OFFSET(ORÇAMENTO!$X$15,ROW(AG185)-ROW(AG$15),0),
              ROUND(ROUND(OFFSET($P185,0,AG$13),15-13*ORÇAMENTO!$AF$7)*OFFSET(ORÇAMENTO!$W$15,ROW(AG185)-ROW(AG$15),0),15-13*ORÇAMENTO!$AF$11)),
         0)</f>
        <v>0</v>
      </c>
      <c r="AH185" s="454">
        <f ca="1">IF(AND($D185="Serviço",AH$12&lt;&gt;0,$H185&gt;0,OR(AUTOEVENTO&lt;&gt;"manual",$M185&lt;&gt;$A$15)),
        IF(Import.TipoArredondamento&lt;&gt;"TransfereGOV",
              ROUND(OFFSET($P185,0,AH$13),15-13*ORÇAMENTO!$AF$7)/$H185*OFFSET(ORÇAMENTO!$X$15,ROW(AH185)-ROW(AH$15),0),
              ROUND(ROUND(OFFSET($P185,0,AH$13),15-13*ORÇAMENTO!$AF$7)*OFFSET(ORÇAMENTO!$W$15,ROW(AH185)-ROW(AH$15),0),15-13*ORÇAMENTO!$AF$11)),
         0)</f>
        <v>0</v>
      </c>
      <c r="AI185" s="454">
        <f ca="1">IF(AND($D185="Serviço",AI$12&lt;&gt;0,$H185&gt;0,OR(AUTOEVENTO&lt;&gt;"manual",$M185&lt;&gt;$A$15)),
        IF(Import.TipoArredondamento&lt;&gt;"TransfereGOV",
              ROUND(OFFSET($P185,0,AI$13),15-13*ORÇAMENTO!$AF$7)/$H185*OFFSET(ORÇAMENTO!$X$15,ROW(AI185)-ROW(AI$15),0),
              ROUND(ROUND(OFFSET($P185,0,AI$13),15-13*ORÇAMENTO!$AF$7)*OFFSET(ORÇAMENTO!$W$15,ROW(AI185)-ROW(AI$15),0),15-13*ORÇAMENTO!$AF$11)),
         0)</f>
        <v>0</v>
      </c>
      <c r="AJ185" s="454">
        <f ca="1">IF(AND($D185="Serviço",AJ$12&lt;&gt;0,$H185&gt;0,OR(AUTOEVENTO&lt;&gt;"manual",$M185&lt;&gt;$A$15)),
        IF(Import.TipoArredondamento&lt;&gt;"TransfereGOV",
              ROUND(OFFSET($P185,0,AJ$13),15-13*ORÇAMENTO!$AF$7)/$H185*OFFSET(ORÇAMENTO!$X$15,ROW(AJ185)-ROW(AJ$15),0),
              ROUND(ROUND(OFFSET($P185,0,AJ$13),15-13*ORÇAMENTO!$AF$7)*OFFSET(ORÇAMENTO!$W$15,ROW(AJ185)-ROW(AJ$15),0),15-13*ORÇAMENTO!$AF$11)),
         0)</f>
        <v>0</v>
      </c>
      <c r="AK185" s="454">
        <f ca="1">IF(AND($D185="Serviço",AK$12&lt;&gt;0,$H185&gt;0,OR(AUTOEVENTO&lt;&gt;"manual",$M185&lt;&gt;$A$15)),
        IF(Import.TipoArredondamento&lt;&gt;"TransfereGOV",
              ROUND(OFFSET($P185,0,AK$13),15-13*ORÇAMENTO!$AF$7)/$H185*OFFSET(ORÇAMENTO!$X$15,ROW(AK185)-ROW(AK$15),0),
              ROUND(ROUND(OFFSET($P185,0,AK$13),15-13*ORÇAMENTO!$AF$7)*OFFSET(ORÇAMENTO!$W$15,ROW(AK185)-ROW(AK$15),0),15-13*ORÇAMENTO!$AF$11)),
         0)</f>
        <v>0</v>
      </c>
      <c r="AM185" s="172">
        <f ca="1">IF(OR($D185&lt;&gt;"Serviço",AND(AUTOEVENTO="Manual",$M185=$A$15)),0,
         IF(OFFSET(CRONOPLE!$F$15,$M185-$A$15,AM$13)="",10^12,OFFSET(CRONOPLE!$F$15,$M185-$A$15,AM$13)))</f>
        <v>1000000000000</v>
      </c>
      <c r="AN185" s="172">
        <f ca="1">IF(OR($D185&lt;&gt;"Serviço",AND(AUTOEVENTO="Manual",$M185=$A$15)),0,
         IF(OFFSET(CRONOPLE!$F$15,$M185-$A$15,AN$13)="",10^12,OFFSET(CRONOPLE!$F$15,$M185-$A$15,AN$13)))</f>
        <v>1000000000000</v>
      </c>
      <c r="AO185" s="172">
        <f ca="1">IF(OR($D185&lt;&gt;"Serviço",AND(AUTOEVENTO="Manual",$M185=$A$15)),0,
         IF(OFFSET(CRONOPLE!$F$15,$M185-$A$15,AO$13)="",10^12,OFFSET(CRONOPLE!$F$15,$M185-$A$15,AO$13)))</f>
        <v>1000000000000</v>
      </c>
      <c r="AP185" s="172">
        <f ca="1">IF(OR($D185&lt;&gt;"Serviço",AND(AUTOEVENTO="Manual",$M185=$A$15)),0,
         IF(OFFSET(CRONOPLE!$F$15,$M185-$A$15,AP$13)="",10^12,OFFSET(CRONOPLE!$F$15,$M185-$A$15,AP$13)))</f>
        <v>1000000000000</v>
      </c>
      <c r="AQ185" s="172">
        <f ca="1">IF(OR($D185&lt;&gt;"Serviço",AND(AUTOEVENTO="Manual",$M185=$A$15)),0,
         IF(OFFSET(CRONOPLE!$F$15,$M185-$A$15,AQ$13)="",10^12,OFFSET(CRONOPLE!$F$15,$M185-$A$15,AQ$13)))</f>
        <v>1000000000000</v>
      </c>
      <c r="AR185" s="172">
        <f ca="1">IF(OR($D185&lt;&gt;"Serviço",AND(AUTOEVENTO="Manual",$M185=$A$15)),0,
         IF(OFFSET(CRONOPLE!$F$15,$M185-$A$15,AR$13)="",10^12,OFFSET(CRONOPLE!$F$15,$M185-$A$15,AR$13)))</f>
        <v>1000000000000</v>
      </c>
      <c r="AS185" s="172">
        <f ca="1">IF(OR($D185&lt;&gt;"Serviço",AND(AUTOEVENTO="Manual",$M185=$A$15)),0,
         IF(OFFSET(CRONOPLE!$F$15,$M185-$A$15,AS$13)="",10^12,OFFSET(CRONOPLE!$F$15,$M185-$A$15,AS$13)))</f>
        <v>1000000000000</v>
      </c>
      <c r="AT185" s="172">
        <f ca="1">IF(OR($D185&lt;&gt;"Serviço",AND(AUTOEVENTO="Manual",$M185=$A$15)),0,
         IF(OFFSET(CRONOPLE!$F$15,$M185-$A$15,AT$13)="",10^12,OFFSET(CRONOPLE!$F$15,$M185-$A$15,AT$13)))</f>
        <v>1000000000000</v>
      </c>
      <c r="AU185" s="172">
        <f ca="1">IF(OR($D185&lt;&gt;"Serviço",AND(AUTOEVENTO="Manual",$M185=$A$15)),0,
         IF(OFFSET(CRONOPLE!$F$15,$M185-$A$15,AU$13)="",10^12,OFFSET(CRONOPLE!$F$15,$M185-$A$15,AU$13)))</f>
        <v>1000000000000</v>
      </c>
      <c r="AV185" s="172">
        <f ca="1">IF(OR($D185&lt;&gt;"Serviço",AND(AUTOEVENTO="Manual",$M185=$A$15)),0,
         IF(OFFSET(CRONOPLE!$F$15,$M185-$A$15,AV$13)="",10^12,OFFSET(CRONOPLE!$F$15,$M185-$A$15,AV$13)))</f>
        <v>1000000000000</v>
      </c>
      <c r="AX185" s="173">
        <f ca="1">IF(OR($D185&lt;&gt;"Serviço",AND(AUTOEVENTO="Manual",$M185=$A$15),$M185&gt;(ROW(PLE.lastrow)-ROW(PLE.firstrow))),0,
           IF(OFFSET(PLE!$G$15,$M185-$A$15,AX$13)="",10^12,OFFSET(PLE!$G$15,$M185-$A$15,AX$13)))</f>
        <v>1000000000000</v>
      </c>
      <c r="AY185" s="173">
        <f ca="1">IF(OR($D185&lt;&gt;"Serviço",AND(AUTOEVENTO="Manual",$M185=$A$15),$M185&gt;(ROW(PLE.lastrow)-ROW(PLE.firstrow))),0,
           IF(OFFSET(PLE!$G$15,$M185-$A$15,AY$13)="",10^12,OFFSET(PLE!$G$15,$M185-$A$15,AY$13)))</f>
        <v>1000000000000</v>
      </c>
      <c r="AZ185" s="173">
        <f ca="1">IF(OR($D185&lt;&gt;"Serviço",AND(AUTOEVENTO="Manual",$M185=$A$15),$M185&gt;(ROW(PLE.lastrow)-ROW(PLE.firstrow))),0,
           IF(OFFSET(PLE!$G$15,$M185-$A$15,AZ$13)="",10^12,OFFSET(PLE!$G$15,$M185-$A$15,AZ$13)))</f>
        <v>1000000000000</v>
      </c>
      <c r="BA185" s="173">
        <f ca="1">IF(OR($D185&lt;&gt;"Serviço",AND(AUTOEVENTO="Manual",$M185=$A$15),$M185&gt;(ROW(PLE.lastrow)-ROW(PLE.firstrow))),0,
           IF(OFFSET(PLE!$G$15,$M185-$A$15,BA$13)="",10^12,OFFSET(PLE!$G$15,$M185-$A$15,BA$13)))</f>
        <v>1000000000000</v>
      </c>
      <c r="BB185" s="173">
        <f ca="1">IF(OR($D185&lt;&gt;"Serviço",AND(AUTOEVENTO="Manual",$M185=$A$15),$M185&gt;(ROW(PLE.lastrow)-ROW(PLE.firstrow))),0,
           IF(OFFSET(PLE!$G$15,$M185-$A$15,BB$13)="",10^12,OFFSET(PLE!$G$15,$M185-$A$15,BB$13)))</f>
        <v>1000000000000</v>
      </c>
      <c r="BC185" s="173">
        <f ca="1">IF(OR($D185&lt;&gt;"Serviço",AND(AUTOEVENTO="Manual",$M185=$A$15),$M185&gt;(ROW(PLE.lastrow)-ROW(PLE.firstrow))),0,
           IF(OFFSET(PLE!$G$15,$M185-$A$15,BC$13)="",10^12,OFFSET(PLE!$G$15,$M185-$A$15,BC$13)))</f>
        <v>1000000000000</v>
      </c>
      <c r="BD185" s="173">
        <f ca="1">IF(OR($D185&lt;&gt;"Serviço",AND(AUTOEVENTO="Manual",$M185=$A$15),$M185&gt;(ROW(PLE.lastrow)-ROW(PLE.firstrow))),0,
           IF(OFFSET(PLE!$G$15,$M185-$A$15,BD$13)="",10^12,OFFSET(PLE!$G$15,$M185-$A$15,BD$13)))</f>
        <v>1000000000000</v>
      </c>
      <c r="BE185" s="173">
        <f ca="1">IF(OR($D185&lt;&gt;"Serviço",AND(AUTOEVENTO="Manual",$M185=$A$15),$M185&gt;(ROW(PLE.lastrow)-ROW(PLE.firstrow))),0,
           IF(OFFSET(PLE!$G$15,$M185-$A$15,BE$13)="",10^12,OFFSET(PLE!$G$15,$M185-$A$15,BE$13)))</f>
        <v>1000000000000</v>
      </c>
      <c r="BF185" s="173">
        <f ca="1">IF(OR($D185&lt;&gt;"Serviço",AND(AUTOEVENTO="Manual",$M185=$A$15),$M185&gt;(ROW(PLE.lastrow)-ROW(PLE.firstrow))),0,
           IF(OFFSET(PLE!$G$15,$M185-$A$15,BF$13)="",10^12,OFFSET(PLE!$G$15,$M185-$A$15,BF$13)))</f>
        <v>1000000000000</v>
      </c>
      <c r="BG185" s="173">
        <f ca="1">IF(OR($D185&lt;&gt;"Serviço",AND(AUTOEVENTO="Manual",$M185=$A$15),$M185&gt;(ROW(PLE.lastrow)-ROW(PLE.firstrow))),0,
           IF(OFFSET(PLE!$G$15,$M185-$A$15,BG$13)="",10^12,OFFSET(PLE!$G$15,$M185-$A$15,BG$13)))</f>
        <v>1000000000000</v>
      </c>
    </row>
    <row r="186" spans="1:59" ht="51" x14ac:dyDescent="0.2">
      <c r="A186" s="7" t="str">
        <f t="shared" ca="1" si="10"/>
        <v>114</v>
      </c>
      <c r="B186" s="7" t="str">
        <f ca="1">OFFSET(ORÇAMENTO!C$15,ROW(B186)-ROW(B$15),0)</f>
        <v>S</v>
      </c>
      <c r="C186" s="7" t="str">
        <f ca="1">OFFSET(ORÇAMENTO!L$15,ROW(C186)-ROW(C$15),0)</f>
        <v/>
      </c>
      <c r="D186" s="117" t="str">
        <f ca="1">OFFSET(ORÇAMENTO!N$15,ROW(D186)-ROW(D$15),0)</f>
        <v>Serviço</v>
      </c>
      <c r="E186" s="118" t="str">
        <f ca="1">OFFSET(ORÇAMENTO!O$15,ROW(E186)-ROW(E$15),0)</f>
        <v>-</v>
      </c>
      <c r="F186" s="164" t="str">
        <f ca="1">OFFSET(ORÇAMENTO!R$15,ROW(F186)-ROW(F$15),0)</f>
        <v>ADAPTADOR CURTO COM BOLSA E ROSCA PARA REGISTRO, PVC, SOLDÁVEL, DN 40MM X 1.1/4", INSTALADO EM RAMAL DE DISTRIBUIÇÃO DE ÁGUA - FORNECIMENTO E INSTALAÇÃO. AF_06/2022</v>
      </c>
      <c r="G186" s="165" t="str">
        <f ca="1">IF($D186&lt;&gt;"Serviço","",OFFSET(ORÇAMENTO!S$15,ROW(G186)-ROW(G$15),0))</f>
        <v>UN</v>
      </c>
      <c r="H186" s="123">
        <f ca="1">IF($D186&lt;&gt;"Serviço",0,IF(ACOMPANHAMENTO="BM",ROUND(OFFSET(ORÇAMENTO!AJ$15,ROW(H186)-ROW(H$15),0),15-13*ORÇAMENTO!$AF$7),SUMPRODUCT(($Q$1:$AA$1=1)*ROUND($Q186:$AA186,15-13*ORÇAMENTO!$AF$7))))</f>
        <v>18</v>
      </c>
      <c r="I186" s="469"/>
      <c r="J186" s="577" t="str" cm="1">
        <f t="array" aca="1" ref="J186" ca="1">IF(B186&lt;&gt;"S","",IF(AND(ACOMPANHAMENTO="PLE",AUTOEVENTO="Manual",OR(H186&gt;0,ORÇAMENTO!AC186="QUANT."),OR(K186="",M186=0,N186="")),"►",IF(AND(ACOMPANHAMENTO="PLE",ORÇAMENTO!AC186="QUANT."),"►►",IF(AND(COUNTIF($P$11:$AA$11,"▼")=0,H186&gt;0,I186=""),"◄",""))))</f>
        <v>◄</v>
      </c>
      <c r="K186" s="626"/>
      <c r="L186" s="166" t="s">
        <v>765</v>
      </c>
      <c r="M186" s="167">
        <f ca="1">IF($D186&lt;&gt;"Serviço","",
          IF(AUTOEVENTO="manual",$A186,
                IF(ISERROR(MATCH($A186,$A$15:OFFSET($A186,-1,0),0)),MAX($M$15:OFFSET(M186,-1,0))+1,
                      INDEX($M$15:OFFSET(M186,-1,0),MATCH($A186,$A$15:OFFSET($A186,-1,0),0)))))</f>
        <v>11</v>
      </c>
      <c r="N186" s="168" t="str">
        <f ca="1">IF($D186&lt;&gt;"Serviço","",
         IF(AUTOEVENTO="Manual",
                IF($A186=0,"&lt;-- defina o número do agrupador",
                       OFFSET(EVENTOS!$D$15,$A186-$A$15,0)),
                OFFSET($F$15,$A186,0)))</f>
        <v>INSTALAÇÕES HIDROSSANITÁRIAS</v>
      </c>
      <c r="O186" s="169"/>
      <c r="Q186" s="169"/>
      <c r="R186" s="170"/>
      <c r="S186" s="170"/>
      <c r="T186" s="170"/>
      <c r="U186" s="170"/>
      <c r="V186" s="170"/>
      <c r="W186" s="170"/>
      <c r="X186" s="170"/>
      <c r="Y186" s="170"/>
      <c r="Z186" s="171"/>
      <c r="AB186" s="454">
        <f ca="1">IF(AND($D186="Serviço",AB$12&lt;&gt;0,$H186&gt;0,OR(AUTOEVENTO&lt;&gt;"manual",$M186&lt;&gt;$A$15)),
        IF(Import.TipoArredondamento&lt;&gt;"TransfereGOV",
              ROUND(OFFSET($P186,0,AB$13),15-13*ORÇAMENTO!$AF$7)/$H186*OFFSET(ORÇAMENTO!$X$15,ROW(AB186)-ROW(AB$15),0),
              ROUND(ROUND(OFFSET($P186,0,AB$13),15-13*ORÇAMENTO!$AF$7)*OFFSET(ORÇAMENTO!$W$15,ROW(AB186)-ROW(AB$15),0),15-13*ORÇAMENTO!$AF$11)),
         0)</f>
        <v>0</v>
      </c>
      <c r="AC186" s="454">
        <f ca="1">IF(AND($D186="Serviço",AC$12&lt;&gt;0,$H186&gt;0,OR(AUTOEVENTO&lt;&gt;"manual",$M186&lt;&gt;$A$15)),
        IF(Import.TipoArredondamento&lt;&gt;"TransfereGOV",
              ROUND(OFFSET($P186,0,AC$13),15-13*ORÇAMENTO!$AF$7)/$H186*OFFSET(ORÇAMENTO!$X$15,ROW(AC186)-ROW(AC$15),0),
              ROUND(ROUND(OFFSET($P186,0,AC$13),15-13*ORÇAMENTO!$AF$7)*OFFSET(ORÇAMENTO!$W$15,ROW(AC186)-ROW(AC$15),0),15-13*ORÇAMENTO!$AF$11)),
         0)</f>
        <v>0</v>
      </c>
      <c r="AD186" s="454">
        <f ca="1">IF(AND($D186="Serviço",AD$12&lt;&gt;0,$H186&gt;0,OR(AUTOEVENTO&lt;&gt;"manual",$M186&lt;&gt;$A$15)),
        IF(Import.TipoArredondamento&lt;&gt;"TransfereGOV",
              ROUND(OFFSET($P186,0,AD$13),15-13*ORÇAMENTO!$AF$7)/$H186*OFFSET(ORÇAMENTO!$X$15,ROW(AD186)-ROW(AD$15),0),
              ROUND(ROUND(OFFSET($P186,0,AD$13),15-13*ORÇAMENTO!$AF$7)*OFFSET(ORÇAMENTO!$W$15,ROW(AD186)-ROW(AD$15),0),15-13*ORÇAMENTO!$AF$11)),
         0)</f>
        <v>0</v>
      </c>
      <c r="AE186" s="454">
        <f ca="1">IF(AND($D186="Serviço",AE$12&lt;&gt;0,$H186&gt;0,OR(AUTOEVENTO&lt;&gt;"manual",$M186&lt;&gt;$A$15)),
        IF(Import.TipoArredondamento&lt;&gt;"TransfereGOV",
              ROUND(OFFSET($P186,0,AE$13),15-13*ORÇAMENTO!$AF$7)/$H186*OFFSET(ORÇAMENTO!$X$15,ROW(AE186)-ROW(AE$15),0),
              ROUND(ROUND(OFFSET($P186,0,AE$13),15-13*ORÇAMENTO!$AF$7)*OFFSET(ORÇAMENTO!$W$15,ROW(AE186)-ROW(AE$15),0),15-13*ORÇAMENTO!$AF$11)),
         0)</f>
        <v>0</v>
      </c>
      <c r="AF186" s="454">
        <f ca="1">IF(AND($D186="Serviço",AF$12&lt;&gt;0,$H186&gt;0,OR(AUTOEVENTO&lt;&gt;"manual",$M186&lt;&gt;$A$15)),
        IF(Import.TipoArredondamento&lt;&gt;"TransfereGOV",
              ROUND(OFFSET($P186,0,AF$13),15-13*ORÇAMENTO!$AF$7)/$H186*OFFSET(ORÇAMENTO!$X$15,ROW(AF186)-ROW(AF$15),0),
              ROUND(ROUND(OFFSET($P186,0,AF$13),15-13*ORÇAMENTO!$AF$7)*OFFSET(ORÇAMENTO!$W$15,ROW(AF186)-ROW(AF$15),0),15-13*ORÇAMENTO!$AF$11)),
         0)</f>
        <v>0</v>
      </c>
      <c r="AG186" s="454">
        <f ca="1">IF(AND($D186="Serviço",AG$12&lt;&gt;0,$H186&gt;0,OR(AUTOEVENTO&lt;&gt;"manual",$M186&lt;&gt;$A$15)),
        IF(Import.TipoArredondamento&lt;&gt;"TransfereGOV",
              ROUND(OFFSET($P186,0,AG$13),15-13*ORÇAMENTO!$AF$7)/$H186*OFFSET(ORÇAMENTO!$X$15,ROW(AG186)-ROW(AG$15),0),
              ROUND(ROUND(OFFSET($P186,0,AG$13),15-13*ORÇAMENTO!$AF$7)*OFFSET(ORÇAMENTO!$W$15,ROW(AG186)-ROW(AG$15),0),15-13*ORÇAMENTO!$AF$11)),
         0)</f>
        <v>0</v>
      </c>
      <c r="AH186" s="454">
        <f ca="1">IF(AND($D186="Serviço",AH$12&lt;&gt;0,$H186&gt;0,OR(AUTOEVENTO&lt;&gt;"manual",$M186&lt;&gt;$A$15)),
        IF(Import.TipoArredondamento&lt;&gt;"TransfereGOV",
              ROUND(OFFSET($P186,0,AH$13),15-13*ORÇAMENTO!$AF$7)/$H186*OFFSET(ORÇAMENTO!$X$15,ROW(AH186)-ROW(AH$15),0),
              ROUND(ROUND(OFFSET($P186,0,AH$13),15-13*ORÇAMENTO!$AF$7)*OFFSET(ORÇAMENTO!$W$15,ROW(AH186)-ROW(AH$15),0),15-13*ORÇAMENTO!$AF$11)),
         0)</f>
        <v>0</v>
      </c>
      <c r="AI186" s="454">
        <f ca="1">IF(AND($D186="Serviço",AI$12&lt;&gt;0,$H186&gt;0,OR(AUTOEVENTO&lt;&gt;"manual",$M186&lt;&gt;$A$15)),
        IF(Import.TipoArredondamento&lt;&gt;"TransfereGOV",
              ROUND(OFFSET($P186,0,AI$13),15-13*ORÇAMENTO!$AF$7)/$H186*OFFSET(ORÇAMENTO!$X$15,ROW(AI186)-ROW(AI$15),0),
              ROUND(ROUND(OFFSET($P186,0,AI$13),15-13*ORÇAMENTO!$AF$7)*OFFSET(ORÇAMENTO!$W$15,ROW(AI186)-ROW(AI$15),0),15-13*ORÇAMENTO!$AF$11)),
         0)</f>
        <v>0</v>
      </c>
      <c r="AJ186" s="454">
        <f ca="1">IF(AND($D186="Serviço",AJ$12&lt;&gt;0,$H186&gt;0,OR(AUTOEVENTO&lt;&gt;"manual",$M186&lt;&gt;$A$15)),
        IF(Import.TipoArredondamento&lt;&gt;"TransfereGOV",
              ROUND(OFFSET($P186,0,AJ$13),15-13*ORÇAMENTO!$AF$7)/$H186*OFFSET(ORÇAMENTO!$X$15,ROW(AJ186)-ROW(AJ$15),0),
              ROUND(ROUND(OFFSET($P186,0,AJ$13),15-13*ORÇAMENTO!$AF$7)*OFFSET(ORÇAMENTO!$W$15,ROW(AJ186)-ROW(AJ$15),0),15-13*ORÇAMENTO!$AF$11)),
         0)</f>
        <v>0</v>
      </c>
      <c r="AK186" s="454">
        <f ca="1">IF(AND($D186="Serviço",AK$12&lt;&gt;0,$H186&gt;0,OR(AUTOEVENTO&lt;&gt;"manual",$M186&lt;&gt;$A$15)),
        IF(Import.TipoArredondamento&lt;&gt;"TransfereGOV",
              ROUND(OFFSET($P186,0,AK$13),15-13*ORÇAMENTO!$AF$7)/$H186*OFFSET(ORÇAMENTO!$X$15,ROW(AK186)-ROW(AK$15),0),
              ROUND(ROUND(OFFSET($P186,0,AK$13),15-13*ORÇAMENTO!$AF$7)*OFFSET(ORÇAMENTO!$W$15,ROW(AK186)-ROW(AK$15),0),15-13*ORÇAMENTO!$AF$11)),
         0)</f>
        <v>0</v>
      </c>
      <c r="AM186" s="172">
        <f ca="1">IF(OR($D186&lt;&gt;"Serviço",AND(AUTOEVENTO="Manual",$M186=$A$15)),0,
         IF(OFFSET(CRONOPLE!$F$15,$M186-$A$15,AM$13)="",10^12,OFFSET(CRONOPLE!$F$15,$M186-$A$15,AM$13)))</f>
        <v>1000000000000</v>
      </c>
      <c r="AN186" s="172">
        <f ca="1">IF(OR($D186&lt;&gt;"Serviço",AND(AUTOEVENTO="Manual",$M186=$A$15)),0,
         IF(OFFSET(CRONOPLE!$F$15,$M186-$A$15,AN$13)="",10^12,OFFSET(CRONOPLE!$F$15,$M186-$A$15,AN$13)))</f>
        <v>1000000000000</v>
      </c>
      <c r="AO186" s="172">
        <f ca="1">IF(OR($D186&lt;&gt;"Serviço",AND(AUTOEVENTO="Manual",$M186=$A$15)),0,
         IF(OFFSET(CRONOPLE!$F$15,$M186-$A$15,AO$13)="",10^12,OFFSET(CRONOPLE!$F$15,$M186-$A$15,AO$13)))</f>
        <v>1000000000000</v>
      </c>
      <c r="AP186" s="172">
        <f ca="1">IF(OR($D186&lt;&gt;"Serviço",AND(AUTOEVENTO="Manual",$M186=$A$15)),0,
         IF(OFFSET(CRONOPLE!$F$15,$M186-$A$15,AP$13)="",10^12,OFFSET(CRONOPLE!$F$15,$M186-$A$15,AP$13)))</f>
        <v>1000000000000</v>
      </c>
      <c r="AQ186" s="172">
        <f ca="1">IF(OR($D186&lt;&gt;"Serviço",AND(AUTOEVENTO="Manual",$M186=$A$15)),0,
         IF(OFFSET(CRONOPLE!$F$15,$M186-$A$15,AQ$13)="",10^12,OFFSET(CRONOPLE!$F$15,$M186-$A$15,AQ$13)))</f>
        <v>1000000000000</v>
      </c>
      <c r="AR186" s="172">
        <f ca="1">IF(OR($D186&lt;&gt;"Serviço",AND(AUTOEVENTO="Manual",$M186=$A$15)),0,
         IF(OFFSET(CRONOPLE!$F$15,$M186-$A$15,AR$13)="",10^12,OFFSET(CRONOPLE!$F$15,$M186-$A$15,AR$13)))</f>
        <v>1000000000000</v>
      </c>
      <c r="AS186" s="172">
        <f ca="1">IF(OR($D186&lt;&gt;"Serviço",AND(AUTOEVENTO="Manual",$M186=$A$15)),0,
         IF(OFFSET(CRONOPLE!$F$15,$M186-$A$15,AS$13)="",10^12,OFFSET(CRONOPLE!$F$15,$M186-$A$15,AS$13)))</f>
        <v>1000000000000</v>
      </c>
      <c r="AT186" s="172">
        <f ca="1">IF(OR($D186&lt;&gt;"Serviço",AND(AUTOEVENTO="Manual",$M186=$A$15)),0,
         IF(OFFSET(CRONOPLE!$F$15,$M186-$A$15,AT$13)="",10^12,OFFSET(CRONOPLE!$F$15,$M186-$A$15,AT$13)))</f>
        <v>1000000000000</v>
      </c>
      <c r="AU186" s="172">
        <f ca="1">IF(OR($D186&lt;&gt;"Serviço",AND(AUTOEVENTO="Manual",$M186=$A$15)),0,
         IF(OFFSET(CRONOPLE!$F$15,$M186-$A$15,AU$13)="",10^12,OFFSET(CRONOPLE!$F$15,$M186-$A$15,AU$13)))</f>
        <v>1000000000000</v>
      </c>
      <c r="AV186" s="172">
        <f ca="1">IF(OR($D186&lt;&gt;"Serviço",AND(AUTOEVENTO="Manual",$M186=$A$15)),0,
         IF(OFFSET(CRONOPLE!$F$15,$M186-$A$15,AV$13)="",10^12,OFFSET(CRONOPLE!$F$15,$M186-$A$15,AV$13)))</f>
        <v>1000000000000</v>
      </c>
      <c r="AX186" s="173">
        <f ca="1">IF(OR($D186&lt;&gt;"Serviço",AND(AUTOEVENTO="Manual",$M186=$A$15),$M186&gt;(ROW(PLE.lastrow)-ROW(PLE.firstrow))),0,
           IF(OFFSET(PLE!$G$15,$M186-$A$15,AX$13)="",10^12,OFFSET(PLE!$G$15,$M186-$A$15,AX$13)))</f>
        <v>1000000000000</v>
      </c>
      <c r="AY186" s="173">
        <f ca="1">IF(OR($D186&lt;&gt;"Serviço",AND(AUTOEVENTO="Manual",$M186=$A$15),$M186&gt;(ROW(PLE.lastrow)-ROW(PLE.firstrow))),0,
           IF(OFFSET(PLE!$G$15,$M186-$A$15,AY$13)="",10^12,OFFSET(PLE!$G$15,$M186-$A$15,AY$13)))</f>
        <v>1000000000000</v>
      </c>
      <c r="AZ186" s="173">
        <f ca="1">IF(OR($D186&lt;&gt;"Serviço",AND(AUTOEVENTO="Manual",$M186=$A$15),$M186&gt;(ROW(PLE.lastrow)-ROW(PLE.firstrow))),0,
           IF(OFFSET(PLE!$G$15,$M186-$A$15,AZ$13)="",10^12,OFFSET(PLE!$G$15,$M186-$A$15,AZ$13)))</f>
        <v>1000000000000</v>
      </c>
      <c r="BA186" s="173">
        <f ca="1">IF(OR($D186&lt;&gt;"Serviço",AND(AUTOEVENTO="Manual",$M186=$A$15),$M186&gt;(ROW(PLE.lastrow)-ROW(PLE.firstrow))),0,
           IF(OFFSET(PLE!$G$15,$M186-$A$15,BA$13)="",10^12,OFFSET(PLE!$G$15,$M186-$A$15,BA$13)))</f>
        <v>1000000000000</v>
      </c>
      <c r="BB186" s="173">
        <f ca="1">IF(OR($D186&lt;&gt;"Serviço",AND(AUTOEVENTO="Manual",$M186=$A$15),$M186&gt;(ROW(PLE.lastrow)-ROW(PLE.firstrow))),0,
           IF(OFFSET(PLE!$G$15,$M186-$A$15,BB$13)="",10^12,OFFSET(PLE!$G$15,$M186-$A$15,BB$13)))</f>
        <v>1000000000000</v>
      </c>
      <c r="BC186" s="173">
        <f ca="1">IF(OR($D186&lt;&gt;"Serviço",AND(AUTOEVENTO="Manual",$M186=$A$15),$M186&gt;(ROW(PLE.lastrow)-ROW(PLE.firstrow))),0,
           IF(OFFSET(PLE!$G$15,$M186-$A$15,BC$13)="",10^12,OFFSET(PLE!$G$15,$M186-$A$15,BC$13)))</f>
        <v>1000000000000</v>
      </c>
      <c r="BD186" s="173">
        <f ca="1">IF(OR($D186&lt;&gt;"Serviço",AND(AUTOEVENTO="Manual",$M186=$A$15),$M186&gt;(ROW(PLE.lastrow)-ROW(PLE.firstrow))),0,
           IF(OFFSET(PLE!$G$15,$M186-$A$15,BD$13)="",10^12,OFFSET(PLE!$G$15,$M186-$A$15,BD$13)))</f>
        <v>1000000000000</v>
      </c>
      <c r="BE186" s="173">
        <f ca="1">IF(OR($D186&lt;&gt;"Serviço",AND(AUTOEVENTO="Manual",$M186=$A$15),$M186&gt;(ROW(PLE.lastrow)-ROW(PLE.firstrow))),0,
           IF(OFFSET(PLE!$G$15,$M186-$A$15,BE$13)="",10^12,OFFSET(PLE!$G$15,$M186-$A$15,BE$13)))</f>
        <v>1000000000000</v>
      </c>
      <c r="BF186" s="173">
        <f ca="1">IF(OR($D186&lt;&gt;"Serviço",AND(AUTOEVENTO="Manual",$M186=$A$15),$M186&gt;(ROW(PLE.lastrow)-ROW(PLE.firstrow))),0,
           IF(OFFSET(PLE!$G$15,$M186-$A$15,BF$13)="",10^12,OFFSET(PLE!$G$15,$M186-$A$15,BF$13)))</f>
        <v>1000000000000</v>
      </c>
      <c r="BG186" s="173">
        <f ca="1">IF(OR($D186&lt;&gt;"Serviço",AND(AUTOEVENTO="Manual",$M186=$A$15),$M186&gt;(ROW(PLE.lastrow)-ROW(PLE.firstrow))),0,
           IF(OFFSET(PLE!$G$15,$M186-$A$15,BG$13)="",10^12,OFFSET(PLE!$G$15,$M186-$A$15,BG$13)))</f>
        <v>1000000000000</v>
      </c>
    </row>
    <row r="187" spans="1:59" ht="38.25" x14ac:dyDescent="0.2">
      <c r="A187" s="7" t="str">
        <f t="shared" ca="1" si="10"/>
        <v>114</v>
      </c>
      <c r="B187" s="7" t="str">
        <f ca="1">OFFSET(ORÇAMENTO!C$15,ROW(B187)-ROW(B$15),0)</f>
        <v>S</v>
      </c>
      <c r="C187" s="7" t="str">
        <f ca="1">OFFSET(ORÇAMENTO!L$15,ROW(C187)-ROW(C$15),0)</f>
        <v/>
      </c>
      <c r="D187" s="117" t="str">
        <f ca="1">OFFSET(ORÇAMENTO!N$15,ROW(D187)-ROW(D$15),0)</f>
        <v>Serviço</v>
      </c>
      <c r="E187" s="118" t="str">
        <f ca="1">OFFSET(ORÇAMENTO!O$15,ROW(E187)-ROW(E$15),0)</f>
        <v>-</v>
      </c>
      <c r="F187" s="164" t="str">
        <f ca="1">OFFSET(ORÇAMENTO!R$15,ROW(F187)-ROW(F$15),0)</f>
        <v>ADAPTADOR CURTO COM BOLSA E ROSCA PARA REGISTRO, PVC, SOLDÁVEL, DN 32MM X 1 , INSTALADO EM RAMAL OU SUB-RAMAL DE ÁGUA - FORNECIMENTO E INSTALAÇÃO. AF_06/2022</v>
      </c>
      <c r="G187" s="165" t="str">
        <f ca="1">IF($D187&lt;&gt;"Serviço","",OFFSET(ORÇAMENTO!S$15,ROW(G187)-ROW(G$15),0))</f>
        <v>UN</v>
      </c>
      <c r="H187" s="123">
        <f ca="1">IF($D187&lt;&gt;"Serviço",0,IF(ACOMPANHAMENTO="BM",ROUND(OFFSET(ORÇAMENTO!AJ$15,ROW(H187)-ROW(H$15),0),15-13*ORÇAMENTO!$AF$7),SUMPRODUCT(($Q$1:$AA$1=1)*ROUND($Q187:$AA187,15-13*ORÇAMENTO!$AF$7))))</f>
        <v>7</v>
      </c>
      <c r="I187" s="469"/>
      <c r="J187" s="577" t="str" cm="1">
        <f t="array" aca="1" ref="J187" ca="1">IF(B187&lt;&gt;"S","",IF(AND(ACOMPANHAMENTO="PLE",AUTOEVENTO="Manual",OR(H187&gt;0,ORÇAMENTO!AC187="QUANT."),OR(K187="",M187=0,N187="")),"►",IF(AND(ACOMPANHAMENTO="PLE",ORÇAMENTO!AC187="QUANT."),"►►",IF(AND(COUNTIF($P$11:$AA$11,"▼")=0,H187&gt;0,I187=""),"◄",""))))</f>
        <v>◄</v>
      </c>
      <c r="K187" s="626"/>
      <c r="L187" s="166" t="s">
        <v>765</v>
      </c>
      <c r="M187" s="167">
        <f ca="1">IF($D187&lt;&gt;"Serviço","",
          IF(AUTOEVENTO="manual",$A187,
                IF(ISERROR(MATCH($A187,$A$15:OFFSET($A187,-1,0),0)),MAX($M$15:OFFSET(M187,-1,0))+1,
                      INDEX($M$15:OFFSET(M187,-1,0),MATCH($A187,$A$15:OFFSET($A187,-1,0),0)))))</f>
        <v>11</v>
      </c>
      <c r="N187" s="168" t="str">
        <f ca="1">IF($D187&lt;&gt;"Serviço","",
         IF(AUTOEVENTO="Manual",
                IF($A187=0,"&lt;-- defina o número do agrupador",
                       OFFSET(EVENTOS!$D$15,$A187-$A$15,0)),
                OFFSET($F$15,$A187,0)))</f>
        <v>INSTALAÇÕES HIDROSSANITÁRIAS</v>
      </c>
      <c r="O187" s="169"/>
      <c r="Q187" s="169"/>
      <c r="R187" s="170"/>
      <c r="S187" s="170"/>
      <c r="T187" s="170"/>
      <c r="U187" s="170"/>
      <c r="V187" s="170"/>
      <c r="W187" s="170"/>
      <c r="X187" s="170"/>
      <c r="Y187" s="170"/>
      <c r="Z187" s="171"/>
      <c r="AB187" s="454">
        <f ca="1">IF(AND($D187="Serviço",AB$12&lt;&gt;0,$H187&gt;0,OR(AUTOEVENTO&lt;&gt;"manual",$M187&lt;&gt;$A$15)),
        IF(Import.TipoArredondamento&lt;&gt;"TransfereGOV",
              ROUND(OFFSET($P187,0,AB$13),15-13*ORÇAMENTO!$AF$7)/$H187*OFFSET(ORÇAMENTO!$X$15,ROW(AB187)-ROW(AB$15),0),
              ROUND(ROUND(OFFSET($P187,0,AB$13),15-13*ORÇAMENTO!$AF$7)*OFFSET(ORÇAMENTO!$W$15,ROW(AB187)-ROW(AB$15),0),15-13*ORÇAMENTO!$AF$11)),
         0)</f>
        <v>0</v>
      </c>
      <c r="AC187" s="454">
        <f ca="1">IF(AND($D187="Serviço",AC$12&lt;&gt;0,$H187&gt;0,OR(AUTOEVENTO&lt;&gt;"manual",$M187&lt;&gt;$A$15)),
        IF(Import.TipoArredondamento&lt;&gt;"TransfereGOV",
              ROUND(OFFSET($P187,0,AC$13),15-13*ORÇAMENTO!$AF$7)/$H187*OFFSET(ORÇAMENTO!$X$15,ROW(AC187)-ROW(AC$15),0),
              ROUND(ROUND(OFFSET($P187,0,AC$13),15-13*ORÇAMENTO!$AF$7)*OFFSET(ORÇAMENTO!$W$15,ROW(AC187)-ROW(AC$15),0),15-13*ORÇAMENTO!$AF$11)),
         0)</f>
        <v>0</v>
      </c>
      <c r="AD187" s="454">
        <f ca="1">IF(AND($D187="Serviço",AD$12&lt;&gt;0,$H187&gt;0,OR(AUTOEVENTO&lt;&gt;"manual",$M187&lt;&gt;$A$15)),
        IF(Import.TipoArredondamento&lt;&gt;"TransfereGOV",
              ROUND(OFFSET($P187,0,AD$13),15-13*ORÇAMENTO!$AF$7)/$H187*OFFSET(ORÇAMENTO!$X$15,ROW(AD187)-ROW(AD$15),0),
              ROUND(ROUND(OFFSET($P187,0,AD$13),15-13*ORÇAMENTO!$AF$7)*OFFSET(ORÇAMENTO!$W$15,ROW(AD187)-ROW(AD$15),0),15-13*ORÇAMENTO!$AF$11)),
         0)</f>
        <v>0</v>
      </c>
      <c r="AE187" s="454">
        <f ca="1">IF(AND($D187="Serviço",AE$12&lt;&gt;0,$H187&gt;0,OR(AUTOEVENTO&lt;&gt;"manual",$M187&lt;&gt;$A$15)),
        IF(Import.TipoArredondamento&lt;&gt;"TransfereGOV",
              ROUND(OFFSET($P187,0,AE$13),15-13*ORÇAMENTO!$AF$7)/$H187*OFFSET(ORÇAMENTO!$X$15,ROW(AE187)-ROW(AE$15),0),
              ROUND(ROUND(OFFSET($P187,0,AE$13),15-13*ORÇAMENTO!$AF$7)*OFFSET(ORÇAMENTO!$W$15,ROW(AE187)-ROW(AE$15),0),15-13*ORÇAMENTO!$AF$11)),
         0)</f>
        <v>0</v>
      </c>
      <c r="AF187" s="454">
        <f ca="1">IF(AND($D187="Serviço",AF$12&lt;&gt;0,$H187&gt;0,OR(AUTOEVENTO&lt;&gt;"manual",$M187&lt;&gt;$A$15)),
        IF(Import.TipoArredondamento&lt;&gt;"TransfereGOV",
              ROUND(OFFSET($P187,0,AF$13),15-13*ORÇAMENTO!$AF$7)/$H187*OFFSET(ORÇAMENTO!$X$15,ROW(AF187)-ROW(AF$15),0),
              ROUND(ROUND(OFFSET($P187,0,AF$13),15-13*ORÇAMENTO!$AF$7)*OFFSET(ORÇAMENTO!$W$15,ROW(AF187)-ROW(AF$15),0),15-13*ORÇAMENTO!$AF$11)),
         0)</f>
        <v>0</v>
      </c>
      <c r="AG187" s="454">
        <f ca="1">IF(AND($D187="Serviço",AG$12&lt;&gt;0,$H187&gt;0,OR(AUTOEVENTO&lt;&gt;"manual",$M187&lt;&gt;$A$15)),
        IF(Import.TipoArredondamento&lt;&gt;"TransfereGOV",
              ROUND(OFFSET($P187,0,AG$13),15-13*ORÇAMENTO!$AF$7)/$H187*OFFSET(ORÇAMENTO!$X$15,ROW(AG187)-ROW(AG$15),0),
              ROUND(ROUND(OFFSET($P187,0,AG$13),15-13*ORÇAMENTO!$AF$7)*OFFSET(ORÇAMENTO!$W$15,ROW(AG187)-ROW(AG$15),0),15-13*ORÇAMENTO!$AF$11)),
         0)</f>
        <v>0</v>
      </c>
      <c r="AH187" s="454">
        <f ca="1">IF(AND($D187="Serviço",AH$12&lt;&gt;0,$H187&gt;0,OR(AUTOEVENTO&lt;&gt;"manual",$M187&lt;&gt;$A$15)),
        IF(Import.TipoArredondamento&lt;&gt;"TransfereGOV",
              ROUND(OFFSET($P187,0,AH$13),15-13*ORÇAMENTO!$AF$7)/$H187*OFFSET(ORÇAMENTO!$X$15,ROW(AH187)-ROW(AH$15),0),
              ROUND(ROUND(OFFSET($P187,0,AH$13),15-13*ORÇAMENTO!$AF$7)*OFFSET(ORÇAMENTO!$W$15,ROW(AH187)-ROW(AH$15),0),15-13*ORÇAMENTO!$AF$11)),
         0)</f>
        <v>0</v>
      </c>
      <c r="AI187" s="454">
        <f ca="1">IF(AND($D187="Serviço",AI$12&lt;&gt;0,$H187&gt;0,OR(AUTOEVENTO&lt;&gt;"manual",$M187&lt;&gt;$A$15)),
        IF(Import.TipoArredondamento&lt;&gt;"TransfereGOV",
              ROUND(OFFSET($P187,0,AI$13),15-13*ORÇAMENTO!$AF$7)/$H187*OFFSET(ORÇAMENTO!$X$15,ROW(AI187)-ROW(AI$15),0),
              ROUND(ROUND(OFFSET($P187,0,AI$13),15-13*ORÇAMENTO!$AF$7)*OFFSET(ORÇAMENTO!$W$15,ROW(AI187)-ROW(AI$15),0),15-13*ORÇAMENTO!$AF$11)),
         0)</f>
        <v>0</v>
      </c>
      <c r="AJ187" s="454">
        <f ca="1">IF(AND($D187="Serviço",AJ$12&lt;&gt;0,$H187&gt;0,OR(AUTOEVENTO&lt;&gt;"manual",$M187&lt;&gt;$A$15)),
        IF(Import.TipoArredondamento&lt;&gt;"TransfereGOV",
              ROUND(OFFSET($P187,0,AJ$13),15-13*ORÇAMENTO!$AF$7)/$H187*OFFSET(ORÇAMENTO!$X$15,ROW(AJ187)-ROW(AJ$15),0),
              ROUND(ROUND(OFFSET($P187,0,AJ$13),15-13*ORÇAMENTO!$AF$7)*OFFSET(ORÇAMENTO!$W$15,ROW(AJ187)-ROW(AJ$15),0),15-13*ORÇAMENTO!$AF$11)),
         0)</f>
        <v>0</v>
      </c>
      <c r="AK187" s="454">
        <f ca="1">IF(AND($D187="Serviço",AK$12&lt;&gt;0,$H187&gt;0,OR(AUTOEVENTO&lt;&gt;"manual",$M187&lt;&gt;$A$15)),
        IF(Import.TipoArredondamento&lt;&gt;"TransfereGOV",
              ROUND(OFFSET($P187,0,AK$13),15-13*ORÇAMENTO!$AF$7)/$H187*OFFSET(ORÇAMENTO!$X$15,ROW(AK187)-ROW(AK$15),0),
              ROUND(ROUND(OFFSET($P187,0,AK$13),15-13*ORÇAMENTO!$AF$7)*OFFSET(ORÇAMENTO!$W$15,ROW(AK187)-ROW(AK$15),0),15-13*ORÇAMENTO!$AF$11)),
         0)</f>
        <v>0</v>
      </c>
      <c r="AM187" s="172">
        <f ca="1">IF(OR($D187&lt;&gt;"Serviço",AND(AUTOEVENTO="Manual",$M187=$A$15)),0,
         IF(OFFSET(CRONOPLE!$F$15,$M187-$A$15,AM$13)="",10^12,OFFSET(CRONOPLE!$F$15,$M187-$A$15,AM$13)))</f>
        <v>1000000000000</v>
      </c>
      <c r="AN187" s="172">
        <f ca="1">IF(OR($D187&lt;&gt;"Serviço",AND(AUTOEVENTO="Manual",$M187=$A$15)),0,
         IF(OFFSET(CRONOPLE!$F$15,$M187-$A$15,AN$13)="",10^12,OFFSET(CRONOPLE!$F$15,$M187-$A$15,AN$13)))</f>
        <v>1000000000000</v>
      </c>
      <c r="AO187" s="172">
        <f ca="1">IF(OR($D187&lt;&gt;"Serviço",AND(AUTOEVENTO="Manual",$M187=$A$15)),0,
         IF(OFFSET(CRONOPLE!$F$15,$M187-$A$15,AO$13)="",10^12,OFFSET(CRONOPLE!$F$15,$M187-$A$15,AO$13)))</f>
        <v>1000000000000</v>
      </c>
      <c r="AP187" s="172">
        <f ca="1">IF(OR($D187&lt;&gt;"Serviço",AND(AUTOEVENTO="Manual",$M187=$A$15)),0,
         IF(OFFSET(CRONOPLE!$F$15,$M187-$A$15,AP$13)="",10^12,OFFSET(CRONOPLE!$F$15,$M187-$A$15,AP$13)))</f>
        <v>1000000000000</v>
      </c>
      <c r="AQ187" s="172">
        <f ca="1">IF(OR($D187&lt;&gt;"Serviço",AND(AUTOEVENTO="Manual",$M187=$A$15)),0,
         IF(OFFSET(CRONOPLE!$F$15,$M187-$A$15,AQ$13)="",10^12,OFFSET(CRONOPLE!$F$15,$M187-$A$15,AQ$13)))</f>
        <v>1000000000000</v>
      </c>
      <c r="AR187" s="172">
        <f ca="1">IF(OR($D187&lt;&gt;"Serviço",AND(AUTOEVENTO="Manual",$M187=$A$15)),0,
         IF(OFFSET(CRONOPLE!$F$15,$M187-$A$15,AR$13)="",10^12,OFFSET(CRONOPLE!$F$15,$M187-$A$15,AR$13)))</f>
        <v>1000000000000</v>
      </c>
      <c r="AS187" s="172">
        <f ca="1">IF(OR($D187&lt;&gt;"Serviço",AND(AUTOEVENTO="Manual",$M187=$A$15)),0,
         IF(OFFSET(CRONOPLE!$F$15,$M187-$A$15,AS$13)="",10^12,OFFSET(CRONOPLE!$F$15,$M187-$A$15,AS$13)))</f>
        <v>1000000000000</v>
      </c>
      <c r="AT187" s="172">
        <f ca="1">IF(OR($D187&lt;&gt;"Serviço",AND(AUTOEVENTO="Manual",$M187=$A$15)),0,
         IF(OFFSET(CRONOPLE!$F$15,$M187-$A$15,AT$13)="",10^12,OFFSET(CRONOPLE!$F$15,$M187-$A$15,AT$13)))</f>
        <v>1000000000000</v>
      </c>
      <c r="AU187" s="172">
        <f ca="1">IF(OR($D187&lt;&gt;"Serviço",AND(AUTOEVENTO="Manual",$M187=$A$15)),0,
         IF(OFFSET(CRONOPLE!$F$15,$M187-$A$15,AU$13)="",10^12,OFFSET(CRONOPLE!$F$15,$M187-$A$15,AU$13)))</f>
        <v>1000000000000</v>
      </c>
      <c r="AV187" s="172">
        <f ca="1">IF(OR($D187&lt;&gt;"Serviço",AND(AUTOEVENTO="Manual",$M187=$A$15)),0,
         IF(OFFSET(CRONOPLE!$F$15,$M187-$A$15,AV$13)="",10^12,OFFSET(CRONOPLE!$F$15,$M187-$A$15,AV$13)))</f>
        <v>1000000000000</v>
      </c>
      <c r="AX187" s="173">
        <f ca="1">IF(OR($D187&lt;&gt;"Serviço",AND(AUTOEVENTO="Manual",$M187=$A$15),$M187&gt;(ROW(PLE.lastrow)-ROW(PLE.firstrow))),0,
           IF(OFFSET(PLE!$G$15,$M187-$A$15,AX$13)="",10^12,OFFSET(PLE!$G$15,$M187-$A$15,AX$13)))</f>
        <v>1000000000000</v>
      </c>
      <c r="AY187" s="173">
        <f ca="1">IF(OR($D187&lt;&gt;"Serviço",AND(AUTOEVENTO="Manual",$M187=$A$15),$M187&gt;(ROW(PLE.lastrow)-ROW(PLE.firstrow))),0,
           IF(OFFSET(PLE!$G$15,$M187-$A$15,AY$13)="",10^12,OFFSET(PLE!$G$15,$M187-$A$15,AY$13)))</f>
        <v>1000000000000</v>
      </c>
      <c r="AZ187" s="173">
        <f ca="1">IF(OR($D187&lt;&gt;"Serviço",AND(AUTOEVENTO="Manual",$M187=$A$15),$M187&gt;(ROW(PLE.lastrow)-ROW(PLE.firstrow))),0,
           IF(OFFSET(PLE!$G$15,$M187-$A$15,AZ$13)="",10^12,OFFSET(PLE!$G$15,$M187-$A$15,AZ$13)))</f>
        <v>1000000000000</v>
      </c>
      <c r="BA187" s="173">
        <f ca="1">IF(OR($D187&lt;&gt;"Serviço",AND(AUTOEVENTO="Manual",$M187=$A$15),$M187&gt;(ROW(PLE.lastrow)-ROW(PLE.firstrow))),0,
           IF(OFFSET(PLE!$G$15,$M187-$A$15,BA$13)="",10^12,OFFSET(PLE!$G$15,$M187-$A$15,BA$13)))</f>
        <v>1000000000000</v>
      </c>
      <c r="BB187" s="173">
        <f ca="1">IF(OR($D187&lt;&gt;"Serviço",AND(AUTOEVENTO="Manual",$M187=$A$15),$M187&gt;(ROW(PLE.lastrow)-ROW(PLE.firstrow))),0,
           IF(OFFSET(PLE!$G$15,$M187-$A$15,BB$13)="",10^12,OFFSET(PLE!$G$15,$M187-$A$15,BB$13)))</f>
        <v>1000000000000</v>
      </c>
      <c r="BC187" s="173">
        <f ca="1">IF(OR($D187&lt;&gt;"Serviço",AND(AUTOEVENTO="Manual",$M187=$A$15),$M187&gt;(ROW(PLE.lastrow)-ROW(PLE.firstrow))),0,
           IF(OFFSET(PLE!$G$15,$M187-$A$15,BC$13)="",10^12,OFFSET(PLE!$G$15,$M187-$A$15,BC$13)))</f>
        <v>1000000000000</v>
      </c>
      <c r="BD187" s="173">
        <f ca="1">IF(OR($D187&lt;&gt;"Serviço",AND(AUTOEVENTO="Manual",$M187=$A$15),$M187&gt;(ROW(PLE.lastrow)-ROW(PLE.firstrow))),0,
           IF(OFFSET(PLE!$G$15,$M187-$A$15,BD$13)="",10^12,OFFSET(PLE!$G$15,$M187-$A$15,BD$13)))</f>
        <v>1000000000000</v>
      </c>
      <c r="BE187" s="173">
        <f ca="1">IF(OR($D187&lt;&gt;"Serviço",AND(AUTOEVENTO="Manual",$M187=$A$15),$M187&gt;(ROW(PLE.lastrow)-ROW(PLE.firstrow))),0,
           IF(OFFSET(PLE!$G$15,$M187-$A$15,BE$13)="",10^12,OFFSET(PLE!$G$15,$M187-$A$15,BE$13)))</f>
        <v>1000000000000</v>
      </c>
      <c r="BF187" s="173">
        <f ca="1">IF(OR($D187&lt;&gt;"Serviço",AND(AUTOEVENTO="Manual",$M187=$A$15),$M187&gt;(ROW(PLE.lastrow)-ROW(PLE.firstrow))),0,
           IF(OFFSET(PLE!$G$15,$M187-$A$15,BF$13)="",10^12,OFFSET(PLE!$G$15,$M187-$A$15,BF$13)))</f>
        <v>1000000000000</v>
      </c>
      <c r="BG187" s="173">
        <f ca="1">IF(OR($D187&lt;&gt;"Serviço",AND(AUTOEVENTO="Manual",$M187=$A$15),$M187&gt;(ROW(PLE.lastrow)-ROW(PLE.firstrow))),0,
           IF(OFFSET(PLE!$G$15,$M187-$A$15,BG$13)="",10^12,OFFSET(PLE!$G$15,$M187-$A$15,BG$13)))</f>
        <v>1000000000000</v>
      </c>
    </row>
    <row r="188" spans="1:59" ht="51" x14ac:dyDescent="0.2">
      <c r="A188" s="7" t="str">
        <f t="shared" ca="1" si="10"/>
        <v>114</v>
      </c>
      <c r="B188" s="7" t="str">
        <f ca="1">OFFSET(ORÇAMENTO!C$15,ROW(B188)-ROW(B$15),0)</f>
        <v>S</v>
      </c>
      <c r="C188" s="7" t="str">
        <f ca="1">OFFSET(ORÇAMENTO!L$15,ROW(C188)-ROW(C$15),0)</f>
        <v/>
      </c>
      <c r="D188" s="117" t="str">
        <f ca="1">OFFSET(ORÇAMENTO!N$15,ROW(D188)-ROW(D$15),0)</f>
        <v>Serviço</v>
      </c>
      <c r="E188" s="118" t="str">
        <f ca="1">OFFSET(ORÇAMENTO!O$15,ROW(E188)-ROW(E$15),0)</f>
        <v>-</v>
      </c>
      <c r="F188" s="164" t="str">
        <f ca="1">OFFSET(ORÇAMENTO!R$15,ROW(F188)-ROW(F$15),0)</f>
        <v>ADAPTADOR CURTO COM BOLSA E ROSCA PARA REGISTRO, PVC, SOLDÁVEL, DN 40MM X 1.1/4", INSTALADO EM RAMAL DE DISTRIBUIÇÃO DE ÁGUA - FORNECIMENTO E INSTALAÇÃO. AF_06/2022</v>
      </c>
      <c r="G188" s="165" t="str">
        <f ca="1">IF($D188&lt;&gt;"Serviço","",OFFSET(ORÇAMENTO!S$15,ROW(G188)-ROW(G$15),0))</f>
        <v>UN</v>
      </c>
      <c r="H188" s="123">
        <f ca="1">IF($D188&lt;&gt;"Serviço",0,IF(ACOMPANHAMENTO="BM",ROUND(OFFSET(ORÇAMENTO!AJ$15,ROW(H188)-ROW(H$15),0),15-13*ORÇAMENTO!$AF$7),SUMPRODUCT(($Q$1:$AA$1=1)*ROUND($Q188:$AA188,15-13*ORÇAMENTO!$AF$7))))</f>
        <v>9</v>
      </c>
      <c r="I188" s="469"/>
      <c r="J188" s="577" t="str" cm="1">
        <f t="array" aca="1" ref="J188" ca="1">IF(B188&lt;&gt;"S","",IF(AND(ACOMPANHAMENTO="PLE",AUTOEVENTO="Manual",OR(H188&gt;0,ORÇAMENTO!AC188="QUANT."),OR(K188="",M188=0,N188="")),"►",IF(AND(ACOMPANHAMENTO="PLE",ORÇAMENTO!AC188="QUANT."),"►►",IF(AND(COUNTIF($P$11:$AA$11,"▼")=0,H188&gt;0,I188=""),"◄",""))))</f>
        <v>◄</v>
      </c>
      <c r="K188" s="626"/>
      <c r="L188" s="166" t="s">
        <v>765</v>
      </c>
      <c r="M188" s="167">
        <f ca="1">IF($D188&lt;&gt;"Serviço","",
          IF(AUTOEVENTO="manual",$A188,
                IF(ISERROR(MATCH($A188,$A$15:OFFSET($A188,-1,0),0)),MAX($M$15:OFFSET(M188,-1,0))+1,
                      INDEX($M$15:OFFSET(M188,-1,0),MATCH($A188,$A$15:OFFSET($A188,-1,0),0)))))</f>
        <v>11</v>
      </c>
      <c r="N188" s="168" t="str">
        <f ca="1">IF($D188&lt;&gt;"Serviço","",
         IF(AUTOEVENTO="Manual",
                IF($A188=0,"&lt;-- defina o número do agrupador",
                       OFFSET(EVENTOS!$D$15,$A188-$A$15,0)),
                OFFSET($F$15,$A188,0)))</f>
        <v>INSTALAÇÕES HIDROSSANITÁRIAS</v>
      </c>
      <c r="O188" s="169"/>
      <c r="Q188" s="169"/>
      <c r="R188" s="170"/>
      <c r="S188" s="170"/>
      <c r="T188" s="170"/>
      <c r="U188" s="170"/>
      <c r="V188" s="170"/>
      <c r="W188" s="170"/>
      <c r="X188" s="170"/>
      <c r="Y188" s="170"/>
      <c r="Z188" s="171"/>
      <c r="AB188" s="454">
        <f ca="1">IF(AND($D188="Serviço",AB$12&lt;&gt;0,$H188&gt;0,OR(AUTOEVENTO&lt;&gt;"manual",$M188&lt;&gt;$A$15)),
        IF(Import.TipoArredondamento&lt;&gt;"TransfereGOV",
              ROUND(OFFSET($P188,0,AB$13),15-13*ORÇAMENTO!$AF$7)/$H188*OFFSET(ORÇAMENTO!$X$15,ROW(AB188)-ROW(AB$15),0),
              ROUND(ROUND(OFFSET($P188,0,AB$13),15-13*ORÇAMENTO!$AF$7)*OFFSET(ORÇAMENTO!$W$15,ROW(AB188)-ROW(AB$15),0),15-13*ORÇAMENTO!$AF$11)),
         0)</f>
        <v>0</v>
      </c>
      <c r="AC188" s="454">
        <f ca="1">IF(AND($D188="Serviço",AC$12&lt;&gt;0,$H188&gt;0,OR(AUTOEVENTO&lt;&gt;"manual",$M188&lt;&gt;$A$15)),
        IF(Import.TipoArredondamento&lt;&gt;"TransfereGOV",
              ROUND(OFFSET($P188,0,AC$13),15-13*ORÇAMENTO!$AF$7)/$H188*OFFSET(ORÇAMENTO!$X$15,ROW(AC188)-ROW(AC$15),0),
              ROUND(ROUND(OFFSET($P188,0,AC$13),15-13*ORÇAMENTO!$AF$7)*OFFSET(ORÇAMENTO!$W$15,ROW(AC188)-ROW(AC$15),0),15-13*ORÇAMENTO!$AF$11)),
         0)</f>
        <v>0</v>
      </c>
      <c r="AD188" s="454">
        <f ca="1">IF(AND($D188="Serviço",AD$12&lt;&gt;0,$H188&gt;0,OR(AUTOEVENTO&lt;&gt;"manual",$M188&lt;&gt;$A$15)),
        IF(Import.TipoArredondamento&lt;&gt;"TransfereGOV",
              ROUND(OFFSET($P188,0,AD$13),15-13*ORÇAMENTO!$AF$7)/$H188*OFFSET(ORÇAMENTO!$X$15,ROW(AD188)-ROW(AD$15),0),
              ROUND(ROUND(OFFSET($P188,0,AD$13),15-13*ORÇAMENTO!$AF$7)*OFFSET(ORÇAMENTO!$W$15,ROW(AD188)-ROW(AD$15),0),15-13*ORÇAMENTO!$AF$11)),
         0)</f>
        <v>0</v>
      </c>
      <c r="AE188" s="454">
        <f ca="1">IF(AND($D188="Serviço",AE$12&lt;&gt;0,$H188&gt;0,OR(AUTOEVENTO&lt;&gt;"manual",$M188&lt;&gt;$A$15)),
        IF(Import.TipoArredondamento&lt;&gt;"TransfereGOV",
              ROUND(OFFSET($P188,0,AE$13),15-13*ORÇAMENTO!$AF$7)/$H188*OFFSET(ORÇAMENTO!$X$15,ROW(AE188)-ROW(AE$15),0),
              ROUND(ROUND(OFFSET($P188,0,AE$13),15-13*ORÇAMENTO!$AF$7)*OFFSET(ORÇAMENTO!$W$15,ROW(AE188)-ROW(AE$15),0),15-13*ORÇAMENTO!$AF$11)),
         0)</f>
        <v>0</v>
      </c>
      <c r="AF188" s="454">
        <f ca="1">IF(AND($D188="Serviço",AF$12&lt;&gt;0,$H188&gt;0,OR(AUTOEVENTO&lt;&gt;"manual",$M188&lt;&gt;$A$15)),
        IF(Import.TipoArredondamento&lt;&gt;"TransfereGOV",
              ROUND(OFFSET($P188,0,AF$13),15-13*ORÇAMENTO!$AF$7)/$H188*OFFSET(ORÇAMENTO!$X$15,ROW(AF188)-ROW(AF$15),0),
              ROUND(ROUND(OFFSET($P188,0,AF$13),15-13*ORÇAMENTO!$AF$7)*OFFSET(ORÇAMENTO!$W$15,ROW(AF188)-ROW(AF$15),0),15-13*ORÇAMENTO!$AF$11)),
         0)</f>
        <v>0</v>
      </c>
      <c r="AG188" s="454">
        <f ca="1">IF(AND($D188="Serviço",AG$12&lt;&gt;0,$H188&gt;0,OR(AUTOEVENTO&lt;&gt;"manual",$M188&lt;&gt;$A$15)),
        IF(Import.TipoArredondamento&lt;&gt;"TransfereGOV",
              ROUND(OFFSET($P188,0,AG$13),15-13*ORÇAMENTO!$AF$7)/$H188*OFFSET(ORÇAMENTO!$X$15,ROW(AG188)-ROW(AG$15),0),
              ROUND(ROUND(OFFSET($P188,0,AG$13),15-13*ORÇAMENTO!$AF$7)*OFFSET(ORÇAMENTO!$W$15,ROW(AG188)-ROW(AG$15),0),15-13*ORÇAMENTO!$AF$11)),
         0)</f>
        <v>0</v>
      </c>
      <c r="AH188" s="454">
        <f ca="1">IF(AND($D188="Serviço",AH$12&lt;&gt;0,$H188&gt;0,OR(AUTOEVENTO&lt;&gt;"manual",$M188&lt;&gt;$A$15)),
        IF(Import.TipoArredondamento&lt;&gt;"TransfereGOV",
              ROUND(OFFSET($P188,0,AH$13),15-13*ORÇAMENTO!$AF$7)/$H188*OFFSET(ORÇAMENTO!$X$15,ROW(AH188)-ROW(AH$15),0),
              ROUND(ROUND(OFFSET($P188,0,AH$13),15-13*ORÇAMENTO!$AF$7)*OFFSET(ORÇAMENTO!$W$15,ROW(AH188)-ROW(AH$15),0),15-13*ORÇAMENTO!$AF$11)),
         0)</f>
        <v>0</v>
      </c>
      <c r="AI188" s="454">
        <f ca="1">IF(AND($D188="Serviço",AI$12&lt;&gt;0,$H188&gt;0,OR(AUTOEVENTO&lt;&gt;"manual",$M188&lt;&gt;$A$15)),
        IF(Import.TipoArredondamento&lt;&gt;"TransfereGOV",
              ROUND(OFFSET($P188,0,AI$13),15-13*ORÇAMENTO!$AF$7)/$H188*OFFSET(ORÇAMENTO!$X$15,ROW(AI188)-ROW(AI$15),0),
              ROUND(ROUND(OFFSET($P188,0,AI$13),15-13*ORÇAMENTO!$AF$7)*OFFSET(ORÇAMENTO!$W$15,ROW(AI188)-ROW(AI$15),0),15-13*ORÇAMENTO!$AF$11)),
         0)</f>
        <v>0</v>
      </c>
      <c r="AJ188" s="454">
        <f ca="1">IF(AND($D188="Serviço",AJ$12&lt;&gt;0,$H188&gt;0,OR(AUTOEVENTO&lt;&gt;"manual",$M188&lt;&gt;$A$15)),
        IF(Import.TipoArredondamento&lt;&gt;"TransfereGOV",
              ROUND(OFFSET($P188,0,AJ$13),15-13*ORÇAMENTO!$AF$7)/$H188*OFFSET(ORÇAMENTO!$X$15,ROW(AJ188)-ROW(AJ$15),0),
              ROUND(ROUND(OFFSET($P188,0,AJ$13),15-13*ORÇAMENTO!$AF$7)*OFFSET(ORÇAMENTO!$W$15,ROW(AJ188)-ROW(AJ$15),0),15-13*ORÇAMENTO!$AF$11)),
         0)</f>
        <v>0</v>
      </c>
      <c r="AK188" s="454">
        <f ca="1">IF(AND($D188="Serviço",AK$12&lt;&gt;0,$H188&gt;0,OR(AUTOEVENTO&lt;&gt;"manual",$M188&lt;&gt;$A$15)),
        IF(Import.TipoArredondamento&lt;&gt;"TransfereGOV",
              ROUND(OFFSET($P188,0,AK$13),15-13*ORÇAMENTO!$AF$7)/$H188*OFFSET(ORÇAMENTO!$X$15,ROW(AK188)-ROW(AK$15),0),
              ROUND(ROUND(OFFSET($P188,0,AK$13),15-13*ORÇAMENTO!$AF$7)*OFFSET(ORÇAMENTO!$W$15,ROW(AK188)-ROW(AK$15),0),15-13*ORÇAMENTO!$AF$11)),
         0)</f>
        <v>0</v>
      </c>
      <c r="AM188" s="172">
        <f ca="1">IF(OR($D188&lt;&gt;"Serviço",AND(AUTOEVENTO="Manual",$M188=$A$15)),0,
         IF(OFFSET(CRONOPLE!$F$15,$M188-$A$15,AM$13)="",10^12,OFFSET(CRONOPLE!$F$15,$M188-$A$15,AM$13)))</f>
        <v>1000000000000</v>
      </c>
      <c r="AN188" s="172">
        <f ca="1">IF(OR($D188&lt;&gt;"Serviço",AND(AUTOEVENTO="Manual",$M188=$A$15)),0,
         IF(OFFSET(CRONOPLE!$F$15,$M188-$A$15,AN$13)="",10^12,OFFSET(CRONOPLE!$F$15,$M188-$A$15,AN$13)))</f>
        <v>1000000000000</v>
      </c>
      <c r="AO188" s="172">
        <f ca="1">IF(OR($D188&lt;&gt;"Serviço",AND(AUTOEVENTO="Manual",$M188=$A$15)),0,
         IF(OFFSET(CRONOPLE!$F$15,$M188-$A$15,AO$13)="",10^12,OFFSET(CRONOPLE!$F$15,$M188-$A$15,AO$13)))</f>
        <v>1000000000000</v>
      </c>
      <c r="AP188" s="172">
        <f ca="1">IF(OR($D188&lt;&gt;"Serviço",AND(AUTOEVENTO="Manual",$M188=$A$15)),0,
         IF(OFFSET(CRONOPLE!$F$15,$M188-$A$15,AP$13)="",10^12,OFFSET(CRONOPLE!$F$15,$M188-$A$15,AP$13)))</f>
        <v>1000000000000</v>
      </c>
      <c r="AQ188" s="172">
        <f ca="1">IF(OR($D188&lt;&gt;"Serviço",AND(AUTOEVENTO="Manual",$M188=$A$15)),0,
         IF(OFFSET(CRONOPLE!$F$15,$M188-$A$15,AQ$13)="",10^12,OFFSET(CRONOPLE!$F$15,$M188-$A$15,AQ$13)))</f>
        <v>1000000000000</v>
      </c>
      <c r="AR188" s="172">
        <f ca="1">IF(OR($D188&lt;&gt;"Serviço",AND(AUTOEVENTO="Manual",$M188=$A$15)),0,
         IF(OFFSET(CRONOPLE!$F$15,$M188-$A$15,AR$13)="",10^12,OFFSET(CRONOPLE!$F$15,$M188-$A$15,AR$13)))</f>
        <v>1000000000000</v>
      </c>
      <c r="AS188" s="172">
        <f ca="1">IF(OR($D188&lt;&gt;"Serviço",AND(AUTOEVENTO="Manual",$M188=$A$15)),0,
         IF(OFFSET(CRONOPLE!$F$15,$M188-$A$15,AS$13)="",10^12,OFFSET(CRONOPLE!$F$15,$M188-$A$15,AS$13)))</f>
        <v>1000000000000</v>
      </c>
      <c r="AT188" s="172">
        <f ca="1">IF(OR($D188&lt;&gt;"Serviço",AND(AUTOEVENTO="Manual",$M188=$A$15)),0,
         IF(OFFSET(CRONOPLE!$F$15,$M188-$A$15,AT$13)="",10^12,OFFSET(CRONOPLE!$F$15,$M188-$A$15,AT$13)))</f>
        <v>1000000000000</v>
      </c>
      <c r="AU188" s="172">
        <f ca="1">IF(OR($D188&lt;&gt;"Serviço",AND(AUTOEVENTO="Manual",$M188=$A$15)),0,
         IF(OFFSET(CRONOPLE!$F$15,$M188-$A$15,AU$13)="",10^12,OFFSET(CRONOPLE!$F$15,$M188-$A$15,AU$13)))</f>
        <v>1000000000000</v>
      </c>
      <c r="AV188" s="172">
        <f ca="1">IF(OR($D188&lt;&gt;"Serviço",AND(AUTOEVENTO="Manual",$M188=$A$15)),0,
         IF(OFFSET(CRONOPLE!$F$15,$M188-$A$15,AV$13)="",10^12,OFFSET(CRONOPLE!$F$15,$M188-$A$15,AV$13)))</f>
        <v>1000000000000</v>
      </c>
      <c r="AX188" s="173">
        <f ca="1">IF(OR($D188&lt;&gt;"Serviço",AND(AUTOEVENTO="Manual",$M188=$A$15),$M188&gt;(ROW(PLE.lastrow)-ROW(PLE.firstrow))),0,
           IF(OFFSET(PLE!$G$15,$M188-$A$15,AX$13)="",10^12,OFFSET(PLE!$G$15,$M188-$A$15,AX$13)))</f>
        <v>1000000000000</v>
      </c>
      <c r="AY188" s="173">
        <f ca="1">IF(OR($D188&lt;&gt;"Serviço",AND(AUTOEVENTO="Manual",$M188=$A$15),$M188&gt;(ROW(PLE.lastrow)-ROW(PLE.firstrow))),0,
           IF(OFFSET(PLE!$G$15,$M188-$A$15,AY$13)="",10^12,OFFSET(PLE!$G$15,$M188-$A$15,AY$13)))</f>
        <v>1000000000000</v>
      </c>
      <c r="AZ188" s="173">
        <f ca="1">IF(OR($D188&lt;&gt;"Serviço",AND(AUTOEVENTO="Manual",$M188=$A$15),$M188&gt;(ROW(PLE.lastrow)-ROW(PLE.firstrow))),0,
           IF(OFFSET(PLE!$G$15,$M188-$A$15,AZ$13)="",10^12,OFFSET(PLE!$G$15,$M188-$A$15,AZ$13)))</f>
        <v>1000000000000</v>
      </c>
      <c r="BA188" s="173">
        <f ca="1">IF(OR($D188&lt;&gt;"Serviço",AND(AUTOEVENTO="Manual",$M188=$A$15),$M188&gt;(ROW(PLE.lastrow)-ROW(PLE.firstrow))),0,
           IF(OFFSET(PLE!$G$15,$M188-$A$15,BA$13)="",10^12,OFFSET(PLE!$G$15,$M188-$A$15,BA$13)))</f>
        <v>1000000000000</v>
      </c>
      <c r="BB188" s="173">
        <f ca="1">IF(OR($D188&lt;&gt;"Serviço",AND(AUTOEVENTO="Manual",$M188=$A$15),$M188&gt;(ROW(PLE.lastrow)-ROW(PLE.firstrow))),0,
           IF(OFFSET(PLE!$G$15,$M188-$A$15,BB$13)="",10^12,OFFSET(PLE!$G$15,$M188-$A$15,BB$13)))</f>
        <v>1000000000000</v>
      </c>
      <c r="BC188" s="173">
        <f ca="1">IF(OR($D188&lt;&gt;"Serviço",AND(AUTOEVENTO="Manual",$M188=$A$15),$M188&gt;(ROW(PLE.lastrow)-ROW(PLE.firstrow))),0,
           IF(OFFSET(PLE!$G$15,$M188-$A$15,BC$13)="",10^12,OFFSET(PLE!$G$15,$M188-$A$15,BC$13)))</f>
        <v>1000000000000</v>
      </c>
      <c r="BD188" s="173">
        <f ca="1">IF(OR($D188&lt;&gt;"Serviço",AND(AUTOEVENTO="Manual",$M188=$A$15),$M188&gt;(ROW(PLE.lastrow)-ROW(PLE.firstrow))),0,
           IF(OFFSET(PLE!$G$15,$M188-$A$15,BD$13)="",10^12,OFFSET(PLE!$G$15,$M188-$A$15,BD$13)))</f>
        <v>1000000000000</v>
      </c>
      <c r="BE188" s="173">
        <f ca="1">IF(OR($D188&lt;&gt;"Serviço",AND(AUTOEVENTO="Manual",$M188=$A$15),$M188&gt;(ROW(PLE.lastrow)-ROW(PLE.firstrow))),0,
           IF(OFFSET(PLE!$G$15,$M188-$A$15,BE$13)="",10^12,OFFSET(PLE!$G$15,$M188-$A$15,BE$13)))</f>
        <v>1000000000000</v>
      </c>
      <c r="BF188" s="173">
        <f ca="1">IF(OR($D188&lt;&gt;"Serviço",AND(AUTOEVENTO="Manual",$M188=$A$15),$M188&gt;(ROW(PLE.lastrow)-ROW(PLE.firstrow))),0,
           IF(OFFSET(PLE!$G$15,$M188-$A$15,BF$13)="",10^12,OFFSET(PLE!$G$15,$M188-$A$15,BF$13)))</f>
        <v>1000000000000</v>
      </c>
      <c r="BG188" s="173">
        <f ca="1">IF(OR($D188&lt;&gt;"Serviço",AND(AUTOEVENTO="Manual",$M188=$A$15),$M188&gt;(ROW(PLE.lastrow)-ROW(PLE.firstrow))),0,
           IF(OFFSET(PLE!$G$15,$M188-$A$15,BG$13)="",10^12,OFFSET(PLE!$G$15,$M188-$A$15,BG$13)))</f>
        <v>1000000000000</v>
      </c>
    </row>
    <row r="189" spans="1:59" ht="51" x14ac:dyDescent="0.2">
      <c r="A189" s="7" t="str">
        <f t="shared" ca="1" si="10"/>
        <v>114</v>
      </c>
      <c r="B189" s="7" t="str">
        <f ca="1">OFFSET(ORÇAMENTO!C$15,ROW(B189)-ROW(B$15),0)</f>
        <v>S</v>
      </c>
      <c r="C189" s="7" t="str">
        <f ca="1">OFFSET(ORÇAMENTO!L$15,ROW(C189)-ROW(C$15),0)</f>
        <v/>
      </c>
      <c r="D189" s="117" t="str">
        <f ca="1">OFFSET(ORÇAMENTO!N$15,ROW(D189)-ROW(D$15),0)</f>
        <v>Serviço</v>
      </c>
      <c r="E189" s="118" t="str">
        <f ca="1">OFFSET(ORÇAMENTO!O$15,ROW(E189)-ROW(E$15),0)</f>
        <v>-</v>
      </c>
      <c r="F189" s="164" t="str">
        <f ca="1">OFFSET(ORÇAMENTO!R$15,ROW(F189)-ROW(F$15),0)</f>
        <v>ADAPTADOR CURTO COM BOLSA E ROSCA PARA REGISTRO, PVC, SOLDÁVEL, DN 50MM X 1.1/2", INSTALADO EM RAMAL DE DISTRIBUIÇÃO DE ÁGUA - FORNECIMENTO E INSTALAÇÃO. AF_06/2022</v>
      </c>
      <c r="G189" s="165" t="str">
        <f ca="1">IF($D189&lt;&gt;"Serviço","",OFFSET(ORÇAMENTO!S$15,ROW(G189)-ROW(G$15),0))</f>
        <v>UN</v>
      </c>
      <c r="H189" s="123">
        <f ca="1">IF($D189&lt;&gt;"Serviço",0,IF(ACOMPANHAMENTO="BM",ROUND(OFFSET(ORÇAMENTO!AJ$15,ROW(H189)-ROW(H$15),0),15-13*ORÇAMENTO!$AF$7),SUMPRODUCT(($Q$1:$AA$1=1)*ROUND($Q189:$AA189,15-13*ORÇAMENTO!$AF$7))))</f>
        <v>9</v>
      </c>
      <c r="I189" s="469"/>
      <c r="J189" s="577" t="str" cm="1">
        <f t="array" aca="1" ref="J189" ca="1">IF(B189&lt;&gt;"S","",IF(AND(ACOMPANHAMENTO="PLE",AUTOEVENTO="Manual",OR(H189&gt;0,ORÇAMENTO!AC189="QUANT."),OR(K189="",M189=0,N189="")),"►",IF(AND(ACOMPANHAMENTO="PLE",ORÇAMENTO!AC189="QUANT."),"►►",IF(AND(COUNTIF($P$11:$AA$11,"▼")=0,H189&gt;0,I189=""),"◄",""))))</f>
        <v>◄</v>
      </c>
      <c r="K189" s="626"/>
      <c r="L189" s="166" t="s">
        <v>765</v>
      </c>
      <c r="M189" s="167">
        <f ca="1">IF($D189&lt;&gt;"Serviço","",
          IF(AUTOEVENTO="manual",$A189,
                IF(ISERROR(MATCH($A189,$A$15:OFFSET($A189,-1,0),0)),MAX($M$15:OFFSET(M189,-1,0))+1,
                      INDEX($M$15:OFFSET(M189,-1,0),MATCH($A189,$A$15:OFFSET($A189,-1,0),0)))))</f>
        <v>11</v>
      </c>
      <c r="N189" s="168" t="str">
        <f ca="1">IF($D189&lt;&gt;"Serviço","",
         IF(AUTOEVENTO="Manual",
                IF($A189=0,"&lt;-- defina o número do agrupador",
                       OFFSET(EVENTOS!$D$15,$A189-$A$15,0)),
                OFFSET($F$15,$A189,0)))</f>
        <v>INSTALAÇÕES HIDROSSANITÁRIAS</v>
      </c>
      <c r="O189" s="169"/>
      <c r="Q189" s="169"/>
      <c r="R189" s="170"/>
      <c r="S189" s="170"/>
      <c r="T189" s="170"/>
      <c r="U189" s="170"/>
      <c r="V189" s="170"/>
      <c r="W189" s="170"/>
      <c r="X189" s="170"/>
      <c r="Y189" s="170"/>
      <c r="Z189" s="171"/>
      <c r="AB189" s="454">
        <f ca="1">IF(AND($D189="Serviço",AB$12&lt;&gt;0,$H189&gt;0,OR(AUTOEVENTO&lt;&gt;"manual",$M189&lt;&gt;$A$15)),
        IF(Import.TipoArredondamento&lt;&gt;"TransfereGOV",
              ROUND(OFFSET($P189,0,AB$13),15-13*ORÇAMENTO!$AF$7)/$H189*OFFSET(ORÇAMENTO!$X$15,ROW(AB189)-ROW(AB$15),0),
              ROUND(ROUND(OFFSET($P189,0,AB$13),15-13*ORÇAMENTO!$AF$7)*OFFSET(ORÇAMENTO!$W$15,ROW(AB189)-ROW(AB$15),0),15-13*ORÇAMENTO!$AF$11)),
         0)</f>
        <v>0</v>
      </c>
      <c r="AC189" s="454">
        <f ca="1">IF(AND($D189="Serviço",AC$12&lt;&gt;0,$H189&gt;0,OR(AUTOEVENTO&lt;&gt;"manual",$M189&lt;&gt;$A$15)),
        IF(Import.TipoArredondamento&lt;&gt;"TransfereGOV",
              ROUND(OFFSET($P189,0,AC$13),15-13*ORÇAMENTO!$AF$7)/$H189*OFFSET(ORÇAMENTO!$X$15,ROW(AC189)-ROW(AC$15),0),
              ROUND(ROUND(OFFSET($P189,0,AC$13),15-13*ORÇAMENTO!$AF$7)*OFFSET(ORÇAMENTO!$W$15,ROW(AC189)-ROW(AC$15),0),15-13*ORÇAMENTO!$AF$11)),
         0)</f>
        <v>0</v>
      </c>
      <c r="AD189" s="454">
        <f ca="1">IF(AND($D189="Serviço",AD$12&lt;&gt;0,$H189&gt;0,OR(AUTOEVENTO&lt;&gt;"manual",$M189&lt;&gt;$A$15)),
        IF(Import.TipoArredondamento&lt;&gt;"TransfereGOV",
              ROUND(OFFSET($P189,0,AD$13),15-13*ORÇAMENTO!$AF$7)/$H189*OFFSET(ORÇAMENTO!$X$15,ROW(AD189)-ROW(AD$15),0),
              ROUND(ROUND(OFFSET($P189,0,AD$13),15-13*ORÇAMENTO!$AF$7)*OFFSET(ORÇAMENTO!$W$15,ROW(AD189)-ROW(AD$15),0),15-13*ORÇAMENTO!$AF$11)),
         0)</f>
        <v>0</v>
      </c>
      <c r="AE189" s="454">
        <f ca="1">IF(AND($D189="Serviço",AE$12&lt;&gt;0,$H189&gt;0,OR(AUTOEVENTO&lt;&gt;"manual",$M189&lt;&gt;$A$15)),
        IF(Import.TipoArredondamento&lt;&gt;"TransfereGOV",
              ROUND(OFFSET($P189,0,AE$13),15-13*ORÇAMENTO!$AF$7)/$H189*OFFSET(ORÇAMENTO!$X$15,ROW(AE189)-ROW(AE$15),0),
              ROUND(ROUND(OFFSET($P189,0,AE$13),15-13*ORÇAMENTO!$AF$7)*OFFSET(ORÇAMENTO!$W$15,ROW(AE189)-ROW(AE$15),0),15-13*ORÇAMENTO!$AF$11)),
         0)</f>
        <v>0</v>
      </c>
      <c r="AF189" s="454">
        <f ca="1">IF(AND($D189="Serviço",AF$12&lt;&gt;0,$H189&gt;0,OR(AUTOEVENTO&lt;&gt;"manual",$M189&lt;&gt;$A$15)),
        IF(Import.TipoArredondamento&lt;&gt;"TransfereGOV",
              ROUND(OFFSET($P189,0,AF$13),15-13*ORÇAMENTO!$AF$7)/$H189*OFFSET(ORÇAMENTO!$X$15,ROW(AF189)-ROW(AF$15),0),
              ROUND(ROUND(OFFSET($P189,0,AF$13),15-13*ORÇAMENTO!$AF$7)*OFFSET(ORÇAMENTO!$W$15,ROW(AF189)-ROW(AF$15),0),15-13*ORÇAMENTO!$AF$11)),
         0)</f>
        <v>0</v>
      </c>
      <c r="AG189" s="454">
        <f ca="1">IF(AND($D189="Serviço",AG$12&lt;&gt;0,$H189&gt;0,OR(AUTOEVENTO&lt;&gt;"manual",$M189&lt;&gt;$A$15)),
        IF(Import.TipoArredondamento&lt;&gt;"TransfereGOV",
              ROUND(OFFSET($P189,0,AG$13),15-13*ORÇAMENTO!$AF$7)/$H189*OFFSET(ORÇAMENTO!$X$15,ROW(AG189)-ROW(AG$15),0),
              ROUND(ROUND(OFFSET($P189,0,AG$13),15-13*ORÇAMENTO!$AF$7)*OFFSET(ORÇAMENTO!$W$15,ROW(AG189)-ROW(AG$15),0),15-13*ORÇAMENTO!$AF$11)),
         0)</f>
        <v>0</v>
      </c>
      <c r="AH189" s="454">
        <f ca="1">IF(AND($D189="Serviço",AH$12&lt;&gt;0,$H189&gt;0,OR(AUTOEVENTO&lt;&gt;"manual",$M189&lt;&gt;$A$15)),
        IF(Import.TipoArredondamento&lt;&gt;"TransfereGOV",
              ROUND(OFFSET($P189,0,AH$13),15-13*ORÇAMENTO!$AF$7)/$H189*OFFSET(ORÇAMENTO!$X$15,ROW(AH189)-ROW(AH$15),0),
              ROUND(ROUND(OFFSET($P189,0,AH$13),15-13*ORÇAMENTO!$AF$7)*OFFSET(ORÇAMENTO!$W$15,ROW(AH189)-ROW(AH$15),0),15-13*ORÇAMENTO!$AF$11)),
         0)</f>
        <v>0</v>
      </c>
      <c r="AI189" s="454">
        <f ca="1">IF(AND($D189="Serviço",AI$12&lt;&gt;0,$H189&gt;0,OR(AUTOEVENTO&lt;&gt;"manual",$M189&lt;&gt;$A$15)),
        IF(Import.TipoArredondamento&lt;&gt;"TransfereGOV",
              ROUND(OFFSET($P189,0,AI$13),15-13*ORÇAMENTO!$AF$7)/$H189*OFFSET(ORÇAMENTO!$X$15,ROW(AI189)-ROW(AI$15),0),
              ROUND(ROUND(OFFSET($P189,0,AI$13),15-13*ORÇAMENTO!$AF$7)*OFFSET(ORÇAMENTO!$W$15,ROW(AI189)-ROW(AI$15),0),15-13*ORÇAMENTO!$AF$11)),
         0)</f>
        <v>0</v>
      </c>
      <c r="AJ189" s="454">
        <f ca="1">IF(AND($D189="Serviço",AJ$12&lt;&gt;0,$H189&gt;0,OR(AUTOEVENTO&lt;&gt;"manual",$M189&lt;&gt;$A$15)),
        IF(Import.TipoArredondamento&lt;&gt;"TransfereGOV",
              ROUND(OFFSET($P189,0,AJ$13),15-13*ORÇAMENTO!$AF$7)/$H189*OFFSET(ORÇAMENTO!$X$15,ROW(AJ189)-ROW(AJ$15),0),
              ROUND(ROUND(OFFSET($P189,0,AJ$13),15-13*ORÇAMENTO!$AF$7)*OFFSET(ORÇAMENTO!$W$15,ROW(AJ189)-ROW(AJ$15),0),15-13*ORÇAMENTO!$AF$11)),
         0)</f>
        <v>0</v>
      </c>
      <c r="AK189" s="454">
        <f ca="1">IF(AND($D189="Serviço",AK$12&lt;&gt;0,$H189&gt;0,OR(AUTOEVENTO&lt;&gt;"manual",$M189&lt;&gt;$A$15)),
        IF(Import.TipoArredondamento&lt;&gt;"TransfereGOV",
              ROUND(OFFSET($P189,0,AK$13),15-13*ORÇAMENTO!$AF$7)/$H189*OFFSET(ORÇAMENTO!$X$15,ROW(AK189)-ROW(AK$15),0),
              ROUND(ROUND(OFFSET($P189,0,AK$13),15-13*ORÇAMENTO!$AF$7)*OFFSET(ORÇAMENTO!$W$15,ROW(AK189)-ROW(AK$15),0),15-13*ORÇAMENTO!$AF$11)),
         0)</f>
        <v>0</v>
      </c>
      <c r="AM189" s="172">
        <f ca="1">IF(OR($D189&lt;&gt;"Serviço",AND(AUTOEVENTO="Manual",$M189=$A$15)),0,
         IF(OFFSET(CRONOPLE!$F$15,$M189-$A$15,AM$13)="",10^12,OFFSET(CRONOPLE!$F$15,$M189-$A$15,AM$13)))</f>
        <v>1000000000000</v>
      </c>
      <c r="AN189" s="172">
        <f ca="1">IF(OR($D189&lt;&gt;"Serviço",AND(AUTOEVENTO="Manual",$M189=$A$15)),0,
         IF(OFFSET(CRONOPLE!$F$15,$M189-$A$15,AN$13)="",10^12,OFFSET(CRONOPLE!$F$15,$M189-$A$15,AN$13)))</f>
        <v>1000000000000</v>
      </c>
      <c r="AO189" s="172">
        <f ca="1">IF(OR($D189&lt;&gt;"Serviço",AND(AUTOEVENTO="Manual",$M189=$A$15)),0,
         IF(OFFSET(CRONOPLE!$F$15,$M189-$A$15,AO$13)="",10^12,OFFSET(CRONOPLE!$F$15,$M189-$A$15,AO$13)))</f>
        <v>1000000000000</v>
      </c>
      <c r="AP189" s="172">
        <f ca="1">IF(OR($D189&lt;&gt;"Serviço",AND(AUTOEVENTO="Manual",$M189=$A$15)),0,
         IF(OFFSET(CRONOPLE!$F$15,$M189-$A$15,AP$13)="",10^12,OFFSET(CRONOPLE!$F$15,$M189-$A$15,AP$13)))</f>
        <v>1000000000000</v>
      </c>
      <c r="AQ189" s="172">
        <f ca="1">IF(OR($D189&lt;&gt;"Serviço",AND(AUTOEVENTO="Manual",$M189=$A$15)),0,
         IF(OFFSET(CRONOPLE!$F$15,$M189-$A$15,AQ$13)="",10^12,OFFSET(CRONOPLE!$F$15,$M189-$A$15,AQ$13)))</f>
        <v>1000000000000</v>
      </c>
      <c r="AR189" s="172">
        <f ca="1">IF(OR($D189&lt;&gt;"Serviço",AND(AUTOEVENTO="Manual",$M189=$A$15)),0,
         IF(OFFSET(CRONOPLE!$F$15,$M189-$A$15,AR$13)="",10^12,OFFSET(CRONOPLE!$F$15,$M189-$A$15,AR$13)))</f>
        <v>1000000000000</v>
      </c>
      <c r="AS189" s="172">
        <f ca="1">IF(OR($D189&lt;&gt;"Serviço",AND(AUTOEVENTO="Manual",$M189=$A$15)),0,
         IF(OFFSET(CRONOPLE!$F$15,$M189-$A$15,AS$13)="",10^12,OFFSET(CRONOPLE!$F$15,$M189-$A$15,AS$13)))</f>
        <v>1000000000000</v>
      </c>
      <c r="AT189" s="172">
        <f ca="1">IF(OR($D189&lt;&gt;"Serviço",AND(AUTOEVENTO="Manual",$M189=$A$15)),0,
         IF(OFFSET(CRONOPLE!$F$15,$M189-$A$15,AT$13)="",10^12,OFFSET(CRONOPLE!$F$15,$M189-$A$15,AT$13)))</f>
        <v>1000000000000</v>
      </c>
      <c r="AU189" s="172">
        <f ca="1">IF(OR($D189&lt;&gt;"Serviço",AND(AUTOEVENTO="Manual",$M189=$A$15)),0,
         IF(OFFSET(CRONOPLE!$F$15,$M189-$A$15,AU$13)="",10^12,OFFSET(CRONOPLE!$F$15,$M189-$A$15,AU$13)))</f>
        <v>1000000000000</v>
      </c>
      <c r="AV189" s="172">
        <f ca="1">IF(OR($D189&lt;&gt;"Serviço",AND(AUTOEVENTO="Manual",$M189=$A$15)),0,
         IF(OFFSET(CRONOPLE!$F$15,$M189-$A$15,AV$13)="",10^12,OFFSET(CRONOPLE!$F$15,$M189-$A$15,AV$13)))</f>
        <v>1000000000000</v>
      </c>
      <c r="AX189" s="173">
        <f ca="1">IF(OR($D189&lt;&gt;"Serviço",AND(AUTOEVENTO="Manual",$M189=$A$15),$M189&gt;(ROW(PLE.lastrow)-ROW(PLE.firstrow))),0,
           IF(OFFSET(PLE!$G$15,$M189-$A$15,AX$13)="",10^12,OFFSET(PLE!$G$15,$M189-$A$15,AX$13)))</f>
        <v>1000000000000</v>
      </c>
      <c r="AY189" s="173">
        <f ca="1">IF(OR($D189&lt;&gt;"Serviço",AND(AUTOEVENTO="Manual",$M189=$A$15),$M189&gt;(ROW(PLE.lastrow)-ROW(PLE.firstrow))),0,
           IF(OFFSET(PLE!$G$15,$M189-$A$15,AY$13)="",10^12,OFFSET(PLE!$G$15,$M189-$A$15,AY$13)))</f>
        <v>1000000000000</v>
      </c>
      <c r="AZ189" s="173">
        <f ca="1">IF(OR($D189&lt;&gt;"Serviço",AND(AUTOEVENTO="Manual",$M189=$A$15),$M189&gt;(ROW(PLE.lastrow)-ROW(PLE.firstrow))),0,
           IF(OFFSET(PLE!$G$15,$M189-$A$15,AZ$13)="",10^12,OFFSET(PLE!$G$15,$M189-$A$15,AZ$13)))</f>
        <v>1000000000000</v>
      </c>
      <c r="BA189" s="173">
        <f ca="1">IF(OR($D189&lt;&gt;"Serviço",AND(AUTOEVENTO="Manual",$M189=$A$15),$M189&gt;(ROW(PLE.lastrow)-ROW(PLE.firstrow))),0,
           IF(OFFSET(PLE!$G$15,$M189-$A$15,BA$13)="",10^12,OFFSET(PLE!$G$15,$M189-$A$15,BA$13)))</f>
        <v>1000000000000</v>
      </c>
      <c r="BB189" s="173">
        <f ca="1">IF(OR($D189&lt;&gt;"Serviço",AND(AUTOEVENTO="Manual",$M189=$A$15),$M189&gt;(ROW(PLE.lastrow)-ROW(PLE.firstrow))),0,
           IF(OFFSET(PLE!$G$15,$M189-$A$15,BB$13)="",10^12,OFFSET(PLE!$G$15,$M189-$A$15,BB$13)))</f>
        <v>1000000000000</v>
      </c>
      <c r="BC189" s="173">
        <f ca="1">IF(OR($D189&lt;&gt;"Serviço",AND(AUTOEVENTO="Manual",$M189=$A$15),$M189&gt;(ROW(PLE.lastrow)-ROW(PLE.firstrow))),0,
           IF(OFFSET(PLE!$G$15,$M189-$A$15,BC$13)="",10^12,OFFSET(PLE!$G$15,$M189-$A$15,BC$13)))</f>
        <v>1000000000000</v>
      </c>
      <c r="BD189" s="173">
        <f ca="1">IF(OR($D189&lt;&gt;"Serviço",AND(AUTOEVENTO="Manual",$M189=$A$15),$M189&gt;(ROW(PLE.lastrow)-ROW(PLE.firstrow))),0,
           IF(OFFSET(PLE!$G$15,$M189-$A$15,BD$13)="",10^12,OFFSET(PLE!$G$15,$M189-$A$15,BD$13)))</f>
        <v>1000000000000</v>
      </c>
      <c r="BE189" s="173">
        <f ca="1">IF(OR($D189&lt;&gt;"Serviço",AND(AUTOEVENTO="Manual",$M189=$A$15),$M189&gt;(ROW(PLE.lastrow)-ROW(PLE.firstrow))),0,
           IF(OFFSET(PLE!$G$15,$M189-$A$15,BE$13)="",10^12,OFFSET(PLE!$G$15,$M189-$A$15,BE$13)))</f>
        <v>1000000000000</v>
      </c>
      <c r="BF189" s="173">
        <f ca="1">IF(OR($D189&lt;&gt;"Serviço",AND(AUTOEVENTO="Manual",$M189=$A$15),$M189&gt;(ROW(PLE.lastrow)-ROW(PLE.firstrow))),0,
           IF(OFFSET(PLE!$G$15,$M189-$A$15,BF$13)="",10^12,OFFSET(PLE!$G$15,$M189-$A$15,BF$13)))</f>
        <v>1000000000000</v>
      </c>
      <c r="BG189" s="173">
        <f ca="1">IF(OR($D189&lt;&gt;"Serviço",AND(AUTOEVENTO="Manual",$M189=$A$15),$M189&gt;(ROW(PLE.lastrow)-ROW(PLE.firstrow))),0,
           IF(OFFSET(PLE!$G$15,$M189-$A$15,BG$13)="",10^12,OFFSET(PLE!$G$15,$M189-$A$15,BG$13)))</f>
        <v>1000000000000</v>
      </c>
    </row>
    <row r="190" spans="1:59" ht="38.25" x14ac:dyDescent="0.2">
      <c r="A190" s="7" t="str">
        <f t="shared" ca="1" si="10"/>
        <v>114</v>
      </c>
      <c r="B190" s="7" t="str">
        <f ca="1">OFFSET(ORÇAMENTO!C$15,ROW(B190)-ROW(B$15),0)</f>
        <v>S</v>
      </c>
      <c r="C190" s="7" t="str">
        <f ca="1">OFFSET(ORÇAMENTO!L$15,ROW(C190)-ROW(C$15),0)</f>
        <v/>
      </c>
      <c r="D190" s="117" t="str">
        <f ca="1">OFFSET(ORÇAMENTO!N$15,ROW(D190)-ROW(D$15),0)</f>
        <v>Serviço</v>
      </c>
      <c r="E190" s="118" t="str">
        <f ca="1">OFFSET(ORÇAMENTO!O$15,ROW(E190)-ROW(E$15),0)</f>
        <v>-</v>
      </c>
      <c r="F190" s="164" t="str">
        <f ca="1">OFFSET(ORÇAMENTO!R$15,ROW(F190)-ROW(F$15),0)</f>
        <v>JOELHO 45 GRAUS, PVC, SOLDÁVEL, DN 32MM, INSTALADO EM RAMAL OU SUB-RAMAL DE ÁGUA - FORNECIMENTO E INSTALAÇÃO. AF_06/2022</v>
      </c>
      <c r="G190" s="165" t="str">
        <f ca="1">IF($D190&lt;&gt;"Serviço","",OFFSET(ORÇAMENTO!S$15,ROW(G190)-ROW(G$15),0))</f>
        <v>UN</v>
      </c>
      <c r="H190" s="123">
        <f ca="1">IF($D190&lt;&gt;"Serviço",0,IF(ACOMPANHAMENTO="BM",ROUND(OFFSET(ORÇAMENTO!AJ$15,ROW(H190)-ROW(H$15),0),15-13*ORÇAMENTO!$AF$7),SUMPRODUCT(($Q$1:$AA$1=1)*ROUND($Q190:$AA190,15-13*ORÇAMENTO!$AF$7))))</f>
        <v>36</v>
      </c>
      <c r="I190" s="469"/>
      <c r="J190" s="577" t="str" cm="1">
        <f t="array" aca="1" ref="J190" ca="1">IF(B190&lt;&gt;"S","",IF(AND(ACOMPANHAMENTO="PLE",AUTOEVENTO="Manual",OR(H190&gt;0,ORÇAMENTO!AC190="QUANT."),OR(K190="",M190=0,N190="")),"►",IF(AND(ACOMPANHAMENTO="PLE",ORÇAMENTO!AC190="QUANT."),"►►",IF(AND(COUNTIF($P$11:$AA$11,"▼")=0,H190&gt;0,I190=""),"◄",""))))</f>
        <v>◄</v>
      </c>
      <c r="K190" s="626"/>
      <c r="L190" s="166" t="s">
        <v>765</v>
      </c>
      <c r="M190" s="167">
        <f ca="1">IF($D190&lt;&gt;"Serviço","",
          IF(AUTOEVENTO="manual",$A190,
                IF(ISERROR(MATCH($A190,$A$15:OFFSET($A190,-1,0),0)),MAX($M$15:OFFSET(M190,-1,0))+1,
                      INDEX($M$15:OFFSET(M190,-1,0),MATCH($A190,$A$15:OFFSET($A190,-1,0),0)))))</f>
        <v>11</v>
      </c>
      <c r="N190" s="168" t="str">
        <f ca="1">IF($D190&lt;&gt;"Serviço","",
         IF(AUTOEVENTO="Manual",
                IF($A190=0,"&lt;-- defina o número do agrupador",
                       OFFSET(EVENTOS!$D$15,$A190-$A$15,0)),
                OFFSET($F$15,$A190,0)))</f>
        <v>INSTALAÇÕES HIDROSSANITÁRIAS</v>
      </c>
      <c r="O190" s="169"/>
      <c r="Q190" s="169"/>
      <c r="R190" s="170"/>
      <c r="S190" s="170"/>
      <c r="T190" s="170"/>
      <c r="U190" s="170"/>
      <c r="V190" s="170"/>
      <c r="W190" s="170"/>
      <c r="X190" s="170"/>
      <c r="Y190" s="170"/>
      <c r="Z190" s="171"/>
      <c r="AB190" s="454">
        <f ca="1">IF(AND($D190="Serviço",AB$12&lt;&gt;0,$H190&gt;0,OR(AUTOEVENTO&lt;&gt;"manual",$M190&lt;&gt;$A$15)),
        IF(Import.TipoArredondamento&lt;&gt;"TransfereGOV",
              ROUND(OFFSET($P190,0,AB$13),15-13*ORÇAMENTO!$AF$7)/$H190*OFFSET(ORÇAMENTO!$X$15,ROW(AB190)-ROW(AB$15),0),
              ROUND(ROUND(OFFSET($P190,0,AB$13),15-13*ORÇAMENTO!$AF$7)*OFFSET(ORÇAMENTO!$W$15,ROW(AB190)-ROW(AB$15),0),15-13*ORÇAMENTO!$AF$11)),
         0)</f>
        <v>0</v>
      </c>
      <c r="AC190" s="454">
        <f ca="1">IF(AND($D190="Serviço",AC$12&lt;&gt;0,$H190&gt;0,OR(AUTOEVENTO&lt;&gt;"manual",$M190&lt;&gt;$A$15)),
        IF(Import.TipoArredondamento&lt;&gt;"TransfereGOV",
              ROUND(OFFSET($P190,0,AC$13),15-13*ORÇAMENTO!$AF$7)/$H190*OFFSET(ORÇAMENTO!$X$15,ROW(AC190)-ROW(AC$15),0),
              ROUND(ROUND(OFFSET($P190,0,AC$13),15-13*ORÇAMENTO!$AF$7)*OFFSET(ORÇAMENTO!$W$15,ROW(AC190)-ROW(AC$15),0),15-13*ORÇAMENTO!$AF$11)),
         0)</f>
        <v>0</v>
      </c>
      <c r="AD190" s="454">
        <f ca="1">IF(AND($D190="Serviço",AD$12&lt;&gt;0,$H190&gt;0,OR(AUTOEVENTO&lt;&gt;"manual",$M190&lt;&gt;$A$15)),
        IF(Import.TipoArredondamento&lt;&gt;"TransfereGOV",
              ROUND(OFFSET($P190,0,AD$13),15-13*ORÇAMENTO!$AF$7)/$H190*OFFSET(ORÇAMENTO!$X$15,ROW(AD190)-ROW(AD$15),0),
              ROUND(ROUND(OFFSET($P190,0,AD$13),15-13*ORÇAMENTO!$AF$7)*OFFSET(ORÇAMENTO!$W$15,ROW(AD190)-ROW(AD$15),0),15-13*ORÇAMENTO!$AF$11)),
         0)</f>
        <v>0</v>
      </c>
      <c r="AE190" s="454">
        <f ca="1">IF(AND($D190="Serviço",AE$12&lt;&gt;0,$H190&gt;0,OR(AUTOEVENTO&lt;&gt;"manual",$M190&lt;&gt;$A$15)),
        IF(Import.TipoArredondamento&lt;&gt;"TransfereGOV",
              ROUND(OFFSET($P190,0,AE$13),15-13*ORÇAMENTO!$AF$7)/$H190*OFFSET(ORÇAMENTO!$X$15,ROW(AE190)-ROW(AE$15),0),
              ROUND(ROUND(OFFSET($P190,0,AE$13),15-13*ORÇAMENTO!$AF$7)*OFFSET(ORÇAMENTO!$W$15,ROW(AE190)-ROW(AE$15),0),15-13*ORÇAMENTO!$AF$11)),
         0)</f>
        <v>0</v>
      </c>
      <c r="AF190" s="454">
        <f ca="1">IF(AND($D190="Serviço",AF$12&lt;&gt;0,$H190&gt;0,OR(AUTOEVENTO&lt;&gt;"manual",$M190&lt;&gt;$A$15)),
        IF(Import.TipoArredondamento&lt;&gt;"TransfereGOV",
              ROUND(OFFSET($P190,0,AF$13),15-13*ORÇAMENTO!$AF$7)/$H190*OFFSET(ORÇAMENTO!$X$15,ROW(AF190)-ROW(AF$15),0),
              ROUND(ROUND(OFFSET($P190,0,AF$13),15-13*ORÇAMENTO!$AF$7)*OFFSET(ORÇAMENTO!$W$15,ROW(AF190)-ROW(AF$15),0),15-13*ORÇAMENTO!$AF$11)),
         0)</f>
        <v>0</v>
      </c>
      <c r="AG190" s="454">
        <f ca="1">IF(AND($D190="Serviço",AG$12&lt;&gt;0,$H190&gt;0,OR(AUTOEVENTO&lt;&gt;"manual",$M190&lt;&gt;$A$15)),
        IF(Import.TipoArredondamento&lt;&gt;"TransfereGOV",
              ROUND(OFFSET($P190,0,AG$13),15-13*ORÇAMENTO!$AF$7)/$H190*OFFSET(ORÇAMENTO!$X$15,ROW(AG190)-ROW(AG$15),0),
              ROUND(ROUND(OFFSET($P190,0,AG$13),15-13*ORÇAMENTO!$AF$7)*OFFSET(ORÇAMENTO!$W$15,ROW(AG190)-ROW(AG$15),0),15-13*ORÇAMENTO!$AF$11)),
         0)</f>
        <v>0</v>
      </c>
      <c r="AH190" s="454">
        <f ca="1">IF(AND($D190="Serviço",AH$12&lt;&gt;0,$H190&gt;0,OR(AUTOEVENTO&lt;&gt;"manual",$M190&lt;&gt;$A$15)),
        IF(Import.TipoArredondamento&lt;&gt;"TransfereGOV",
              ROUND(OFFSET($P190,0,AH$13),15-13*ORÇAMENTO!$AF$7)/$H190*OFFSET(ORÇAMENTO!$X$15,ROW(AH190)-ROW(AH$15),0),
              ROUND(ROUND(OFFSET($P190,0,AH$13),15-13*ORÇAMENTO!$AF$7)*OFFSET(ORÇAMENTO!$W$15,ROW(AH190)-ROW(AH$15),0),15-13*ORÇAMENTO!$AF$11)),
         0)</f>
        <v>0</v>
      </c>
      <c r="AI190" s="454">
        <f ca="1">IF(AND($D190="Serviço",AI$12&lt;&gt;0,$H190&gt;0,OR(AUTOEVENTO&lt;&gt;"manual",$M190&lt;&gt;$A$15)),
        IF(Import.TipoArredondamento&lt;&gt;"TransfereGOV",
              ROUND(OFFSET($P190,0,AI$13),15-13*ORÇAMENTO!$AF$7)/$H190*OFFSET(ORÇAMENTO!$X$15,ROW(AI190)-ROW(AI$15),0),
              ROUND(ROUND(OFFSET($P190,0,AI$13),15-13*ORÇAMENTO!$AF$7)*OFFSET(ORÇAMENTO!$W$15,ROW(AI190)-ROW(AI$15),0),15-13*ORÇAMENTO!$AF$11)),
         0)</f>
        <v>0</v>
      </c>
      <c r="AJ190" s="454">
        <f ca="1">IF(AND($D190="Serviço",AJ$12&lt;&gt;0,$H190&gt;0,OR(AUTOEVENTO&lt;&gt;"manual",$M190&lt;&gt;$A$15)),
        IF(Import.TipoArredondamento&lt;&gt;"TransfereGOV",
              ROUND(OFFSET($P190,0,AJ$13),15-13*ORÇAMENTO!$AF$7)/$H190*OFFSET(ORÇAMENTO!$X$15,ROW(AJ190)-ROW(AJ$15),0),
              ROUND(ROUND(OFFSET($P190,0,AJ$13),15-13*ORÇAMENTO!$AF$7)*OFFSET(ORÇAMENTO!$W$15,ROW(AJ190)-ROW(AJ$15),0),15-13*ORÇAMENTO!$AF$11)),
         0)</f>
        <v>0</v>
      </c>
      <c r="AK190" s="454">
        <f ca="1">IF(AND($D190="Serviço",AK$12&lt;&gt;0,$H190&gt;0,OR(AUTOEVENTO&lt;&gt;"manual",$M190&lt;&gt;$A$15)),
        IF(Import.TipoArredondamento&lt;&gt;"TransfereGOV",
              ROUND(OFFSET($P190,0,AK$13),15-13*ORÇAMENTO!$AF$7)/$H190*OFFSET(ORÇAMENTO!$X$15,ROW(AK190)-ROW(AK$15),0),
              ROUND(ROUND(OFFSET($P190,0,AK$13),15-13*ORÇAMENTO!$AF$7)*OFFSET(ORÇAMENTO!$W$15,ROW(AK190)-ROW(AK$15),0),15-13*ORÇAMENTO!$AF$11)),
         0)</f>
        <v>0</v>
      </c>
      <c r="AM190" s="172">
        <f ca="1">IF(OR($D190&lt;&gt;"Serviço",AND(AUTOEVENTO="Manual",$M190=$A$15)),0,
         IF(OFFSET(CRONOPLE!$F$15,$M190-$A$15,AM$13)="",10^12,OFFSET(CRONOPLE!$F$15,$M190-$A$15,AM$13)))</f>
        <v>1000000000000</v>
      </c>
      <c r="AN190" s="172">
        <f ca="1">IF(OR($D190&lt;&gt;"Serviço",AND(AUTOEVENTO="Manual",$M190=$A$15)),0,
         IF(OFFSET(CRONOPLE!$F$15,$M190-$A$15,AN$13)="",10^12,OFFSET(CRONOPLE!$F$15,$M190-$A$15,AN$13)))</f>
        <v>1000000000000</v>
      </c>
      <c r="AO190" s="172">
        <f ca="1">IF(OR($D190&lt;&gt;"Serviço",AND(AUTOEVENTO="Manual",$M190=$A$15)),0,
         IF(OFFSET(CRONOPLE!$F$15,$M190-$A$15,AO$13)="",10^12,OFFSET(CRONOPLE!$F$15,$M190-$A$15,AO$13)))</f>
        <v>1000000000000</v>
      </c>
      <c r="AP190" s="172">
        <f ca="1">IF(OR($D190&lt;&gt;"Serviço",AND(AUTOEVENTO="Manual",$M190=$A$15)),0,
         IF(OFFSET(CRONOPLE!$F$15,$M190-$A$15,AP$13)="",10^12,OFFSET(CRONOPLE!$F$15,$M190-$A$15,AP$13)))</f>
        <v>1000000000000</v>
      </c>
      <c r="AQ190" s="172">
        <f ca="1">IF(OR($D190&lt;&gt;"Serviço",AND(AUTOEVENTO="Manual",$M190=$A$15)),0,
         IF(OFFSET(CRONOPLE!$F$15,$M190-$A$15,AQ$13)="",10^12,OFFSET(CRONOPLE!$F$15,$M190-$A$15,AQ$13)))</f>
        <v>1000000000000</v>
      </c>
      <c r="AR190" s="172">
        <f ca="1">IF(OR($D190&lt;&gt;"Serviço",AND(AUTOEVENTO="Manual",$M190=$A$15)),0,
         IF(OFFSET(CRONOPLE!$F$15,$M190-$A$15,AR$13)="",10^12,OFFSET(CRONOPLE!$F$15,$M190-$A$15,AR$13)))</f>
        <v>1000000000000</v>
      </c>
      <c r="AS190" s="172">
        <f ca="1">IF(OR($D190&lt;&gt;"Serviço",AND(AUTOEVENTO="Manual",$M190=$A$15)),0,
         IF(OFFSET(CRONOPLE!$F$15,$M190-$A$15,AS$13)="",10^12,OFFSET(CRONOPLE!$F$15,$M190-$A$15,AS$13)))</f>
        <v>1000000000000</v>
      </c>
      <c r="AT190" s="172">
        <f ca="1">IF(OR($D190&lt;&gt;"Serviço",AND(AUTOEVENTO="Manual",$M190=$A$15)),0,
         IF(OFFSET(CRONOPLE!$F$15,$M190-$A$15,AT$13)="",10^12,OFFSET(CRONOPLE!$F$15,$M190-$A$15,AT$13)))</f>
        <v>1000000000000</v>
      </c>
      <c r="AU190" s="172">
        <f ca="1">IF(OR($D190&lt;&gt;"Serviço",AND(AUTOEVENTO="Manual",$M190=$A$15)),0,
         IF(OFFSET(CRONOPLE!$F$15,$M190-$A$15,AU$13)="",10^12,OFFSET(CRONOPLE!$F$15,$M190-$A$15,AU$13)))</f>
        <v>1000000000000</v>
      </c>
      <c r="AV190" s="172">
        <f ca="1">IF(OR($D190&lt;&gt;"Serviço",AND(AUTOEVENTO="Manual",$M190=$A$15)),0,
         IF(OFFSET(CRONOPLE!$F$15,$M190-$A$15,AV$13)="",10^12,OFFSET(CRONOPLE!$F$15,$M190-$A$15,AV$13)))</f>
        <v>1000000000000</v>
      </c>
      <c r="AX190" s="173">
        <f ca="1">IF(OR($D190&lt;&gt;"Serviço",AND(AUTOEVENTO="Manual",$M190=$A$15),$M190&gt;(ROW(PLE.lastrow)-ROW(PLE.firstrow))),0,
           IF(OFFSET(PLE!$G$15,$M190-$A$15,AX$13)="",10^12,OFFSET(PLE!$G$15,$M190-$A$15,AX$13)))</f>
        <v>1000000000000</v>
      </c>
      <c r="AY190" s="173">
        <f ca="1">IF(OR($D190&lt;&gt;"Serviço",AND(AUTOEVENTO="Manual",$M190=$A$15),$M190&gt;(ROW(PLE.lastrow)-ROW(PLE.firstrow))),0,
           IF(OFFSET(PLE!$G$15,$M190-$A$15,AY$13)="",10^12,OFFSET(PLE!$G$15,$M190-$A$15,AY$13)))</f>
        <v>1000000000000</v>
      </c>
      <c r="AZ190" s="173">
        <f ca="1">IF(OR($D190&lt;&gt;"Serviço",AND(AUTOEVENTO="Manual",$M190=$A$15),$M190&gt;(ROW(PLE.lastrow)-ROW(PLE.firstrow))),0,
           IF(OFFSET(PLE!$G$15,$M190-$A$15,AZ$13)="",10^12,OFFSET(PLE!$G$15,$M190-$A$15,AZ$13)))</f>
        <v>1000000000000</v>
      </c>
      <c r="BA190" s="173">
        <f ca="1">IF(OR($D190&lt;&gt;"Serviço",AND(AUTOEVENTO="Manual",$M190=$A$15),$M190&gt;(ROW(PLE.lastrow)-ROW(PLE.firstrow))),0,
           IF(OFFSET(PLE!$G$15,$M190-$A$15,BA$13)="",10^12,OFFSET(PLE!$G$15,$M190-$A$15,BA$13)))</f>
        <v>1000000000000</v>
      </c>
      <c r="BB190" s="173">
        <f ca="1">IF(OR($D190&lt;&gt;"Serviço",AND(AUTOEVENTO="Manual",$M190=$A$15),$M190&gt;(ROW(PLE.lastrow)-ROW(PLE.firstrow))),0,
           IF(OFFSET(PLE!$G$15,$M190-$A$15,BB$13)="",10^12,OFFSET(PLE!$G$15,$M190-$A$15,BB$13)))</f>
        <v>1000000000000</v>
      </c>
      <c r="BC190" s="173">
        <f ca="1">IF(OR($D190&lt;&gt;"Serviço",AND(AUTOEVENTO="Manual",$M190=$A$15),$M190&gt;(ROW(PLE.lastrow)-ROW(PLE.firstrow))),0,
           IF(OFFSET(PLE!$G$15,$M190-$A$15,BC$13)="",10^12,OFFSET(PLE!$G$15,$M190-$A$15,BC$13)))</f>
        <v>1000000000000</v>
      </c>
      <c r="BD190" s="173">
        <f ca="1">IF(OR($D190&lt;&gt;"Serviço",AND(AUTOEVENTO="Manual",$M190=$A$15),$M190&gt;(ROW(PLE.lastrow)-ROW(PLE.firstrow))),0,
           IF(OFFSET(PLE!$G$15,$M190-$A$15,BD$13)="",10^12,OFFSET(PLE!$G$15,$M190-$A$15,BD$13)))</f>
        <v>1000000000000</v>
      </c>
      <c r="BE190" s="173">
        <f ca="1">IF(OR($D190&lt;&gt;"Serviço",AND(AUTOEVENTO="Manual",$M190=$A$15),$M190&gt;(ROW(PLE.lastrow)-ROW(PLE.firstrow))),0,
           IF(OFFSET(PLE!$G$15,$M190-$A$15,BE$13)="",10^12,OFFSET(PLE!$G$15,$M190-$A$15,BE$13)))</f>
        <v>1000000000000</v>
      </c>
      <c r="BF190" s="173">
        <f ca="1">IF(OR($D190&lt;&gt;"Serviço",AND(AUTOEVENTO="Manual",$M190=$A$15),$M190&gt;(ROW(PLE.lastrow)-ROW(PLE.firstrow))),0,
           IF(OFFSET(PLE!$G$15,$M190-$A$15,BF$13)="",10^12,OFFSET(PLE!$G$15,$M190-$A$15,BF$13)))</f>
        <v>1000000000000</v>
      </c>
      <c r="BG190" s="173">
        <f ca="1">IF(OR($D190&lt;&gt;"Serviço",AND(AUTOEVENTO="Manual",$M190=$A$15),$M190&gt;(ROW(PLE.lastrow)-ROW(PLE.firstrow))),0,
           IF(OFFSET(PLE!$G$15,$M190-$A$15,BG$13)="",10^12,OFFSET(PLE!$G$15,$M190-$A$15,BG$13)))</f>
        <v>1000000000000</v>
      </c>
    </row>
    <row r="191" spans="1:59" ht="38.25" x14ac:dyDescent="0.2">
      <c r="A191" s="7" t="str">
        <f t="shared" ca="1" si="10"/>
        <v>114</v>
      </c>
      <c r="B191" s="7" t="str">
        <f ca="1">OFFSET(ORÇAMENTO!C$15,ROW(B191)-ROW(B$15),0)</f>
        <v>S</v>
      </c>
      <c r="C191" s="7" t="str">
        <f ca="1">OFFSET(ORÇAMENTO!L$15,ROW(C191)-ROW(C$15),0)</f>
        <v/>
      </c>
      <c r="D191" s="117" t="str">
        <f ca="1">OFFSET(ORÇAMENTO!N$15,ROW(D191)-ROW(D$15),0)</f>
        <v>Serviço</v>
      </c>
      <c r="E191" s="118" t="str">
        <f ca="1">OFFSET(ORÇAMENTO!O$15,ROW(E191)-ROW(E$15),0)</f>
        <v>-</v>
      </c>
      <c r="F191" s="164" t="str">
        <f ca="1">OFFSET(ORÇAMENTO!R$15,ROW(F191)-ROW(F$15),0)</f>
        <v>JOELHO 45 GRAUS, PVC, SOLDÁVEL, DN 25MM, INSTALADO EM RAMAL DE DISTRIBUIÇÃO DE ÁGUA - FORNECIMENTO E INSTALAÇÃO. AF_06/2022</v>
      </c>
      <c r="G191" s="165" t="str">
        <f ca="1">IF($D191&lt;&gt;"Serviço","",OFFSET(ORÇAMENTO!S$15,ROW(G191)-ROW(G$15),0))</f>
        <v>UN</v>
      </c>
      <c r="H191" s="123">
        <f ca="1">IF($D191&lt;&gt;"Serviço",0,IF(ACOMPANHAMENTO="BM",ROUND(OFFSET(ORÇAMENTO!AJ$15,ROW(H191)-ROW(H$15),0),15-13*ORÇAMENTO!$AF$7),SUMPRODUCT(($Q$1:$AA$1=1)*ROUND($Q191:$AA191,15-13*ORÇAMENTO!$AF$7))))</f>
        <v>34</v>
      </c>
      <c r="I191" s="469"/>
      <c r="J191" s="577" t="str" cm="1">
        <f t="array" aca="1" ref="J191" ca="1">IF(B191&lt;&gt;"S","",IF(AND(ACOMPANHAMENTO="PLE",AUTOEVENTO="Manual",OR(H191&gt;0,ORÇAMENTO!AC191="QUANT."),OR(K191="",M191=0,N191="")),"►",IF(AND(ACOMPANHAMENTO="PLE",ORÇAMENTO!AC191="QUANT."),"►►",IF(AND(COUNTIF($P$11:$AA$11,"▼")=0,H191&gt;0,I191=""),"◄",""))))</f>
        <v>◄</v>
      </c>
      <c r="K191" s="626"/>
      <c r="L191" s="166" t="s">
        <v>765</v>
      </c>
      <c r="M191" s="167">
        <f ca="1">IF($D191&lt;&gt;"Serviço","",
          IF(AUTOEVENTO="manual",$A191,
                IF(ISERROR(MATCH($A191,$A$15:OFFSET($A191,-1,0),0)),MAX($M$15:OFFSET(M191,-1,0))+1,
                      INDEX($M$15:OFFSET(M191,-1,0),MATCH($A191,$A$15:OFFSET($A191,-1,0),0)))))</f>
        <v>11</v>
      </c>
      <c r="N191" s="168" t="str">
        <f ca="1">IF($D191&lt;&gt;"Serviço","",
         IF(AUTOEVENTO="Manual",
                IF($A191=0,"&lt;-- defina o número do agrupador",
                       OFFSET(EVENTOS!$D$15,$A191-$A$15,0)),
                OFFSET($F$15,$A191,0)))</f>
        <v>INSTALAÇÕES HIDROSSANITÁRIAS</v>
      </c>
      <c r="O191" s="169"/>
      <c r="Q191" s="169"/>
      <c r="R191" s="170"/>
      <c r="S191" s="170"/>
      <c r="T191" s="170"/>
      <c r="U191" s="170"/>
      <c r="V191" s="170"/>
      <c r="W191" s="170"/>
      <c r="X191" s="170"/>
      <c r="Y191" s="170"/>
      <c r="Z191" s="171"/>
      <c r="AB191" s="454">
        <f ca="1">IF(AND($D191="Serviço",AB$12&lt;&gt;0,$H191&gt;0,OR(AUTOEVENTO&lt;&gt;"manual",$M191&lt;&gt;$A$15)),
        IF(Import.TipoArredondamento&lt;&gt;"TransfereGOV",
              ROUND(OFFSET($P191,0,AB$13),15-13*ORÇAMENTO!$AF$7)/$H191*OFFSET(ORÇAMENTO!$X$15,ROW(AB191)-ROW(AB$15),0),
              ROUND(ROUND(OFFSET($P191,0,AB$13),15-13*ORÇAMENTO!$AF$7)*OFFSET(ORÇAMENTO!$W$15,ROW(AB191)-ROW(AB$15),0),15-13*ORÇAMENTO!$AF$11)),
         0)</f>
        <v>0</v>
      </c>
      <c r="AC191" s="454">
        <f ca="1">IF(AND($D191="Serviço",AC$12&lt;&gt;0,$H191&gt;0,OR(AUTOEVENTO&lt;&gt;"manual",$M191&lt;&gt;$A$15)),
        IF(Import.TipoArredondamento&lt;&gt;"TransfereGOV",
              ROUND(OFFSET($P191,0,AC$13),15-13*ORÇAMENTO!$AF$7)/$H191*OFFSET(ORÇAMENTO!$X$15,ROW(AC191)-ROW(AC$15),0),
              ROUND(ROUND(OFFSET($P191,0,AC$13),15-13*ORÇAMENTO!$AF$7)*OFFSET(ORÇAMENTO!$W$15,ROW(AC191)-ROW(AC$15),0),15-13*ORÇAMENTO!$AF$11)),
         0)</f>
        <v>0</v>
      </c>
      <c r="AD191" s="454">
        <f ca="1">IF(AND($D191="Serviço",AD$12&lt;&gt;0,$H191&gt;0,OR(AUTOEVENTO&lt;&gt;"manual",$M191&lt;&gt;$A$15)),
        IF(Import.TipoArredondamento&lt;&gt;"TransfereGOV",
              ROUND(OFFSET($P191,0,AD$13),15-13*ORÇAMENTO!$AF$7)/$H191*OFFSET(ORÇAMENTO!$X$15,ROW(AD191)-ROW(AD$15),0),
              ROUND(ROUND(OFFSET($P191,0,AD$13),15-13*ORÇAMENTO!$AF$7)*OFFSET(ORÇAMENTO!$W$15,ROW(AD191)-ROW(AD$15),0),15-13*ORÇAMENTO!$AF$11)),
         0)</f>
        <v>0</v>
      </c>
      <c r="AE191" s="454">
        <f ca="1">IF(AND($D191="Serviço",AE$12&lt;&gt;0,$H191&gt;0,OR(AUTOEVENTO&lt;&gt;"manual",$M191&lt;&gt;$A$15)),
        IF(Import.TipoArredondamento&lt;&gt;"TransfereGOV",
              ROUND(OFFSET($P191,0,AE$13),15-13*ORÇAMENTO!$AF$7)/$H191*OFFSET(ORÇAMENTO!$X$15,ROW(AE191)-ROW(AE$15),0),
              ROUND(ROUND(OFFSET($P191,0,AE$13),15-13*ORÇAMENTO!$AF$7)*OFFSET(ORÇAMENTO!$W$15,ROW(AE191)-ROW(AE$15),0),15-13*ORÇAMENTO!$AF$11)),
         0)</f>
        <v>0</v>
      </c>
      <c r="AF191" s="454">
        <f ca="1">IF(AND($D191="Serviço",AF$12&lt;&gt;0,$H191&gt;0,OR(AUTOEVENTO&lt;&gt;"manual",$M191&lt;&gt;$A$15)),
        IF(Import.TipoArredondamento&lt;&gt;"TransfereGOV",
              ROUND(OFFSET($P191,0,AF$13),15-13*ORÇAMENTO!$AF$7)/$H191*OFFSET(ORÇAMENTO!$X$15,ROW(AF191)-ROW(AF$15),0),
              ROUND(ROUND(OFFSET($P191,0,AF$13),15-13*ORÇAMENTO!$AF$7)*OFFSET(ORÇAMENTO!$W$15,ROW(AF191)-ROW(AF$15),0),15-13*ORÇAMENTO!$AF$11)),
         0)</f>
        <v>0</v>
      </c>
      <c r="AG191" s="454">
        <f ca="1">IF(AND($D191="Serviço",AG$12&lt;&gt;0,$H191&gt;0,OR(AUTOEVENTO&lt;&gt;"manual",$M191&lt;&gt;$A$15)),
        IF(Import.TipoArredondamento&lt;&gt;"TransfereGOV",
              ROUND(OFFSET($P191,0,AG$13),15-13*ORÇAMENTO!$AF$7)/$H191*OFFSET(ORÇAMENTO!$X$15,ROW(AG191)-ROW(AG$15),0),
              ROUND(ROUND(OFFSET($P191,0,AG$13),15-13*ORÇAMENTO!$AF$7)*OFFSET(ORÇAMENTO!$W$15,ROW(AG191)-ROW(AG$15),0),15-13*ORÇAMENTO!$AF$11)),
         0)</f>
        <v>0</v>
      </c>
      <c r="AH191" s="454">
        <f ca="1">IF(AND($D191="Serviço",AH$12&lt;&gt;0,$H191&gt;0,OR(AUTOEVENTO&lt;&gt;"manual",$M191&lt;&gt;$A$15)),
        IF(Import.TipoArredondamento&lt;&gt;"TransfereGOV",
              ROUND(OFFSET($P191,0,AH$13),15-13*ORÇAMENTO!$AF$7)/$H191*OFFSET(ORÇAMENTO!$X$15,ROW(AH191)-ROW(AH$15),0),
              ROUND(ROUND(OFFSET($P191,0,AH$13),15-13*ORÇAMENTO!$AF$7)*OFFSET(ORÇAMENTO!$W$15,ROW(AH191)-ROW(AH$15),0),15-13*ORÇAMENTO!$AF$11)),
         0)</f>
        <v>0</v>
      </c>
      <c r="AI191" s="454">
        <f ca="1">IF(AND($D191="Serviço",AI$12&lt;&gt;0,$H191&gt;0,OR(AUTOEVENTO&lt;&gt;"manual",$M191&lt;&gt;$A$15)),
        IF(Import.TipoArredondamento&lt;&gt;"TransfereGOV",
              ROUND(OFFSET($P191,0,AI$13),15-13*ORÇAMENTO!$AF$7)/$H191*OFFSET(ORÇAMENTO!$X$15,ROW(AI191)-ROW(AI$15),0),
              ROUND(ROUND(OFFSET($P191,0,AI$13),15-13*ORÇAMENTO!$AF$7)*OFFSET(ORÇAMENTO!$W$15,ROW(AI191)-ROW(AI$15),0),15-13*ORÇAMENTO!$AF$11)),
         0)</f>
        <v>0</v>
      </c>
      <c r="AJ191" s="454">
        <f ca="1">IF(AND($D191="Serviço",AJ$12&lt;&gt;0,$H191&gt;0,OR(AUTOEVENTO&lt;&gt;"manual",$M191&lt;&gt;$A$15)),
        IF(Import.TipoArredondamento&lt;&gt;"TransfereGOV",
              ROUND(OFFSET($P191,0,AJ$13),15-13*ORÇAMENTO!$AF$7)/$H191*OFFSET(ORÇAMENTO!$X$15,ROW(AJ191)-ROW(AJ$15),0),
              ROUND(ROUND(OFFSET($P191,0,AJ$13),15-13*ORÇAMENTO!$AF$7)*OFFSET(ORÇAMENTO!$W$15,ROW(AJ191)-ROW(AJ$15),0),15-13*ORÇAMENTO!$AF$11)),
         0)</f>
        <v>0</v>
      </c>
      <c r="AK191" s="454">
        <f ca="1">IF(AND($D191="Serviço",AK$12&lt;&gt;0,$H191&gt;0,OR(AUTOEVENTO&lt;&gt;"manual",$M191&lt;&gt;$A$15)),
        IF(Import.TipoArredondamento&lt;&gt;"TransfereGOV",
              ROUND(OFFSET($P191,0,AK$13),15-13*ORÇAMENTO!$AF$7)/$H191*OFFSET(ORÇAMENTO!$X$15,ROW(AK191)-ROW(AK$15),0),
              ROUND(ROUND(OFFSET($P191,0,AK$13),15-13*ORÇAMENTO!$AF$7)*OFFSET(ORÇAMENTO!$W$15,ROW(AK191)-ROW(AK$15),0),15-13*ORÇAMENTO!$AF$11)),
         0)</f>
        <v>0</v>
      </c>
      <c r="AM191" s="172">
        <f ca="1">IF(OR($D191&lt;&gt;"Serviço",AND(AUTOEVENTO="Manual",$M191=$A$15)),0,
         IF(OFFSET(CRONOPLE!$F$15,$M191-$A$15,AM$13)="",10^12,OFFSET(CRONOPLE!$F$15,$M191-$A$15,AM$13)))</f>
        <v>1000000000000</v>
      </c>
      <c r="AN191" s="172">
        <f ca="1">IF(OR($D191&lt;&gt;"Serviço",AND(AUTOEVENTO="Manual",$M191=$A$15)),0,
         IF(OFFSET(CRONOPLE!$F$15,$M191-$A$15,AN$13)="",10^12,OFFSET(CRONOPLE!$F$15,$M191-$A$15,AN$13)))</f>
        <v>1000000000000</v>
      </c>
      <c r="AO191" s="172">
        <f ca="1">IF(OR($D191&lt;&gt;"Serviço",AND(AUTOEVENTO="Manual",$M191=$A$15)),0,
         IF(OFFSET(CRONOPLE!$F$15,$M191-$A$15,AO$13)="",10^12,OFFSET(CRONOPLE!$F$15,$M191-$A$15,AO$13)))</f>
        <v>1000000000000</v>
      </c>
      <c r="AP191" s="172">
        <f ca="1">IF(OR($D191&lt;&gt;"Serviço",AND(AUTOEVENTO="Manual",$M191=$A$15)),0,
         IF(OFFSET(CRONOPLE!$F$15,$M191-$A$15,AP$13)="",10^12,OFFSET(CRONOPLE!$F$15,$M191-$A$15,AP$13)))</f>
        <v>1000000000000</v>
      </c>
      <c r="AQ191" s="172">
        <f ca="1">IF(OR($D191&lt;&gt;"Serviço",AND(AUTOEVENTO="Manual",$M191=$A$15)),0,
         IF(OFFSET(CRONOPLE!$F$15,$M191-$A$15,AQ$13)="",10^12,OFFSET(CRONOPLE!$F$15,$M191-$A$15,AQ$13)))</f>
        <v>1000000000000</v>
      </c>
      <c r="AR191" s="172">
        <f ca="1">IF(OR($D191&lt;&gt;"Serviço",AND(AUTOEVENTO="Manual",$M191=$A$15)),0,
         IF(OFFSET(CRONOPLE!$F$15,$M191-$A$15,AR$13)="",10^12,OFFSET(CRONOPLE!$F$15,$M191-$A$15,AR$13)))</f>
        <v>1000000000000</v>
      </c>
      <c r="AS191" s="172">
        <f ca="1">IF(OR($D191&lt;&gt;"Serviço",AND(AUTOEVENTO="Manual",$M191=$A$15)),0,
         IF(OFFSET(CRONOPLE!$F$15,$M191-$A$15,AS$13)="",10^12,OFFSET(CRONOPLE!$F$15,$M191-$A$15,AS$13)))</f>
        <v>1000000000000</v>
      </c>
      <c r="AT191" s="172">
        <f ca="1">IF(OR($D191&lt;&gt;"Serviço",AND(AUTOEVENTO="Manual",$M191=$A$15)),0,
         IF(OFFSET(CRONOPLE!$F$15,$M191-$A$15,AT$13)="",10^12,OFFSET(CRONOPLE!$F$15,$M191-$A$15,AT$13)))</f>
        <v>1000000000000</v>
      </c>
      <c r="AU191" s="172">
        <f ca="1">IF(OR($D191&lt;&gt;"Serviço",AND(AUTOEVENTO="Manual",$M191=$A$15)),0,
         IF(OFFSET(CRONOPLE!$F$15,$M191-$A$15,AU$13)="",10^12,OFFSET(CRONOPLE!$F$15,$M191-$A$15,AU$13)))</f>
        <v>1000000000000</v>
      </c>
      <c r="AV191" s="172">
        <f ca="1">IF(OR($D191&lt;&gt;"Serviço",AND(AUTOEVENTO="Manual",$M191=$A$15)),0,
         IF(OFFSET(CRONOPLE!$F$15,$M191-$A$15,AV$13)="",10^12,OFFSET(CRONOPLE!$F$15,$M191-$A$15,AV$13)))</f>
        <v>1000000000000</v>
      </c>
      <c r="AX191" s="173">
        <f ca="1">IF(OR($D191&lt;&gt;"Serviço",AND(AUTOEVENTO="Manual",$M191=$A$15),$M191&gt;(ROW(PLE.lastrow)-ROW(PLE.firstrow))),0,
           IF(OFFSET(PLE!$G$15,$M191-$A$15,AX$13)="",10^12,OFFSET(PLE!$G$15,$M191-$A$15,AX$13)))</f>
        <v>1000000000000</v>
      </c>
      <c r="AY191" s="173">
        <f ca="1">IF(OR($D191&lt;&gt;"Serviço",AND(AUTOEVENTO="Manual",$M191=$A$15),$M191&gt;(ROW(PLE.lastrow)-ROW(PLE.firstrow))),0,
           IF(OFFSET(PLE!$G$15,$M191-$A$15,AY$13)="",10^12,OFFSET(PLE!$G$15,$M191-$A$15,AY$13)))</f>
        <v>1000000000000</v>
      </c>
      <c r="AZ191" s="173">
        <f ca="1">IF(OR($D191&lt;&gt;"Serviço",AND(AUTOEVENTO="Manual",$M191=$A$15),$M191&gt;(ROW(PLE.lastrow)-ROW(PLE.firstrow))),0,
           IF(OFFSET(PLE!$G$15,$M191-$A$15,AZ$13)="",10^12,OFFSET(PLE!$G$15,$M191-$A$15,AZ$13)))</f>
        <v>1000000000000</v>
      </c>
      <c r="BA191" s="173">
        <f ca="1">IF(OR($D191&lt;&gt;"Serviço",AND(AUTOEVENTO="Manual",$M191=$A$15),$M191&gt;(ROW(PLE.lastrow)-ROW(PLE.firstrow))),0,
           IF(OFFSET(PLE!$G$15,$M191-$A$15,BA$13)="",10^12,OFFSET(PLE!$G$15,$M191-$A$15,BA$13)))</f>
        <v>1000000000000</v>
      </c>
      <c r="BB191" s="173">
        <f ca="1">IF(OR($D191&lt;&gt;"Serviço",AND(AUTOEVENTO="Manual",$M191=$A$15),$M191&gt;(ROW(PLE.lastrow)-ROW(PLE.firstrow))),0,
           IF(OFFSET(PLE!$G$15,$M191-$A$15,BB$13)="",10^12,OFFSET(PLE!$G$15,$M191-$A$15,BB$13)))</f>
        <v>1000000000000</v>
      </c>
      <c r="BC191" s="173">
        <f ca="1">IF(OR($D191&lt;&gt;"Serviço",AND(AUTOEVENTO="Manual",$M191=$A$15),$M191&gt;(ROW(PLE.lastrow)-ROW(PLE.firstrow))),0,
           IF(OFFSET(PLE!$G$15,$M191-$A$15,BC$13)="",10^12,OFFSET(PLE!$G$15,$M191-$A$15,BC$13)))</f>
        <v>1000000000000</v>
      </c>
      <c r="BD191" s="173">
        <f ca="1">IF(OR($D191&lt;&gt;"Serviço",AND(AUTOEVENTO="Manual",$M191=$A$15),$M191&gt;(ROW(PLE.lastrow)-ROW(PLE.firstrow))),0,
           IF(OFFSET(PLE!$G$15,$M191-$A$15,BD$13)="",10^12,OFFSET(PLE!$G$15,$M191-$A$15,BD$13)))</f>
        <v>1000000000000</v>
      </c>
      <c r="BE191" s="173">
        <f ca="1">IF(OR($D191&lt;&gt;"Serviço",AND(AUTOEVENTO="Manual",$M191=$A$15),$M191&gt;(ROW(PLE.lastrow)-ROW(PLE.firstrow))),0,
           IF(OFFSET(PLE!$G$15,$M191-$A$15,BE$13)="",10^12,OFFSET(PLE!$G$15,$M191-$A$15,BE$13)))</f>
        <v>1000000000000</v>
      </c>
      <c r="BF191" s="173">
        <f ca="1">IF(OR($D191&lt;&gt;"Serviço",AND(AUTOEVENTO="Manual",$M191=$A$15),$M191&gt;(ROW(PLE.lastrow)-ROW(PLE.firstrow))),0,
           IF(OFFSET(PLE!$G$15,$M191-$A$15,BF$13)="",10^12,OFFSET(PLE!$G$15,$M191-$A$15,BF$13)))</f>
        <v>1000000000000</v>
      </c>
      <c r="BG191" s="173">
        <f ca="1">IF(OR($D191&lt;&gt;"Serviço",AND(AUTOEVENTO="Manual",$M191=$A$15),$M191&gt;(ROW(PLE.lastrow)-ROW(PLE.firstrow))),0,
           IF(OFFSET(PLE!$G$15,$M191-$A$15,BG$13)="",10^12,OFFSET(PLE!$G$15,$M191-$A$15,BG$13)))</f>
        <v>1000000000000</v>
      </c>
    </row>
    <row r="192" spans="1:59" ht="38.25" x14ac:dyDescent="0.2">
      <c r="A192" s="7" t="str">
        <f t="shared" ca="1" si="10"/>
        <v>114</v>
      </c>
      <c r="B192" s="7" t="str">
        <f ca="1">OFFSET(ORÇAMENTO!C$15,ROW(B192)-ROW(B$15),0)</f>
        <v>S</v>
      </c>
      <c r="C192" s="7" t="str">
        <f ca="1">OFFSET(ORÇAMENTO!L$15,ROW(C192)-ROW(C$15),0)</f>
        <v/>
      </c>
      <c r="D192" s="117" t="str">
        <f ca="1">OFFSET(ORÇAMENTO!N$15,ROW(D192)-ROW(D$15),0)</f>
        <v>Serviço</v>
      </c>
      <c r="E192" s="118" t="str">
        <f ca="1">OFFSET(ORÇAMENTO!O$15,ROW(E192)-ROW(E$15),0)</f>
        <v>-</v>
      </c>
      <c r="F192" s="164" t="str">
        <f ca="1">OFFSET(ORÇAMENTO!R$15,ROW(F192)-ROW(F$15),0)</f>
        <v>JOELHO 45 GRAUS, PVC, SOLDÁVEL, DN 40MM, INSTALADO EM RAMAL DE DISTRIBUIÇÃO DE ÁGUA - FORNECIMENTO E INSTALAÇÃO. AF_06/2022</v>
      </c>
      <c r="G192" s="165" t="str">
        <f ca="1">IF($D192&lt;&gt;"Serviço","",OFFSET(ORÇAMENTO!S$15,ROW(G192)-ROW(G$15),0))</f>
        <v>UN</v>
      </c>
      <c r="H192" s="123">
        <f ca="1">IF($D192&lt;&gt;"Serviço",0,IF(ACOMPANHAMENTO="BM",ROUND(OFFSET(ORÇAMENTO!AJ$15,ROW(H192)-ROW(H$15),0),15-13*ORÇAMENTO!$AF$7),SUMPRODUCT(($Q$1:$AA$1=1)*ROUND($Q192:$AA192,15-13*ORÇAMENTO!$AF$7))))</f>
        <v>5</v>
      </c>
      <c r="I192" s="469"/>
      <c r="J192" s="577" t="str" cm="1">
        <f t="array" aca="1" ref="J192" ca="1">IF(B192&lt;&gt;"S","",IF(AND(ACOMPANHAMENTO="PLE",AUTOEVENTO="Manual",OR(H192&gt;0,ORÇAMENTO!AC192="QUANT."),OR(K192="",M192=0,N192="")),"►",IF(AND(ACOMPANHAMENTO="PLE",ORÇAMENTO!AC192="QUANT."),"►►",IF(AND(COUNTIF($P$11:$AA$11,"▼")=0,H192&gt;0,I192=""),"◄",""))))</f>
        <v>◄</v>
      </c>
      <c r="K192" s="626"/>
      <c r="L192" s="166" t="s">
        <v>765</v>
      </c>
      <c r="M192" s="167">
        <f ca="1">IF($D192&lt;&gt;"Serviço","",
          IF(AUTOEVENTO="manual",$A192,
                IF(ISERROR(MATCH($A192,$A$15:OFFSET($A192,-1,0),0)),MAX($M$15:OFFSET(M192,-1,0))+1,
                      INDEX($M$15:OFFSET(M192,-1,0),MATCH($A192,$A$15:OFFSET($A192,-1,0),0)))))</f>
        <v>11</v>
      </c>
      <c r="N192" s="168" t="str">
        <f ca="1">IF($D192&lt;&gt;"Serviço","",
         IF(AUTOEVENTO="Manual",
                IF($A192=0,"&lt;-- defina o número do agrupador",
                       OFFSET(EVENTOS!$D$15,$A192-$A$15,0)),
                OFFSET($F$15,$A192,0)))</f>
        <v>INSTALAÇÕES HIDROSSANITÁRIAS</v>
      </c>
      <c r="O192" s="169"/>
      <c r="Q192" s="169"/>
      <c r="R192" s="170"/>
      <c r="S192" s="170"/>
      <c r="T192" s="170"/>
      <c r="U192" s="170"/>
      <c r="V192" s="170"/>
      <c r="W192" s="170"/>
      <c r="X192" s="170"/>
      <c r="Y192" s="170"/>
      <c r="Z192" s="171"/>
      <c r="AB192" s="454">
        <f ca="1">IF(AND($D192="Serviço",AB$12&lt;&gt;0,$H192&gt;0,OR(AUTOEVENTO&lt;&gt;"manual",$M192&lt;&gt;$A$15)),
        IF(Import.TipoArredondamento&lt;&gt;"TransfereGOV",
              ROUND(OFFSET($P192,0,AB$13),15-13*ORÇAMENTO!$AF$7)/$H192*OFFSET(ORÇAMENTO!$X$15,ROW(AB192)-ROW(AB$15),0),
              ROUND(ROUND(OFFSET($P192,0,AB$13),15-13*ORÇAMENTO!$AF$7)*OFFSET(ORÇAMENTO!$W$15,ROW(AB192)-ROW(AB$15),0),15-13*ORÇAMENTO!$AF$11)),
         0)</f>
        <v>0</v>
      </c>
      <c r="AC192" s="454">
        <f ca="1">IF(AND($D192="Serviço",AC$12&lt;&gt;0,$H192&gt;0,OR(AUTOEVENTO&lt;&gt;"manual",$M192&lt;&gt;$A$15)),
        IF(Import.TipoArredondamento&lt;&gt;"TransfereGOV",
              ROUND(OFFSET($P192,0,AC$13),15-13*ORÇAMENTO!$AF$7)/$H192*OFFSET(ORÇAMENTO!$X$15,ROW(AC192)-ROW(AC$15),0),
              ROUND(ROUND(OFFSET($P192,0,AC$13),15-13*ORÇAMENTO!$AF$7)*OFFSET(ORÇAMENTO!$W$15,ROW(AC192)-ROW(AC$15),0),15-13*ORÇAMENTO!$AF$11)),
         0)</f>
        <v>0</v>
      </c>
      <c r="AD192" s="454">
        <f ca="1">IF(AND($D192="Serviço",AD$12&lt;&gt;0,$H192&gt;0,OR(AUTOEVENTO&lt;&gt;"manual",$M192&lt;&gt;$A$15)),
        IF(Import.TipoArredondamento&lt;&gt;"TransfereGOV",
              ROUND(OFFSET($P192,0,AD$13),15-13*ORÇAMENTO!$AF$7)/$H192*OFFSET(ORÇAMENTO!$X$15,ROW(AD192)-ROW(AD$15),0),
              ROUND(ROUND(OFFSET($P192,0,AD$13),15-13*ORÇAMENTO!$AF$7)*OFFSET(ORÇAMENTO!$W$15,ROW(AD192)-ROW(AD$15),0),15-13*ORÇAMENTO!$AF$11)),
         0)</f>
        <v>0</v>
      </c>
      <c r="AE192" s="454">
        <f ca="1">IF(AND($D192="Serviço",AE$12&lt;&gt;0,$H192&gt;0,OR(AUTOEVENTO&lt;&gt;"manual",$M192&lt;&gt;$A$15)),
        IF(Import.TipoArredondamento&lt;&gt;"TransfereGOV",
              ROUND(OFFSET($P192,0,AE$13),15-13*ORÇAMENTO!$AF$7)/$H192*OFFSET(ORÇAMENTO!$X$15,ROW(AE192)-ROW(AE$15),0),
              ROUND(ROUND(OFFSET($P192,0,AE$13),15-13*ORÇAMENTO!$AF$7)*OFFSET(ORÇAMENTO!$W$15,ROW(AE192)-ROW(AE$15),0),15-13*ORÇAMENTO!$AF$11)),
         0)</f>
        <v>0</v>
      </c>
      <c r="AF192" s="454">
        <f ca="1">IF(AND($D192="Serviço",AF$12&lt;&gt;0,$H192&gt;0,OR(AUTOEVENTO&lt;&gt;"manual",$M192&lt;&gt;$A$15)),
        IF(Import.TipoArredondamento&lt;&gt;"TransfereGOV",
              ROUND(OFFSET($P192,0,AF$13),15-13*ORÇAMENTO!$AF$7)/$H192*OFFSET(ORÇAMENTO!$X$15,ROW(AF192)-ROW(AF$15),0),
              ROUND(ROUND(OFFSET($P192,0,AF$13),15-13*ORÇAMENTO!$AF$7)*OFFSET(ORÇAMENTO!$W$15,ROW(AF192)-ROW(AF$15),0),15-13*ORÇAMENTO!$AF$11)),
         0)</f>
        <v>0</v>
      </c>
      <c r="AG192" s="454">
        <f ca="1">IF(AND($D192="Serviço",AG$12&lt;&gt;0,$H192&gt;0,OR(AUTOEVENTO&lt;&gt;"manual",$M192&lt;&gt;$A$15)),
        IF(Import.TipoArredondamento&lt;&gt;"TransfereGOV",
              ROUND(OFFSET($P192,0,AG$13),15-13*ORÇAMENTO!$AF$7)/$H192*OFFSET(ORÇAMENTO!$X$15,ROW(AG192)-ROW(AG$15),0),
              ROUND(ROUND(OFFSET($P192,0,AG$13),15-13*ORÇAMENTO!$AF$7)*OFFSET(ORÇAMENTO!$W$15,ROW(AG192)-ROW(AG$15),0),15-13*ORÇAMENTO!$AF$11)),
         0)</f>
        <v>0</v>
      </c>
      <c r="AH192" s="454">
        <f ca="1">IF(AND($D192="Serviço",AH$12&lt;&gt;0,$H192&gt;0,OR(AUTOEVENTO&lt;&gt;"manual",$M192&lt;&gt;$A$15)),
        IF(Import.TipoArredondamento&lt;&gt;"TransfereGOV",
              ROUND(OFFSET($P192,0,AH$13),15-13*ORÇAMENTO!$AF$7)/$H192*OFFSET(ORÇAMENTO!$X$15,ROW(AH192)-ROW(AH$15),0),
              ROUND(ROUND(OFFSET($P192,0,AH$13),15-13*ORÇAMENTO!$AF$7)*OFFSET(ORÇAMENTO!$W$15,ROW(AH192)-ROW(AH$15),0),15-13*ORÇAMENTO!$AF$11)),
         0)</f>
        <v>0</v>
      </c>
      <c r="AI192" s="454">
        <f ca="1">IF(AND($D192="Serviço",AI$12&lt;&gt;0,$H192&gt;0,OR(AUTOEVENTO&lt;&gt;"manual",$M192&lt;&gt;$A$15)),
        IF(Import.TipoArredondamento&lt;&gt;"TransfereGOV",
              ROUND(OFFSET($P192,0,AI$13),15-13*ORÇAMENTO!$AF$7)/$H192*OFFSET(ORÇAMENTO!$X$15,ROW(AI192)-ROW(AI$15),0),
              ROUND(ROUND(OFFSET($P192,0,AI$13),15-13*ORÇAMENTO!$AF$7)*OFFSET(ORÇAMENTO!$W$15,ROW(AI192)-ROW(AI$15),0),15-13*ORÇAMENTO!$AF$11)),
         0)</f>
        <v>0</v>
      </c>
      <c r="AJ192" s="454">
        <f ca="1">IF(AND($D192="Serviço",AJ$12&lt;&gt;0,$H192&gt;0,OR(AUTOEVENTO&lt;&gt;"manual",$M192&lt;&gt;$A$15)),
        IF(Import.TipoArredondamento&lt;&gt;"TransfereGOV",
              ROUND(OFFSET($P192,0,AJ$13),15-13*ORÇAMENTO!$AF$7)/$H192*OFFSET(ORÇAMENTO!$X$15,ROW(AJ192)-ROW(AJ$15),0),
              ROUND(ROUND(OFFSET($P192,0,AJ$13),15-13*ORÇAMENTO!$AF$7)*OFFSET(ORÇAMENTO!$W$15,ROW(AJ192)-ROW(AJ$15),0),15-13*ORÇAMENTO!$AF$11)),
         0)</f>
        <v>0</v>
      </c>
      <c r="AK192" s="454">
        <f ca="1">IF(AND($D192="Serviço",AK$12&lt;&gt;0,$H192&gt;0,OR(AUTOEVENTO&lt;&gt;"manual",$M192&lt;&gt;$A$15)),
        IF(Import.TipoArredondamento&lt;&gt;"TransfereGOV",
              ROUND(OFFSET($P192,0,AK$13),15-13*ORÇAMENTO!$AF$7)/$H192*OFFSET(ORÇAMENTO!$X$15,ROW(AK192)-ROW(AK$15),0),
              ROUND(ROUND(OFFSET($P192,0,AK$13),15-13*ORÇAMENTO!$AF$7)*OFFSET(ORÇAMENTO!$W$15,ROW(AK192)-ROW(AK$15),0),15-13*ORÇAMENTO!$AF$11)),
         0)</f>
        <v>0</v>
      </c>
      <c r="AM192" s="172">
        <f ca="1">IF(OR($D192&lt;&gt;"Serviço",AND(AUTOEVENTO="Manual",$M192=$A$15)),0,
         IF(OFFSET(CRONOPLE!$F$15,$M192-$A$15,AM$13)="",10^12,OFFSET(CRONOPLE!$F$15,$M192-$A$15,AM$13)))</f>
        <v>1000000000000</v>
      </c>
      <c r="AN192" s="172">
        <f ca="1">IF(OR($D192&lt;&gt;"Serviço",AND(AUTOEVENTO="Manual",$M192=$A$15)),0,
         IF(OFFSET(CRONOPLE!$F$15,$M192-$A$15,AN$13)="",10^12,OFFSET(CRONOPLE!$F$15,$M192-$A$15,AN$13)))</f>
        <v>1000000000000</v>
      </c>
      <c r="AO192" s="172">
        <f ca="1">IF(OR($D192&lt;&gt;"Serviço",AND(AUTOEVENTO="Manual",$M192=$A$15)),0,
         IF(OFFSET(CRONOPLE!$F$15,$M192-$A$15,AO$13)="",10^12,OFFSET(CRONOPLE!$F$15,$M192-$A$15,AO$13)))</f>
        <v>1000000000000</v>
      </c>
      <c r="AP192" s="172">
        <f ca="1">IF(OR($D192&lt;&gt;"Serviço",AND(AUTOEVENTO="Manual",$M192=$A$15)),0,
         IF(OFFSET(CRONOPLE!$F$15,$M192-$A$15,AP$13)="",10^12,OFFSET(CRONOPLE!$F$15,$M192-$A$15,AP$13)))</f>
        <v>1000000000000</v>
      </c>
      <c r="AQ192" s="172">
        <f ca="1">IF(OR($D192&lt;&gt;"Serviço",AND(AUTOEVENTO="Manual",$M192=$A$15)),0,
         IF(OFFSET(CRONOPLE!$F$15,$M192-$A$15,AQ$13)="",10^12,OFFSET(CRONOPLE!$F$15,$M192-$A$15,AQ$13)))</f>
        <v>1000000000000</v>
      </c>
      <c r="AR192" s="172">
        <f ca="1">IF(OR($D192&lt;&gt;"Serviço",AND(AUTOEVENTO="Manual",$M192=$A$15)),0,
         IF(OFFSET(CRONOPLE!$F$15,$M192-$A$15,AR$13)="",10^12,OFFSET(CRONOPLE!$F$15,$M192-$A$15,AR$13)))</f>
        <v>1000000000000</v>
      </c>
      <c r="AS192" s="172">
        <f ca="1">IF(OR($D192&lt;&gt;"Serviço",AND(AUTOEVENTO="Manual",$M192=$A$15)),0,
         IF(OFFSET(CRONOPLE!$F$15,$M192-$A$15,AS$13)="",10^12,OFFSET(CRONOPLE!$F$15,$M192-$A$15,AS$13)))</f>
        <v>1000000000000</v>
      </c>
      <c r="AT192" s="172">
        <f ca="1">IF(OR($D192&lt;&gt;"Serviço",AND(AUTOEVENTO="Manual",$M192=$A$15)),0,
         IF(OFFSET(CRONOPLE!$F$15,$M192-$A$15,AT$13)="",10^12,OFFSET(CRONOPLE!$F$15,$M192-$A$15,AT$13)))</f>
        <v>1000000000000</v>
      </c>
      <c r="AU192" s="172">
        <f ca="1">IF(OR($D192&lt;&gt;"Serviço",AND(AUTOEVENTO="Manual",$M192=$A$15)),0,
         IF(OFFSET(CRONOPLE!$F$15,$M192-$A$15,AU$13)="",10^12,OFFSET(CRONOPLE!$F$15,$M192-$A$15,AU$13)))</f>
        <v>1000000000000</v>
      </c>
      <c r="AV192" s="172">
        <f ca="1">IF(OR($D192&lt;&gt;"Serviço",AND(AUTOEVENTO="Manual",$M192=$A$15)),0,
         IF(OFFSET(CRONOPLE!$F$15,$M192-$A$15,AV$13)="",10^12,OFFSET(CRONOPLE!$F$15,$M192-$A$15,AV$13)))</f>
        <v>1000000000000</v>
      </c>
      <c r="AX192" s="173">
        <f ca="1">IF(OR($D192&lt;&gt;"Serviço",AND(AUTOEVENTO="Manual",$M192=$A$15),$M192&gt;(ROW(PLE.lastrow)-ROW(PLE.firstrow))),0,
           IF(OFFSET(PLE!$G$15,$M192-$A$15,AX$13)="",10^12,OFFSET(PLE!$G$15,$M192-$A$15,AX$13)))</f>
        <v>1000000000000</v>
      </c>
      <c r="AY192" s="173">
        <f ca="1">IF(OR($D192&lt;&gt;"Serviço",AND(AUTOEVENTO="Manual",$M192=$A$15),$M192&gt;(ROW(PLE.lastrow)-ROW(PLE.firstrow))),0,
           IF(OFFSET(PLE!$G$15,$M192-$A$15,AY$13)="",10^12,OFFSET(PLE!$G$15,$M192-$A$15,AY$13)))</f>
        <v>1000000000000</v>
      </c>
      <c r="AZ192" s="173">
        <f ca="1">IF(OR($D192&lt;&gt;"Serviço",AND(AUTOEVENTO="Manual",$M192=$A$15),$M192&gt;(ROW(PLE.lastrow)-ROW(PLE.firstrow))),0,
           IF(OFFSET(PLE!$G$15,$M192-$A$15,AZ$13)="",10^12,OFFSET(PLE!$G$15,$M192-$A$15,AZ$13)))</f>
        <v>1000000000000</v>
      </c>
      <c r="BA192" s="173">
        <f ca="1">IF(OR($D192&lt;&gt;"Serviço",AND(AUTOEVENTO="Manual",$M192=$A$15),$M192&gt;(ROW(PLE.lastrow)-ROW(PLE.firstrow))),0,
           IF(OFFSET(PLE!$G$15,$M192-$A$15,BA$13)="",10^12,OFFSET(PLE!$G$15,$M192-$A$15,BA$13)))</f>
        <v>1000000000000</v>
      </c>
      <c r="BB192" s="173">
        <f ca="1">IF(OR($D192&lt;&gt;"Serviço",AND(AUTOEVENTO="Manual",$M192=$A$15),$M192&gt;(ROW(PLE.lastrow)-ROW(PLE.firstrow))),0,
           IF(OFFSET(PLE!$G$15,$M192-$A$15,BB$13)="",10^12,OFFSET(PLE!$G$15,$M192-$A$15,BB$13)))</f>
        <v>1000000000000</v>
      </c>
      <c r="BC192" s="173">
        <f ca="1">IF(OR($D192&lt;&gt;"Serviço",AND(AUTOEVENTO="Manual",$M192=$A$15),$M192&gt;(ROW(PLE.lastrow)-ROW(PLE.firstrow))),0,
           IF(OFFSET(PLE!$G$15,$M192-$A$15,BC$13)="",10^12,OFFSET(PLE!$G$15,$M192-$A$15,BC$13)))</f>
        <v>1000000000000</v>
      </c>
      <c r="BD192" s="173">
        <f ca="1">IF(OR($D192&lt;&gt;"Serviço",AND(AUTOEVENTO="Manual",$M192=$A$15),$M192&gt;(ROW(PLE.lastrow)-ROW(PLE.firstrow))),0,
           IF(OFFSET(PLE!$G$15,$M192-$A$15,BD$13)="",10^12,OFFSET(PLE!$G$15,$M192-$A$15,BD$13)))</f>
        <v>1000000000000</v>
      </c>
      <c r="BE192" s="173">
        <f ca="1">IF(OR($D192&lt;&gt;"Serviço",AND(AUTOEVENTO="Manual",$M192=$A$15),$M192&gt;(ROW(PLE.lastrow)-ROW(PLE.firstrow))),0,
           IF(OFFSET(PLE!$G$15,$M192-$A$15,BE$13)="",10^12,OFFSET(PLE!$G$15,$M192-$A$15,BE$13)))</f>
        <v>1000000000000</v>
      </c>
      <c r="BF192" s="173">
        <f ca="1">IF(OR($D192&lt;&gt;"Serviço",AND(AUTOEVENTO="Manual",$M192=$A$15),$M192&gt;(ROW(PLE.lastrow)-ROW(PLE.firstrow))),0,
           IF(OFFSET(PLE!$G$15,$M192-$A$15,BF$13)="",10^12,OFFSET(PLE!$G$15,$M192-$A$15,BF$13)))</f>
        <v>1000000000000</v>
      </c>
      <c r="BG192" s="173">
        <f ca="1">IF(OR($D192&lt;&gt;"Serviço",AND(AUTOEVENTO="Manual",$M192=$A$15),$M192&gt;(ROW(PLE.lastrow)-ROW(PLE.firstrow))),0,
           IF(OFFSET(PLE!$G$15,$M192-$A$15,BG$13)="",10^12,OFFSET(PLE!$G$15,$M192-$A$15,BG$13)))</f>
        <v>1000000000000</v>
      </c>
    </row>
    <row r="193" spans="1:59" ht="38.25" x14ac:dyDescent="0.2">
      <c r="A193" s="7" t="str">
        <f t="shared" ca="1" si="10"/>
        <v>114</v>
      </c>
      <c r="B193" s="7" t="str">
        <f ca="1">OFFSET(ORÇAMENTO!C$15,ROW(B193)-ROW(B$15),0)</f>
        <v>S</v>
      </c>
      <c r="C193" s="7" t="str">
        <f ca="1">OFFSET(ORÇAMENTO!L$15,ROW(C193)-ROW(C$15),0)</f>
        <v/>
      </c>
      <c r="D193" s="117" t="str">
        <f ca="1">OFFSET(ORÇAMENTO!N$15,ROW(D193)-ROW(D$15),0)</f>
        <v>Serviço</v>
      </c>
      <c r="E193" s="118" t="str">
        <f ca="1">OFFSET(ORÇAMENTO!O$15,ROW(E193)-ROW(E$15),0)</f>
        <v>-</v>
      </c>
      <c r="F193" s="164" t="str">
        <f ca="1">OFFSET(ORÇAMENTO!R$15,ROW(F193)-ROW(F$15),0)</f>
        <v>JOELHO 45 GRAUS, PVC, SOLDÁVEL, DN 50MM, INSTALADO EM RAMAL DE DISTRIBUIÇÃO DE ÁGUA - FORNECIMENTO E INSTALAÇÃO. AF_06/2022</v>
      </c>
      <c r="G193" s="165" t="str">
        <f ca="1">IF($D193&lt;&gt;"Serviço","",OFFSET(ORÇAMENTO!S$15,ROW(G193)-ROW(G$15),0))</f>
        <v>UN</v>
      </c>
      <c r="H193" s="123">
        <f ca="1">IF($D193&lt;&gt;"Serviço",0,IF(ACOMPANHAMENTO="BM",ROUND(OFFSET(ORÇAMENTO!AJ$15,ROW(H193)-ROW(H$15),0),15-13*ORÇAMENTO!$AF$7),SUMPRODUCT(($Q$1:$AA$1=1)*ROUND($Q193:$AA193,15-13*ORÇAMENTO!$AF$7))))</f>
        <v>5</v>
      </c>
      <c r="I193" s="469"/>
      <c r="J193" s="577" t="str" cm="1">
        <f t="array" aca="1" ref="J193" ca="1">IF(B193&lt;&gt;"S","",IF(AND(ACOMPANHAMENTO="PLE",AUTOEVENTO="Manual",OR(H193&gt;0,ORÇAMENTO!AC193="QUANT."),OR(K193="",M193=0,N193="")),"►",IF(AND(ACOMPANHAMENTO="PLE",ORÇAMENTO!AC193="QUANT."),"►►",IF(AND(COUNTIF($P$11:$AA$11,"▼")=0,H193&gt;0,I193=""),"◄",""))))</f>
        <v>◄</v>
      </c>
      <c r="K193" s="626"/>
      <c r="L193" s="166" t="s">
        <v>765</v>
      </c>
      <c r="M193" s="167">
        <f ca="1">IF($D193&lt;&gt;"Serviço","",
          IF(AUTOEVENTO="manual",$A193,
                IF(ISERROR(MATCH($A193,$A$15:OFFSET($A193,-1,0),0)),MAX($M$15:OFFSET(M193,-1,0))+1,
                      INDEX($M$15:OFFSET(M193,-1,0),MATCH($A193,$A$15:OFFSET($A193,-1,0),0)))))</f>
        <v>11</v>
      </c>
      <c r="N193" s="168" t="str">
        <f ca="1">IF($D193&lt;&gt;"Serviço","",
         IF(AUTOEVENTO="Manual",
                IF($A193=0,"&lt;-- defina o número do agrupador",
                       OFFSET(EVENTOS!$D$15,$A193-$A$15,0)),
                OFFSET($F$15,$A193,0)))</f>
        <v>INSTALAÇÕES HIDROSSANITÁRIAS</v>
      </c>
      <c r="O193" s="169"/>
      <c r="Q193" s="169"/>
      <c r="R193" s="170"/>
      <c r="S193" s="170"/>
      <c r="T193" s="170"/>
      <c r="U193" s="170"/>
      <c r="V193" s="170"/>
      <c r="W193" s="170"/>
      <c r="X193" s="170"/>
      <c r="Y193" s="170"/>
      <c r="Z193" s="171"/>
      <c r="AB193" s="454">
        <f ca="1">IF(AND($D193="Serviço",AB$12&lt;&gt;0,$H193&gt;0,OR(AUTOEVENTO&lt;&gt;"manual",$M193&lt;&gt;$A$15)),
        IF(Import.TipoArredondamento&lt;&gt;"TransfereGOV",
              ROUND(OFFSET($P193,0,AB$13),15-13*ORÇAMENTO!$AF$7)/$H193*OFFSET(ORÇAMENTO!$X$15,ROW(AB193)-ROW(AB$15),0),
              ROUND(ROUND(OFFSET($P193,0,AB$13),15-13*ORÇAMENTO!$AF$7)*OFFSET(ORÇAMENTO!$W$15,ROW(AB193)-ROW(AB$15),0),15-13*ORÇAMENTO!$AF$11)),
         0)</f>
        <v>0</v>
      </c>
      <c r="AC193" s="454">
        <f ca="1">IF(AND($D193="Serviço",AC$12&lt;&gt;0,$H193&gt;0,OR(AUTOEVENTO&lt;&gt;"manual",$M193&lt;&gt;$A$15)),
        IF(Import.TipoArredondamento&lt;&gt;"TransfereGOV",
              ROUND(OFFSET($P193,0,AC$13),15-13*ORÇAMENTO!$AF$7)/$H193*OFFSET(ORÇAMENTO!$X$15,ROW(AC193)-ROW(AC$15),0),
              ROUND(ROUND(OFFSET($P193,0,AC$13),15-13*ORÇAMENTO!$AF$7)*OFFSET(ORÇAMENTO!$W$15,ROW(AC193)-ROW(AC$15),0),15-13*ORÇAMENTO!$AF$11)),
         0)</f>
        <v>0</v>
      </c>
      <c r="AD193" s="454">
        <f ca="1">IF(AND($D193="Serviço",AD$12&lt;&gt;0,$H193&gt;0,OR(AUTOEVENTO&lt;&gt;"manual",$M193&lt;&gt;$A$15)),
        IF(Import.TipoArredondamento&lt;&gt;"TransfereGOV",
              ROUND(OFFSET($P193,0,AD$13),15-13*ORÇAMENTO!$AF$7)/$H193*OFFSET(ORÇAMENTO!$X$15,ROW(AD193)-ROW(AD$15),0),
              ROUND(ROUND(OFFSET($P193,0,AD$13),15-13*ORÇAMENTO!$AF$7)*OFFSET(ORÇAMENTO!$W$15,ROW(AD193)-ROW(AD$15),0),15-13*ORÇAMENTO!$AF$11)),
         0)</f>
        <v>0</v>
      </c>
      <c r="AE193" s="454">
        <f ca="1">IF(AND($D193="Serviço",AE$12&lt;&gt;0,$H193&gt;0,OR(AUTOEVENTO&lt;&gt;"manual",$M193&lt;&gt;$A$15)),
        IF(Import.TipoArredondamento&lt;&gt;"TransfereGOV",
              ROUND(OFFSET($P193,0,AE$13),15-13*ORÇAMENTO!$AF$7)/$H193*OFFSET(ORÇAMENTO!$X$15,ROW(AE193)-ROW(AE$15),0),
              ROUND(ROUND(OFFSET($P193,0,AE$13),15-13*ORÇAMENTO!$AF$7)*OFFSET(ORÇAMENTO!$W$15,ROW(AE193)-ROW(AE$15),0),15-13*ORÇAMENTO!$AF$11)),
         0)</f>
        <v>0</v>
      </c>
      <c r="AF193" s="454">
        <f ca="1">IF(AND($D193="Serviço",AF$12&lt;&gt;0,$H193&gt;0,OR(AUTOEVENTO&lt;&gt;"manual",$M193&lt;&gt;$A$15)),
        IF(Import.TipoArredondamento&lt;&gt;"TransfereGOV",
              ROUND(OFFSET($P193,0,AF$13),15-13*ORÇAMENTO!$AF$7)/$H193*OFFSET(ORÇAMENTO!$X$15,ROW(AF193)-ROW(AF$15),0),
              ROUND(ROUND(OFFSET($P193,0,AF$13),15-13*ORÇAMENTO!$AF$7)*OFFSET(ORÇAMENTO!$W$15,ROW(AF193)-ROW(AF$15),0),15-13*ORÇAMENTO!$AF$11)),
         0)</f>
        <v>0</v>
      </c>
      <c r="AG193" s="454">
        <f ca="1">IF(AND($D193="Serviço",AG$12&lt;&gt;0,$H193&gt;0,OR(AUTOEVENTO&lt;&gt;"manual",$M193&lt;&gt;$A$15)),
        IF(Import.TipoArredondamento&lt;&gt;"TransfereGOV",
              ROUND(OFFSET($P193,0,AG$13),15-13*ORÇAMENTO!$AF$7)/$H193*OFFSET(ORÇAMENTO!$X$15,ROW(AG193)-ROW(AG$15),0),
              ROUND(ROUND(OFFSET($P193,0,AG$13),15-13*ORÇAMENTO!$AF$7)*OFFSET(ORÇAMENTO!$W$15,ROW(AG193)-ROW(AG$15),0),15-13*ORÇAMENTO!$AF$11)),
         0)</f>
        <v>0</v>
      </c>
      <c r="AH193" s="454">
        <f ca="1">IF(AND($D193="Serviço",AH$12&lt;&gt;0,$H193&gt;0,OR(AUTOEVENTO&lt;&gt;"manual",$M193&lt;&gt;$A$15)),
        IF(Import.TipoArredondamento&lt;&gt;"TransfereGOV",
              ROUND(OFFSET($P193,0,AH$13),15-13*ORÇAMENTO!$AF$7)/$H193*OFFSET(ORÇAMENTO!$X$15,ROW(AH193)-ROW(AH$15),0),
              ROUND(ROUND(OFFSET($P193,0,AH$13),15-13*ORÇAMENTO!$AF$7)*OFFSET(ORÇAMENTO!$W$15,ROW(AH193)-ROW(AH$15),0),15-13*ORÇAMENTO!$AF$11)),
         0)</f>
        <v>0</v>
      </c>
      <c r="AI193" s="454">
        <f ca="1">IF(AND($D193="Serviço",AI$12&lt;&gt;0,$H193&gt;0,OR(AUTOEVENTO&lt;&gt;"manual",$M193&lt;&gt;$A$15)),
        IF(Import.TipoArredondamento&lt;&gt;"TransfereGOV",
              ROUND(OFFSET($P193,0,AI$13),15-13*ORÇAMENTO!$AF$7)/$H193*OFFSET(ORÇAMENTO!$X$15,ROW(AI193)-ROW(AI$15),0),
              ROUND(ROUND(OFFSET($P193,0,AI$13),15-13*ORÇAMENTO!$AF$7)*OFFSET(ORÇAMENTO!$W$15,ROW(AI193)-ROW(AI$15),0),15-13*ORÇAMENTO!$AF$11)),
         0)</f>
        <v>0</v>
      </c>
      <c r="AJ193" s="454">
        <f ca="1">IF(AND($D193="Serviço",AJ$12&lt;&gt;0,$H193&gt;0,OR(AUTOEVENTO&lt;&gt;"manual",$M193&lt;&gt;$A$15)),
        IF(Import.TipoArredondamento&lt;&gt;"TransfereGOV",
              ROUND(OFFSET($P193,0,AJ$13),15-13*ORÇAMENTO!$AF$7)/$H193*OFFSET(ORÇAMENTO!$X$15,ROW(AJ193)-ROW(AJ$15),0),
              ROUND(ROUND(OFFSET($P193,0,AJ$13),15-13*ORÇAMENTO!$AF$7)*OFFSET(ORÇAMENTO!$W$15,ROW(AJ193)-ROW(AJ$15),0),15-13*ORÇAMENTO!$AF$11)),
         0)</f>
        <v>0</v>
      </c>
      <c r="AK193" s="454">
        <f ca="1">IF(AND($D193="Serviço",AK$12&lt;&gt;0,$H193&gt;0,OR(AUTOEVENTO&lt;&gt;"manual",$M193&lt;&gt;$A$15)),
        IF(Import.TipoArredondamento&lt;&gt;"TransfereGOV",
              ROUND(OFFSET($P193,0,AK$13),15-13*ORÇAMENTO!$AF$7)/$H193*OFFSET(ORÇAMENTO!$X$15,ROW(AK193)-ROW(AK$15),0),
              ROUND(ROUND(OFFSET($P193,0,AK$13),15-13*ORÇAMENTO!$AF$7)*OFFSET(ORÇAMENTO!$W$15,ROW(AK193)-ROW(AK$15),0),15-13*ORÇAMENTO!$AF$11)),
         0)</f>
        <v>0</v>
      </c>
      <c r="AM193" s="172">
        <f ca="1">IF(OR($D193&lt;&gt;"Serviço",AND(AUTOEVENTO="Manual",$M193=$A$15)),0,
         IF(OFFSET(CRONOPLE!$F$15,$M193-$A$15,AM$13)="",10^12,OFFSET(CRONOPLE!$F$15,$M193-$A$15,AM$13)))</f>
        <v>1000000000000</v>
      </c>
      <c r="AN193" s="172">
        <f ca="1">IF(OR($D193&lt;&gt;"Serviço",AND(AUTOEVENTO="Manual",$M193=$A$15)),0,
         IF(OFFSET(CRONOPLE!$F$15,$M193-$A$15,AN$13)="",10^12,OFFSET(CRONOPLE!$F$15,$M193-$A$15,AN$13)))</f>
        <v>1000000000000</v>
      </c>
      <c r="AO193" s="172">
        <f ca="1">IF(OR($D193&lt;&gt;"Serviço",AND(AUTOEVENTO="Manual",$M193=$A$15)),0,
         IF(OFFSET(CRONOPLE!$F$15,$M193-$A$15,AO$13)="",10^12,OFFSET(CRONOPLE!$F$15,$M193-$A$15,AO$13)))</f>
        <v>1000000000000</v>
      </c>
      <c r="AP193" s="172">
        <f ca="1">IF(OR($D193&lt;&gt;"Serviço",AND(AUTOEVENTO="Manual",$M193=$A$15)),0,
         IF(OFFSET(CRONOPLE!$F$15,$M193-$A$15,AP$13)="",10^12,OFFSET(CRONOPLE!$F$15,$M193-$A$15,AP$13)))</f>
        <v>1000000000000</v>
      </c>
      <c r="AQ193" s="172">
        <f ca="1">IF(OR($D193&lt;&gt;"Serviço",AND(AUTOEVENTO="Manual",$M193=$A$15)),0,
         IF(OFFSET(CRONOPLE!$F$15,$M193-$A$15,AQ$13)="",10^12,OFFSET(CRONOPLE!$F$15,$M193-$A$15,AQ$13)))</f>
        <v>1000000000000</v>
      </c>
      <c r="AR193" s="172">
        <f ca="1">IF(OR($D193&lt;&gt;"Serviço",AND(AUTOEVENTO="Manual",$M193=$A$15)),0,
         IF(OFFSET(CRONOPLE!$F$15,$M193-$A$15,AR$13)="",10^12,OFFSET(CRONOPLE!$F$15,$M193-$A$15,AR$13)))</f>
        <v>1000000000000</v>
      </c>
      <c r="AS193" s="172">
        <f ca="1">IF(OR($D193&lt;&gt;"Serviço",AND(AUTOEVENTO="Manual",$M193=$A$15)),0,
         IF(OFFSET(CRONOPLE!$F$15,$M193-$A$15,AS$13)="",10^12,OFFSET(CRONOPLE!$F$15,$M193-$A$15,AS$13)))</f>
        <v>1000000000000</v>
      </c>
      <c r="AT193" s="172">
        <f ca="1">IF(OR($D193&lt;&gt;"Serviço",AND(AUTOEVENTO="Manual",$M193=$A$15)),0,
         IF(OFFSET(CRONOPLE!$F$15,$M193-$A$15,AT$13)="",10^12,OFFSET(CRONOPLE!$F$15,$M193-$A$15,AT$13)))</f>
        <v>1000000000000</v>
      </c>
      <c r="AU193" s="172">
        <f ca="1">IF(OR($D193&lt;&gt;"Serviço",AND(AUTOEVENTO="Manual",$M193=$A$15)),0,
         IF(OFFSET(CRONOPLE!$F$15,$M193-$A$15,AU$13)="",10^12,OFFSET(CRONOPLE!$F$15,$M193-$A$15,AU$13)))</f>
        <v>1000000000000</v>
      </c>
      <c r="AV193" s="172">
        <f ca="1">IF(OR($D193&lt;&gt;"Serviço",AND(AUTOEVENTO="Manual",$M193=$A$15)),0,
         IF(OFFSET(CRONOPLE!$F$15,$M193-$A$15,AV$13)="",10^12,OFFSET(CRONOPLE!$F$15,$M193-$A$15,AV$13)))</f>
        <v>1000000000000</v>
      </c>
      <c r="AX193" s="173">
        <f ca="1">IF(OR($D193&lt;&gt;"Serviço",AND(AUTOEVENTO="Manual",$M193=$A$15),$M193&gt;(ROW(PLE.lastrow)-ROW(PLE.firstrow))),0,
           IF(OFFSET(PLE!$G$15,$M193-$A$15,AX$13)="",10^12,OFFSET(PLE!$G$15,$M193-$A$15,AX$13)))</f>
        <v>1000000000000</v>
      </c>
      <c r="AY193" s="173">
        <f ca="1">IF(OR($D193&lt;&gt;"Serviço",AND(AUTOEVENTO="Manual",$M193=$A$15),$M193&gt;(ROW(PLE.lastrow)-ROW(PLE.firstrow))),0,
           IF(OFFSET(PLE!$G$15,$M193-$A$15,AY$13)="",10^12,OFFSET(PLE!$G$15,$M193-$A$15,AY$13)))</f>
        <v>1000000000000</v>
      </c>
      <c r="AZ193" s="173">
        <f ca="1">IF(OR($D193&lt;&gt;"Serviço",AND(AUTOEVENTO="Manual",$M193=$A$15),$M193&gt;(ROW(PLE.lastrow)-ROW(PLE.firstrow))),0,
           IF(OFFSET(PLE!$G$15,$M193-$A$15,AZ$13)="",10^12,OFFSET(PLE!$G$15,$M193-$A$15,AZ$13)))</f>
        <v>1000000000000</v>
      </c>
      <c r="BA193" s="173">
        <f ca="1">IF(OR($D193&lt;&gt;"Serviço",AND(AUTOEVENTO="Manual",$M193=$A$15),$M193&gt;(ROW(PLE.lastrow)-ROW(PLE.firstrow))),0,
           IF(OFFSET(PLE!$G$15,$M193-$A$15,BA$13)="",10^12,OFFSET(PLE!$G$15,$M193-$A$15,BA$13)))</f>
        <v>1000000000000</v>
      </c>
      <c r="BB193" s="173">
        <f ca="1">IF(OR($D193&lt;&gt;"Serviço",AND(AUTOEVENTO="Manual",$M193=$A$15),$M193&gt;(ROW(PLE.lastrow)-ROW(PLE.firstrow))),0,
           IF(OFFSET(PLE!$G$15,$M193-$A$15,BB$13)="",10^12,OFFSET(PLE!$G$15,$M193-$A$15,BB$13)))</f>
        <v>1000000000000</v>
      </c>
      <c r="BC193" s="173">
        <f ca="1">IF(OR($D193&lt;&gt;"Serviço",AND(AUTOEVENTO="Manual",$M193=$A$15),$M193&gt;(ROW(PLE.lastrow)-ROW(PLE.firstrow))),0,
           IF(OFFSET(PLE!$G$15,$M193-$A$15,BC$13)="",10^12,OFFSET(PLE!$G$15,$M193-$A$15,BC$13)))</f>
        <v>1000000000000</v>
      </c>
      <c r="BD193" s="173">
        <f ca="1">IF(OR($D193&lt;&gt;"Serviço",AND(AUTOEVENTO="Manual",$M193=$A$15),$M193&gt;(ROW(PLE.lastrow)-ROW(PLE.firstrow))),0,
           IF(OFFSET(PLE!$G$15,$M193-$A$15,BD$13)="",10^12,OFFSET(PLE!$G$15,$M193-$A$15,BD$13)))</f>
        <v>1000000000000</v>
      </c>
      <c r="BE193" s="173">
        <f ca="1">IF(OR($D193&lt;&gt;"Serviço",AND(AUTOEVENTO="Manual",$M193=$A$15),$M193&gt;(ROW(PLE.lastrow)-ROW(PLE.firstrow))),0,
           IF(OFFSET(PLE!$G$15,$M193-$A$15,BE$13)="",10^12,OFFSET(PLE!$G$15,$M193-$A$15,BE$13)))</f>
        <v>1000000000000</v>
      </c>
      <c r="BF193" s="173">
        <f ca="1">IF(OR($D193&lt;&gt;"Serviço",AND(AUTOEVENTO="Manual",$M193=$A$15),$M193&gt;(ROW(PLE.lastrow)-ROW(PLE.firstrow))),0,
           IF(OFFSET(PLE!$G$15,$M193-$A$15,BF$13)="",10^12,OFFSET(PLE!$G$15,$M193-$A$15,BF$13)))</f>
        <v>1000000000000</v>
      </c>
      <c r="BG193" s="173">
        <f ca="1">IF(OR($D193&lt;&gt;"Serviço",AND(AUTOEVENTO="Manual",$M193=$A$15),$M193&gt;(ROW(PLE.lastrow)-ROW(PLE.firstrow))),0,
           IF(OFFSET(PLE!$G$15,$M193-$A$15,BG$13)="",10^12,OFFSET(PLE!$G$15,$M193-$A$15,BG$13)))</f>
        <v>1000000000000</v>
      </c>
    </row>
    <row r="194" spans="1:59" ht="25.5" x14ac:dyDescent="0.2">
      <c r="A194" s="7" t="str">
        <f t="shared" ca="1" si="10"/>
        <v>114</v>
      </c>
      <c r="B194" s="7" t="str">
        <f ca="1">OFFSET(ORÇAMENTO!C$15,ROW(B194)-ROW(B$15),0)</f>
        <v>S</v>
      </c>
      <c r="C194" s="7" t="str">
        <f ca="1">OFFSET(ORÇAMENTO!L$15,ROW(C194)-ROW(C$15),0)</f>
        <v/>
      </c>
      <c r="D194" s="117" t="str">
        <f ca="1">OFFSET(ORÇAMENTO!N$15,ROW(D194)-ROW(D$15),0)</f>
        <v>Serviço</v>
      </c>
      <c r="E194" s="118" t="str">
        <f ca="1">OFFSET(ORÇAMENTO!O$15,ROW(E194)-ROW(E$15),0)</f>
        <v>-</v>
      </c>
      <c r="F194" s="164" t="str">
        <f ca="1">OFFSET(ORÇAMENTO!R$15,ROW(F194)-ROW(F$15),0)</f>
        <v>JOELHO 90 GRAUS, PPR, DN 50 MM, CLASSE PN 25, INSTALADO EM PRUMADA DE ÁGUA   FORNECIMENTO E INSTALAÇÃO . AF_08/2022</v>
      </c>
      <c r="G194" s="165" t="str">
        <f ca="1">IF($D194&lt;&gt;"Serviço","",OFFSET(ORÇAMENTO!S$15,ROW(G194)-ROW(G$15),0))</f>
        <v>UN</v>
      </c>
      <c r="H194" s="123">
        <f ca="1">IF($D194&lt;&gt;"Serviço",0,IF(ACOMPANHAMENTO="BM",ROUND(OFFSET(ORÇAMENTO!AJ$15,ROW(H194)-ROW(H$15),0),15-13*ORÇAMENTO!$AF$7),SUMPRODUCT(($Q$1:$AA$1=1)*ROUND($Q194:$AA194,15-13*ORÇAMENTO!$AF$7))))</f>
        <v>14</v>
      </c>
      <c r="I194" s="469"/>
      <c r="J194" s="577" t="str" cm="1">
        <f t="array" aca="1" ref="J194" ca="1">IF(B194&lt;&gt;"S","",IF(AND(ACOMPANHAMENTO="PLE",AUTOEVENTO="Manual",OR(H194&gt;0,ORÇAMENTO!AC194="QUANT."),OR(K194="",M194=0,N194="")),"►",IF(AND(ACOMPANHAMENTO="PLE",ORÇAMENTO!AC194="QUANT."),"►►",IF(AND(COUNTIF($P$11:$AA$11,"▼")=0,H194&gt;0,I194=""),"◄",""))))</f>
        <v>◄</v>
      </c>
      <c r="K194" s="626"/>
      <c r="L194" s="166" t="s">
        <v>765</v>
      </c>
      <c r="M194" s="167">
        <f ca="1">IF($D194&lt;&gt;"Serviço","",
          IF(AUTOEVENTO="manual",$A194,
                IF(ISERROR(MATCH($A194,$A$15:OFFSET($A194,-1,0),0)),MAX($M$15:OFFSET(M194,-1,0))+1,
                      INDEX($M$15:OFFSET(M194,-1,0),MATCH($A194,$A$15:OFFSET($A194,-1,0),0)))))</f>
        <v>11</v>
      </c>
      <c r="N194" s="168" t="str">
        <f ca="1">IF($D194&lt;&gt;"Serviço","",
         IF(AUTOEVENTO="Manual",
                IF($A194=0,"&lt;-- defina o número do agrupador",
                       OFFSET(EVENTOS!$D$15,$A194-$A$15,0)),
                OFFSET($F$15,$A194,0)))</f>
        <v>INSTALAÇÕES HIDROSSANITÁRIAS</v>
      </c>
      <c r="O194" s="169"/>
      <c r="Q194" s="169"/>
      <c r="R194" s="170"/>
      <c r="S194" s="170"/>
      <c r="T194" s="170"/>
      <c r="U194" s="170"/>
      <c r="V194" s="170"/>
      <c r="W194" s="170"/>
      <c r="X194" s="170"/>
      <c r="Y194" s="170"/>
      <c r="Z194" s="171"/>
      <c r="AB194" s="454">
        <f ca="1">IF(AND($D194="Serviço",AB$12&lt;&gt;0,$H194&gt;0,OR(AUTOEVENTO&lt;&gt;"manual",$M194&lt;&gt;$A$15)),
        IF(Import.TipoArredondamento&lt;&gt;"TransfereGOV",
              ROUND(OFFSET($P194,0,AB$13),15-13*ORÇAMENTO!$AF$7)/$H194*OFFSET(ORÇAMENTO!$X$15,ROW(AB194)-ROW(AB$15),0),
              ROUND(ROUND(OFFSET($P194,0,AB$13),15-13*ORÇAMENTO!$AF$7)*OFFSET(ORÇAMENTO!$W$15,ROW(AB194)-ROW(AB$15),0),15-13*ORÇAMENTO!$AF$11)),
         0)</f>
        <v>0</v>
      </c>
      <c r="AC194" s="454">
        <f ca="1">IF(AND($D194="Serviço",AC$12&lt;&gt;0,$H194&gt;0,OR(AUTOEVENTO&lt;&gt;"manual",$M194&lt;&gt;$A$15)),
        IF(Import.TipoArredondamento&lt;&gt;"TransfereGOV",
              ROUND(OFFSET($P194,0,AC$13),15-13*ORÇAMENTO!$AF$7)/$H194*OFFSET(ORÇAMENTO!$X$15,ROW(AC194)-ROW(AC$15),0),
              ROUND(ROUND(OFFSET($P194,0,AC$13),15-13*ORÇAMENTO!$AF$7)*OFFSET(ORÇAMENTO!$W$15,ROW(AC194)-ROW(AC$15),0),15-13*ORÇAMENTO!$AF$11)),
         0)</f>
        <v>0</v>
      </c>
      <c r="AD194" s="454">
        <f ca="1">IF(AND($D194="Serviço",AD$12&lt;&gt;0,$H194&gt;0,OR(AUTOEVENTO&lt;&gt;"manual",$M194&lt;&gt;$A$15)),
        IF(Import.TipoArredondamento&lt;&gt;"TransfereGOV",
              ROUND(OFFSET($P194,0,AD$13),15-13*ORÇAMENTO!$AF$7)/$H194*OFFSET(ORÇAMENTO!$X$15,ROW(AD194)-ROW(AD$15),0),
              ROUND(ROUND(OFFSET($P194,0,AD$13),15-13*ORÇAMENTO!$AF$7)*OFFSET(ORÇAMENTO!$W$15,ROW(AD194)-ROW(AD$15),0),15-13*ORÇAMENTO!$AF$11)),
         0)</f>
        <v>0</v>
      </c>
      <c r="AE194" s="454">
        <f ca="1">IF(AND($D194="Serviço",AE$12&lt;&gt;0,$H194&gt;0,OR(AUTOEVENTO&lt;&gt;"manual",$M194&lt;&gt;$A$15)),
        IF(Import.TipoArredondamento&lt;&gt;"TransfereGOV",
              ROUND(OFFSET($P194,0,AE$13),15-13*ORÇAMENTO!$AF$7)/$H194*OFFSET(ORÇAMENTO!$X$15,ROW(AE194)-ROW(AE$15),0),
              ROUND(ROUND(OFFSET($P194,0,AE$13),15-13*ORÇAMENTO!$AF$7)*OFFSET(ORÇAMENTO!$W$15,ROW(AE194)-ROW(AE$15),0),15-13*ORÇAMENTO!$AF$11)),
         0)</f>
        <v>0</v>
      </c>
      <c r="AF194" s="454">
        <f ca="1">IF(AND($D194="Serviço",AF$12&lt;&gt;0,$H194&gt;0,OR(AUTOEVENTO&lt;&gt;"manual",$M194&lt;&gt;$A$15)),
        IF(Import.TipoArredondamento&lt;&gt;"TransfereGOV",
              ROUND(OFFSET($P194,0,AF$13),15-13*ORÇAMENTO!$AF$7)/$H194*OFFSET(ORÇAMENTO!$X$15,ROW(AF194)-ROW(AF$15),0),
              ROUND(ROUND(OFFSET($P194,0,AF$13),15-13*ORÇAMENTO!$AF$7)*OFFSET(ORÇAMENTO!$W$15,ROW(AF194)-ROW(AF$15),0),15-13*ORÇAMENTO!$AF$11)),
         0)</f>
        <v>0</v>
      </c>
      <c r="AG194" s="454">
        <f ca="1">IF(AND($D194="Serviço",AG$12&lt;&gt;0,$H194&gt;0,OR(AUTOEVENTO&lt;&gt;"manual",$M194&lt;&gt;$A$15)),
        IF(Import.TipoArredondamento&lt;&gt;"TransfereGOV",
              ROUND(OFFSET($P194,0,AG$13),15-13*ORÇAMENTO!$AF$7)/$H194*OFFSET(ORÇAMENTO!$X$15,ROW(AG194)-ROW(AG$15),0),
              ROUND(ROUND(OFFSET($P194,0,AG$13),15-13*ORÇAMENTO!$AF$7)*OFFSET(ORÇAMENTO!$W$15,ROW(AG194)-ROW(AG$15),0),15-13*ORÇAMENTO!$AF$11)),
         0)</f>
        <v>0</v>
      </c>
      <c r="AH194" s="454">
        <f ca="1">IF(AND($D194="Serviço",AH$12&lt;&gt;0,$H194&gt;0,OR(AUTOEVENTO&lt;&gt;"manual",$M194&lt;&gt;$A$15)),
        IF(Import.TipoArredondamento&lt;&gt;"TransfereGOV",
              ROUND(OFFSET($P194,0,AH$13),15-13*ORÇAMENTO!$AF$7)/$H194*OFFSET(ORÇAMENTO!$X$15,ROW(AH194)-ROW(AH$15),0),
              ROUND(ROUND(OFFSET($P194,0,AH$13),15-13*ORÇAMENTO!$AF$7)*OFFSET(ORÇAMENTO!$W$15,ROW(AH194)-ROW(AH$15),0),15-13*ORÇAMENTO!$AF$11)),
         0)</f>
        <v>0</v>
      </c>
      <c r="AI194" s="454">
        <f ca="1">IF(AND($D194="Serviço",AI$12&lt;&gt;0,$H194&gt;0,OR(AUTOEVENTO&lt;&gt;"manual",$M194&lt;&gt;$A$15)),
        IF(Import.TipoArredondamento&lt;&gt;"TransfereGOV",
              ROUND(OFFSET($P194,0,AI$13),15-13*ORÇAMENTO!$AF$7)/$H194*OFFSET(ORÇAMENTO!$X$15,ROW(AI194)-ROW(AI$15),0),
              ROUND(ROUND(OFFSET($P194,0,AI$13),15-13*ORÇAMENTO!$AF$7)*OFFSET(ORÇAMENTO!$W$15,ROW(AI194)-ROW(AI$15),0),15-13*ORÇAMENTO!$AF$11)),
         0)</f>
        <v>0</v>
      </c>
      <c r="AJ194" s="454">
        <f ca="1">IF(AND($D194="Serviço",AJ$12&lt;&gt;0,$H194&gt;0,OR(AUTOEVENTO&lt;&gt;"manual",$M194&lt;&gt;$A$15)),
        IF(Import.TipoArredondamento&lt;&gt;"TransfereGOV",
              ROUND(OFFSET($P194,0,AJ$13),15-13*ORÇAMENTO!$AF$7)/$H194*OFFSET(ORÇAMENTO!$X$15,ROW(AJ194)-ROW(AJ$15),0),
              ROUND(ROUND(OFFSET($P194,0,AJ$13),15-13*ORÇAMENTO!$AF$7)*OFFSET(ORÇAMENTO!$W$15,ROW(AJ194)-ROW(AJ$15),0),15-13*ORÇAMENTO!$AF$11)),
         0)</f>
        <v>0</v>
      </c>
      <c r="AK194" s="454">
        <f ca="1">IF(AND($D194="Serviço",AK$12&lt;&gt;0,$H194&gt;0,OR(AUTOEVENTO&lt;&gt;"manual",$M194&lt;&gt;$A$15)),
        IF(Import.TipoArredondamento&lt;&gt;"TransfereGOV",
              ROUND(OFFSET($P194,0,AK$13),15-13*ORÇAMENTO!$AF$7)/$H194*OFFSET(ORÇAMENTO!$X$15,ROW(AK194)-ROW(AK$15),0),
              ROUND(ROUND(OFFSET($P194,0,AK$13),15-13*ORÇAMENTO!$AF$7)*OFFSET(ORÇAMENTO!$W$15,ROW(AK194)-ROW(AK$15),0),15-13*ORÇAMENTO!$AF$11)),
         0)</f>
        <v>0</v>
      </c>
      <c r="AM194" s="172">
        <f ca="1">IF(OR($D194&lt;&gt;"Serviço",AND(AUTOEVENTO="Manual",$M194=$A$15)),0,
         IF(OFFSET(CRONOPLE!$F$15,$M194-$A$15,AM$13)="",10^12,OFFSET(CRONOPLE!$F$15,$M194-$A$15,AM$13)))</f>
        <v>1000000000000</v>
      </c>
      <c r="AN194" s="172">
        <f ca="1">IF(OR($D194&lt;&gt;"Serviço",AND(AUTOEVENTO="Manual",$M194=$A$15)),0,
         IF(OFFSET(CRONOPLE!$F$15,$M194-$A$15,AN$13)="",10^12,OFFSET(CRONOPLE!$F$15,$M194-$A$15,AN$13)))</f>
        <v>1000000000000</v>
      </c>
      <c r="AO194" s="172">
        <f ca="1">IF(OR($D194&lt;&gt;"Serviço",AND(AUTOEVENTO="Manual",$M194=$A$15)),0,
         IF(OFFSET(CRONOPLE!$F$15,$M194-$A$15,AO$13)="",10^12,OFFSET(CRONOPLE!$F$15,$M194-$A$15,AO$13)))</f>
        <v>1000000000000</v>
      </c>
      <c r="AP194" s="172">
        <f ca="1">IF(OR($D194&lt;&gt;"Serviço",AND(AUTOEVENTO="Manual",$M194=$A$15)),0,
         IF(OFFSET(CRONOPLE!$F$15,$M194-$A$15,AP$13)="",10^12,OFFSET(CRONOPLE!$F$15,$M194-$A$15,AP$13)))</f>
        <v>1000000000000</v>
      </c>
      <c r="AQ194" s="172">
        <f ca="1">IF(OR($D194&lt;&gt;"Serviço",AND(AUTOEVENTO="Manual",$M194=$A$15)),0,
         IF(OFFSET(CRONOPLE!$F$15,$M194-$A$15,AQ$13)="",10^12,OFFSET(CRONOPLE!$F$15,$M194-$A$15,AQ$13)))</f>
        <v>1000000000000</v>
      </c>
      <c r="AR194" s="172">
        <f ca="1">IF(OR($D194&lt;&gt;"Serviço",AND(AUTOEVENTO="Manual",$M194=$A$15)),0,
         IF(OFFSET(CRONOPLE!$F$15,$M194-$A$15,AR$13)="",10^12,OFFSET(CRONOPLE!$F$15,$M194-$A$15,AR$13)))</f>
        <v>1000000000000</v>
      </c>
      <c r="AS194" s="172">
        <f ca="1">IF(OR($D194&lt;&gt;"Serviço",AND(AUTOEVENTO="Manual",$M194=$A$15)),0,
         IF(OFFSET(CRONOPLE!$F$15,$M194-$A$15,AS$13)="",10^12,OFFSET(CRONOPLE!$F$15,$M194-$A$15,AS$13)))</f>
        <v>1000000000000</v>
      </c>
      <c r="AT194" s="172">
        <f ca="1">IF(OR($D194&lt;&gt;"Serviço",AND(AUTOEVENTO="Manual",$M194=$A$15)),0,
         IF(OFFSET(CRONOPLE!$F$15,$M194-$A$15,AT$13)="",10^12,OFFSET(CRONOPLE!$F$15,$M194-$A$15,AT$13)))</f>
        <v>1000000000000</v>
      </c>
      <c r="AU194" s="172">
        <f ca="1">IF(OR($D194&lt;&gt;"Serviço",AND(AUTOEVENTO="Manual",$M194=$A$15)),0,
         IF(OFFSET(CRONOPLE!$F$15,$M194-$A$15,AU$13)="",10^12,OFFSET(CRONOPLE!$F$15,$M194-$A$15,AU$13)))</f>
        <v>1000000000000</v>
      </c>
      <c r="AV194" s="172">
        <f ca="1">IF(OR($D194&lt;&gt;"Serviço",AND(AUTOEVENTO="Manual",$M194=$A$15)),0,
         IF(OFFSET(CRONOPLE!$F$15,$M194-$A$15,AV$13)="",10^12,OFFSET(CRONOPLE!$F$15,$M194-$A$15,AV$13)))</f>
        <v>1000000000000</v>
      </c>
      <c r="AX194" s="173">
        <f ca="1">IF(OR($D194&lt;&gt;"Serviço",AND(AUTOEVENTO="Manual",$M194=$A$15),$M194&gt;(ROW(PLE.lastrow)-ROW(PLE.firstrow))),0,
           IF(OFFSET(PLE!$G$15,$M194-$A$15,AX$13)="",10^12,OFFSET(PLE!$G$15,$M194-$A$15,AX$13)))</f>
        <v>1000000000000</v>
      </c>
      <c r="AY194" s="173">
        <f ca="1">IF(OR($D194&lt;&gt;"Serviço",AND(AUTOEVENTO="Manual",$M194=$A$15),$M194&gt;(ROW(PLE.lastrow)-ROW(PLE.firstrow))),0,
           IF(OFFSET(PLE!$G$15,$M194-$A$15,AY$13)="",10^12,OFFSET(PLE!$G$15,$M194-$A$15,AY$13)))</f>
        <v>1000000000000</v>
      </c>
      <c r="AZ194" s="173">
        <f ca="1">IF(OR($D194&lt;&gt;"Serviço",AND(AUTOEVENTO="Manual",$M194=$A$15),$M194&gt;(ROW(PLE.lastrow)-ROW(PLE.firstrow))),0,
           IF(OFFSET(PLE!$G$15,$M194-$A$15,AZ$13)="",10^12,OFFSET(PLE!$G$15,$M194-$A$15,AZ$13)))</f>
        <v>1000000000000</v>
      </c>
      <c r="BA194" s="173">
        <f ca="1">IF(OR($D194&lt;&gt;"Serviço",AND(AUTOEVENTO="Manual",$M194=$A$15),$M194&gt;(ROW(PLE.lastrow)-ROW(PLE.firstrow))),0,
           IF(OFFSET(PLE!$G$15,$M194-$A$15,BA$13)="",10^12,OFFSET(PLE!$G$15,$M194-$A$15,BA$13)))</f>
        <v>1000000000000</v>
      </c>
      <c r="BB194" s="173">
        <f ca="1">IF(OR($D194&lt;&gt;"Serviço",AND(AUTOEVENTO="Manual",$M194=$A$15),$M194&gt;(ROW(PLE.lastrow)-ROW(PLE.firstrow))),0,
           IF(OFFSET(PLE!$G$15,$M194-$A$15,BB$13)="",10^12,OFFSET(PLE!$G$15,$M194-$A$15,BB$13)))</f>
        <v>1000000000000</v>
      </c>
      <c r="BC194" s="173">
        <f ca="1">IF(OR($D194&lt;&gt;"Serviço",AND(AUTOEVENTO="Manual",$M194=$A$15),$M194&gt;(ROW(PLE.lastrow)-ROW(PLE.firstrow))),0,
           IF(OFFSET(PLE!$G$15,$M194-$A$15,BC$13)="",10^12,OFFSET(PLE!$G$15,$M194-$A$15,BC$13)))</f>
        <v>1000000000000</v>
      </c>
      <c r="BD194" s="173">
        <f ca="1">IF(OR($D194&lt;&gt;"Serviço",AND(AUTOEVENTO="Manual",$M194=$A$15),$M194&gt;(ROW(PLE.lastrow)-ROW(PLE.firstrow))),0,
           IF(OFFSET(PLE!$G$15,$M194-$A$15,BD$13)="",10^12,OFFSET(PLE!$G$15,$M194-$A$15,BD$13)))</f>
        <v>1000000000000</v>
      </c>
      <c r="BE194" s="173">
        <f ca="1">IF(OR($D194&lt;&gt;"Serviço",AND(AUTOEVENTO="Manual",$M194=$A$15),$M194&gt;(ROW(PLE.lastrow)-ROW(PLE.firstrow))),0,
           IF(OFFSET(PLE!$G$15,$M194-$A$15,BE$13)="",10^12,OFFSET(PLE!$G$15,$M194-$A$15,BE$13)))</f>
        <v>1000000000000</v>
      </c>
      <c r="BF194" s="173">
        <f ca="1">IF(OR($D194&lt;&gt;"Serviço",AND(AUTOEVENTO="Manual",$M194=$A$15),$M194&gt;(ROW(PLE.lastrow)-ROW(PLE.firstrow))),0,
           IF(OFFSET(PLE!$G$15,$M194-$A$15,BF$13)="",10^12,OFFSET(PLE!$G$15,$M194-$A$15,BF$13)))</f>
        <v>1000000000000</v>
      </c>
      <c r="BG194" s="173">
        <f ca="1">IF(OR($D194&lt;&gt;"Serviço",AND(AUTOEVENTO="Manual",$M194=$A$15),$M194&gt;(ROW(PLE.lastrow)-ROW(PLE.firstrow))),0,
           IF(OFFSET(PLE!$G$15,$M194-$A$15,BG$13)="",10^12,OFFSET(PLE!$G$15,$M194-$A$15,BG$13)))</f>
        <v>1000000000000</v>
      </c>
    </row>
    <row r="195" spans="1:59" ht="38.25" x14ac:dyDescent="0.2">
      <c r="A195" s="7" t="str">
        <f t="shared" ca="1" si="10"/>
        <v>114</v>
      </c>
      <c r="B195" s="7" t="str">
        <f ca="1">OFFSET(ORÇAMENTO!C$15,ROW(B195)-ROW(B$15),0)</f>
        <v>S</v>
      </c>
      <c r="C195" s="7" t="str">
        <f ca="1">OFFSET(ORÇAMENTO!L$15,ROW(C195)-ROW(C$15),0)</f>
        <v/>
      </c>
      <c r="D195" s="117" t="str">
        <f ca="1">OFFSET(ORÇAMENTO!N$15,ROW(D195)-ROW(D$15),0)</f>
        <v>Serviço</v>
      </c>
      <c r="E195" s="118" t="str">
        <f ca="1">OFFSET(ORÇAMENTO!O$15,ROW(E195)-ROW(E$15),0)</f>
        <v>-</v>
      </c>
      <c r="F195" s="164" t="str">
        <f ca="1">OFFSET(ORÇAMENTO!R$15,ROW(F195)-ROW(F$15),0)</f>
        <v>JOELHO 90 GRAUS, PVC, SOLDÁVEL, DN 25MM, INSTALADO EM RAMAL OU SUB-RAMAL DE ÁGUA - FORNECIMENTO E INSTALAÇÃO. AF_06/2022</v>
      </c>
      <c r="G195" s="165" t="str">
        <f ca="1">IF($D195&lt;&gt;"Serviço","",OFFSET(ORÇAMENTO!S$15,ROW(G195)-ROW(G$15),0))</f>
        <v>UN</v>
      </c>
      <c r="H195" s="123">
        <f ca="1">IF($D195&lt;&gt;"Serviço",0,IF(ACOMPANHAMENTO="BM",ROUND(OFFSET(ORÇAMENTO!AJ$15,ROW(H195)-ROW(H$15),0),15-13*ORÇAMENTO!$AF$7),SUMPRODUCT(($Q$1:$AA$1=1)*ROUND($Q195:$AA195,15-13*ORÇAMENTO!$AF$7))))</f>
        <v>148</v>
      </c>
      <c r="I195" s="469"/>
      <c r="J195" s="577" t="str" cm="1">
        <f t="array" aca="1" ref="J195" ca="1">IF(B195&lt;&gt;"S","",IF(AND(ACOMPANHAMENTO="PLE",AUTOEVENTO="Manual",OR(H195&gt;0,ORÇAMENTO!AC195="QUANT."),OR(K195="",M195=0,N195="")),"►",IF(AND(ACOMPANHAMENTO="PLE",ORÇAMENTO!AC195="QUANT."),"►►",IF(AND(COUNTIF($P$11:$AA$11,"▼")=0,H195&gt;0,I195=""),"◄",""))))</f>
        <v>◄</v>
      </c>
      <c r="K195" s="626"/>
      <c r="L195" s="166" t="s">
        <v>765</v>
      </c>
      <c r="M195" s="167">
        <f ca="1">IF($D195&lt;&gt;"Serviço","",
          IF(AUTOEVENTO="manual",$A195,
                IF(ISERROR(MATCH($A195,$A$15:OFFSET($A195,-1,0),0)),MAX($M$15:OFFSET(M195,-1,0))+1,
                      INDEX($M$15:OFFSET(M195,-1,0),MATCH($A195,$A$15:OFFSET($A195,-1,0),0)))))</f>
        <v>11</v>
      </c>
      <c r="N195" s="168" t="str">
        <f ca="1">IF($D195&lt;&gt;"Serviço","",
         IF(AUTOEVENTO="Manual",
                IF($A195=0,"&lt;-- defina o número do agrupador",
                       OFFSET(EVENTOS!$D$15,$A195-$A$15,0)),
                OFFSET($F$15,$A195,0)))</f>
        <v>INSTALAÇÕES HIDROSSANITÁRIAS</v>
      </c>
      <c r="O195" s="169"/>
      <c r="Q195" s="169"/>
      <c r="R195" s="170"/>
      <c r="S195" s="170"/>
      <c r="T195" s="170"/>
      <c r="U195" s="170"/>
      <c r="V195" s="170"/>
      <c r="W195" s="170"/>
      <c r="X195" s="170"/>
      <c r="Y195" s="170"/>
      <c r="Z195" s="171"/>
      <c r="AB195" s="454">
        <f ca="1">IF(AND($D195="Serviço",AB$12&lt;&gt;0,$H195&gt;0,OR(AUTOEVENTO&lt;&gt;"manual",$M195&lt;&gt;$A$15)),
        IF(Import.TipoArredondamento&lt;&gt;"TransfereGOV",
              ROUND(OFFSET($P195,0,AB$13),15-13*ORÇAMENTO!$AF$7)/$H195*OFFSET(ORÇAMENTO!$X$15,ROW(AB195)-ROW(AB$15),0),
              ROUND(ROUND(OFFSET($P195,0,AB$13),15-13*ORÇAMENTO!$AF$7)*OFFSET(ORÇAMENTO!$W$15,ROW(AB195)-ROW(AB$15),0),15-13*ORÇAMENTO!$AF$11)),
         0)</f>
        <v>0</v>
      </c>
      <c r="AC195" s="454">
        <f ca="1">IF(AND($D195="Serviço",AC$12&lt;&gt;0,$H195&gt;0,OR(AUTOEVENTO&lt;&gt;"manual",$M195&lt;&gt;$A$15)),
        IF(Import.TipoArredondamento&lt;&gt;"TransfereGOV",
              ROUND(OFFSET($P195,0,AC$13),15-13*ORÇAMENTO!$AF$7)/$H195*OFFSET(ORÇAMENTO!$X$15,ROW(AC195)-ROW(AC$15),0),
              ROUND(ROUND(OFFSET($P195,0,AC$13),15-13*ORÇAMENTO!$AF$7)*OFFSET(ORÇAMENTO!$W$15,ROW(AC195)-ROW(AC$15),0),15-13*ORÇAMENTO!$AF$11)),
         0)</f>
        <v>0</v>
      </c>
      <c r="AD195" s="454">
        <f ca="1">IF(AND($D195="Serviço",AD$12&lt;&gt;0,$H195&gt;0,OR(AUTOEVENTO&lt;&gt;"manual",$M195&lt;&gt;$A$15)),
        IF(Import.TipoArredondamento&lt;&gt;"TransfereGOV",
              ROUND(OFFSET($P195,0,AD$13),15-13*ORÇAMENTO!$AF$7)/$H195*OFFSET(ORÇAMENTO!$X$15,ROW(AD195)-ROW(AD$15),0),
              ROUND(ROUND(OFFSET($P195,0,AD$13),15-13*ORÇAMENTO!$AF$7)*OFFSET(ORÇAMENTO!$W$15,ROW(AD195)-ROW(AD$15),0),15-13*ORÇAMENTO!$AF$11)),
         0)</f>
        <v>0</v>
      </c>
      <c r="AE195" s="454">
        <f ca="1">IF(AND($D195="Serviço",AE$12&lt;&gt;0,$H195&gt;0,OR(AUTOEVENTO&lt;&gt;"manual",$M195&lt;&gt;$A$15)),
        IF(Import.TipoArredondamento&lt;&gt;"TransfereGOV",
              ROUND(OFFSET($P195,0,AE$13),15-13*ORÇAMENTO!$AF$7)/$H195*OFFSET(ORÇAMENTO!$X$15,ROW(AE195)-ROW(AE$15),0),
              ROUND(ROUND(OFFSET($P195,0,AE$13),15-13*ORÇAMENTO!$AF$7)*OFFSET(ORÇAMENTO!$W$15,ROW(AE195)-ROW(AE$15),0),15-13*ORÇAMENTO!$AF$11)),
         0)</f>
        <v>0</v>
      </c>
      <c r="AF195" s="454">
        <f ca="1">IF(AND($D195="Serviço",AF$12&lt;&gt;0,$H195&gt;0,OR(AUTOEVENTO&lt;&gt;"manual",$M195&lt;&gt;$A$15)),
        IF(Import.TipoArredondamento&lt;&gt;"TransfereGOV",
              ROUND(OFFSET($P195,0,AF$13),15-13*ORÇAMENTO!$AF$7)/$H195*OFFSET(ORÇAMENTO!$X$15,ROW(AF195)-ROW(AF$15),0),
              ROUND(ROUND(OFFSET($P195,0,AF$13),15-13*ORÇAMENTO!$AF$7)*OFFSET(ORÇAMENTO!$W$15,ROW(AF195)-ROW(AF$15),0),15-13*ORÇAMENTO!$AF$11)),
         0)</f>
        <v>0</v>
      </c>
      <c r="AG195" s="454">
        <f ca="1">IF(AND($D195="Serviço",AG$12&lt;&gt;0,$H195&gt;0,OR(AUTOEVENTO&lt;&gt;"manual",$M195&lt;&gt;$A$15)),
        IF(Import.TipoArredondamento&lt;&gt;"TransfereGOV",
              ROUND(OFFSET($P195,0,AG$13),15-13*ORÇAMENTO!$AF$7)/$H195*OFFSET(ORÇAMENTO!$X$15,ROW(AG195)-ROW(AG$15),0),
              ROUND(ROUND(OFFSET($P195,0,AG$13),15-13*ORÇAMENTO!$AF$7)*OFFSET(ORÇAMENTO!$W$15,ROW(AG195)-ROW(AG$15),0),15-13*ORÇAMENTO!$AF$11)),
         0)</f>
        <v>0</v>
      </c>
      <c r="AH195" s="454">
        <f ca="1">IF(AND($D195="Serviço",AH$12&lt;&gt;0,$H195&gt;0,OR(AUTOEVENTO&lt;&gt;"manual",$M195&lt;&gt;$A$15)),
        IF(Import.TipoArredondamento&lt;&gt;"TransfereGOV",
              ROUND(OFFSET($P195,0,AH$13),15-13*ORÇAMENTO!$AF$7)/$H195*OFFSET(ORÇAMENTO!$X$15,ROW(AH195)-ROW(AH$15),0),
              ROUND(ROUND(OFFSET($P195,0,AH$13),15-13*ORÇAMENTO!$AF$7)*OFFSET(ORÇAMENTO!$W$15,ROW(AH195)-ROW(AH$15),0),15-13*ORÇAMENTO!$AF$11)),
         0)</f>
        <v>0</v>
      </c>
      <c r="AI195" s="454">
        <f ca="1">IF(AND($D195="Serviço",AI$12&lt;&gt;0,$H195&gt;0,OR(AUTOEVENTO&lt;&gt;"manual",$M195&lt;&gt;$A$15)),
        IF(Import.TipoArredondamento&lt;&gt;"TransfereGOV",
              ROUND(OFFSET($P195,0,AI$13),15-13*ORÇAMENTO!$AF$7)/$H195*OFFSET(ORÇAMENTO!$X$15,ROW(AI195)-ROW(AI$15),0),
              ROUND(ROUND(OFFSET($P195,0,AI$13),15-13*ORÇAMENTO!$AF$7)*OFFSET(ORÇAMENTO!$W$15,ROW(AI195)-ROW(AI$15),0),15-13*ORÇAMENTO!$AF$11)),
         0)</f>
        <v>0</v>
      </c>
      <c r="AJ195" s="454">
        <f ca="1">IF(AND($D195="Serviço",AJ$12&lt;&gt;0,$H195&gt;0,OR(AUTOEVENTO&lt;&gt;"manual",$M195&lt;&gt;$A$15)),
        IF(Import.TipoArredondamento&lt;&gt;"TransfereGOV",
              ROUND(OFFSET($P195,0,AJ$13),15-13*ORÇAMENTO!$AF$7)/$H195*OFFSET(ORÇAMENTO!$X$15,ROW(AJ195)-ROW(AJ$15),0),
              ROUND(ROUND(OFFSET($P195,0,AJ$13),15-13*ORÇAMENTO!$AF$7)*OFFSET(ORÇAMENTO!$W$15,ROW(AJ195)-ROW(AJ$15),0),15-13*ORÇAMENTO!$AF$11)),
         0)</f>
        <v>0</v>
      </c>
      <c r="AK195" s="454">
        <f ca="1">IF(AND($D195="Serviço",AK$12&lt;&gt;0,$H195&gt;0,OR(AUTOEVENTO&lt;&gt;"manual",$M195&lt;&gt;$A$15)),
        IF(Import.TipoArredondamento&lt;&gt;"TransfereGOV",
              ROUND(OFFSET($P195,0,AK$13),15-13*ORÇAMENTO!$AF$7)/$H195*OFFSET(ORÇAMENTO!$X$15,ROW(AK195)-ROW(AK$15),0),
              ROUND(ROUND(OFFSET($P195,0,AK$13),15-13*ORÇAMENTO!$AF$7)*OFFSET(ORÇAMENTO!$W$15,ROW(AK195)-ROW(AK$15),0),15-13*ORÇAMENTO!$AF$11)),
         0)</f>
        <v>0</v>
      </c>
      <c r="AM195" s="172">
        <f ca="1">IF(OR($D195&lt;&gt;"Serviço",AND(AUTOEVENTO="Manual",$M195=$A$15)),0,
         IF(OFFSET(CRONOPLE!$F$15,$M195-$A$15,AM$13)="",10^12,OFFSET(CRONOPLE!$F$15,$M195-$A$15,AM$13)))</f>
        <v>1000000000000</v>
      </c>
      <c r="AN195" s="172">
        <f ca="1">IF(OR($D195&lt;&gt;"Serviço",AND(AUTOEVENTO="Manual",$M195=$A$15)),0,
         IF(OFFSET(CRONOPLE!$F$15,$M195-$A$15,AN$13)="",10^12,OFFSET(CRONOPLE!$F$15,$M195-$A$15,AN$13)))</f>
        <v>1000000000000</v>
      </c>
      <c r="AO195" s="172">
        <f ca="1">IF(OR($D195&lt;&gt;"Serviço",AND(AUTOEVENTO="Manual",$M195=$A$15)),0,
         IF(OFFSET(CRONOPLE!$F$15,$M195-$A$15,AO$13)="",10^12,OFFSET(CRONOPLE!$F$15,$M195-$A$15,AO$13)))</f>
        <v>1000000000000</v>
      </c>
      <c r="AP195" s="172">
        <f ca="1">IF(OR($D195&lt;&gt;"Serviço",AND(AUTOEVENTO="Manual",$M195=$A$15)),0,
         IF(OFFSET(CRONOPLE!$F$15,$M195-$A$15,AP$13)="",10^12,OFFSET(CRONOPLE!$F$15,$M195-$A$15,AP$13)))</f>
        <v>1000000000000</v>
      </c>
      <c r="AQ195" s="172">
        <f ca="1">IF(OR($D195&lt;&gt;"Serviço",AND(AUTOEVENTO="Manual",$M195=$A$15)),0,
         IF(OFFSET(CRONOPLE!$F$15,$M195-$A$15,AQ$13)="",10^12,OFFSET(CRONOPLE!$F$15,$M195-$A$15,AQ$13)))</f>
        <v>1000000000000</v>
      </c>
      <c r="AR195" s="172">
        <f ca="1">IF(OR($D195&lt;&gt;"Serviço",AND(AUTOEVENTO="Manual",$M195=$A$15)),0,
         IF(OFFSET(CRONOPLE!$F$15,$M195-$A$15,AR$13)="",10^12,OFFSET(CRONOPLE!$F$15,$M195-$A$15,AR$13)))</f>
        <v>1000000000000</v>
      </c>
      <c r="AS195" s="172">
        <f ca="1">IF(OR($D195&lt;&gt;"Serviço",AND(AUTOEVENTO="Manual",$M195=$A$15)),0,
         IF(OFFSET(CRONOPLE!$F$15,$M195-$A$15,AS$13)="",10^12,OFFSET(CRONOPLE!$F$15,$M195-$A$15,AS$13)))</f>
        <v>1000000000000</v>
      </c>
      <c r="AT195" s="172">
        <f ca="1">IF(OR($D195&lt;&gt;"Serviço",AND(AUTOEVENTO="Manual",$M195=$A$15)),0,
         IF(OFFSET(CRONOPLE!$F$15,$M195-$A$15,AT$13)="",10^12,OFFSET(CRONOPLE!$F$15,$M195-$A$15,AT$13)))</f>
        <v>1000000000000</v>
      </c>
      <c r="AU195" s="172">
        <f ca="1">IF(OR($D195&lt;&gt;"Serviço",AND(AUTOEVENTO="Manual",$M195=$A$15)),0,
         IF(OFFSET(CRONOPLE!$F$15,$M195-$A$15,AU$13)="",10^12,OFFSET(CRONOPLE!$F$15,$M195-$A$15,AU$13)))</f>
        <v>1000000000000</v>
      </c>
      <c r="AV195" s="172">
        <f ca="1">IF(OR($D195&lt;&gt;"Serviço",AND(AUTOEVENTO="Manual",$M195=$A$15)),0,
         IF(OFFSET(CRONOPLE!$F$15,$M195-$A$15,AV$13)="",10^12,OFFSET(CRONOPLE!$F$15,$M195-$A$15,AV$13)))</f>
        <v>1000000000000</v>
      </c>
      <c r="AX195" s="173">
        <f ca="1">IF(OR($D195&lt;&gt;"Serviço",AND(AUTOEVENTO="Manual",$M195=$A$15),$M195&gt;(ROW(PLE.lastrow)-ROW(PLE.firstrow))),0,
           IF(OFFSET(PLE!$G$15,$M195-$A$15,AX$13)="",10^12,OFFSET(PLE!$G$15,$M195-$A$15,AX$13)))</f>
        <v>1000000000000</v>
      </c>
      <c r="AY195" s="173">
        <f ca="1">IF(OR($D195&lt;&gt;"Serviço",AND(AUTOEVENTO="Manual",$M195=$A$15),$M195&gt;(ROW(PLE.lastrow)-ROW(PLE.firstrow))),0,
           IF(OFFSET(PLE!$G$15,$M195-$A$15,AY$13)="",10^12,OFFSET(PLE!$G$15,$M195-$A$15,AY$13)))</f>
        <v>1000000000000</v>
      </c>
      <c r="AZ195" s="173">
        <f ca="1">IF(OR($D195&lt;&gt;"Serviço",AND(AUTOEVENTO="Manual",$M195=$A$15),$M195&gt;(ROW(PLE.lastrow)-ROW(PLE.firstrow))),0,
           IF(OFFSET(PLE!$G$15,$M195-$A$15,AZ$13)="",10^12,OFFSET(PLE!$G$15,$M195-$A$15,AZ$13)))</f>
        <v>1000000000000</v>
      </c>
      <c r="BA195" s="173">
        <f ca="1">IF(OR($D195&lt;&gt;"Serviço",AND(AUTOEVENTO="Manual",$M195=$A$15),$M195&gt;(ROW(PLE.lastrow)-ROW(PLE.firstrow))),0,
           IF(OFFSET(PLE!$G$15,$M195-$A$15,BA$13)="",10^12,OFFSET(PLE!$G$15,$M195-$A$15,BA$13)))</f>
        <v>1000000000000</v>
      </c>
      <c r="BB195" s="173">
        <f ca="1">IF(OR($D195&lt;&gt;"Serviço",AND(AUTOEVENTO="Manual",$M195=$A$15),$M195&gt;(ROW(PLE.lastrow)-ROW(PLE.firstrow))),0,
           IF(OFFSET(PLE!$G$15,$M195-$A$15,BB$13)="",10^12,OFFSET(PLE!$G$15,$M195-$A$15,BB$13)))</f>
        <v>1000000000000</v>
      </c>
      <c r="BC195" s="173">
        <f ca="1">IF(OR($D195&lt;&gt;"Serviço",AND(AUTOEVENTO="Manual",$M195=$A$15),$M195&gt;(ROW(PLE.lastrow)-ROW(PLE.firstrow))),0,
           IF(OFFSET(PLE!$G$15,$M195-$A$15,BC$13)="",10^12,OFFSET(PLE!$G$15,$M195-$A$15,BC$13)))</f>
        <v>1000000000000</v>
      </c>
      <c r="BD195" s="173">
        <f ca="1">IF(OR($D195&lt;&gt;"Serviço",AND(AUTOEVENTO="Manual",$M195=$A$15),$M195&gt;(ROW(PLE.lastrow)-ROW(PLE.firstrow))),0,
           IF(OFFSET(PLE!$G$15,$M195-$A$15,BD$13)="",10^12,OFFSET(PLE!$G$15,$M195-$A$15,BD$13)))</f>
        <v>1000000000000</v>
      </c>
      <c r="BE195" s="173">
        <f ca="1">IF(OR($D195&lt;&gt;"Serviço",AND(AUTOEVENTO="Manual",$M195=$A$15),$M195&gt;(ROW(PLE.lastrow)-ROW(PLE.firstrow))),0,
           IF(OFFSET(PLE!$G$15,$M195-$A$15,BE$13)="",10^12,OFFSET(PLE!$G$15,$M195-$A$15,BE$13)))</f>
        <v>1000000000000</v>
      </c>
      <c r="BF195" s="173">
        <f ca="1">IF(OR($D195&lt;&gt;"Serviço",AND(AUTOEVENTO="Manual",$M195=$A$15),$M195&gt;(ROW(PLE.lastrow)-ROW(PLE.firstrow))),0,
           IF(OFFSET(PLE!$G$15,$M195-$A$15,BF$13)="",10^12,OFFSET(PLE!$G$15,$M195-$A$15,BF$13)))</f>
        <v>1000000000000</v>
      </c>
      <c r="BG195" s="173">
        <f ca="1">IF(OR($D195&lt;&gt;"Serviço",AND(AUTOEVENTO="Manual",$M195=$A$15),$M195&gt;(ROW(PLE.lastrow)-ROW(PLE.firstrow))),0,
           IF(OFFSET(PLE!$G$15,$M195-$A$15,BG$13)="",10^12,OFFSET(PLE!$G$15,$M195-$A$15,BG$13)))</f>
        <v>1000000000000</v>
      </c>
    </row>
    <row r="196" spans="1:59" ht="38.25" x14ac:dyDescent="0.2">
      <c r="A196" s="7" t="str">
        <f t="shared" ca="1" si="10"/>
        <v>114</v>
      </c>
      <c r="B196" s="7" t="str">
        <f ca="1">OFFSET(ORÇAMENTO!C$15,ROW(B196)-ROW(B$15),0)</f>
        <v>S</v>
      </c>
      <c r="C196" s="7" t="str">
        <f ca="1">OFFSET(ORÇAMENTO!L$15,ROW(C196)-ROW(C$15),0)</f>
        <v/>
      </c>
      <c r="D196" s="117" t="str">
        <f ca="1">OFFSET(ORÇAMENTO!N$15,ROW(D196)-ROW(D$15),0)</f>
        <v>Serviço</v>
      </c>
      <c r="E196" s="118" t="str">
        <f ca="1">OFFSET(ORÇAMENTO!O$15,ROW(E196)-ROW(E$15),0)</f>
        <v>-</v>
      </c>
      <c r="F196" s="164" t="str">
        <f ca="1">OFFSET(ORÇAMENTO!R$15,ROW(F196)-ROW(F$15),0)</f>
        <v>JOELHO 90 GRAUS, PVC, SOLDÁVEL, DN 40MM, INSTALADO EM RAMAL DE DISTRIBUIÇÃO DE ÁGUA - FORNECIMENTO E INSTALAÇÃO. AF_06/2022</v>
      </c>
      <c r="G196" s="165" t="str">
        <f ca="1">IF($D196&lt;&gt;"Serviço","",OFFSET(ORÇAMENTO!S$15,ROW(G196)-ROW(G$15),0))</f>
        <v>UN</v>
      </c>
      <c r="H196" s="123">
        <f ca="1">IF($D196&lt;&gt;"Serviço",0,IF(ACOMPANHAMENTO="BM",ROUND(OFFSET(ORÇAMENTO!AJ$15,ROW(H196)-ROW(H$15),0),15-13*ORÇAMENTO!$AF$7),SUMPRODUCT(($Q$1:$AA$1=1)*ROUND($Q196:$AA196,15-13*ORÇAMENTO!$AF$7))))</f>
        <v>9</v>
      </c>
      <c r="I196" s="469"/>
      <c r="J196" s="577" t="str" cm="1">
        <f t="array" aca="1" ref="J196" ca="1">IF(B196&lt;&gt;"S","",IF(AND(ACOMPANHAMENTO="PLE",AUTOEVENTO="Manual",OR(H196&gt;0,ORÇAMENTO!AC196="QUANT."),OR(K196="",M196=0,N196="")),"►",IF(AND(ACOMPANHAMENTO="PLE",ORÇAMENTO!AC196="QUANT."),"►►",IF(AND(COUNTIF($P$11:$AA$11,"▼")=0,H196&gt;0,I196=""),"◄",""))))</f>
        <v>◄</v>
      </c>
      <c r="K196" s="626"/>
      <c r="L196" s="166" t="s">
        <v>765</v>
      </c>
      <c r="M196" s="167">
        <f ca="1">IF($D196&lt;&gt;"Serviço","",
          IF(AUTOEVENTO="manual",$A196,
                IF(ISERROR(MATCH($A196,$A$15:OFFSET($A196,-1,0),0)),MAX($M$15:OFFSET(M196,-1,0))+1,
                      INDEX($M$15:OFFSET(M196,-1,0),MATCH($A196,$A$15:OFFSET($A196,-1,0),0)))))</f>
        <v>11</v>
      </c>
      <c r="N196" s="168" t="str">
        <f ca="1">IF($D196&lt;&gt;"Serviço","",
         IF(AUTOEVENTO="Manual",
                IF($A196=0,"&lt;-- defina o número do agrupador",
                       OFFSET(EVENTOS!$D$15,$A196-$A$15,0)),
                OFFSET($F$15,$A196,0)))</f>
        <v>INSTALAÇÕES HIDROSSANITÁRIAS</v>
      </c>
      <c r="O196" s="169"/>
      <c r="Q196" s="169"/>
      <c r="R196" s="170"/>
      <c r="S196" s="170"/>
      <c r="T196" s="170"/>
      <c r="U196" s="170"/>
      <c r="V196" s="170"/>
      <c r="W196" s="170"/>
      <c r="X196" s="170"/>
      <c r="Y196" s="170"/>
      <c r="Z196" s="171"/>
      <c r="AB196" s="454">
        <f ca="1">IF(AND($D196="Serviço",AB$12&lt;&gt;0,$H196&gt;0,OR(AUTOEVENTO&lt;&gt;"manual",$M196&lt;&gt;$A$15)),
        IF(Import.TipoArredondamento&lt;&gt;"TransfereGOV",
              ROUND(OFFSET($P196,0,AB$13),15-13*ORÇAMENTO!$AF$7)/$H196*OFFSET(ORÇAMENTO!$X$15,ROW(AB196)-ROW(AB$15),0),
              ROUND(ROUND(OFFSET($P196,0,AB$13),15-13*ORÇAMENTO!$AF$7)*OFFSET(ORÇAMENTO!$W$15,ROW(AB196)-ROW(AB$15),0),15-13*ORÇAMENTO!$AF$11)),
         0)</f>
        <v>0</v>
      </c>
      <c r="AC196" s="454">
        <f ca="1">IF(AND($D196="Serviço",AC$12&lt;&gt;0,$H196&gt;0,OR(AUTOEVENTO&lt;&gt;"manual",$M196&lt;&gt;$A$15)),
        IF(Import.TipoArredondamento&lt;&gt;"TransfereGOV",
              ROUND(OFFSET($P196,0,AC$13),15-13*ORÇAMENTO!$AF$7)/$H196*OFFSET(ORÇAMENTO!$X$15,ROW(AC196)-ROW(AC$15),0),
              ROUND(ROUND(OFFSET($P196,0,AC$13),15-13*ORÇAMENTO!$AF$7)*OFFSET(ORÇAMENTO!$W$15,ROW(AC196)-ROW(AC$15),0),15-13*ORÇAMENTO!$AF$11)),
         0)</f>
        <v>0</v>
      </c>
      <c r="AD196" s="454">
        <f ca="1">IF(AND($D196="Serviço",AD$12&lt;&gt;0,$H196&gt;0,OR(AUTOEVENTO&lt;&gt;"manual",$M196&lt;&gt;$A$15)),
        IF(Import.TipoArredondamento&lt;&gt;"TransfereGOV",
              ROUND(OFFSET($P196,0,AD$13),15-13*ORÇAMENTO!$AF$7)/$H196*OFFSET(ORÇAMENTO!$X$15,ROW(AD196)-ROW(AD$15),0),
              ROUND(ROUND(OFFSET($P196,0,AD$13),15-13*ORÇAMENTO!$AF$7)*OFFSET(ORÇAMENTO!$W$15,ROW(AD196)-ROW(AD$15),0),15-13*ORÇAMENTO!$AF$11)),
         0)</f>
        <v>0</v>
      </c>
      <c r="AE196" s="454">
        <f ca="1">IF(AND($D196="Serviço",AE$12&lt;&gt;0,$H196&gt;0,OR(AUTOEVENTO&lt;&gt;"manual",$M196&lt;&gt;$A$15)),
        IF(Import.TipoArredondamento&lt;&gt;"TransfereGOV",
              ROUND(OFFSET($P196,0,AE$13),15-13*ORÇAMENTO!$AF$7)/$H196*OFFSET(ORÇAMENTO!$X$15,ROW(AE196)-ROW(AE$15),0),
              ROUND(ROUND(OFFSET($P196,0,AE$13),15-13*ORÇAMENTO!$AF$7)*OFFSET(ORÇAMENTO!$W$15,ROW(AE196)-ROW(AE$15),0),15-13*ORÇAMENTO!$AF$11)),
         0)</f>
        <v>0</v>
      </c>
      <c r="AF196" s="454">
        <f ca="1">IF(AND($D196="Serviço",AF$12&lt;&gt;0,$H196&gt;0,OR(AUTOEVENTO&lt;&gt;"manual",$M196&lt;&gt;$A$15)),
        IF(Import.TipoArredondamento&lt;&gt;"TransfereGOV",
              ROUND(OFFSET($P196,0,AF$13),15-13*ORÇAMENTO!$AF$7)/$H196*OFFSET(ORÇAMENTO!$X$15,ROW(AF196)-ROW(AF$15),0),
              ROUND(ROUND(OFFSET($P196,0,AF$13),15-13*ORÇAMENTO!$AF$7)*OFFSET(ORÇAMENTO!$W$15,ROW(AF196)-ROW(AF$15),0),15-13*ORÇAMENTO!$AF$11)),
         0)</f>
        <v>0</v>
      </c>
      <c r="AG196" s="454">
        <f ca="1">IF(AND($D196="Serviço",AG$12&lt;&gt;0,$H196&gt;0,OR(AUTOEVENTO&lt;&gt;"manual",$M196&lt;&gt;$A$15)),
        IF(Import.TipoArredondamento&lt;&gt;"TransfereGOV",
              ROUND(OFFSET($P196,0,AG$13),15-13*ORÇAMENTO!$AF$7)/$H196*OFFSET(ORÇAMENTO!$X$15,ROW(AG196)-ROW(AG$15),0),
              ROUND(ROUND(OFFSET($P196,0,AG$13),15-13*ORÇAMENTO!$AF$7)*OFFSET(ORÇAMENTO!$W$15,ROW(AG196)-ROW(AG$15),0),15-13*ORÇAMENTO!$AF$11)),
         0)</f>
        <v>0</v>
      </c>
      <c r="AH196" s="454">
        <f ca="1">IF(AND($D196="Serviço",AH$12&lt;&gt;0,$H196&gt;0,OR(AUTOEVENTO&lt;&gt;"manual",$M196&lt;&gt;$A$15)),
        IF(Import.TipoArredondamento&lt;&gt;"TransfereGOV",
              ROUND(OFFSET($P196,0,AH$13),15-13*ORÇAMENTO!$AF$7)/$H196*OFFSET(ORÇAMENTO!$X$15,ROW(AH196)-ROW(AH$15),0),
              ROUND(ROUND(OFFSET($P196,0,AH$13),15-13*ORÇAMENTO!$AF$7)*OFFSET(ORÇAMENTO!$W$15,ROW(AH196)-ROW(AH$15),0),15-13*ORÇAMENTO!$AF$11)),
         0)</f>
        <v>0</v>
      </c>
      <c r="AI196" s="454">
        <f ca="1">IF(AND($D196="Serviço",AI$12&lt;&gt;0,$H196&gt;0,OR(AUTOEVENTO&lt;&gt;"manual",$M196&lt;&gt;$A$15)),
        IF(Import.TipoArredondamento&lt;&gt;"TransfereGOV",
              ROUND(OFFSET($P196,0,AI$13),15-13*ORÇAMENTO!$AF$7)/$H196*OFFSET(ORÇAMENTO!$X$15,ROW(AI196)-ROW(AI$15),0),
              ROUND(ROUND(OFFSET($P196,0,AI$13),15-13*ORÇAMENTO!$AF$7)*OFFSET(ORÇAMENTO!$W$15,ROW(AI196)-ROW(AI$15),0),15-13*ORÇAMENTO!$AF$11)),
         0)</f>
        <v>0</v>
      </c>
      <c r="AJ196" s="454">
        <f ca="1">IF(AND($D196="Serviço",AJ$12&lt;&gt;0,$H196&gt;0,OR(AUTOEVENTO&lt;&gt;"manual",$M196&lt;&gt;$A$15)),
        IF(Import.TipoArredondamento&lt;&gt;"TransfereGOV",
              ROUND(OFFSET($P196,0,AJ$13),15-13*ORÇAMENTO!$AF$7)/$H196*OFFSET(ORÇAMENTO!$X$15,ROW(AJ196)-ROW(AJ$15),0),
              ROUND(ROUND(OFFSET($P196,0,AJ$13),15-13*ORÇAMENTO!$AF$7)*OFFSET(ORÇAMENTO!$W$15,ROW(AJ196)-ROW(AJ$15),0),15-13*ORÇAMENTO!$AF$11)),
         0)</f>
        <v>0</v>
      </c>
      <c r="AK196" s="454">
        <f ca="1">IF(AND($D196="Serviço",AK$12&lt;&gt;0,$H196&gt;0,OR(AUTOEVENTO&lt;&gt;"manual",$M196&lt;&gt;$A$15)),
        IF(Import.TipoArredondamento&lt;&gt;"TransfereGOV",
              ROUND(OFFSET($P196,0,AK$13),15-13*ORÇAMENTO!$AF$7)/$H196*OFFSET(ORÇAMENTO!$X$15,ROW(AK196)-ROW(AK$15),0),
              ROUND(ROUND(OFFSET($P196,0,AK$13),15-13*ORÇAMENTO!$AF$7)*OFFSET(ORÇAMENTO!$W$15,ROW(AK196)-ROW(AK$15),0),15-13*ORÇAMENTO!$AF$11)),
         0)</f>
        <v>0</v>
      </c>
      <c r="AM196" s="172">
        <f ca="1">IF(OR($D196&lt;&gt;"Serviço",AND(AUTOEVENTO="Manual",$M196=$A$15)),0,
         IF(OFFSET(CRONOPLE!$F$15,$M196-$A$15,AM$13)="",10^12,OFFSET(CRONOPLE!$F$15,$M196-$A$15,AM$13)))</f>
        <v>1000000000000</v>
      </c>
      <c r="AN196" s="172">
        <f ca="1">IF(OR($D196&lt;&gt;"Serviço",AND(AUTOEVENTO="Manual",$M196=$A$15)),0,
         IF(OFFSET(CRONOPLE!$F$15,$M196-$A$15,AN$13)="",10^12,OFFSET(CRONOPLE!$F$15,$M196-$A$15,AN$13)))</f>
        <v>1000000000000</v>
      </c>
      <c r="AO196" s="172">
        <f ca="1">IF(OR($D196&lt;&gt;"Serviço",AND(AUTOEVENTO="Manual",$M196=$A$15)),0,
         IF(OFFSET(CRONOPLE!$F$15,$M196-$A$15,AO$13)="",10^12,OFFSET(CRONOPLE!$F$15,$M196-$A$15,AO$13)))</f>
        <v>1000000000000</v>
      </c>
      <c r="AP196" s="172">
        <f ca="1">IF(OR($D196&lt;&gt;"Serviço",AND(AUTOEVENTO="Manual",$M196=$A$15)),0,
         IF(OFFSET(CRONOPLE!$F$15,$M196-$A$15,AP$13)="",10^12,OFFSET(CRONOPLE!$F$15,$M196-$A$15,AP$13)))</f>
        <v>1000000000000</v>
      </c>
      <c r="AQ196" s="172">
        <f ca="1">IF(OR($D196&lt;&gt;"Serviço",AND(AUTOEVENTO="Manual",$M196=$A$15)),0,
         IF(OFFSET(CRONOPLE!$F$15,$M196-$A$15,AQ$13)="",10^12,OFFSET(CRONOPLE!$F$15,$M196-$A$15,AQ$13)))</f>
        <v>1000000000000</v>
      </c>
      <c r="AR196" s="172">
        <f ca="1">IF(OR($D196&lt;&gt;"Serviço",AND(AUTOEVENTO="Manual",$M196=$A$15)),0,
         IF(OFFSET(CRONOPLE!$F$15,$M196-$A$15,AR$13)="",10^12,OFFSET(CRONOPLE!$F$15,$M196-$A$15,AR$13)))</f>
        <v>1000000000000</v>
      </c>
      <c r="AS196" s="172">
        <f ca="1">IF(OR($D196&lt;&gt;"Serviço",AND(AUTOEVENTO="Manual",$M196=$A$15)),0,
         IF(OFFSET(CRONOPLE!$F$15,$M196-$A$15,AS$13)="",10^12,OFFSET(CRONOPLE!$F$15,$M196-$A$15,AS$13)))</f>
        <v>1000000000000</v>
      </c>
      <c r="AT196" s="172">
        <f ca="1">IF(OR($D196&lt;&gt;"Serviço",AND(AUTOEVENTO="Manual",$M196=$A$15)),0,
         IF(OFFSET(CRONOPLE!$F$15,$M196-$A$15,AT$13)="",10^12,OFFSET(CRONOPLE!$F$15,$M196-$A$15,AT$13)))</f>
        <v>1000000000000</v>
      </c>
      <c r="AU196" s="172">
        <f ca="1">IF(OR($D196&lt;&gt;"Serviço",AND(AUTOEVENTO="Manual",$M196=$A$15)),0,
         IF(OFFSET(CRONOPLE!$F$15,$M196-$A$15,AU$13)="",10^12,OFFSET(CRONOPLE!$F$15,$M196-$A$15,AU$13)))</f>
        <v>1000000000000</v>
      </c>
      <c r="AV196" s="172">
        <f ca="1">IF(OR($D196&lt;&gt;"Serviço",AND(AUTOEVENTO="Manual",$M196=$A$15)),0,
         IF(OFFSET(CRONOPLE!$F$15,$M196-$A$15,AV$13)="",10^12,OFFSET(CRONOPLE!$F$15,$M196-$A$15,AV$13)))</f>
        <v>1000000000000</v>
      </c>
      <c r="AX196" s="173">
        <f ca="1">IF(OR($D196&lt;&gt;"Serviço",AND(AUTOEVENTO="Manual",$M196=$A$15),$M196&gt;(ROW(PLE.lastrow)-ROW(PLE.firstrow))),0,
           IF(OFFSET(PLE!$G$15,$M196-$A$15,AX$13)="",10^12,OFFSET(PLE!$G$15,$M196-$A$15,AX$13)))</f>
        <v>1000000000000</v>
      </c>
      <c r="AY196" s="173">
        <f ca="1">IF(OR($D196&lt;&gt;"Serviço",AND(AUTOEVENTO="Manual",$M196=$A$15),$M196&gt;(ROW(PLE.lastrow)-ROW(PLE.firstrow))),0,
           IF(OFFSET(PLE!$G$15,$M196-$A$15,AY$13)="",10^12,OFFSET(PLE!$G$15,$M196-$A$15,AY$13)))</f>
        <v>1000000000000</v>
      </c>
      <c r="AZ196" s="173">
        <f ca="1">IF(OR($D196&lt;&gt;"Serviço",AND(AUTOEVENTO="Manual",$M196=$A$15),$M196&gt;(ROW(PLE.lastrow)-ROW(PLE.firstrow))),0,
           IF(OFFSET(PLE!$G$15,$M196-$A$15,AZ$13)="",10^12,OFFSET(PLE!$G$15,$M196-$A$15,AZ$13)))</f>
        <v>1000000000000</v>
      </c>
      <c r="BA196" s="173">
        <f ca="1">IF(OR($D196&lt;&gt;"Serviço",AND(AUTOEVENTO="Manual",$M196=$A$15),$M196&gt;(ROW(PLE.lastrow)-ROW(PLE.firstrow))),0,
           IF(OFFSET(PLE!$G$15,$M196-$A$15,BA$13)="",10^12,OFFSET(PLE!$G$15,$M196-$A$15,BA$13)))</f>
        <v>1000000000000</v>
      </c>
      <c r="BB196" s="173">
        <f ca="1">IF(OR($D196&lt;&gt;"Serviço",AND(AUTOEVENTO="Manual",$M196=$A$15),$M196&gt;(ROW(PLE.lastrow)-ROW(PLE.firstrow))),0,
           IF(OFFSET(PLE!$G$15,$M196-$A$15,BB$13)="",10^12,OFFSET(PLE!$G$15,$M196-$A$15,BB$13)))</f>
        <v>1000000000000</v>
      </c>
      <c r="BC196" s="173">
        <f ca="1">IF(OR($D196&lt;&gt;"Serviço",AND(AUTOEVENTO="Manual",$M196=$A$15),$M196&gt;(ROW(PLE.lastrow)-ROW(PLE.firstrow))),0,
           IF(OFFSET(PLE!$G$15,$M196-$A$15,BC$13)="",10^12,OFFSET(PLE!$G$15,$M196-$A$15,BC$13)))</f>
        <v>1000000000000</v>
      </c>
      <c r="BD196" s="173">
        <f ca="1">IF(OR($D196&lt;&gt;"Serviço",AND(AUTOEVENTO="Manual",$M196=$A$15),$M196&gt;(ROW(PLE.lastrow)-ROW(PLE.firstrow))),0,
           IF(OFFSET(PLE!$G$15,$M196-$A$15,BD$13)="",10^12,OFFSET(PLE!$G$15,$M196-$A$15,BD$13)))</f>
        <v>1000000000000</v>
      </c>
      <c r="BE196" s="173">
        <f ca="1">IF(OR($D196&lt;&gt;"Serviço",AND(AUTOEVENTO="Manual",$M196=$A$15),$M196&gt;(ROW(PLE.lastrow)-ROW(PLE.firstrow))),0,
           IF(OFFSET(PLE!$G$15,$M196-$A$15,BE$13)="",10^12,OFFSET(PLE!$G$15,$M196-$A$15,BE$13)))</f>
        <v>1000000000000</v>
      </c>
      <c r="BF196" s="173">
        <f ca="1">IF(OR($D196&lt;&gt;"Serviço",AND(AUTOEVENTO="Manual",$M196=$A$15),$M196&gt;(ROW(PLE.lastrow)-ROW(PLE.firstrow))),0,
           IF(OFFSET(PLE!$G$15,$M196-$A$15,BF$13)="",10^12,OFFSET(PLE!$G$15,$M196-$A$15,BF$13)))</f>
        <v>1000000000000</v>
      </c>
      <c r="BG196" s="173">
        <f ca="1">IF(OR($D196&lt;&gt;"Serviço",AND(AUTOEVENTO="Manual",$M196=$A$15),$M196&gt;(ROW(PLE.lastrow)-ROW(PLE.firstrow))),0,
           IF(OFFSET(PLE!$G$15,$M196-$A$15,BG$13)="",10^12,OFFSET(PLE!$G$15,$M196-$A$15,BG$13)))</f>
        <v>1000000000000</v>
      </c>
    </row>
    <row r="197" spans="1:59" ht="38.25" x14ac:dyDescent="0.2">
      <c r="A197" s="7" t="str">
        <f t="shared" ca="1" si="10"/>
        <v>114</v>
      </c>
      <c r="B197" s="7" t="str">
        <f ca="1">OFFSET(ORÇAMENTO!C$15,ROW(B197)-ROW(B$15),0)</f>
        <v>S</v>
      </c>
      <c r="C197" s="7" t="str">
        <f ca="1">OFFSET(ORÇAMENTO!L$15,ROW(C197)-ROW(C$15),0)</f>
        <v/>
      </c>
      <c r="D197" s="117" t="str">
        <f ca="1">OFFSET(ORÇAMENTO!N$15,ROW(D197)-ROW(D$15),0)</f>
        <v>Serviço</v>
      </c>
      <c r="E197" s="118" t="str">
        <f ca="1">OFFSET(ORÇAMENTO!O$15,ROW(E197)-ROW(E$15),0)</f>
        <v>-</v>
      </c>
      <c r="F197" s="164" t="str">
        <f ca="1">OFFSET(ORÇAMENTO!R$15,ROW(F197)-ROW(F$15),0)</f>
        <v>JOELHO DE REDUÇÃO, 90 GRAUS, PVC, SOLDÁVEL, DN 32 MM X 25 MM, INSTALADO EM RAMAL OU SUB-RAMAL DE ÁGUA - FORNECIMENTO E INSTALAÇÃO. AF_06/2022</v>
      </c>
      <c r="G197" s="165" t="str">
        <f ca="1">IF($D197&lt;&gt;"Serviço","",OFFSET(ORÇAMENTO!S$15,ROW(G197)-ROW(G$15),0))</f>
        <v>UN</v>
      </c>
      <c r="H197" s="123">
        <f ca="1">IF($D197&lt;&gt;"Serviço",0,IF(ACOMPANHAMENTO="BM",ROUND(OFFSET(ORÇAMENTO!AJ$15,ROW(H197)-ROW(H$15),0),15-13*ORÇAMENTO!$AF$7),SUMPRODUCT(($Q$1:$AA$1=1)*ROUND($Q197:$AA197,15-13*ORÇAMENTO!$AF$7))))</f>
        <v>4</v>
      </c>
      <c r="I197" s="469"/>
      <c r="J197" s="577" t="str" cm="1">
        <f t="array" aca="1" ref="J197" ca="1">IF(B197&lt;&gt;"S","",IF(AND(ACOMPANHAMENTO="PLE",AUTOEVENTO="Manual",OR(H197&gt;0,ORÇAMENTO!AC197="QUANT."),OR(K197="",M197=0,N197="")),"►",IF(AND(ACOMPANHAMENTO="PLE",ORÇAMENTO!AC197="QUANT."),"►►",IF(AND(COUNTIF($P$11:$AA$11,"▼")=0,H197&gt;0,I197=""),"◄",""))))</f>
        <v>◄</v>
      </c>
      <c r="K197" s="626"/>
      <c r="L197" s="166" t="s">
        <v>765</v>
      </c>
      <c r="M197" s="167">
        <f ca="1">IF($D197&lt;&gt;"Serviço","",
          IF(AUTOEVENTO="manual",$A197,
                IF(ISERROR(MATCH($A197,$A$15:OFFSET($A197,-1,0),0)),MAX($M$15:OFFSET(M197,-1,0))+1,
                      INDEX($M$15:OFFSET(M197,-1,0),MATCH($A197,$A$15:OFFSET($A197,-1,0),0)))))</f>
        <v>11</v>
      </c>
      <c r="N197" s="168" t="str">
        <f ca="1">IF($D197&lt;&gt;"Serviço","",
         IF(AUTOEVENTO="Manual",
                IF($A197=0,"&lt;-- defina o número do agrupador",
                       OFFSET(EVENTOS!$D$15,$A197-$A$15,0)),
                OFFSET($F$15,$A197,0)))</f>
        <v>INSTALAÇÕES HIDROSSANITÁRIAS</v>
      </c>
      <c r="O197" s="169"/>
      <c r="Q197" s="169"/>
      <c r="R197" s="170"/>
      <c r="S197" s="170"/>
      <c r="T197" s="170"/>
      <c r="U197" s="170"/>
      <c r="V197" s="170"/>
      <c r="W197" s="170"/>
      <c r="X197" s="170"/>
      <c r="Y197" s="170"/>
      <c r="Z197" s="171"/>
      <c r="AB197" s="454">
        <f ca="1">IF(AND($D197="Serviço",AB$12&lt;&gt;0,$H197&gt;0,OR(AUTOEVENTO&lt;&gt;"manual",$M197&lt;&gt;$A$15)),
        IF(Import.TipoArredondamento&lt;&gt;"TransfereGOV",
              ROUND(OFFSET($P197,0,AB$13),15-13*ORÇAMENTO!$AF$7)/$H197*OFFSET(ORÇAMENTO!$X$15,ROW(AB197)-ROW(AB$15),0),
              ROUND(ROUND(OFFSET($P197,0,AB$13),15-13*ORÇAMENTO!$AF$7)*OFFSET(ORÇAMENTO!$W$15,ROW(AB197)-ROW(AB$15),0),15-13*ORÇAMENTO!$AF$11)),
         0)</f>
        <v>0</v>
      </c>
      <c r="AC197" s="454">
        <f ca="1">IF(AND($D197="Serviço",AC$12&lt;&gt;0,$H197&gt;0,OR(AUTOEVENTO&lt;&gt;"manual",$M197&lt;&gt;$A$15)),
        IF(Import.TipoArredondamento&lt;&gt;"TransfereGOV",
              ROUND(OFFSET($P197,0,AC$13),15-13*ORÇAMENTO!$AF$7)/$H197*OFFSET(ORÇAMENTO!$X$15,ROW(AC197)-ROW(AC$15),0),
              ROUND(ROUND(OFFSET($P197,0,AC$13),15-13*ORÇAMENTO!$AF$7)*OFFSET(ORÇAMENTO!$W$15,ROW(AC197)-ROW(AC$15),0),15-13*ORÇAMENTO!$AF$11)),
         0)</f>
        <v>0</v>
      </c>
      <c r="AD197" s="454">
        <f ca="1">IF(AND($D197="Serviço",AD$12&lt;&gt;0,$H197&gt;0,OR(AUTOEVENTO&lt;&gt;"manual",$M197&lt;&gt;$A$15)),
        IF(Import.TipoArredondamento&lt;&gt;"TransfereGOV",
              ROUND(OFFSET($P197,0,AD$13),15-13*ORÇAMENTO!$AF$7)/$H197*OFFSET(ORÇAMENTO!$X$15,ROW(AD197)-ROW(AD$15),0),
              ROUND(ROUND(OFFSET($P197,0,AD$13),15-13*ORÇAMENTO!$AF$7)*OFFSET(ORÇAMENTO!$W$15,ROW(AD197)-ROW(AD$15),0),15-13*ORÇAMENTO!$AF$11)),
         0)</f>
        <v>0</v>
      </c>
      <c r="AE197" s="454">
        <f ca="1">IF(AND($D197="Serviço",AE$12&lt;&gt;0,$H197&gt;0,OR(AUTOEVENTO&lt;&gt;"manual",$M197&lt;&gt;$A$15)),
        IF(Import.TipoArredondamento&lt;&gt;"TransfereGOV",
              ROUND(OFFSET($P197,0,AE$13),15-13*ORÇAMENTO!$AF$7)/$H197*OFFSET(ORÇAMENTO!$X$15,ROW(AE197)-ROW(AE$15),0),
              ROUND(ROUND(OFFSET($P197,0,AE$13),15-13*ORÇAMENTO!$AF$7)*OFFSET(ORÇAMENTO!$W$15,ROW(AE197)-ROW(AE$15),0),15-13*ORÇAMENTO!$AF$11)),
         0)</f>
        <v>0</v>
      </c>
      <c r="AF197" s="454">
        <f ca="1">IF(AND($D197="Serviço",AF$12&lt;&gt;0,$H197&gt;0,OR(AUTOEVENTO&lt;&gt;"manual",$M197&lt;&gt;$A$15)),
        IF(Import.TipoArredondamento&lt;&gt;"TransfereGOV",
              ROUND(OFFSET($P197,0,AF$13),15-13*ORÇAMENTO!$AF$7)/$H197*OFFSET(ORÇAMENTO!$X$15,ROW(AF197)-ROW(AF$15),0),
              ROUND(ROUND(OFFSET($P197,0,AF$13),15-13*ORÇAMENTO!$AF$7)*OFFSET(ORÇAMENTO!$W$15,ROW(AF197)-ROW(AF$15),0),15-13*ORÇAMENTO!$AF$11)),
         0)</f>
        <v>0</v>
      </c>
      <c r="AG197" s="454">
        <f ca="1">IF(AND($D197="Serviço",AG$12&lt;&gt;0,$H197&gt;0,OR(AUTOEVENTO&lt;&gt;"manual",$M197&lt;&gt;$A$15)),
        IF(Import.TipoArredondamento&lt;&gt;"TransfereGOV",
              ROUND(OFFSET($P197,0,AG$13),15-13*ORÇAMENTO!$AF$7)/$H197*OFFSET(ORÇAMENTO!$X$15,ROW(AG197)-ROW(AG$15),0),
              ROUND(ROUND(OFFSET($P197,0,AG$13),15-13*ORÇAMENTO!$AF$7)*OFFSET(ORÇAMENTO!$W$15,ROW(AG197)-ROW(AG$15),0),15-13*ORÇAMENTO!$AF$11)),
         0)</f>
        <v>0</v>
      </c>
      <c r="AH197" s="454">
        <f ca="1">IF(AND($D197="Serviço",AH$12&lt;&gt;0,$H197&gt;0,OR(AUTOEVENTO&lt;&gt;"manual",$M197&lt;&gt;$A$15)),
        IF(Import.TipoArredondamento&lt;&gt;"TransfereGOV",
              ROUND(OFFSET($P197,0,AH$13),15-13*ORÇAMENTO!$AF$7)/$H197*OFFSET(ORÇAMENTO!$X$15,ROW(AH197)-ROW(AH$15),0),
              ROUND(ROUND(OFFSET($P197,0,AH$13),15-13*ORÇAMENTO!$AF$7)*OFFSET(ORÇAMENTO!$W$15,ROW(AH197)-ROW(AH$15),0),15-13*ORÇAMENTO!$AF$11)),
         0)</f>
        <v>0</v>
      </c>
      <c r="AI197" s="454">
        <f ca="1">IF(AND($D197="Serviço",AI$12&lt;&gt;0,$H197&gt;0,OR(AUTOEVENTO&lt;&gt;"manual",$M197&lt;&gt;$A$15)),
        IF(Import.TipoArredondamento&lt;&gt;"TransfereGOV",
              ROUND(OFFSET($P197,0,AI$13),15-13*ORÇAMENTO!$AF$7)/$H197*OFFSET(ORÇAMENTO!$X$15,ROW(AI197)-ROW(AI$15),0),
              ROUND(ROUND(OFFSET($P197,0,AI$13),15-13*ORÇAMENTO!$AF$7)*OFFSET(ORÇAMENTO!$W$15,ROW(AI197)-ROW(AI$15),0),15-13*ORÇAMENTO!$AF$11)),
         0)</f>
        <v>0</v>
      </c>
      <c r="AJ197" s="454">
        <f ca="1">IF(AND($D197="Serviço",AJ$12&lt;&gt;0,$H197&gt;0,OR(AUTOEVENTO&lt;&gt;"manual",$M197&lt;&gt;$A$15)),
        IF(Import.TipoArredondamento&lt;&gt;"TransfereGOV",
              ROUND(OFFSET($P197,0,AJ$13),15-13*ORÇAMENTO!$AF$7)/$H197*OFFSET(ORÇAMENTO!$X$15,ROW(AJ197)-ROW(AJ$15),0),
              ROUND(ROUND(OFFSET($P197,0,AJ$13),15-13*ORÇAMENTO!$AF$7)*OFFSET(ORÇAMENTO!$W$15,ROW(AJ197)-ROW(AJ$15),0),15-13*ORÇAMENTO!$AF$11)),
         0)</f>
        <v>0</v>
      </c>
      <c r="AK197" s="454">
        <f ca="1">IF(AND($D197="Serviço",AK$12&lt;&gt;0,$H197&gt;0,OR(AUTOEVENTO&lt;&gt;"manual",$M197&lt;&gt;$A$15)),
        IF(Import.TipoArredondamento&lt;&gt;"TransfereGOV",
              ROUND(OFFSET($P197,0,AK$13),15-13*ORÇAMENTO!$AF$7)/$H197*OFFSET(ORÇAMENTO!$X$15,ROW(AK197)-ROW(AK$15),0),
              ROUND(ROUND(OFFSET($P197,0,AK$13),15-13*ORÇAMENTO!$AF$7)*OFFSET(ORÇAMENTO!$W$15,ROW(AK197)-ROW(AK$15),0),15-13*ORÇAMENTO!$AF$11)),
         0)</f>
        <v>0</v>
      </c>
      <c r="AM197" s="172">
        <f ca="1">IF(OR($D197&lt;&gt;"Serviço",AND(AUTOEVENTO="Manual",$M197=$A$15)),0,
         IF(OFFSET(CRONOPLE!$F$15,$M197-$A$15,AM$13)="",10^12,OFFSET(CRONOPLE!$F$15,$M197-$A$15,AM$13)))</f>
        <v>1000000000000</v>
      </c>
      <c r="AN197" s="172">
        <f ca="1">IF(OR($D197&lt;&gt;"Serviço",AND(AUTOEVENTO="Manual",$M197=$A$15)),0,
         IF(OFFSET(CRONOPLE!$F$15,$M197-$A$15,AN$13)="",10^12,OFFSET(CRONOPLE!$F$15,$M197-$A$15,AN$13)))</f>
        <v>1000000000000</v>
      </c>
      <c r="AO197" s="172">
        <f ca="1">IF(OR($D197&lt;&gt;"Serviço",AND(AUTOEVENTO="Manual",$M197=$A$15)),0,
         IF(OFFSET(CRONOPLE!$F$15,$M197-$A$15,AO$13)="",10^12,OFFSET(CRONOPLE!$F$15,$M197-$A$15,AO$13)))</f>
        <v>1000000000000</v>
      </c>
      <c r="AP197" s="172">
        <f ca="1">IF(OR($D197&lt;&gt;"Serviço",AND(AUTOEVENTO="Manual",$M197=$A$15)),0,
         IF(OFFSET(CRONOPLE!$F$15,$M197-$A$15,AP$13)="",10^12,OFFSET(CRONOPLE!$F$15,$M197-$A$15,AP$13)))</f>
        <v>1000000000000</v>
      </c>
      <c r="AQ197" s="172">
        <f ca="1">IF(OR($D197&lt;&gt;"Serviço",AND(AUTOEVENTO="Manual",$M197=$A$15)),0,
         IF(OFFSET(CRONOPLE!$F$15,$M197-$A$15,AQ$13)="",10^12,OFFSET(CRONOPLE!$F$15,$M197-$A$15,AQ$13)))</f>
        <v>1000000000000</v>
      </c>
      <c r="AR197" s="172">
        <f ca="1">IF(OR($D197&lt;&gt;"Serviço",AND(AUTOEVENTO="Manual",$M197=$A$15)),0,
         IF(OFFSET(CRONOPLE!$F$15,$M197-$A$15,AR$13)="",10^12,OFFSET(CRONOPLE!$F$15,$M197-$A$15,AR$13)))</f>
        <v>1000000000000</v>
      </c>
      <c r="AS197" s="172">
        <f ca="1">IF(OR($D197&lt;&gt;"Serviço",AND(AUTOEVENTO="Manual",$M197=$A$15)),0,
         IF(OFFSET(CRONOPLE!$F$15,$M197-$A$15,AS$13)="",10^12,OFFSET(CRONOPLE!$F$15,$M197-$A$15,AS$13)))</f>
        <v>1000000000000</v>
      </c>
      <c r="AT197" s="172">
        <f ca="1">IF(OR($D197&lt;&gt;"Serviço",AND(AUTOEVENTO="Manual",$M197=$A$15)),0,
         IF(OFFSET(CRONOPLE!$F$15,$M197-$A$15,AT$13)="",10^12,OFFSET(CRONOPLE!$F$15,$M197-$A$15,AT$13)))</f>
        <v>1000000000000</v>
      </c>
      <c r="AU197" s="172">
        <f ca="1">IF(OR($D197&lt;&gt;"Serviço",AND(AUTOEVENTO="Manual",$M197=$A$15)),0,
         IF(OFFSET(CRONOPLE!$F$15,$M197-$A$15,AU$13)="",10^12,OFFSET(CRONOPLE!$F$15,$M197-$A$15,AU$13)))</f>
        <v>1000000000000</v>
      </c>
      <c r="AV197" s="172">
        <f ca="1">IF(OR($D197&lt;&gt;"Serviço",AND(AUTOEVENTO="Manual",$M197=$A$15)),0,
         IF(OFFSET(CRONOPLE!$F$15,$M197-$A$15,AV$13)="",10^12,OFFSET(CRONOPLE!$F$15,$M197-$A$15,AV$13)))</f>
        <v>1000000000000</v>
      </c>
      <c r="AX197" s="173">
        <f ca="1">IF(OR($D197&lt;&gt;"Serviço",AND(AUTOEVENTO="Manual",$M197=$A$15),$M197&gt;(ROW(PLE.lastrow)-ROW(PLE.firstrow))),0,
           IF(OFFSET(PLE!$G$15,$M197-$A$15,AX$13)="",10^12,OFFSET(PLE!$G$15,$M197-$A$15,AX$13)))</f>
        <v>1000000000000</v>
      </c>
      <c r="AY197" s="173">
        <f ca="1">IF(OR($D197&lt;&gt;"Serviço",AND(AUTOEVENTO="Manual",$M197=$A$15),$M197&gt;(ROW(PLE.lastrow)-ROW(PLE.firstrow))),0,
           IF(OFFSET(PLE!$G$15,$M197-$A$15,AY$13)="",10^12,OFFSET(PLE!$G$15,$M197-$A$15,AY$13)))</f>
        <v>1000000000000</v>
      </c>
      <c r="AZ197" s="173">
        <f ca="1">IF(OR($D197&lt;&gt;"Serviço",AND(AUTOEVENTO="Manual",$M197=$A$15),$M197&gt;(ROW(PLE.lastrow)-ROW(PLE.firstrow))),0,
           IF(OFFSET(PLE!$G$15,$M197-$A$15,AZ$13)="",10^12,OFFSET(PLE!$G$15,$M197-$A$15,AZ$13)))</f>
        <v>1000000000000</v>
      </c>
      <c r="BA197" s="173">
        <f ca="1">IF(OR($D197&lt;&gt;"Serviço",AND(AUTOEVENTO="Manual",$M197=$A$15),$M197&gt;(ROW(PLE.lastrow)-ROW(PLE.firstrow))),0,
           IF(OFFSET(PLE!$G$15,$M197-$A$15,BA$13)="",10^12,OFFSET(PLE!$G$15,$M197-$A$15,BA$13)))</f>
        <v>1000000000000</v>
      </c>
      <c r="BB197" s="173">
        <f ca="1">IF(OR($D197&lt;&gt;"Serviço",AND(AUTOEVENTO="Manual",$M197=$A$15),$M197&gt;(ROW(PLE.lastrow)-ROW(PLE.firstrow))),0,
           IF(OFFSET(PLE!$G$15,$M197-$A$15,BB$13)="",10^12,OFFSET(PLE!$G$15,$M197-$A$15,BB$13)))</f>
        <v>1000000000000</v>
      </c>
      <c r="BC197" s="173">
        <f ca="1">IF(OR($D197&lt;&gt;"Serviço",AND(AUTOEVENTO="Manual",$M197=$A$15),$M197&gt;(ROW(PLE.lastrow)-ROW(PLE.firstrow))),0,
           IF(OFFSET(PLE!$G$15,$M197-$A$15,BC$13)="",10^12,OFFSET(PLE!$G$15,$M197-$A$15,BC$13)))</f>
        <v>1000000000000</v>
      </c>
      <c r="BD197" s="173">
        <f ca="1">IF(OR($D197&lt;&gt;"Serviço",AND(AUTOEVENTO="Manual",$M197=$A$15),$M197&gt;(ROW(PLE.lastrow)-ROW(PLE.firstrow))),0,
           IF(OFFSET(PLE!$G$15,$M197-$A$15,BD$13)="",10^12,OFFSET(PLE!$G$15,$M197-$A$15,BD$13)))</f>
        <v>1000000000000</v>
      </c>
      <c r="BE197" s="173">
        <f ca="1">IF(OR($D197&lt;&gt;"Serviço",AND(AUTOEVENTO="Manual",$M197=$A$15),$M197&gt;(ROW(PLE.lastrow)-ROW(PLE.firstrow))),0,
           IF(OFFSET(PLE!$G$15,$M197-$A$15,BE$13)="",10^12,OFFSET(PLE!$G$15,$M197-$A$15,BE$13)))</f>
        <v>1000000000000</v>
      </c>
      <c r="BF197" s="173">
        <f ca="1">IF(OR($D197&lt;&gt;"Serviço",AND(AUTOEVENTO="Manual",$M197=$A$15),$M197&gt;(ROW(PLE.lastrow)-ROW(PLE.firstrow))),0,
           IF(OFFSET(PLE!$G$15,$M197-$A$15,BF$13)="",10^12,OFFSET(PLE!$G$15,$M197-$A$15,BF$13)))</f>
        <v>1000000000000</v>
      </c>
      <c r="BG197" s="173">
        <f ca="1">IF(OR($D197&lt;&gt;"Serviço",AND(AUTOEVENTO="Manual",$M197=$A$15),$M197&gt;(ROW(PLE.lastrow)-ROW(PLE.firstrow))),0,
           IF(OFFSET(PLE!$G$15,$M197-$A$15,BG$13)="",10^12,OFFSET(PLE!$G$15,$M197-$A$15,BG$13)))</f>
        <v>1000000000000</v>
      </c>
    </row>
    <row r="198" spans="1:59" ht="38.25" x14ac:dyDescent="0.2">
      <c r="A198" s="7" t="str">
        <f t="shared" ca="1" si="10"/>
        <v>114</v>
      </c>
      <c r="B198" s="7" t="str">
        <f ca="1">OFFSET(ORÇAMENTO!C$15,ROW(B198)-ROW(B$15),0)</f>
        <v>S</v>
      </c>
      <c r="C198" s="7" t="str">
        <f ca="1">OFFSET(ORÇAMENTO!L$15,ROW(C198)-ROW(C$15),0)</f>
        <v/>
      </c>
      <c r="D198" s="117" t="str">
        <f ca="1">OFFSET(ORÇAMENTO!N$15,ROW(D198)-ROW(D$15),0)</f>
        <v>Serviço</v>
      </c>
      <c r="E198" s="118" t="str">
        <f ca="1">OFFSET(ORÇAMENTO!O$15,ROW(E198)-ROW(E$15),0)</f>
        <v>-</v>
      </c>
      <c r="F198" s="164" t="str">
        <f ca="1">OFFSET(ORÇAMENTO!R$15,ROW(F198)-ROW(F$15),0)</f>
        <v>JOELHO 90 GRAUS COM BUCHA DE LATÃO, PVC, SOLDÁVEL, DN 25MM, X 3/4  INSTALADO EM RAMAL OU SUB-RAMAL DE ÁGUA - FORNECIMENTO E INSTALAÇÃO. AF_06/2022</v>
      </c>
      <c r="G198" s="165" t="str">
        <f ca="1">IF($D198&lt;&gt;"Serviço","",OFFSET(ORÇAMENTO!S$15,ROW(G198)-ROW(G$15),0))</f>
        <v>UN</v>
      </c>
      <c r="H198" s="123">
        <f ca="1">IF($D198&lt;&gt;"Serviço",0,IF(ACOMPANHAMENTO="BM",ROUND(OFFSET(ORÇAMENTO!AJ$15,ROW(H198)-ROW(H$15),0),15-13*ORÇAMENTO!$AF$7),SUMPRODUCT(($Q$1:$AA$1=1)*ROUND($Q198:$AA198,15-13*ORÇAMENTO!$AF$7))))</f>
        <v>10</v>
      </c>
      <c r="I198" s="469"/>
      <c r="J198" s="577" t="str" cm="1">
        <f t="array" aca="1" ref="J198" ca="1">IF(B198&lt;&gt;"S","",IF(AND(ACOMPANHAMENTO="PLE",AUTOEVENTO="Manual",OR(H198&gt;0,ORÇAMENTO!AC198="QUANT."),OR(K198="",M198=0,N198="")),"►",IF(AND(ACOMPANHAMENTO="PLE",ORÇAMENTO!AC198="QUANT."),"►►",IF(AND(COUNTIF($P$11:$AA$11,"▼")=0,H198&gt;0,I198=""),"◄",""))))</f>
        <v>◄</v>
      </c>
      <c r="K198" s="626"/>
      <c r="L198" s="166" t="s">
        <v>765</v>
      </c>
      <c r="M198" s="167">
        <f ca="1">IF($D198&lt;&gt;"Serviço","",
          IF(AUTOEVENTO="manual",$A198,
                IF(ISERROR(MATCH($A198,$A$15:OFFSET($A198,-1,0),0)),MAX($M$15:OFFSET(M198,-1,0))+1,
                      INDEX($M$15:OFFSET(M198,-1,0),MATCH($A198,$A$15:OFFSET($A198,-1,0),0)))))</f>
        <v>11</v>
      </c>
      <c r="N198" s="168" t="str">
        <f ca="1">IF($D198&lt;&gt;"Serviço","",
         IF(AUTOEVENTO="Manual",
                IF($A198=0,"&lt;-- defina o número do agrupador",
                       OFFSET(EVENTOS!$D$15,$A198-$A$15,0)),
                OFFSET($F$15,$A198,0)))</f>
        <v>INSTALAÇÕES HIDROSSANITÁRIAS</v>
      </c>
      <c r="O198" s="169"/>
      <c r="Q198" s="169"/>
      <c r="R198" s="170"/>
      <c r="S198" s="170"/>
      <c r="T198" s="170"/>
      <c r="U198" s="170"/>
      <c r="V198" s="170"/>
      <c r="W198" s="170"/>
      <c r="X198" s="170"/>
      <c r="Y198" s="170"/>
      <c r="Z198" s="171"/>
      <c r="AB198" s="454">
        <f ca="1">IF(AND($D198="Serviço",AB$12&lt;&gt;0,$H198&gt;0,OR(AUTOEVENTO&lt;&gt;"manual",$M198&lt;&gt;$A$15)),
        IF(Import.TipoArredondamento&lt;&gt;"TransfereGOV",
              ROUND(OFFSET($P198,0,AB$13),15-13*ORÇAMENTO!$AF$7)/$H198*OFFSET(ORÇAMENTO!$X$15,ROW(AB198)-ROW(AB$15),0),
              ROUND(ROUND(OFFSET($P198,0,AB$13),15-13*ORÇAMENTO!$AF$7)*OFFSET(ORÇAMENTO!$W$15,ROW(AB198)-ROW(AB$15),0),15-13*ORÇAMENTO!$AF$11)),
         0)</f>
        <v>0</v>
      </c>
      <c r="AC198" s="454">
        <f ca="1">IF(AND($D198="Serviço",AC$12&lt;&gt;0,$H198&gt;0,OR(AUTOEVENTO&lt;&gt;"manual",$M198&lt;&gt;$A$15)),
        IF(Import.TipoArredondamento&lt;&gt;"TransfereGOV",
              ROUND(OFFSET($P198,0,AC$13),15-13*ORÇAMENTO!$AF$7)/$H198*OFFSET(ORÇAMENTO!$X$15,ROW(AC198)-ROW(AC$15),0),
              ROUND(ROUND(OFFSET($P198,0,AC$13),15-13*ORÇAMENTO!$AF$7)*OFFSET(ORÇAMENTO!$W$15,ROW(AC198)-ROW(AC$15),0),15-13*ORÇAMENTO!$AF$11)),
         0)</f>
        <v>0</v>
      </c>
      <c r="AD198" s="454">
        <f ca="1">IF(AND($D198="Serviço",AD$12&lt;&gt;0,$H198&gt;0,OR(AUTOEVENTO&lt;&gt;"manual",$M198&lt;&gt;$A$15)),
        IF(Import.TipoArredondamento&lt;&gt;"TransfereGOV",
              ROUND(OFFSET($P198,0,AD$13),15-13*ORÇAMENTO!$AF$7)/$H198*OFFSET(ORÇAMENTO!$X$15,ROW(AD198)-ROW(AD$15),0),
              ROUND(ROUND(OFFSET($P198,0,AD$13),15-13*ORÇAMENTO!$AF$7)*OFFSET(ORÇAMENTO!$W$15,ROW(AD198)-ROW(AD$15),0),15-13*ORÇAMENTO!$AF$11)),
         0)</f>
        <v>0</v>
      </c>
      <c r="AE198" s="454">
        <f ca="1">IF(AND($D198="Serviço",AE$12&lt;&gt;0,$H198&gt;0,OR(AUTOEVENTO&lt;&gt;"manual",$M198&lt;&gt;$A$15)),
        IF(Import.TipoArredondamento&lt;&gt;"TransfereGOV",
              ROUND(OFFSET($P198,0,AE$13),15-13*ORÇAMENTO!$AF$7)/$H198*OFFSET(ORÇAMENTO!$X$15,ROW(AE198)-ROW(AE$15),0),
              ROUND(ROUND(OFFSET($P198,0,AE$13),15-13*ORÇAMENTO!$AF$7)*OFFSET(ORÇAMENTO!$W$15,ROW(AE198)-ROW(AE$15),0),15-13*ORÇAMENTO!$AF$11)),
         0)</f>
        <v>0</v>
      </c>
      <c r="AF198" s="454">
        <f ca="1">IF(AND($D198="Serviço",AF$12&lt;&gt;0,$H198&gt;0,OR(AUTOEVENTO&lt;&gt;"manual",$M198&lt;&gt;$A$15)),
        IF(Import.TipoArredondamento&lt;&gt;"TransfereGOV",
              ROUND(OFFSET($P198,0,AF$13),15-13*ORÇAMENTO!$AF$7)/$H198*OFFSET(ORÇAMENTO!$X$15,ROW(AF198)-ROW(AF$15),0),
              ROUND(ROUND(OFFSET($P198,0,AF$13),15-13*ORÇAMENTO!$AF$7)*OFFSET(ORÇAMENTO!$W$15,ROW(AF198)-ROW(AF$15),0),15-13*ORÇAMENTO!$AF$11)),
         0)</f>
        <v>0</v>
      </c>
      <c r="AG198" s="454">
        <f ca="1">IF(AND($D198="Serviço",AG$12&lt;&gt;0,$H198&gt;0,OR(AUTOEVENTO&lt;&gt;"manual",$M198&lt;&gt;$A$15)),
        IF(Import.TipoArredondamento&lt;&gt;"TransfereGOV",
              ROUND(OFFSET($P198,0,AG$13),15-13*ORÇAMENTO!$AF$7)/$H198*OFFSET(ORÇAMENTO!$X$15,ROW(AG198)-ROW(AG$15),0),
              ROUND(ROUND(OFFSET($P198,0,AG$13),15-13*ORÇAMENTO!$AF$7)*OFFSET(ORÇAMENTO!$W$15,ROW(AG198)-ROW(AG$15),0),15-13*ORÇAMENTO!$AF$11)),
         0)</f>
        <v>0</v>
      </c>
      <c r="AH198" s="454">
        <f ca="1">IF(AND($D198="Serviço",AH$12&lt;&gt;0,$H198&gt;0,OR(AUTOEVENTO&lt;&gt;"manual",$M198&lt;&gt;$A$15)),
        IF(Import.TipoArredondamento&lt;&gt;"TransfereGOV",
              ROUND(OFFSET($P198,0,AH$13),15-13*ORÇAMENTO!$AF$7)/$H198*OFFSET(ORÇAMENTO!$X$15,ROW(AH198)-ROW(AH$15),0),
              ROUND(ROUND(OFFSET($P198,0,AH$13),15-13*ORÇAMENTO!$AF$7)*OFFSET(ORÇAMENTO!$W$15,ROW(AH198)-ROW(AH$15),0),15-13*ORÇAMENTO!$AF$11)),
         0)</f>
        <v>0</v>
      </c>
      <c r="AI198" s="454">
        <f ca="1">IF(AND($D198="Serviço",AI$12&lt;&gt;0,$H198&gt;0,OR(AUTOEVENTO&lt;&gt;"manual",$M198&lt;&gt;$A$15)),
        IF(Import.TipoArredondamento&lt;&gt;"TransfereGOV",
              ROUND(OFFSET($P198,0,AI$13),15-13*ORÇAMENTO!$AF$7)/$H198*OFFSET(ORÇAMENTO!$X$15,ROW(AI198)-ROW(AI$15),0),
              ROUND(ROUND(OFFSET($P198,0,AI$13),15-13*ORÇAMENTO!$AF$7)*OFFSET(ORÇAMENTO!$W$15,ROW(AI198)-ROW(AI$15),0),15-13*ORÇAMENTO!$AF$11)),
         0)</f>
        <v>0</v>
      </c>
      <c r="AJ198" s="454">
        <f ca="1">IF(AND($D198="Serviço",AJ$12&lt;&gt;0,$H198&gt;0,OR(AUTOEVENTO&lt;&gt;"manual",$M198&lt;&gt;$A$15)),
        IF(Import.TipoArredondamento&lt;&gt;"TransfereGOV",
              ROUND(OFFSET($P198,0,AJ$13),15-13*ORÇAMENTO!$AF$7)/$H198*OFFSET(ORÇAMENTO!$X$15,ROW(AJ198)-ROW(AJ$15),0),
              ROUND(ROUND(OFFSET($P198,0,AJ$13),15-13*ORÇAMENTO!$AF$7)*OFFSET(ORÇAMENTO!$W$15,ROW(AJ198)-ROW(AJ$15),0),15-13*ORÇAMENTO!$AF$11)),
         0)</f>
        <v>0</v>
      </c>
      <c r="AK198" s="454">
        <f ca="1">IF(AND($D198="Serviço",AK$12&lt;&gt;0,$H198&gt;0,OR(AUTOEVENTO&lt;&gt;"manual",$M198&lt;&gt;$A$15)),
        IF(Import.TipoArredondamento&lt;&gt;"TransfereGOV",
              ROUND(OFFSET($P198,0,AK$13),15-13*ORÇAMENTO!$AF$7)/$H198*OFFSET(ORÇAMENTO!$X$15,ROW(AK198)-ROW(AK$15),0),
              ROUND(ROUND(OFFSET($P198,0,AK$13),15-13*ORÇAMENTO!$AF$7)*OFFSET(ORÇAMENTO!$W$15,ROW(AK198)-ROW(AK$15),0),15-13*ORÇAMENTO!$AF$11)),
         0)</f>
        <v>0</v>
      </c>
      <c r="AM198" s="172">
        <f ca="1">IF(OR($D198&lt;&gt;"Serviço",AND(AUTOEVENTO="Manual",$M198=$A$15)),0,
         IF(OFFSET(CRONOPLE!$F$15,$M198-$A$15,AM$13)="",10^12,OFFSET(CRONOPLE!$F$15,$M198-$A$15,AM$13)))</f>
        <v>1000000000000</v>
      </c>
      <c r="AN198" s="172">
        <f ca="1">IF(OR($D198&lt;&gt;"Serviço",AND(AUTOEVENTO="Manual",$M198=$A$15)),0,
         IF(OFFSET(CRONOPLE!$F$15,$M198-$A$15,AN$13)="",10^12,OFFSET(CRONOPLE!$F$15,$M198-$A$15,AN$13)))</f>
        <v>1000000000000</v>
      </c>
      <c r="AO198" s="172">
        <f ca="1">IF(OR($D198&lt;&gt;"Serviço",AND(AUTOEVENTO="Manual",$M198=$A$15)),0,
         IF(OFFSET(CRONOPLE!$F$15,$M198-$A$15,AO$13)="",10^12,OFFSET(CRONOPLE!$F$15,$M198-$A$15,AO$13)))</f>
        <v>1000000000000</v>
      </c>
      <c r="AP198" s="172">
        <f ca="1">IF(OR($D198&lt;&gt;"Serviço",AND(AUTOEVENTO="Manual",$M198=$A$15)),0,
         IF(OFFSET(CRONOPLE!$F$15,$M198-$A$15,AP$13)="",10^12,OFFSET(CRONOPLE!$F$15,$M198-$A$15,AP$13)))</f>
        <v>1000000000000</v>
      </c>
      <c r="AQ198" s="172">
        <f ca="1">IF(OR($D198&lt;&gt;"Serviço",AND(AUTOEVENTO="Manual",$M198=$A$15)),0,
         IF(OFFSET(CRONOPLE!$F$15,$M198-$A$15,AQ$13)="",10^12,OFFSET(CRONOPLE!$F$15,$M198-$A$15,AQ$13)))</f>
        <v>1000000000000</v>
      </c>
      <c r="AR198" s="172">
        <f ca="1">IF(OR($D198&lt;&gt;"Serviço",AND(AUTOEVENTO="Manual",$M198=$A$15)),0,
         IF(OFFSET(CRONOPLE!$F$15,$M198-$A$15,AR$13)="",10^12,OFFSET(CRONOPLE!$F$15,$M198-$A$15,AR$13)))</f>
        <v>1000000000000</v>
      </c>
      <c r="AS198" s="172">
        <f ca="1">IF(OR($D198&lt;&gt;"Serviço",AND(AUTOEVENTO="Manual",$M198=$A$15)),0,
         IF(OFFSET(CRONOPLE!$F$15,$M198-$A$15,AS$13)="",10^12,OFFSET(CRONOPLE!$F$15,$M198-$A$15,AS$13)))</f>
        <v>1000000000000</v>
      </c>
      <c r="AT198" s="172">
        <f ca="1">IF(OR($D198&lt;&gt;"Serviço",AND(AUTOEVENTO="Manual",$M198=$A$15)),0,
         IF(OFFSET(CRONOPLE!$F$15,$M198-$A$15,AT$13)="",10^12,OFFSET(CRONOPLE!$F$15,$M198-$A$15,AT$13)))</f>
        <v>1000000000000</v>
      </c>
      <c r="AU198" s="172">
        <f ca="1">IF(OR($D198&lt;&gt;"Serviço",AND(AUTOEVENTO="Manual",$M198=$A$15)),0,
         IF(OFFSET(CRONOPLE!$F$15,$M198-$A$15,AU$13)="",10^12,OFFSET(CRONOPLE!$F$15,$M198-$A$15,AU$13)))</f>
        <v>1000000000000</v>
      </c>
      <c r="AV198" s="172">
        <f ca="1">IF(OR($D198&lt;&gt;"Serviço",AND(AUTOEVENTO="Manual",$M198=$A$15)),0,
         IF(OFFSET(CRONOPLE!$F$15,$M198-$A$15,AV$13)="",10^12,OFFSET(CRONOPLE!$F$15,$M198-$A$15,AV$13)))</f>
        <v>1000000000000</v>
      </c>
      <c r="AX198" s="173">
        <f ca="1">IF(OR($D198&lt;&gt;"Serviço",AND(AUTOEVENTO="Manual",$M198=$A$15),$M198&gt;(ROW(PLE.lastrow)-ROW(PLE.firstrow))),0,
           IF(OFFSET(PLE!$G$15,$M198-$A$15,AX$13)="",10^12,OFFSET(PLE!$G$15,$M198-$A$15,AX$13)))</f>
        <v>1000000000000</v>
      </c>
      <c r="AY198" s="173">
        <f ca="1">IF(OR($D198&lt;&gt;"Serviço",AND(AUTOEVENTO="Manual",$M198=$A$15),$M198&gt;(ROW(PLE.lastrow)-ROW(PLE.firstrow))),0,
           IF(OFFSET(PLE!$G$15,$M198-$A$15,AY$13)="",10^12,OFFSET(PLE!$G$15,$M198-$A$15,AY$13)))</f>
        <v>1000000000000</v>
      </c>
      <c r="AZ198" s="173">
        <f ca="1">IF(OR($D198&lt;&gt;"Serviço",AND(AUTOEVENTO="Manual",$M198=$A$15),$M198&gt;(ROW(PLE.lastrow)-ROW(PLE.firstrow))),0,
           IF(OFFSET(PLE!$G$15,$M198-$A$15,AZ$13)="",10^12,OFFSET(PLE!$G$15,$M198-$A$15,AZ$13)))</f>
        <v>1000000000000</v>
      </c>
      <c r="BA198" s="173">
        <f ca="1">IF(OR($D198&lt;&gt;"Serviço",AND(AUTOEVENTO="Manual",$M198=$A$15),$M198&gt;(ROW(PLE.lastrow)-ROW(PLE.firstrow))),0,
           IF(OFFSET(PLE!$G$15,$M198-$A$15,BA$13)="",10^12,OFFSET(PLE!$G$15,$M198-$A$15,BA$13)))</f>
        <v>1000000000000</v>
      </c>
      <c r="BB198" s="173">
        <f ca="1">IF(OR($D198&lt;&gt;"Serviço",AND(AUTOEVENTO="Manual",$M198=$A$15),$M198&gt;(ROW(PLE.lastrow)-ROW(PLE.firstrow))),0,
           IF(OFFSET(PLE!$G$15,$M198-$A$15,BB$13)="",10^12,OFFSET(PLE!$G$15,$M198-$A$15,BB$13)))</f>
        <v>1000000000000</v>
      </c>
      <c r="BC198" s="173">
        <f ca="1">IF(OR($D198&lt;&gt;"Serviço",AND(AUTOEVENTO="Manual",$M198=$A$15),$M198&gt;(ROW(PLE.lastrow)-ROW(PLE.firstrow))),0,
           IF(OFFSET(PLE!$G$15,$M198-$A$15,BC$13)="",10^12,OFFSET(PLE!$G$15,$M198-$A$15,BC$13)))</f>
        <v>1000000000000</v>
      </c>
      <c r="BD198" s="173">
        <f ca="1">IF(OR($D198&lt;&gt;"Serviço",AND(AUTOEVENTO="Manual",$M198=$A$15),$M198&gt;(ROW(PLE.lastrow)-ROW(PLE.firstrow))),0,
           IF(OFFSET(PLE!$G$15,$M198-$A$15,BD$13)="",10^12,OFFSET(PLE!$G$15,$M198-$A$15,BD$13)))</f>
        <v>1000000000000</v>
      </c>
      <c r="BE198" s="173">
        <f ca="1">IF(OR($D198&lt;&gt;"Serviço",AND(AUTOEVENTO="Manual",$M198=$A$15),$M198&gt;(ROW(PLE.lastrow)-ROW(PLE.firstrow))),0,
           IF(OFFSET(PLE!$G$15,$M198-$A$15,BE$13)="",10^12,OFFSET(PLE!$G$15,$M198-$A$15,BE$13)))</f>
        <v>1000000000000</v>
      </c>
      <c r="BF198" s="173">
        <f ca="1">IF(OR($D198&lt;&gt;"Serviço",AND(AUTOEVENTO="Manual",$M198=$A$15),$M198&gt;(ROW(PLE.lastrow)-ROW(PLE.firstrow))),0,
           IF(OFFSET(PLE!$G$15,$M198-$A$15,BF$13)="",10^12,OFFSET(PLE!$G$15,$M198-$A$15,BF$13)))</f>
        <v>1000000000000</v>
      </c>
      <c r="BG198" s="173">
        <f ca="1">IF(OR($D198&lt;&gt;"Serviço",AND(AUTOEVENTO="Manual",$M198=$A$15),$M198&gt;(ROW(PLE.lastrow)-ROW(PLE.firstrow))),0,
           IF(OFFSET(PLE!$G$15,$M198-$A$15,BG$13)="",10^12,OFFSET(PLE!$G$15,$M198-$A$15,BG$13)))</f>
        <v>1000000000000</v>
      </c>
    </row>
    <row r="199" spans="1:59" ht="25.5" x14ac:dyDescent="0.2">
      <c r="A199" s="7" t="str">
        <f t="shared" ca="1" si="10"/>
        <v>114</v>
      </c>
      <c r="B199" s="7" t="str">
        <f ca="1">OFFSET(ORÇAMENTO!C$15,ROW(B199)-ROW(B$15),0)</f>
        <v>S</v>
      </c>
      <c r="C199" s="7" t="str">
        <f ca="1">OFFSET(ORÇAMENTO!L$15,ROW(C199)-ROW(C$15),0)</f>
        <v/>
      </c>
      <c r="D199" s="117" t="str">
        <f ca="1">OFFSET(ORÇAMENTO!N$15,ROW(D199)-ROW(D$15),0)</f>
        <v>Serviço</v>
      </c>
      <c r="E199" s="118" t="str">
        <f ca="1">OFFSET(ORÇAMENTO!O$15,ROW(E199)-ROW(E$15),0)</f>
        <v>-</v>
      </c>
      <c r="F199" s="164" t="str">
        <f ca="1">OFFSET(ORÇAMENTO!R$15,ROW(F199)-ROW(F$15),0)</f>
        <v>LUVA, PVC, SOLDÁVEL, DN 40MM, INSTALADO EM PRUMADA DE ÁGUA - FORNECIMENTO E INSTALAÇÃO. AF_06/2022</v>
      </c>
      <c r="G199" s="165" t="str">
        <f ca="1">IF($D199&lt;&gt;"Serviço","",OFFSET(ORÇAMENTO!S$15,ROW(G199)-ROW(G$15),0))</f>
        <v>UN</v>
      </c>
      <c r="H199" s="123">
        <f ca="1">IF($D199&lt;&gt;"Serviço",0,IF(ACOMPANHAMENTO="BM",ROUND(OFFSET(ORÇAMENTO!AJ$15,ROW(H199)-ROW(H$15),0),15-13*ORÇAMENTO!$AF$7),SUMPRODUCT(($Q$1:$AA$1=1)*ROUND($Q199:$AA199,15-13*ORÇAMENTO!$AF$7))))</f>
        <v>4</v>
      </c>
      <c r="I199" s="469"/>
      <c r="J199" s="577" t="str" cm="1">
        <f t="array" aca="1" ref="J199" ca="1">IF(B199&lt;&gt;"S","",IF(AND(ACOMPANHAMENTO="PLE",AUTOEVENTO="Manual",OR(H199&gt;0,ORÇAMENTO!AC199="QUANT."),OR(K199="",M199=0,N199="")),"►",IF(AND(ACOMPANHAMENTO="PLE",ORÇAMENTO!AC199="QUANT."),"►►",IF(AND(COUNTIF($P$11:$AA$11,"▼")=0,H199&gt;0,I199=""),"◄",""))))</f>
        <v>◄</v>
      </c>
      <c r="K199" s="626"/>
      <c r="L199" s="166" t="s">
        <v>765</v>
      </c>
      <c r="M199" s="167">
        <f ca="1">IF($D199&lt;&gt;"Serviço","",
          IF(AUTOEVENTO="manual",$A199,
                IF(ISERROR(MATCH($A199,$A$15:OFFSET($A199,-1,0),0)),MAX($M$15:OFFSET(M199,-1,0))+1,
                      INDEX($M$15:OFFSET(M199,-1,0),MATCH($A199,$A$15:OFFSET($A199,-1,0),0)))))</f>
        <v>11</v>
      </c>
      <c r="N199" s="168" t="str">
        <f ca="1">IF($D199&lt;&gt;"Serviço","",
         IF(AUTOEVENTO="Manual",
                IF($A199=0,"&lt;-- defina o número do agrupador",
                       OFFSET(EVENTOS!$D$15,$A199-$A$15,0)),
                OFFSET($F$15,$A199,0)))</f>
        <v>INSTALAÇÕES HIDROSSANITÁRIAS</v>
      </c>
      <c r="O199" s="169"/>
      <c r="Q199" s="169"/>
      <c r="R199" s="170"/>
      <c r="S199" s="170"/>
      <c r="T199" s="170"/>
      <c r="U199" s="170"/>
      <c r="V199" s="170"/>
      <c r="W199" s="170"/>
      <c r="X199" s="170"/>
      <c r="Y199" s="170"/>
      <c r="Z199" s="171"/>
      <c r="AB199" s="454">
        <f ca="1">IF(AND($D199="Serviço",AB$12&lt;&gt;0,$H199&gt;0,OR(AUTOEVENTO&lt;&gt;"manual",$M199&lt;&gt;$A$15)),
        IF(Import.TipoArredondamento&lt;&gt;"TransfereGOV",
              ROUND(OFFSET($P199,0,AB$13),15-13*ORÇAMENTO!$AF$7)/$H199*OFFSET(ORÇAMENTO!$X$15,ROW(AB199)-ROW(AB$15),0),
              ROUND(ROUND(OFFSET($P199,0,AB$13),15-13*ORÇAMENTO!$AF$7)*OFFSET(ORÇAMENTO!$W$15,ROW(AB199)-ROW(AB$15),0),15-13*ORÇAMENTO!$AF$11)),
         0)</f>
        <v>0</v>
      </c>
      <c r="AC199" s="454">
        <f ca="1">IF(AND($D199="Serviço",AC$12&lt;&gt;0,$H199&gt;0,OR(AUTOEVENTO&lt;&gt;"manual",$M199&lt;&gt;$A$15)),
        IF(Import.TipoArredondamento&lt;&gt;"TransfereGOV",
              ROUND(OFFSET($P199,0,AC$13),15-13*ORÇAMENTO!$AF$7)/$H199*OFFSET(ORÇAMENTO!$X$15,ROW(AC199)-ROW(AC$15),0),
              ROUND(ROUND(OFFSET($P199,0,AC$13),15-13*ORÇAMENTO!$AF$7)*OFFSET(ORÇAMENTO!$W$15,ROW(AC199)-ROW(AC$15),0),15-13*ORÇAMENTO!$AF$11)),
         0)</f>
        <v>0</v>
      </c>
      <c r="AD199" s="454">
        <f ca="1">IF(AND($D199="Serviço",AD$12&lt;&gt;0,$H199&gt;0,OR(AUTOEVENTO&lt;&gt;"manual",$M199&lt;&gt;$A$15)),
        IF(Import.TipoArredondamento&lt;&gt;"TransfereGOV",
              ROUND(OFFSET($P199,0,AD$13),15-13*ORÇAMENTO!$AF$7)/$H199*OFFSET(ORÇAMENTO!$X$15,ROW(AD199)-ROW(AD$15),0),
              ROUND(ROUND(OFFSET($P199,0,AD$13),15-13*ORÇAMENTO!$AF$7)*OFFSET(ORÇAMENTO!$W$15,ROW(AD199)-ROW(AD$15),0),15-13*ORÇAMENTO!$AF$11)),
         0)</f>
        <v>0</v>
      </c>
      <c r="AE199" s="454">
        <f ca="1">IF(AND($D199="Serviço",AE$12&lt;&gt;0,$H199&gt;0,OR(AUTOEVENTO&lt;&gt;"manual",$M199&lt;&gt;$A$15)),
        IF(Import.TipoArredondamento&lt;&gt;"TransfereGOV",
              ROUND(OFFSET($P199,0,AE$13),15-13*ORÇAMENTO!$AF$7)/$H199*OFFSET(ORÇAMENTO!$X$15,ROW(AE199)-ROW(AE$15),0),
              ROUND(ROUND(OFFSET($P199,0,AE$13),15-13*ORÇAMENTO!$AF$7)*OFFSET(ORÇAMENTO!$W$15,ROW(AE199)-ROW(AE$15),0),15-13*ORÇAMENTO!$AF$11)),
         0)</f>
        <v>0</v>
      </c>
      <c r="AF199" s="454">
        <f ca="1">IF(AND($D199="Serviço",AF$12&lt;&gt;0,$H199&gt;0,OR(AUTOEVENTO&lt;&gt;"manual",$M199&lt;&gt;$A$15)),
        IF(Import.TipoArredondamento&lt;&gt;"TransfereGOV",
              ROUND(OFFSET($P199,0,AF$13),15-13*ORÇAMENTO!$AF$7)/$H199*OFFSET(ORÇAMENTO!$X$15,ROW(AF199)-ROW(AF$15),0),
              ROUND(ROUND(OFFSET($P199,0,AF$13),15-13*ORÇAMENTO!$AF$7)*OFFSET(ORÇAMENTO!$W$15,ROW(AF199)-ROW(AF$15),0),15-13*ORÇAMENTO!$AF$11)),
         0)</f>
        <v>0</v>
      </c>
      <c r="AG199" s="454">
        <f ca="1">IF(AND($D199="Serviço",AG$12&lt;&gt;0,$H199&gt;0,OR(AUTOEVENTO&lt;&gt;"manual",$M199&lt;&gt;$A$15)),
        IF(Import.TipoArredondamento&lt;&gt;"TransfereGOV",
              ROUND(OFFSET($P199,0,AG$13),15-13*ORÇAMENTO!$AF$7)/$H199*OFFSET(ORÇAMENTO!$X$15,ROW(AG199)-ROW(AG$15),0),
              ROUND(ROUND(OFFSET($P199,0,AG$13),15-13*ORÇAMENTO!$AF$7)*OFFSET(ORÇAMENTO!$W$15,ROW(AG199)-ROW(AG$15),0),15-13*ORÇAMENTO!$AF$11)),
         0)</f>
        <v>0</v>
      </c>
      <c r="AH199" s="454">
        <f ca="1">IF(AND($D199="Serviço",AH$12&lt;&gt;0,$H199&gt;0,OR(AUTOEVENTO&lt;&gt;"manual",$M199&lt;&gt;$A$15)),
        IF(Import.TipoArredondamento&lt;&gt;"TransfereGOV",
              ROUND(OFFSET($P199,0,AH$13),15-13*ORÇAMENTO!$AF$7)/$H199*OFFSET(ORÇAMENTO!$X$15,ROW(AH199)-ROW(AH$15),0),
              ROUND(ROUND(OFFSET($P199,0,AH$13),15-13*ORÇAMENTO!$AF$7)*OFFSET(ORÇAMENTO!$W$15,ROW(AH199)-ROW(AH$15),0),15-13*ORÇAMENTO!$AF$11)),
         0)</f>
        <v>0</v>
      </c>
      <c r="AI199" s="454">
        <f ca="1">IF(AND($D199="Serviço",AI$12&lt;&gt;0,$H199&gt;0,OR(AUTOEVENTO&lt;&gt;"manual",$M199&lt;&gt;$A$15)),
        IF(Import.TipoArredondamento&lt;&gt;"TransfereGOV",
              ROUND(OFFSET($P199,0,AI$13),15-13*ORÇAMENTO!$AF$7)/$H199*OFFSET(ORÇAMENTO!$X$15,ROW(AI199)-ROW(AI$15),0),
              ROUND(ROUND(OFFSET($P199,0,AI$13),15-13*ORÇAMENTO!$AF$7)*OFFSET(ORÇAMENTO!$W$15,ROW(AI199)-ROW(AI$15),0),15-13*ORÇAMENTO!$AF$11)),
         0)</f>
        <v>0</v>
      </c>
      <c r="AJ199" s="454">
        <f ca="1">IF(AND($D199="Serviço",AJ$12&lt;&gt;0,$H199&gt;0,OR(AUTOEVENTO&lt;&gt;"manual",$M199&lt;&gt;$A$15)),
        IF(Import.TipoArredondamento&lt;&gt;"TransfereGOV",
              ROUND(OFFSET($P199,0,AJ$13),15-13*ORÇAMENTO!$AF$7)/$H199*OFFSET(ORÇAMENTO!$X$15,ROW(AJ199)-ROW(AJ$15),0),
              ROUND(ROUND(OFFSET($P199,0,AJ$13),15-13*ORÇAMENTO!$AF$7)*OFFSET(ORÇAMENTO!$W$15,ROW(AJ199)-ROW(AJ$15),0),15-13*ORÇAMENTO!$AF$11)),
         0)</f>
        <v>0</v>
      </c>
      <c r="AK199" s="454">
        <f ca="1">IF(AND($D199="Serviço",AK$12&lt;&gt;0,$H199&gt;0,OR(AUTOEVENTO&lt;&gt;"manual",$M199&lt;&gt;$A$15)),
        IF(Import.TipoArredondamento&lt;&gt;"TransfereGOV",
              ROUND(OFFSET($P199,0,AK$13),15-13*ORÇAMENTO!$AF$7)/$H199*OFFSET(ORÇAMENTO!$X$15,ROW(AK199)-ROW(AK$15),0),
              ROUND(ROUND(OFFSET($P199,0,AK$13),15-13*ORÇAMENTO!$AF$7)*OFFSET(ORÇAMENTO!$W$15,ROW(AK199)-ROW(AK$15),0),15-13*ORÇAMENTO!$AF$11)),
         0)</f>
        <v>0</v>
      </c>
      <c r="AM199" s="172">
        <f ca="1">IF(OR($D199&lt;&gt;"Serviço",AND(AUTOEVENTO="Manual",$M199=$A$15)),0,
         IF(OFFSET(CRONOPLE!$F$15,$M199-$A$15,AM$13)="",10^12,OFFSET(CRONOPLE!$F$15,$M199-$A$15,AM$13)))</f>
        <v>1000000000000</v>
      </c>
      <c r="AN199" s="172">
        <f ca="1">IF(OR($D199&lt;&gt;"Serviço",AND(AUTOEVENTO="Manual",$M199=$A$15)),0,
         IF(OFFSET(CRONOPLE!$F$15,$M199-$A$15,AN$13)="",10^12,OFFSET(CRONOPLE!$F$15,$M199-$A$15,AN$13)))</f>
        <v>1000000000000</v>
      </c>
      <c r="AO199" s="172">
        <f ca="1">IF(OR($D199&lt;&gt;"Serviço",AND(AUTOEVENTO="Manual",$M199=$A$15)),0,
         IF(OFFSET(CRONOPLE!$F$15,$M199-$A$15,AO$13)="",10^12,OFFSET(CRONOPLE!$F$15,$M199-$A$15,AO$13)))</f>
        <v>1000000000000</v>
      </c>
      <c r="AP199" s="172">
        <f ca="1">IF(OR($D199&lt;&gt;"Serviço",AND(AUTOEVENTO="Manual",$M199=$A$15)),0,
         IF(OFFSET(CRONOPLE!$F$15,$M199-$A$15,AP$13)="",10^12,OFFSET(CRONOPLE!$F$15,$M199-$A$15,AP$13)))</f>
        <v>1000000000000</v>
      </c>
      <c r="AQ199" s="172">
        <f ca="1">IF(OR($D199&lt;&gt;"Serviço",AND(AUTOEVENTO="Manual",$M199=$A$15)),0,
         IF(OFFSET(CRONOPLE!$F$15,$M199-$A$15,AQ$13)="",10^12,OFFSET(CRONOPLE!$F$15,$M199-$A$15,AQ$13)))</f>
        <v>1000000000000</v>
      </c>
      <c r="AR199" s="172">
        <f ca="1">IF(OR($D199&lt;&gt;"Serviço",AND(AUTOEVENTO="Manual",$M199=$A$15)),0,
         IF(OFFSET(CRONOPLE!$F$15,$M199-$A$15,AR$13)="",10^12,OFFSET(CRONOPLE!$F$15,$M199-$A$15,AR$13)))</f>
        <v>1000000000000</v>
      </c>
      <c r="AS199" s="172">
        <f ca="1">IF(OR($D199&lt;&gt;"Serviço",AND(AUTOEVENTO="Manual",$M199=$A$15)),0,
         IF(OFFSET(CRONOPLE!$F$15,$M199-$A$15,AS$13)="",10^12,OFFSET(CRONOPLE!$F$15,$M199-$A$15,AS$13)))</f>
        <v>1000000000000</v>
      </c>
      <c r="AT199" s="172">
        <f ca="1">IF(OR($D199&lt;&gt;"Serviço",AND(AUTOEVENTO="Manual",$M199=$A$15)),0,
         IF(OFFSET(CRONOPLE!$F$15,$M199-$A$15,AT$13)="",10^12,OFFSET(CRONOPLE!$F$15,$M199-$A$15,AT$13)))</f>
        <v>1000000000000</v>
      </c>
      <c r="AU199" s="172">
        <f ca="1">IF(OR($D199&lt;&gt;"Serviço",AND(AUTOEVENTO="Manual",$M199=$A$15)),0,
         IF(OFFSET(CRONOPLE!$F$15,$M199-$A$15,AU$13)="",10^12,OFFSET(CRONOPLE!$F$15,$M199-$A$15,AU$13)))</f>
        <v>1000000000000</v>
      </c>
      <c r="AV199" s="172">
        <f ca="1">IF(OR($D199&lt;&gt;"Serviço",AND(AUTOEVENTO="Manual",$M199=$A$15)),0,
         IF(OFFSET(CRONOPLE!$F$15,$M199-$A$15,AV$13)="",10^12,OFFSET(CRONOPLE!$F$15,$M199-$A$15,AV$13)))</f>
        <v>1000000000000</v>
      </c>
      <c r="AX199" s="173">
        <f ca="1">IF(OR($D199&lt;&gt;"Serviço",AND(AUTOEVENTO="Manual",$M199=$A$15),$M199&gt;(ROW(PLE.lastrow)-ROW(PLE.firstrow))),0,
           IF(OFFSET(PLE!$G$15,$M199-$A$15,AX$13)="",10^12,OFFSET(PLE!$G$15,$M199-$A$15,AX$13)))</f>
        <v>1000000000000</v>
      </c>
      <c r="AY199" s="173">
        <f ca="1">IF(OR($D199&lt;&gt;"Serviço",AND(AUTOEVENTO="Manual",$M199=$A$15),$M199&gt;(ROW(PLE.lastrow)-ROW(PLE.firstrow))),0,
           IF(OFFSET(PLE!$G$15,$M199-$A$15,AY$13)="",10^12,OFFSET(PLE!$G$15,$M199-$A$15,AY$13)))</f>
        <v>1000000000000</v>
      </c>
      <c r="AZ199" s="173">
        <f ca="1">IF(OR($D199&lt;&gt;"Serviço",AND(AUTOEVENTO="Manual",$M199=$A$15),$M199&gt;(ROW(PLE.lastrow)-ROW(PLE.firstrow))),0,
           IF(OFFSET(PLE!$G$15,$M199-$A$15,AZ$13)="",10^12,OFFSET(PLE!$G$15,$M199-$A$15,AZ$13)))</f>
        <v>1000000000000</v>
      </c>
      <c r="BA199" s="173">
        <f ca="1">IF(OR($D199&lt;&gt;"Serviço",AND(AUTOEVENTO="Manual",$M199=$A$15),$M199&gt;(ROW(PLE.lastrow)-ROW(PLE.firstrow))),0,
           IF(OFFSET(PLE!$G$15,$M199-$A$15,BA$13)="",10^12,OFFSET(PLE!$G$15,$M199-$A$15,BA$13)))</f>
        <v>1000000000000</v>
      </c>
      <c r="BB199" s="173">
        <f ca="1">IF(OR($D199&lt;&gt;"Serviço",AND(AUTOEVENTO="Manual",$M199=$A$15),$M199&gt;(ROW(PLE.lastrow)-ROW(PLE.firstrow))),0,
           IF(OFFSET(PLE!$G$15,$M199-$A$15,BB$13)="",10^12,OFFSET(PLE!$G$15,$M199-$A$15,BB$13)))</f>
        <v>1000000000000</v>
      </c>
      <c r="BC199" s="173">
        <f ca="1">IF(OR($D199&lt;&gt;"Serviço",AND(AUTOEVENTO="Manual",$M199=$A$15),$M199&gt;(ROW(PLE.lastrow)-ROW(PLE.firstrow))),0,
           IF(OFFSET(PLE!$G$15,$M199-$A$15,BC$13)="",10^12,OFFSET(PLE!$G$15,$M199-$A$15,BC$13)))</f>
        <v>1000000000000</v>
      </c>
      <c r="BD199" s="173">
        <f ca="1">IF(OR($D199&lt;&gt;"Serviço",AND(AUTOEVENTO="Manual",$M199=$A$15),$M199&gt;(ROW(PLE.lastrow)-ROW(PLE.firstrow))),0,
           IF(OFFSET(PLE!$G$15,$M199-$A$15,BD$13)="",10^12,OFFSET(PLE!$G$15,$M199-$A$15,BD$13)))</f>
        <v>1000000000000</v>
      </c>
      <c r="BE199" s="173">
        <f ca="1">IF(OR($D199&lt;&gt;"Serviço",AND(AUTOEVENTO="Manual",$M199=$A$15),$M199&gt;(ROW(PLE.lastrow)-ROW(PLE.firstrow))),0,
           IF(OFFSET(PLE!$G$15,$M199-$A$15,BE$13)="",10^12,OFFSET(PLE!$G$15,$M199-$A$15,BE$13)))</f>
        <v>1000000000000</v>
      </c>
      <c r="BF199" s="173">
        <f ca="1">IF(OR($D199&lt;&gt;"Serviço",AND(AUTOEVENTO="Manual",$M199=$A$15),$M199&gt;(ROW(PLE.lastrow)-ROW(PLE.firstrow))),0,
           IF(OFFSET(PLE!$G$15,$M199-$A$15,BF$13)="",10^12,OFFSET(PLE!$G$15,$M199-$A$15,BF$13)))</f>
        <v>1000000000000</v>
      </c>
      <c r="BG199" s="173">
        <f ca="1">IF(OR($D199&lt;&gt;"Serviço",AND(AUTOEVENTO="Manual",$M199=$A$15),$M199&gt;(ROW(PLE.lastrow)-ROW(PLE.firstrow))),0,
           IF(OFFSET(PLE!$G$15,$M199-$A$15,BG$13)="",10^12,OFFSET(PLE!$G$15,$M199-$A$15,BG$13)))</f>
        <v>1000000000000</v>
      </c>
    </row>
    <row r="200" spans="1:59" ht="38.25" x14ac:dyDescent="0.2">
      <c r="A200" s="7" t="str">
        <f t="shared" ca="1" si="10"/>
        <v>114</v>
      </c>
      <c r="B200" s="7" t="str">
        <f ca="1">OFFSET(ORÇAMENTO!C$15,ROW(B200)-ROW(B$15),0)</f>
        <v>S</v>
      </c>
      <c r="C200" s="7" t="str">
        <f ca="1">OFFSET(ORÇAMENTO!L$15,ROW(C200)-ROW(C$15),0)</f>
        <v/>
      </c>
      <c r="D200" s="117" t="str">
        <f ca="1">OFFSET(ORÇAMENTO!N$15,ROW(D200)-ROW(D$15),0)</f>
        <v>Serviço</v>
      </c>
      <c r="E200" s="118" t="str">
        <f ca="1">OFFSET(ORÇAMENTO!O$15,ROW(E200)-ROW(E$15),0)</f>
        <v>-</v>
      </c>
      <c r="F200" s="164" t="str">
        <f ca="1">OFFSET(ORÇAMENTO!R$15,ROW(F200)-ROW(F$15),0)</f>
        <v>LUVA, PVC, SOLDÁVEL, DN 50MM, INSTALADO EM RAMAL DE DISTRIBUIÇÃO DE ÁGUA - FORNECIMENTO E INSTALAÇÃO. AF_06/2022</v>
      </c>
      <c r="G200" s="165" t="str">
        <f ca="1">IF($D200&lt;&gt;"Serviço","",OFFSET(ORÇAMENTO!S$15,ROW(G200)-ROW(G$15),0))</f>
        <v>UN</v>
      </c>
      <c r="H200" s="123">
        <f ca="1">IF($D200&lt;&gt;"Serviço",0,IF(ACOMPANHAMENTO="BM",ROUND(OFFSET(ORÇAMENTO!AJ$15,ROW(H200)-ROW(H$15),0),15-13*ORÇAMENTO!$AF$7),SUMPRODUCT(($Q$1:$AA$1=1)*ROUND($Q200:$AA200,15-13*ORÇAMENTO!$AF$7))))</f>
        <v>1</v>
      </c>
      <c r="I200" s="469"/>
      <c r="J200" s="577" t="str" cm="1">
        <f t="array" aca="1" ref="J200" ca="1">IF(B200&lt;&gt;"S","",IF(AND(ACOMPANHAMENTO="PLE",AUTOEVENTO="Manual",OR(H200&gt;0,ORÇAMENTO!AC200="QUANT."),OR(K200="",M200=0,N200="")),"►",IF(AND(ACOMPANHAMENTO="PLE",ORÇAMENTO!AC200="QUANT."),"►►",IF(AND(COUNTIF($P$11:$AA$11,"▼")=0,H200&gt;0,I200=""),"◄",""))))</f>
        <v>◄</v>
      </c>
      <c r="K200" s="626"/>
      <c r="L200" s="166" t="s">
        <v>765</v>
      </c>
      <c r="M200" s="167">
        <f ca="1">IF($D200&lt;&gt;"Serviço","",
          IF(AUTOEVENTO="manual",$A200,
                IF(ISERROR(MATCH($A200,$A$15:OFFSET($A200,-1,0),0)),MAX($M$15:OFFSET(M200,-1,0))+1,
                      INDEX($M$15:OFFSET(M200,-1,0),MATCH($A200,$A$15:OFFSET($A200,-1,0),0)))))</f>
        <v>11</v>
      </c>
      <c r="N200" s="168" t="str">
        <f ca="1">IF($D200&lt;&gt;"Serviço","",
         IF(AUTOEVENTO="Manual",
                IF($A200=0,"&lt;-- defina o número do agrupador",
                       OFFSET(EVENTOS!$D$15,$A200-$A$15,0)),
                OFFSET($F$15,$A200,0)))</f>
        <v>INSTALAÇÕES HIDROSSANITÁRIAS</v>
      </c>
      <c r="O200" s="169"/>
      <c r="Q200" s="169"/>
      <c r="R200" s="170"/>
      <c r="S200" s="170"/>
      <c r="T200" s="170"/>
      <c r="U200" s="170"/>
      <c r="V200" s="170"/>
      <c r="W200" s="170"/>
      <c r="X200" s="170"/>
      <c r="Y200" s="170"/>
      <c r="Z200" s="171"/>
      <c r="AB200" s="454">
        <f ca="1">IF(AND($D200="Serviço",AB$12&lt;&gt;0,$H200&gt;0,OR(AUTOEVENTO&lt;&gt;"manual",$M200&lt;&gt;$A$15)),
        IF(Import.TipoArredondamento&lt;&gt;"TransfereGOV",
              ROUND(OFFSET($P200,0,AB$13),15-13*ORÇAMENTO!$AF$7)/$H200*OFFSET(ORÇAMENTO!$X$15,ROW(AB200)-ROW(AB$15),0),
              ROUND(ROUND(OFFSET($P200,0,AB$13),15-13*ORÇAMENTO!$AF$7)*OFFSET(ORÇAMENTO!$W$15,ROW(AB200)-ROW(AB$15),0),15-13*ORÇAMENTO!$AF$11)),
         0)</f>
        <v>0</v>
      </c>
      <c r="AC200" s="454">
        <f ca="1">IF(AND($D200="Serviço",AC$12&lt;&gt;0,$H200&gt;0,OR(AUTOEVENTO&lt;&gt;"manual",$M200&lt;&gt;$A$15)),
        IF(Import.TipoArredondamento&lt;&gt;"TransfereGOV",
              ROUND(OFFSET($P200,0,AC$13),15-13*ORÇAMENTO!$AF$7)/$H200*OFFSET(ORÇAMENTO!$X$15,ROW(AC200)-ROW(AC$15),0),
              ROUND(ROUND(OFFSET($P200,0,AC$13),15-13*ORÇAMENTO!$AF$7)*OFFSET(ORÇAMENTO!$W$15,ROW(AC200)-ROW(AC$15),0),15-13*ORÇAMENTO!$AF$11)),
         0)</f>
        <v>0</v>
      </c>
      <c r="AD200" s="454">
        <f ca="1">IF(AND($D200="Serviço",AD$12&lt;&gt;0,$H200&gt;0,OR(AUTOEVENTO&lt;&gt;"manual",$M200&lt;&gt;$A$15)),
        IF(Import.TipoArredondamento&lt;&gt;"TransfereGOV",
              ROUND(OFFSET($P200,0,AD$13),15-13*ORÇAMENTO!$AF$7)/$H200*OFFSET(ORÇAMENTO!$X$15,ROW(AD200)-ROW(AD$15),0),
              ROUND(ROUND(OFFSET($P200,0,AD$13),15-13*ORÇAMENTO!$AF$7)*OFFSET(ORÇAMENTO!$W$15,ROW(AD200)-ROW(AD$15),0),15-13*ORÇAMENTO!$AF$11)),
         0)</f>
        <v>0</v>
      </c>
      <c r="AE200" s="454">
        <f ca="1">IF(AND($D200="Serviço",AE$12&lt;&gt;0,$H200&gt;0,OR(AUTOEVENTO&lt;&gt;"manual",$M200&lt;&gt;$A$15)),
        IF(Import.TipoArredondamento&lt;&gt;"TransfereGOV",
              ROUND(OFFSET($P200,0,AE$13),15-13*ORÇAMENTO!$AF$7)/$H200*OFFSET(ORÇAMENTO!$X$15,ROW(AE200)-ROW(AE$15),0),
              ROUND(ROUND(OFFSET($P200,0,AE$13),15-13*ORÇAMENTO!$AF$7)*OFFSET(ORÇAMENTO!$W$15,ROW(AE200)-ROW(AE$15),0),15-13*ORÇAMENTO!$AF$11)),
         0)</f>
        <v>0</v>
      </c>
      <c r="AF200" s="454">
        <f ca="1">IF(AND($D200="Serviço",AF$12&lt;&gt;0,$H200&gt;0,OR(AUTOEVENTO&lt;&gt;"manual",$M200&lt;&gt;$A$15)),
        IF(Import.TipoArredondamento&lt;&gt;"TransfereGOV",
              ROUND(OFFSET($P200,0,AF$13),15-13*ORÇAMENTO!$AF$7)/$H200*OFFSET(ORÇAMENTO!$X$15,ROW(AF200)-ROW(AF$15),0),
              ROUND(ROUND(OFFSET($P200,0,AF$13),15-13*ORÇAMENTO!$AF$7)*OFFSET(ORÇAMENTO!$W$15,ROW(AF200)-ROW(AF$15),0),15-13*ORÇAMENTO!$AF$11)),
         0)</f>
        <v>0</v>
      </c>
      <c r="AG200" s="454">
        <f ca="1">IF(AND($D200="Serviço",AG$12&lt;&gt;0,$H200&gt;0,OR(AUTOEVENTO&lt;&gt;"manual",$M200&lt;&gt;$A$15)),
        IF(Import.TipoArredondamento&lt;&gt;"TransfereGOV",
              ROUND(OFFSET($P200,0,AG$13),15-13*ORÇAMENTO!$AF$7)/$H200*OFFSET(ORÇAMENTO!$X$15,ROW(AG200)-ROW(AG$15),0),
              ROUND(ROUND(OFFSET($P200,0,AG$13),15-13*ORÇAMENTO!$AF$7)*OFFSET(ORÇAMENTO!$W$15,ROW(AG200)-ROW(AG$15),0),15-13*ORÇAMENTO!$AF$11)),
         0)</f>
        <v>0</v>
      </c>
      <c r="AH200" s="454">
        <f ca="1">IF(AND($D200="Serviço",AH$12&lt;&gt;0,$H200&gt;0,OR(AUTOEVENTO&lt;&gt;"manual",$M200&lt;&gt;$A$15)),
        IF(Import.TipoArredondamento&lt;&gt;"TransfereGOV",
              ROUND(OFFSET($P200,0,AH$13),15-13*ORÇAMENTO!$AF$7)/$H200*OFFSET(ORÇAMENTO!$X$15,ROW(AH200)-ROW(AH$15),0),
              ROUND(ROUND(OFFSET($P200,0,AH$13),15-13*ORÇAMENTO!$AF$7)*OFFSET(ORÇAMENTO!$W$15,ROW(AH200)-ROW(AH$15),0),15-13*ORÇAMENTO!$AF$11)),
         0)</f>
        <v>0</v>
      </c>
      <c r="AI200" s="454">
        <f ca="1">IF(AND($D200="Serviço",AI$12&lt;&gt;0,$H200&gt;0,OR(AUTOEVENTO&lt;&gt;"manual",$M200&lt;&gt;$A$15)),
        IF(Import.TipoArredondamento&lt;&gt;"TransfereGOV",
              ROUND(OFFSET($P200,0,AI$13),15-13*ORÇAMENTO!$AF$7)/$H200*OFFSET(ORÇAMENTO!$X$15,ROW(AI200)-ROW(AI$15),0),
              ROUND(ROUND(OFFSET($P200,0,AI$13),15-13*ORÇAMENTO!$AF$7)*OFFSET(ORÇAMENTO!$W$15,ROW(AI200)-ROW(AI$15),0),15-13*ORÇAMENTO!$AF$11)),
         0)</f>
        <v>0</v>
      </c>
      <c r="AJ200" s="454">
        <f ca="1">IF(AND($D200="Serviço",AJ$12&lt;&gt;0,$H200&gt;0,OR(AUTOEVENTO&lt;&gt;"manual",$M200&lt;&gt;$A$15)),
        IF(Import.TipoArredondamento&lt;&gt;"TransfereGOV",
              ROUND(OFFSET($P200,0,AJ$13),15-13*ORÇAMENTO!$AF$7)/$H200*OFFSET(ORÇAMENTO!$X$15,ROW(AJ200)-ROW(AJ$15),0),
              ROUND(ROUND(OFFSET($P200,0,AJ$13),15-13*ORÇAMENTO!$AF$7)*OFFSET(ORÇAMENTO!$W$15,ROW(AJ200)-ROW(AJ$15),0),15-13*ORÇAMENTO!$AF$11)),
         0)</f>
        <v>0</v>
      </c>
      <c r="AK200" s="454">
        <f ca="1">IF(AND($D200="Serviço",AK$12&lt;&gt;0,$H200&gt;0,OR(AUTOEVENTO&lt;&gt;"manual",$M200&lt;&gt;$A$15)),
        IF(Import.TipoArredondamento&lt;&gt;"TransfereGOV",
              ROUND(OFFSET($P200,0,AK$13),15-13*ORÇAMENTO!$AF$7)/$H200*OFFSET(ORÇAMENTO!$X$15,ROW(AK200)-ROW(AK$15),0),
              ROUND(ROUND(OFFSET($P200,0,AK$13),15-13*ORÇAMENTO!$AF$7)*OFFSET(ORÇAMENTO!$W$15,ROW(AK200)-ROW(AK$15),0),15-13*ORÇAMENTO!$AF$11)),
         0)</f>
        <v>0</v>
      </c>
      <c r="AM200" s="172">
        <f ca="1">IF(OR($D200&lt;&gt;"Serviço",AND(AUTOEVENTO="Manual",$M200=$A$15)),0,
         IF(OFFSET(CRONOPLE!$F$15,$M200-$A$15,AM$13)="",10^12,OFFSET(CRONOPLE!$F$15,$M200-$A$15,AM$13)))</f>
        <v>1000000000000</v>
      </c>
      <c r="AN200" s="172">
        <f ca="1">IF(OR($D200&lt;&gt;"Serviço",AND(AUTOEVENTO="Manual",$M200=$A$15)),0,
         IF(OFFSET(CRONOPLE!$F$15,$M200-$A$15,AN$13)="",10^12,OFFSET(CRONOPLE!$F$15,$M200-$A$15,AN$13)))</f>
        <v>1000000000000</v>
      </c>
      <c r="AO200" s="172">
        <f ca="1">IF(OR($D200&lt;&gt;"Serviço",AND(AUTOEVENTO="Manual",$M200=$A$15)),0,
         IF(OFFSET(CRONOPLE!$F$15,$M200-$A$15,AO$13)="",10^12,OFFSET(CRONOPLE!$F$15,$M200-$A$15,AO$13)))</f>
        <v>1000000000000</v>
      </c>
      <c r="AP200" s="172">
        <f ca="1">IF(OR($D200&lt;&gt;"Serviço",AND(AUTOEVENTO="Manual",$M200=$A$15)),0,
         IF(OFFSET(CRONOPLE!$F$15,$M200-$A$15,AP$13)="",10^12,OFFSET(CRONOPLE!$F$15,$M200-$A$15,AP$13)))</f>
        <v>1000000000000</v>
      </c>
      <c r="AQ200" s="172">
        <f ca="1">IF(OR($D200&lt;&gt;"Serviço",AND(AUTOEVENTO="Manual",$M200=$A$15)),0,
         IF(OFFSET(CRONOPLE!$F$15,$M200-$A$15,AQ$13)="",10^12,OFFSET(CRONOPLE!$F$15,$M200-$A$15,AQ$13)))</f>
        <v>1000000000000</v>
      </c>
      <c r="AR200" s="172">
        <f ca="1">IF(OR($D200&lt;&gt;"Serviço",AND(AUTOEVENTO="Manual",$M200=$A$15)),0,
         IF(OFFSET(CRONOPLE!$F$15,$M200-$A$15,AR$13)="",10^12,OFFSET(CRONOPLE!$F$15,$M200-$A$15,AR$13)))</f>
        <v>1000000000000</v>
      </c>
      <c r="AS200" s="172">
        <f ca="1">IF(OR($D200&lt;&gt;"Serviço",AND(AUTOEVENTO="Manual",$M200=$A$15)),0,
         IF(OFFSET(CRONOPLE!$F$15,$M200-$A$15,AS$13)="",10^12,OFFSET(CRONOPLE!$F$15,$M200-$A$15,AS$13)))</f>
        <v>1000000000000</v>
      </c>
      <c r="AT200" s="172">
        <f ca="1">IF(OR($D200&lt;&gt;"Serviço",AND(AUTOEVENTO="Manual",$M200=$A$15)),0,
         IF(OFFSET(CRONOPLE!$F$15,$M200-$A$15,AT$13)="",10^12,OFFSET(CRONOPLE!$F$15,$M200-$A$15,AT$13)))</f>
        <v>1000000000000</v>
      </c>
      <c r="AU200" s="172">
        <f ca="1">IF(OR($D200&lt;&gt;"Serviço",AND(AUTOEVENTO="Manual",$M200=$A$15)),0,
         IF(OFFSET(CRONOPLE!$F$15,$M200-$A$15,AU$13)="",10^12,OFFSET(CRONOPLE!$F$15,$M200-$A$15,AU$13)))</f>
        <v>1000000000000</v>
      </c>
      <c r="AV200" s="172">
        <f ca="1">IF(OR($D200&lt;&gt;"Serviço",AND(AUTOEVENTO="Manual",$M200=$A$15)),0,
         IF(OFFSET(CRONOPLE!$F$15,$M200-$A$15,AV$13)="",10^12,OFFSET(CRONOPLE!$F$15,$M200-$A$15,AV$13)))</f>
        <v>1000000000000</v>
      </c>
      <c r="AX200" s="173">
        <f ca="1">IF(OR($D200&lt;&gt;"Serviço",AND(AUTOEVENTO="Manual",$M200=$A$15),$M200&gt;(ROW(PLE.lastrow)-ROW(PLE.firstrow))),0,
           IF(OFFSET(PLE!$G$15,$M200-$A$15,AX$13)="",10^12,OFFSET(PLE!$G$15,$M200-$A$15,AX$13)))</f>
        <v>1000000000000</v>
      </c>
      <c r="AY200" s="173">
        <f ca="1">IF(OR($D200&lt;&gt;"Serviço",AND(AUTOEVENTO="Manual",$M200=$A$15),$M200&gt;(ROW(PLE.lastrow)-ROW(PLE.firstrow))),0,
           IF(OFFSET(PLE!$G$15,$M200-$A$15,AY$13)="",10^12,OFFSET(PLE!$G$15,$M200-$A$15,AY$13)))</f>
        <v>1000000000000</v>
      </c>
      <c r="AZ200" s="173">
        <f ca="1">IF(OR($D200&lt;&gt;"Serviço",AND(AUTOEVENTO="Manual",$M200=$A$15),$M200&gt;(ROW(PLE.lastrow)-ROW(PLE.firstrow))),0,
           IF(OFFSET(PLE!$G$15,$M200-$A$15,AZ$13)="",10^12,OFFSET(PLE!$G$15,$M200-$A$15,AZ$13)))</f>
        <v>1000000000000</v>
      </c>
      <c r="BA200" s="173">
        <f ca="1">IF(OR($D200&lt;&gt;"Serviço",AND(AUTOEVENTO="Manual",$M200=$A$15),$M200&gt;(ROW(PLE.lastrow)-ROW(PLE.firstrow))),0,
           IF(OFFSET(PLE!$G$15,$M200-$A$15,BA$13)="",10^12,OFFSET(PLE!$G$15,$M200-$A$15,BA$13)))</f>
        <v>1000000000000</v>
      </c>
      <c r="BB200" s="173">
        <f ca="1">IF(OR($D200&lt;&gt;"Serviço",AND(AUTOEVENTO="Manual",$M200=$A$15),$M200&gt;(ROW(PLE.lastrow)-ROW(PLE.firstrow))),0,
           IF(OFFSET(PLE!$G$15,$M200-$A$15,BB$13)="",10^12,OFFSET(PLE!$G$15,$M200-$A$15,BB$13)))</f>
        <v>1000000000000</v>
      </c>
      <c r="BC200" s="173">
        <f ca="1">IF(OR($D200&lt;&gt;"Serviço",AND(AUTOEVENTO="Manual",$M200=$A$15),$M200&gt;(ROW(PLE.lastrow)-ROW(PLE.firstrow))),0,
           IF(OFFSET(PLE!$G$15,$M200-$A$15,BC$13)="",10^12,OFFSET(PLE!$G$15,$M200-$A$15,BC$13)))</f>
        <v>1000000000000</v>
      </c>
      <c r="BD200" s="173">
        <f ca="1">IF(OR($D200&lt;&gt;"Serviço",AND(AUTOEVENTO="Manual",$M200=$A$15),$M200&gt;(ROW(PLE.lastrow)-ROW(PLE.firstrow))),0,
           IF(OFFSET(PLE!$G$15,$M200-$A$15,BD$13)="",10^12,OFFSET(PLE!$G$15,$M200-$A$15,BD$13)))</f>
        <v>1000000000000</v>
      </c>
      <c r="BE200" s="173">
        <f ca="1">IF(OR($D200&lt;&gt;"Serviço",AND(AUTOEVENTO="Manual",$M200=$A$15),$M200&gt;(ROW(PLE.lastrow)-ROW(PLE.firstrow))),0,
           IF(OFFSET(PLE!$G$15,$M200-$A$15,BE$13)="",10^12,OFFSET(PLE!$G$15,$M200-$A$15,BE$13)))</f>
        <v>1000000000000</v>
      </c>
      <c r="BF200" s="173">
        <f ca="1">IF(OR($D200&lt;&gt;"Serviço",AND(AUTOEVENTO="Manual",$M200=$A$15),$M200&gt;(ROW(PLE.lastrow)-ROW(PLE.firstrow))),0,
           IF(OFFSET(PLE!$G$15,$M200-$A$15,BF$13)="",10^12,OFFSET(PLE!$G$15,$M200-$A$15,BF$13)))</f>
        <v>1000000000000</v>
      </c>
      <c r="BG200" s="173">
        <f ca="1">IF(OR($D200&lt;&gt;"Serviço",AND(AUTOEVENTO="Manual",$M200=$A$15),$M200&gt;(ROW(PLE.lastrow)-ROW(PLE.firstrow))),0,
           IF(OFFSET(PLE!$G$15,$M200-$A$15,BG$13)="",10^12,OFFSET(PLE!$G$15,$M200-$A$15,BG$13)))</f>
        <v>1000000000000</v>
      </c>
    </row>
    <row r="201" spans="1:59" ht="38.25" x14ac:dyDescent="0.2">
      <c r="A201" s="7" t="str">
        <f t="shared" ca="1" si="10"/>
        <v>114</v>
      </c>
      <c r="B201" s="7" t="str">
        <f ca="1">OFFSET(ORÇAMENTO!C$15,ROW(B201)-ROW(B$15),0)</f>
        <v>S</v>
      </c>
      <c r="C201" s="7" t="str">
        <f ca="1">OFFSET(ORÇAMENTO!L$15,ROW(C201)-ROW(C$15),0)</f>
        <v/>
      </c>
      <c r="D201" s="117" t="str">
        <f ca="1">OFFSET(ORÇAMENTO!N$15,ROW(D201)-ROW(D$15),0)</f>
        <v>Serviço</v>
      </c>
      <c r="E201" s="118" t="str">
        <f ca="1">OFFSET(ORÇAMENTO!O$15,ROW(E201)-ROW(E$15),0)</f>
        <v>-</v>
      </c>
      <c r="F201" s="164" t="str">
        <f ca="1">OFFSET(ORÇAMENTO!R$15,ROW(F201)-ROW(F$15),0)</f>
        <v>TUBO, PVC, SOLDÁVEL, DE 50MM, INSTALADO EM RAMAL DE DISTRIBUIÇÃO DE ÁGUA - FORNECIMENTO E INSTALAÇÃO. AF_06/2022</v>
      </c>
      <c r="G201" s="165" t="str">
        <f ca="1">IF($D201&lt;&gt;"Serviço","",OFFSET(ORÇAMENTO!S$15,ROW(G201)-ROW(G$15),0))</f>
        <v>M</v>
      </c>
      <c r="H201" s="123">
        <f ca="1">IF($D201&lt;&gt;"Serviço",0,IF(ACOMPANHAMENTO="BM",ROUND(OFFSET(ORÇAMENTO!AJ$15,ROW(H201)-ROW(H$15),0),15-13*ORÇAMENTO!$AF$7),SUMPRODUCT(($Q$1:$AA$1=1)*ROUND($Q201:$AA201,15-13*ORÇAMENTO!$AF$7))))</f>
        <v>88</v>
      </c>
      <c r="I201" s="469"/>
      <c r="J201" s="577" t="str" cm="1">
        <f t="array" aca="1" ref="J201" ca="1">IF(B201&lt;&gt;"S","",IF(AND(ACOMPANHAMENTO="PLE",AUTOEVENTO="Manual",OR(H201&gt;0,ORÇAMENTO!AC201="QUANT."),OR(K201="",M201=0,N201="")),"►",IF(AND(ACOMPANHAMENTO="PLE",ORÇAMENTO!AC201="QUANT."),"►►",IF(AND(COUNTIF($P$11:$AA$11,"▼")=0,H201&gt;0,I201=""),"◄",""))))</f>
        <v>◄</v>
      </c>
      <c r="K201" s="626"/>
      <c r="L201" s="166" t="s">
        <v>765</v>
      </c>
      <c r="M201" s="167">
        <f ca="1">IF($D201&lt;&gt;"Serviço","",
          IF(AUTOEVENTO="manual",$A201,
                IF(ISERROR(MATCH($A201,$A$15:OFFSET($A201,-1,0),0)),MAX($M$15:OFFSET(M201,-1,0))+1,
                      INDEX($M$15:OFFSET(M201,-1,0),MATCH($A201,$A$15:OFFSET($A201,-1,0),0)))))</f>
        <v>11</v>
      </c>
      <c r="N201" s="168" t="str">
        <f ca="1">IF($D201&lt;&gt;"Serviço","",
         IF(AUTOEVENTO="Manual",
                IF($A201=0,"&lt;-- defina o número do agrupador",
                       OFFSET(EVENTOS!$D$15,$A201-$A$15,0)),
                OFFSET($F$15,$A201,0)))</f>
        <v>INSTALAÇÕES HIDROSSANITÁRIAS</v>
      </c>
      <c r="O201" s="169"/>
      <c r="Q201" s="169"/>
      <c r="R201" s="170"/>
      <c r="S201" s="170"/>
      <c r="T201" s="170"/>
      <c r="U201" s="170"/>
      <c r="V201" s="170"/>
      <c r="W201" s="170"/>
      <c r="X201" s="170"/>
      <c r="Y201" s="170"/>
      <c r="Z201" s="171"/>
      <c r="AB201" s="454">
        <f ca="1">IF(AND($D201="Serviço",AB$12&lt;&gt;0,$H201&gt;0,OR(AUTOEVENTO&lt;&gt;"manual",$M201&lt;&gt;$A$15)),
        IF(Import.TipoArredondamento&lt;&gt;"TransfereGOV",
              ROUND(OFFSET($P201,0,AB$13),15-13*ORÇAMENTO!$AF$7)/$H201*OFFSET(ORÇAMENTO!$X$15,ROW(AB201)-ROW(AB$15),0),
              ROUND(ROUND(OFFSET($P201,0,AB$13),15-13*ORÇAMENTO!$AF$7)*OFFSET(ORÇAMENTO!$W$15,ROW(AB201)-ROW(AB$15),0),15-13*ORÇAMENTO!$AF$11)),
         0)</f>
        <v>0</v>
      </c>
      <c r="AC201" s="454">
        <f ca="1">IF(AND($D201="Serviço",AC$12&lt;&gt;0,$H201&gt;0,OR(AUTOEVENTO&lt;&gt;"manual",$M201&lt;&gt;$A$15)),
        IF(Import.TipoArredondamento&lt;&gt;"TransfereGOV",
              ROUND(OFFSET($P201,0,AC$13),15-13*ORÇAMENTO!$AF$7)/$H201*OFFSET(ORÇAMENTO!$X$15,ROW(AC201)-ROW(AC$15),0),
              ROUND(ROUND(OFFSET($P201,0,AC$13),15-13*ORÇAMENTO!$AF$7)*OFFSET(ORÇAMENTO!$W$15,ROW(AC201)-ROW(AC$15),0),15-13*ORÇAMENTO!$AF$11)),
         0)</f>
        <v>0</v>
      </c>
      <c r="AD201" s="454">
        <f ca="1">IF(AND($D201="Serviço",AD$12&lt;&gt;0,$H201&gt;0,OR(AUTOEVENTO&lt;&gt;"manual",$M201&lt;&gt;$A$15)),
        IF(Import.TipoArredondamento&lt;&gt;"TransfereGOV",
              ROUND(OFFSET($P201,0,AD$13),15-13*ORÇAMENTO!$AF$7)/$H201*OFFSET(ORÇAMENTO!$X$15,ROW(AD201)-ROW(AD$15),0),
              ROUND(ROUND(OFFSET($P201,0,AD$13),15-13*ORÇAMENTO!$AF$7)*OFFSET(ORÇAMENTO!$W$15,ROW(AD201)-ROW(AD$15),0),15-13*ORÇAMENTO!$AF$11)),
         0)</f>
        <v>0</v>
      </c>
      <c r="AE201" s="454">
        <f ca="1">IF(AND($D201="Serviço",AE$12&lt;&gt;0,$H201&gt;0,OR(AUTOEVENTO&lt;&gt;"manual",$M201&lt;&gt;$A$15)),
        IF(Import.TipoArredondamento&lt;&gt;"TransfereGOV",
              ROUND(OFFSET($P201,0,AE$13),15-13*ORÇAMENTO!$AF$7)/$H201*OFFSET(ORÇAMENTO!$X$15,ROW(AE201)-ROW(AE$15),0),
              ROUND(ROUND(OFFSET($P201,0,AE$13),15-13*ORÇAMENTO!$AF$7)*OFFSET(ORÇAMENTO!$W$15,ROW(AE201)-ROW(AE$15),0),15-13*ORÇAMENTO!$AF$11)),
         0)</f>
        <v>0</v>
      </c>
      <c r="AF201" s="454">
        <f ca="1">IF(AND($D201="Serviço",AF$12&lt;&gt;0,$H201&gt;0,OR(AUTOEVENTO&lt;&gt;"manual",$M201&lt;&gt;$A$15)),
        IF(Import.TipoArredondamento&lt;&gt;"TransfereGOV",
              ROUND(OFFSET($P201,0,AF$13),15-13*ORÇAMENTO!$AF$7)/$H201*OFFSET(ORÇAMENTO!$X$15,ROW(AF201)-ROW(AF$15),0),
              ROUND(ROUND(OFFSET($P201,0,AF$13),15-13*ORÇAMENTO!$AF$7)*OFFSET(ORÇAMENTO!$W$15,ROW(AF201)-ROW(AF$15),0),15-13*ORÇAMENTO!$AF$11)),
         0)</f>
        <v>0</v>
      </c>
      <c r="AG201" s="454">
        <f ca="1">IF(AND($D201="Serviço",AG$12&lt;&gt;0,$H201&gt;0,OR(AUTOEVENTO&lt;&gt;"manual",$M201&lt;&gt;$A$15)),
        IF(Import.TipoArredondamento&lt;&gt;"TransfereGOV",
              ROUND(OFFSET($P201,0,AG$13),15-13*ORÇAMENTO!$AF$7)/$H201*OFFSET(ORÇAMENTO!$X$15,ROW(AG201)-ROW(AG$15),0),
              ROUND(ROUND(OFFSET($P201,0,AG$13),15-13*ORÇAMENTO!$AF$7)*OFFSET(ORÇAMENTO!$W$15,ROW(AG201)-ROW(AG$15),0),15-13*ORÇAMENTO!$AF$11)),
         0)</f>
        <v>0</v>
      </c>
      <c r="AH201" s="454">
        <f ca="1">IF(AND($D201="Serviço",AH$12&lt;&gt;0,$H201&gt;0,OR(AUTOEVENTO&lt;&gt;"manual",$M201&lt;&gt;$A$15)),
        IF(Import.TipoArredondamento&lt;&gt;"TransfereGOV",
              ROUND(OFFSET($P201,0,AH$13),15-13*ORÇAMENTO!$AF$7)/$H201*OFFSET(ORÇAMENTO!$X$15,ROW(AH201)-ROW(AH$15),0),
              ROUND(ROUND(OFFSET($P201,0,AH$13),15-13*ORÇAMENTO!$AF$7)*OFFSET(ORÇAMENTO!$W$15,ROW(AH201)-ROW(AH$15),0),15-13*ORÇAMENTO!$AF$11)),
         0)</f>
        <v>0</v>
      </c>
      <c r="AI201" s="454">
        <f ca="1">IF(AND($D201="Serviço",AI$12&lt;&gt;0,$H201&gt;0,OR(AUTOEVENTO&lt;&gt;"manual",$M201&lt;&gt;$A$15)),
        IF(Import.TipoArredondamento&lt;&gt;"TransfereGOV",
              ROUND(OFFSET($P201,0,AI$13),15-13*ORÇAMENTO!$AF$7)/$H201*OFFSET(ORÇAMENTO!$X$15,ROW(AI201)-ROW(AI$15),0),
              ROUND(ROUND(OFFSET($P201,0,AI$13),15-13*ORÇAMENTO!$AF$7)*OFFSET(ORÇAMENTO!$W$15,ROW(AI201)-ROW(AI$15),0),15-13*ORÇAMENTO!$AF$11)),
         0)</f>
        <v>0</v>
      </c>
      <c r="AJ201" s="454">
        <f ca="1">IF(AND($D201="Serviço",AJ$12&lt;&gt;0,$H201&gt;0,OR(AUTOEVENTO&lt;&gt;"manual",$M201&lt;&gt;$A$15)),
        IF(Import.TipoArredondamento&lt;&gt;"TransfereGOV",
              ROUND(OFFSET($P201,0,AJ$13),15-13*ORÇAMENTO!$AF$7)/$H201*OFFSET(ORÇAMENTO!$X$15,ROW(AJ201)-ROW(AJ$15),0),
              ROUND(ROUND(OFFSET($P201,0,AJ$13),15-13*ORÇAMENTO!$AF$7)*OFFSET(ORÇAMENTO!$W$15,ROW(AJ201)-ROW(AJ$15),0),15-13*ORÇAMENTO!$AF$11)),
         0)</f>
        <v>0</v>
      </c>
      <c r="AK201" s="454">
        <f ca="1">IF(AND($D201="Serviço",AK$12&lt;&gt;0,$H201&gt;0,OR(AUTOEVENTO&lt;&gt;"manual",$M201&lt;&gt;$A$15)),
        IF(Import.TipoArredondamento&lt;&gt;"TransfereGOV",
              ROUND(OFFSET($P201,0,AK$13),15-13*ORÇAMENTO!$AF$7)/$H201*OFFSET(ORÇAMENTO!$X$15,ROW(AK201)-ROW(AK$15),0),
              ROUND(ROUND(OFFSET($P201,0,AK$13),15-13*ORÇAMENTO!$AF$7)*OFFSET(ORÇAMENTO!$W$15,ROW(AK201)-ROW(AK$15),0),15-13*ORÇAMENTO!$AF$11)),
         0)</f>
        <v>0</v>
      </c>
      <c r="AM201" s="172">
        <f ca="1">IF(OR($D201&lt;&gt;"Serviço",AND(AUTOEVENTO="Manual",$M201=$A$15)),0,
         IF(OFFSET(CRONOPLE!$F$15,$M201-$A$15,AM$13)="",10^12,OFFSET(CRONOPLE!$F$15,$M201-$A$15,AM$13)))</f>
        <v>1000000000000</v>
      </c>
      <c r="AN201" s="172">
        <f ca="1">IF(OR($D201&lt;&gt;"Serviço",AND(AUTOEVENTO="Manual",$M201=$A$15)),0,
         IF(OFFSET(CRONOPLE!$F$15,$M201-$A$15,AN$13)="",10^12,OFFSET(CRONOPLE!$F$15,$M201-$A$15,AN$13)))</f>
        <v>1000000000000</v>
      </c>
      <c r="AO201" s="172">
        <f ca="1">IF(OR($D201&lt;&gt;"Serviço",AND(AUTOEVENTO="Manual",$M201=$A$15)),0,
         IF(OFFSET(CRONOPLE!$F$15,$M201-$A$15,AO$13)="",10^12,OFFSET(CRONOPLE!$F$15,$M201-$A$15,AO$13)))</f>
        <v>1000000000000</v>
      </c>
      <c r="AP201" s="172">
        <f ca="1">IF(OR($D201&lt;&gt;"Serviço",AND(AUTOEVENTO="Manual",$M201=$A$15)),0,
         IF(OFFSET(CRONOPLE!$F$15,$M201-$A$15,AP$13)="",10^12,OFFSET(CRONOPLE!$F$15,$M201-$A$15,AP$13)))</f>
        <v>1000000000000</v>
      </c>
      <c r="AQ201" s="172">
        <f ca="1">IF(OR($D201&lt;&gt;"Serviço",AND(AUTOEVENTO="Manual",$M201=$A$15)),0,
         IF(OFFSET(CRONOPLE!$F$15,$M201-$A$15,AQ$13)="",10^12,OFFSET(CRONOPLE!$F$15,$M201-$A$15,AQ$13)))</f>
        <v>1000000000000</v>
      </c>
      <c r="AR201" s="172">
        <f ca="1">IF(OR($D201&lt;&gt;"Serviço",AND(AUTOEVENTO="Manual",$M201=$A$15)),0,
         IF(OFFSET(CRONOPLE!$F$15,$M201-$A$15,AR$13)="",10^12,OFFSET(CRONOPLE!$F$15,$M201-$A$15,AR$13)))</f>
        <v>1000000000000</v>
      </c>
      <c r="AS201" s="172">
        <f ca="1">IF(OR($D201&lt;&gt;"Serviço",AND(AUTOEVENTO="Manual",$M201=$A$15)),0,
         IF(OFFSET(CRONOPLE!$F$15,$M201-$A$15,AS$13)="",10^12,OFFSET(CRONOPLE!$F$15,$M201-$A$15,AS$13)))</f>
        <v>1000000000000</v>
      </c>
      <c r="AT201" s="172">
        <f ca="1">IF(OR($D201&lt;&gt;"Serviço",AND(AUTOEVENTO="Manual",$M201=$A$15)),0,
         IF(OFFSET(CRONOPLE!$F$15,$M201-$A$15,AT$13)="",10^12,OFFSET(CRONOPLE!$F$15,$M201-$A$15,AT$13)))</f>
        <v>1000000000000</v>
      </c>
      <c r="AU201" s="172">
        <f ca="1">IF(OR($D201&lt;&gt;"Serviço",AND(AUTOEVENTO="Manual",$M201=$A$15)),0,
         IF(OFFSET(CRONOPLE!$F$15,$M201-$A$15,AU$13)="",10^12,OFFSET(CRONOPLE!$F$15,$M201-$A$15,AU$13)))</f>
        <v>1000000000000</v>
      </c>
      <c r="AV201" s="172">
        <f ca="1">IF(OR($D201&lt;&gt;"Serviço",AND(AUTOEVENTO="Manual",$M201=$A$15)),0,
         IF(OFFSET(CRONOPLE!$F$15,$M201-$A$15,AV$13)="",10^12,OFFSET(CRONOPLE!$F$15,$M201-$A$15,AV$13)))</f>
        <v>1000000000000</v>
      </c>
      <c r="AX201" s="173">
        <f ca="1">IF(OR($D201&lt;&gt;"Serviço",AND(AUTOEVENTO="Manual",$M201=$A$15),$M201&gt;(ROW(PLE.lastrow)-ROW(PLE.firstrow))),0,
           IF(OFFSET(PLE!$G$15,$M201-$A$15,AX$13)="",10^12,OFFSET(PLE!$G$15,$M201-$A$15,AX$13)))</f>
        <v>1000000000000</v>
      </c>
      <c r="AY201" s="173">
        <f ca="1">IF(OR($D201&lt;&gt;"Serviço",AND(AUTOEVENTO="Manual",$M201=$A$15),$M201&gt;(ROW(PLE.lastrow)-ROW(PLE.firstrow))),0,
           IF(OFFSET(PLE!$G$15,$M201-$A$15,AY$13)="",10^12,OFFSET(PLE!$G$15,$M201-$A$15,AY$13)))</f>
        <v>1000000000000</v>
      </c>
      <c r="AZ201" s="173">
        <f ca="1">IF(OR($D201&lt;&gt;"Serviço",AND(AUTOEVENTO="Manual",$M201=$A$15),$M201&gt;(ROW(PLE.lastrow)-ROW(PLE.firstrow))),0,
           IF(OFFSET(PLE!$G$15,$M201-$A$15,AZ$13)="",10^12,OFFSET(PLE!$G$15,$M201-$A$15,AZ$13)))</f>
        <v>1000000000000</v>
      </c>
      <c r="BA201" s="173">
        <f ca="1">IF(OR($D201&lt;&gt;"Serviço",AND(AUTOEVENTO="Manual",$M201=$A$15),$M201&gt;(ROW(PLE.lastrow)-ROW(PLE.firstrow))),0,
           IF(OFFSET(PLE!$G$15,$M201-$A$15,BA$13)="",10^12,OFFSET(PLE!$G$15,$M201-$A$15,BA$13)))</f>
        <v>1000000000000</v>
      </c>
      <c r="BB201" s="173">
        <f ca="1">IF(OR($D201&lt;&gt;"Serviço",AND(AUTOEVENTO="Manual",$M201=$A$15),$M201&gt;(ROW(PLE.lastrow)-ROW(PLE.firstrow))),0,
           IF(OFFSET(PLE!$G$15,$M201-$A$15,BB$13)="",10^12,OFFSET(PLE!$G$15,$M201-$A$15,BB$13)))</f>
        <v>1000000000000</v>
      </c>
      <c r="BC201" s="173">
        <f ca="1">IF(OR($D201&lt;&gt;"Serviço",AND(AUTOEVENTO="Manual",$M201=$A$15),$M201&gt;(ROW(PLE.lastrow)-ROW(PLE.firstrow))),0,
           IF(OFFSET(PLE!$G$15,$M201-$A$15,BC$13)="",10^12,OFFSET(PLE!$G$15,$M201-$A$15,BC$13)))</f>
        <v>1000000000000</v>
      </c>
      <c r="BD201" s="173">
        <f ca="1">IF(OR($D201&lt;&gt;"Serviço",AND(AUTOEVENTO="Manual",$M201=$A$15),$M201&gt;(ROW(PLE.lastrow)-ROW(PLE.firstrow))),0,
           IF(OFFSET(PLE!$G$15,$M201-$A$15,BD$13)="",10^12,OFFSET(PLE!$G$15,$M201-$A$15,BD$13)))</f>
        <v>1000000000000</v>
      </c>
      <c r="BE201" s="173">
        <f ca="1">IF(OR($D201&lt;&gt;"Serviço",AND(AUTOEVENTO="Manual",$M201=$A$15),$M201&gt;(ROW(PLE.lastrow)-ROW(PLE.firstrow))),0,
           IF(OFFSET(PLE!$G$15,$M201-$A$15,BE$13)="",10^12,OFFSET(PLE!$G$15,$M201-$A$15,BE$13)))</f>
        <v>1000000000000</v>
      </c>
      <c r="BF201" s="173">
        <f ca="1">IF(OR($D201&lt;&gt;"Serviço",AND(AUTOEVENTO="Manual",$M201=$A$15),$M201&gt;(ROW(PLE.lastrow)-ROW(PLE.firstrow))),0,
           IF(OFFSET(PLE!$G$15,$M201-$A$15,BF$13)="",10^12,OFFSET(PLE!$G$15,$M201-$A$15,BF$13)))</f>
        <v>1000000000000</v>
      </c>
      <c r="BG201" s="173">
        <f ca="1">IF(OR($D201&lt;&gt;"Serviço",AND(AUTOEVENTO="Manual",$M201=$A$15),$M201&gt;(ROW(PLE.lastrow)-ROW(PLE.firstrow))),0,
           IF(OFFSET(PLE!$G$15,$M201-$A$15,BG$13)="",10^12,OFFSET(PLE!$G$15,$M201-$A$15,BG$13)))</f>
        <v>1000000000000</v>
      </c>
    </row>
    <row r="202" spans="1:59" ht="38.25" x14ac:dyDescent="0.2">
      <c r="A202" s="7" t="str">
        <f t="shared" ca="1" si="10"/>
        <v>114</v>
      </c>
      <c r="B202" s="7" t="str">
        <f ca="1">OFFSET(ORÇAMENTO!C$15,ROW(B202)-ROW(B$15),0)</f>
        <v>S</v>
      </c>
      <c r="C202" s="7" t="str">
        <f ca="1">OFFSET(ORÇAMENTO!L$15,ROW(C202)-ROW(C$15),0)</f>
        <v/>
      </c>
      <c r="D202" s="117" t="str">
        <f ca="1">OFFSET(ORÇAMENTO!N$15,ROW(D202)-ROW(D$15),0)</f>
        <v>Serviço</v>
      </c>
      <c r="E202" s="118" t="str">
        <f ca="1">OFFSET(ORÇAMENTO!O$15,ROW(E202)-ROW(E$15),0)</f>
        <v>-</v>
      </c>
      <c r="F202" s="164" t="str">
        <f ca="1">OFFSET(ORÇAMENTO!R$15,ROW(F202)-ROW(F$15),0)</f>
        <v>JOELHO DE REDUÇÃO, 90 GRAUS, PVC, SOLDÁVEL, DN 32 MM X 25 MM, INSTALADO EM RAMAL DE DISTRIBUIÇÃO DE ÁGUA - FORNECIMENTO E INSTALAÇÃO. AF_06/2022</v>
      </c>
      <c r="G202" s="165" t="str">
        <f ca="1">IF($D202&lt;&gt;"Serviço","",OFFSET(ORÇAMENTO!S$15,ROW(G202)-ROW(G$15),0))</f>
        <v>UN</v>
      </c>
      <c r="H202" s="123">
        <f ca="1">IF($D202&lt;&gt;"Serviço",0,IF(ACOMPANHAMENTO="BM",ROUND(OFFSET(ORÇAMENTO!AJ$15,ROW(H202)-ROW(H$15),0),15-13*ORÇAMENTO!$AF$7),SUMPRODUCT(($Q$1:$AA$1=1)*ROUND($Q202:$AA202,15-13*ORÇAMENTO!$AF$7))))</f>
        <v>8</v>
      </c>
      <c r="I202" s="469"/>
      <c r="J202" s="577" t="str" cm="1">
        <f t="array" aca="1" ref="J202" ca="1">IF(B202&lt;&gt;"S","",IF(AND(ACOMPANHAMENTO="PLE",AUTOEVENTO="Manual",OR(H202&gt;0,ORÇAMENTO!AC202="QUANT."),OR(K202="",M202=0,N202="")),"►",IF(AND(ACOMPANHAMENTO="PLE",ORÇAMENTO!AC202="QUANT."),"►►",IF(AND(COUNTIF($P$11:$AA$11,"▼")=0,H202&gt;0,I202=""),"◄",""))))</f>
        <v>◄</v>
      </c>
      <c r="K202" s="626"/>
      <c r="L202" s="166" t="s">
        <v>765</v>
      </c>
      <c r="M202" s="167">
        <f ca="1">IF($D202&lt;&gt;"Serviço","",
          IF(AUTOEVENTO="manual",$A202,
                IF(ISERROR(MATCH($A202,$A$15:OFFSET($A202,-1,0),0)),MAX($M$15:OFFSET(M202,-1,0))+1,
                      INDEX($M$15:OFFSET(M202,-1,0),MATCH($A202,$A$15:OFFSET($A202,-1,0),0)))))</f>
        <v>11</v>
      </c>
      <c r="N202" s="168" t="str">
        <f ca="1">IF($D202&lt;&gt;"Serviço","",
         IF(AUTOEVENTO="Manual",
                IF($A202=0,"&lt;-- defina o número do agrupador",
                       OFFSET(EVENTOS!$D$15,$A202-$A$15,0)),
                OFFSET($F$15,$A202,0)))</f>
        <v>INSTALAÇÕES HIDROSSANITÁRIAS</v>
      </c>
      <c r="O202" s="169"/>
      <c r="Q202" s="169"/>
      <c r="R202" s="170"/>
      <c r="S202" s="170"/>
      <c r="T202" s="170"/>
      <c r="U202" s="170"/>
      <c r="V202" s="170"/>
      <c r="W202" s="170"/>
      <c r="X202" s="170"/>
      <c r="Y202" s="170"/>
      <c r="Z202" s="171"/>
      <c r="AB202" s="454">
        <f ca="1">IF(AND($D202="Serviço",AB$12&lt;&gt;0,$H202&gt;0,OR(AUTOEVENTO&lt;&gt;"manual",$M202&lt;&gt;$A$15)),
        IF(Import.TipoArredondamento&lt;&gt;"TransfereGOV",
              ROUND(OFFSET($P202,0,AB$13),15-13*ORÇAMENTO!$AF$7)/$H202*OFFSET(ORÇAMENTO!$X$15,ROW(AB202)-ROW(AB$15),0),
              ROUND(ROUND(OFFSET($P202,0,AB$13),15-13*ORÇAMENTO!$AF$7)*OFFSET(ORÇAMENTO!$W$15,ROW(AB202)-ROW(AB$15),0),15-13*ORÇAMENTO!$AF$11)),
         0)</f>
        <v>0</v>
      </c>
      <c r="AC202" s="454">
        <f ca="1">IF(AND($D202="Serviço",AC$12&lt;&gt;0,$H202&gt;0,OR(AUTOEVENTO&lt;&gt;"manual",$M202&lt;&gt;$A$15)),
        IF(Import.TipoArredondamento&lt;&gt;"TransfereGOV",
              ROUND(OFFSET($P202,0,AC$13),15-13*ORÇAMENTO!$AF$7)/$H202*OFFSET(ORÇAMENTO!$X$15,ROW(AC202)-ROW(AC$15),0),
              ROUND(ROUND(OFFSET($P202,0,AC$13),15-13*ORÇAMENTO!$AF$7)*OFFSET(ORÇAMENTO!$W$15,ROW(AC202)-ROW(AC$15),0),15-13*ORÇAMENTO!$AF$11)),
         0)</f>
        <v>0</v>
      </c>
      <c r="AD202" s="454">
        <f ca="1">IF(AND($D202="Serviço",AD$12&lt;&gt;0,$H202&gt;0,OR(AUTOEVENTO&lt;&gt;"manual",$M202&lt;&gt;$A$15)),
        IF(Import.TipoArredondamento&lt;&gt;"TransfereGOV",
              ROUND(OFFSET($P202,0,AD$13),15-13*ORÇAMENTO!$AF$7)/$H202*OFFSET(ORÇAMENTO!$X$15,ROW(AD202)-ROW(AD$15),0),
              ROUND(ROUND(OFFSET($P202,0,AD$13),15-13*ORÇAMENTO!$AF$7)*OFFSET(ORÇAMENTO!$W$15,ROW(AD202)-ROW(AD$15),0),15-13*ORÇAMENTO!$AF$11)),
         0)</f>
        <v>0</v>
      </c>
      <c r="AE202" s="454">
        <f ca="1">IF(AND($D202="Serviço",AE$12&lt;&gt;0,$H202&gt;0,OR(AUTOEVENTO&lt;&gt;"manual",$M202&lt;&gt;$A$15)),
        IF(Import.TipoArredondamento&lt;&gt;"TransfereGOV",
              ROUND(OFFSET($P202,0,AE$13),15-13*ORÇAMENTO!$AF$7)/$H202*OFFSET(ORÇAMENTO!$X$15,ROW(AE202)-ROW(AE$15),0),
              ROUND(ROUND(OFFSET($P202,0,AE$13),15-13*ORÇAMENTO!$AF$7)*OFFSET(ORÇAMENTO!$W$15,ROW(AE202)-ROW(AE$15),0),15-13*ORÇAMENTO!$AF$11)),
         0)</f>
        <v>0</v>
      </c>
      <c r="AF202" s="454">
        <f ca="1">IF(AND($D202="Serviço",AF$12&lt;&gt;0,$H202&gt;0,OR(AUTOEVENTO&lt;&gt;"manual",$M202&lt;&gt;$A$15)),
        IF(Import.TipoArredondamento&lt;&gt;"TransfereGOV",
              ROUND(OFFSET($P202,0,AF$13),15-13*ORÇAMENTO!$AF$7)/$H202*OFFSET(ORÇAMENTO!$X$15,ROW(AF202)-ROW(AF$15),0),
              ROUND(ROUND(OFFSET($P202,0,AF$13),15-13*ORÇAMENTO!$AF$7)*OFFSET(ORÇAMENTO!$W$15,ROW(AF202)-ROW(AF$15),0),15-13*ORÇAMENTO!$AF$11)),
         0)</f>
        <v>0</v>
      </c>
      <c r="AG202" s="454">
        <f ca="1">IF(AND($D202="Serviço",AG$12&lt;&gt;0,$H202&gt;0,OR(AUTOEVENTO&lt;&gt;"manual",$M202&lt;&gt;$A$15)),
        IF(Import.TipoArredondamento&lt;&gt;"TransfereGOV",
              ROUND(OFFSET($P202,0,AG$13),15-13*ORÇAMENTO!$AF$7)/$H202*OFFSET(ORÇAMENTO!$X$15,ROW(AG202)-ROW(AG$15),0),
              ROUND(ROUND(OFFSET($P202,0,AG$13),15-13*ORÇAMENTO!$AF$7)*OFFSET(ORÇAMENTO!$W$15,ROW(AG202)-ROW(AG$15),0),15-13*ORÇAMENTO!$AF$11)),
         0)</f>
        <v>0</v>
      </c>
      <c r="AH202" s="454">
        <f ca="1">IF(AND($D202="Serviço",AH$12&lt;&gt;0,$H202&gt;0,OR(AUTOEVENTO&lt;&gt;"manual",$M202&lt;&gt;$A$15)),
        IF(Import.TipoArredondamento&lt;&gt;"TransfereGOV",
              ROUND(OFFSET($P202,0,AH$13),15-13*ORÇAMENTO!$AF$7)/$H202*OFFSET(ORÇAMENTO!$X$15,ROW(AH202)-ROW(AH$15),0),
              ROUND(ROUND(OFFSET($P202,0,AH$13),15-13*ORÇAMENTO!$AF$7)*OFFSET(ORÇAMENTO!$W$15,ROW(AH202)-ROW(AH$15),0),15-13*ORÇAMENTO!$AF$11)),
         0)</f>
        <v>0</v>
      </c>
      <c r="AI202" s="454">
        <f ca="1">IF(AND($D202="Serviço",AI$12&lt;&gt;0,$H202&gt;0,OR(AUTOEVENTO&lt;&gt;"manual",$M202&lt;&gt;$A$15)),
        IF(Import.TipoArredondamento&lt;&gt;"TransfereGOV",
              ROUND(OFFSET($P202,0,AI$13),15-13*ORÇAMENTO!$AF$7)/$H202*OFFSET(ORÇAMENTO!$X$15,ROW(AI202)-ROW(AI$15),0),
              ROUND(ROUND(OFFSET($P202,0,AI$13),15-13*ORÇAMENTO!$AF$7)*OFFSET(ORÇAMENTO!$W$15,ROW(AI202)-ROW(AI$15),0),15-13*ORÇAMENTO!$AF$11)),
         0)</f>
        <v>0</v>
      </c>
      <c r="AJ202" s="454">
        <f ca="1">IF(AND($D202="Serviço",AJ$12&lt;&gt;0,$H202&gt;0,OR(AUTOEVENTO&lt;&gt;"manual",$M202&lt;&gt;$A$15)),
        IF(Import.TipoArredondamento&lt;&gt;"TransfereGOV",
              ROUND(OFFSET($P202,0,AJ$13),15-13*ORÇAMENTO!$AF$7)/$H202*OFFSET(ORÇAMENTO!$X$15,ROW(AJ202)-ROW(AJ$15),0),
              ROUND(ROUND(OFFSET($P202,0,AJ$13),15-13*ORÇAMENTO!$AF$7)*OFFSET(ORÇAMENTO!$W$15,ROW(AJ202)-ROW(AJ$15),0),15-13*ORÇAMENTO!$AF$11)),
         0)</f>
        <v>0</v>
      </c>
      <c r="AK202" s="454">
        <f ca="1">IF(AND($D202="Serviço",AK$12&lt;&gt;0,$H202&gt;0,OR(AUTOEVENTO&lt;&gt;"manual",$M202&lt;&gt;$A$15)),
        IF(Import.TipoArredondamento&lt;&gt;"TransfereGOV",
              ROUND(OFFSET($P202,0,AK$13),15-13*ORÇAMENTO!$AF$7)/$H202*OFFSET(ORÇAMENTO!$X$15,ROW(AK202)-ROW(AK$15),0),
              ROUND(ROUND(OFFSET($P202,0,AK$13),15-13*ORÇAMENTO!$AF$7)*OFFSET(ORÇAMENTO!$W$15,ROW(AK202)-ROW(AK$15),0),15-13*ORÇAMENTO!$AF$11)),
         0)</f>
        <v>0</v>
      </c>
      <c r="AM202" s="172">
        <f ca="1">IF(OR($D202&lt;&gt;"Serviço",AND(AUTOEVENTO="Manual",$M202=$A$15)),0,
         IF(OFFSET(CRONOPLE!$F$15,$M202-$A$15,AM$13)="",10^12,OFFSET(CRONOPLE!$F$15,$M202-$A$15,AM$13)))</f>
        <v>1000000000000</v>
      </c>
      <c r="AN202" s="172">
        <f ca="1">IF(OR($D202&lt;&gt;"Serviço",AND(AUTOEVENTO="Manual",$M202=$A$15)),0,
         IF(OFFSET(CRONOPLE!$F$15,$M202-$A$15,AN$13)="",10^12,OFFSET(CRONOPLE!$F$15,$M202-$A$15,AN$13)))</f>
        <v>1000000000000</v>
      </c>
      <c r="AO202" s="172">
        <f ca="1">IF(OR($D202&lt;&gt;"Serviço",AND(AUTOEVENTO="Manual",$M202=$A$15)),0,
         IF(OFFSET(CRONOPLE!$F$15,$M202-$A$15,AO$13)="",10^12,OFFSET(CRONOPLE!$F$15,$M202-$A$15,AO$13)))</f>
        <v>1000000000000</v>
      </c>
      <c r="AP202" s="172">
        <f ca="1">IF(OR($D202&lt;&gt;"Serviço",AND(AUTOEVENTO="Manual",$M202=$A$15)),0,
         IF(OFFSET(CRONOPLE!$F$15,$M202-$A$15,AP$13)="",10^12,OFFSET(CRONOPLE!$F$15,$M202-$A$15,AP$13)))</f>
        <v>1000000000000</v>
      </c>
      <c r="AQ202" s="172">
        <f ca="1">IF(OR($D202&lt;&gt;"Serviço",AND(AUTOEVENTO="Manual",$M202=$A$15)),0,
         IF(OFFSET(CRONOPLE!$F$15,$M202-$A$15,AQ$13)="",10^12,OFFSET(CRONOPLE!$F$15,$M202-$A$15,AQ$13)))</f>
        <v>1000000000000</v>
      </c>
      <c r="AR202" s="172">
        <f ca="1">IF(OR($D202&lt;&gt;"Serviço",AND(AUTOEVENTO="Manual",$M202=$A$15)),0,
         IF(OFFSET(CRONOPLE!$F$15,$M202-$A$15,AR$13)="",10^12,OFFSET(CRONOPLE!$F$15,$M202-$A$15,AR$13)))</f>
        <v>1000000000000</v>
      </c>
      <c r="AS202" s="172">
        <f ca="1">IF(OR($D202&lt;&gt;"Serviço",AND(AUTOEVENTO="Manual",$M202=$A$15)),0,
         IF(OFFSET(CRONOPLE!$F$15,$M202-$A$15,AS$13)="",10^12,OFFSET(CRONOPLE!$F$15,$M202-$A$15,AS$13)))</f>
        <v>1000000000000</v>
      </c>
      <c r="AT202" s="172">
        <f ca="1">IF(OR($D202&lt;&gt;"Serviço",AND(AUTOEVENTO="Manual",$M202=$A$15)),0,
         IF(OFFSET(CRONOPLE!$F$15,$M202-$A$15,AT$13)="",10^12,OFFSET(CRONOPLE!$F$15,$M202-$A$15,AT$13)))</f>
        <v>1000000000000</v>
      </c>
      <c r="AU202" s="172">
        <f ca="1">IF(OR($D202&lt;&gt;"Serviço",AND(AUTOEVENTO="Manual",$M202=$A$15)),0,
         IF(OFFSET(CRONOPLE!$F$15,$M202-$A$15,AU$13)="",10^12,OFFSET(CRONOPLE!$F$15,$M202-$A$15,AU$13)))</f>
        <v>1000000000000</v>
      </c>
      <c r="AV202" s="172">
        <f ca="1">IF(OR($D202&lt;&gt;"Serviço",AND(AUTOEVENTO="Manual",$M202=$A$15)),0,
         IF(OFFSET(CRONOPLE!$F$15,$M202-$A$15,AV$13)="",10^12,OFFSET(CRONOPLE!$F$15,$M202-$A$15,AV$13)))</f>
        <v>1000000000000</v>
      </c>
      <c r="AX202" s="173">
        <f ca="1">IF(OR($D202&lt;&gt;"Serviço",AND(AUTOEVENTO="Manual",$M202=$A$15),$M202&gt;(ROW(PLE.lastrow)-ROW(PLE.firstrow))),0,
           IF(OFFSET(PLE!$G$15,$M202-$A$15,AX$13)="",10^12,OFFSET(PLE!$G$15,$M202-$A$15,AX$13)))</f>
        <v>1000000000000</v>
      </c>
      <c r="AY202" s="173">
        <f ca="1">IF(OR($D202&lt;&gt;"Serviço",AND(AUTOEVENTO="Manual",$M202=$A$15),$M202&gt;(ROW(PLE.lastrow)-ROW(PLE.firstrow))),0,
           IF(OFFSET(PLE!$G$15,$M202-$A$15,AY$13)="",10^12,OFFSET(PLE!$G$15,$M202-$A$15,AY$13)))</f>
        <v>1000000000000</v>
      </c>
      <c r="AZ202" s="173">
        <f ca="1">IF(OR($D202&lt;&gt;"Serviço",AND(AUTOEVENTO="Manual",$M202=$A$15),$M202&gt;(ROW(PLE.lastrow)-ROW(PLE.firstrow))),0,
           IF(OFFSET(PLE!$G$15,$M202-$A$15,AZ$13)="",10^12,OFFSET(PLE!$G$15,$M202-$A$15,AZ$13)))</f>
        <v>1000000000000</v>
      </c>
      <c r="BA202" s="173">
        <f ca="1">IF(OR($D202&lt;&gt;"Serviço",AND(AUTOEVENTO="Manual",$M202=$A$15),$M202&gt;(ROW(PLE.lastrow)-ROW(PLE.firstrow))),0,
           IF(OFFSET(PLE!$G$15,$M202-$A$15,BA$13)="",10^12,OFFSET(PLE!$G$15,$M202-$A$15,BA$13)))</f>
        <v>1000000000000</v>
      </c>
      <c r="BB202" s="173">
        <f ca="1">IF(OR($D202&lt;&gt;"Serviço",AND(AUTOEVENTO="Manual",$M202=$A$15),$M202&gt;(ROW(PLE.lastrow)-ROW(PLE.firstrow))),0,
           IF(OFFSET(PLE!$G$15,$M202-$A$15,BB$13)="",10^12,OFFSET(PLE!$G$15,$M202-$A$15,BB$13)))</f>
        <v>1000000000000</v>
      </c>
      <c r="BC202" s="173">
        <f ca="1">IF(OR($D202&lt;&gt;"Serviço",AND(AUTOEVENTO="Manual",$M202=$A$15),$M202&gt;(ROW(PLE.lastrow)-ROW(PLE.firstrow))),0,
           IF(OFFSET(PLE!$G$15,$M202-$A$15,BC$13)="",10^12,OFFSET(PLE!$G$15,$M202-$A$15,BC$13)))</f>
        <v>1000000000000</v>
      </c>
      <c r="BD202" s="173">
        <f ca="1">IF(OR($D202&lt;&gt;"Serviço",AND(AUTOEVENTO="Manual",$M202=$A$15),$M202&gt;(ROW(PLE.lastrow)-ROW(PLE.firstrow))),0,
           IF(OFFSET(PLE!$G$15,$M202-$A$15,BD$13)="",10^12,OFFSET(PLE!$G$15,$M202-$A$15,BD$13)))</f>
        <v>1000000000000</v>
      </c>
      <c r="BE202" s="173">
        <f ca="1">IF(OR($D202&lt;&gt;"Serviço",AND(AUTOEVENTO="Manual",$M202=$A$15),$M202&gt;(ROW(PLE.lastrow)-ROW(PLE.firstrow))),0,
           IF(OFFSET(PLE!$G$15,$M202-$A$15,BE$13)="",10^12,OFFSET(PLE!$G$15,$M202-$A$15,BE$13)))</f>
        <v>1000000000000</v>
      </c>
      <c r="BF202" s="173">
        <f ca="1">IF(OR($D202&lt;&gt;"Serviço",AND(AUTOEVENTO="Manual",$M202=$A$15),$M202&gt;(ROW(PLE.lastrow)-ROW(PLE.firstrow))),0,
           IF(OFFSET(PLE!$G$15,$M202-$A$15,BF$13)="",10^12,OFFSET(PLE!$G$15,$M202-$A$15,BF$13)))</f>
        <v>1000000000000</v>
      </c>
      <c r="BG202" s="173">
        <f ca="1">IF(OR($D202&lt;&gt;"Serviço",AND(AUTOEVENTO="Manual",$M202=$A$15),$M202&gt;(ROW(PLE.lastrow)-ROW(PLE.firstrow))),0,
           IF(OFFSET(PLE!$G$15,$M202-$A$15,BG$13)="",10^12,OFFSET(PLE!$G$15,$M202-$A$15,BG$13)))</f>
        <v>1000000000000</v>
      </c>
    </row>
    <row r="203" spans="1:59" ht="25.5" x14ac:dyDescent="0.2">
      <c r="A203" s="7" t="str">
        <f t="shared" ca="1" si="10"/>
        <v>114</v>
      </c>
      <c r="B203" s="7" t="str">
        <f ca="1">OFFSET(ORÇAMENTO!C$15,ROW(B203)-ROW(B$15),0)</f>
        <v>S</v>
      </c>
      <c r="C203" s="7" t="str">
        <f ca="1">OFFSET(ORÇAMENTO!L$15,ROW(C203)-ROW(C$15),0)</f>
        <v/>
      </c>
      <c r="D203" s="117" t="str">
        <f ca="1">OFFSET(ORÇAMENTO!N$15,ROW(D203)-ROW(D$15),0)</f>
        <v>Serviço</v>
      </c>
      <c r="E203" s="118" t="str">
        <f ca="1">OFFSET(ORÇAMENTO!O$15,ROW(E203)-ROW(E$15),0)</f>
        <v>-</v>
      </c>
      <c r="F203" s="164" t="str">
        <f ca="1">OFFSET(ORÇAMENTO!R$15,ROW(F203)-ROW(F$15),0)</f>
        <v>TUBO, PVC, SOLDÁVEL, DE 25MM, INSTALADO EM RAMAL OU SUB-RAMAL DE ÁGUA - FORNECIMENTO E INSTALAÇÃO. AF_06/2022</v>
      </c>
      <c r="G203" s="165" t="str">
        <f ca="1">IF($D203&lt;&gt;"Serviço","",OFFSET(ORÇAMENTO!S$15,ROW(G203)-ROW(G$15),0))</f>
        <v>M</v>
      </c>
      <c r="H203" s="123">
        <f ca="1">IF($D203&lt;&gt;"Serviço",0,IF(ACOMPANHAMENTO="BM",ROUND(OFFSET(ORÇAMENTO!AJ$15,ROW(H203)-ROW(H$15),0),15-13*ORÇAMENTO!$AF$7),SUMPRODUCT(($Q$1:$AA$1=1)*ROUND($Q203:$AA203,15-13*ORÇAMENTO!$AF$7))))</f>
        <v>292</v>
      </c>
      <c r="I203" s="469"/>
      <c r="J203" s="577" t="str" cm="1">
        <f t="array" aca="1" ref="J203" ca="1">IF(B203&lt;&gt;"S","",IF(AND(ACOMPANHAMENTO="PLE",AUTOEVENTO="Manual",OR(H203&gt;0,ORÇAMENTO!AC203="QUANT."),OR(K203="",M203=0,N203="")),"►",IF(AND(ACOMPANHAMENTO="PLE",ORÇAMENTO!AC203="QUANT."),"►►",IF(AND(COUNTIF($P$11:$AA$11,"▼")=0,H203&gt;0,I203=""),"◄",""))))</f>
        <v>◄</v>
      </c>
      <c r="K203" s="626"/>
      <c r="L203" s="166" t="s">
        <v>765</v>
      </c>
      <c r="M203" s="167">
        <f ca="1">IF($D203&lt;&gt;"Serviço","",
          IF(AUTOEVENTO="manual",$A203,
                IF(ISERROR(MATCH($A203,$A$15:OFFSET($A203,-1,0),0)),MAX($M$15:OFFSET(M203,-1,0))+1,
                      INDEX($M$15:OFFSET(M203,-1,0),MATCH($A203,$A$15:OFFSET($A203,-1,0),0)))))</f>
        <v>11</v>
      </c>
      <c r="N203" s="168" t="str">
        <f ca="1">IF($D203&lt;&gt;"Serviço","",
         IF(AUTOEVENTO="Manual",
                IF($A203=0,"&lt;-- defina o número do agrupador",
                       OFFSET(EVENTOS!$D$15,$A203-$A$15,0)),
                OFFSET($F$15,$A203,0)))</f>
        <v>INSTALAÇÕES HIDROSSANITÁRIAS</v>
      </c>
      <c r="O203" s="169"/>
      <c r="Q203" s="169"/>
      <c r="R203" s="170"/>
      <c r="S203" s="170"/>
      <c r="T203" s="170"/>
      <c r="U203" s="170"/>
      <c r="V203" s="170"/>
      <c r="W203" s="170"/>
      <c r="X203" s="170"/>
      <c r="Y203" s="170"/>
      <c r="Z203" s="171"/>
      <c r="AB203" s="454">
        <f ca="1">IF(AND($D203="Serviço",AB$12&lt;&gt;0,$H203&gt;0,OR(AUTOEVENTO&lt;&gt;"manual",$M203&lt;&gt;$A$15)),
        IF(Import.TipoArredondamento&lt;&gt;"TransfereGOV",
              ROUND(OFFSET($P203,0,AB$13),15-13*ORÇAMENTO!$AF$7)/$H203*OFFSET(ORÇAMENTO!$X$15,ROW(AB203)-ROW(AB$15),0),
              ROUND(ROUND(OFFSET($P203,0,AB$13),15-13*ORÇAMENTO!$AF$7)*OFFSET(ORÇAMENTO!$W$15,ROW(AB203)-ROW(AB$15),0),15-13*ORÇAMENTO!$AF$11)),
         0)</f>
        <v>0</v>
      </c>
      <c r="AC203" s="454">
        <f ca="1">IF(AND($D203="Serviço",AC$12&lt;&gt;0,$H203&gt;0,OR(AUTOEVENTO&lt;&gt;"manual",$M203&lt;&gt;$A$15)),
        IF(Import.TipoArredondamento&lt;&gt;"TransfereGOV",
              ROUND(OFFSET($P203,0,AC$13),15-13*ORÇAMENTO!$AF$7)/$H203*OFFSET(ORÇAMENTO!$X$15,ROW(AC203)-ROW(AC$15),0),
              ROUND(ROUND(OFFSET($P203,0,AC$13),15-13*ORÇAMENTO!$AF$7)*OFFSET(ORÇAMENTO!$W$15,ROW(AC203)-ROW(AC$15),0),15-13*ORÇAMENTO!$AF$11)),
         0)</f>
        <v>0</v>
      </c>
      <c r="AD203" s="454">
        <f ca="1">IF(AND($D203="Serviço",AD$12&lt;&gt;0,$H203&gt;0,OR(AUTOEVENTO&lt;&gt;"manual",$M203&lt;&gt;$A$15)),
        IF(Import.TipoArredondamento&lt;&gt;"TransfereGOV",
              ROUND(OFFSET($P203,0,AD$13),15-13*ORÇAMENTO!$AF$7)/$H203*OFFSET(ORÇAMENTO!$X$15,ROW(AD203)-ROW(AD$15),0),
              ROUND(ROUND(OFFSET($P203,0,AD$13),15-13*ORÇAMENTO!$AF$7)*OFFSET(ORÇAMENTO!$W$15,ROW(AD203)-ROW(AD$15),0),15-13*ORÇAMENTO!$AF$11)),
         0)</f>
        <v>0</v>
      </c>
      <c r="AE203" s="454">
        <f ca="1">IF(AND($D203="Serviço",AE$12&lt;&gt;0,$H203&gt;0,OR(AUTOEVENTO&lt;&gt;"manual",$M203&lt;&gt;$A$15)),
        IF(Import.TipoArredondamento&lt;&gt;"TransfereGOV",
              ROUND(OFFSET($P203,0,AE$13),15-13*ORÇAMENTO!$AF$7)/$H203*OFFSET(ORÇAMENTO!$X$15,ROW(AE203)-ROW(AE$15),0),
              ROUND(ROUND(OFFSET($P203,0,AE$13),15-13*ORÇAMENTO!$AF$7)*OFFSET(ORÇAMENTO!$W$15,ROW(AE203)-ROW(AE$15),0),15-13*ORÇAMENTO!$AF$11)),
         0)</f>
        <v>0</v>
      </c>
      <c r="AF203" s="454">
        <f ca="1">IF(AND($D203="Serviço",AF$12&lt;&gt;0,$H203&gt;0,OR(AUTOEVENTO&lt;&gt;"manual",$M203&lt;&gt;$A$15)),
        IF(Import.TipoArredondamento&lt;&gt;"TransfereGOV",
              ROUND(OFFSET($P203,0,AF$13),15-13*ORÇAMENTO!$AF$7)/$H203*OFFSET(ORÇAMENTO!$X$15,ROW(AF203)-ROW(AF$15),0),
              ROUND(ROUND(OFFSET($P203,0,AF$13),15-13*ORÇAMENTO!$AF$7)*OFFSET(ORÇAMENTO!$W$15,ROW(AF203)-ROW(AF$15),0),15-13*ORÇAMENTO!$AF$11)),
         0)</f>
        <v>0</v>
      </c>
      <c r="AG203" s="454">
        <f ca="1">IF(AND($D203="Serviço",AG$12&lt;&gt;0,$H203&gt;0,OR(AUTOEVENTO&lt;&gt;"manual",$M203&lt;&gt;$A$15)),
        IF(Import.TipoArredondamento&lt;&gt;"TransfereGOV",
              ROUND(OFFSET($P203,0,AG$13),15-13*ORÇAMENTO!$AF$7)/$H203*OFFSET(ORÇAMENTO!$X$15,ROW(AG203)-ROW(AG$15),0),
              ROUND(ROUND(OFFSET($P203,0,AG$13),15-13*ORÇAMENTO!$AF$7)*OFFSET(ORÇAMENTO!$W$15,ROW(AG203)-ROW(AG$15),0),15-13*ORÇAMENTO!$AF$11)),
         0)</f>
        <v>0</v>
      </c>
      <c r="AH203" s="454">
        <f ca="1">IF(AND($D203="Serviço",AH$12&lt;&gt;0,$H203&gt;0,OR(AUTOEVENTO&lt;&gt;"manual",$M203&lt;&gt;$A$15)),
        IF(Import.TipoArredondamento&lt;&gt;"TransfereGOV",
              ROUND(OFFSET($P203,0,AH$13),15-13*ORÇAMENTO!$AF$7)/$H203*OFFSET(ORÇAMENTO!$X$15,ROW(AH203)-ROW(AH$15),0),
              ROUND(ROUND(OFFSET($P203,0,AH$13),15-13*ORÇAMENTO!$AF$7)*OFFSET(ORÇAMENTO!$W$15,ROW(AH203)-ROW(AH$15),0),15-13*ORÇAMENTO!$AF$11)),
         0)</f>
        <v>0</v>
      </c>
      <c r="AI203" s="454">
        <f ca="1">IF(AND($D203="Serviço",AI$12&lt;&gt;0,$H203&gt;0,OR(AUTOEVENTO&lt;&gt;"manual",$M203&lt;&gt;$A$15)),
        IF(Import.TipoArredondamento&lt;&gt;"TransfereGOV",
              ROUND(OFFSET($P203,0,AI$13),15-13*ORÇAMENTO!$AF$7)/$H203*OFFSET(ORÇAMENTO!$X$15,ROW(AI203)-ROW(AI$15),0),
              ROUND(ROUND(OFFSET($P203,0,AI$13),15-13*ORÇAMENTO!$AF$7)*OFFSET(ORÇAMENTO!$W$15,ROW(AI203)-ROW(AI$15),0),15-13*ORÇAMENTO!$AF$11)),
         0)</f>
        <v>0</v>
      </c>
      <c r="AJ203" s="454">
        <f ca="1">IF(AND($D203="Serviço",AJ$12&lt;&gt;0,$H203&gt;0,OR(AUTOEVENTO&lt;&gt;"manual",$M203&lt;&gt;$A$15)),
        IF(Import.TipoArredondamento&lt;&gt;"TransfereGOV",
              ROUND(OFFSET($P203,0,AJ$13),15-13*ORÇAMENTO!$AF$7)/$H203*OFFSET(ORÇAMENTO!$X$15,ROW(AJ203)-ROW(AJ$15),0),
              ROUND(ROUND(OFFSET($P203,0,AJ$13),15-13*ORÇAMENTO!$AF$7)*OFFSET(ORÇAMENTO!$W$15,ROW(AJ203)-ROW(AJ$15),0),15-13*ORÇAMENTO!$AF$11)),
         0)</f>
        <v>0</v>
      </c>
      <c r="AK203" s="454">
        <f ca="1">IF(AND($D203="Serviço",AK$12&lt;&gt;0,$H203&gt;0,OR(AUTOEVENTO&lt;&gt;"manual",$M203&lt;&gt;$A$15)),
        IF(Import.TipoArredondamento&lt;&gt;"TransfereGOV",
              ROUND(OFFSET($P203,0,AK$13),15-13*ORÇAMENTO!$AF$7)/$H203*OFFSET(ORÇAMENTO!$X$15,ROW(AK203)-ROW(AK$15),0),
              ROUND(ROUND(OFFSET($P203,0,AK$13),15-13*ORÇAMENTO!$AF$7)*OFFSET(ORÇAMENTO!$W$15,ROW(AK203)-ROW(AK$15),0),15-13*ORÇAMENTO!$AF$11)),
         0)</f>
        <v>0</v>
      </c>
      <c r="AM203" s="172">
        <f ca="1">IF(OR($D203&lt;&gt;"Serviço",AND(AUTOEVENTO="Manual",$M203=$A$15)),0,
         IF(OFFSET(CRONOPLE!$F$15,$M203-$A$15,AM$13)="",10^12,OFFSET(CRONOPLE!$F$15,$M203-$A$15,AM$13)))</f>
        <v>1000000000000</v>
      </c>
      <c r="AN203" s="172">
        <f ca="1">IF(OR($D203&lt;&gt;"Serviço",AND(AUTOEVENTO="Manual",$M203=$A$15)),0,
         IF(OFFSET(CRONOPLE!$F$15,$M203-$A$15,AN$13)="",10^12,OFFSET(CRONOPLE!$F$15,$M203-$A$15,AN$13)))</f>
        <v>1000000000000</v>
      </c>
      <c r="AO203" s="172">
        <f ca="1">IF(OR($D203&lt;&gt;"Serviço",AND(AUTOEVENTO="Manual",$M203=$A$15)),0,
         IF(OFFSET(CRONOPLE!$F$15,$M203-$A$15,AO$13)="",10^12,OFFSET(CRONOPLE!$F$15,$M203-$A$15,AO$13)))</f>
        <v>1000000000000</v>
      </c>
      <c r="AP203" s="172">
        <f ca="1">IF(OR($D203&lt;&gt;"Serviço",AND(AUTOEVENTO="Manual",$M203=$A$15)),0,
         IF(OFFSET(CRONOPLE!$F$15,$M203-$A$15,AP$13)="",10^12,OFFSET(CRONOPLE!$F$15,$M203-$A$15,AP$13)))</f>
        <v>1000000000000</v>
      </c>
      <c r="AQ203" s="172">
        <f ca="1">IF(OR($D203&lt;&gt;"Serviço",AND(AUTOEVENTO="Manual",$M203=$A$15)),0,
         IF(OFFSET(CRONOPLE!$F$15,$M203-$A$15,AQ$13)="",10^12,OFFSET(CRONOPLE!$F$15,$M203-$A$15,AQ$13)))</f>
        <v>1000000000000</v>
      </c>
      <c r="AR203" s="172">
        <f ca="1">IF(OR($D203&lt;&gt;"Serviço",AND(AUTOEVENTO="Manual",$M203=$A$15)),0,
         IF(OFFSET(CRONOPLE!$F$15,$M203-$A$15,AR$13)="",10^12,OFFSET(CRONOPLE!$F$15,$M203-$A$15,AR$13)))</f>
        <v>1000000000000</v>
      </c>
      <c r="AS203" s="172">
        <f ca="1">IF(OR($D203&lt;&gt;"Serviço",AND(AUTOEVENTO="Manual",$M203=$A$15)),0,
         IF(OFFSET(CRONOPLE!$F$15,$M203-$A$15,AS$13)="",10^12,OFFSET(CRONOPLE!$F$15,$M203-$A$15,AS$13)))</f>
        <v>1000000000000</v>
      </c>
      <c r="AT203" s="172">
        <f ca="1">IF(OR($D203&lt;&gt;"Serviço",AND(AUTOEVENTO="Manual",$M203=$A$15)),0,
         IF(OFFSET(CRONOPLE!$F$15,$M203-$A$15,AT$13)="",10^12,OFFSET(CRONOPLE!$F$15,$M203-$A$15,AT$13)))</f>
        <v>1000000000000</v>
      </c>
      <c r="AU203" s="172">
        <f ca="1">IF(OR($D203&lt;&gt;"Serviço",AND(AUTOEVENTO="Manual",$M203=$A$15)),0,
         IF(OFFSET(CRONOPLE!$F$15,$M203-$A$15,AU$13)="",10^12,OFFSET(CRONOPLE!$F$15,$M203-$A$15,AU$13)))</f>
        <v>1000000000000</v>
      </c>
      <c r="AV203" s="172">
        <f ca="1">IF(OR($D203&lt;&gt;"Serviço",AND(AUTOEVENTO="Manual",$M203=$A$15)),0,
         IF(OFFSET(CRONOPLE!$F$15,$M203-$A$15,AV$13)="",10^12,OFFSET(CRONOPLE!$F$15,$M203-$A$15,AV$13)))</f>
        <v>1000000000000</v>
      </c>
      <c r="AX203" s="173">
        <f ca="1">IF(OR($D203&lt;&gt;"Serviço",AND(AUTOEVENTO="Manual",$M203=$A$15),$M203&gt;(ROW(PLE.lastrow)-ROW(PLE.firstrow))),0,
           IF(OFFSET(PLE!$G$15,$M203-$A$15,AX$13)="",10^12,OFFSET(PLE!$G$15,$M203-$A$15,AX$13)))</f>
        <v>1000000000000</v>
      </c>
      <c r="AY203" s="173">
        <f ca="1">IF(OR($D203&lt;&gt;"Serviço",AND(AUTOEVENTO="Manual",$M203=$A$15),$M203&gt;(ROW(PLE.lastrow)-ROW(PLE.firstrow))),0,
           IF(OFFSET(PLE!$G$15,$M203-$A$15,AY$13)="",10^12,OFFSET(PLE!$G$15,$M203-$A$15,AY$13)))</f>
        <v>1000000000000</v>
      </c>
      <c r="AZ203" s="173">
        <f ca="1">IF(OR($D203&lt;&gt;"Serviço",AND(AUTOEVENTO="Manual",$M203=$A$15),$M203&gt;(ROW(PLE.lastrow)-ROW(PLE.firstrow))),0,
           IF(OFFSET(PLE!$G$15,$M203-$A$15,AZ$13)="",10^12,OFFSET(PLE!$G$15,$M203-$A$15,AZ$13)))</f>
        <v>1000000000000</v>
      </c>
      <c r="BA203" s="173">
        <f ca="1">IF(OR($D203&lt;&gt;"Serviço",AND(AUTOEVENTO="Manual",$M203=$A$15),$M203&gt;(ROW(PLE.lastrow)-ROW(PLE.firstrow))),0,
           IF(OFFSET(PLE!$G$15,$M203-$A$15,BA$13)="",10^12,OFFSET(PLE!$G$15,$M203-$A$15,BA$13)))</f>
        <v>1000000000000</v>
      </c>
      <c r="BB203" s="173">
        <f ca="1">IF(OR($D203&lt;&gt;"Serviço",AND(AUTOEVENTO="Manual",$M203=$A$15),$M203&gt;(ROW(PLE.lastrow)-ROW(PLE.firstrow))),0,
           IF(OFFSET(PLE!$G$15,$M203-$A$15,BB$13)="",10^12,OFFSET(PLE!$G$15,$M203-$A$15,BB$13)))</f>
        <v>1000000000000</v>
      </c>
      <c r="BC203" s="173">
        <f ca="1">IF(OR($D203&lt;&gt;"Serviço",AND(AUTOEVENTO="Manual",$M203=$A$15),$M203&gt;(ROW(PLE.lastrow)-ROW(PLE.firstrow))),0,
           IF(OFFSET(PLE!$G$15,$M203-$A$15,BC$13)="",10^12,OFFSET(PLE!$G$15,$M203-$A$15,BC$13)))</f>
        <v>1000000000000</v>
      </c>
      <c r="BD203" s="173">
        <f ca="1">IF(OR($D203&lt;&gt;"Serviço",AND(AUTOEVENTO="Manual",$M203=$A$15),$M203&gt;(ROW(PLE.lastrow)-ROW(PLE.firstrow))),0,
           IF(OFFSET(PLE!$G$15,$M203-$A$15,BD$13)="",10^12,OFFSET(PLE!$G$15,$M203-$A$15,BD$13)))</f>
        <v>1000000000000</v>
      </c>
      <c r="BE203" s="173">
        <f ca="1">IF(OR($D203&lt;&gt;"Serviço",AND(AUTOEVENTO="Manual",$M203=$A$15),$M203&gt;(ROW(PLE.lastrow)-ROW(PLE.firstrow))),0,
           IF(OFFSET(PLE!$G$15,$M203-$A$15,BE$13)="",10^12,OFFSET(PLE!$G$15,$M203-$A$15,BE$13)))</f>
        <v>1000000000000</v>
      </c>
      <c r="BF203" s="173">
        <f ca="1">IF(OR($D203&lt;&gt;"Serviço",AND(AUTOEVENTO="Manual",$M203=$A$15),$M203&gt;(ROW(PLE.lastrow)-ROW(PLE.firstrow))),0,
           IF(OFFSET(PLE!$G$15,$M203-$A$15,BF$13)="",10^12,OFFSET(PLE!$G$15,$M203-$A$15,BF$13)))</f>
        <v>1000000000000</v>
      </c>
      <c r="BG203" s="173">
        <f ca="1">IF(OR($D203&lt;&gt;"Serviço",AND(AUTOEVENTO="Manual",$M203=$A$15),$M203&gt;(ROW(PLE.lastrow)-ROW(PLE.firstrow))),0,
           IF(OFFSET(PLE!$G$15,$M203-$A$15,BG$13)="",10^12,OFFSET(PLE!$G$15,$M203-$A$15,BG$13)))</f>
        <v>1000000000000</v>
      </c>
    </row>
    <row r="204" spans="1:59" ht="25.5" x14ac:dyDescent="0.2">
      <c r="A204" s="7" t="str">
        <f t="shared" ca="1" si="10"/>
        <v>114</v>
      </c>
      <c r="B204" s="7" t="str">
        <f ca="1">OFFSET(ORÇAMENTO!C$15,ROW(B204)-ROW(B$15),0)</f>
        <v>S</v>
      </c>
      <c r="C204" s="7" t="str">
        <f ca="1">OFFSET(ORÇAMENTO!L$15,ROW(C204)-ROW(C$15),0)</f>
        <v/>
      </c>
      <c r="D204" s="117" t="str">
        <f ca="1">OFFSET(ORÇAMENTO!N$15,ROW(D204)-ROW(D$15),0)</f>
        <v>Serviço</v>
      </c>
      <c r="E204" s="118" t="str">
        <f ca="1">OFFSET(ORÇAMENTO!O$15,ROW(E204)-ROW(E$15),0)</f>
        <v>-</v>
      </c>
      <c r="F204" s="164" t="str">
        <f ca="1">OFFSET(ORÇAMENTO!R$15,ROW(F204)-ROW(F$15),0)</f>
        <v>TUBO, PVC, SOLDÁVEL, DE 32MM, INSTALADO EM RAMAL OU SUB-RAMAL DE ÁGUA - FORNECIMENTO E INSTALAÇÃO. AF_06/2022</v>
      </c>
      <c r="G204" s="165" t="str">
        <f ca="1">IF($D204&lt;&gt;"Serviço","",OFFSET(ORÇAMENTO!S$15,ROW(G204)-ROW(G$15),0))</f>
        <v>M</v>
      </c>
      <c r="H204" s="123">
        <f ca="1">IF($D204&lt;&gt;"Serviço",0,IF(ACOMPANHAMENTO="BM",ROUND(OFFSET(ORÇAMENTO!AJ$15,ROW(H204)-ROW(H$15),0),15-13*ORÇAMENTO!$AF$7),SUMPRODUCT(($Q$1:$AA$1=1)*ROUND($Q204:$AA204,15-13*ORÇAMENTO!$AF$7))))</f>
        <v>152.80000000000001</v>
      </c>
      <c r="I204" s="469"/>
      <c r="J204" s="577" t="str" cm="1">
        <f t="array" aca="1" ref="J204" ca="1">IF(B204&lt;&gt;"S","",IF(AND(ACOMPANHAMENTO="PLE",AUTOEVENTO="Manual",OR(H204&gt;0,ORÇAMENTO!AC204="QUANT."),OR(K204="",M204=0,N204="")),"►",IF(AND(ACOMPANHAMENTO="PLE",ORÇAMENTO!AC204="QUANT."),"►►",IF(AND(COUNTIF($P$11:$AA$11,"▼")=0,H204&gt;0,I204=""),"◄",""))))</f>
        <v>◄</v>
      </c>
      <c r="K204" s="626"/>
      <c r="L204" s="166" t="s">
        <v>765</v>
      </c>
      <c r="M204" s="167">
        <f ca="1">IF($D204&lt;&gt;"Serviço","",
          IF(AUTOEVENTO="manual",$A204,
                IF(ISERROR(MATCH($A204,$A$15:OFFSET($A204,-1,0),0)),MAX($M$15:OFFSET(M204,-1,0))+1,
                      INDEX($M$15:OFFSET(M204,-1,0),MATCH($A204,$A$15:OFFSET($A204,-1,0),0)))))</f>
        <v>11</v>
      </c>
      <c r="N204" s="168" t="str">
        <f ca="1">IF($D204&lt;&gt;"Serviço","",
         IF(AUTOEVENTO="Manual",
                IF($A204=0,"&lt;-- defina o número do agrupador",
                       OFFSET(EVENTOS!$D$15,$A204-$A$15,0)),
                OFFSET($F$15,$A204,0)))</f>
        <v>INSTALAÇÕES HIDROSSANITÁRIAS</v>
      </c>
      <c r="O204" s="169"/>
      <c r="Q204" s="169"/>
      <c r="R204" s="170"/>
      <c r="S204" s="170"/>
      <c r="T204" s="170"/>
      <c r="U204" s="170"/>
      <c r="V204" s="170"/>
      <c r="W204" s="170"/>
      <c r="X204" s="170"/>
      <c r="Y204" s="170"/>
      <c r="Z204" s="171"/>
      <c r="AB204" s="454">
        <f ca="1">IF(AND($D204="Serviço",AB$12&lt;&gt;0,$H204&gt;0,OR(AUTOEVENTO&lt;&gt;"manual",$M204&lt;&gt;$A$15)),
        IF(Import.TipoArredondamento&lt;&gt;"TransfereGOV",
              ROUND(OFFSET($P204,0,AB$13),15-13*ORÇAMENTO!$AF$7)/$H204*OFFSET(ORÇAMENTO!$X$15,ROW(AB204)-ROW(AB$15),0),
              ROUND(ROUND(OFFSET($P204,0,AB$13),15-13*ORÇAMENTO!$AF$7)*OFFSET(ORÇAMENTO!$W$15,ROW(AB204)-ROW(AB$15),0),15-13*ORÇAMENTO!$AF$11)),
         0)</f>
        <v>0</v>
      </c>
      <c r="AC204" s="454">
        <f ca="1">IF(AND($D204="Serviço",AC$12&lt;&gt;0,$H204&gt;0,OR(AUTOEVENTO&lt;&gt;"manual",$M204&lt;&gt;$A$15)),
        IF(Import.TipoArredondamento&lt;&gt;"TransfereGOV",
              ROUND(OFFSET($P204,0,AC$13),15-13*ORÇAMENTO!$AF$7)/$H204*OFFSET(ORÇAMENTO!$X$15,ROW(AC204)-ROW(AC$15),0),
              ROUND(ROUND(OFFSET($P204,0,AC$13),15-13*ORÇAMENTO!$AF$7)*OFFSET(ORÇAMENTO!$W$15,ROW(AC204)-ROW(AC$15),0),15-13*ORÇAMENTO!$AF$11)),
         0)</f>
        <v>0</v>
      </c>
      <c r="AD204" s="454">
        <f ca="1">IF(AND($D204="Serviço",AD$12&lt;&gt;0,$H204&gt;0,OR(AUTOEVENTO&lt;&gt;"manual",$M204&lt;&gt;$A$15)),
        IF(Import.TipoArredondamento&lt;&gt;"TransfereGOV",
              ROUND(OFFSET($P204,0,AD$13),15-13*ORÇAMENTO!$AF$7)/$H204*OFFSET(ORÇAMENTO!$X$15,ROW(AD204)-ROW(AD$15),0),
              ROUND(ROUND(OFFSET($P204,0,AD$13),15-13*ORÇAMENTO!$AF$7)*OFFSET(ORÇAMENTO!$W$15,ROW(AD204)-ROW(AD$15),0),15-13*ORÇAMENTO!$AF$11)),
         0)</f>
        <v>0</v>
      </c>
      <c r="AE204" s="454">
        <f ca="1">IF(AND($D204="Serviço",AE$12&lt;&gt;0,$H204&gt;0,OR(AUTOEVENTO&lt;&gt;"manual",$M204&lt;&gt;$A$15)),
        IF(Import.TipoArredondamento&lt;&gt;"TransfereGOV",
              ROUND(OFFSET($P204,0,AE$13),15-13*ORÇAMENTO!$AF$7)/$H204*OFFSET(ORÇAMENTO!$X$15,ROW(AE204)-ROW(AE$15),0),
              ROUND(ROUND(OFFSET($P204,0,AE$13),15-13*ORÇAMENTO!$AF$7)*OFFSET(ORÇAMENTO!$W$15,ROW(AE204)-ROW(AE$15),0),15-13*ORÇAMENTO!$AF$11)),
         0)</f>
        <v>0</v>
      </c>
      <c r="AF204" s="454">
        <f ca="1">IF(AND($D204="Serviço",AF$12&lt;&gt;0,$H204&gt;0,OR(AUTOEVENTO&lt;&gt;"manual",$M204&lt;&gt;$A$15)),
        IF(Import.TipoArredondamento&lt;&gt;"TransfereGOV",
              ROUND(OFFSET($P204,0,AF$13),15-13*ORÇAMENTO!$AF$7)/$H204*OFFSET(ORÇAMENTO!$X$15,ROW(AF204)-ROW(AF$15),0),
              ROUND(ROUND(OFFSET($P204,0,AF$13),15-13*ORÇAMENTO!$AF$7)*OFFSET(ORÇAMENTO!$W$15,ROW(AF204)-ROW(AF$15),0),15-13*ORÇAMENTO!$AF$11)),
         0)</f>
        <v>0</v>
      </c>
      <c r="AG204" s="454">
        <f ca="1">IF(AND($D204="Serviço",AG$12&lt;&gt;0,$H204&gt;0,OR(AUTOEVENTO&lt;&gt;"manual",$M204&lt;&gt;$A$15)),
        IF(Import.TipoArredondamento&lt;&gt;"TransfereGOV",
              ROUND(OFFSET($P204,0,AG$13),15-13*ORÇAMENTO!$AF$7)/$H204*OFFSET(ORÇAMENTO!$X$15,ROW(AG204)-ROW(AG$15),0),
              ROUND(ROUND(OFFSET($P204,0,AG$13),15-13*ORÇAMENTO!$AF$7)*OFFSET(ORÇAMENTO!$W$15,ROW(AG204)-ROW(AG$15),0),15-13*ORÇAMENTO!$AF$11)),
         0)</f>
        <v>0</v>
      </c>
      <c r="AH204" s="454">
        <f ca="1">IF(AND($D204="Serviço",AH$12&lt;&gt;0,$H204&gt;0,OR(AUTOEVENTO&lt;&gt;"manual",$M204&lt;&gt;$A$15)),
        IF(Import.TipoArredondamento&lt;&gt;"TransfereGOV",
              ROUND(OFFSET($P204,0,AH$13),15-13*ORÇAMENTO!$AF$7)/$H204*OFFSET(ORÇAMENTO!$X$15,ROW(AH204)-ROW(AH$15),0),
              ROUND(ROUND(OFFSET($P204,0,AH$13),15-13*ORÇAMENTO!$AF$7)*OFFSET(ORÇAMENTO!$W$15,ROW(AH204)-ROW(AH$15),0),15-13*ORÇAMENTO!$AF$11)),
         0)</f>
        <v>0</v>
      </c>
      <c r="AI204" s="454">
        <f ca="1">IF(AND($D204="Serviço",AI$12&lt;&gt;0,$H204&gt;0,OR(AUTOEVENTO&lt;&gt;"manual",$M204&lt;&gt;$A$15)),
        IF(Import.TipoArredondamento&lt;&gt;"TransfereGOV",
              ROUND(OFFSET($P204,0,AI$13),15-13*ORÇAMENTO!$AF$7)/$H204*OFFSET(ORÇAMENTO!$X$15,ROW(AI204)-ROW(AI$15),0),
              ROUND(ROUND(OFFSET($P204,0,AI$13),15-13*ORÇAMENTO!$AF$7)*OFFSET(ORÇAMENTO!$W$15,ROW(AI204)-ROW(AI$15),0),15-13*ORÇAMENTO!$AF$11)),
         0)</f>
        <v>0</v>
      </c>
      <c r="AJ204" s="454">
        <f ca="1">IF(AND($D204="Serviço",AJ$12&lt;&gt;0,$H204&gt;0,OR(AUTOEVENTO&lt;&gt;"manual",$M204&lt;&gt;$A$15)),
        IF(Import.TipoArredondamento&lt;&gt;"TransfereGOV",
              ROUND(OFFSET($P204,0,AJ$13),15-13*ORÇAMENTO!$AF$7)/$H204*OFFSET(ORÇAMENTO!$X$15,ROW(AJ204)-ROW(AJ$15),0),
              ROUND(ROUND(OFFSET($P204,0,AJ$13),15-13*ORÇAMENTO!$AF$7)*OFFSET(ORÇAMENTO!$W$15,ROW(AJ204)-ROW(AJ$15),0),15-13*ORÇAMENTO!$AF$11)),
         0)</f>
        <v>0</v>
      </c>
      <c r="AK204" s="454">
        <f ca="1">IF(AND($D204="Serviço",AK$12&lt;&gt;0,$H204&gt;0,OR(AUTOEVENTO&lt;&gt;"manual",$M204&lt;&gt;$A$15)),
        IF(Import.TipoArredondamento&lt;&gt;"TransfereGOV",
              ROUND(OFFSET($P204,0,AK$13),15-13*ORÇAMENTO!$AF$7)/$H204*OFFSET(ORÇAMENTO!$X$15,ROW(AK204)-ROW(AK$15),0),
              ROUND(ROUND(OFFSET($P204,0,AK$13),15-13*ORÇAMENTO!$AF$7)*OFFSET(ORÇAMENTO!$W$15,ROW(AK204)-ROW(AK$15),0),15-13*ORÇAMENTO!$AF$11)),
         0)</f>
        <v>0</v>
      </c>
      <c r="AM204" s="172">
        <f ca="1">IF(OR($D204&lt;&gt;"Serviço",AND(AUTOEVENTO="Manual",$M204=$A$15)),0,
         IF(OFFSET(CRONOPLE!$F$15,$M204-$A$15,AM$13)="",10^12,OFFSET(CRONOPLE!$F$15,$M204-$A$15,AM$13)))</f>
        <v>1000000000000</v>
      </c>
      <c r="AN204" s="172">
        <f ca="1">IF(OR($D204&lt;&gt;"Serviço",AND(AUTOEVENTO="Manual",$M204=$A$15)),0,
         IF(OFFSET(CRONOPLE!$F$15,$M204-$A$15,AN$13)="",10^12,OFFSET(CRONOPLE!$F$15,$M204-$A$15,AN$13)))</f>
        <v>1000000000000</v>
      </c>
      <c r="AO204" s="172">
        <f ca="1">IF(OR($D204&lt;&gt;"Serviço",AND(AUTOEVENTO="Manual",$M204=$A$15)),0,
         IF(OFFSET(CRONOPLE!$F$15,$M204-$A$15,AO$13)="",10^12,OFFSET(CRONOPLE!$F$15,$M204-$A$15,AO$13)))</f>
        <v>1000000000000</v>
      </c>
      <c r="AP204" s="172">
        <f ca="1">IF(OR($D204&lt;&gt;"Serviço",AND(AUTOEVENTO="Manual",$M204=$A$15)),0,
         IF(OFFSET(CRONOPLE!$F$15,$M204-$A$15,AP$13)="",10^12,OFFSET(CRONOPLE!$F$15,$M204-$A$15,AP$13)))</f>
        <v>1000000000000</v>
      </c>
      <c r="AQ204" s="172">
        <f ca="1">IF(OR($D204&lt;&gt;"Serviço",AND(AUTOEVENTO="Manual",$M204=$A$15)),0,
         IF(OFFSET(CRONOPLE!$F$15,$M204-$A$15,AQ$13)="",10^12,OFFSET(CRONOPLE!$F$15,$M204-$A$15,AQ$13)))</f>
        <v>1000000000000</v>
      </c>
      <c r="AR204" s="172">
        <f ca="1">IF(OR($D204&lt;&gt;"Serviço",AND(AUTOEVENTO="Manual",$M204=$A$15)),0,
         IF(OFFSET(CRONOPLE!$F$15,$M204-$A$15,AR$13)="",10^12,OFFSET(CRONOPLE!$F$15,$M204-$A$15,AR$13)))</f>
        <v>1000000000000</v>
      </c>
      <c r="AS204" s="172">
        <f ca="1">IF(OR($D204&lt;&gt;"Serviço",AND(AUTOEVENTO="Manual",$M204=$A$15)),0,
         IF(OFFSET(CRONOPLE!$F$15,$M204-$A$15,AS$13)="",10^12,OFFSET(CRONOPLE!$F$15,$M204-$A$15,AS$13)))</f>
        <v>1000000000000</v>
      </c>
      <c r="AT204" s="172">
        <f ca="1">IF(OR($D204&lt;&gt;"Serviço",AND(AUTOEVENTO="Manual",$M204=$A$15)),0,
         IF(OFFSET(CRONOPLE!$F$15,$M204-$A$15,AT$13)="",10^12,OFFSET(CRONOPLE!$F$15,$M204-$A$15,AT$13)))</f>
        <v>1000000000000</v>
      </c>
      <c r="AU204" s="172">
        <f ca="1">IF(OR($D204&lt;&gt;"Serviço",AND(AUTOEVENTO="Manual",$M204=$A$15)),0,
         IF(OFFSET(CRONOPLE!$F$15,$M204-$A$15,AU$13)="",10^12,OFFSET(CRONOPLE!$F$15,$M204-$A$15,AU$13)))</f>
        <v>1000000000000</v>
      </c>
      <c r="AV204" s="172">
        <f ca="1">IF(OR($D204&lt;&gt;"Serviço",AND(AUTOEVENTO="Manual",$M204=$A$15)),0,
         IF(OFFSET(CRONOPLE!$F$15,$M204-$A$15,AV$13)="",10^12,OFFSET(CRONOPLE!$F$15,$M204-$A$15,AV$13)))</f>
        <v>1000000000000</v>
      </c>
      <c r="AX204" s="173">
        <f ca="1">IF(OR($D204&lt;&gt;"Serviço",AND(AUTOEVENTO="Manual",$M204=$A$15),$M204&gt;(ROW(PLE.lastrow)-ROW(PLE.firstrow))),0,
           IF(OFFSET(PLE!$G$15,$M204-$A$15,AX$13)="",10^12,OFFSET(PLE!$G$15,$M204-$A$15,AX$13)))</f>
        <v>1000000000000</v>
      </c>
      <c r="AY204" s="173">
        <f ca="1">IF(OR($D204&lt;&gt;"Serviço",AND(AUTOEVENTO="Manual",$M204=$A$15),$M204&gt;(ROW(PLE.lastrow)-ROW(PLE.firstrow))),0,
           IF(OFFSET(PLE!$G$15,$M204-$A$15,AY$13)="",10^12,OFFSET(PLE!$G$15,$M204-$A$15,AY$13)))</f>
        <v>1000000000000</v>
      </c>
      <c r="AZ204" s="173">
        <f ca="1">IF(OR($D204&lt;&gt;"Serviço",AND(AUTOEVENTO="Manual",$M204=$A$15),$M204&gt;(ROW(PLE.lastrow)-ROW(PLE.firstrow))),0,
           IF(OFFSET(PLE!$G$15,$M204-$A$15,AZ$13)="",10^12,OFFSET(PLE!$G$15,$M204-$A$15,AZ$13)))</f>
        <v>1000000000000</v>
      </c>
      <c r="BA204" s="173">
        <f ca="1">IF(OR($D204&lt;&gt;"Serviço",AND(AUTOEVENTO="Manual",$M204=$A$15),$M204&gt;(ROW(PLE.lastrow)-ROW(PLE.firstrow))),0,
           IF(OFFSET(PLE!$G$15,$M204-$A$15,BA$13)="",10^12,OFFSET(PLE!$G$15,$M204-$A$15,BA$13)))</f>
        <v>1000000000000</v>
      </c>
      <c r="BB204" s="173">
        <f ca="1">IF(OR($D204&lt;&gt;"Serviço",AND(AUTOEVENTO="Manual",$M204=$A$15),$M204&gt;(ROW(PLE.lastrow)-ROW(PLE.firstrow))),0,
           IF(OFFSET(PLE!$G$15,$M204-$A$15,BB$13)="",10^12,OFFSET(PLE!$G$15,$M204-$A$15,BB$13)))</f>
        <v>1000000000000</v>
      </c>
      <c r="BC204" s="173">
        <f ca="1">IF(OR($D204&lt;&gt;"Serviço",AND(AUTOEVENTO="Manual",$M204=$A$15),$M204&gt;(ROW(PLE.lastrow)-ROW(PLE.firstrow))),0,
           IF(OFFSET(PLE!$G$15,$M204-$A$15,BC$13)="",10^12,OFFSET(PLE!$G$15,$M204-$A$15,BC$13)))</f>
        <v>1000000000000</v>
      </c>
      <c r="BD204" s="173">
        <f ca="1">IF(OR($D204&lt;&gt;"Serviço",AND(AUTOEVENTO="Manual",$M204=$A$15),$M204&gt;(ROW(PLE.lastrow)-ROW(PLE.firstrow))),0,
           IF(OFFSET(PLE!$G$15,$M204-$A$15,BD$13)="",10^12,OFFSET(PLE!$G$15,$M204-$A$15,BD$13)))</f>
        <v>1000000000000</v>
      </c>
      <c r="BE204" s="173">
        <f ca="1">IF(OR($D204&lt;&gt;"Serviço",AND(AUTOEVENTO="Manual",$M204=$A$15),$M204&gt;(ROW(PLE.lastrow)-ROW(PLE.firstrow))),0,
           IF(OFFSET(PLE!$G$15,$M204-$A$15,BE$13)="",10^12,OFFSET(PLE!$G$15,$M204-$A$15,BE$13)))</f>
        <v>1000000000000</v>
      </c>
      <c r="BF204" s="173">
        <f ca="1">IF(OR($D204&lt;&gt;"Serviço",AND(AUTOEVENTO="Manual",$M204=$A$15),$M204&gt;(ROW(PLE.lastrow)-ROW(PLE.firstrow))),0,
           IF(OFFSET(PLE!$G$15,$M204-$A$15,BF$13)="",10^12,OFFSET(PLE!$G$15,$M204-$A$15,BF$13)))</f>
        <v>1000000000000</v>
      </c>
      <c r="BG204" s="173">
        <f ca="1">IF(OR($D204&lt;&gt;"Serviço",AND(AUTOEVENTO="Manual",$M204=$A$15),$M204&gt;(ROW(PLE.lastrow)-ROW(PLE.firstrow))),0,
           IF(OFFSET(PLE!$G$15,$M204-$A$15,BG$13)="",10^12,OFFSET(PLE!$G$15,$M204-$A$15,BG$13)))</f>
        <v>1000000000000</v>
      </c>
    </row>
    <row r="205" spans="1:59" ht="38.25" x14ac:dyDescent="0.2">
      <c r="A205" s="7" t="str">
        <f t="shared" ca="1" si="10"/>
        <v>114</v>
      </c>
      <c r="B205" s="7" t="str">
        <f ca="1">OFFSET(ORÇAMENTO!C$15,ROW(B205)-ROW(B$15),0)</f>
        <v>S</v>
      </c>
      <c r="C205" s="7" t="str">
        <f ca="1">OFFSET(ORÇAMENTO!L$15,ROW(C205)-ROW(C$15),0)</f>
        <v/>
      </c>
      <c r="D205" s="117" t="str">
        <f ca="1">OFFSET(ORÇAMENTO!N$15,ROW(D205)-ROW(D$15),0)</f>
        <v>Serviço</v>
      </c>
      <c r="E205" s="118" t="str">
        <f ca="1">OFFSET(ORÇAMENTO!O$15,ROW(E205)-ROW(E$15),0)</f>
        <v>-</v>
      </c>
      <c r="F205" s="164" t="str">
        <f ca="1">OFFSET(ORÇAMENTO!R$15,ROW(F205)-ROW(F$15),0)</f>
        <v>TUBO, PVC, SOLDÁVEL, DE 40MM, INSTALADO EM RAMAL DE DISTRIBUIÇÃO DE ÁGUA - FORNECIMENTO E INSTALAÇÃO. AF_06/2022</v>
      </c>
      <c r="G205" s="165" t="str">
        <f ca="1">IF($D205&lt;&gt;"Serviço","",OFFSET(ORÇAMENTO!S$15,ROW(G205)-ROW(G$15),0))</f>
        <v>M</v>
      </c>
      <c r="H205" s="123">
        <f ca="1">IF($D205&lt;&gt;"Serviço",0,IF(ACOMPANHAMENTO="BM",ROUND(OFFSET(ORÇAMENTO!AJ$15,ROW(H205)-ROW(H$15),0),15-13*ORÇAMENTO!$AF$7),SUMPRODUCT(($Q$1:$AA$1=1)*ROUND($Q205:$AA205,15-13*ORÇAMENTO!$AF$7))))</f>
        <v>137</v>
      </c>
      <c r="I205" s="469"/>
      <c r="J205" s="577" t="str" cm="1">
        <f t="array" aca="1" ref="J205" ca="1">IF(B205&lt;&gt;"S","",IF(AND(ACOMPANHAMENTO="PLE",AUTOEVENTO="Manual",OR(H205&gt;0,ORÇAMENTO!AC205="QUANT."),OR(K205="",M205=0,N205="")),"►",IF(AND(ACOMPANHAMENTO="PLE",ORÇAMENTO!AC205="QUANT."),"►►",IF(AND(COUNTIF($P$11:$AA$11,"▼")=0,H205&gt;0,I205=""),"◄",""))))</f>
        <v>◄</v>
      </c>
      <c r="K205" s="626"/>
      <c r="L205" s="166" t="s">
        <v>765</v>
      </c>
      <c r="M205" s="167">
        <f ca="1">IF($D205&lt;&gt;"Serviço","",
          IF(AUTOEVENTO="manual",$A205,
                IF(ISERROR(MATCH($A205,$A$15:OFFSET($A205,-1,0),0)),MAX($M$15:OFFSET(M205,-1,0))+1,
                      INDEX($M$15:OFFSET(M205,-1,0),MATCH($A205,$A$15:OFFSET($A205,-1,0),0)))))</f>
        <v>11</v>
      </c>
      <c r="N205" s="168" t="str">
        <f ca="1">IF($D205&lt;&gt;"Serviço","",
         IF(AUTOEVENTO="Manual",
                IF($A205=0,"&lt;-- defina o número do agrupador",
                       OFFSET(EVENTOS!$D$15,$A205-$A$15,0)),
                OFFSET($F$15,$A205,0)))</f>
        <v>INSTALAÇÕES HIDROSSANITÁRIAS</v>
      </c>
      <c r="O205" s="169"/>
      <c r="Q205" s="169"/>
      <c r="R205" s="170"/>
      <c r="S205" s="170"/>
      <c r="T205" s="170"/>
      <c r="U205" s="170"/>
      <c r="V205" s="170"/>
      <c r="W205" s="170"/>
      <c r="X205" s="170"/>
      <c r="Y205" s="170"/>
      <c r="Z205" s="171"/>
      <c r="AB205" s="454">
        <f ca="1">IF(AND($D205="Serviço",AB$12&lt;&gt;0,$H205&gt;0,OR(AUTOEVENTO&lt;&gt;"manual",$M205&lt;&gt;$A$15)),
        IF(Import.TipoArredondamento&lt;&gt;"TransfereGOV",
              ROUND(OFFSET($P205,0,AB$13),15-13*ORÇAMENTO!$AF$7)/$H205*OFFSET(ORÇAMENTO!$X$15,ROW(AB205)-ROW(AB$15),0),
              ROUND(ROUND(OFFSET($P205,0,AB$13),15-13*ORÇAMENTO!$AF$7)*OFFSET(ORÇAMENTO!$W$15,ROW(AB205)-ROW(AB$15),0),15-13*ORÇAMENTO!$AF$11)),
         0)</f>
        <v>0</v>
      </c>
      <c r="AC205" s="454">
        <f ca="1">IF(AND($D205="Serviço",AC$12&lt;&gt;0,$H205&gt;0,OR(AUTOEVENTO&lt;&gt;"manual",$M205&lt;&gt;$A$15)),
        IF(Import.TipoArredondamento&lt;&gt;"TransfereGOV",
              ROUND(OFFSET($P205,0,AC$13),15-13*ORÇAMENTO!$AF$7)/$H205*OFFSET(ORÇAMENTO!$X$15,ROW(AC205)-ROW(AC$15),0),
              ROUND(ROUND(OFFSET($P205,0,AC$13),15-13*ORÇAMENTO!$AF$7)*OFFSET(ORÇAMENTO!$W$15,ROW(AC205)-ROW(AC$15),0),15-13*ORÇAMENTO!$AF$11)),
         0)</f>
        <v>0</v>
      </c>
      <c r="AD205" s="454">
        <f ca="1">IF(AND($D205="Serviço",AD$12&lt;&gt;0,$H205&gt;0,OR(AUTOEVENTO&lt;&gt;"manual",$M205&lt;&gt;$A$15)),
        IF(Import.TipoArredondamento&lt;&gt;"TransfereGOV",
              ROUND(OFFSET($P205,0,AD$13),15-13*ORÇAMENTO!$AF$7)/$H205*OFFSET(ORÇAMENTO!$X$15,ROW(AD205)-ROW(AD$15),0),
              ROUND(ROUND(OFFSET($P205,0,AD$13),15-13*ORÇAMENTO!$AF$7)*OFFSET(ORÇAMENTO!$W$15,ROW(AD205)-ROW(AD$15),0),15-13*ORÇAMENTO!$AF$11)),
         0)</f>
        <v>0</v>
      </c>
      <c r="AE205" s="454">
        <f ca="1">IF(AND($D205="Serviço",AE$12&lt;&gt;0,$H205&gt;0,OR(AUTOEVENTO&lt;&gt;"manual",$M205&lt;&gt;$A$15)),
        IF(Import.TipoArredondamento&lt;&gt;"TransfereGOV",
              ROUND(OFFSET($P205,0,AE$13),15-13*ORÇAMENTO!$AF$7)/$H205*OFFSET(ORÇAMENTO!$X$15,ROW(AE205)-ROW(AE$15),0),
              ROUND(ROUND(OFFSET($P205,0,AE$13),15-13*ORÇAMENTO!$AF$7)*OFFSET(ORÇAMENTO!$W$15,ROW(AE205)-ROW(AE$15),0),15-13*ORÇAMENTO!$AF$11)),
         0)</f>
        <v>0</v>
      </c>
      <c r="AF205" s="454">
        <f ca="1">IF(AND($D205="Serviço",AF$12&lt;&gt;0,$H205&gt;0,OR(AUTOEVENTO&lt;&gt;"manual",$M205&lt;&gt;$A$15)),
        IF(Import.TipoArredondamento&lt;&gt;"TransfereGOV",
              ROUND(OFFSET($P205,0,AF$13),15-13*ORÇAMENTO!$AF$7)/$H205*OFFSET(ORÇAMENTO!$X$15,ROW(AF205)-ROW(AF$15),0),
              ROUND(ROUND(OFFSET($P205,0,AF$13),15-13*ORÇAMENTO!$AF$7)*OFFSET(ORÇAMENTO!$W$15,ROW(AF205)-ROW(AF$15),0),15-13*ORÇAMENTO!$AF$11)),
         0)</f>
        <v>0</v>
      </c>
      <c r="AG205" s="454">
        <f ca="1">IF(AND($D205="Serviço",AG$12&lt;&gt;0,$H205&gt;0,OR(AUTOEVENTO&lt;&gt;"manual",$M205&lt;&gt;$A$15)),
        IF(Import.TipoArredondamento&lt;&gt;"TransfereGOV",
              ROUND(OFFSET($P205,0,AG$13),15-13*ORÇAMENTO!$AF$7)/$H205*OFFSET(ORÇAMENTO!$X$15,ROW(AG205)-ROW(AG$15),0),
              ROUND(ROUND(OFFSET($P205,0,AG$13),15-13*ORÇAMENTO!$AF$7)*OFFSET(ORÇAMENTO!$W$15,ROW(AG205)-ROW(AG$15),0),15-13*ORÇAMENTO!$AF$11)),
         0)</f>
        <v>0</v>
      </c>
      <c r="AH205" s="454">
        <f ca="1">IF(AND($D205="Serviço",AH$12&lt;&gt;0,$H205&gt;0,OR(AUTOEVENTO&lt;&gt;"manual",$M205&lt;&gt;$A$15)),
        IF(Import.TipoArredondamento&lt;&gt;"TransfereGOV",
              ROUND(OFFSET($P205,0,AH$13),15-13*ORÇAMENTO!$AF$7)/$H205*OFFSET(ORÇAMENTO!$X$15,ROW(AH205)-ROW(AH$15),0),
              ROUND(ROUND(OFFSET($P205,0,AH$13),15-13*ORÇAMENTO!$AF$7)*OFFSET(ORÇAMENTO!$W$15,ROW(AH205)-ROW(AH$15),0),15-13*ORÇAMENTO!$AF$11)),
         0)</f>
        <v>0</v>
      </c>
      <c r="AI205" s="454">
        <f ca="1">IF(AND($D205="Serviço",AI$12&lt;&gt;0,$H205&gt;0,OR(AUTOEVENTO&lt;&gt;"manual",$M205&lt;&gt;$A$15)),
        IF(Import.TipoArredondamento&lt;&gt;"TransfereGOV",
              ROUND(OFFSET($P205,0,AI$13),15-13*ORÇAMENTO!$AF$7)/$H205*OFFSET(ORÇAMENTO!$X$15,ROW(AI205)-ROW(AI$15),0),
              ROUND(ROUND(OFFSET($P205,0,AI$13),15-13*ORÇAMENTO!$AF$7)*OFFSET(ORÇAMENTO!$W$15,ROW(AI205)-ROW(AI$15),0),15-13*ORÇAMENTO!$AF$11)),
         0)</f>
        <v>0</v>
      </c>
      <c r="AJ205" s="454">
        <f ca="1">IF(AND($D205="Serviço",AJ$12&lt;&gt;0,$H205&gt;0,OR(AUTOEVENTO&lt;&gt;"manual",$M205&lt;&gt;$A$15)),
        IF(Import.TipoArredondamento&lt;&gt;"TransfereGOV",
              ROUND(OFFSET($P205,0,AJ$13),15-13*ORÇAMENTO!$AF$7)/$H205*OFFSET(ORÇAMENTO!$X$15,ROW(AJ205)-ROW(AJ$15),0),
              ROUND(ROUND(OFFSET($P205,0,AJ$13),15-13*ORÇAMENTO!$AF$7)*OFFSET(ORÇAMENTO!$W$15,ROW(AJ205)-ROW(AJ$15),0),15-13*ORÇAMENTO!$AF$11)),
         0)</f>
        <v>0</v>
      </c>
      <c r="AK205" s="454">
        <f ca="1">IF(AND($D205="Serviço",AK$12&lt;&gt;0,$H205&gt;0,OR(AUTOEVENTO&lt;&gt;"manual",$M205&lt;&gt;$A$15)),
        IF(Import.TipoArredondamento&lt;&gt;"TransfereGOV",
              ROUND(OFFSET($P205,0,AK$13),15-13*ORÇAMENTO!$AF$7)/$H205*OFFSET(ORÇAMENTO!$X$15,ROW(AK205)-ROW(AK$15),0),
              ROUND(ROUND(OFFSET($P205,0,AK$13),15-13*ORÇAMENTO!$AF$7)*OFFSET(ORÇAMENTO!$W$15,ROW(AK205)-ROW(AK$15),0),15-13*ORÇAMENTO!$AF$11)),
         0)</f>
        <v>0</v>
      </c>
      <c r="AM205" s="172">
        <f ca="1">IF(OR($D205&lt;&gt;"Serviço",AND(AUTOEVENTO="Manual",$M205=$A$15)),0,
         IF(OFFSET(CRONOPLE!$F$15,$M205-$A$15,AM$13)="",10^12,OFFSET(CRONOPLE!$F$15,$M205-$A$15,AM$13)))</f>
        <v>1000000000000</v>
      </c>
      <c r="AN205" s="172">
        <f ca="1">IF(OR($D205&lt;&gt;"Serviço",AND(AUTOEVENTO="Manual",$M205=$A$15)),0,
         IF(OFFSET(CRONOPLE!$F$15,$M205-$A$15,AN$13)="",10^12,OFFSET(CRONOPLE!$F$15,$M205-$A$15,AN$13)))</f>
        <v>1000000000000</v>
      </c>
      <c r="AO205" s="172">
        <f ca="1">IF(OR($D205&lt;&gt;"Serviço",AND(AUTOEVENTO="Manual",$M205=$A$15)),0,
         IF(OFFSET(CRONOPLE!$F$15,$M205-$A$15,AO$13)="",10^12,OFFSET(CRONOPLE!$F$15,$M205-$A$15,AO$13)))</f>
        <v>1000000000000</v>
      </c>
      <c r="AP205" s="172">
        <f ca="1">IF(OR($D205&lt;&gt;"Serviço",AND(AUTOEVENTO="Manual",$M205=$A$15)),0,
         IF(OFFSET(CRONOPLE!$F$15,$M205-$A$15,AP$13)="",10^12,OFFSET(CRONOPLE!$F$15,$M205-$A$15,AP$13)))</f>
        <v>1000000000000</v>
      </c>
      <c r="AQ205" s="172">
        <f ca="1">IF(OR($D205&lt;&gt;"Serviço",AND(AUTOEVENTO="Manual",$M205=$A$15)),0,
         IF(OFFSET(CRONOPLE!$F$15,$M205-$A$15,AQ$13)="",10^12,OFFSET(CRONOPLE!$F$15,$M205-$A$15,AQ$13)))</f>
        <v>1000000000000</v>
      </c>
      <c r="AR205" s="172">
        <f ca="1">IF(OR($D205&lt;&gt;"Serviço",AND(AUTOEVENTO="Manual",$M205=$A$15)),0,
         IF(OFFSET(CRONOPLE!$F$15,$M205-$A$15,AR$13)="",10^12,OFFSET(CRONOPLE!$F$15,$M205-$A$15,AR$13)))</f>
        <v>1000000000000</v>
      </c>
      <c r="AS205" s="172">
        <f ca="1">IF(OR($D205&lt;&gt;"Serviço",AND(AUTOEVENTO="Manual",$M205=$A$15)),0,
         IF(OFFSET(CRONOPLE!$F$15,$M205-$A$15,AS$13)="",10^12,OFFSET(CRONOPLE!$F$15,$M205-$A$15,AS$13)))</f>
        <v>1000000000000</v>
      </c>
      <c r="AT205" s="172">
        <f ca="1">IF(OR($D205&lt;&gt;"Serviço",AND(AUTOEVENTO="Manual",$M205=$A$15)),0,
         IF(OFFSET(CRONOPLE!$F$15,$M205-$A$15,AT$13)="",10^12,OFFSET(CRONOPLE!$F$15,$M205-$A$15,AT$13)))</f>
        <v>1000000000000</v>
      </c>
      <c r="AU205" s="172">
        <f ca="1">IF(OR($D205&lt;&gt;"Serviço",AND(AUTOEVENTO="Manual",$M205=$A$15)),0,
         IF(OFFSET(CRONOPLE!$F$15,$M205-$A$15,AU$13)="",10^12,OFFSET(CRONOPLE!$F$15,$M205-$A$15,AU$13)))</f>
        <v>1000000000000</v>
      </c>
      <c r="AV205" s="172">
        <f ca="1">IF(OR($D205&lt;&gt;"Serviço",AND(AUTOEVENTO="Manual",$M205=$A$15)),0,
         IF(OFFSET(CRONOPLE!$F$15,$M205-$A$15,AV$13)="",10^12,OFFSET(CRONOPLE!$F$15,$M205-$A$15,AV$13)))</f>
        <v>1000000000000</v>
      </c>
      <c r="AX205" s="173">
        <f ca="1">IF(OR($D205&lt;&gt;"Serviço",AND(AUTOEVENTO="Manual",$M205=$A$15),$M205&gt;(ROW(PLE.lastrow)-ROW(PLE.firstrow))),0,
           IF(OFFSET(PLE!$G$15,$M205-$A$15,AX$13)="",10^12,OFFSET(PLE!$G$15,$M205-$A$15,AX$13)))</f>
        <v>1000000000000</v>
      </c>
      <c r="AY205" s="173">
        <f ca="1">IF(OR($D205&lt;&gt;"Serviço",AND(AUTOEVENTO="Manual",$M205=$A$15),$M205&gt;(ROW(PLE.lastrow)-ROW(PLE.firstrow))),0,
           IF(OFFSET(PLE!$G$15,$M205-$A$15,AY$13)="",10^12,OFFSET(PLE!$G$15,$M205-$A$15,AY$13)))</f>
        <v>1000000000000</v>
      </c>
      <c r="AZ205" s="173">
        <f ca="1">IF(OR($D205&lt;&gt;"Serviço",AND(AUTOEVENTO="Manual",$M205=$A$15),$M205&gt;(ROW(PLE.lastrow)-ROW(PLE.firstrow))),0,
           IF(OFFSET(PLE!$G$15,$M205-$A$15,AZ$13)="",10^12,OFFSET(PLE!$G$15,$M205-$A$15,AZ$13)))</f>
        <v>1000000000000</v>
      </c>
      <c r="BA205" s="173">
        <f ca="1">IF(OR($D205&lt;&gt;"Serviço",AND(AUTOEVENTO="Manual",$M205=$A$15),$M205&gt;(ROW(PLE.lastrow)-ROW(PLE.firstrow))),0,
           IF(OFFSET(PLE!$G$15,$M205-$A$15,BA$13)="",10^12,OFFSET(PLE!$G$15,$M205-$A$15,BA$13)))</f>
        <v>1000000000000</v>
      </c>
      <c r="BB205" s="173">
        <f ca="1">IF(OR($D205&lt;&gt;"Serviço",AND(AUTOEVENTO="Manual",$M205=$A$15),$M205&gt;(ROW(PLE.lastrow)-ROW(PLE.firstrow))),0,
           IF(OFFSET(PLE!$G$15,$M205-$A$15,BB$13)="",10^12,OFFSET(PLE!$G$15,$M205-$A$15,BB$13)))</f>
        <v>1000000000000</v>
      </c>
      <c r="BC205" s="173">
        <f ca="1">IF(OR($D205&lt;&gt;"Serviço",AND(AUTOEVENTO="Manual",$M205=$A$15),$M205&gt;(ROW(PLE.lastrow)-ROW(PLE.firstrow))),0,
           IF(OFFSET(PLE!$G$15,$M205-$A$15,BC$13)="",10^12,OFFSET(PLE!$G$15,$M205-$A$15,BC$13)))</f>
        <v>1000000000000</v>
      </c>
      <c r="BD205" s="173">
        <f ca="1">IF(OR($D205&lt;&gt;"Serviço",AND(AUTOEVENTO="Manual",$M205=$A$15),$M205&gt;(ROW(PLE.lastrow)-ROW(PLE.firstrow))),0,
           IF(OFFSET(PLE!$G$15,$M205-$A$15,BD$13)="",10^12,OFFSET(PLE!$G$15,$M205-$A$15,BD$13)))</f>
        <v>1000000000000</v>
      </c>
      <c r="BE205" s="173">
        <f ca="1">IF(OR($D205&lt;&gt;"Serviço",AND(AUTOEVENTO="Manual",$M205=$A$15),$M205&gt;(ROW(PLE.lastrow)-ROW(PLE.firstrow))),0,
           IF(OFFSET(PLE!$G$15,$M205-$A$15,BE$13)="",10^12,OFFSET(PLE!$G$15,$M205-$A$15,BE$13)))</f>
        <v>1000000000000</v>
      </c>
      <c r="BF205" s="173">
        <f ca="1">IF(OR($D205&lt;&gt;"Serviço",AND(AUTOEVENTO="Manual",$M205=$A$15),$M205&gt;(ROW(PLE.lastrow)-ROW(PLE.firstrow))),0,
           IF(OFFSET(PLE!$G$15,$M205-$A$15,BF$13)="",10^12,OFFSET(PLE!$G$15,$M205-$A$15,BF$13)))</f>
        <v>1000000000000</v>
      </c>
      <c r="BG205" s="173">
        <f ca="1">IF(OR($D205&lt;&gt;"Serviço",AND(AUTOEVENTO="Manual",$M205=$A$15),$M205&gt;(ROW(PLE.lastrow)-ROW(PLE.firstrow))),0,
           IF(OFFSET(PLE!$G$15,$M205-$A$15,BG$13)="",10^12,OFFSET(PLE!$G$15,$M205-$A$15,BG$13)))</f>
        <v>1000000000000</v>
      </c>
    </row>
    <row r="206" spans="1:59" ht="25.5" x14ac:dyDescent="0.2">
      <c r="A206" s="7" t="str">
        <f t="shared" ca="1" si="10"/>
        <v>114</v>
      </c>
      <c r="B206" s="7" t="str">
        <f ca="1">OFFSET(ORÇAMENTO!C$15,ROW(B206)-ROW(B$15),0)</f>
        <v>S</v>
      </c>
      <c r="C206" s="7" t="str">
        <f ca="1">OFFSET(ORÇAMENTO!L$15,ROW(C206)-ROW(C$15),0)</f>
        <v/>
      </c>
      <c r="D206" s="117" t="str">
        <f ca="1">OFFSET(ORÇAMENTO!N$15,ROW(D206)-ROW(D$15),0)</f>
        <v>Serviço</v>
      </c>
      <c r="E206" s="118" t="str">
        <f ca="1">OFFSET(ORÇAMENTO!O$15,ROW(E206)-ROW(E$15),0)</f>
        <v>-</v>
      </c>
      <c r="F206" s="164" t="str">
        <f ca="1">OFFSET(ORÇAMENTO!R$15,ROW(F206)-ROW(F$15),0)</f>
        <v>TÊ, PVC, SOLDÁVEL, DN 32 MM INSTALADO EM RESERVAÇÃO PREDIAL DE ÁGUA - FORNECIMENTO E INSTALAÇÃO. AF_04/2024</v>
      </c>
      <c r="G206" s="165" t="str">
        <f ca="1">IF($D206&lt;&gt;"Serviço","",OFFSET(ORÇAMENTO!S$15,ROW(G206)-ROW(G$15),0))</f>
        <v>UN</v>
      </c>
      <c r="H206" s="123">
        <f ca="1">IF($D206&lt;&gt;"Serviço",0,IF(ACOMPANHAMENTO="BM",ROUND(OFFSET(ORÇAMENTO!AJ$15,ROW(H206)-ROW(H$15),0),15-13*ORÇAMENTO!$AF$7),SUMPRODUCT(($Q$1:$AA$1=1)*ROUND($Q206:$AA206,15-13*ORÇAMENTO!$AF$7))))</f>
        <v>5</v>
      </c>
      <c r="I206" s="469"/>
      <c r="J206" s="577" t="str" cm="1">
        <f t="array" aca="1" ref="J206" ca="1">IF(B206&lt;&gt;"S","",IF(AND(ACOMPANHAMENTO="PLE",AUTOEVENTO="Manual",OR(H206&gt;0,ORÇAMENTO!AC206="QUANT."),OR(K206="",M206=0,N206="")),"►",IF(AND(ACOMPANHAMENTO="PLE",ORÇAMENTO!AC206="QUANT."),"►►",IF(AND(COUNTIF($P$11:$AA$11,"▼")=0,H206&gt;0,I206=""),"◄",""))))</f>
        <v>◄</v>
      </c>
      <c r="K206" s="626"/>
      <c r="L206" s="166" t="s">
        <v>765</v>
      </c>
      <c r="M206" s="167">
        <f ca="1">IF($D206&lt;&gt;"Serviço","",
          IF(AUTOEVENTO="manual",$A206,
                IF(ISERROR(MATCH($A206,$A$15:OFFSET($A206,-1,0),0)),MAX($M$15:OFFSET(M206,-1,0))+1,
                      INDEX($M$15:OFFSET(M206,-1,0),MATCH($A206,$A$15:OFFSET($A206,-1,0),0)))))</f>
        <v>11</v>
      </c>
      <c r="N206" s="168" t="str">
        <f ca="1">IF($D206&lt;&gt;"Serviço","",
         IF(AUTOEVENTO="Manual",
                IF($A206=0,"&lt;-- defina o número do agrupador",
                       OFFSET(EVENTOS!$D$15,$A206-$A$15,0)),
                OFFSET($F$15,$A206,0)))</f>
        <v>INSTALAÇÕES HIDROSSANITÁRIAS</v>
      </c>
      <c r="O206" s="169"/>
      <c r="Q206" s="169"/>
      <c r="R206" s="170"/>
      <c r="S206" s="170"/>
      <c r="T206" s="170"/>
      <c r="U206" s="170"/>
      <c r="V206" s="170"/>
      <c r="W206" s="170"/>
      <c r="X206" s="170"/>
      <c r="Y206" s="170"/>
      <c r="Z206" s="171"/>
      <c r="AB206" s="454">
        <f ca="1">IF(AND($D206="Serviço",AB$12&lt;&gt;0,$H206&gt;0,OR(AUTOEVENTO&lt;&gt;"manual",$M206&lt;&gt;$A$15)),
        IF(Import.TipoArredondamento&lt;&gt;"TransfereGOV",
              ROUND(OFFSET($P206,0,AB$13),15-13*ORÇAMENTO!$AF$7)/$H206*OFFSET(ORÇAMENTO!$X$15,ROW(AB206)-ROW(AB$15),0),
              ROUND(ROUND(OFFSET($P206,0,AB$13),15-13*ORÇAMENTO!$AF$7)*OFFSET(ORÇAMENTO!$W$15,ROW(AB206)-ROW(AB$15),0),15-13*ORÇAMENTO!$AF$11)),
         0)</f>
        <v>0</v>
      </c>
      <c r="AC206" s="454">
        <f ca="1">IF(AND($D206="Serviço",AC$12&lt;&gt;0,$H206&gt;0,OR(AUTOEVENTO&lt;&gt;"manual",$M206&lt;&gt;$A$15)),
        IF(Import.TipoArredondamento&lt;&gt;"TransfereGOV",
              ROUND(OFFSET($P206,0,AC$13),15-13*ORÇAMENTO!$AF$7)/$H206*OFFSET(ORÇAMENTO!$X$15,ROW(AC206)-ROW(AC$15),0),
              ROUND(ROUND(OFFSET($P206,0,AC$13),15-13*ORÇAMENTO!$AF$7)*OFFSET(ORÇAMENTO!$W$15,ROW(AC206)-ROW(AC$15),0),15-13*ORÇAMENTO!$AF$11)),
         0)</f>
        <v>0</v>
      </c>
      <c r="AD206" s="454">
        <f ca="1">IF(AND($D206="Serviço",AD$12&lt;&gt;0,$H206&gt;0,OR(AUTOEVENTO&lt;&gt;"manual",$M206&lt;&gt;$A$15)),
        IF(Import.TipoArredondamento&lt;&gt;"TransfereGOV",
              ROUND(OFFSET($P206,0,AD$13),15-13*ORÇAMENTO!$AF$7)/$H206*OFFSET(ORÇAMENTO!$X$15,ROW(AD206)-ROW(AD$15),0),
              ROUND(ROUND(OFFSET($P206,0,AD$13),15-13*ORÇAMENTO!$AF$7)*OFFSET(ORÇAMENTO!$W$15,ROW(AD206)-ROW(AD$15),0),15-13*ORÇAMENTO!$AF$11)),
         0)</f>
        <v>0</v>
      </c>
      <c r="AE206" s="454">
        <f ca="1">IF(AND($D206="Serviço",AE$12&lt;&gt;0,$H206&gt;0,OR(AUTOEVENTO&lt;&gt;"manual",$M206&lt;&gt;$A$15)),
        IF(Import.TipoArredondamento&lt;&gt;"TransfereGOV",
              ROUND(OFFSET($P206,0,AE$13),15-13*ORÇAMENTO!$AF$7)/$H206*OFFSET(ORÇAMENTO!$X$15,ROW(AE206)-ROW(AE$15),0),
              ROUND(ROUND(OFFSET($P206,0,AE$13),15-13*ORÇAMENTO!$AF$7)*OFFSET(ORÇAMENTO!$W$15,ROW(AE206)-ROW(AE$15),0),15-13*ORÇAMENTO!$AF$11)),
         0)</f>
        <v>0</v>
      </c>
      <c r="AF206" s="454">
        <f ca="1">IF(AND($D206="Serviço",AF$12&lt;&gt;0,$H206&gt;0,OR(AUTOEVENTO&lt;&gt;"manual",$M206&lt;&gt;$A$15)),
        IF(Import.TipoArredondamento&lt;&gt;"TransfereGOV",
              ROUND(OFFSET($P206,0,AF$13),15-13*ORÇAMENTO!$AF$7)/$H206*OFFSET(ORÇAMENTO!$X$15,ROW(AF206)-ROW(AF$15),0),
              ROUND(ROUND(OFFSET($P206,0,AF$13),15-13*ORÇAMENTO!$AF$7)*OFFSET(ORÇAMENTO!$W$15,ROW(AF206)-ROW(AF$15),0),15-13*ORÇAMENTO!$AF$11)),
         0)</f>
        <v>0</v>
      </c>
      <c r="AG206" s="454">
        <f ca="1">IF(AND($D206="Serviço",AG$12&lt;&gt;0,$H206&gt;0,OR(AUTOEVENTO&lt;&gt;"manual",$M206&lt;&gt;$A$15)),
        IF(Import.TipoArredondamento&lt;&gt;"TransfereGOV",
              ROUND(OFFSET($P206,0,AG$13),15-13*ORÇAMENTO!$AF$7)/$H206*OFFSET(ORÇAMENTO!$X$15,ROW(AG206)-ROW(AG$15),0),
              ROUND(ROUND(OFFSET($P206,0,AG$13),15-13*ORÇAMENTO!$AF$7)*OFFSET(ORÇAMENTO!$W$15,ROW(AG206)-ROW(AG$15),0),15-13*ORÇAMENTO!$AF$11)),
         0)</f>
        <v>0</v>
      </c>
      <c r="AH206" s="454">
        <f ca="1">IF(AND($D206="Serviço",AH$12&lt;&gt;0,$H206&gt;0,OR(AUTOEVENTO&lt;&gt;"manual",$M206&lt;&gt;$A$15)),
        IF(Import.TipoArredondamento&lt;&gt;"TransfereGOV",
              ROUND(OFFSET($P206,0,AH$13),15-13*ORÇAMENTO!$AF$7)/$H206*OFFSET(ORÇAMENTO!$X$15,ROW(AH206)-ROW(AH$15),0),
              ROUND(ROUND(OFFSET($P206,0,AH$13),15-13*ORÇAMENTO!$AF$7)*OFFSET(ORÇAMENTO!$W$15,ROW(AH206)-ROW(AH$15),0),15-13*ORÇAMENTO!$AF$11)),
         0)</f>
        <v>0</v>
      </c>
      <c r="AI206" s="454">
        <f ca="1">IF(AND($D206="Serviço",AI$12&lt;&gt;0,$H206&gt;0,OR(AUTOEVENTO&lt;&gt;"manual",$M206&lt;&gt;$A$15)),
        IF(Import.TipoArredondamento&lt;&gt;"TransfereGOV",
              ROUND(OFFSET($P206,0,AI$13),15-13*ORÇAMENTO!$AF$7)/$H206*OFFSET(ORÇAMENTO!$X$15,ROW(AI206)-ROW(AI$15),0),
              ROUND(ROUND(OFFSET($P206,0,AI$13),15-13*ORÇAMENTO!$AF$7)*OFFSET(ORÇAMENTO!$W$15,ROW(AI206)-ROW(AI$15),0),15-13*ORÇAMENTO!$AF$11)),
         0)</f>
        <v>0</v>
      </c>
      <c r="AJ206" s="454">
        <f ca="1">IF(AND($D206="Serviço",AJ$12&lt;&gt;0,$H206&gt;0,OR(AUTOEVENTO&lt;&gt;"manual",$M206&lt;&gt;$A$15)),
        IF(Import.TipoArredondamento&lt;&gt;"TransfereGOV",
              ROUND(OFFSET($P206,0,AJ$13),15-13*ORÇAMENTO!$AF$7)/$H206*OFFSET(ORÇAMENTO!$X$15,ROW(AJ206)-ROW(AJ$15),0),
              ROUND(ROUND(OFFSET($P206,0,AJ$13),15-13*ORÇAMENTO!$AF$7)*OFFSET(ORÇAMENTO!$W$15,ROW(AJ206)-ROW(AJ$15),0),15-13*ORÇAMENTO!$AF$11)),
         0)</f>
        <v>0</v>
      </c>
      <c r="AK206" s="454">
        <f ca="1">IF(AND($D206="Serviço",AK$12&lt;&gt;0,$H206&gt;0,OR(AUTOEVENTO&lt;&gt;"manual",$M206&lt;&gt;$A$15)),
        IF(Import.TipoArredondamento&lt;&gt;"TransfereGOV",
              ROUND(OFFSET($P206,0,AK$13),15-13*ORÇAMENTO!$AF$7)/$H206*OFFSET(ORÇAMENTO!$X$15,ROW(AK206)-ROW(AK$15),0),
              ROUND(ROUND(OFFSET($P206,0,AK$13),15-13*ORÇAMENTO!$AF$7)*OFFSET(ORÇAMENTO!$W$15,ROW(AK206)-ROW(AK$15),0),15-13*ORÇAMENTO!$AF$11)),
         0)</f>
        <v>0</v>
      </c>
      <c r="AM206" s="172">
        <f ca="1">IF(OR($D206&lt;&gt;"Serviço",AND(AUTOEVENTO="Manual",$M206=$A$15)),0,
         IF(OFFSET(CRONOPLE!$F$15,$M206-$A$15,AM$13)="",10^12,OFFSET(CRONOPLE!$F$15,$M206-$A$15,AM$13)))</f>
        <v>1000000000000</v>
      </c>
      <c r="AN206" s="172">
        <f ca="1">IF(OR($D206&lt;&gt;"Serviço",AND(AUTOEVENTO="Manual",$M206=$A$15)),0,
         IF(OFFSET(CRONOPLE!$F$15,$M206-$A$15,AN$13)="",10^12,OFFSET(CRONOPLE!$F$15,$M206-$A$15,AN$13)))</f>
        <v>1000000000000</v>
      </c>
      <c r="AO206" s="172">
        <f ca="1">IF(OR($D206&lt;&gt;"Serviço",AND(AUTOEVENTO="Manual",$M206=$A$15)),0,
         IF(OFFSET(CRONOPLE!$F$15,$M206-$A$15,AO$13)="",10^12,OFFSET(CRONOPLE!$F$15,$M206-$A$15,AO$13)))</f>
        <v>1000000000000</v>
      </c>
      <c r="AP206" s="172">
        <f ca="1">IF(OR($D206&lt;&gt;"Serviço",AND(AUTOEVENTO="Manual",$M206=$A$15)),0,
         IF(OFFSET(CRONOPLE!$F$15,$M206-$A$15,AP$13)="",10^12,OFFSET(CRONOPLE!$F$15,$M206-$A$15,AP$13)))</f>
        <v>1000000000000</v>
      </c>
      <c r="AQ206" s="172">
        <f ca="1">IF(OR($D206&lt;&gt;"Serviço",AND(AUTOEVENTO="Manual",$M206=$A$15)),0,
         IF(OFFSET(CRONOPLE!$F$15,$M206-$A$15,AQ$13)="",10^12,OFFSET(CRONOPLE!$F$15,$M206-$A$15,AQ$13)))</f>
        <v>1000000000000</v>
      </c>
      <c r="AR206" s="172">
        <f ca="1">IF(OR($D206&lt;&gt;"Serviço",AND(AUTOEVENTO="Manual",$M206=$A$15)),0,
         IF(OFFSET(CRONOPLE!$F$15,$M206-$A$15,AR$13)="",10^12,OFFSET(CRONOPLE!$F$15,$M206-$A$15,AR$13)))</f>
        <v>1000000000000</v>
      </c>
      <c r="AS206" s="172">
        <f ca="1">IF(OR($D206&lt;&gt;"Serviço",AND(AUTOEVENTO="Manual",$M206=$A$15)),0,
         IF(OFFSET(CRONOPLE!$F$15,$M206-$A$15,AS$13)="",10^12,OFFSET(CRONOPLE!$F$15,$M206-$A$15,AS$13)))</f>
        <v>1000000000000</v>
      </c>
      <c r="AT206" s="172">
        <f ca="1">IF(OR($D206&lt;&gt;"Serviço",AND(AUTOEVENTO="Manual",$M206=$A$15)),0,
         IF(OFFSET(CRONOPLE!$F$15,$M206-$A$15,AT$13)="",10^12,OFFSET(CRONOPLE!$F$15,$M206-$A$15,AT$13)))</f>
        <v>1000000000000</v>
      </c>
      <c r="AU206" s="172">
        <f ca="1">IF(OR($D206&lt;&gt;"Serviço",AND(AUTOEVENTO="Manual",$M206=$A$15)),0,
         IF(OFFSET(CRONOPLE!$F$15,$M206-$A$15,AU$13)="",10^12,OFFSET(CRONOPLE!$F$15,$M206-$A$15,AU$13)))</f>
        <v>1000000000000</v>
      </c>
      <c r="AV206" s="172">
        <f ca="1">IF(OR($D206&lt;&gt;"Serviço",AND(AUTOEVENTO="Manual",$M206=$A$15)),0,
         IF(OFFSET(CRONOPLE!$F$15,$M206-$A$15,AV$13)="",10^12,OFFSET(CRONOPLE!$F$15,$M206-$A$15,AV$13)))</f>
        <v>1000000000000</v>
      </c>
      <c r="AX206" s="173">
        <f ca="1">IF(OR($D206&lt;&gt;"Serviço",AND(AUTOEVENTO="Manual",$M206=$A$15),$M206&gt;(ROW(PLE.lastrow)-ROW(PLE.firstrow))),0,
           IF(OFFSET(PLE!$G$15,$M206-$A$15,AX$13)="",10^12,OFFSET(PLE!$G$15,$M206-$A$15,AX$13)))</f>
        <v>1000000000000</v>
      </c>
      <c r="AY206" s="173">
        <f ca="1">IF(OR($D206&lt;&gt;"Serviço",AND(AUTOEVENTO="Manual",$M206=$A$15),$M206&gt;(ROW(PLE.lastrow)-ROW(PLE.firstrow))),0,
           IF(OFFSET(PLE!$G$15,$M206-$A$15,AY$13)="",10^12,OFFSET(PLE!$G$15,$M206-$A$15,AY$13)))</f>
        <v>1000000000000</v>
      </c>
      <c r="AZ206" s="173">
        <f ca="1">IF(OR($D206&lt;&gt;"Serviço",AND(AUTOEVENTO="Manual",$M206=$A$15),$M206&gt;(ROW(PLE.lastrow)-ROW(PLE.firstrow))),0,
           IF(OFFSET(PLE!$G$15,$M206-$A$15,AZ$13)="",10^12,OFFSET(PLE!$G$15,$M206-$A$15,AZ$13)))</f>
        <v>1000000000000</v>
      </c>
      <c r="BA206" s="173">
        <f ca="1">IF(OR($D206&lt;&gt;"Serviço",AND(AUTOEVENTO="Manual",$M206=$A$15),$M206&gt;(ROW(PLE.lastrow)-ROW(PLE.firstrow))),0,
           IF(OFFSET(PLE!$G$15,$M206-$A$15,BA$13)="",10^12,OFFSET(PLE!$G$15,$M206-$A$15,BA$13)))</f>
        <v>1000000000000</v>
      </c>
      <c r="BB206" s="173">
        <f ca="1">IF(OR($D206&lt;&gt;"Serviço",AND(AUTOEVENTO="Manual",$M206=$A$15),$M206&gt;(ROW(PLE.lastrow)-ROW(PLE.firstrow))),0,
           IF(OFFSET(PLE!$G$15,$M206-$A$15,BB$13)="",10^12,OFFSET(PLE!$G$15,$M206-$A$15,BB$13)))</f>
        <v>1000000000000</v>
      </c>
      <c r="BC206" s="173">
        <f ca="1">IF(OR($D206&lt;&gt;"Serviço",AND(AUTOEVENTO="Manual",$M206=$A$15),$M206&gt;(ROW(PLE.lastrow)-ROW(PLE.firstrow))),0,
           IF(OFFSET(PLE!$G$15,$M206-$A$15,BC$13)="",10^12,OFFSET(PLE!$G$15,$M206-$A$15,BC$13)))</f>
        <v>1000000000000</v>
      </c>
      <c r="BD206" s="173">
        <f ca="1">IF(OR($D206&lt;&gt;"Serviço",AND(AUTOEVENTO="Manual",$M206=$A$15),$M206&gt;(ROW(PLE.lastrow)-ROW(PLE.firstrow))),0,
           IF(OFFSET(PLE!$G$15,$M206-$A$15,BD$13)="",10^12,OFFSET(PLE!$G$15,$M206-$A$15,BD$13)))</f>
        <v>1000000000000</v>
      </c>
      <c r="BE206" s="173">
        <f ca="1">IF(OR($D206&lt;&gt;"Serviço",AND(AUTOEVENTO="Manual",$M206=$A$15),$M206&gt;(ROW(PLE.lastrow)-ROW(PLE.firstrow))),0,
           IF(OFFSET(PLE!$G$15,$M206-$A$15,BE$13)="",10^12,OFFSET(PLE!$G$15,$M206-$A$15,BE$13)))</f>
        <v>1000000000000</v>
      </c>
      <c r="BF206" s="173">
        <f ca="1">IF(OR($D206&lt;&gt;"Serviço",AND(AUTOEVENTO="Manual",$M206=$A$15),$M206&gt;(ROW(PLE.lastrow)-ROW(PLE.firstrow))),0,
           IF(OFFSET(PLE!$G$15,$M206-$A$15,BF$13)="",10^12,OFFSET(PLE!$G$15,$M206-$A$15,BF$13)))</f>
        <v>1000000000000</v>
      </c>
      <c r="BG206" s="173">
        <f ca="1">IF(OR($D206&lt;&gt;"Serviço",AND(AUTOEVENTO="Manual",$M206=$A$15),$M206&gt;(ROW(PLE.lastrow)-ROW(PLE.firstrow))),0,
           IF(OFFSET(PLE!$G$15,$M206-$A$15,BG$13)="",10^12,OFFSET(PLE!$G$15,$M206-$A$15,BG$13)))</f>
        <v>1000000000000</v>
      </c>
    </row>
    <row r="207" spans="1:59" ht="25.5" x14ac:dyDescent="0.2">
      <c r="A207" s="7" t="str">
        <f t="shared" ref="A207:A271" ca="1" si="11">IF(AUTOEVENTO="Manual",IF(K207&lt;&gt;"",MIN(VALUE(LEFT(K207,FIND(".",K207)-1)),COUNTA(EVENTOS.Lista)),0),IF(OR($B207&gt;AUTOEVENTO,$B207="S",$B207=0),SUBSTITUTE(OFFSET($A207,-1,0),IF($D207="Serviço",".",""),""),ROW(A207)-ROW($A$15)&amp;"."))</f>
        <v>114</v>
      </c>
      <c r="B207" s="7" t="str">
        <f ca="1">OFFSET(ORÇAMENTO!C$15,ROW(B207)-ROW(B$15),0)</f>
        <v>S</v>
      </c>
      <c r="C207" s="7" t="str">
        <f ca="1">OFFSET(ORÇAMENTO!L$15,ROW(C207)-ROW(C$15),0)</f>
        <v/>
      </c>
      <c r="D207" s="117" t="str">
        <f ca="1">OFFSET(ORÇAMENTO!N$15,ROW(D207)-ROW(D$15),0)</f>
        <v>Serviço</v>
      </c>
      <c r="E207" s="118" t="str">
        <f ca="1">OFFSET(ORÇAMENTO!O$15,ROW(E207)-ROW(E$15),0)</f>
        <v>-</v>
      </c>
      <c r="F207" s="164" t="str">
        <f ca="1">OFFSET(ORÇAMENTO!R$15,ROW(F207)-ROW(F$15),0)</f>
        <v>TE, PVC, SOLDÁVEL, DN 25MM, INSTALADO EM RAMAL OU SUB-RAMAL DE ÁGUA - FORNECIMENTO E INSTALAÇÃO. AF_06/2022</v>
      </c>
      <c r="G207" s="165" t="str">
        <f ca="1">IF($D207&lt;&gt;"Serviço","",OFFSET(ORÇAMENTO!S$15,ROW(G207)-ROW(G$15),0))</f>
        <v>UN</v>
      </c>
      <c r="H207" s="123">
        <f ca="1">IF($D207&lt;&gt;"Serviço",0,IF(ACOMPANHAMENTO="BM",ROUND(OFFSET(ORÇAMENTO!AJ$15,ROW(H207)-ROW(H$15),0),15-13*ORÇAMENTO!$AF$7),SUMPRODUCT(($Q$1:$AA$1=1)*ROUND($Q207:$AA207,15-13*ORÇAMENTO!$AF$7))))</f>
        <v>1</v>
      </c>
      <c r="I207" s="469"/>
      <c r="J207" s="577" t="str" cm="1">
        <f t="array" aca="1" ref="J207" ca="1">IF(B207&lt;&gt;"S","",IF(AND(ACOMPANHAMENTO="PLE",AUTOEVENTO="Manual",OR(H207&gt;0,ORÇAMENTO!AC207="QUANT."),OR(K207="",M207=0,N207="")),"►",IF(AND(ACOMPANHAMENTO="PLE",ORÇAMENTO!AC207="QUANT."),"►►",IF(AND(COUNTIF($P$11:$AA$11,"▼")=0,H207&gt;0,I207=""),"◄",""))))</f>
        <v>◄</v>
      </c>
      <c r="K207" s="626"/>
      <c r="L207" s="166" t="s">
        <v>765</v>
      </c>
      <c r="M207" s="167">
        <f ca="1">IF($D207&lt;&gt;"Serviço","",
          IF(AUTOEVENTO="manual",$A207,
                IF(ISERROR(MATCH($A207,$A$15:OFFSET($A207,-1,0),0)),MAX($M$15:OFFSET(M207,-1,0))+1,
                      INDEX($M$15:OFFSET(M207,-1,0),MATCH($A207,$A$15:OFFSET($A207,-1,0),0)))))</f>
        <v>11</v>
      </c>
      <c r="N207" s="168" t="str">
        <f ca="1">IF($D207&lt;&gt;"Serviço","",
         IF(AUTOEVENTO="Manual",
                IF($A207=0,"&lt;-- defina o número do agrupador",
                       OFFSET(EVENTOS!$D$15,$A207-$A$15,0)),
                OFFSET($F$15,$A207,0)))</f>
        <v>INSTALAÇÕES HIDROSSANITÁRIAS</v>
      </c>
      <c r="O207" s="169"/>
      <c r="Q207" s="169"/>
      <c r="R207" s="170"/>
      <c r="S207" s="170"/>
      <c r="T207" s="170"/>
      <c r="U207" s="170"/>
      <c r="V207" s="170"/>
      <c r="W207" s="170"/>
      <c r="X207" s="170"/>
      <c r="Y207" s="170"/>
      <c r="Z207" s="171"/>
      <c r="AB207" s="454">
        <f ca="1">IF(AND($D207="Serviço",AB$12&lt;&gt;0,$H207&gt;0,OR(AUTOEVENTO&lt;&gt;"manual",$M207&lt;&gt;$A$15)),
        IF(Import.TipoArredondamento&lt;&gt;"TransfereGOV",
              ROUND(OFFSET($P207,0,AB$13),15-13*ORÇAMENTO!$AF$7)/$H207*OFFSET(ORÇAMENTO!$X$15,ROW(AB207)-ROW(AB$15),0),
              ROUND(ROUND(OFFSET($P207,0,AB$13),15-13*ORÇAMENTO!$AF$7)*OFFSET(ORÇAMENTO!$W$15,ROW(AB207)-ROW(AB$15),0),15-13*ORÇAMENTO!$AF$11)),
         0)</f>
        <v>0</v>
      </c>
      <c r="AC207" s="454">
        <f ca="1">IF(AND($D207="Serviço",AC$12&lt;&gt;0,$H207&gt;0,OR(AUTOEVENTO&lt;&gt;"manual",$M207&lt;&gt;$A$15)),
        IF(Import.TipoArredondamento&lt;&gt;"TransfereGOV",
              ROUND(OFFSET($P207,0,AC$13),15-13*ORÇAMENTO!$AF$7)/$H207*OFFSET(ORÇAMENTO!$X$15,ROW(AC207)-ROW(AC$15),0),
              ROUND(ROUND(OFFSET($P207,0,AC$13),15-13*ORÇAMENTO!$AF$7)*OFFSET(ORÇAMENTO!$W$15,ROW(AC207)-ROW(AC$15),0),15-13*ORÇAMENTO!$AF$11)),
         0)</f>
        <v>0</v>
      </c>
      <c r="AD207" s="454">
        <f ca="1">IF(AND($D207="Serviço",AD$12&lt;&gt;0,$H207&gt;0,OR(AUTOEVENTO&lt;&gt;"manual",$M207&lt;&gt;$A$15)),
        IF(Import.TipoArredondamento&lt;&gt;"TransfereGOV",
              ROUND(OFFSET($P207,0,AD$13),15-13*ORÇAMENTO!$AF$7)/$H207*OFFSET(ORÇAMENTO!$X$15,ROW(AD207)-ROW(AD$15),0),
              ROUND(ROUND(OFFSET($P207,0,AD$13),15-13*ORÇAMENTO!$AF$7)*OFFSET(ORÇAMENTO!$W$15,ROW(AD207)-ROW(AD$15),0),15-13*ORÇAMENTO!$AF$11)),
         0)</f>
        <v>0</v>
      </c>
      <c r="AE207" s="454">
        <f ca="1">IF(AND($D207="Serviço",AE$12&lt;&gt;0,$H207&gt;0,OR(AUTOEVENTO&lt;&gt;"manual",$M207&lt;&gt;$A$15)),
        IF(Import.TipoArredondamento&lt;&gt;"TransfereGOV",
              ROUND(OFFSET($P207,0,AE$13),15-13*ORÇAMENTO!$AF$7)/$H207*OFFSET(ORÇAMENTO!$X$15,ROW(AE207)-ROW(AE$15),0),
              ROUND(ROUND(OFFSET($P207,0,AE$13),15-13*ORÇAMENTO!$AF$7)*OFFSET(ORÇAMENTO!$W$15,ROW(AE207)-ROW(AE$15),0),15-13*ORÇAMENTO!$AF$11)),
         0)</f>
        <v>0</v>
      </c>
      <c r="AF207" s="454">
        <f ca="1">IF(AND($D207="Serviço",AF$12&lt;&gt;0,$H207&gt;0,OR(AUTOEVENTO&lt;&gt;"manual",$M207&lt;&gt;$A$15)),
        IF(Import.TipoArredondamento&lt;&gt;"TransfereGOV",
              ROUND(OFFSET($P207,0,AF$13),15-13*ORÇAMENTO!$AF$7)/$H207*OFFSET(ORÇAMENTO!$X$15,ROW(AF207)-ROW(AF$15),0),
              ROUND(ROUND(OFFSET($P207,0,AF$13),15-13*ORÇAMENTO!$AF$7)*OFFSET(ORÇAMENTO!$W$15,ROW(AF207)-ROW(AF$15),0),15-13*ORÇAMENTO!$AF$11)),
         0)</f>
        <v>0</v>
      </c>
      <c r="AG207" s="454">
        <f ca="1">IF(AND($D207="Serviço",AG$12&lt;&gt;0,$H207&gt;0,OR(AUTOEVENTO&lt;&gt;"manual",$M207&lt;&gt;$A$15)),
        IF(Import.TipoArredondamento&lt;&gt;"TransfereGOV",
              ROUND(OFFSET($P207,0,AG$13),15-13*ORÇAMENTO!$AF$7)/$H207*OFFSET(ORÇAMENTO!$X$15,ROW(AG207)-ROW(AG$15),0),
              ROUND(ROUND(OFFSET($P207,0,AG$13),15-13*ORÇAMENTO!$AF$7)*OFFSET(ORÇAMENTO!$W$15,ROW(AG207)-ROW(AG$15),0),15-13*ORÇAMENTO!$AF$11)),
         0)</f>
        <v>0</v>
      </c>
      <c r="AH207" s="454">
        <f ca="1">IF(AND($D207="Serviço",AH$12&lt;&gt;0,$H207&gt;0,OR(AUTOEVENTO&lt;&gt;"manual",$M207&lt;&gt;$A$15)),
        IF(Import.TipoArredondamento&lt;&gt;"TransfereGOV",
              ROUND(OFFSET($P207,0,AH$13),15-13*ORÇAMENTO!$AF$7)/$H207*OFFSET(ORÇAMENTO!$X$15,ROW(AH207)-ROW(AH$15),0),
              ROUND(ROUND(OFFSET($P207,0,AH$13),15-13*ORÇAMENTO!$AF$7)*OFFSET(ORÇAMENTO!$W$15,ROW(AH207)-ROW(AH$15),0),15-13*ORÇAMENTO!$AF$11)),
         0)</f>
        <v>0</v>
      </c>
      <c r="AI207" s="454">
        <f ca="1">IF(AND($D207="Serviço",AI$12&lt;&gt;0,$H207&gt;0,OR(AUTOEVENTO&lt;&gt;"manual",$M207&lt;&gt;$A$15)),
        IF(Import.TipoArredondamento&lt;&gt;"TransfereGOV",
              ROUND(OFFSET($P207,0,AI$13),15-13*ORÇAMENTO!$AF$7)/$H207*OFFSET(ORÇAMENTO!$X$15,ROW(AI207)-ROW(AI$15),0),
              ROUND(ROUND(OFFSET($P207,0,AI$13),15-13*ORÇAMENTO!$AF$7)*OFFSET(ORÇAMENTO!$W$15,ROW(AI207)-ROW(AI$15),0),15-13*ORÇAMENTO!$AF$11)),
         0)</f>
        <v>0</v>
      </c>
      <c r="AJ207" s="454">
        <f ca="1">IF(AND($D207="Serviço",AJ$12&lt;&gt;0,$H207&gt;0,OR(AUTOEVENTO&lt;&gt;"manual",$M207&lt;&gt;$A$15)),
        IF(Import.TipoArredondamento&lt;&gt;"TransfereGOV",
              ROUND(OFFSET($P207,0,AJ$13),15-13*ORÇAMENTO!$AF$7)/$H207*OFFSET(ORÇAMENTO!$X$15,ROW(AJ207)-ROW(AJ$15),0),
              ROUND(ROUND(OFFSET($P207,0,AJ$13),15-13*ORÇAMENTO!$AF$7)*OFFSET(ORÇAMENTO!$W$15,ROW(AJ207)-ROW(AJ$15),0),15-13*ORÇAMENTO!$AF$11)),
         0)</f>
        <v>0</v>
      </c>
      <c r="AK207" s="454">
        <f ca="1">IF(AND($D207="Serviço",AK$12&lt;&gt;0,$H207&gt;0,OR(AUTOEVENTO&lt;&gt;"manual",$M207&lt;&gt;$A$15)),
        IF(Import.TipoArredondamento&lt;&gt;"TransfereGOV",
              ROUND(OFFSET($P207,0,AK$13),15-13*ORÇAMENTO!$AF$7)/$H207*OFFSET(ORÇAMENTO!$X$15,ROW(AK207)-ROW(AK$15),0),
              ROUND(ROUND(OFFSET($P207,0,AK$13),15-13*ORÇAMENTO!$AF$7)*OFFSET(ORÇAMENTO!$W$15,ROW(AK207)-ROW(AK$15),0),15-13*ORÇAMENTO!$AF$11)),
         0)</f>
        <v>0</v>
      </c>
      <c r="AM207" s="172">
        <f ca="1">IF(OR($D207&lt;&gt;"Serviço",AND(AUTOEVENTO="Manual",$M207=$A$15)),0,
         IF(OFFSET(CRONOPLE!$F$15,$M207-$A$15,AM$13)="",10^12,OFFSET(CRONOPLE!$F$15,$M207-$A$15,AM$13)))</f>
        <v>1000000000000</v>
      </c>
      <c r="AN207" s="172">
        <f ca="1">IF(OR($D207&lt;&gt;"Serviço",AND(AUTOEVENTO="Manual",$M207=$A$15)),0,
         IF(OFFSET(CRONOPLE!$F$15,$M207-$A$15,AN$13)="",10^12,OFFSET(CRONOPLE!$F$15,$M207-$A$15,AN$13)))</f>
        <v>1000000000000</v>
      </c>
      <c r="AO207" s="172">
        <f ca="1">IF(OR($D207&lt;&gt;"Serviço",AND(AUTOEVENTO="Manual",$M207=$A$15)),0,
         IF(OFFSET(CRONOPLE!$F$15,$M207-$A$15,AO$13)="",10^12,OFFSET(CRONOPLE!$F$15,$M207-$A$15,AO$13)))</f>
        <v>1000000000000</v>
      </c>
      <c r="AP207" s="172">
        <f ca="1">IF(OR($D207&lt;&gt;"Serviço",AND(AUTOEVENTO="Manual",$M207=$A$15)),0,
         IF(OFFSET(CRONOPLE!$F$15,$M207-$A$15,AP$13)="",10^12,OFFSET(CRONOPLE!$F$15,$M207-$A$15,AP$13)))</f>
        <v>1000000000000</v>
      </c>
      <c r="AQ207" s="172">
        <f ca="1">IF(OR($D207&lt;&gt;"Serviço",AND(AUTOEVENTO="Manual",$M207=$A$15)),0,
         IF(OFFSET(CRONOPLE!$F$15,$M207-$A$15,AQ$13)="",10^12,OFFSET(CRONOPLE!$F$15,$M207-$A$15,AQ$13)))</f>
        <v>1000000000000</v>
      </c>
      <c r="AR207" s="172">
        <f ca="1">IF(OR($D207&lt;&gt;"Serviço",AND(AUTOEVENTO="Manual",$M207=$A$15)),0,
         IF(OFFSET(CRONOPLE!$F$15,$M207-$A$15,AR$13)="",10^12,OFFSET(CRONOPLE!$F$15,$M207-$A$15,AR$13)))</f>
        <v>1000000000000</v>
      </c>
      <c r="AS207" s="172">
        <f ca="1">IF(OR($D207&lt;&gt;"Serviço",AND(AUTOEVENTO="Manual",$M207=$A$15)),0,
         IF(OFFSET(CRONOPLE!$F$15,$M207-$A$15,AS$13)="",10^12,OFFSET(CRONOPLE!$F$15,$M207-$A$15,AS$13)))</f>
        <v>1000000000000</v>
      </c>
      <c r="AT207" s="172">
        <f ca="1">IF(OR($D207&lt;&gt;"Serviço",AND(AUTOEVENTO="Manual",$M207=$A$15)),0,
         IF(OFFSET(CRONOPLE!$F$15,$M207-$A$15,AT$13)="",10^12,OFFSET(CRONOPLE!$F$15,$M207-$A$15,AT$13)))</f>
        <v>1000000000000</v>
      </c>
      <c r="AU207" s="172">
        <f ca="1">IF(OR($D207&lt;&gt;"Serviço",AND(AUTOEVENTO="Manual",$M207=$A$15)),0,
         IF(OFFSET(CRONOPLE!$F$15,$M207-$A$15,AU$13)="",10^12,OFFSET(CRONOPLE!$F$15,$M207-$A$15,AU$13)))</f>
        <v>1000000000000</v>
      </c>
      <c r="AV207" s="172">
        <f ca="1">IF(OR($D207&lt;&gt;"Serviço",AND(AUTOEVENTO="Manual",$M207=$A$15)),0,
         IF(OFFSET(CRONOPLE!$F$15,$M207-$A$15,AV$13)="",10^12,OFFSET(CRONOPLE!$F$15,$M207-$A$15,AV$13)))</f>
        <v>1000000000000</v>
      </c>
      <c r="AX207" s="173">
        <f ca="1">IF(OR($D207&lt;&gt;"Serviço",AND(AUTOEVENTO="Manual",$M207=$A$15),$M207&gt;(ROW(PLE.lastrow)-ROW(PLE.firstrow))),0,
           IF(OFFSET(PLE!$G$15,$M207-$A$15,AX$13)="",10^12,OFFSET(PLE!$G$15,$M207-$A$15,AX$13)))</f>
        <v>1000000000000</v>
      </c>
      <c r="AY207" s="173">
        <f ca="1">IF(OR($D207&lt;&gt;"Serviço",AND(AUTOEVENTO="Manual",$M207=$A$15),$M207&gt;(ROW(PLE.lastrow)-ROW(PLE.firstrow))),0,
           IF(OFFSET(PLE!$G$15,$M207-$A$15,AY$13)="",10^12,OFFSET(PLE!$G$15,$M207-$A$15,AY$13)))</f>
        <v>1000000000000</v>
      </c>
      <c r="AZ207" s="173">
        <f ca="1">IF(OR($D207&lt;&gt;"Serviço",AND(AUTOEVENTO="Manual",$M207=$A$15),$M207&gt;(ROW(PLE.lastrow)-ROW(PLE.firstrow))),0,
           IF(OFFSET(PLE!$G$15,$M207-$A$15,AZ$13)="",10^12,OFFSET(PLE!$G$15,$M207-$A$15,AZ$13)))</f>
        <v>1000000000000</v>
      </c>
      <c r="BA207" s="173">
        <f ca="1">IF(OR($D207&lt;&gt;"Serviço",AND(AUTOEVENTO="Manual",$M207=$A$15),$M207&gt;(ROW(PLE.lastrow)-ROW(PLE.firstrow))),0,
           IF(OFFSET(PLE!$G$15,$M207-$A$15,BA$13)="",10^12,OFFSET(PLE!$G$15,$M207-$A$15,BA$13)))</f>
        <v>1000000000000</v>
      </c>
      <c r="BB207" s="173">
        <f ca="1">IF(OR($D207&lt;&gt;"Serviço",AND(AUTOEVENTO="Manual",$M207=$A$15),$M207&gt;(ROW(PLE.lastrow)-ROW(PLE.firstrow))),0,
           IF(OFFSET(PLE!$G$15,$M207-$A$15,BB$13)="",10^12,OFFSET(PLE!$G$15,$M207-$A$15,BB$13)))</f>
        <v>1000000000000</v>
      </c>
      <c r="BC207" s="173">
        <f ca="1">IF(OR($D207&lt;&gt;"Serviço",AND(AUTOEVENTO="Manual",$M207=$A$15),$M207&gt;(ROW(PLE.lastrow)-ROW(PLE.firstrow))),0,
           IF(OFFSET(PLE!$G$15,$M207-$A$15,BC$13)="",10^12,OFFSET(PLE!$G$15,$M207-$A$15,BC$13)))</f>
        <v>1000000000000</v>
      </c>
      <c r="BD207" s="173">
        <f ca="1">IF(OR($D207&lt;&gt;"Serviço",AND(AUTOEVENTO="Manual",$M207=$A$15),$M207&gt;(ROW(PLE.lastrow)-ROW(PLE.firstrow))),0,
           IF(OFFSET(PLE!$G$15,$M207-$A$15,BD$13)="",10^12,OFFSET(PLE!$G$15,$M207-$A$15,BD$13)))</f>
        <v>1000000000000</v>
      </c>
      <c r="BE207" s="173">
        <f ca="1">IF(OR($D207&lt;&gt;"Serviço",AND(AUTOEVENTO="Manual",$M207=$A$15),$M207&gt;(ROW(PLE.lastrow)-ROW(PLE.firstrow))),0,
           IF(OFFSET(PLE!$G$15,$M207-$A$15,BE$13)="",10^12,OFFSET(PLE!$G$15,$M207-$A$15,BE$13)))</f>
        <v>1000000000000</v>
      </c>
      <c r="BF207" s="173">
        <f ca="1">IF(OR($D207&lt;&gt;"Serviço",AND(AUTOEVENTO="Manual",$M207=$A$15),$M207&gt;(ROW(PLE.lastrow)-ROW(PLE.firstrow))),0,
           IF(OFFSET(PLE!$G$15,$M207-$A$15,BF$13)="",10^12,OFFSET(PLE!$G$15,$M207-$A$15,BF$13)))</f>
        <v>1000000000000</v>
      </c>
      <c r="BG207" s="173">
        <f ca="1">IF(OR($D207&lt;&gt;"Serviço",AND(AUTOEVENTO="Manual",$M207=$A$15),$M207&gt;(ROW(PLE.lastrow)-ROW(PLE.firstrow))),0,
           IF(OFFSET(PLE!$G$15,$M207-$A$15,BG$13)="",10^12,OFFSET(PLE!$G$15,$M207-$A$15,BG$13)))</f>
        <v>1000000000000</v>
      </c>
    </row>
    <row r="208" spans="1:59" ht="25.5" x14ac:dyDescent="0.2">
      <c r="A208" s="7" t="str">
        <f t="shared" ca="1" si="11"/>
        <v>114</v>
      </c>
      <c r="B208" s="7" t="str">
        <f ca="1">OFFSET(ORÇAMENTO!C$15,ROW(B208)-ROW(B$15),0)</f>
        <v>S</v>
      </c>
      <c r="C208" s="7" t="str">
        <f ca="1">OFFSET(ORÇAMENTO!L$15,ROW(C208)-ROW(C$15),0)</f>
        <v/>
      </c>
      <c r="D208" s="117" t="str">
        <f ca="1">OFFSET(ORÇAMENTO!N$15,ROW(D208)-ROW(D$15),0)</f>
        <v>Serviço</v>
      </c>
      <c r="E208" s="118" t="str">
        <f ca="1">OFFSET(ORÇAMENTO!O$15,ROW(E208)-ROW(E$15),0)</f>
        <v>-</v>
      </c>
      <c r="F208" s="164" t="str">
        <f ca="1">OFFSET(ORÇAMENTO!R$15,ROW(F208)-ROW(F$15),0)</f>
        <v>TÊ, PVC, SOLDÁVEL, DN 40 MM INSTALADO EM RESERVAÇÃO PREDIAL DE ÁGUA - FORNECIMENTO E INSTALAÇÃO. AF_04/2024</v>
      </c>
      <c r="G208" s="165" t="str">
        <f ca="1">IF($D208&lt;&gt;"Serviço","",OFFSET(ORÇAMENTO!S$15,ROW(G208)-ROW(G$15),0))</f>
        <v>UN</v>
      </c>
      <c r="H208" s="123">
        <f ca="1">IF($D208&lt;&gt;"Serviço",0,IF(ACOMPANHAMENTO="BM",ROUND(OFFSET(ORÇAMENTO!AJ$15,ROW(H208)-ROW(H$15),0),15-13*ORÇAMENTO!$AF$7),SUMPRODUCT(($Q$1:$AA$1=1)*ROUND($Q208:$AA208,15-13*ORÇAMENTO!$AF$7))))</f>
        <v>1</v>
      </c>
      <c r="I208" s="469"/>
      <c r="J208" s="577" t="str" cm="1">
        <f t="array" aca="1" ref="J208" ca="1">IF(B208&lt;&gt;"S","",IF(AND(ACOMPANHAMENTO="PLE",AUTOEVENTO="Manual",OR(H208&gt;0,ORÇAMENTO!AC208="QUANT."),OR(K208="",M208=0,N208="")),"►",IF(AND(ACOMPANHAMENTO="PLE",ORÇAMENTO!AC208="QUANT."),"►►",IF(AND(COUNTIF($P$11:$AA$11,"▼")=0,H208&gt;0,I208=""),"◄",""))))</f>
        <v>◄</v>
      </c>
      <c r="K208" s="626"/>
      <c r="L208" s="166" t="s">
        <v>765</v>
      </c>
      <c r="M208" s="167">
        <f ca="1">IF($D208&lt;&gt;"Serviço","",
          IF(AUTOEVENTO="manual",$A208,
                IF(ISERROR(MATCH($A208,$A$15:OFFSET($A208,-1,0),0)),MAX($M$15:OFFSET(M208,-1,0))+1,
                      INDEX($M$15:OFFSET(M208,-1,0),MATCH($A208,$A$15:OFFSET($A208,-1,0),0)))))</f>
        <v>11</v>
      </c>
      <c r="N208" s="168" t="str">
        <f ca="1">IF($D208&lt;&gt;"Serviço","",
         IF(AUTOEVENTO="Manual",
                IF($A208=0,"&lt;-- defina o número do agrupador",
                       OFFSET(EVENTOS!$D$15,$A208-$A$15,0)),
                OFFSET($F$15,$A208,0)))</f>
        <v>INSTALAÇÕES HIDROSSANITÁRIAS</v>
      </c>
      <c r="O208" s="169"/>
      <c r="Q208" s="169"/>
      <c r="R208" s="170"/>
      <c r="S208" s="170"/>
      <c r="T208" s="170"/>
      <c r="U208" s="170"/>
      <c r="V208" s="170"/>
      <c r="W208" s="170"/>
      <c r="X208" s="170"/>
      <c r="Y208" s="170"/>
      <c r="Z208" s="171"/>
      <c r="AB208" s="454">
        <f ca="1">IF(AND($D208="Serviço",AB$12&lt;&gt;0,$H208&gt;0,OR(AUTOEVENTO&lt;&gt;"manual",$M208&lt;&gt;$A$15)),
        IF(Import.TipoArredondamento&lt;&gt;"TransfereGOV",
              ROUND(OFFSET($P208,0,AB$13),15-13*ORÇAMENTO!$AF$7)/$H208*OFFSET(ORÇAMENTO!$X$15,ROW(AB208)-ROW(AB$15),0),
              ROUND(ROUND(OFFSET($P208,0,AB$13),15-13*ORÇAMENTO!$AF$7)*OFFSET(ORÇAMENTO!$W$15,ROW(AB208)-ROW(AB$15),0),15-13*ORÇAMENTO!$AF$11)),
         0)</f>
        <v>0</v>
      </c>
      <c r="AC208" s="454">
        <f ca="1">IF(AND($D208="Serviço",AC$12&lt;&gt;0,$H208&gt;0,OR(AUTOEVENTO&lt;&gt;"manual",$M208&lt;&gt;$A$15)),
        IF(Import.TipoArredondamento&lt;&gt;"TransfereGOV",
              ROUND(OFFSET($P208,0,AC$13),15-13*ORÇAMENTO!$AF$7)/$H208*OFFSET(ORÇAMENTO!$X$15,ROW(AC208)-ROW(AC$15),0),
              ROUND(ROUND(OFFSET($P208,0,AC$13),15-13*ORÇAMENTO!$AF$7)*OFFSET(ORÇAMENTO!$W$15,ROW(AC208)-ROW(AC$15),0),15-13*ORÇAMENTO!$AF$11)),
         0)</f>
        <v>0</v>
      </c>
      <c r="AD208" s="454">
        <f ca="1">IF(AND($D208="Serviço",AD$12&lt;&gt;0,$H208&gt;0,OR(AUTOEVENTO&lt;&gt;"manual",$M208&lt;&gt;$A$15)),
        IF(Import.TipoArredondamento&lt;&gt;"TransfereGOV",
              ROUND(OFFSET($P208,0,AD$13),15-13*ORÇAMENTO!$AF$7)/$H208*OFFSET(ORÇAMENTO!$X$15,ROW(AD208)-ROW(AD$15),0),
              ROUND(ROUND(OFFSET($P208,0,AD$13),15-13*ORÇAMENTO!$AF$7)*OFFSET(ORÇAMENTO!$W$15,ROW(AD208)-ROW(AD$15),0),15-13*ORÇAMENTO!$AF$11)),
         0)</f>
        <v>0</v>
      </c>
      <c r="AE208" s="454">
        <f ca="1">IF(AND($D208="Serviço",AE$12&lt;&gt;0,$H208&gt;0,OR(AUTOEVENTO&lt;&gt;"manual",$M208&lt;&gt;$A$15)),
        IF(Import.TipoArredondamento&lt;&gt;"TransfereGOV",
              ROUND(OFFSET($P208,0,AE$13),15-13*ORÇAMENTO!$AF$7)/$H208*OFFSET(ORÇAMENTO!$X$15,ROW(AE208)-ROW(AE$15),0),
              ROUND(ROUND(OFFSET($P208,0,AE$13),15-13*ORÇAMENTO!$AF$7)*OFFSET(ORÇAMENTO!$W$15,ROW(AE208)-ROW(AE$15),0),15-13*ORÇAMENTO!$AF$11)),
         0)</f>
        <v>0</v>
      </c>
      <c r="AF208" s="454">
        <f ca="1">IF(AND($D208="Serviço",AF$12&lt;&gt;0,$H208&gt;0,OR(AUTOEVENTO&lt;&gt;"manual",$M208&lt;&gt;$A$15)),
        IF(Import.TipoArredondamento&lt;&gt;"TransfereGOV",
              ROUND(OFFSET($P208,0,AF$13),15-13*ORÇAMENTO!$AF$7)/$H208*OFFSET(ORÇAMENTO!$X$15,ROW(AF208)-ROW(AF$15),0),
              ROUND(ROUND(OFFSET($P208,0,AF$13),15-13*ORÇAMENTO!$AF$7)*OFFSET(ORÇAMENTO!$W$15,ROW(AF208)-ROW(AF$15),0),15-13*ORÇAMENTO!$AF$11)),
         0)</f>
        <v>0</v>
      </c>
      <c r="AG208" s="454">
        <f ca="1">IF(AND($D208="Serviço",AG$12&lt;&gt;0,$H208&gt;0,OR(AUTOEVENTO&lt;&gt;"manual",$M208&lt;&gt;$A$15)),
        IF(Import.TipoArredondamento&lt;&gt;"TransfereGOV",
              ROUND(OFFSET($P208,0,AG$13),15-13*ORÇAMENTO!$AF$7)/$H208*OFFSET(ORÇAMENTO!$X$15,ROW(AG208)-ROW(AG$15),0),
              ROUND(ROUND(OFFSET($P208,0,AG$13),15-13*ORÇAMENTO!$AF$7)*OFFSET(ORÇAMENTO!$W$15,ROW(AG208)-ROW(AG$15),0),15-13*ORÇAMENTO!$AF$11)),
         0)</f>
        <v>0</v>
      </c>
      <c r="AH208" s="454">
        <f ca="1">IF(AND($D208="Serviço",AH$12&lt;&gt;0,$H208&gt;0,OR(AUTOEVENTO&lt;&gt;"manual",$M208&lt;&gt;$A$15)),
        IF(Import.TipoArredondamento&lt;&gt;"TransfereGOV",
              ROUND(OFFSET($P208,0,AH$13),15-13*ORÇAMENTO!$AF$7)/$H208*OFFSET(ORÇAMENTO!$X$15,ROW(AH208)-ROW(AH$15),0),
              ROUND(ROUND(OFFSET($P208,0,AH$13),15-13*ORÇAMENTO!$AF$7)*OFFSET(ORÇAMENTO!$W$15,ROW(AH208)-ROW(AH$15),0),15-13*ORÇAMENTO!$AF$11)),
         0)</f>
        <v>0</v>
      </c>
      <c r="AI208" s="454">
        <f ca="1">IF(AND($D208="Serviço",AI$12&lt;&gt;0,$H208&gt;0,OR(AUTOEVENTO&lt;&gt;"manual",$M208&lt;&gt;$A$15)),
        IF(Import.TipoArredondamento&lt;&gt;"TransfereGOV",
              ROUND(OFFSET($P208,0,AI$13),15-13*ORÇAMENTO!$AF$7)/$H208*OFFSET(ORÇAMENTO!$X$15,ROW(AI208)-ROW(AI$15),0),
              ROUND(ROUND(OFFSET($P208,0,AI$13),15-13*ORÇAMENTO!$AF$7)*OFFSET(ORÇAMENTO!$W$15,ROW(AI208)-ROW(AI$15),0),15-13*ORÇAMENTO!$AF$11)),
         0)</f>
        <v>0</v>
      </c>
      <c r="AJ208" s="454">
        <f ca="1">IF(AND($D208="Serviço",AJ$12&lt;&gt;0,$H208&gt;0,OR(AUTOEVENTO&lt;&gt;"manual",$M208&lt;&gt;$A$15)),
        IF(Import.TipoArredondamento&lt;&gt;"TransfereGOV",
              ROUND(OFFSET($P208,0,AJ$13),15-13*ORÇAMENTO!$AF$7)/$H208*OFFSET(ORÇAMENTO!$X$15,ROW(AJ208)-ROW(AJ$15),0),
              ROUND(ROUND(OFFSET($P208,0,AJ$13),15-13*ORÇAMENTO!$AF$7)*OFFSET(ORÇAMENTO!$W$15,ROW(AJ208)-ROW(AJ$15),0),15-13*ORÇAMENTO!$AF$11)),
         0)</f>
        <v>0</v>
      </c>
      <c r="AK208" s="454">
        <f ca="1">IF(AND($D208="Serviço",AK$12&lt;&gt;0,$H208&gt;0,OR(AUTOEVENTO&lt;&gt;"manual",$M208&lt;&gt;$A$15)),
        IF(Import.TipoArredondamento&lt;&gt;"TransfereGOV",
              ROUND(OFFSET($P208,0,AK$13),15-13*ORÇAMENTO!$AF$7)/$H208*OFFSET(ORÇAMENTO!$X$15,ROW(AK208)-ROW(AK$15),0),
              ROUND(ROUND(OFFSET($P208,0,AK$13),15-13*ORÇAMENTO!$AF$7)*OFFSET(ORÇAMENTO!$W$15,ROW(AK208)-ROW(AK$15),0),15-13*ORÇAMENTO!$AF$11)),
         0)</f>
        <v>0</v>
      </c>
      <c r="AM208" s="172">
        <f ca="1">IF(OR($D208&lt;&gt;"Serviço",AND(AUTOEVENTO="Manual",$M208=$A$15)),0,
         IF(OFFSET(CRONOPLE!$F$15,$M208-$A$15,AM$13)="",10^12,OFFSET(CRONOPLE!$F$15,$M208-$A$15,AM$13)))</f>
        <v>1000000000000</v>
      </c>
      <c r="AN208" s="172">
        <f ca="1">IF(OR($D208&lt;&gt;"Serviço",AND(AUTOEVENTO="Manual",$M208=$A$15)),0,
         IF(OFFSET(CRONOPLE!$F$15,$M208-$A$15,AN$13)="",10^12,OFFSET(CRONOPLE!$F$15,$M208-$A$15,AN$13)))</f>
        <v>1000000000000</v>
      </c>
      <c r="AO208" s="172">
        <f ca="1">IF(OR($D208&lt;&gt;"Serviço",AND(AUTOEVENTO="Manual",$M208=$A$15)),0,
         IF(OFFSET(CRONOPLE!$F$15,$M208-$A$15,AO$13)="",10^12,OFFSET(CRONOPLE!$F$15,$M208-$A$15,AO$13)))</f>
        <v>1000000000000</v>
      </c>
      <c r="AP208" s="172">
        <f ca="1">IF(OR($D208&lt;&gt;"Serviço",AND(AUTOEVENTO="Manual",$M208=$A$15)),0,
         IF(OFFSET(CRONOPLE!$F$15,$M208-$A$15,AP$13)="",10^12,OFFSET(CRONOPLE!$F$15,$M208-$A$15,AP$13)))</f>
        <v>1000000000000</v>
      </c>
      <c r="AQ208" s="172">
        <f ca="1">IF(OR($D208&lt;&gt;"Serviço",AND(AUTOEVENTO="Manual",$M208=$A$15)),0,
         IF(OFFSET(CRONOPLE!$F$15,$M208-$A$15,AQ$13)="",10^12,OFFSET(CRONOPLE!$F$15,$M208-$A$15,AQ$13)))</f>
        <v>1000000000000</v>
      </c>
      <c r="AR208" s="172">
        <f ca="1">IF(OR($D208&lt;&gt;"Serviço",AND(AUTOEVENTO="Manual",$M208=$A$15)),0,
         IF(OFFSET(CRONOPLE!$F$15,$M208-$A$15,AR$13)="",10^12,OFFSET(CRONOPLE!$F$15,$M208-$A$15,AR$13)))</f>
        <v>1000000000000</v>
      </c>
      <c r="AS208" s="172">
        <f ca="1">IF(OR($D208&lt;&gt;"Serviço",AND(AUTOEVENTO="Manual",$M208=$A$15)),0,
         IF(OFFSET(CRONOPLE!$F$15,$M208-$A$15,AS$13)="",10^12,OFFSET(CRONOPLE!$F$15,$M208-$A$15,AS$13)))</f>
        <v>1000000000000</v>
      </c>
      <c r="AT208" s="172">
        <f ca="1">IF(OR($D208&lt;&gt;"Serviço",AND(AUTOEVENTO="Manual",$M208=$A$15)),0,
         IF(OFFSET(CRONOPLE!$F$15,$M208-$A$15,AT$13)="",10^12,OFFSET(CRONOPLE!$F$15,$M208-$A$15,AT$13)))</f>
        <v>1000000000000</v>
      </c>
      <c r="AU208" s="172">
        <f ca="1">IF(OR($D208&lt;&gt;"Serviço",AND(AUTOEVENTO="Manual",$M208=$A$15)),0,
         IF(OFFSET(CRONOPLE!$F$15,$M208-$A$15,AU$13)="",10^12,OFFSET(CRONOPLE!$F$15,$M208-$A$15,AU$13)))</f>
        <v>1000000000000</v>
      </c>
      <c r="AV208" s="172">
        <f ca="1">IF(OR($D208&lt;&gt;"Serviço",AND(AUTOEVENTO="Manual",$M208=$A$15)),0,
         IF(OFFSET(CRONOPLE!$F$15,$M208-$A$15,AV$13)="",10^12,OFFSET(CRONOPLE!$F$15,$M208-$A$15,AV$13)))</f>
        <v>1000000000000</v>
      </c>
      <c r="AX208" s="173">
        <f ca="1">IF(OR($D208&lt;&gt;"Serviço",AND(AUTOEVENTO="Manual",$M208=$A$15),$M208&gt;(ROW(PLE.lastrow)-ROW(PLE.firstrow))),0,
           IF(OFFSET(PLE!$G$15,$M208-$A$15,AX$13)="",10^12,OFFSET(PLE!$G$15,$M208-$A$15,AX$13)))</f>
        <v>1000000000000</v>
      </c>
      <c r="AY208" s="173">
        <f ca="1">IF(OR($D208&lt;&gt;"Serviço",AND(AUTOEVENTO="Manual",$M208=$A$15),$M208&gt;(ROW(PLE.lastrow)-ROW(PLE.firstrow))),0,
           IF(OFFSET(PLE!$G$15,$M208-$A$15,AY$13)="",10^12,OFFSET(PLE!$G$15,$M208-$A$15,AY$13)))</f>
        <v>1000000000000</v>
      </c>
      <c r="AZ208" s="173">
        <f ca="1">IF(OR($D208&lt;&gt;"Serviço",AND(AUTOEVENTO="Manual",$M208=$A$15),$M208&gt;(ROW(PLE.lastrow)-ROW(PLE.firstrow))),0,
           IF(OFFSET(PLE!$G$15,$M208-$A$15,AZ$13)="",10^12,OFFSET(PLE!$G$15,$M208-$A$15,AZ$13)))</f>
        <v>1000000000000</v>
      </c>
      <c r="BA208" s="173">
        <f ca="1">IF(OR($D208&lt;&gt;"Serviço",AND(AUTOEVENTO="Manual",$M208=$A$15),$M208&gt;(ROW(PLE.lastrow)-ROW(PLE.firstrow))),0,
           IF(OFFSET(PLE!$G$15,$M208-$A$15,BA$13)="",10^12,OFFSET(PLE!$G$15,$M208-$A$15,BA$13)))</f>
        <v>1000000000000</v>
      </c>
      <c r="BB208" s="173">
        <f ca="1">IF(OR($D208&lt;&gt;"Serviço",AND(AUTOEVENTO="Manual",$M208=$A$15),$M208&gt;(ROW(PLE.lastrow)-ROW(PLE.firstrow))),0,
           IF(OFFSET(PLE!$G$15,$M208-$A$15,BB$13)="",10^12,OFFSET(PLE!$G$15,$M208-$A$15,BB$13)))</f>
        <v>1000000000000</v>
      </c>
      <c r="BC208" s="173">
        <f ca="1">IF(OR($D208&lt;&gt;"Serviço",AND(AUTOEVENTO="Manual",$M208=$A$15),$M208&gt;(ROW(PLE.lastrow)-ROW(PLE.firstrow))),0,
           IF(OFFSET(PLE!$G$15,$M208-$A$15,BC$13)="",10^12,OFFSET(PLE!$G$15,$M208-$A$15,BC$13)))</f>
        <v>1000000000000</v>
      </c>
      <c r="BD208" s="173">
        <f ca="1">IF(OR($D208&lt;&gt;"Serviço",AND(AUTOEVENTO="Manual",$M208=$A$15),$M208&gt;(ROW(PLE.lastrow)-ROW(PLE.firstrow))),0,
           IF(OFFSET(PLE!$G$15,$M208-$A$15,BD$13)="",10^12,OFFSET(PLE!$G$15,$M208-$A$15,BD$13)))</f>
        <v>1000000000000</v>
      </c>
      <c r="BE208" s="173">
        <f ca="1">IF(OR($D208&lt;&gt;"Serviço",AND(AUTOEVENTO="Manual",$M208=$A$15),$M208&gt;(ROW(PLE.lastrow)-ROW(PLE.firstrow))),0,
           IF(OFFSET(PLE!$G$15,$M208-$A$15,BE$13)="",10^12,OFFSET(PLE!$G$15,$M208-$A$15,BE$13)))</f>
        <v>1000000000000</v>
      </c>
      <c r="BF208" s="173">
        <f ca="1">IF(OR($D208&lt;&gt;"Serviço",AND(AUTOEVENTO="Manual",$M208=$A$15),$M208&gt;(ROW(PLE.lastrow)-ROW(PLE.firstrow))),0,
           IF(OFFSET(PLE!$G$15,$M208-$A$15,BF$13)="",10^12,OFFSET(PLE!$G$15,$M208-$A$15,BF$13)))</f>
        <v>1000000000000</v>
      </c>
      <c r="BG208" s="173">
        <f ca="1">IF(OR($D208&lt;&gt;"Serviço",AND(AUTOEVENTO="Manual",$M208=$A$15),$M208&gt;(ROW(PLE.lastrow)-ROW(PLE.firstrow))),0,
           IF(OFFSET(PLE!$G$15,$M208-$A$15,BG$13)="",10^12,OFFSET(PLE!$G$15,$M208-$A$15,BG$13)))</f>
        <v>1000000000000</v>
      </c>
    </row>
    <row r="209" spans="1:59" ht="25.5" x14ac:dyDescent="0.2">
      <c r="A209" s="7" t="str">
        <f t="shared" ca="1" si="11"/>
        <v>114</v>
      </c>
      <c r="B209" s="7" t="str">
        <f ca="1">OFFSET(ORÇAMENTO!C$15,ROW(B209)-ROW(B$15),0)</f>
        <v>S</v>
      </c>
      <c r="C209" s="7" t="str">
        <f ca="1">OFFSET(ORÇAMENTO!L$15,ROW(C209)-ROW(C$15),0)</f>
        <v/>
      </c>
      <c r="D209" s="117" t="str">
        <f ca="1">OFFSET(ORÇAMENTO!N$15,ROW(D209)-ROW(D$15),0)</f>
        <v>Serviço</v>
      </c>
      <c r="E209" s="118" t="str">
        <f ca="1">OFFSET(ORÇAMENTO!O$15,ROW(E209)-ROW(E$15),0)</f>
        <v>-</v>
      </c>
      <c r="F209" s="164" t="str">
        <f ca="1">OFFSET(ORÇAMENTO!R$15,ROW(F209)-ROW(F$15),0)</f>
        <v>TÊ, PVC, SOLDÁVEL, DN  25 MM INSTALADO EM RESERVAÇÃO PREDIAL DE ÁGUA - FORNECIMENTO E INSTALAÇÃO. AF_04/2024</v>
      </c>
      <c r="G209" s="165" t="str">
        <f ca="1">IF($D209&lt;&gt;"Serviço","",OFFSET(ORÇAMENTO!S$15,ROW(G209)-ROW(G$15),0))</f>
        <v>UN</v>
      </c>
      <c r="H209" s="123">
        <f ca="1">IF($D209&lt;&gt;"Serviço",0,IF(ACOMPANHAMENTO="BM",ROUND(OFFSET(ORÇAMENTO!AJ$15,ROW(H209)-ROW(H$15),0),15-13*ORÇAMENTO!$AF$7),SUMPRODUCT(($Q$1:$AA$1=1)*ROUND($Q209:$AA209,15-13*ORÇAMENTO!$AF$7))))</f>
        <v>39</v>
      </c>
      <c r="I209" s="469"/>
      <c r="J209" s="577" t="str" cm="1">
        <f t="array" aca="1" ref="J209" ca="1">IF(B209&lt;&gt;"S","",IF(AND(ACOMPANHAMENTO="PLE",AUTOEVENTO="Manual",OR(H209&gt;0,ORÇAMENTO!AC209="QUANT."),OR(K209="",M209=0,N209="")),"►",IF(AND(ACOMPANHAMENTO="PLE",ORÇAMENTO!AC209="QUANT."),"►►",IF(AND(COUNTIF($P$11:$AA$11,"▼")=0,H209&gt;0,I209=""),"◄",""))))</f>
        <v>◄</v>
      </c>
      <c r="K209" s="626"/>
      <c r="L209" s="166" t="s">
        <v>765</v>
      </c>
      <c r="M209" s="167">
        <f ca="1">IF($D209&lt;&gt;"Serviço","",
          IF(AUTOEVENTO="manual",$A209,
                IF(ISERROR(MATCH($A209,$A$15:OFFSET($A209,-1,0),0)),MAX($M$15:OFFSET(M209,-1,0))+1,
                      INDEX($M$15:OFFSET(M209,-1,0),MATCH($A209,$A$15:OFFSET($A209,-1,0),0)))))</f>
        <v>11</v>
      </c>
      <c r="N209" s="168" t="str">
        <f ca="1">IF($D209&lt;&gt;"Serviço","",
         IF(AUTOEVENTO="Manual",
                IF($A209=0,"&lt;-- defina o número do agrupador",
                       OFFSET(EVENTOS!$D$15,$A209-$A$15,0)),
                OFFSET($F$15,$A209,0)))</f>
        <v>INSTALAÇÕES HIDROSSANITÁRIAS</v>
      </c>
      <c r="O209" s="169"/>
      <c r="Q209" s="169"/>
      <c r="R209" s="170"/>
      <c r="S209" s="170"/>
      <c r="T209" s="170"/>
      <c r="U209" s="170"/>
      <c r="V209" s="170"/>
      <c r="W209" s="170"/>
      <c r="X209" s="170"/>
      <c r="Y209" s="170"/>
      <c r="Z209" s="171"/>
      <c r="AB209" s="454">
        <f ca="1">IF(AND($D209="Serviço",AB$12&lt;&gt;0,$H209&gt;0,OR(AUTOEVENTO&lt;&gt;"manual",$M209&lt;&gt;$A$15)),
        IF(Import.TipoArredondamento&lt;&gt;"TransfereGOV",
              ROUND(OFFSET($P209,0,AB$13),15-13*ORÇAMENTO!$AF$7)/$H209*OFFSET(ORÇAMENTO!$X$15,ROW(AB209)-ROW(AB$15),0),
              ROUND(ROUND(OFFSET($P209,0,AB$13),15-13*ORÇAMENTO!$AF$7)*OFFSET(ORÇAMENTO!$W$15,ROW(AB209)-ROW(AB$15),0),15-13*ORÇAMENTO!$AF$11)),
         0)</f>
        <v>0</v>
      </c>
      <c r="AC209" s="454">
        <f ca="1">IF(AND($D209="Serviço",AC$12&lt;&gt;0,$H209&gt;0,OR(AUTOEVENTO&lt;&gt;"manual",$M209&lt;&gt;$A$15)),
        IF(Import.TipoArredondamento&lt;&gt;"TransfereGOV",
              ROUND(OFFSET($P209,0,AC$13),15-13*ORÇAMENTO!$AF$7)/$H209*OFFSET(ORÇAMENTO!$X$15,ROW(AC209)-ROW(AC$15),0),
              ROUND(ROUND(OFFSET($P209,0,AC$13),15-13*ORÇAMENTO!$AF$7)*OFFSET(ORÇAMENTO!$W$15,ROW(AC209)-ROW(AC$15),0),15-13*ORÇAMENTO!$AF$11)),
         0)</f>
        <v>0</v>
      </c>
      <c r="AD209" s="454">
        <f ca="1">IF(AND($D209="Serviço",AD$12&lt;&gt;0,$H209&gt;0,OR(AUTOEVENTO&lt;&gt;"manual",$M209&lt;&gt;$A$15)),
        IF(Import.TipoArredondamento&lt;&gt;"TransfereGOV",
              ROUND(OFFSET($P209,0,AD$13),15-13*ORÇAMENTO!$AF$7)/$H209*OFFSET(ORÇAMENTO!$X$15,ROW(AD209)-ROW(AD$15),0),
              ROUND(ROUND(OFFSET($P209,0,AD$13),15-13*ORÇAMENTO!$AF$7)*OFFSET(ORÇAMENTO!$W$15,ROW(AD209)-ROW(AD$15),0),15-13*ORÇAMENTO!$AF$11)),
         0)</f>
        <v>0</v>
      </c>
      <c r="AE209" s="454">
        <f ca="1">IF(AND($D209="Serviço",AE$12&lt;&gt;0,$H209&gt;0,OR(AUTOEVENTO&lt;&gt;"manual",$M209&lt;&gt;$A$15)),
        IF(Import.TipoArredondamento&lt;&gt;"TransfereGOV",
              ROUND(OFFSET($P209,0,AE$13),15-13*ORÇAMENTO!$AF$7)/$H209*OFFSET(ORÇAMENTO!$X$15,ROW(AE209)-ROW(AE$15),0),
              ROUND(ROUND(OFFSET($P209,0,AE$13),15-13*ORÇAMENTO!$AF$7)*OFFSET(ORÇAMENTO!$W$15,ROW(AE209)-ROW(AE$15),0),15-13*ORÇAMENTO!$AF$11)),
         0)</f>
        <v>0</v>
      </c>
      <c r="AF209" s="454">
        <f ca="1">IF(AND($D209="Serviço",AF$12&lt;&gt;0,$H209&gt;0,OR(AUTOEVENTO&lt;&gt;"manual",$M209&lt;&gt;$A$15)),
        IF(Import.TipoArredondamento&lt;&gt;"TransfereGOV",
              ROUND(OFFSET($P209,0,AF$13),15-13*ORÇAMENTO!$AF$7)/$H209*OFFSET(ORÇAMENTO!$X$15,ROW(AF209)-ROW(AF$15),0),
              ROUND(ROUND(OFFSET($P209,0,AF$13),15-13*ORÇAMENTO!$AF$7)*OFFSET(ORÇAMENTO!$W$15,ROW(AF209)-ROW(AF$15),0),15-13*ORÇAMENTO!$AF$11)),
         0)</f>
        <v>0</v>
      </c>
      <c r="AG209" s="454">
        <f ca="1">IF(AND($D209="Serviço",AG$12&lt;&gt;0,$H209&gt;0,OR(AUTOEVENTO&lt;&gt;"manual",$M209&lt;&gt;$A$15)),
        IF(Import.TipoArredondamento&lt;&gt;"TransfereGOV",
              ROUND(OFFSET($P209,0,AG$13),15-13*ORÇAMENTO!$AF$7)/$H209*OFFSET(ORÇAMENTO!$X$15,ROW(AG209)-ROW(AG$15),0),
              ROUND(ROUND(OFFSET($P209,0,AG$13),15-13*ORÇAMENTO!$AF$7)*OFFSET(ORÇAMENTO!$W$15,ROW(AG209)-ROW(AG$15),0),15-13*ORÇAMENTO!$AF$11)),
         0)</f>
        <v>0</v>
      </c>
      <c r="AH209" s="454">
        <f ca="1">IF(AND($D209="Serviço",AH$12&lt;&gt;0,$H209&gt;0,OR(AUTOEVENTO&lt;&gt;"manual",$M209&lt;&gt;$A$15)),
        IF(Import.TipoArredondamento&lt;&gt;"TransfereGOV",
              ROUND(OFFSET($P209,0,AH$13),15-13*ORÇAMENTO!$AF$7)/$H209*OFFSET(ORÇAMENTO!$X$15,ROW(AH209)-ROW(AH$15),0),
              ROUND(ROUND(OFFSET($P209,0,AH$13),15-13*ORÇAMENTO!$AF$7)*OFFSET(ORÇAMENTO!$W$15,ROW(AH209)-ROW(AH$15),0),15-13*ORÇAMENTO!$AF$11)),
         0)</f>
        <v>0</v>
      </c>
      <c r="AI209" s="454">
        <f ca="1">IF(AND($D209="Serviço",AI$12&lt;&gt;0,$H209&gt;0,OR(AUTOEVENTO&lt;&gt;"manual",$M209&lt;&gt;$A$15)),
        IF(Import.TipoArredondamento&lt;&gt;"TransfereGOV",
              ROUND(OFFSET($P209,0,AI$13),15-13*ORÇAMENTO!$AF$7)/$H209*OFFSET(ORÇAMENTO!$X$15,ROW(AI209)-ROW(AI$15),0),
              ROUND(ROUND(OFFSET($P209,0,AI$13),15-13*ORÇAMENTO!$AF$7)*OFFSET(ORÇAMENTO!$W$15,ROW(AI209)-ROW(AI$15),0),15-13*ORÇAMENTO!$AF$11)),
         0)</f>
        <v>0</v>
      </c>
      <c r="AJ209" s="454">
        <f ca="1">IF(AND($D209="Serviço",AJ$12&lt;&gt;0,$H209&gt;0,OR(AUTOEVENTO&lt;&gt;"manual",$M209&lt;&gt;$A$15)),
        IF(Import.TipoArredondamento&lt;&gt;"TransfereGOV",
              ROUND(OFFSET($P209,0,AJ$13),15-13*ORÇAMENTO!$AF$7)/$H209*OFFSET(ORÇAMENTO!$X$15,ROW(AJ209)-ROW(AJ$15),0),
              ROUND(ROUND(OFFSET($P209,0,AJ$13),15-13*ORÇAMENTO!$AF$7)*OFFSET(ORÇAMENTO!$W$15,ROW(AJ209)-ROW(AJ$15),0),15-13*ORÇAMENTO!$AF$11)),
         0)</f>
        <v>0</v>
      </c>
      <c r="AK209" s="454">
        <f ca="1">IF(AND($D209="Serviço",AK$12&lt;&gt;0,$H209&gt;0,OR(AUTOEVENTO&lt;&gt;"manual",$M209&lt;&gt;$A$15)),
        IF(Import.TipoArredondamento&lt;&gt;"TransfereGOV",
              ROUND(OFFSET($P209,0,AK$13),15-13*ORÇAMENTO!$AF$7)/$H209*OFFSET(ORÇAMENTO!$X$15,ROW(AK209)-ROW(AK$15),0),
              ROUND(ROUND(OFFSET($P209,0,AK$13),15-13*ORÇAMENTO!$AF$7)*OFFSET(ORÇAMENTO!$W$15,ROW(AK209)-ROW(AK$15),0),15-13*ORÇAMENTO!$AF$11)),
         0)</f>
        <v>0</v>
      </c>
      <c r="AM209" s="172">
        <f ca="1">IF(OR($D209&lt;&gt;"Serviço",AND(AUTOEVENTO="Manual",$M209=$A$15)),0,
         IF(OFFSET(CRONOPLE!$F$15,$M209-$A$15,AM$13)="",10^12,OFFSET(CRONOPLE!$F$15,$M209-$A$15,AM$13)))</f>
        <v>1000000000000</v>
      </c>
      <c r="AN209" s="172">
        <f ca="1">IF(OR($D209&lt;&gt;"Serviço",AND(AUTOEVENTO="Manual",$M209=$A$15)),0,
         IF(OFFSET(CRONOPLE!$F$15,$M209-$A$15,AN$13)="",10^12,OFFSET(CRONOPLE!$F$15,$M209-$A$15,AN$13)))</f>
        <v>1000000000000</v>
      </c>
      <c r="AO209" s="172">
        <f ca="1">IF(OR($D209&lt;&gt;"Serviço",AND(AUTOEVENTO="Manual",$M209=$A$15)),0,
         IF(OFFSET(CRONOPLE!$F$15,$M209-$A$15,AO$13)="",10^12,OFFSET(CRONOPLE!$F$15,$M209-$A$15,AO$13)))</f>
        <v>1000000000000</v>
      </c>
      <c r="AP209" s="172">
        <f ca="1">IF(OR($D209&lt;&gt;"Serviço",AND(AUTOEVENTO="Manual",$M209=$A$15)),0,
         IF(OFFSET(CRONOPLE!$F$15,$M209-$A$15,AP$13)="",10^12,OFFSET(CRONOPLE!$F$15,$M209-$A$15,AP$13)))</f>
        <v>1000000000000</v>
      </c>
      <c r="AQ209" s="172">
        <f ca="1">IF(OR($D209&lt;&gt;"Serviço",AND(AUTOEVENTO="Manual",$M209=$A$15)),0,
         IF(OFFSET(CRONOPLE!$F$15,$M209-$A$15,AQ$13)="",10^12,OFFSET(CRONOPLE!$F$15,$M209-$A$15,AQ$13)))</f>
        <v>1000000000000</v>
      </c>
      <c r="AR209" s="172">
        <f ca="1">IF(OR($D209&lt;&gt;"Serviço",AND(AUTOEVENTO="Manual",$M209=$A$15)),0,
         IF(OFFSET(CRONOPLE!$F$15,$M209-$A$15,AR$13)="",10^12,OFFSET(CRONOPLE!$F$15,$M209-$A$15,AR$13)))</f>
        <v>1000000000000</v>
      </c>
      <c r="AS209" s="172">
        <f ca="1">IF(OR($D209&lt;&gt;"Serviço",AND(AUTOEVENTO="Manual",$M209=$A$15)),0,
         IF(OFFSET(CRONOPLE!$F$15,$M209-$A$15,AS$13)="",10^12,OFFSET(CRONOPLE!$F$15,$M209-$A$15,AS$13)))</f>
        <v>1000000000000</v>
      </c>
      <c r="AT209" s="172">
        <f ca="1">IF(OR($D209&lt;&gt;"Serviço",AND(AUTOEVENTO="Manual",$M209=$A$15)),0,
         IF(OFFSET(CRONOPLE!$F$15,$M209-$A$15,AT$13)="",10^12,OFFSET(CRONOPLE!$F$15,$M209-$A$15,AT$13)))</f>
        <v>1000000000000</v>
      </c>
      <c r="AU209" s="172">
        <f ca="1">IF(OR($D209&lt;&gt;"Serviço",AND(AUTOEVENTO="Manual",$M209=$A$15)),0,
         IF(OFFSET(CRONOPLE!$F$15,$M209-$A$15,AU$13)="",10^12,OFFSET(CRONOPLE!$F$15,$M209-$A$15,AU$13)))</f>
        <v>1000000000000</v>
      </c>
      <c r="AV209" s="172">
        <f ca="1">IF(OR($D209&lt;&gt;"Serviço",AND(AUTOEVENTO="Manual",$M209=$A$15)),0,
         IF(OFFSET(CRONOPLE!$F$15,$M209-$A$15,AV$13)="",10^12,OFFSET(CRONOPLE!$F$15,$M209-$A$15,AV$13)))</f>
        <v>1000000000000</v>
      </c>
      <c r="AX209" s="173">
        <f ca="1">IF(OR($D209&lt;&gt;"Serviço",AND(AUTOEVENTO="Manual",$M209=$A$15),$M209&gt;(ROW(PLE.lastrow)-ROW(PLE.firstrow))),0,
           IF(OFFSET(PLE!$G$15,$M209-$A$15,AX$13)="",10^12,OFFSET(PLE!$G$15,$M209-$A$15,AX$13)))</f>
        <v>1000000000000</v>
      </c>
      <c r="AY209" s="173">
        <f ca="1">IF(OR($D209&lt;&gt;"Serviço",AND(AUTOEVENTO="Manual",$M209=$A$15),$M209&gt;(ROW(PLE.lastrow)-ROW(PLE.firstrow))),0,
           IF(OFFSET(PLE!$G$15,$M209-$A$15,AY$13)="",10^12,OFFSET(PLE!$G$15,$M209-$A$15,AY$13)))</f>
        <v>1000000000000</v>
      </c>
      <c r="AZ209" s="173">
        <f ca="1">IF(OR($D209&lt;&gt;"Serviço",AND(AUTOEVENTO="Manual",$M209=$A$15),$M209&gt;(ROW(PLE.lastrow)-ROW(PLE.firstrow))),0,
           IF(OFFSET(PLE!$G$15,$M209-$A$15,AZ$13)="",10^12,OFFSET(PLE!$G$15,$M209-$A$15,AZ$13)))</f>
        <v>1000000000000</v>
      </c>
      <c r="BA209" s="173">
        <f ca="1">IF(OR($D209&lt;&gt;"Serviço",AND(AUTOEVENTO="Manual",$M209=$A$15),$M209&gt;(ROW(PLE.lastrow)-ROW(PLE.firstrow))),0,
           IF(OFFSET(PLE!$G$15,$M209-$A$15,BA$13)="",10^12,OFFSET(PLE!$G$15,$M209-$A$15,BA$13)))</f>
        <v>1000000000000</v>
      </c>
      <c r="BB209" s="173">
        <f ca="1">IF(OR($D209&lt;&gt;"Serviço",AND(AUTOEVENTO="Manual",$M209=$A$15),$M209&gt;(ROW(PLE.lastrow)-ROW(PLE.firstrow))),0,
           IF(OFFSET(PLE!$G$15,$M209-$A$15,BB$13)="",10^12,OFFSET(PLE!$G$15,$M209-$A$15,BB$13)))</f>
        <v>1000000000000</v>
      </c>
      <c r="BC209" s="173">
        <f ca="1">IF(OR($D209&lt;&gt;"Serviço",AND(AUTOEVENTO="Manual",$M209=$A$15),$M209&gt;(ROW(PLE.lastrow)-ROW(PLE.firstrow))),0,
           IF(OFFSET(PLE!$G$15,$M209-$A$15,BC$13)="",10^12,OFFSET(PLE!$G$15,$M209-$A$15,BC$13)))</f>
        <v>1000000000000</v>
      </c>
      <c r="BD209" s="173">
        <f ca="1">IF(OR($D209&lt;&gt;"Serviço",AND(AUTOEVENTO="Manual",$M209=$A$15),$M209&gt;(ROW(PLE.lastrow)-ROW(PLE.firstrow))),0,
           IF(OFFSET(PLE!$G$15,$M209-$A$15,BD$13)="",10^12,OFFSET(PLE!$G$15,$M209-$A$15,BD$13)))</f>
        <v>1000000000000</v>
      </c>
      <c r="BE209" s="173">
        <f ca="1">IF(OR($D209&lt;&gt;"Serviço",AND(AUTOEVENTO="Manual",$M209=$A$15),$M209&gt;(ROW(PLE.lastrow)-ROW(PLE.firstrow))),0,
           IF(OFFSET(PLE!$G$15,$M209-$A$15,BE$13)="",10^12,OFFSET(PLE!$G$15,$M209-$A$15,BE$13)))</f>
        <v>1000000000000</v>
      </c>
      <c r="BF209" s="173">
        <f ca="1">IF(OR($D209&lt;&gt;"Serviço",AND(AUTOEVENTO="Manual",$M209=$A$15),$M209&gt;(ROW(PLE.lastrow)-ROW(PLE.firstrow))),0,
           IF(OFFSET(PLE!$G$15,$M209-$A$15,BF$13)="",10^12,OFFSET(PLE!$G$15,$M209-$A$15,BF$13)))</f>
        <v>1000000000000</v>
      </c>
      <c r="BG209" s="173">
        <f ca="1">IF(OR($D209&lt;&gt;"Serviço",AND(AUTOEVENTO="Manual",$M209=$A$15),$M209&gt;(ROW(PLE.lastrow)-ROW(PLE.firstrow))),0,
           IF(OFFSET(PLE!$G$15,$M209-$A$15,BG$13)="",10^12,OFFSET(PLE!$G$15,$M209-$A$15,BG$13)))</f>
        <v>1000000000000</v>
      </c>
    </row>
    <row r="210" spans="1:59" ht="38.25" x14ac:dyDescent="0.2">
      <c r="A210" s="7" t="str">
        <f t="shared" ca="1" si="11"/>
        <v>114</v>
      </c>
      <c r="B210" s="7" t="str">
        <f ca="1">OFFSET(ORÇAMENTO!C$15,ROW(B210)-ROW(B$15),0)</f>
        <v>S</v>
      </c>
      <c r="C210" s="7" t="str">
        <f ca="1">OFFSET(ORÇAMENTO!L$15,ROW(C210)-ROW(C$15),0)</f>
        <v/>
      </c>
      <c r="D210" s="117" t="str">
        <f ca="1">OFFSET(ORÇAMENTO!N$15,ROW(D210)-ROW(D$15),0)</f>
        <v>Serviço</v>
      </c>
      <c r="E210" s="118" t="str">
        <f ca="1">OFFSET(ORÇAMENTO!O$15,ROW(E210)-ROW(E$15),0)</f>
        <v>-</v>
      </c>
      <c r="F210" s="164" t="str">
        <f ca="1">OFFSET(ORÇAMENTO!R$15,ROW(F210)-ROW(F$15),0)</f>
        <v>TÊ DE REDUÇÃO, PVC, SOLDÁVEL, DN 32MM X 25MM, INSTALADO EM RAMAL OU SUB-RAMAL DE ÁGUA - FORNECIMENTO E INSTALAÇÃO. AF_06/2022</v>
      </c>
      <c r="G210" s="165" t="str">
        <f ca="1">IF($D210&lt;&gt;"Serviço","",OFFSET(ORÇAMENTO!S$15,ROW(G210)-ROW(G$15),0))</f>
        <v>UN</v>
      </c>
      <c r="H210" s="123">
        <f ca="1">IF($D210&lt;&gt;"Serviço",0,IF(ACOMPANHAMENTO="BM",ROUND(OFFSET(ORÇAMENTO!AJ$15,ROW(H210)-ROW(H$15),0),15-13*ORÇAMENTO!$AF$7),SUMPRODUCT(($Q$1:$AA$1=1)*ROUND($Q210:$AA210,15-13*ORÇAMENTO!$AF$7))))</f>
        <v>49</v>
      </c>
      <c r="I210" s="469"/>
      <c r="J210" s="577" t="str" cm="1">
        <f t="array" aca="1" ref="J210" ca="1">IF(B210&lt;&gt;"S","",IF(AND(ACOMPANHAMENTO="PLE",AUTOEVENTO="Manual",OR(H210&gt;0,ORÇAMENTO!AC210="QUANT."),OR(K210="",M210=0,N210="")),"►",IF(AND(ACOMPANHAMENTO="PLE",ORÇAMENTO!AC210="QUANT."),"►►",IF(AND(COUNTIF($P$11:$AA$11,"▼")=0,H210&gt;0,I210=""),"◄",""))))</f>
        <v>◄</v>
      </c>
      <c r="K210" s="626"/>
      <c r="L210" s="166" t="s">
        <v>765</v>
      </c>
      <c r="M210" s="167">
        <f ca="1">IF($D210&lt;&gt;"Serviço","",
          IF(AUTOEVENTO="manual",$A210,
                IF(ISERROR(MATCH($A210,$A$15:OFFSET($A210,-1,0),0)),MAX($M$15:OFFSET(M210,-1,0))+1,
                      INDEX($M$15:OFFSET(M210,-1,0),MATCH($A210,$A$15:OFFSET($A210,-1,0),0)))))</f>
        <v>11</v>
      </c>
      <c r="N210" s="168" t="str">
        <f ca="1">IF($D210&lt;&gt;"Serviço","",
         IF(AUTOEVENTO="Manual",
                IF($A210=0,"&lt;-- defina o número do agrupador",
                       OFFSET(EVENTOS!$D$15,$A210-$A$15,0)),
                OFFSET($F$15,$A210,0)))</f>
        <v>INSTALAÇÕES HIDROSSANITÁRIAS</v>
      </c>
      <c r="O210" s="169"/>
      <c r="Q210" s="169"/>
      <c r="R210" s="170"/>
      <c r="S210" s="170"/>
      <c r="T210" s="170"/>
      <c r="U210" s="170"/>
      <c r="V210" s="170"/>
      <c r="W210" s="170"/>
      <c r="X210" s="170"/>
      <c r="Y210" s="170"/>
      <c r="Z210" s="171"/>
      <c r="AB210" s="454">
        <f ca="1">IF(AND($D210="Serviço",AB$12&lt;&gt;0,$H210&gt;0,OR(AUTOEVENTO&lt;&gt;"manual",$M210&lt;&gt;$A$15)),
        IF(Import.TipoArredondamento&lt;&gt;"TransfereGOV",
              ROUND(OFFSET($P210,0,AB$13),15-13*ORÇAMENTO!$AF$7)/$H210*OFFSET(ORÇAMENTO!$X$15,ROW(AB210)-ROW(AB$15),0),
              ROUND(ROUND(OFFSET($P210,0,AB$13),15-13*ORÇAMENTO!$AF$7)*OFFSET(ORÇAMENTO!$W$15,ROW(AB210)-ROW(AB$15),0),15-13*ORÇAMENTO!$AF$11)),
         0)</f>
        <v>0</v>
      </c>
      <c r="AC210" s="454">
        <f ca="1">IF(AND($D210="Serviço",AC$12&lt;&gt;0,$H210&gt;0,OR(AUTOEVENTO&lt;&gt;"manual",$M210&lt;&gt;$A$15)),
        IF(Import.TipoArredondamento&lt;&gt;"TransfereGOV",
              ROUND(OFFSET($P210,0,AC$13),15-13*ORÇAMENTO!$AF$7)/$H210*OFFSET(ORÇAMENTO!$X$15,ROW(AC210)-ROW(AC$15),0),
              ROUND(ROUND(OFFSET($P210,0,AC$13),15-13*ORÇAMENTO!$AF$7)*OFFSET(ORÇAMENTO!$W$15,ROW(AC210)-ROW(AC$15),0),15-13*ORÇAMENTO!$AF$11)),
         0)</f>
        <v>0</v>
      </c>
      <c r="AD210" s="454">
        <f ca="1">IF(AND($D210="Serviço",AD$12&lt;&gt;0,$H210&gt;0,OR(AUTOEVENTO&lt;&gt;"manual",$M210&lt;&gt;$A$15)),
        IF(Import.TipoArredondamento&lt;&gt;"TransfereGOV",
              ROUND(OFFSET($P210,0,AD$13),15-13*ORÇAMENTO!$AF$7)/$H210*OFFSET(ORÇAMENTO!$X$15,ROW(AD210)-ROW(AD$15),0),
              ROUND(ROUND(OFFSET($P210,0,AD$13),15-13*ORÇAMENTO!$AF$7)*OFFSET(ORÇAMENTO!$W$15,ROW(AD210)-ROW(AD$15),0),15-13*ORÇAMENTO!$AF$11)),
         0)</f>
        <v>0</v>
      </c>
      <c r="AE210" s="454">
        <f ca="1">IF(AND($D210="Serviço",AE$12&lt;&gt;0,$H210&gt;0,OR(AUTOEVENTO&lt;&gt;"manual",$M210&lt;&gt;$A$15)),
        IF(Import.TipoArredondamento&lt;&gt;"TransfereGOV",
              ROUND(OFFSET($P210,0,AE$13),15-13*ORÇAMENTO!$AF$7)/$H210*OFFSET(ORÇAMENTO!$X$15,ROW(AE210)-ROW(AE$15),0),
              ROUND(ROUND(OFFSET($P210,0,AE$13),15-13*ORÇAMENTO!$AF$7)*OFFSET(ORÇAMENTO!$W$15,ROW(AE210)-ROW(AE$15),0),15-13*ORÇAMENTO!$AF$11)),
         0)</f>
        <v>0</v>
      </c>
      <c r="AF210" s="454">
        <f ca="1">IF(AND($D210="Serviço",AF$12&lt;&gt;0,$H210&gt;0,OR(AUTOEVENTO&lt;&gt;"manual",$M210&lt;&gt;$A$15)),
        IF(Import.TipoArredondamento&lt;&gt;"TransfereGOV",
              ROUND(OFFSET($P210,0,AF$13),15-13*ORÇAMENTO!$AF$7)/$H210*OFFSET(ORÇAMENTO!$X$15,ROW(AF210)-ROW(AF$15),0),
              ROUND(ROUND(OFFSET($P210,0,AF$13),15-13*ORÇAMENTO!$AF$7)*OFFSET(ORÇAMENTO!$W$15,ROW(AF210)-ROW(AF$15),0),15-13*ORÇAMENTO!$AF$11)),
         0)</f>
        <v>0</v>
      </c>
      <c r="AG210" s="454">
        <f ca="1">IF(AND($D210="Serviço",AG$12&lt;&gt;0,$H210&gt;0,OR(AUTOEVENTO&lt;&gt;"manual",$M210&lt;&gt;$A$15)),
        IF(Import.TipoArredondamento&lt;&gt;"TransfereGOV",
              ROUND(OFFSET($P210,0,AG$13),15-13*ORÇAMENTO!$AF$7)/$H210*OFFSET(ORÇAMENTO!$X$15,ROW(AG210)-ROW(AG$15),0),
              ROUND(ROUND(OFFSET($P210,0,AG$13),15-13*ORÇAMENTO!$AF$7)*OFFSET(ORÇAMENTO!$W$15,ROW(AG210)-ROW(AG$15),0),15-13*ORÇAMENTO!$AF$11)),
         0)</f>
        <v>0</v>
      </c>
      <c r="AH210" s="454">
        <f ca="1">IF(AND($D210="Serviço",AH$12&lt;&gt;0,$H210&gt;0,OR(AUTOEVENTO&lt;&gt;"manual",$M210&lt;&gt;$A$15)),
        IF(Import.TipoArredondamento&lt;&gt;"TransfereGOV",
              ROUND(OFFSET($P210,0,AH$13),15-13*ORÇAMENTO!$AF$7)/$H210*OFFSET(ORÇAMENTO!$X$15,ROW(AH210)-ROW(AH$15),0),
              ROUND(ROUND(OFFSET($P210,0,AH$13),15-13*ORÇAMENTO!$AF$7)*OFFSET(ORÇAMENTO!$W$15,ROW(AH210)-ROW(AH$15),0),15-13*ORÇAMENTO!$AF$11)),
         0)</f>
        <v>0</v>
      </c>
      <c r="AI210" s="454">
        <f ca="1">IF(AND($D210="Serviço",AI$12&lt;&gt;0,$H210&gt;0,OR(AUTOEVENTO&lt;&gt;"manual",$M210&lt;&gt;$A$15)),
        IF(Import.TipoArredondamento&lt;&gt;"TransfereGOV",
              ROUND(OFFSET($P210,0,AI$13),15-13*ORÇAMENTO!$AF$7)/$H210*OFFSET(ORÇAMENTO!$X$15,ROW(AI210)-ROW(AI$15),0),
              ROUND(ROUND(OFFSET($P210,0,AI$13),15-13*ORÇAMENTO!$AF$7)*OFFSET(ORÇAMENTO!$W$15,ROW(AI210)-ROW(AI$15),0),15-13*ORÇAMENTO!$AF$11)),
         0)</f>
        <v>0</v>
      </c>
      <c r="AJ210" s="454">
        <f ca="1">IF(AND($D210="Serviço",AJ$12&lt;&gt;0,$H210&gt;0,OR(AUTOEVENTO&lt;&gt;"manual",$M210&lt;&gt;$A$15)),
        IF(Import.TipoArredondamento&lt;&gt;"TransfereGOV",
              ROUND(OFFSET($P210,0,AJ$13),15-13*ORÇAMENTO!$AF$7)/$H210*OFFSET(ORÇAMENTO!$X$15,ROW(AJ210)-ROW(AJ$15),0),
              ROUND(ROUND(OFFSET($P210,0,AJ$13),15-13*ORÇAMENTO!$AF$7)*OFFSET(ORÇAMENTO!$W$15,ROW(AJ210)-ROW(AJ$15),0),15-13*ORÇAMENTO!$AF$11)),
         0)</f>
        <v>0</v>
      </c>
      <c r="AK210" s="454">
        <f ca="1">IF(AND($D210="Serviço",AK$12&lt;&gt;0,$H210&gt;0,OR(AUTOEVENTO&lt;&gt;"manual",$M210&lt;&gt;$A$15)),
        IF(Import.TipoArredondamento&lt;&gt;"TransfereGOV",
              ROUND(OFFSET($P210,0,AK$13),15-13*ORÇAMENTO!$AF$7)/$H210*OFFSET(ORÇAMENTO!$X$15,ROW(AK210)-ROW(AK$15),0),
              ROUND(ROUND(OFFSET($P210,0,AK$13),15-13*ORÇAMENTO!$AF$7)*OFFSET(ORÇAMENTO!$W$15,ROW(AK210)-ROW(AK$15),0),15-13*ORÇAMENTO!$AF$11)),
         0)</f>
        <v>0</v>
      </c>
      <c r="AM210" s="172">
        <f ca="1">IF(OR($D210&lt;&gt;"Serviço",AND(AUTOEVENTO="Manual",$M210=$A$15)),0,
         IF(OFFSET(CRONOPLE!$F$15,$M210-$A$15,AM$13)="",10^12,OFFSET(CRONOPLE!$F$15,$M210-$A$15,AM$13)))</f>
        <v>1000000000000</v>
      </c>
      <c r="AN210" s="172">
        <f ca="1">IF(OR($D210&lt;&gt;"Serviço",AND(AUTOEVENTO="Manual",$M210=$A$15)),0,
         IF(OFFSET(CRONOPLE!$F$15,$M210-$A$15,AN$13)="",10^12,OFFSET(CRONOPLE!$F$15,$M210-$A$15,AN$13)))</f>
        <v>1000000000000</v>
      </c>
      <c r="AO210" s="172">
        <f ca="1">IF(OR($D210&lt;&gt;"Serviço",AND(AUTOEVENTO="Manual",$M210=$A$15)),0,
         IF(OFFSET(CRONOPLE!$F$15,$M210-$A$15,AO$13)="",10^12,OFFSET(CRONOPLE!$F$15,$M210-$A$15,AO$13)))</f>
        <v>1000000000000</v>
      </c>
      <c r="AP210" s="172">
        <f ca="1">IF(OR($D210&lt;&gt;"Serviço",AND(AUTOEVENTO="Manual",$M210=$A$15)),0,
         IF(OFFSET(CRONOPLE!$F$15,$M210-$A$15,AP$13)="",10^12,OFFSET(CRONOPLE!$F$15,$M210-$A$15,AP$13)))</f>
        <v>1000000000000</v>
      </c>
      <c r="AQ210" s="172">
        <f ca="1">IF(OR($D210&lt;&gt;"Serviço",AND(AUTOEVENTO="Manual",$M210=$A$15)),0,
         IF(OFFSET(CRONOPLE!$F$15,$M210-$A$15,AQ$13)="",10^12,OFFSET(CRONOPLE!$F$15,$M210-$A$15,AQ$13)))</f>
        <v>1000000000000</v>
      </c>
      <c r="AR210" s="172">
        <f ca="1">IF(OR($D210&lt;&gt;"Serviço",AND(AUTOEVENTO="Manual",$M210=$A$15)),0,
         IF(OFFSET(CRONOPLE!$F$15,$M210-$A$15,AR$13)="",10^12,OFFSET(CRONOPLE!$F$15,$M210-$A$15,AR$13)))</f>
        <v>1000000000000</v>
      </c>
      <c r="AS210" s="172">
        <f ca="1">IF(OR($D210&lt;&gt;"Serviço",AND(AUTOEVENTO="Manual",$M210=$A$15)),0,
         IF(OFFSET(CRONOPLE!$F$15,$M210-$A$15,AS$13)="",10^12,OFFSET(CRONOPLE!$F$15,$M210-$A$15,AS$13)))</f>
        <v>1000000000000</v>
      </c>
      <c r="AT210" s="172">
        <f ca="1">IF(OR($D210&lt;&gt;"Serviço",AND(AUTOEVENTO="Manual",$M210=$A$15)),0,
         IF(OFFSET(CRONOPLE!$F$15,$M210-$A$15,AT$13)="",10^12,OFFSET(CRONOPLE!$F$15,$M210-$A$15,AT$13)))</f>
        <v>1000000000000</v>
      </c>
      <c r="AU210" s="172">
        <f ca="1">IF(OR($D210&lt;&gt;"Serviço",AND(AUTOEVENTO="Manual",$M210=$A$15)),0,
         IF(OFFSET(CRONOPLE!$F$15,$M210-$A$15,AU$13)="",10^12,OFFSET(CRONOPLE!$F$15,$M210-$A$15,AU$13)))</f>
        <v>1000000000000</v>
      </c>
      <c r="AV210" s="172">
        <f ca="1">IF(OR($D210&lt;&gt;"Serviço",AND(AUTOEVENTO="Manual",$M210=$A$15)),0,
         IF(OFFSET(CRONOPLE!$F$15,$M210-$A$15,AV$13)="",10^12,OFFSET(CRONOPLE!$F$15,$M210-$A$15,AV$13)))</f>
        <v>1000000000000</v>
      </c>
      <c r="AX210" s="173">
        <f ca="1">IF(OR($D210&lt;&gt;"Serviço",AND(AUTOEVENTO="Manual",$M210=$A$15),$M210&gt;(ROW(PLE.lastrow)-ROW(PLE.firstrow))),0,
           IF(OFFSET(PLE!$G$15,$M210-$A$15,AX$13)="",10^12,OFFSET(PLE!$G$15,$M210-$A$15,AX$13)))</f>
        <v>1000000000000</v>
      </c>
      <c r="AY210" s="173">
        <f ca="1">IF(OR($D210&lt;&gt;"Serviço",AND(AUTOEVENTO="Manual",$M210=$A$15),$M210&gt;(ROW(PLE.lastrow)-ROW(PLE.firstrow))),0,
           IF(OFFSET(PLE!$G$15,$M210-$A$15,AY$13)="",10^12,OFFSET(PLE!$G$15,$M210-$A$15,AY$13)))</f>
        <v>1000000000000</v>
      </c>
      <c r="AZ210" s="173">
        <f ca="1">IF(OR($D210&lt;&gt;"Serviço",AND(AUTOEVENTO="Manual",$M210=$A$15),$M210&gt;(ROW(PLE.lastrow)-ROW(PLE.firstrow))),0,
           IF(OFFSET(PLE!$G$15,$M210-$A$15,AZ$13)="",10^12,OFFSET(PLE!$G$15,$M210-$A$15,AZ$13)))</f>
        <v>1000000000000</v>
      </c>
      <c r="BA210" s="173">
        <f ca="1">IF(OR($D210&lt;&gt;"Serviço",AND(AUTOEVENTO="Manual",$M210=$A$15),$M210&gt;(ROW(PLE.lastrow)-ROW(PLE.firstrow))),0,
           IF(OFFSET(PLE!$G$15,$M210-$A$15,BA$13)="",10^12,OFFSET(PLE!$G$15,$M210-$A$15,BA$13)))</f>
        <v>1000000000000</v>
      </c>
      <c r="BB210" s="173">
        <f ca="1">IF(OR($D210&lt;&gt;"Serviço",AND(AUTOEVENTO="Manual",$M210=$A$15),$M210&gt;(ROW(PLE.lastrow)-ROW(PLE.firstrow))),0,
           IF(OFFSET(PLE!$G$15,$M210-$A$15,BB$13)="",10^12,OFFSET(PLE!$G$15,$M210-$A$15,BB$13)))</f>
        <v>1000000000000</v>
      </c>
      <c r="BC210" s="173">
        <f ca="1">IF(OR($D210&lt;&gt;"Serviço",AND(AUTOEVENTO="Manual",$M210=$A$15),$M210&gt;(ROW(PLE.lastrow)-ROW(PLE.firstrow))),0,
           IF(OFFSET(PLE!$G$15,$M210-$A$15,BC$13)="",10^12,OFFSET(PLE!$G$15,$M210-$A$15,BC$13)))</f>
        <v>1000000000000</v>
      </c>
      <c r="BD210" s="173">
        <f ca="1">IF(OR($D210&lt;&gt;"Serviço",AND(AUTOEVENTO="Manual",$M210=$A$15),$M210&gt;(ROW(PLE.lastrow)-ROW(PLE.firstrow))),0,
           IF(OFFSET(PLE!$G$15,$M210-$A$15,BD$13)="",10^12,OFFSET(PLE!$G$15,$M210-$A$15,BD$13)))</f>
        <v>1000000000000</v>
      </c>
      <c r="BE210" s="173">
        <f ca="1">IF(OR($D210&lt;&gt;"Serviço",AND(AUTOEVENTO="Manual",$M210=$A$15),$M210&gt;(ROW(PLE.lastrow)-ROW(PLE.firstrow))),0,
           IF(OFFSET(PLE!$G$15,$M210-$A$15,BE$13)="",10^12,OFFSET(PLE!$G$15,$M210-$A$15,BE$13)))</f>
        <v>1000000000000</v>
      </c>
      <c r="BF210" s="173">
        <f ca="1">IF(OR($D210&lt;&gt;"Serviço",AND(AUTOEVENTO="Manual",$M210=$A$15),$M210&gt;(ROW(PLE.lastrow)-ROW(PLE.firstrow))),0,
           IF(OFFSET(PLE!$G$15,$M210-$A$15,BF$13)="",10^12,OFFSET(PLE!$G$15,$M210-$A$15,BF$13)))</f>
        <v>1000000000000</v>
      </c>
      <c r="BG210" s="173">
        <f ca="1">IF(OR($D210&lt;&gt;"Serviço",AND(AUTOEVENTO="Manual",$M210=$A$15),$M210&gt;(ROW(PLE.lastrow)-ROW(PLE.firstrow))),0,
           IF(OFFSET(PLE!$G$15,$M210-$A$15,BG$13)="",10^12,OFFSET(PLE!$G$15,$M210-$A$15,BG$13)))</f>
        <v>1000000000000</v>
      </c>
    </row>
    <row r="211" spans="1:59" ht="25.5" x14ac:dyDescent="0.2">
      <c r="A211" s="7" t="str">
        <f t="shared" ca="1" si="11"/>
        <v>114</v>
      </c>
      <c r="B211" s="7" t="str">
        <f ca="1">OFFSET(ORÇAMENTO!C$15,ROW(B211)-ROW(B$15),0)</f>
        <v>S</v>
      </c>
      <c r="C211" s="7" t="str">
        <f ca="1">OFFSET(ORÇAMENTO!L$15,ROW(C211)-ROW(C$15),0)</f>
        <v/>
      </c>
      <c r="D211" s="117" t="str">
        <f ca="1">OFFSET(ORÇAMENTO!N$15,ROW(D211)-ROW(D$15),0)</f>
        <v>Serviço</v>
      </c>
      <c r="E211" s="118" t="str">
        <f ca="1">OFFSET(ORÇAMENTO!O$15,ROW(E211)-ROW(E$15),0)</f>
        <v>-</v>
      </c>
      <c r="F211" s="164" t="str">
        <f ca="1">OFFSET(ORÇAMENTO!R$15,ROW(F211)-ROW(F$15),0)</f>
        <v>TÊ DE REDUÇÃO, PVC, SOLDÁVEL, DN 40MM X 32MM, INSTALADO EM PRUMADA DE ÁGUA - FORNECIMENTO E INSTALAÇÃO. AF_06/2022</v>
      </c>
      <c r="G211" s="165" t="str">
        <f ca="1">IF($D211&lt;&gt;"Serviço","",OFFSET(ORÇAMENTO!S$15,ROW(G211)-ROW(G$15),0))</f>
        <v>UN</v>
      </c>
      <c r="H211" s="123">
        <f ca="1">IF($D211&lt;&gt;"Serviço",0,IF(ACOMPANHAMENTO="BM",ROUND(OFFSET(ORÇAMENTO!AJ$15,ROW(H211)-ROW(H$15),0),15-13*ORÇAMENTO!$AF$7),SUMPRODUCT(($Q$1:$AA$1=1)*ROUND($Q211:$AA211,15-13*ORÇAMENTO!$AF$7))))</f>
        <v>23</v>
      </c>
      <c r="I211" s="469"/>
      <c r="J211" s="577" t="str" cm="1">
        <f t="array" aca="1" ref="J211" ca="1">IF(B211&lt;&gt;"S","",IF(AND(ACOMPANHAMENTO="PLE",AUTOEVENTO="Manual",OR(H211&gt;0,ORÇAMENTO!AC211="QUANT."),OR(K211="",M211=0,N211="")),"►",IF(AND(ACOMPANHAMENTO="PLE",ORÇAMENTO!AC211="QUANT."),"►►",IF(AND(COUNTIF($P$11:$AA$11,"▼")=0,H211&gt;0,I211=""),"◄",""))))</f>
        <v>◄</v>
      </c>
      <c r="K211" s="626"/>
      <c r="L211" s="166" t="s">
        <v>765</v>
      </c>
      <c r="M211" s="167">
        <f ca="1">IF($D211&lt;&gt;"Serviço","",
          IF(AUTOEVENTO="manual",$A211,
                IF(ISERROR(MATCH($A211,$A$15:OFFSET($A211,-1,0),0)),MAX($M$15:OFFSET(M211,-1,0))+1,
                      INDEX($M$15:OFFSET(M211,-1,0),MATCH($A211,$A$15:OFFSET($A211,-1,0),0)))))</f>
        <v>11</v>
      </c>
      <c r="N211" s="168" t="str">
        <f ca="1">IF($D211&lt;&gt;"Serviço","",
         IF(AUTOEVENTO="Manual",
                IF($A211=0,"&lt;-- defina o número do agrupador",
                       OFFSET(EVENTOS!$D$15,$A211-$A$15,0)),
                OFFSET($F$15,$A211,0)))</f>
        <v>INSTALAÇÕES HIDROSSANITÁRIAS</v>
      </c>
      <c r="O211" s="169"/>
      <c r="Q211" s="169"/>
      <c r="R211" s="170"/>
      <c r="S211" s="170"/>
      <c r="T211" s="170"/>
      <c r="U211" s="170"/>
      <c r="V211" s="170"/>
      <c r="W211" s="170"/>
      <c r="X211" s="170"/>
      <c r="Y211" s="170"/>
      <c r="Z211" s="171"/>
      <c r="AB211" s="454">
        <f ca="1">IF(AND($D211="Serviço",AB$12&lt;&gt;0,$H211&gt;0,OR(AUTOEVENTO&lt;&gt;"manual",$M211&lt;&gt;$A$15)),
        IF(Import.TipoArredondamento&lt;&gt;"TransfereGOV",
              ROUND(OFFSET($P211,0,AB$13),15-13*ORÇAMENTO!$AF$7)/$H211*OFFSET(ORÇAMENTO!$X$15,ROW(AB211)-ROW(AB$15),0),
              ROUND(ROUND(OFFSET($P211,0,AB$13),15-13*ORÇAMENTO!$AF$7)*OFFSET(ORÇAMENTO!$W$15,ROW(AB211)-ROW(AB$15),0),15-13*ORÇAMENTO!$AF$11)),
         0)</f>
        <v>0</v>
      </c>
      <c r="AC211" s="454">
        <f ca="1">IF(AND($D211="Serviço",AC$12&lt;&gt;0,$H211&gt;0,OR(AUTOEVENTO&lt;&gt;"manual",$M211&lt;&gt;$A$15)),
        IF(Import.TipoArredondamento&lt;&gt;"TransfereGOV",
              ROUND(OFFSET($P211,0,AC$13),15-13*ORÇAMENTO!$AF$7)/$H211*OFFSET(ORÇAMENTO!$X$15,ROW(AC211)-ROW(AC$15),0),
              ROUND(ROUND(OFFSET($P211,0,AC$13),15-13*ORÇAMENTO!$AF$7)*OFFSET(ORÇAMENTO!$W$15,ROW(AC211)-ROW(AC$15),0),15-13*ORÇAMENTO!$AF$11)),
         0)</f>
        <v>0</v>
      </c>
      <c r="AD211" s="454">
        <f ca="1">IF(AND($D211="Serviço",AD$12&lt;&gt;0,$H211&gt;0,OR(AUTOEVENTO&lt;&gt;"manual",$M211&lt;&gt;$A$15)),
        IF(Import.TipoArredondamento&lt;&gt;"TransfereGOV",
              ROUND(OFFSET($P211,0,AD$13),15-13*ORÇAMENTO!$AF$7)/$H211*OFFSET(ORÇAMENTO!$X$15,ROW(AD211)-ROW(AD$15),0),
              ROUND(ROUND(OFFSET($P211,0,AD$13),15-13*ORÇAMENTO!$AF$7)*OFFSET(ORÇAMENTO!$W$15,ROW(AD211)-ROW(AD$15),0),15-13*ORÇAMENTO!$AF$11)),
         0)</f>
        <v>0</v>
      </c>
      <c r="AE211" s="454">
        <f ca="1">IF(AND($D211="Serviço",AE$12&lt;&gt;0,$H211&gt;0,OR(AUTOEVENTO&lt;&gt;"manual",$M211&lt;&gt;$A$15)),
        IF(Import.TipoArredondamento&lt;&gt;"TransfereGOV",
              ROUND(OFFSET($P211,0,AE$13),15-13*ORÇAMENTO!$AF$7)/$H211*OFFSET(ORÇAMENTO!$X$15,ROW(AE211)-ROW(AE$15),0),
              ROUND(ROUND(OFFSET($P211,0,AE$13),15-13*ORÇAMENTO!$AF$7)*OFFSET(ORÇAMENTO!$W$15,ROW(AE211)-ROW(AE$15),0),15-13*ORÇAMENTO!$AF$11)),
         0)</f>
        <v>0</v>
      </c>
      <c r="AF211" s="454">
        <f ca="1">IF(AND($D211="Serviço",AF$12&lt;&gt;0,$H211&gt;0,OR(AUTOEVENTO&lt;&gt;"manual",$M211&lt;&gt;$A$15)),
        IF(Import.TipoArredondamento&lt;&gt;"TransfereGOV",
              ROUND(OFFSET($P211,0,AF$13),15-13*ORÇAMENTO!$AF$7)/$H211*OFFSET(ORÇAMENTO!$X$15,ROW(AF211)-ROW(AF$15),0),
              ROUND(ROUND(OFFSET($P211,0,AF$13),15-13*ORÇAMENTO!$AF$7)*OFFSET(ORÇAMENTO!$W$15,ROW(AF211)-ROW(AF$15),0),15-13*ORÇAMENTO!$AF$11)),
         0)</f>
        <v>0</v>
      </c>
      <c r="AG211" s="454">
        <f ca="1">IF(AND($D211="Serviço",AG$12&lt;&gt;0,$H211&gt;0,OR(AUTOEVENTO&lt;&gt;"manual",$M211&lt;&gt;$A$15)),
        IF(Import.TipoArredondamento&lt;&gt;"TransfereGOV",
              ROUND(OFFSET($P211,0,AG$13),15-13*ORÇAMENTO!$AF$7)/$H211*OFFSET(ORÇAMENTO!$X$15,ROW(AG211)-ROW(AG$15),0),
              ROUND(ROUND(OFFSET($P211,0,AG$13),15-13*ORÇAMENTO!$AF$7)*OFFSET(ORÇAMENTO!$W$15,ROW(AG211)-ROW(AG$15),0),15-13*ORÇAMENTO!$AF$11)),
         0)</f>
        <v>0</v>
      </c>
      <c r="AH211" s="454">
        <f ca="1">IF(AND($D211="Serviço",AH$12&lt;&gt;0,$H211&gt;0,OR(AUTOEVENTO&lt;&gt;"manual",$M211&lt;&gt;$A$15)),
        IF(Import.TipoArredondamento&lt;&gt;"TransfereGOV",
              ROUND(OFFSET($P211,0,AH$13),15-13*ORÇAMENTO!$AF$7)/$H211*OFFSET(ORÇAMENTO!$X$15,ROW(AH211)-ROW(AH$15),0),
              ROUND(ROUND(OFFSET($P211,0,AH$13),15-13*ORÇAMENTO!$AF$7)*OFFSET(ORÇAMENTO!$W$15,ROW(AH211)-ROW(AH$15),0),15-13*ORÇAMENTO!$AF$11)),
         0)</f>
        <v>0</v>
      </c>
      <c r="AI211" s="454">
        <f ca="1">IF(AND($D211="Serviço",AI$12&lt;&gt;0,$H211&gt;0,OR(AUTOEVENTO&lt;&gt;"manual",$M211&lt;&gt;$A$15)),
        IF(Import.TipoArredondamento&lt;&gt;"TransfereGOV",
              ROUND(OFFSET($P211,0,AI$13),15-13*ORÇAMENTO!$AF$7)/$H211*OFFSET(ORÇAMENTO!$X$15,ROW(AI211)-ROW(AI$15),0),
              ROUND(ROUND(OFFSET($P211,0,AI$13),15-13*ORÇAMENTO!$AF$7)*OFFSET(ORÇAMENTO!$W$15,ROW(AI211)-ROW(AI$15),0),15-13*ORÇAMENTO!$AF$11)),
         0)</f>
        <v>0</v>
      </c>
      <c r="AJ211" s="454">
        <f ca="1">IF(AND($D211="Serviço",AJ$12&lt;&gt;0,$H211&gt;0,OR(AUTOEVENTO&lt;&gt;"manual",$M211&lt;&gt;$A$15)),
        IF(Import.TipoArredondamento&lt;&gt;"TransfereGOV",
              ROUND(OFFSET($P211,0,AJ$13),15-13*ORÇAMENTO!$AF$7)/$H211*OFFSET(ORÇAMENTO!$X$15,ROW(AJ211)-ROW(AJ$15),0),
              ROUND(ROUND(OFFSET($P211,0,AJ$13),15-13*ORÇAMENTO!$AF$7)*OFFSET(ORÇAMENTO!$W$15,ROW(AJ211)-ROW(AJ$15),0),15-13*ORÇAMENTO!$AF$11)),
         0)</f>
        <v>0</v>
      </c>
      <c r="AK211" s="454">
        <f ca="1">IF(AND($D211="Serviço",AK$12&lt;&gt;0,$H211&gt;0,OR(AUTOEVENTO&lt;&gt;"manual",$M211&lt;&gt;$A$15)),
        IF(Import.TipoArredondamento&lt;&gt;"TransfereGOV",
              ROUND(OFFSET($P211,0,AK$13),15-13*ORÇAMENTO!$AF$7)/$H211*OFFSET(ORÇAMENTO!$X$15,ROW(AK211)-ROW(AK$15),0),
              ROUND(ROUND(OFFSET($P211,0,AK$13),15-13*ORÇAMENTO!$AF$7)*OFFSET(ORÇAMENTO!$W$15,ROW(AK211)-ROW(AK$15),0),15-13*ORÇAMENTO!$AF$11)),
         0)</f>
        <v>0</v>
      </c>
      <c r="AM211" s="172">
        <f ca="1">IF(OR($D211&lt;&gt;"Serviço",AND(AUTOEVENTO="Manual",$M211=$A$15)),0,
         IF(OFFSET(CRONOPLE!$F$15,$M211-$A$15,AM$13)="",10^12,OFFSET(CRONOPLE!$F$15,$M211-$A$15,AM$13)))</f>
        <v>1000000000000</v>
      </c>
      <c r="AN211" s="172">
        <f ca="1">IF(OR($D211&lt;&gt;"Serviço",AND(AUTOEVENTO="Manual",$M211=$A$15)),0,
         IF(OFFSET(CRONOPLE!$F$15,$M211-$A$15,AN$13)="",10^12,OFFSET(CRONOPLE!$F$15,$M211-$A$15,AN$13)))</f>
        <v>1000000000000</v>
      </c>
      <c r="AO211" s="172">
        <f ca="1">IF(OR($D211&lt;&gt;"Serviço",AND(AUTOEVENTO="Manual",$M211=$A$15)),0,
         IF(OFFSET(CRONOPLE!$F$15,$M211-$A$15,AO$13)="",10^12,OFFSET(CRONOPLE!$F$15,$M211-$A$15,AO$13)))</f>
        <v>1000000000000</v>
      </c>
      <c r="AP211" s="172">
        <f ca="1">IF(OR($D211&lt;&gt;"Serviço",AND(AUTOEVENTO="Manual",$M211=$A$15)),0,
         IF(OFFSET(CRONOPLE!$F$15,$M211-$A$15,AP$13)="",10^12,OFFSET(CRONOPLE!$F$15,$M211-$A$15,AP$13)))</f>
        <v>1000000000000</v>
      </c>
      <c r="AQ211" s="172">
        <f ca="1">IF(OR($D211&lt;&gt;"Serviço",AND(AUTOEVENTO="Manual",$M211=$A$15)),0,
         IF(OFFSET(CRONOPLE!$F$15,$M211-$A$15,AQ$13)="",10^12,OFFSET(CRONOPLE!$F$15,$M211-$A$15,AQ$13)))</f>
        <v>1000000000000</v>
      </c>
      <c r="AR211" s="172">
        <f ca="1">IF(OR($D211&lt;&gt;"Serviço",AND(AUTOEVENTO="Manual",$M211=$A$15)),0,
         IF(OFFSET(CRONOPLE!$F$15,$M211-$A$15,AR$13)="",10^12,OFFSET(CRONOPLE!$F$15,$M211-$A$15,AR$13)))</f>
        <v>1000000000000</v>
      </c>
      <c r="AS211" s="172">
        <f ca="1">IF(OR($D211&lt;&gt;"Serviço",AND(AUTOEVENTO="Manual",$M211=$A$15)),0,
         IF(OFFSET(CRONOPLE!$F$15,$M211-$A$15,AS$13)="",10^12,OFFSET(CRONOPLE!$F$15,$M211-$A$15,AS$13)))</f>
        <v>1000000000000</v>
      </c>
      <c r="AT211" s="172">
        <f ca="1">IF(OR($D211&lt;&gt;"Serviço",AND(AUTOEVENTO="Manual",$M211=$A$15)),0,
         IF(OFFSET(CRONOPLE!$F$15,$M211-$A$15,AT$13)="",10^12,OFFSET(CRONOPLE!$F$15,$M211-$A$15,AT$13)))</f>
        <v>1000000000000</v>
      </c>
      <c r="AU211" s="172">
        <f ca="1">IF(OR($D211&lt;&gt;"Serviço",AND(AUTOEVENTO="Manual",$M211=$A$15)),0,
         IF(OFFSET(CRONOPLE!$F$15,$M211-$A$15,AU$13)="",10^12,OFFSET(CRONOPLE!$F$15,$M211-$A$15,AU$13)))</f>
        <v>1000000000000</v>
      </c>
      <c r="AV211" s="172">
        <f ca="1">IF(OR($D211&lt;&gt;"Serviço",AND(AUTOEVENTO="Manual",$M211=$A$15)),0,
         IF(OFFSET(CRONOPLE!$F$15,$M211-$A$15,AV$13)="",10^12,OFFSET(CRONOPLE!$F$15,$M211-$A$15,AV$13)))</f>
        <v>1000000000000</v>
      </c>
      <c r="AX211" s="173">
        <f ca="1">IF(OR($D211&lt;&gt;"Serviço",AND(AUTOEVENTO="Manual",$M211=$A$15),$M211&gt;(ROW(PLE.lastrow)-ROW(PLE.firstrow))),0,
           IF(OFFSET(PLE!$G$15,$M211-$A$15,AX$13)="",10^12,OFFSET(PLE!$G$15,$M211-$A$15,AX$13)))</f>
        <v>1000000000000</v>
      </c>
      <c r="AY211" s="173">
        <f ca="1">IF(OR($D211&lt;&gt;"Serviço",AND(AUTOEVENTO="Manual",$M211=$A$15),$M211&gt;(ROW(PLE.lastrow)-ROW(PLE.firstrow))),0,
           IF(OFFSET(PLE!$G$15,$M211-$A$15,AY$13)="",10^12,OFFSET(PLE!$G$15,$M211-$A$15,AY$13)))</f>
        <v>1000000000000</v>
      </c>
      <c r="AZ211" s="173">
        <f ca="1">IF(OR($D211&lt;&gt;"Serviço",AND(AUTOEVENTO="Manual",$M211=$A$15),$M211&gt;(ROW(PLE.lastrow)-ROW(PLE.firstrow))),0,
           IF(OFFSET(PLE!$G$15,$M211-$A$15,AZ$13)="",10^12,OFFSET(PLE!$G$15,$M211-$A$15,AZ$13)))</f>
        <v>1000000000000</v>
      </c>
      <c r="BA211" s="173">
        <f ca="1">IF(OR($D211&lt;&gt;"Serviço",AND(AUTOEVENTO="Manual",$M211=$A$15),$M211&gt;(ROW(PLE.lastrow)-ROW(PLE.firstrow))),0,
           IF(OFFSET(PLE!$G$15,$M211-$A$15,BA$13)="",10^12,OFFSET(PLE!$G$15,$M211-$A$15,BA$13)))</f>
        <v>1000000000000</v>
      </c>
      <c r="BB211" s="173">
        <f ca="1">IF(OR($D211&lt;&gt;"Serviço",AND(AUTOEVENTO="Manual",$M211=$A$15),$M211&gt;(ROW(PLE.lastrow)-ROW(PLE.firstrow))),0,
           IF(OFFSET(PLE!$G$15,$M211-$A$15,BB$13)="",10^12,OFFSET(PLE!$G$15,$M211-$A$15,BB$13)))</f>
        <v>1000000000000</v>
      </c>
      <c r="BC211" s="173">
        <f ca="1">IF(OR($D211&lt;&gt;"Serviço",AND(AUTOEVENTO="Manual",$M211=$A$15),$M211&gt;(ROW(PLE.lastrow)-ROW(PLE.firstrow))),0,
           IF(OFFSET(PLE!$G$15,$M211-$A$15,BC$13)="",10^12,OFFSET(PLE!$G$15,$M211-$A$15,BC$13)))</f>
        <v>1000000000000</v>
      </c>
      <c r="BD211" s="173">
        <f ca="1">IF(OR($D211&lt;&gt;"Serviço",AND(AUTOEVENTO="Manual",$M211=$A$15),$M211&gt;(ROW(PLE.lastrow)-ROW(PLE.firstrow))),0,
           IF(OFFSET(PLE!$G$15,$M211-$A$15,BD$13)="",10^12,OFFSET(PLE!$G$15,$M211-$A$15,BD$13)))</f>
        <v>1000000000000</v>
      </c>
      <c r="BE211" s="173">
        <f ca="1">IF(OR($D211&lt;&gt;"Serviço",AND(AUTOEVENTO="Manual",$M211=$A$15),$M211&gt;(ROW(PLE.lastrow)-ROW(PLE.firstrow))),0,
           IF(OFFSET(PLE!$G$15,$M211-$A$15,BE$13)="",10^12,OFFSET(PLE!$G$15,$M211-$A$15,BE$13)))</f>
        <v>1000000000000</v>
      </c>
      <c r="BF211" s="173">
        <f ca="1">IF(OR($D211&lt;&gt;"Serviço",AND(AUTOEVENTO="Manual",$M211=$A$15),$M211&gt;(ROW(PLE.lastrow)-ROW(PLE.firstrow))),0,
           IF(OFFSET(PLE!$G$15,$M211-$A$15,BF$13)="",10^12,OFFSET(PLE!$G$15,$M211-$A$15,BF$13)))</f>
        <v>1000000000000</v>
      </c>
      <c r="BG211" s="173">
        <f ca="1">IF(OR($D211&lt;&gt;"Serviço",AND(AUTOEVENTO="Manual",$M211=$A$15),$M211&gt;(ROW(PLE.lastrow)-ROW(PLE.firstrow))),0,
           IF(OFFSET(PLE!$G$15,$M211-$A$15,BG$13)="",10^12,OFFSET(PLE!$G$15,$M211-$A$15,BG$13)))</f>
        <v>1000000000000</v>
      </c>
    </row>
    <row r="212" spans="1:59" ht="38.25" x14ac:dyDescent="0.2">
      <c r="A212" s="7" t="str">
        <f t="shared" ca="1" si="11"/>
        <v>114</v>
      </c>
      <c r="B212" s="7" t="str">
        <f ca="1">OFFSET(ORÇAMENTO!C$15,ROW(B212)-ROW(B$15),0)</f>
        <v>S</v>
      </c>
      <c r="C212" s="7" t="str">
        <f ca="1">OFFSET(ORÇAMENTO!L$15,ROW(C212)-ROW(C$15),0)</f>
        <v/>
      </c>
      <c r="D212" s="117" t="str">
        <f ca="1">OFFSET(ORÇAMENTO!N$15,ROW(D212)-ROW(D$15),0)</f>
        <v>Serviço</v>
      </c>
      <c r="E212" s="118" t="str">
        <f ca="1">OFFSET(ORÇAMENTO!O$15,ROW(E212)-ROW(E$15),0)</f>
        <v>-</v>
      </c>
      <c r="F212" s="164" t="str">
        <f ca="1">OFFSET(ORÇAMENTO!R$15,ROW(F212)-ROW(F$15),0)</f>
        <v>TÊ DE REDUÇÃO, PVC, SOLDÁVEL, DN 50MM X 25MM, INSTALADO EM RAMAL DE DISTRIBUIÇÃO DE ÁGUA - FORNECIMENTO E INSTALAÇÃO. AF_06/2022</v>
      </c>
      <c r="G212" s="165" t="str">
        <f ca="1">IF($D212&lt;&gt;"Serviço","",OFFSET(ORÇAMENTO!S$15,ROW(G212)-ROW(G$15),0))</f>
        <v>UN</v>
      </c>
      <c r="H212" s="123">
        <f ca="1">IF($D212&lt;&gt;"Serviço",0,IF(ACOMPANHAMENTO="BM",ROUND(OFFSET(ORÇAMENTO!AJ$15,ROW(H212)-ROW(H$15),0),15-13*ORÇAMENTO!$AF$7),SUMPRODUCT(($Q$1:$AA$1=1)*ROUND($Q212:$AA212,15-13*ORÇAMENTO!$AF$7))))</f>
        <v>4</v>
      </c>
      <c r="I212" s="469"/>
      <c r="J212" s="577" t="str" cm="1">
        <f t="array" aca="1" ref="J212" ca="1">IF(B212&lt;&gt;"S","",IF(AND(ACOMPANHAMENTO="PLE",AUTOEVENTO="Manual",OR(H212&gt;0,ORÇAMENTO!AC212="QUANT."),OR(K212="",M212=0,N212="")),"►",IF(AND(ACOMPANHAMENTO="PLE",ORÇAMENTO!AC212="QUANT."),"►►",IF(AND(COUNTIF($P$11:$AA$11,"▼")=0,H212&gt;0,I212=""),"◄",""))))</f>
        <v>◄</v>
      </c>
      <c r="K212" s="626"/>
      <c r="L212" s="166" t="s">
        <v>765</v>
      </c>
      <c r="M212" s="167">
        <f ca="1">IF($D212&lt;&gt;"Serviço","",
          IF(AUTOEVENTO="manual",$A212,
                IF(ISERROR(MATCH($A212,$A$15:OFFSET($A212,-1,0),0)),MAX($M$15:OFFSET(M212,-1,0))+1,
                      INDEX($M$15:OFFSET(M212,-1,0),MATCH($A212,$A$15:OFFSET($A212,-1,0),0)))))</f>
        <v>11</v>
      </c>
      <c r="N212" s="168" t="str">
        <f ca="1">IF($D212&lt;&gt;"Serviço","",
         IF(AUTOEVENTO="Manual",
                IF($A212=0,"&lt;-- defina o número do agrupador",
                       OFFSET(EVENTOS!$D$15,$A212-$A$15,0)),
                OFFSET($F$15,$A212,0)))</f>
        <v>INSTALAÇÕES HIDROSSANITÁRIAS</v>
      </c>
      <c r="O212" s="169"/>
      <c r="Q212" s="169"/>
      <c r="R212" s="170"/>
      <c r="S212" s="170"/>
      <c r="T212" s="170"/>
      <c r="U212" s="170"/>
      <c r="V212" s="170"/>
      <c r="W212" s="170"/>
      <c r="X212" s="170"/>
      <c r="Y212" s="170"/>
      <c r="Z212" s="171"/>
      <c r="AB212" s="454">
        <f ca="1">IF(AND($D212="Serviço",AB$12&lt;&gt;0,$H212&gt;0,OR(AUTOEVENTO&lt;&gt;"manual",$M212&lt;&gt;$A$15)),
        IF(Import.TipoArredondamento&lt;&gt;"TransfereGOV",
              ROUND(OFFSET($P212,0,AB$13),15-13*ORÇAMENTO!$AF$7)/$H212*OFFSET(ORÇAMENTO!$X$15,ROW(AB212)-ROW(AB$15),0),
              ROUND(ROUND(OFFSET($P212,0,AB$13),15-13*ORÇAMENTO!$AF$7)*OFFSET(ORÇAMENTO!$W$15,ROW(AB212)-ROW(AB$15),0),15-13*ORÇAMENTO!$AF$11)),
         0)</f>
        <v>0</v>
      </c>
      <c r="AC212" s="454">
        <f ca="1">IF(AND($D212="Serviço",AC$12&lt;&gt;0,$H212&gt;0,OR(AUTOEVENTO&lt;&gt;"manual",$M212&lt;&gt;$A$15)),
        IF(Import.TipoArredondamento&lt;&gt;"TransfereGOV",
              ROUND(OFFSET($P212,0,AC$13),15-13*ORÇAMENTO!$AF$7)/$H212*OFFSET(ORÇAMENTO!$X$15,ROW(AC212)-ROW(AC$15),0),
              ROUND(ROUND(OFFSET($P212,0,AC$13),15-13*ORÇAMENTO!$AF$7)*OFFSET(ORÇAMENTO!$W$15,ROW(AC212)-ROW(AC$15),0),15-13*ORÇAMENTO!$AF$11)),
         0)</f>
        <v>0</v>
      </c>
      <c r="AD212" s="454">
        <f ca="1">IF(AND($D212="Serviço",AD$12&lt;&gt;0,$H212&gt;0,OR(AUTOEVENTO&lt;&gt;"manual",$M212&lt;&gt;$A$15)),
        IF(Import.TipoArredondamento&lt;&gt;"TransfereGOV",
              ROUND(OFFSET($P212,0,AD$13),15-13*ORÇAMENTO!$AF$7)/$H212*OFFSET(ORÇAMENTO!$X$15,ROW(AD212)-ROW(AD$15),0),
              ROUND(ROUND(OFFSET($P212,0,AD$13),15-13*ORÇAMENTO!$AF$7)*OFFSET(ORÇAMENTO!$W$15,ROW(AD212)-ROW(AD$15),0),15-13*ORÇAMENTO!$AF$11)),
         0)</f>
        <v>0</v>
      </c>
      <c r="AE212" s="454">
        <f ca="1">IF(AND($D212="Serviço",AE$12&lt;&gt;0,$H212&gt;0,OR(AUTOEVENTO&lt;&gt;"manual",$M212&lt;&gt;$A$15)),
        IF(Import.TipoArredondamento&lt;&gt;"TransfereGOV",
              ROUND(OFFSET($P212,0,AE$13),15-13*ORÇAMENTO!$AF$7)/$H212*OFFSET(ORÇAMENTO!$X$15,ROW(AE212)-ROW(AE$15),0),
              ROUND(ROUND(OFFSET($P212,0,AE$13),15-13*ORÇAMENTO!$AF$7)*OFFSET(ORÇAMENTO!$W$15,ROW(AE212)-ROW(AE$15),0),15-13*ORÇAMENTO!$AF$11)),
         0)</f>
        <v>0</v>
      </c>
      <c r="AF212" s="454">
        <f ca="1">IF(AND($D212="Serviço",AF$12&lt;&gt;0,$H212&gt;0,OR(AUTOEVENTO&lt;&gt;"manual",$M212&lt;&gt;$A$15)),
        IF(Import.TipoArredondamento&lt;&gt;"TransfereGOV",
              ROUND(OFFSET($P212,0,AF$13),15-13*ORÇAMENTO!$AF$7)/$H212*OFFSET(ORÇAMENTO!$X$15,ROW(AF212)-ROW(AF$15),0),
              ROUND(ROUND(OFFSET($P212,0,AF$13),15-13*ORÇAMENTO!$AF$7)*OFFSET(ORÇAMENTO!$W$15,ROW(AF212)-ROW(AF$15),0),15-13*ORÇAMENTO!$AF$11)),
         0)</f>
        <v>0</v>
      </c>
      <c r="AG212" s="454">
        <f ca="1">IF(AND($D212="Serviço",AG$12&lt;&gt;0,$H212&gt;0,OR(AUTOEVENTO&lt;&gt;"manual",$M212&lt;&gt;$A$15)),
        IF(Import.TipoArredondamento&lt;&gt;"TransfereGOV",
              ROUND(OFFSET($P212,0,AG$13),15-13*ORÇAMENTO!$AF$7)/$H212*OFFSET(ORÇAMENTO!$X$15,ROW(AG212)-ROW(AG$15),0),
              ROUND(ROUND(OFFSET($P212,0,AG$13),15-13*ORÇAMENTO!$AF$7)*OFFSET(ORÇAMENTO!$W$15,ROW(AG212)-ROW(AG$15),0),15-13*ORÇAMENTO!$AF$11)),
         0)</f>
        <v>0</v>
      </c>
      <c r="AH212" s="454">
        <f ca="1">IF(AND($D212="Serviço",AH$12&lt;&gt;0,$H212&gt;0,OR(AUTOEVENTO&lt;&gt;"manual",$M212&lt;&gt;$A$15)),
        IF(Import.TipoArredondamento&lt;&gt;"TransfereGOV",
              ROUND(OFFSET($P212,0,AH$13),15-13*ORÇAMENTO!$AF$7)/$H212*OFFSET(ORÇAMENTO!$X$15,ROW(AH212)-ROW(AH$15),0),
              ROUND(ROUND(OFFSET($P212,0,AH$13),15-13*ORÇAMENTO!$AF$7)*OFFSET(ORÇAMENTO!$W$15,ROW(AH212)-ROW(AH$15),0),15-13*ORÇAMENTO!$AF$11)),
         0)</f>
        <v>0</v>
      </c>
      <c r="AI212" s="454">
        <f ca="1">IF(AND($D212="Serviço",AI$12&lt;&gt;0,$H212&gt;0,OR(AUTOEVENTO&lt;&gt;"manual",$M212&lt;&gt;$A$15)),
        IF(Import.TipoArredondamento&lt;&gt;"TransfereGOV",
              ROUND(OFFSET($P212,0,AI$13),15-13*ORÇAMENTO!$AF$7)/$H212*OFFSET(ORÇAMENTO!$X$15,ROW(AI212)-ROW(AI$15),0),
              ROUND(ROUND(OFFSET($P212,0,AI$13),15-13*ORÇAMENTO!$AF$7)*OFFSET(ORÇAMENTO!$W$15,ROW(AI212)-ROW(AI$15),0),15-13*ORÇAMENTO!$AF$11)),
         0)</f>
        <v>0</v>
      </c>
      <c r="AJ212" s="454">
        <f ca="1">IF(AND($D212="Serviço",AJ$12&lt;&gt;0,$H212&gt;0,OR(AUTOEVENTO&lt;&gt;"manual",$M212&lt;&gt;$A$15)),
        IF(Import.TipoArredondamento&lt;&gt;"TransfereGOV",
              ROUND(OFFSET($P212,0,AJ$13),15-13*ORÇAMENTO!$AF$7)/$H212*OFFSET(ORÇAMENTO!$X$15,ROW(AJ212)-ROW(AJ$15),0),
              ROUND(ROUND(OFFSET($P212,0,AJ$13),15-13*ORÇAMENTO!$AF$7)*OFFSET(ORÇAMENTO!$W$15,ROW(AJ212)-ROW(AJ$15),0),15-13*ORÇAMENTO!$AF$11)),
         0)</f>
        <v>0</v>
      </c>
      <c r="AK212" s="454">
        <f ca="1">IF(AND($D212="Serviço",AK$12&lt;&gt;0,$H212&gt;0,OR(AUTOEVENTO&lt;&gt;"manual",$M212&lt;&gt;$A$15)),
        IF(Import.TipoArredondamento&lt;&gt;"TransfereGOV",
              ROUND(OFFSET($P212,0,AK$13),15-13*ORÇAMENTO!$AF$7)/$H212*OFFSET(ORÇAMENTO!$X$15,ROW(AK212)-ROW(AK$15),0),
              ROUND(ROUND(OFFSET($P212,0,AK$13),15-13*ORÇAMENTO!$AF$7)*OFFSET(ORÇAMENTO!$W$15,ROW(AK212)-ROW(AK$15),0),15-13*ORÇAMENTO!$AF$11)),
         0)</f>
        <v>0</v>
      </c>
      <c r="AM212" s="172">
        <f ca="1">IF(OR($D212&lt;&gt;"Serviço",AND(AUTOEVENTO="Manual",$M212=$A$15)),0,
         IF(OFFSET(CRONOPLE!$F$15,$M212-$A$15,AM$13)="",10^12,OFFSET(CRONOPLE!$F$15,$M212-$A$15,AM$13)))</f>
        <v>1000000000000</v>
      </c>
      <c r="AN212" s="172">
        <f ca="1">IF(OR($D212&lt;&gt;"Serviço",AND(AUTOEVENTO="Manual",$M212=$A$15)),0,
         IF(OFFSET(CRONOPLE!$F$15,$M212-$A$15,AN$13)="",10^12,OFFSET(CRONOPLE!$F$15,$M212-$A$15,AN$13)))</f>
        <v>1000000000000</v>
      </c>
      <c r="AO212" s="172">
        <f ca="1">IF(OR($D212&lt;&gt;"Serviço",AND(AUTOEVENTO="Manual",$M212=$A$15)),0,
         IF(OFFSET(CRONOPLE!$F$15,$M212-$A$15,AO$13)="",10^12,OFFSET(CRONOPLE!$F$15,$M212-$A$15,AO$13)))</f>
        <v>1000000000000</v>
      </c>
      <c r="AP212" s="172">
        <f ca="1">IF(OR($D212&lt;&gt;"Serviço",AND(AUTOEVENTO="Manual",$M212=$A$15)),0,
         IF(OFFSET(CRONOPLE!$F$15,$M212-$A$15,AP$13)="",10^12,OFFSET(CRONOPLE!$F$15,$M212-$A$15,AP$13)))</f>
        <v>1000000000000</v>
      </c>
      <c r="AQ212" s="172">
        <f ca="1">IF(OR($D212&lt;&gt;"Serviço",AND(AUTOEVENTO="Manual",$M212=$A$15)),0,
         IF(OFFSET(CRONOPLE!$F$15,$M212-$A$15,AQ$13)="",10^12,OFFSET(CRONOPLE!$F$15,$M212-$A$15,AQ$13)))</f>
        <v>1000000000000</v>
      </c>
      <c r="AR212" s="172">
        <f ca="1">IF(OR($D212&lt;&gt;"Serviço",AND(AUTOEVENTO="Manual",$M212=$A$15)),0,
         IF(OFFSET(CRONOPLE!$F$15,$M212-$A$15,AR$13)="",10^12,OFFSET(CRONOPLE!$F$15,$M212-$A$15,AR$13)))</f>
        <v>1000000000000</v>
      </c>
      <c r="AS212" s="172">
        <f ca="1">IF(OR($D212&lt;&gt;"Serviço",AND(AUTOEVENTO="Manual",$M212=$A$15)),0,
         IF(OFFSET(CRONOPLE!$F$15,$M212-$A$15,AS$13)="",10^12,OFFSET(CRONOPLE!$F$15,$M212-$A$15,AS$13)))</f>
        <v>1000000000000</v>
      </c>
      <c r="AT212" s="172">
        <f ca="1">IF(OR($D212&lt;&gt;"Serviço",AND(AUTOEVENTO="Manual",$M212=$A$15)),0,
         IF(OFFSET(CRONOPLE!$F$15,$M212-$A$15,AT$13)="",10^12,OFFSET(CRONOPLE!$F$15,$M212-$A$15,AT$13)))</f>
        <v>1000000000000</v>
      </c>
      <c r="AU212" s="172">
        <f ca="1">IF(OR($D212&lt;&gt;"Serviço",AND(AUTOEVENTO="Manual",$M212=$A$15)),0,
         IF(OFFSET(CRONOPLE!$F$15,$M212-$A$15,AU$13)="",10^12,OFFSET(CRONOPLE!$F$15,$M212-$A$15,AU$13)))</f>
        <v>1000000000000</v>
      </c>
      <c r="AV212" s="172">
        <f ca="1">IF(OR($D212&lt;&gt;"Serviço",AND(AUTOEVENTO="Manual",$M212=$A$15)),0,
         IF(OFFSET(CRONOPLE!$F$15,$M212-$A$15,AV$13)="",10^12,OFFSET(CRONOPLE!$F$15,$M212-$A$15,AV$13)))</f>
        <v>1000000000000</v>
      </c>
      <c r="AX212" s="173">
        <f ca="1">IF(OR($D212&lt;&gt;"Serviço",AND(AUTOEVENTO="Manual",$M212=$A$15),$M212&gt;(ROW(PLE.lastrow)-ROW(PLE.firstrow))),0,
           IF(OFFSET(PLE!$G$15,$M212-$A$15,AX$13)="",10^12,OFFSET(PLE!$G$15,$M212-$A$15,AX$13)))</f>
        <v>1000000000000</v>
      </c>
      <c r="AY212" s="173">
        <f ca="1">IF(OR($D212&lt;&gt;"Serviço",AND(AUTOEVENTO="Manual",$M212=$A$15),$M212&gt;(ROW(PLE.lastrow)-ROW(PLE.firstrow))),0,
           IF(OFFSET(PLE!$G$15,$M212-$A$15,AY$13)="",10^12,OFFSET(PLE!$G$15,$M212-$A$15,AY$13)))</f>
        <v>1000000000000</v>
      </c>
      <c r="AZ212" s="173">
        <f ca="1">IF(OR($D212&lt;&gt;"Serviço",AND(AUTOEVENTO="Manual",$M212=$A$15),$M212&gt;(ROW(PLE.lastrow)-ROW(PLE.firstrow))),0,
           IF(OFFSET(PLE!$G$15,$M212-$A$15,AZ$13)="",10^12,OFFSET(PLE!$G$15,$M212-$A$15,AZ$13)))</f>
        <v>1000000000000</v>
      </c>
      <c r="BA212" s="173">
        <f ca="1">IF(OR($D212&lt;&gt;"Serviço",AND(AUTOEVENTO="Manual",$M212=$A$15),$M212&gt;(ROW(PLE.lastrow)-ROW(PLE.firstrow))),0,
           IF(OFFSET(PLE!$G$15,$M212-$A$15,BA$13)="",10^12,OFFSET(PLE!$G$15,$M212-$A$15,BA$13)))</f>
        <v>1000000000000</v>
      </c>
      <c r="BB212" s="173">
        <f ca="1">IF(OR($D212&lt;&gt;"Serviço",AND(AUTOEVENTO="Manual",$M212=$A$15),$M212&gt;(ROW(PLE.lastrow)-ROW(PLE.firstrow))),0,
           IF(OFFSET(PLE!$G$15,$M212-$A$15,BB$13)="",10^12,OFFSET(PLE!$G$15,$M212-$A$15,BB$13)))</f>
        <v>1000000000000</v>
      </c>
      <c r="BC212" s="173">
        <f ca="1">IF(OR($D212&lt;&gt;"Serviço",AND(AUTOEVENTO="Manual",$M212=$A$15),$M212&gt;(ROW(PLE.lastrow)-ROW(PLE.firstrow))),0,
           IF(OFFSET(PLE!$G$15,$M212-$A$15,BC$13)="",10^12,OFFSET(PLE!$G$15,$M212-$A$15,BC$13)))</f>
        <v>1000000000000</v>
      </c>
      <c r="BD212" s="173">
        <f ca="1">IF(OR($D212&lt;&gt;"Serviço",AND(AUTOEVENTO="Manual",$M212=$A$15),$M212&gt;(ROW(PLE.lastrow)-ROW(PLE.firstrow))),0,
           IF(OFFSET(PLE!$G$15,$M212-$A$15,BD$13)="",10^12,OFFSET(PLE!$G$15,$M212-$A$15,BD$13)))</f>
        <v>1000000000000</v>
      </c>
      <c r="BE212" s="173">
        <f ca="1">IF(OR($D212&lt;&gt;"Serviço",AND(AUTOEVENTO="Manual",$M212=$A$15),$M212&gt;(ROW(PLE.lastrow)-ROW(PLE.firstrow))),0,
           IF(OFFSET(PLE!$G$15,$M212-$A$15,BE$13)="",10^12,OFFSET(PLE!$G$15,$M212-$A$15,BE$13)))</f>
        <v>1000000000000</v>
      </c>
      <c r="BF212" s="173">
        <f ca="1">IF(OR($D212&lt;&gt;"Serviço",AND(AUTOEVENTO="Manual",$M212=$A$15),$M212&gt;(ROW(PLE.lastrow)-ROW(PLE.firstrow))),0,
           IF(OFFSET(PLE!$G$15,$M212-$A$15,BF$13)="",10^12,OFFSET(PLE!$G$15,$M212-$A$15,BF$13)))</f>
        <v>1000000000000</v>
      </c>
      <c r="BG212" s="173">
        <f ca="1">IF(OR($D212&lt;&gt;"Serviço",AND(AUTOEVENTO="Manual",$M212=$A$15),$M212&gt;(ROW(PLE.lastrow)-ROW(PLE.firstrow))),0,
           IF(OFFSET(PLE!$G$15,$M212-$A$15,BG$13)="",10^12,OFFSET(PLE!$G$15,$M212-$A$15,BG$13)))</f>
        <v>1000000000000</v>
      </c>
    </row>
    <row r="213" spans="1:59" ht="25.5" x14ac:dyDescent="0.2">
      <c r="A213" s="7" t="str">
        <f t="shared" ca="1" si="11"/>
        <v>114</v>
      </c>
      <c r="B213" s="7" t="str">
        <f ca="1">OFFSET(ORÇAMENTO!C$15,ROW(B213)-ROW(B$15),0)</f>
        <v>S</v>
      </c>
      <c r="C213" s="7" t="str">
        <f ca="1">OFFSET(ORÇAMENTO!L$15,ROW(C213)-ROW(C$15),0)</f>
        <v/>
      </c>
      <c r="D213" s="117" t="str">
        <f ca="1">OFFSET(ORÇAMENTO!N$15,ROW(D213)-ROW(D$15),0)</f>
        <v>Serviço</v>
      </c>
      <c r="E213" s="118" t="str">
        <f ca="1">OFFSET(ORÇAMENTO!O$15,ROW(E213)-ROW(E$15),0)</f>
        <v>-</v>
      </c>
      <c r="F213" s="164" t="str">
        <f ca="1">OFFSET(ORÇAMENTO!R$15,ROW(F213)-ROW(F$15),0)</f>
        <v>TÊ DE REDUÇÃO, PVC, SOLDÁVEL, DN 50MM X 40MM, INSTALADO EM PRUMADA DE ÁGUA - FORNECIMENTO E INSTALAÇÃO. AF_06/2022</v>
      </c>
      <c r="G213" s="165" t="str">
        <f ca="1">IF($D213&lt;&gt;"Serviço","",OFFSET(ORÇAMENTO!S$15,ROW(G213)-ROW(G$15),0))</f>
        <v>UN</v>
      </c>
      <c r="H213" s="123">
        <f ca="1">IF($D213&lt;&gt;"Serviço",0,IF(ACOMPANHAMENTO="BM",ROUND(OFFSET(ORÇAMENTO!AJ$15,ROW(H213)-ROW(H$15),0),15-13*ORÇAMENTO!$AF$7),SUMPRODUCT(($Q$1:$AA$1=1)*ROUND($Q213:$AA213,15-13*ORÇAMENTO!$AF$7))))</f>
        <v>2</v>
      </c>
      <c r="I213" s="469"/>
      <c r="J213" s="577" t="str" cm="1">
        <f t="array" aca="1" ref="J213" ca="1">IF(B213&lt;&gt;"S","",IF(AND(ACOMPANHAMENTO="PLE",AUTOEVENTO="Manual",OR(H213&gt;0,ORÇAMENTO!AC213="QUANT."),OR(K213="",M213=0,N213="")),"►",IF(AND(ACOMPANHAMENTO="PLE",ORÇAMENTO!AC213="QUANT."),"►►",IF(AND(COUNTIF($P$11:$AA$11,"▼")=0,H213&gt;0,I213=""),"◄",""))))</f>
        <v>◄</v>
      </c>
      <c r="K213" s="626"/>
      <c r="L213" s="166" t="s">
        <v>765</v>
      </c>
      <c r="M213" s="167">
        <f ca="1">IF($D213&lt;&gt;"Serviço","",
          IF(AUTOEVENTO="manual",$A213,
                IF(ISERROR(MATCH($A213,$A$15:OFFSET($A213,-1,0),0)),MAX($M$15:OFFSET(M213,-1,0))+1,
                      INDEX($M$15:OFFSET(M213,-1,0),MATCH($A213,$A$15:OFFSET($A213,-1,0),0)))))</f>
        <v>11</v>
      </c>
      <c r="N213" s="168" t="str">
        <f ca="1">IF($D213&lt;&gt;"Serviço","",
         IF(AUTOEVENTO="Manual",
                IF($A213=0,"&lt;-- defina o número do agrupador",
                       OFFSET(EVENTOS!$D$15,$A213-$A$15,0)),
                OFFSET($F$15,$A213,0)))</f>
        <v>INSTALAÇÕES HIDROSSANITÁRIAS</v>
      </c>
      <c r="O213" s="169"/>
      <c r="Q213" s="169"/>
      <c r="R213" s="170"/>
      <c r="S213" s="170"/>
      <c r="T213" s="170"/>
      <c r="U213" s="170"/>
      <c r="V213" s="170"/>
      <c r="W213" s="170"/>
      <c r="X213" s="170"/>
      <c r="Y213" s="170"/>
      <c r="Z213" s="171"/>
      <c r="AB213" s="454">
        <f ca="1">IF(AND($D213="Serviço",AB$12&lt;&gt;0,$H213&gt;0,OR(AUTOEVENTO&lt;&gt;"manual",$M213&lt;&gt;$A$15)),
        IF(Import.TipoArredondamento&lt;&gt;"TransfereGOV",
              ROUND(OFFSET($P213,0,AB$13),15-13*ORÇAMENTO!$AF$7)/$H213*OFFSET(ORÇAMENTO!$X$15,ROW(AB213)-ROW(AB$15),0),
              ROUND(ROUND(OFFSET($P213,0,AB$13),15-13*ORÇAMENTO!$AF$7)*OFFSET(ORÇAMENTO!$W$15,ROW(AB213)-ROW(AB$15),0),15-13*ORÇAMENTO!$AF$11)),
         0)</f>
        <v>0</v>
      </c>
      <c r="AC213" s="454">
        <f ca="1">IF(AND($D213="Serviço",AC$12&lt;&gt;0,$H213&gt;0,OR(AUTOEVENTO&lt;&gt;"manual",$M213&lt;&gt;$A$15)),
        IF(Import.TipoArredondamento&lt;&gt;"TransfereGOV",
              ROUND(OFFSET($P213,0,AC$13),15-13*ORÇAMENTO!$AF$7)/$H213*OFFSET(ORÇAMENTO!$X$15,ROW(AC213)-ROW(AC$15),0),
              ROUND(ROUND(OFFSET($P213,0,AC$13),15-13*ORÇAMENTO!$AF$7)*OFFSET(ORÇAMENTO!$W$15,ROW(AC213)-ROW(AC$15),0),15-13*ORÇAMENTO!$AF$11)),
         0)</f>
        <v>0</v>
      </c>
      <c r="AD213" s="454">
        <f ca="1">IF(AND($D213="Serviço",AD$12&lt;&gt;0,$H213&gt;0,OR(AUTOEVENTO&lt;&gt;"manual",$M213&lt;&gt;$A$15)),
        IF(Import.TipoArredondamento&lt;&gt;"TransfereGOV",
              ROUND(OFFSET($P213,0,AD$13),15-13*ORÇAMENTO!$AF$7)/$H213*OFFSET(ORÇAMENTO!$X$15,ROW(AD213)-ROW(AD$15),0),
              ROUND(ROUND(OFFSET($P213,0,AD$13),15-13*ORÇAMENTO!$AF$7)*OFFSET(ORÇAMENTO!$W$15,ROW(AD213)-ROW(AD$15),0),15-13*ORÇAMENTO!$AF$11)),
         0)</f>
        <v>0</v>
      </c>
      <c r="AE213" s="454">
        <f ca="1">IF(AND($D213="Serviço",AE$12&lt;&gt;0,$H213&gt;0,OR(AUTOEVENTO&lt;&gt;"manual",$M213&lt;&gt;$A$15)),
        IF(Import.TipoArredondamento&lt;&gt;"TransfereGOV",
              ROUND(OFFSET($P213,0,AE$13),15-13*ORÇAMENTO!$AF$7)/$H213*OFFSET(ORÇAMENTO!$X$15,ROW(AE213)-ROW(AE$15),0),
              ROUND(ROUND(OFFSET($P213,0,AE$13),15-13*ORÇAMENTO!$AF$7)*OFFSET(ORÇAMENTO!$W$15,ROW(AE213)-ROW(AE$15),0),15-13*ORÇAMENTO!$AF$11)),
         0)</f>
        <v>0</v>
      </c>
      <c r="AF213" s="454">
        <f ca="1">IF(AND($D213="Serviço",AF$12&lt;&gt;0,$H213&gt;0,OR(AUTOEVENTO&lt;&gt;"manual",$M213&lt;&gt;$A$15)),
        IF(Import.TipoArredondamento&lt;&gt;"TransfereGOV",
              ROUND(OFFSET($P213,0,AF$13),15-13*ORÇAMENTO!$AF$7)/$H213*OFFSET(ORÇAMENTO!$X$15,ROW(AF213)-ROW(AF$15),0),
              ROUND(ROUND(OFFSET($P213,0,AF$13),15-13*ORÇAMENTO!$AF$7)*OFFSET(ORÇAMENTO!$W$15,ROW(AF213)-ROW(AF$15),0),15-13*ORÇAMENTO!$AF$11)),
         0)</f>
        <v>0</v>
      </c>
      <c r="AG213" s="454">
        <f ca="1">IF(AND($D213="Serviço",AG$12&lt;&gt;0,$H213&gt;0,OR(AUTOEVENTO&lt;&gt;"manual",$M213&lt;&gt;$A$15)),
        IF(Import.TipoArredondamento&lt;&gt;"TransfereGOV",
              ROUND(OFFSET($P213,0,AG$13),15-13*ORÇAMENTO!$AF$7)/$H213*OFFSET(ORÇAMENTO!$X$15,ROW(AG213)-ROW(AG$15),0),
              ROUND(ROUND(OFFSET($P213,0,AG$13),15-13*ORÇAMENTO!$AF$7)*OFFSET(ORÇAMENTO!$W$15,ROW(AG213)-ROW(AG$15),0),15-13*ORÇAMENTO!$AF$11)),
         0)</f>
        <v>0</v>
      </c>
      <c r="AH213" s="454">
        <f ca="1">IF(AND($D213="Serviço",AH$12&lt;&gt;0,$H213&gt;0,OR(AUTOEVENTO&lt;&gt;"manual",$M213&lt;&gt;$A$15)),
        IF(Import.TipoArredondamento&lt;&gt;"TransfereGOV",
              ROUND(OFFSET($P213,0,AH$13),15-13*ORÇAMENTO!$AF$7)/$H213*OFFSET(ORÇAMENTO!$X$15,ROW(AH213)-ROW(AH$15),0),
              ROUND(ROUND(OFFSET($P213,0,AH$13),15-13*ORÇAMENTO!$AF$7)*OFFSET(ORÇAMENTO!$W$15,ROW(AH213)-ROW(AH$15),0),15-13*ORÇAMENTO!$AF$11)),
         0)</f>
        <v>0</v>
      </c>
      <c r="AI213" s="454">
        <f ca="1">IF(AND($D213="Serviço",AI$12&lt;&gt;0,$H213&gt;0,OR(AUTOEVENTO&lt;&gt;"manual",$M213&lt;&gt;$A$15)),
        IF(Import.TipoArredondamento&lt;&gt;"TransfereGOV",
              ROUND(OFFSET($P213,0,AI$13),15-13*ORÇAMENTO!$AF$7)/$H213*OFFSET(ORÇAMENTO!$X$15,ROW(AI213)-ROW(AI$15),0),
              ROUND(ROUND(OFFSET($P213,0,AI$13),15-13*ORÇAMENTO!$AF$7)*OFFSET(ORÇAMENTO!$W$15,ROW(AI213)-ROW(AI$15),0),15-13*ORÇAMENTO!$AF$11)),
         0)</f>
        <v>0</v>
      </c>
      <c r="AJ213" s="454">
        <f ca="1">IF(AND($D213="Serviço",AJ$12&lt;&gt;0,$H213&gt;0,OR(AUTOEVENTO&lt;&gt;"manual",$M213&lt;&gt;$A$15)),
        IF(Import.TipoArredondamento&lt;&gt;"TransfereGOV",
              ROUND(OFFSET($P213,0,AJ$13),15-13*ORÇAMENTO!$AF$7)/$H213*OFFSET(ORÇAMENTO!$X$15,ROW(AJ213)-ROW(AJ$15),0),
              ROUND(ROUND(OFFSET($P213,0,AJ$13),15-13*ORÇAMENTO!$AF$7)*OFFSET(ORÇAMENTO!$W$15,ROW(AJ213)-ROW(AJ$15),0),15-13*ORÇAMENTO!$AF$11)),
         0)</f>
        <v>0</v>
      </c>
      <c r="AK213" s="454">
        <f ca="1">IF(AND($D213="Serviço",AK$12&lt;&gt;0,$H213&gt;0,OR(AUTOEVENTO&lt;&gt;"manual",$M213&lt;&gt;$A$15)),
        IF(Import.TipoArredondamento&lt;&gt;"TransfereGOV",
              ROUND(OFFSET($P213,0,AK$13),15-13*ORÇAMENTO!$AF$7)/$H213*OFFSET(ORÇAMENTO!$X$15,ROW(AK213)-ROW(AK$15),0),
              ROUND(ROUND(OFFSET($P213,0,AK$13),15-13*ORÇAMENTO!$AF$7)*OFFSET(ORÇAMENTO!$W$15,ROW(AK213)-ROW(AK$15),0),15-13*ORÇAMENTO!$AF$11)),
         0)</f>
        <v>0</v>
      </c>
      <c r="AM213" s="172">
        <f ca="1">IF(OR($D213&lt;&gt;"Serviço",AND(AUTOEVENTO="Manual",$M213=$A$15)),0,
         IF(OFFSET(CRONOPLE!$F$15,$M213-$A$15,AM$13)="",10^12,OFFSET(CRONOPLE!$F$15,$M213-$A$15,AM$13)))</f>
        <v>1000000000000</v>
      </c>
      <c r="AN213" s="172">
        <f ca="1">IF(OR($D213&lt;&gt;"Serviço",AND(AUTOEVENTO="Manual",$M213=$A$15)),0,
         IF(OFFSET(CRONOPLE!$F$15,$M213-$A$15,AN$13)="",10^12,OFFSET(CRONOPLE!$F$15,$M213-$A$15,AN$13)))</f>
        <v>1000000000000</v>
      </c>
      <c r="AO213" s="172">
        <f ca="1">IF(OR($D213&lt;&gt;"Serviço",AND(AUTOEVENTO="Manual",$M213=$A$15)),0,
         IF(OFFSET(CRONOPLE!$F$15,$M213-$A$15,AO$13)="",10^12,OFFSET(CRONOPLE!$F$15,$M213-$A$15,AO$13)))</f>
        <v>1000000000000</v>
      </c>
      <c r="AP213" s="172">
        <f ca="1">IF(OR($D213&lt;&gt;"Serviço",AND(AUTOEVENTO="Manual",$M213=$A$15)),0,
         IF(OFFSET(CRONOPLE!$F$15,$M213-$A$15,AP$13)="",10^12,OFFSET(CRONOPLE!$F$15,$M213-$A$15,AP$13)))</f>
        <v>1000000000000</v>
      </c>
      <c r="AQ213" s="172">
        <f ca="1">IF(OR($D213&lt;&gt;"Serviço",AND(AUTOEVENTO="Manual",$M213=$A$15)),0,
         IF(OFFSET(CRONOPLE!$F$15,$M213-$A$15,AQ$13)="",10^12,OFFSET(CRONOPLE!$F$15,$M213-$A$15,AQ$13)))</f>
        <v>1000000000000</v>
      </c>
      <c r="AR213" s="172">
        <f ca="1">IF(OR($D213&lt;&gt;"Serviço",AND(AUTOEVENTO="Manual",$M213=$A$15)),0,
         IF(OFFSET(CRONOPLE!$F$15,$M213-$A$15,AR$13)="",10^12,OFFSET(CRONOPLE!$F$15,$M213-$A$15,AR$13)))</f>
        <v>1000000000000</v>
      </c>
      <c r="AS213" s="172">
        <f ca="1">IF(OR($D213&lt;&gt;"Serviço",AND(AUTOEVENTO="Manual",$M213=$A$15)),0,
         IF(OFFSET(CRONOPLE!$F$15,$M213-$A$15,AS$13)="",10^12,OFFSET(CRONOPLE!$F$15,$M213-$A$15,AS$13)))</f>
        <v>1000000000000</v>
      </c>
      <c r="AT213" s="172">
        <f ca="1">IF(OR($D213&lt;&gt;"Serviço",AND(AUTOEVENTO="Manual",$M213=$A$15)),0,
         IF(OFFSET(CRONOPLE!$F$15,$M213-$A$15,AT$13)="",10^12,OFFSET(CRONOPLE!$F$15,$M213-$A$15,AT$13)))</f>
        <v>1000000000000</v>
      </c>
      <c r="AU213" s="172">
        <f ca="1">IF(OR($D213&lt;&gt;"Serviço",AND(AUTOEVENTO="Manual",$M213=$A$15)),0,
         IF(OFFSET(CRONOPLE!$F$15,$M213-$A$15,AU$13)="",10^12,OFFSET(CRONOPLE!$F$15,$M213-$A$15,AU$13)))</f>
        <v>1000000000000</v>
      </c>
      <c r="AV213" s="172">
        <f ca="1">IF(OR($D213&lt;&gt;"Serviço",AND(AUTOEVENTO="Manual",$M213=$A$15)),0,
         IF(OFFSET(CRONOPLE!$F$15,$M213-$A$15,AV$13)="",10^12,OFFSET(CRONOPLE!$F$15,$M213-$A$15,AV$13)))</f>
        <v>1000000000000</v>
      </c>
      <c r="AX213" s="173">
        <f ca="1">IF(OR($D213&lt;&gt;"Serviço",AND(AUTOEVENTO="Manual",$M213=$A$15),$M213&gt;(ROW(PLE.lastrow)-ROW(PLE.firstrow))),0,
           IF(OFFSET(PLE!$G$15,$M213-$A$15,AX$13)="",10^12,OFFSET(PLE!$G$15,$M213-$A$15,AX$13)))</f>
        <v>1000000000000</v>
      </c>
      <c r="AY213" s="173">
        <f ca="1">IF(OR($D213&lt;&gt;"Serviço",AND(AUTOEVENTO="Manual",$M213=$A$15),$M213&gt;(ROW(PLE.lastrow)-ROW(PLE.firstrow))),0,
           IF(OFFSET(PLE!$G$15,$M213-$A$15,AY$13)="",10^12,OFFSET(PLE!$G$15,$M213-$A$15,AY$13)))</f>
        <v>1000000000000</v>
      </c>
      <c r="AZ213" s="173">
        <f ca="1">IF(OR($D213&lt;&gt;"Serviço",AND(AUTOEVENTO="Manual",$M213=$A$15),$M213&gt;(ROW(PLE.lastrow)-ROW(PLE.firstrow))),0,
           IF(OFFSET(PLE!$G$15,$M213-$A$15,AZ$13)="",10^12,OFFSET(PLE!$G$15,$M213-$A$15,AZ$13)))</f>
        <v>1000000000000</v>
      </c>
      <c r="BA213" s="173">
        <f ca="1">IF(OR($D213&lt;&gt;"Serviço",AND(AUTOEVENTO="Manual",$M213=$A$15),$M213&gt;(ROW(PLE.lastrow)-ROW(PLE.firstrow))),0,
           IF(OFFSET(PLE!$G$15,$M213-$A$15,BA$13)="",10^12,OFFSET(PLE!$G$15,$M213-$A$15,BA$13)))</f>
        <v>1000000000000</v>
      </c>
      <c r="BB213" s="173">
        <f ca="1">IF(OR($D213&lt;&gt;"Serviço",AND(AUTOEVENTO="Manual",$M213=$A$15),$M213&gt;(ROW(PLE.lastrow)-ROW(PLE.firstrow))),0,
           IF(OFFSET(PLE!$G$15,$M213-$A$15,BB$13)="",10^12,OFFSET(PLE!$G$15,$M213-$A$15,BB$13)))</f>
        <v>1000000000000</v>
      </c>
      <c r="BC213" s="173">
        <f ca="1">IF(OR($D213&lt;&gt;"Serviço",AND(AUTOEVENTO="Manual",$M213=$A$15),$M213&gt;(ROW(PLE.lastrow)-ROW(PLE.firstrow))),0,
           IF(OFFSET(PLE!$G$15,$M213-$A$15,BC$13)="",10^12,OFFSET(PLE!$G$15,$M213-$A$15,BC$13)))</f>
        <v>1000000000000</v>
      </c>
      <c r="BD213" s="173">
        <f ca="1">IF(OR($D213&lt;&gt;"Serviço",AND(AUTOEVENTO="Manual",$M213=$A$15),$M213&gt;(ROW(PLE.lastrow)-ROW(PLE.firstrow))),0,
           IF(OFFSET(PLE!$G$15,$M213-$A$15,BD$13)="",10^12,OFFSET(PLE!$G$15,$M213-$A$15,BD$13)))</f>
        <v>1000000000000</v>
      </c>
      <c r="BE213" s="173">
        <f ca="1">IF(OR($D213&lt;&gt;"Serviço",AND(AUTOEVENTO="Manual",$M213=$A$15),$M213&gt;(ROW(PLE.lastrow)-ROW(PLE.firstrow))),0,
           IF(OFFSET(PLE!$G$15,$M213-$A$15,BE$13)="",10^12,OFFSET(PLE!$G$15,$M213-$A$15,BE$13)))</f>
        <v>1000000000000</v>
      </c>
      <c r="BF213" s="173">
        <f ca="1">IF(OR($D213&lt;&gt;"Serviço",AND(AUTOEVENTO="Manual",$M213=$A$15),$M213&gt;(ROW(PLE.lastrow)-ROW(PLE.firstrow))),0,
           IF(OFFSET(PLE!$G$15,$M213-$A$15,BF$13)="",10^12,OFFSET(PLE!$G$15,$M213-$A$15,BF$13)))</f>
        <v>1000000000000</v>
      </c>
      <c r="BG213" s="173">
        <f ca="1">IF(OR($D213&lt;&gt;"Serviço",AND(AUTOEVENTO="Manual",$M213=$A$15),$M213&gt;(ROW(PLE.lastrow)-ROW(PLE.firstrow))),0,
           IF(OFFSET(PLE!$G$15,$M213-$A$15,BG$13)="",10^12,OFFSET(PLE!$G$15,$M213-$A$15,BG$13)))</f>
        <v>1000000000000</v>
      </c>
    </row>
    <row r="214" spans="1:59" ht="25.5" x14ac:dyDescent="0.2">
      <c r="A214" s="7" t="str">
        <f t="shared" ca="1" si="11"/>
        <v>114</v>
      </c>
      <c r="B214" s="7" t="str">
        <f ca="1">OFFSET(ORÇAMENTO!C$15,ROW(B214)-ROW(B$15),0)</f>
        <v>S</v>
      </c>
      <c r="C214" s="7" t="str">
        <f ca="1">OFFSET(ORÇAMENTO!L$15,ROW(C214)-ROW(C$15),0)</f>
        <v/>
      </c>
      <c r="D214" s="117" t="str">
        <f ca="1">OFFSET(ORÇAMENTO!N$15,ROW(D214)-ROW(D$15),0)</f>
        <v>Serviço</v>
      </c>
      <c r="E214" s="118" t="str">
        <f ca="1">OFFSET(ORÇAMENTO!O$15,ROW(E214)-ROW(E$15),0)</f>
        <v>-</v>
      </c>
      <c r="F214" s="164" t="str">
        <f ca="1">OFFSET(ORÇAMENTO!R$15,ROW(F214)-ROW(F$15),0)</f>
        <v>TORNEIRA DE BOIA PARA CAIXA D'ÁGUA, ROSCÁVEL, 1/2" - FORNECIMENTO E INSTALAÇÃO. AF_08/2021</v>
      </c>
      <c r="G214" s="165" t="str">
        <f ca="1">IF($D214&lt;&gt;"Serviço","",OFFSET(ORÇAMENTO!S$15,ROW(G214)-ROW(G$15),0))</f>
        <v>UN</v>
      </c>
      <c r="H214" s="123">
        <f ca="1">IF($D214&lt;&gt;"Serviço",0,IF(ACOMPANHAMENTO="BM",ROUND(OFFSET(ORÇAMENTO!AJ$15,ROW(H214)-ROW(H$15),0),15-13*ORÇAMENTO!$AF$7),SUMPRODUCT(($Q$1:$AA$1=1)*ROUND($Q214:$AA214,15-13*ORÇAMENTO!$AF$7))))</f>
        <v>1</v>
      </c>
      <c r="I214" s="469"/>
      <c r="J214" s="577" t="str" cm="1">
        <f t="array" aca="1" ref="J214" ca="1">IF(B214&lt;&gt;"S","",IF(AND(ACOMPANHAMENTO="PLE",AUTOEVENTO="Manual",OR(H214&gt;0,ORÇAMENTO!AC214="QUANT."),OR(K214="",M214=0,N214="")),"►",IF(AND(ACOMPANHAMENTO="PLE",ORÇAMENTO!AC214="QUANT."),"►►",IF(AND(COUNTIF($P$11:$AA$11,"▼")=0,H214&gt;0,I214=""),"◄",""))))</f>
        <v>◄</v>
      </c>
      <c r="K214" s="626"/>
      <c r="L214" s="166" t="s">
        <v>765</v>
      </c>
      <c r="M214" s="167">
        <f ca="1">IF($D214&lt;&gt;"Serviço","",
          IF(AUTOEVENTO="manual",$A214,
                IF(ISERROR(MATCH($A214,$A$15:OFFSET($A214,-1,0),0)),MAX($M$15:OFFSET(M214,-1,0))+1,
                      INDEX($M$15:OFFSET(M214,-1,0),MATCH($A214,$A$15:OFFSET($A214,-1,0),0)))))</f>
        <v>11</v>
      </c>
      <c r="N214" s="168" t="str">
        <f ca="1">IF($D214&lt;&gt;"Serviço","",
         IF(AUTOEVENTO="Manual",
                IF($A214=0,"&lt;-- defina o número do agrupador",
                       OFFSET(EVENTOS!$D$15,$A214-$A$15,0)),
                OFFSET($F$15,$A214,0)))</f>
        <v>INSTALAÇÕES HIDROSSANITÁRIAS</v>
      </c>
      <c r="O214" s="169"/>
      <c r="Q214" s="169"/>
      <c r="R214" s="170"/>
      <c r="S214" s="170"/>
      <c r="T214" s="170"/>
      <c r="U214" s="170"/>
      <c r="V214" s="170"/>
      <c r="W214" s="170"/>
      <c r="X214" s="170"/>
      <c r="Y214" s="170"/>
      <c r="Z214" s="171"/>
      <c r="AB214" s="454">
        <f ca="1">IF(AND($D214="Serviço",AB$12&lt;&gt;0,$H214&gt;0,OR(AUTOEVENTO&lt;&gt;"manual",$M214&lt;&gt;$A$15)),
        IF(Import.TipoArredondamento&lt;&gt;"TransfereGOV",
              ROUND(OFFSET($P214,0,AB$13),15-13*ORÇAMENTO!$AF$7)/$H214*OFFSET(ORÇAMENTO!$X$15,ROW(AB214)-ROW(AB$15),0),
              ROUND(ROUND(OFFSET($P214,0,AB$13),15-13*ORÇAMENTO!$AF$7)*OFFSET(ORÇAMENTO!$W$15,ROW(AB214)-ROW(AB$15),0),15-13*ORÇAMENTO!$AF$11)),
         0)</f>
        <v>0</v>
      </c>
      <c r="AC214" s="454">
        <f ca="1">IF(AND($D214="Serviço",AC$12&lt;&gt;0,$H214&gt;0,OR(AUTOEVENTO&lt;&gt;"manual",$M214&lt;&gt;$A$15)),
        IF(Import.TipoArredondamento&lt;&gt;"TransfereGOV",
              ROUND(OFFSET($P214,0,AC$13),15-13*ORÇAMENTO!$AF$7)/$H214*OFFSET(ORÇAMENTO!$X$15,ROW(AC214)-ROW(AC$15),0),
              ROUND(ROUND(OFFSET($P214,0,AC$13),15-13*ORÇAMENTO!$AF$7)*OFFSET(ORÇAMENTO!$W$15,ROW(AC214)-ROW(AC$15),0),15-13*ORÇAMENTO!$AF$11)),
         0)</f>
        <v>0</v>
      </c>
      <c r="AD214" s="454">
        <f ca="1">IF(AND($D214="Serviço",AD$12&lt;&gt;0,$H214&gt;0,OR(AUTOEVENTO&lt;&gt;"manual",$M214&lt;&gt;$A$15)),
        IF(Import.TipoArredondamento&lt;&gt;"TransfereGOV",
              ROUND(OFFSET($P214,0,AD$13),15-13*ORÇAMENTO!$AF$7)/$H214*OFFSET(ORÇAMENTO!$X$15,ROW(AD214)-ROW(AD$15),0),
              ROUND(ROUND(OFFSET($P214,0,AD$13),15-13*ORÇAMENTO!$AF$7)*OFFSET(ORÇAMENTO!$W$15,ROW(AD214)-ROW(AD$15),0),15-13*ORÇAMENTO!$AF$11)),
         0)</f>
        <v>0</v>
      </c>
      <c r="AE214" s="454">
        <f ca="1">IF(AND($D214="Serviço",AE$12&lt;&gt;0,$H214&gt;0,OR(AUTOEVENTO&lt;&gt;"manual",$M214&lt;&gt;$A$15)),
        IF(Import.TipoArredondamento&lt;&gt;"TransfereGOV",
              ROUND(OFFSET($P214,0,AE$13),15-13*ORÇAMENTO!$AF$7)/$H214*OFFSET(ORÇAMENTO!$X$15,ROW(AE214)-ROW(AE$15),0),
              ROUND(ROUND(OFFSET($P214,0,AE$13),15-13*ORÇAMENTO!$AF$7)*OFFSET(ORÇAMENTO!$W$15,ROW(AE214)-ROW(AE$15),0),15-13*ORÇAMENTO!$AF$11)),
         0)</f>
        <v>0</v>
      </c>
      <c r="AF214" s="454">
        <f ca="1">IF(AND($D214="Serviço",AF$12&lt;&gt;0,$H214&gt;0,OR(AUTOEVENTO&lt;&gt;"manual",$M214&lt;&gt;$A$15)),
        IF(Import.TipoArredondamento&lt;&gt;"TransfereGOV",
              ROUND(OFFSET($P214,0,AF$13),15-13*ORÇAMENTO!$AF$7)/$H214*OFFSET(ORÇAMENTO!$X$15,ROW(AF214)-ROW(AF$15),0),
              ROUND(ROUND(OFFSET($P214,0,AF$13),15-13*ORÇAMENTO!$AF$7)*OFFSET(ORÇAMENTO!$W$15,ROW(AF214)-ROW(AF$15),0),15-13*ORÇAMENTO!$AF$11)),
         0)</f>
        <v>0</v>
      </c>
      <c r="AG214" s="454">
        <f ca="1">IF(AND($D214="Serviço",AG$12&lt;&gt;0,$H214&gt;0,OR(AUTOEVENTO&lt;&gt;"manual",$M214&lt;&gt;$A$15)),
        IF(Import.TipoArredondamento&lt;&gt;"TransfereGOV",
              ROUND(OFFSET($P214,0,AG$13),15-13*ORÇAMENTO!$AF$7)/$H214*OFFSET(ORÇAMENTO!$X$15,ROW(AG214)-ROW(AG$15),0),
              ROUND(ROUND(OFFSET($P214,0,AG$13),15-13*ORÇAMENTO!$AF$7)*OFFSET(ORÇAMENTO!$W$15,ROW(AG214)-ROW(AG$15),0),15-13*ORÇAMENTO!$AF$11)),
         0)</f>
        <v>0</v>
      </c>
      <c r="AH214" s="454">
        <f ca="1">IF(AND($D214="Serviço",AH$12&lt;&gt;0,$H214&gt;0,OR(AUTOEVENTO&lt;&gt;"manual",$M214&lt;&gt;$A$15)),
        IF(Import.TipoArredondamento&lt;&gt;"TransfereGOV",
              ROUND(OFFSET($P214,0,AH$13),15-13*ORÇAMENTO!$AF$7)/$H214*OFFSET(ORÇAMENTO!$X$15,ROW(AH214)-ROW(AH$15),0),
              ROUND(ROUND(OFFSET($P214,0,AH$13),15-13*ORÇAMENTO!$AF$7)*OFFSET(ORÇAMENTO!$W$15,ROW(AH214)-ROW(AH$15),0),15-13*ORÇAMENTO!$AF$11)),
         0)</f>
        <v>0</v>
      </c>
      <c r="AI214" s="454">
        <f ca="1">IF(AND($D214="Serviço",AI$12&lt;&gt;0,$H214&gt;0,OR(AUTOEVENTO&lt;&gt;"manual",$M214&lt;&gt;$A$15)),
        IF(Import.TipoArredondamento&lt;&gt;"TransfereGOV",
              ROUND(OFFSET($P214,0,AI$13),15-13*ORÇAMENTO!$AF$7)/$H214*OFFSET(ORÇAMENTO!$X$15,ROW(AI214)-ROW(AI$15),0),
              ROUND(ROUND(OFFSET($P214,0,AI$13),15-13*ORÇAMENTO!$AF$7)*OFFSET(ORÇAMENTO!$W$15,ROW(AI214)-ROW(AI$15),0),15-13*ORÇAMENTO!$AF$11)),
         0)</f>
        <v>0</v>
      </c>
      <c r="AJ214" s="454">
        <f ca="1">IF(AND($D214="Serviço",AJ$12&lt;&gt;0,$H214&gt;0,OR(AUTOEVENTO&lt;&gt;"manual",$M214&lt;&gt;$A$15)),
        IF(Import.TipoArredondamento&lt;&gt;"TransfereGOV",
              ROUND(OFFSET($P214,0,AJ$13),15-13*ORÇAMENTO!$AF$7)/$H214*OFFSET(ORÇAMENTO!$X$15,ROW(AJ214)-ROW(AJ$15),0),
              ROUND(ROUND(OFFSET($P214,0,AJ$13),15-13*ORÇAMENTO!$AF$7)*OFFSET(ORÇAMENTO!$W$15,ROW(AJ214)-ROW(AJ$15),0),15-13*ORÇAMENTO!$AF$11)),
         0)</f>
        <v>0</v>
      </c>
      <c r="AK214" s="454">
        <f ca="1">IF(AND($D214="Serviço",AK$12&lt;&gt;0,$H214&gt;0,OR(AUTOEVENTO&lt;&gt;"manual",$M214&lt;&gt;$A$15)),
        IF(Import.TipoArredondamento&lt;&gt;"TransfereGOV",
              ROUND(OFFSET($P214,0,AK$13),15-13*ORÇAMENTO!$AF$7)/$H214*OFFSET(ORÇAMENTO!$X$15,ROW(AK214)-ROW(AK$15),0),
              ROUND(ROUND(OFFSET($P214,0,AK$13),15-13*ORÇAMENTO!$AF$7)*OFFSET(ORÇAMENTO!$W$15,ROW(AK214)-ROW(AK$15),0),15-13*ORÇAMENTO!$AF$11)),
         0)</f>
        <v>0</v>
      </c>
      <c r="AM214" s="172">
        <f ca="1">IF(OR($D214&lt;&gt;"Serviço",AND(AUTOEVENTO="Manual",$M214=$A$15)),0,
         IF(OFFSET(CRONOPLE!$F$15,$M214-$A$15,AM$13)="",10^12,OFFSET(CRONOPLE!$F$15,$M214-$A$15,AM$13)))</f>
        <v>1000000000000</v>
      </c>
      <c r="AN214" s="172">
        <f ca="1">IF(OR($D214&lt;&gt;"Serviço",AND(AUTOEVENTO="Manual",$M214=$A$15)),0,
         IF(OFFSET(CRONOPLE!$F$15,$M214-$A$15,AN$13)="",10^12,OFFSET(CRONOPLE!$F$15,$M214-$A$15,AN$13)))</f>
        <v>1000000000000</v>
      </c>
      <c r="AO214" s="172">
        <f ca="1">IF(OR($D214&lt;&gt;"Serviço",AND(AUTOEVENTO="Manual",$M214=$A$15)),0,
         IF(OFFSET(CRONOPLE!$F$15,$M214-$A$15,AO$13)="",10^12,OFFSET(CRONOPLE!$F$15,$M214-$A$15,AO$13)))</f>
        <v>1000000000000</v>
      </c>
      <c r="AP214" s="172">
        <f ca="1">IF(OR($D214&lt;&gt;"Serviço",AND(AUTOEVENTO="Manual",$M214=$A$15)),0,
         IF(OFFSET(CRONOPLE!$F$15,$M214-$A$15,AP$13)="",10^12,OFFSET(CRONOPLE!$F$15,$M214-$A$15,AP$13)))</f>
        <v>1000000000000</v>
      </c>
      <c r="AQ214" s="172">
        <f ca="1">IF(OR($D214&lt;&gt;"Serviço",AND(AUTOEVENTO="Manual",$M214=$A$15)),0,
         IF(OFFSET(CRONOPLE!$F$15,$M214-$A$15,AQ$13)="",10^12,OFFSET(CRONOPLE!$F$15,$M214-$A$15,AQ$13)))</f>
        <v>1000000000000</v>
      </c>
      <c r="AR214" s="172">
        <f ca="1">IF(OR($D214&lt;&gt;"Serviço",AND(AUTOEVENTO="Manual",$M214=$A$15)),0,
         IF(OFFSET(CRONOPLE!$F$15,$M214-$A$15,AR$13)="",10^12,OFFSET(CRONOPLE!$F$15,$M214-$A$15,AR$13)))</f>
        <v>1000000000000</v>
      </c>
      <c r="AS214" s="172">
        <f ca="1">IF(OR($D214&lt;&gt;"Serviço",AND(AUTOEVENTO="Manual",$M214=$A$15)),0,
         IF(OFFSET(CRONOPLE!$F$15,$M214-$A$15,AS$13)="",10^12,OFFSET(CRONOPLE!$F$15,$M214-$A$15,AS$13)))</f>
        <v>1000000000000</v>
      </c>
      <c r="AT214" s="172">
        <f ca="1">IF(OR($D214&lt;&gt;"Serviço",AND(AUTOEVENTO="Manual",$M214=$A$15)),0,
         IF(OFFSET(CRONOPLE!$F$15,$M214-$A$15,AT$13)="",10^12,OFFSET(CRONOPLE!$F$15,$M214-$A$15,AT$13)))</f>
        <v>1000000000000</v>
      </c>
      <c r="AU214" s="172">
        <f ca="1">IF(OR($D214&lt;&gt;"Serviço",AND(AUTOEVENTO="Manual",$M214=$A$15)),0,
         IF(OFFSET(CRONOPLE!$F$15,$M214-$A$15,AU$13)="",10^12,OFFSET(CRONOPLE!$F$15,$M214-$A$15,AU$13)))</f>
        <v>1000000000000</v>
      </c>
      <c r="AV214" s="172">
        <f ca="1">IF(OR($D214&lt;&gt;"Serviço",AND(AUTOEVENTO="Manual",$M214=$A$15)),0,
         IF(OFFSET(CRONOPLE!$F$15,$M214-$A$15,AV$13)="",10^12,OFFSET(CRONOPLE!$F$15,$M214-$A$15,AV$13)))</f>
        <v>1000000000000</v>
      </c>
      <c r="AX214" s="173">
        <f ca="1">IF(OR($D214&lt;&gt;"Serviço",AND(AUTOEVENTO="Manual",$M214=$A$15),$M214&gt;(ROW(PLE.lastrow)-ROW(PLE.firstrow))),0,
           IF(OFFSET(PLE!$G$15,$M214-$A$15,AX$13)="",10^12,OFFSET(PLE!$G$15,$M214-$A$15,AX$13)))</f>
        <v>1000000000000</v>
      </c>
      <c r="AY214" s="173">
        <f ca="1">IF(OR($D214&lt;&gt;"Serviço",AND(AUTOEVENTO="Manual",$M214=$A$15),$M214&gt;(ROW(PLE.lastrow)-ROW(PLE.firstrow))),0,
           IF(OFFSET(PLE!$G$15,$M214-$A$15,AY$13)="",10^12,OFFSET(PLE!$G$15,$M214-$A$15,AY$13)))</f>
        <v>1000000000000</v>
      </c>
      <c r="AZ214" s="173">
        <f ca="1">IF(OR($D214&lt;&gt;"Serviço",AND(AUTOEVENTO="Manual",$M214=$A$15),$M214&gt;(ROW(PLE.lastrow)-ROW(PLE.firstrow))),0,
           IF(OFFSET(PLE!$G$15,$M214-$A$15,AZ$13)="",10^12,OFFSET(PLE!$G$15,$M214-$A$15,AZ$13)))</f>
        <v>1000000000000</v>
      </c>
      <c r="BA214" s="173">
        <f ca="1">IF(OR($D214&lt;&gt;"Serviço",AND(AUTOEVENTO="Manual",$M214=$A$15),$M214&gt;(ROW(PLE.lastrow)-ROW(PLE.firstrow))),0,
           IF(OFFSET(PLE!$G$15,$M214-$A$15,BA$13)="",10^12,OFFSET(PLE!$G$15,$M214-$A$15,BA$13)))</f>
        <v>1000000000000</v>
      </c>
      <c r="BB214" s="173">
        <f ca="1">IF(OR($D214&lt;&gt;"Serviço",AND(AUTOEVENTO="Manual",$M214=$A$15),$M214&gt;(ROW(PLE.lastrow)-ROW(PLE.firstrow))),0,
           IF(OFFSET(PLE!$G$15,$M214-$A$15,BB$13)="",10^12,OFFSET(PLE!$G$15,$M214-$A$15,BB$13)))</f>
        <v>1000000000000</v>
      </c>
      <c r="BC214" s="173">
        <f ca="1">IF(OR($D214&lt;&gt;"Serviço",AND(AUTOEVENTO="Manual",$M214=$A$15),$M214&gt;(ROW(PLE.lastrow)-ROW(PLE.firstrow))),0,
           IF(OFFSET(PLE!$G$15,$M214-$A$15,BC$13)="",10^12,OFFSET(PLE!$G$15,$M214-$A$15,BC$13)))</f>
        <v>1000000000000</v>
      </c>
      <c r="BD214" s="173">
        <f ca="1">IF(OR($D214&lt;&gt;"Serviço",AND(AUTOEVENTO="Manual",$M214=$A$15),$M214&gt;(ROW(PLE.lastrow)-ROW(PLE.firstrow))),0,
           IF(OFFSET(PLE!$G$15,$M214-$A$15,BD$13)="",10^12,OFFSET(PLE!$G$15,$M214-$A$15,BD$13)))</f>
        <v>1000000000000</v>
      </c>
      <c r="BE214" s="173">
        <f ca="1">IF(OR($D214&lt;&gt;"Serviço",AND(AUTOEVENTO="Manual",$M214=$A$15),$M214&gt;(ROW(PLE.lastrow)-ROW(PLE.firstrow))),0,
           IF(OFFSET(PLE!$G$15,$M214-$A$15,BE$13)="",10^12,OFFSET(PLE!$G$15,$M214-$A$15,BE$13)))</f>
        <v>1000000000000</v>
      </c>
      <c r="BF214" s="173">
        <f ca="1">IF(OR($D214&lt;&gt;"Serviço",AND(AUTOEVENTO="Manual",$M214=$A$15),$M214&gt;(ROW(PLE.lastrow)-ROW(PLE.firstrow))),0,
           IF(OFFSET(PLE!$G$15,$M214-$A$15,BF$13)="",10^12,OFFSET(PLE!$G$15,$M214-$A$15,BF$13)))</f>
        <v>1000000000000</v>
      </c>
      <c r="BG214" s="173">
        <f ca="1">IF(OR($D214&lt;&gt;"Serviço",AND(AUTOEVENTO="Manual",$M214=$A$15),$M214&gt;(ROW(PLE.lastrow)-ROW(PLE.firstrow))),0,
           IF(OFFSET(PLE!$G$15,$M214-$A$15,BG$13)="",10^12,OFFSET(PLE!$G$15,$M214-$A$15,BG$13)))</f>
        <v>1000000000000</v>
      </c>
    </row>
    <row r="215" spans="1:59" ht="38.25" x14ac:dyDescent="0.2">
      <c r="A215" s="7" t="str">
        <f t="shared" ca="1" si="11"/>
        <v>114</v>
      </c>
      <c r="B215" s="7" t="str">
        <f ca="1">OFFSET(ORÇAMENTO!C$15,ROW(B215)-ROW(B$15),0)</f>
        <v>S</v>
      </c>
      <c r="C215" s="7" t="str">
        <f ca="1">OFFSET(ORÇAMENTO!L$15,ROW(C215)-ROW(C$15),0)</f>
        <v/>
      </c>
      <c r="D215" s="117" t="str">
        <f ca="1">OFFSET(ORÇAMENTO!N$15,ROW(D215)-ROW(D$15),0)</f>
        <v>Serviço</v>
      </c>
      <c r="E215" s="118" t="str">
        <f ca="1">OFFSET(ORÇAMENTO!O$15,ROW(E215)-ROW(E$15),0)</f>
        <v>-</v>
      </c>
      <c r="F215" s="164" t="str">
        <f ca="1">OFFSET(ORÇAMENTO!R$15,ROW(F215)-ROW(F$15),0)</f>
        <v>JOELHO 90 GRAUS COM BUCHA DE LATÃO, PVC, SOLDÁVEL, DN 25MM, X 3/4  INSTALADO EM RAMAL OU SUB-RAMAL DE ÁGUA - FORNECIMENTO E INSTALAÇÃO. AF_06/2022</v>
      </c>
      <c r="G215" s="165" t="str">
        <f ca="1">IF($D215&lt;&gt;"Serviço","",OFFSET(ORÇAMENTO!S$15,ROW(G215)-ROW(G$15),0))</f>
        <v>UN</v>
      </c>
      <c r="H215" s="123">
        <f ca="1">IF($D215&lt;&gt;"Serviço",0,IF(ACOMPANHAMENTO="BM",ROUND(OFFSET(ORÇAMENTO!AJ$15,ROW(H215)-ROW(H$15),0),15-13*ORÇAMENTO!$AF$7),SUMPRODUCT(($Q$1:$AA$1=1)*ROUND($Q215:$AA215,15-13*ORÇAMENTO!$AF$7))))</f>
        <v>26</v>
      </c>
      <c r="I215" s="469"/>
      <c r="J215" s="577" t="str" cm="1">
        <f t="array" aca="1" ref="J215" ca="1">IF(B215&lt;&gt;"S","",IF(AND(ACOMPANHAMENTO="PLE",AUTOEVENTO="Manual",OR(H215&gt;0,ORÇAMENTO!AC215="QUANT."),OR(K215="",M215=0,N215="")),"►",IF(AND(ACOMPANHAMENTO="PLE",ORÇAMENTO!AC215="QUANT."),"►►",IF(AND(COUNTIF($P$11:$AA$11,"▼")=0,H215&gt;0,I215=""),"◄",""))))</f>
        <v>◄</v>
      </c>
      <c r="K215" s="626"/>
      <c r="L215" s="166" t="s">
        <v>765</v>
      </c>
      <c r="M215" s="167">
        <f ca="1">IF($D215&lt;&gt;"Serviço","",
          IF(AUTOEVENTO="manual",$A215,
                IF(ISERROR(MATCH($A215,$A$15:OFFSET($A215,-1,0),0)),MAX($M$15:OFFSET(M215,-1,0))+1,
                      INDEX($M$15:OFFSET(M215,-1,0),MATCH($A215,$A$15:OFFSET($A215,-1,0),0)))))</f>
        <v>11</v>
      </c>
      <c r="N215" s="168" t="str">
        <f ca="1">IF($D215&lt;&gt;"Serviço","",
         IF(AUTOEVENTO="Manual",
                IF($A215=0,"&lt;-- defina o número do agrupador",
                       OFFSET(EVENTOS!$D$15,$A215-$A$15,0)),
                OFFSET($F$15,$A215,0)))</f>
        <v>INSTALAÇÕES HIDROSSANITÁRIAS</v>
      </c>
      <c r="O215" s="169"/>
      <c r="Q215" s="169"/>
      <c r="R215" s="170"/>
      <c r="S215" s="170"/>
      <c r="T215" s="170"/>
      <c r="U215" s="170"/>
      <c r="V215" s="170"/>
      <c r="W215" s="170"/>
      <c r="X215" s="170"/>
      <c r="Y215" s="170"/>
      <c r="Z215" s="171"/>
      <c r="AB215" s="454">
        <f ca="1">IF(AND($D215="Serviço",AB$12&lt;&gt;0,$H215&gt;0,OR(AUTOEVENTO&lt;&gt;"manual",$M215&lt;&gt;$A$15)),
        IF(Import.TipoArredondamento&lt;&gt;"TransfereGOV",
              ROUND(OFFSET($P215,0,AB$13),15-13*ORÇAMENTO!$AF$7)/$H215*OFFSET(ORÇAMENTO!$X$15,ROW(AB215)-ROW(AB$15),0),
              ROUND(ROUND(OFFSET($P215,0,AB$13),15-13*ORÇAMENTO!$AF$7)*OFFSET(ORÇAMENTO!$W$15,ROW(AB215)-ROW(AB$15),0),15-13*ORÇAMENTO!$AF$11)),
         0)</f>
        <v>0</v>
      </c>
      <c r="AC215" s="454">
        <f ca="1">IF(AND($D215="Serviço",AC$12&lt;&gt;0,$H215&gt;0,OR(AUTOEVENTO&lt;&gt;"manual",$M215&lt;&gt;$A$15)),
        IF(Import.TipoArredondamento&lt;&gt;"TransfereGOV",
              ROUND(OFFSET($P215,0,AC$13),15-13*ORÇAMENTO!$AF$7)/$H215*OFFSET(ORÇAMENTO!$X$15,ROW(AC215)-ROW(AC$15),0),
              ROUND(ROUND(OFFSET($P215,0,AC$13),15-13*ORÇAMENTO!$AF$7)*OFFSET(ORÇAMENTO!$W$15,ROW(AC215)-ROW(AC$15),0),15-13*ORÇAMENTO!$AF$11)),
         0)</f>
        <v>0</v>
      </c>
      <c r="AD215" s="454">
        <f ca="1">IF(AND($D215="Serviço",AD$12&lt;&gt;0,$H215&gt;0,OR(AUTOEVENTO&lt;&gt;"manual",$M215&lt;&gt;$A$15)),
        IF(Import.TipoArredondamento&lt;&gt;"TransfereGOV",
              ROUND(OFFSET($P215,0,AD$13),15-13*ORÇAMENTO!$AF$7)/$H215*OFFSET(ORÇAMENTO!$X$15,ROW(AD215)-ROW(AD$15),0),
              ROUND(ROUND(OFFSET($P215,0,AD$13),15-13*ORÇAMENTO!$AF$7)*OFFSET(ORÇAMENTO!$W$15,ROW(AD215)-ROW(AD$15),0),15-13*ORÇAMENTO!$AF$11)),
         0)</f>
        <v>0</v>
      </c>
      <c r="AE215" s="454">
        <f ca="1">IF(AND($D215="Serviço",AE$12&lt;&gt;0,$H215&gt;0,OR(AUTOEVENTO&lt;&gt;"manual",$M215&lt;&gt;$A$15)),
        IF(Import.TipoArredondamento&lt;&gt;"TransfereGOV",
              ROUND(OFFSET($P215,0,AE$13),15-13*ORÇAMENTO!$AF$7)/$H215*OFFSET(ORÇAMENTO!$X$15,ROW(AE215)-ROW(AE$15),0),
              ROUND(ROUND(OFFSET($P215,0,AE$13),15-13*ORÇAMENTO!$AF$7)*OFFSET(ORÇAMENTO!$W$15,ROW(AE215)-ROW(AE$15),0),15-13*ORÇAMENTO!$AF$11)),
         0)</f>
        <v>0</v>
      </c>
      <c r="AF215" s="454">
        <f ca="1">IF(AND($D215="Serviço",AF$12&lt;&gt;0,$H215&gt;0,OR(AUTOEVENTO&lt;&gt;"manual",$M215&lt;&gt;$A$15)),
        IF(Import.TipoArredondamento&lt;&gt;"TransfereGOV",
              ROUND(OFFSET($P215,0,AF$13),15-13*ORÇAMENTO!$AF$7)/$H215*OFFSET(ORÇAMENTO!$X$15,ROW(AF215)-ROW(AF$15),0),
              ROUND(ROUND(OFFSET($P215,0,AF$13),15-13*ORÇAMENTO!$AF$7)*OFFSET(ORÇAMENTO!$W$15,ROW(AF215)-ROW(AF$15),0),15-13*ORÇAMENTO!$AF$11)),
         0)</f>
        <v>0</v>
      </c>
      <c r="AG215" s="454">
        <f ca="1">IF(AND($D215="Serviço",AG$12&lt;&gt;0,$H215&gt;0,OR(AUTOEVENTO&lt;&gt;"manual",$M215&lt;&gt;$A$15)),
        IF(Import.TipoArredondamento&lt;&gt;"TransfereGOV",
              ROUND(OFFSET($P215,0,AG$13),15-13*ORÇAMENTO!$AF$7)/$H215*OFFSET(ORÇAMENTO!$X$15,ROW(AG215)-ROW(AG$15),0),
              ROUND(ROUND(OFFSET($P215,0,AG$13),15-13*ORÇAMENTO!$AF$7)*OFFSET(ORÇAMENTO!$W$15,ROW(AG215)-ROW(AG$15),0),15-13*ORÇAMENTO!$AF$11)),
         0)</f>
        <v>0</v>
      </c>
      <c r="AH215" s="454">
        <f ca="1">IF(AND($D215="Serviço",AH$12&lt;&gt;0,$H215&gt;0,OR(AUTOEVENTO&lt;&gt;"manual",$M215&lt;&gt;$A$15)),
        IF(Import.TipoArredondamento&lt;&gt;"TransfereGOV",
              ROUND(OFFSET($P215,0,AH$13),15-13*ORÇAMENTO!$AF$7)/$H215*OFFSET(ORÇAMENTO!$X$15,ROW(AH215)-ROW(AH$15),0),
              ROUND(ROUND(OFFSET($P215,0,AH$13),15-13*ORÇAMENTO!$AF$7)*OFFSET(ORÇAMENTO!$W$15,ROW(AH215)-ROW(AH$15),0),15-13*ORÇAMENTO!$AF$11)),
         0)</f>
        <v>0</v>
      </c>
      <c r="AI215" s="454">
        <f ca="1">IF(AND($D215="Serviço",AI$12&lt;&gt;0,$H215&gt;0,OR(AUTOEVENTO&lt;&gt;"manual",$M215&lt;&gt;$A$15)),
        IF(Import.TipoArredondamento&lt;&gt;"TransfereGOV",
              ROUND(OFFSET($P215,0,AI$13),15-13*ORÇAMENTO!$AF$7)/$H215*OFFSET(ORÇAMENTO!$X$15,ROW(AI215)-ROW(AI$15),0),
              ROUND(ROUND(OFFSET($P215,0,AI$13),15-13*ORÇAMENTO!$AF$7)*OFFSET(ORÇAMENTO!$W$15,ROW(AI215)-ROW(AI$15),0),15-13*ORÇAMENTO!$AF$11)),
         0)</f>
        <v>0</v>
      </c>
      <c r="AJ215" s="454">
        <f ca="1">IF(AND($D215="Serviço",AJ$12&lt;&gt;0,$H215&gt;0,OR(AUTOEVENTO&lt;&gt;"manual",$M215&lt;&gt;$A$15)),
        IF(Import.TipoArredondamento&lt;&gt;"TransfereGOV",
              ROUND(OFFSET($P215,0,AJ$13),15-13*ORÇAMENTO!$AF$7)/$H215*OFFSET(ORÇAMENTO!$X$15,ROW(AJ215)-ROW(AJ$15),0),
              ROUND(ROUND(OFFSET($P215,0,AJ$13),15-13*ORÇAMENTO!$AF$7)*OFFSET(ORÇAMENTO!$W$15,ROW(AJ215)-ROW(AJ$15),0),15-13*ORÇAMENTO!$AF$11)),
         0)</f>
        <v>0</v>
      </c>
      <c r="AK215" s="454">
        <f ca="1">IF(AND($D215="Serviço",AK$12&lt;&gt;0,$H215&gt;0,OR(AUTOEVENTO&lt;&gt;"manual",$M215&lt;&gt;$A$15)),
        IF(Import.TipoArredondamento&lt;&gt;"TransfereGOV",
              ROUND(OFFSET($P215,0,AK$13),15-13*ORÇAMENTO!$AF$7)/$H215*OFFSET(ORÇAMENTO!$X$15,ROW(AK215)-ROW(AK$15),0),
              ROUND(ROUND(OFFSET($P215,0,AK$13),15-13*ORÇAMENTO!$AF$7)*OFFSET(ORÇAMENTO!$W$15,ROW(AK215)-ROW(AK$15),0),15-13*ORÇAMENTO!$AF$11)),
         0)</f>
        <v>0</v>
      </c>
      <c r="AM215" s="172">
        <f ca="1">IF(OR($D215&lt;&gt;"Serviço",AND(AUTOEVENTO="Manual",$M215=$A$15)),0,
         IF(OFFSET(CRONOPLE!$F$15,$M215-$A$15,AM$13)="",10^12,OFFSET(CRONOPLE!$F$15,$M215-$A$15,AM$13)))</f>
        <v>1000000000000</v>
      </c>
      <c r="AN215" s="172">
        <f ca="1">IF(OR($D215&lt;&gt;"Serviço",AND(AUTOEVENTO="Manual",$M215=$A$15)),0,
         IF(OFFSET(CRONOPLE!$F$15,$M215-$A$15,AN$13)="",10^12,OFFSET(CRONOPLE!$F$15,$M215-$A$15,AN$13)))</f>
        <v>1000000000000</v>
      </c>
      <c r="AO215" s="172">
        <f ca="1">IF(OR($D215&lt;&gt;"Serviço",AND(AUTOEVENTO="Manual",$M215=$A$15)),0,
         IF(OFFSET(CRONOPLE!$F$15,$M215-$A$15,AO$13)="",10^12,OFFSET(CRONOPLE!$F$15,$M215-$A$15,AO$13)))</f>
        <v>1000000000000</v>
      </c>
      <c r="AP215" s="172">
        <f ca="1">IF(OR($D215&lt;&gt;"Serviço",AND(AUTOEVENTO="Manual",$M215=$A$15)),0,
         IF(OFFSET(CRONOPLE!$F$15,$M215-$A$15,AP$13)="",10^12,OFFSET(CRONOPLE!$F$15,$M215-$A$15,AP$13)))</f>
        <v>1000000000000</v>
      </c>
      <c r="AQ215" s="172">
        <f ca="1">IF(OR($D215&lt;&gt;"Serviço",AND(AUTOEVENTO="Manual",$M215=$A$15)),0,
         IF(OFFSET(CRONOPLE!$F$15,$M215-$A$15,AQ$13)="",10^12,OFFSET(CRONOPLE!$F$15,$M215-$A$15,AQ$13)))</f>
        <v>1000000000000</v>
      </c>
      <c r="AR215" s="172">
        <f ca="1">IF(OR($D215&lt;&gt;"Serviço",AND(AUTOEVENTO="Manual",$M215=$A$15)),0,
         IF(OFFSET(CRONOPLE!$F$15,$M215-$A$15,AR$13)="",10^12,OFFSET(CRONOPLE!$F$15,$M215-$A$15,AR$13)))</f>
        <v>1000000000000</v>
      </c>
      <c r="AS215" s="172">
        <f ca="1">IF(OR($D215&lt;&gt;"Serviço",AND(AUTOEVENTO="Manual",$M215=$A$15)),0,
         IF(OFFSET(CRONOPLE!$F$15,$M215-$A$15,AS$13)="",10^12,OFFSET(CRONOPLE!$F$15,$M215-$A$15,AS$13)))</f>
        <v>1000000000000</v>
      </c>
      <c r="AT215" s="172">
        <f ca="1">IF(OR($D215&lt;&gt;"Serviço",AND(AUTOEVENTO="Manual",$M215=$A$15)),0,
         IF(OFFSET(CRONOPLE!$F$15,$M215-$A$15,AT$13)="",10^12,OFFSET(CRONOPLE!$F$15,$M215-$A$15,AT$13)))</f>
        <v>1000000000000</v>
      </c>
      <c r="AU215" s="172">
        <f ca="1">IF(OR($D215&lt;&gt;"Serviço",AND(AUTOEVENTO="Manual",$M215=$A$15)),0,
         IF(OFFSET(CRONOPLE!$F$15,$M215-$A$15,AU$13)="",10^12,OFFSET(CRONOPLE!$F$15,$M215-$A$15,AU$13)))</f>
        <v>1000000000000</v>
      </c>
      <c r="AV215" s="172">
        <f ca="1">IF(OR($D215&lt;&gt;"Serviço",AND(AUTOEVENTO="Manual",$M215=$A$15)),0,
         IF(OFFSET(CRONOPLE!$F$15,$M215-$A$15,AV$13)="",10^12,OFFSET(CRONOPLE!$F$15,$M215-$A$15,AV$13)))</f>
        <v>1000000000000</v>
      </c>
      <c r="AX215" s="173">
        <f ca="1">IF(OR($D215&lt;&gt;"Serviço",AND(AUTOEVENTO="Manual",$M215=$A$15),$M215&gt;(ROW(PLE.lastrow)-ROW(PLE.firstrow))),0,
           IF(OFFSET(PLE!$G$15,$M215-$A$15,AX$13)="",10^12,OFFSET(PLE!$G$15,$M215-$A$15,AX$13)))</f>
        <v>1000000000000</v>
      </c>
      <c r="AY215" s="173">
        <f ca="1">IF(OR($D215&lt;&gt;"Serviço",AND(AUTOEVENTO="Manual",$M215=$A$15),$M215&gt;(ROW(PLE.lastrow)-ROW(PLE.firstrow))),0,
           IF(OFFSET(PLE!$G$15,$M215-$A$15,AY$13)="",10^12,OFFSET(PLE!$G$15,$M215-$A$15,AY$13)))</f>
        <v>1000000000000</v>
      </c>
      <c r="AZ215" s="173">
        <f ca="1">IF(OR($D215&lt;&gt;"Serviço",AND(AUTOEVENTO="Manual",$M215=$A$15),$M215&gt;(ROW(PLE.lastrow)-ROW(PLE.firstrow))),0,
           IF(OFFSET(PLE!$G$15,$M215-$A$15,AZ$13)="",10^12,OFFSET(PLE!$G$15,$M215-$A$15,AZ$13)))</f>
        <v>1000000000000</v>
      </c>
      <c r="BA215" s="173">
        <f ca="1">IF(OR($D215&lt;&gt;"Serviço",AND(AUTOEVENTO="Manual",$M215=$A$15),$M215&gt;(ROW(PLE.lastrow)-ROW(PLE.firstrow))),0,
           IF(OFFSET(PLE!$G$15,$M215-$A$15,BA$13)="",10^12,OFFSET(PLE!$G$15,$M215-$A$15,BA$13)))</f>
        <v>1000000000000</v>
      </c>
      <c r="BB215" s="173">
        <f ca="1">IF(OR($D215&lt;&gt;"Serviço",AND(AUTOEVENTO="Manual",$M215=$A$15),$M215&gt;(ROW(PLE.lastrow)-ROW(PLE.firstrow))),0,
           IF(OFFSET(PLE!$G$15,$M215-$A$15,BB$13)="",10^12,OFFSET(PLE!$G$15,$M215-$A$15,BB$13)))</f>
        <v>1000000000000</v>
      </c>
      <c r="BC215" s="173">
        <f ca="1">IF(OR($D215&lt;&gt;"Serviço",AND(AUTOEVENTO="Manual",$M215=$A$15),$M215&gt;(ROW(PLE.lastrow)-ROW(PLE.firstrow))),0,
           IF(OFFSET(PLE!$G$15,$M215-$A$15,BC$13)="",10^12,OFFSET(PLE!$G$15,$M215-$A$15,BC$13)))</f>
        <v>1000000000000</v>
      </c>
      <c r="BD215" s="173">
        <f ca="1">IF(OR($D215&lt;&gt;"Serviço",AND(AUTOEVENTO="Manual",$M215=$A$15),$M215&gt;(ROW(PLE.lastrow)-ROW(PLE.firstrow))),0,
           IF(OFFSET(PLE!$G$15,$M215-$A$15,BD$13)="",10^12,OFFSET(PLE!$G$15,$M215-$A$15,BD$13)))</f>
        <v>1000000000000</v>
      </c>
      <c r="BE215" s="173">
        <f ca="1">IF(OR($D215&lt;&gt;"Serviço",AND(AUTOEVENTO="Manual",$M215=$A$15),$M215&gt;(ROW(PLE.lastrow)-ROW(PLE.firstrow))),0,
           IF(OFFSET(PLE!$G$15,$M215-$A$15,BE$13)="",10^12,OFFSET(PLE!$G$15,$M215-$A$15,BE$13)))</f>
        <v>1000000000000</v>
      </c>
      <c r="BF215" s="173">
        <f ca="1">IF(OR($D215&lt;&gt;"Serviço",AND(AUTOEVENTO="Manual",$M215=$A$15),$M215&gt;(ROW(PLE.lastrow)-ROW(PLE.firstrow))),0,
           IF(OFFSET(PLE!$G$15,$M215-$A$15,BF$13)="",10^12,OFFSET(PLE!$G$15,$M215-$A$15,BF$13)))</f>
        <v>1000000000000</v>
      </c>
      <c r="BG215" s="173">
        <f ca="1">IF(OR($D215&lt;&gt;"Serviço",AND(AUTOEVENTO="Manual",$M215=$A$15),$M215&gt;(ROW(PLE.lastrow)-ROW(PLE.firstrow))),0,
           IF(OFFSET(PLE!$G$15,$M215-$A$15,BG$13)="",10^12,OFFSET(PLE!$G$15,$M215-$A$15,BG$13)))</f>
        <v>1000000000000</v>
      </c>
    </row>
    <row r="216" spans="1:59" ht="38.25" x14ac:dyDescent="0.2">
      <c r="A216" s="7" t="str">
        <f t="shared" ca="1" si="11"/>
        <v>114</v>
      </c>
      <c r="B216" s="7" t="str">
        <f ca="1">OFFSET(ORÇAMENTO!C$15,ROW(B216)-ROW(B$15),0)</f>
        <v>S</v>
      </c>
      <c r="C216" s="7" t="str">
        <f ca="1">OFFSET(ORÇAMENTO!L$15,ROW(C216)-ROW(C$15),0)</f>
        <v/>
      </c>
      <c r="D216" s="117" t="str">
        <f ca="1">OFFSET(ORÇAMENTO!N$15,ROW(D216)-ROW(D$15),0)</f>
        <v>Serviço</v>
      </c>
      <c r="E216" s="118" t="str">
        <f ca="1">OFFSET(ORÇAMENTO!O$15,ROW(E216)-ROW(E$15),0)</f>
        <v>-</v>
      </c>
      <c r="F216" s="164" t="str">
        <f ca="1">OFFSET(ORÇAMENTO!R$15,ROW(F216)-ROW(F$15),0)</f>
        <v>ADAPTADOR COM FLANGE E ANEL DE VEDAÇÃO, PVC, SOLDÁVEL, DN  25 MM X 3/4", INSTALADO EM RESERVAÇÃO PREDIAL DE ÁGUA - FORNECIMENTO E INSTALAÇÃO. AF_04/2024</v>
      </c>
      <c r="G216" s="165" t="str">
        <f ca="1">IF($D216&lt;&gt;"Serviço","",OFFSET(ORÇAMENTO!S$15,ROW(G216)-ROW(G$15),0))</f>
        <v>UN</v>
      </c>
      <c r="H216" s="123">
        <f ca="1">IF($D216&lt;&gt;"Serviço",0,IF(ACOMPANHAMENTO="BM",ROUND(OFFSET(ORÇAMENTO!AJ$15,ROW(H216)-ROW(H$15),0),15-13*ORÇAMENTO!$AF$7),SUMPRODUCT(($Q$1:$AA$1=1)*ROUND($Q216:$AA216,15-13*ORÇAMENTO!$AF$7))))</f>
        <v>1</v>
      </c>
      <c r="I216" s="469"/>
      <c r="J216" s="577" t="str" cm="1">
        <f t="array" aca="1" ref="J216" ca="1">IF(B216&lt;&gt;"S","",IF(AND(ACOMPANHAMENTO="PLE",AUTOEVENTO="Manual",OR(H216&gt;0,ORÇAMENTO!AC216="QUANT."),OR(K216="",M216=0,N216="")),"►",IF(AND(ACOMPANHAMENTO="PLE",ORÇAMENTO!AC216="QUANT."),"►►",IF(AND(COUNTIF($P$11:$AA$11,"▼")=0,H216&gt;0,I216=""),"◄",""))))</f>
        <v>◄</v>
      </c>
      <c r="K216" s="626"/>
      <c r="L216" s="166" t="s">
        <v>765</v>
      </c>
      <c r="M216" s="167">
        <f ca="1">IF($D216&lt;&gt;"Serviço","",
          IF(AUTOEVENTO="manual",$A216,
                IF(ISERROR(MATCH($A216,$A$15:OFFSET($A216,-1,0),0)),MAX($M$15:OFFSET(M216,-1,0))+1,
                      INDEX($M$15:OFFSET(M216,-1,0),MATCH($A216,$A$15:OFFSET($A216,-1,0),0)))))</f>
        <v>11</v>
      </c>
      <c r="N216" s="168" t="str">
        <f ca="1">IF($D216&lt;&gt;"Serviço","",
         IF(AUTOEVENTO="Manual",
                IF($A216=0,"&lt;-- defina o número do agrupador",
                       OFFSET(EVENTOS!$D$15,$A216-$A$15,0)),
                OFFSET($F$15,$A216,0)))</f>
        <v>INSTALAÇÕES HIDROSSANITÁRIAS</v>
      </c>
      <c r="O216" s="169"/>
      <c r="Q216" s="169"/>
      <c r="R216" s="170"/>
      <c r="S216" s="170"/>
      <c r="T216" s="170"/>
      <c r="U216" s="170"/>
      <c r="V216" s="170"/>
      <c r="W216" s="170"/>
      <c r="X216" s="170"/>
      <c r="Y216" s="170"/>
      <c r="Z216" s="171"/>
      <c r="AB216" s="454">
        <f ca="1">IF(AND($D216="Serviço",AB$12&lt;&gt;0,$H216&gt;0,OR(AUTOEVENTO&lt;&gt;"manual",$M216&lt;&gt;$A$15)),
        IF(Import.TipoArredondamento&lt;&gt;"TransfereGOV",
              ROUND(OFFSET($P216,0,AB$13),15-13*ORÇAMENTO!$AF$7)/$H216*OFFSET(ORÇAMENTO!$X$15,ROW(AB216)-ROW(AB$15),0),
              ROUND(ROUND(OFFSET($P216,0,AB$13),15-13*ORÇAMENTO!$AF$7)*OFFSET(ORÇAMENTO!$W$15,ROW(AB216)-ROW(AB$15),0),15-13*ORÇAMENTO!$AF$11)),
         0)</f>
        <v>0</v>
      </c>
      <c r="AC216" s="454">
        <f ca="1">IF(AND($D216="Serviço",AC$12&lt;&gt;0,$H216&gt;0,OR(AUTOEVENTO&lt;&gt;"manual",$M216&lt;&gt;$A$15)),
        IF(Import.TipoArredondamento&lt;&gt;"TransfereGOV",
              ROUND(OFFSET($P216,0,AC$13),15-13*ORÇAMENTO!$AF$7)/$H216*OFFSET(ORÇAMENTO!$X$15,ROW(AC216)-ROW(AC$15),0),
              ROUND(ROUND(OFFSET($P216,0,AC$13),15-13*ORÇAMENTO!$AF$7)*OFFSET(ORÇAMENTO!$W$15,ROW(AC216)-ROW(AC$15),0),15-13*ORÇAMENTO!$AF$11)),
         0)</f>
        <v>0</v>
      </c>
      <c r="AD216" s="454">
        <f ca="1">IF(AND($D216="Serviço",AD$12&lt;&gt;0,$H216&gt;0,OR(AUTOEVENTO&lt;&gt;"manual",$M216&lt;&gt;$A$15)),
        IF(Import.TipoArredondamento&lt;&gt;"TransfereGOV",
              ROUND(OFFSET($P216,0,AD$13),15-13*ORÇAMENTO!$AF$7)/$H216*OFFSET(ORÇAMENTO!$X$15,ROW(AD216)-ROW(AD$15),0),
              ROUND(ROUND(OFFSET($P216,0,AD$13),15-13*ORÇAMENTO!$AF$7)*OFFSET(ORÇAMENTO!$W$15,ROW(AD216)-ROW(AD$15),0),15-13*ORÇAMENTO!$AF$11)),
         0)</f>
        <v>0</v>
      </c>
      <c r="AE216" s="454">
        <f ca="1">IF(AND($D216="Serviço",AE$12&lt;&gt;0,$H216&gt;0,OR(AUTOEVENTO&lt;&gt;"manual",$M216&lt;&gt;$A$15)),
        IF(Import.TipoArredondamento&lt;&gt;"TransfereGOV",
              ROUND(OFFSET($P216,0,AE$13),15-13*ORÇAMENTO!$AF$7)/$H216*OFFSET(ORÇAMENTO!$X$15,ROW(AE216)-ROW(AE$15),0),
              ROUND(ROUND(OFFSET($P216,0,AE$13),15-13*ORÇAMENTO!$AF$7)*OFFSET(ORÇAMENTO!$W$15,ROW(AE216)-ROW(AE$15),0),15-13*ORÇAMENTO!$AF$11)),
         0)</f>
        <v>0</v>
      </c>
      <c r="AF216" s="454">
        <f ca="1">IF(AND($D216="Serviço",AF$12&lt;&gt;0,$H216&gt;0,OR(AUTOEVENTO&lt;&gt;"manual",$M216&lt;&gt;$A$15)),
        IF(Import.TipoArredondamento&lt;&gt;"TransfereGOV",
              ROUND(OFFSET($P216,0,AF$13),15-13*ORÇAMENTO!$AF$7)/$H216*OFFSET(ORÇAMENTO!$X$15,ROW(AF216)-ROW(AF$15),0),
              ROUND(ROUND(OFFSET($P216,0,AF$13),15-13*ORÇAMENTO!$AF$7)*OFFSET(ORÇAMENTO!$W$15,ROW(AF216)-ROW(AF$15),0),15-13*ORÇAMENTO!$AF$11)),
         0)</f>
        <v>0</v>
      </c>
      <c r="AG216" s="454">
        <f ca="1">IF(AND($D216="Serviço",AG$12&lt;&gt;0,$H216&gt;0,OR(AUTOEVENTO&lt;&gt;"manual",$M216&lt;&gt;$A$15)),
        IF(Import.TipoArredondamento&lt;&gt;"TransfereGOV",
              ROUND(OFFSET($P216,0,AG$13),15-13*ORÇAMENTO!$AF$7)/$H216*OFFSET(ORÇAMENTO!$X$15,ROW(AG216)-ROW(AG$15),0),
              ROUND(ROUND(OFFSET($P216,0,AG$13),15-13*ORÇAMENTO!$AF$7)*OFFSET(ORÇAMENTO!$W$15,ROW(AG216)-ROW(AG$15),0),15-13*ORÇAMENTO!$AF$11)),
         0)</f>
        <v>0</v>
      </c>
      <c r="AH216" s="454">
        <f ca="1">IF(AND($D216="Serviço",AH$12&lt;&gt;0,$H216&gt;0,OR(AUTOEVENTO&lt;&gt;"manual",$M216&lt;&gt;$A$15)),
        IF(Import.TipoArredondamento&lt;&gt;"TransfereGOV",
              ROUND(OFFSET($P216,0,AH$13),15-13*ORÇAMENTO!$AF$7)/$H216*OFFSET(ORÇAMENTO!$X$15,ROW(AH216)-ROW(AH$15),0),
              ROUND(ROUND(OFFSET($P216,0,AH$13),15-13*ORÇAMENTO!$AF$7)*OFFSET(ORÇAMENTO!$W$15,ROW(AH216)-ROW(AH$15),0),15-13*ORÇAMENTO!$AF$11)),
         0)</f>
        <v>0</v>
      </c>
      <c r="AI216" s="454">
        <f ca="1">IF(AND($D216="Serviço",AI$12&lt;&gt;0,$H216&gt;0,OR(AUTOEVENTO&lt;&gt;"manual",$M216&lt;&gt;$A$15)),
        IF(Import.TipoArredondamento&lt;&gt;"TransfereGOV",
              ROUND(OFFSET($P216,0,AI$13),15-13*ORÇAMENTO!$AF$7)/$H216*OFFSET(ORÇAMENTO!$X$15,ROW(AI216)-ROW(AI$15),0),
              ROUND(ROUND(OFFSET($P216,0,AI$13),15-13*ORÇAMENTO!$AF$7)*OFFSET(ORÇAMENTO!$W$15,ROW(AI216)-ROW(AI$15),0),15-13*ORÇAMENTO!$AF$11)),
         0)</f>
        <v>0</v>
      </c>
      <c r="AJ216" s="454">
        <f ca="1">IF(AND($D216="Serviço",AJ$12&lt;&gt;0,$H216&gt;0,OR(AUTOEVENTO&lt;&gt;"manual",$M216&lt;&gt;$A$15)),
        IF(Import.TipoArredondamento&lt;&gt;"TransfereGOV",
              ROUND(OFFSET($P216,0,AJ$13),15-13*ORÇAMENTO!$AF$7)/$H216*OFFSET(ORÇAMENTO!$X$15,ROW(AJ216)-ROW(AJ$15),0),
              ROUND(ROUND(OFFSET($P216,0,AJ$13),15-13*ORÇAMENTO!$AF$7)*OFFSET(ORÇAMENTO!$W$15,ROW(AJ216)-ROW(AJ$15),0),15-13*ORÇAMENTO!$AF$11)),
         0)</f>
        <v>0</v>
      </c>
      <c r="AK216" s="454">
        <f ca="1">IF(AND($D216="Serviço",AK$12&lt;&gt;0,$H216&gt;0,OR(AUTOEVENTO&lt;&gt;"manual",$M216&lt;&gt;$A$15)),
        IF(Import.TipoArredondamento&lt;&gt;"TransfereGOV",
              ROUND(OFFSET($P216,0,AK$13),15-13*ORÇAMENTO!$AF$7)/$H216*OFFSET(ORÇAMENTO!$X$15,ROW(AK216)-ROW(AK$15),0),
              ROUND(ROUND(OFFSET($P216,0,AK$13),15-13*ORÇAMENTO!$AF$7)*OFFSET(ORÇAMENTO!$W$15,ROW(AK216)-ROW(AK$15),0),15-13*ORÇAMENTO!$AF$11)),
         0)</f>
        <v>0</v>
      </c>
      <c r="AM216" s="172">
        <f ca="1">IF(OR($D216&lt;&gt;"Serviço",AND(AUTOEVENTO="Manual",$M216=$A$15)),0,
         IF(OFFSET(CRONOPLE!$F$15,$M216-$A$15,AM$13)="",10^12,OFFSET(CRONOPLE!$F$15,$M216-$A$15,AM$13)))</f>
        <v>1000000000000</v>
      </c>
      <c r="AN216" s="172">
        <f ca="1">IF(OR($D216&lt;&gt;"Serviço",AND(AUTOEVENTO="Manual",$M216=$A$15)),0,
         IF(OFFSET(CRONOPLE!$F$15,$M216-$A$15,AN$13)="",10^12,OFFSET(CRONOPLE!$F$15,$M216-$A$15,AN$13)))</f>
        <v>1000000000000</v>
      </c>
      <c r="AO216" s="172">
        <f ca="1">IF(OR($D216&lt;&gt;"Serviço",AND(AUTOEVENTO="Manual",$M216=$A$15)),0,
         IF(OFFSET(CRONOPLE!$F$15,$M216-$A$15,AO$13)="",10^12,OFFSET(CRONOPLE!$F$15,$M216-$A$15,AO$13)))</f>
        <v>1000000000000</v>
      </c>
      <c r="AP216" s="172">
        <f ca="1">IF(OR($D216&lt;&gt;"Serviço",AND(AUTOEVENTO="Manual",$M216=$A$15)),0,
         IF(OFFSET(CRONOPLE!$F$15,$M216-$A$15,AP$13)="",10^12,OFFSET(CRONOPLE!$F$15,$M216-$A$15,AP$13)))</f>
        <v>1000000000000</v>
      </c>
      <c r="AQ216" s="172">
        <f ca="1">IF(OR($D216&lt;&gt;"Serviço",AND(AUTOEVENTO="Manual",$M216=$A$15)),0,
         IF(OFFSET(CRONOPLE!$F$15,$M216-$A$15,AQ$13)="",10^12,OFFSET(CRONOPLE!$F$15,$M216-$A$15,AQ$13)))</f>
        <v>1000000000000</v>
      </c>
      <c r="AR216" s="172">
        <f ca="1">IF(OR($D216&lt;&gt;"Serviço",AND(AUTOEVENTO="Manual",$M216=$A$15)),0,
         IF(OFFSET(CRONOPLE!$F$15,$M216-$A$15,AR$13)="",10^12,OFFSET(CRONOPLE!$F$15,$M216-$A$15,AR$13)))</f>
        <v>1000000000000</v>
      </c>
      <c r="AS216" s="172">
        <f ca="1">IF(OR($D216&lt;&gt;"Serviço",AND(AUTOEVENTO="Manual",$M216=$A$15)),0,
         IF(OFFSET(CRONOPLE!$F$15,$M216-$A$15,AS$13)="",10^12,OFFSET(CRONOPLE!$F$15,$M216-$A$15,AS$13)))</f>
        <v>1000000000000</v>
      </c>
      <c r="AT216" s="172">
        <f ca="1">IF(OR($D216&lt;&gt;"Serviço",AND(AUTOEVENTO="Manual",$M216=$A$15)),0,
         IF(OFFSET(CRONOPLE!$F$15,$M216-$A$15,AT$13)="",10^12,OFFSET(CRONOPLE!$F$15,$M216-$A$15,AT$13)))</f>
        <v>1000000000000</v>
      </c>
      <c r="AU216" s="172">
        <f ca="1">IF(OR($D216&lt;&gt;"Serviço",AND(AUTOEVENTO="Manual",$M216=$A$15)),0,
         IF(OFFSET(CRONOPLE!$F$15,$M216-$A$15,AU$13)="",10^12,OFFSET(CRONOPLE!$F$15,$M216-$A$15,AU$13)))</f>
        <v>1000000000000</v>
      </c>
      <c r="AV216" s="172">
        <f ca="1">IF(OR($D216&lt;&gt;"Serviço",AND(AUTOEVENTO="Manual",$M216=$A$15)),0,
         IF(OFFSET(CRONOPLE!$F$15,$M216-$A$15,AV$13)="",10^12,OFFSET(CRONOPLE!$F$15,$M216-$A$15,AV$13)))</f>
        <v>1000000000000</v>
      </c>
      <c r="AX216" s="173">
        <f ca="1">IF(OR($D216&lt;&gt;"Serviço",AND(AUTOEVENTO="Manual",$M216=$A$15),$M216&gt;(ROW(PLE.lastrow)-ROW(PLE.firstrow))),0,
           IF(OFFSET(PLE!$G$15,$M216-$A$15,AX$13)="",10^12,OFFSET(PLE!$G$15,$M216-$A$15,AX$13)))</f>
        <v>1000000000000</v>
      </c>
      <c r="AY216" s="173">
        <f ca="1">IF(OR($D216&lt;&gt;"Serviço",AND(AUTOEVENTO="Manual",$M216=$A$15),$M216&gt;(ROW(PLE.lastrow)-ROW(PLE.firstrow))),0,
           IF(OFFSET(PLE!$G$15,$M216-$A$15,AY$13)="",10^12,OFFSET(PLE!$G$15,$M216-$A$15,AY$13)))</f>
        <v>1000000000000</v>
      </c>
      <c r="AZ216" s="173">
        <f ca="1">IF(OR($D216&lt;&gt;"Serviço",AND(AUTOEVENTO="Manual",$M216=$A$15),$M216&gt;(ROW(PLE.lastrow)-ROW(PLE.firstrow))),0,
           IF(OFFSET(PLE!$G$15,$M216-$A$15,AZ$13)="",10^12,OFFSET(PLE!$G$15,$M216-$A$15,AZ$13)))</f>
        <v>1000000000000</v>
      </c>
      <c r="BA216" s="173">
        <f ca="1">IF(OR($D216&lt;&gt;"Serviço",AND(AUTOEVENTO="Manual",$M216=$A$15),$M216&gt;(ROW(PLE.lastrow)-ROW(PLE.firstrow))),0,
           IF(OFFSET(PLE!$G$15,$M216-$A$15,BA$13)="",10^12,OFFSET(PLE!$G$15,$M216-$A$15,BA$13)))</f>
        <v>1000000000000</v>
      </c>
      <c r="BB216" s="173">
        <f ca="1">IF(OR($D216&lt;&gt;"Serviço",AND(AUTOEVENTO="Manual",$M216=$A$15),$M216&gt;(ROW(PLE.lastrow)-ROW(PLE.firstrow))),0,
           IF(OFFSET(PLE!$G$15,$M216-$A$15,BB$13)="",10^12,OFFSET(PLE!$G$15,$M216-$A$15,BB$13)))</f>
        <v>1000000000000</v>
      </c>
      <c r="BC216" s="173">
        <f ca="1">IF(OR($D216&lt;&gt;"Serviço",AND(AUTOEVENTO="Manual",$M216=$A$15),$M216&gt;(ROW(PLE.lastrow)-ROW(PLE.firstrow))),0,
           IF(OFFSET(PLE!$G$15,$M216-$A$15,BC$13)="",10^12,OFFSET(PLE!$G$15,$M216-$A$15,BC$13)))</f>
        <v>1000000000000</v>
      </c>
      <c r="BD216" s="173">
        <f ca="1">IF(OR($D216&lt;&gt;"Serviço",AND(AUTOEVENTO="Manual",$M216=$A$15),$M216&gt;(ROW(PLE.lastrow)-ROW(PLE.firstrow))),0,
           IF(OFFSET(PLE!$G$15,$M216-$A$15,BD$13)="",10^12,OFFSET(PLE!$G$15,$M216-$A$15,BD$13)))</f>
        <v>1000000000000</v>
      </c>
      <c r="BE216" s="173">
        <f ca="1">IF(OR($D216&lt;&gt;"Serviço",AND(AUTOEVENTO="Manual",$M216=$A$15),$M216&gt;(ROW(PLE.lastrow)-ROW(PLE.firstrow))),0,
           IF(OFFSET(PLE!$G$15,$M216-$A$15,BE$13)="",10^12,OFFSET(PLE!$G$15,$M216-$A$15,BE$13)))</f>
        <v>1000000000000</v>
      </c>
      <c r="BF216" s="173">
        <f ca="1">IF(OR($D216&lt;&gt;"Serviço",AND(AUTOEVENTO="Manual",$M216=$A$15),$M216&gt;(ROW(PLE.lastrow)-ROW(PLE.firstrow))),0,
           IF(OFFSET(PLE!$G$15,$M216-$A$15,BF$13)="",10^12,OFFSET(PLE!$G$15,$M216-$A$15,BF$13)))</f>
        <v>1000000000000</v>
      </c>
      <c r="BG216" s="173">
        <f ca="1">IF(OR($D216&lt;&gt;"Serviço",AND(AUTOEVENTO="Manual",$M216=$A$15),$M216&gt;(ROW(PLE.lastrow)-ROW(PLE.firstrow))),0,
           IF(OFFSET(PLE!$G$15,$M216-$A$15,BG$13)="",10^12,OFFSET(PLE!$G$15,$M216-$A$15,BG$13)))</f>
        <v>1000000000000</v>
      </c>
    </row>
    <row r="217" spans="1:59" ht="25.5" x14ac:dyDescent="0.2">
      <c r="A217" s="7" t="str">
        <f t="shared" ca="1" si="11"/>
        <v>114</v>
      </c>
      <c r="B217" s="7" t="str">
        <f ca="1">OFFSET(ORÇAMENTO!C$15,ROW(B217)-ROW(B$15),0)</f>
        <v>S</v>
      </c>
      <c r="C217" s="7" t="str">
        <f ca="1">OFFSET(ORÇAMENTO!L$15,ROW(C217)-ROW(C$15),0)</f>
        <v/>
      </c>
      <c r="D217" s="117" t="str">
        <f ca="1">OFFSET(ORÇAMENTO!N$15,ROW(D217)-ROW(D$15),0)</f>
        <v>Serviço</v>
      </c>
      <c r="E217" s="118" t="str">
        <f ca="1">OFFSET(ORÇAMENTO!O$15,ROW(E217)-ROW(E$15),0)</f>
        <v>-</v>
      </c>
      <c r="F217" s="164" t="str">
        <f ca="1">OFFSET(ORÇAMENTO!R$15,ROW(F217)-ROW(F$15),0)</f>
        <v xml:space="preserve">CAIXA D'AGUA / RESERVATORIO EM POLIESTER REFORCADO COM FIBRA DE VIDRO, 20000 LITROS, COM TAMPA                                                                                                                                                            </v>
      </c>
      <c r="G217" s="165" t="str">
        <f ca="1">IF($D217&lt;&gt;"Serviço","",OFFSET(ORÇAMENTO!S$15,ROW(G217)-ROW(G$15),0))</f>
        <v xml:space="preserve">UN    </v>
      </c>
      <c r="H217" s="123">
        <f ca="1">IF($D217&lt;&gt;"Serviço",0,IF(ACOMPANHAMENTO="BM",ROUND(OFFSET(ORÇAMENTO!AJ$15,ROW(H217)-ROW(H$15),0),15-13*ORÇAMENTO!$AF$7),SUMPRODUCT(($Q$1:$AA$1=1)*ROUND($Q217:$AA217,15-13*ORÇAMENTO!$AF$7))))</f>
        <v>1</v>
      </c>
      <c r="I217" s="469"/>
      <c r="J217" s="577" t="str" cm="1">
        <f t="array" aca="1" ref="J217" ca="1">IF(B217&lt;&gt;"S","",IF(AND(ACOMPANHAMENTO="PLE",AUTOEVENTO="Manual",OR(H217&gt;0,ORÇAMENTO!AC217="QUANT."),OR(K217="",M217=0,N217="")),"►",IF(AND(ACOMPANHAMENTO="PLE",ORÇAMENTO!AC217="QUANT."),"►►",IF(AND(COUNTIF($P$11:$AA$11,"▼")=0,H217&gt;0,I217=""),"◄",""))))</f>
        <v>◄</v>
      </c>
      <c r="K217" s="626"/>
      <c r="L217" s="166" t="s">
        <v>765</v>
      </c>
      <c r="M217" s="167">
        <f ca="1">IF($D217&lt;&gt;"Serviço","",
          IF(AUTOEVENTO="manual",$A217,
                IF(ISERROR(MATCH($A217,$A$15:OFFSET($A217,-1,0),0)),MAX($M$15:OFFSET(M217,-1,0))+1,
                      INDEX($M$15:OFFSET(M217,-1,0),MATCH($A217,$A$15:OFFSET($A217,-1,0),0)))))</f>
        <v>11</v>
      </c>
      <c r="N217" s="168" t="str">
        <f ca="1">IF($D217&lt;&gt;"Serviço","",
         IF(AUTOEVENTO="Manual",
                IF($A217=0,"&lt;-- defina o número do agrupador",
                       OFFSET(EVENTOS!$D$15,$A217-$A$15,0)),
                OFFSET($F$15,$A217,0)))</f>
        <v>INSTALAÇÕES HIDROSSANITÁRIAS</v>
      </c>
      <c r="O217" s="169"/>
      <c r="Q217" s="169"/>
      <c r="R217" s="170"/>
      <c r="S217" s="170"/>
      <c r="T217" s="170"/>
      <c r="U217" s="170"/>
      <c r="V217" s="170"/>
      <c r="W217" s="170"/>
      <c r="X217" s="170"/>
      <c r="Y217" s="170"/>
      <c r="Z217" s="171"/>
      <c r="AB217" s="454">
        <f ca="1">IF(AND($D217="Serviço",AB$12&lt;&gt;0,$H217&gt;0,OR(AUTOEVENTO&lt;&gt;"manual",$M217&lt;&gt;$A$15)),
        IF(Import.TipoArredondamento&lt;&gt;"TransfereGOV",
              ROUND(OFFSET($P217,0,AB$13),15-13*ORÇAMENTO!$AF$7)/$H217*OFFSET(ORÇAMENTO!$X$15,ROW(AB217)-ROW(AB$15),0),
              ROUND(ROUND(OFFSET($P217,0,AB$13),15-13*ORÇAMENTO!$AF$7)*OFFSET(ORÇAMENTO!$W$15,ROW(AB217)-ROW(AB$15),0),15-13*ORÇAMENTO!$AF$11)),
         0)</f>
        <v>0</v>
      </c>
      <c r="AC217" s="454">
        <f ca="1">IF(AND($D217="Serviço",AC$12&lt;&gt;0,$H217&gt;0,OR(AUTOEVENTO&lt;&gt;"manual",$M217&lt;&gt;$A$15)),
        IF(Import.TipoArredondamento&lt;&gt;"TransfereGOV",
              ROUND(OFFSET($P217,0,AC$13),15-13*ORÇAMENTO!$AF$7)/$H217*OFFSET(ORÇAMENTO!$X$15,ROW(AC217)-ROW(AC$15),0),
              ROUND(ROUND(OFFSET($P217,0,AC$13),15-13*ORÇAMENTO!$AF$7)*OFFSET(ORÇAMENTO!$W$15,ROW(AC217)-ROW(AC$15),0),15-13*ORÇAMENTO!$AF$11)),
         0)</f>
        <v>0</v>
      </c>
      <c r="AD217" s="454">
        <f ca="1">IF(AND($D217="Serviço",AD$12&lt;&gt;0,$H217&gt;0,OR(AUTOEVENTO&lt;&gt;"manual",$M217&lt;&gt;$A$15)),
        IF(Import.TipoArredondamento&lt;&gt;"TransfereGOV",
              ROUND(OFFSET($P217,0,AD$13),15-13*ORÇAMENTO!$AF$7)/$H217*OFFSET(ORÇAMENTO!$X$15,ROW(AD217)-ROW(AD$15),0),
              ROUND(ROUND(OFFSET($P217,0,AD$13),15-13*ORÇAMENTO!$AF$7)*OFFSET(ORÇAMENTO!$W$15,ROW(AD217)-ROW(AD$15),0),15-13*ORÇAMENTO!$AF$11)),
         0)</f>
        <v>0</v>
      </c>
      <c r="AE217" s="454">
        <f ca="1">IF(AND($D217="Serviço",AE$12&lt;&gt;0,$H217&gt;0,OR(AUTOEVENTO&lt;&gt;"manual",$M217&lt;&gt;$A$15)),
        IF(Import.TipoArredondamento&lt;&gt;"TransfereGOV",
              ROUND(OFFSET($P217,0,AE$13),15-13*ORÇAMENTO!$AF$7)/$H217*OFFSET(ORÇAMENTO!$X$15,ROW(AE217)-ROW(AE$15),0),
              ROUND(ROUND(OFFSET($P217,0,AE$13),15-13*ORÇAMENTO!$AF$7)*OFFSET(ORÇAMENTO!$W$15,ROW(AE217)-ROW(AE$15),0),15-13*ORÇAMENTO!$AF$11)),
         0)</f>
        <v>0</v>
      </c>
      <c r="AF217" s="454">
        <f ca="1">IF(AND($D217="Serviço",AF$12&lt;&gt;0,$H217&gt;0,OR(AUTOEVENTO&lt;&gt;"manual",$M217&lt;&gt;$A$15)),
        IF(Import.TipoArredondamento&lt;&gt;"TransfereGOV",
              ROUND(OFFSET($P217,0,AF$13),15-13*ORÇAMENTO!$AF$7)/$H217*OFFSET(ORÇAMENTO!$X$15,ROW(AF217)-ROW(AF$15),0),
              ROUND(ROUND(OFFSET($P217,0,AF$13),15-13*ORÇAMENTO!$AF$7)*OFFSET(ORÇAMENTO!$W$15,ROW(AF217)-ROW(AF$15),0),15-13*ORÇAMENTO!$AF$11)),
         0)</f>
        <v>0</v>
      </c>
      <c r="AG217" s="454">
        <f ca="1">IF(AND($D217="Serviço",AG$12&lt;&gt;0,$H217&gt;0,OR(AUTOEVENTO&lt;&gt;"manual",$M217&lt;&gt;$A$15)),
        IF(Import.TipoArredondamento&lt;&gt;"TransfereGOV",
              ROUND(OFFSET($P217,0,AG$13),15-13*ORÇAMENTO!$AF$7)/$H217*OFFSET(ORÇAMENTO!$X$15,ROW(AG217)-ROW(AG$15),0),
              ROUND(ROUND(OFFSET($P217,0,AG$13),15-13*ORÇAMENTO!$AF$7)*OFFSET(ORÇAMENTO!$W$15,ROW(AG217)-ROW(AG$15),0),15-13*ORÇAMENTO!$AF$11)),
         0)</f>
        <v>0</v>
      </c>
      <c r="AH217" s="454">
        <f ca="1">IF(AND($D217="Serviço",AH$12&lt;&gt;0,$H217&gt;0,OR(AUTOEVENTO&lt;&gt;"manual",$M217&lt;&gt;$A$15)),
        IF(Import.TipoArredondamento&lt;&gt;"TransfereGOV",
              ROUND(OFFSET($P217,0,AH$13),15-13*ORÇAMENTO!$AF$7)/$H217*OFFSET(ORÇAMENTO!$X$15,ROW(AH217)-ROW(AH$15),0),
              ROUND(ROUND(OFFSET($P217,0,AH$13),15-13*ORÇAMENTO!$AF$7)*OFFSET(ORÇAMENTO!$W$15,ROW(AH217)-ROW(AH$15),0),15-13*ORÇAMENTO!$AF$11)),
         0)</f>
        <v>0</v>
      </c>
      <c r="AI217" s="454">
        <f ca="1">IF(AND($D217="Serviço",AI$12&lt;&gt;0,$H217&gt;0,OR(AUTOEVENTO&lt;&gt;"manual",$M217&lt;&gt;$A$15)),
        IF(Import.TipoArredondamento&lt;&gt;"TransfereGOV",
              ROUND(OFFSET($P217,0,AI$13),15-13*ORÇAMENTO!$AF$7)/$H217*OFFSET(ORÇAMENTO!$X$15,ROW(AI217)-ROW(AI$15),0),
              ROUND(ROUND(OFFSET($P217,0,AI$13),15-13*ORÇAMENTO!$AF$7)*OFFSET(ORÇAMENTO!$W$15,ROW(AI217)-ROW(AI$15),0),15-13*ORÇAMENTO!$AF$11)),
         0)</f>
        <v>0</v>
      </c>
      <c r="AJ217" s="454">
        <f ca="1">IF(AND($D217="Serviço",AJ$12&lt;&gt;0,$H217&gt;0,OR(AUTOEVENTO&lt;&gt;"manual",$M217&lt;&gt;$A$15)),
        IF(Import.TipoArredondamento&lt;&gt;"TransfereGOV",
              ROUND(OFFSET($P217,0,AJ$13),15-13*ORÇAMENTO!$AF$7)/$H217*OFFSET(ORÇAMENTO!$X$15,ROW(AJ217)-ROW(AJ$15),0),
              ROUND(ROUND(OFFSET($P217,0,AJ$13),15-13*ORÇAMENTO!$AF$7)*OFFSET(ORÇAMENTO!$W$15,ROW(AJ217)-ROW(AJ$15),0),15-13*ORÇAMENTO!$AF$11)),
         0)</f>
        <v>0</v>
      </c>
      <c r="AK217" s="454">
        <f ca="1">IF(AND($D217="Serviço",AK$12&lt;&gt;0,$H217&gt;0,OR(AUTOEVENTO&lt;&gt;"manual",$M217&lt;&gt;$A$15)),
        IF(Import.TipoArredondamento&lt;&gt;"TransfereGOV",
              ROUND(OFFSET($P217,0,AK$13),15-13*ORÇAMENTO!$AF$7)/$H217*OFFSET(ORÇAMENTO!$X$15,ROW(AK217)-ROW(AK$15),0),
              ROUND(ROUND(OFFSET($P217,0,AK$13),15-13*ORÇAMENTO!$AF$7)*OFFSET(ORÇAMENTO!$W$15,ROW(AK217)-ROW(AK$15),0),15-13*ORÇAMENTO!$AF$11)),
         0)</f>
        <v>0</v>
      </c>
      <c r="AM217" s="172">
        <f ca="1">IF(OR($D217&lt;&gt;"Serviço",AND(AUTOEVENTO="Manual",$M217=$A$15)),0,
         IF(OFFSET(CRONOPLE!$F$15,$M217-$A$15,AM$13)="",10^12,OFFSET(CRONOPLE!$F$15,$M217-$A$15,AM$13)))</f>
        <v>1000000000000</v>
      </c>
      <c r="AN217" s="172">
        <f ca="1">IF(OR($D217&lt;&gt;"Serviço",AND(AUTOEVENTO="Manual",$M217=$A$15)),0,
         IF(OFFSET(CRONOPLE!$F$15,$M217-$A$15,AN$13)="",10^12,OFFSET(CRONOPLE!$F$15,$M217-$A$15,AN$13)))</f>
        <v>1000000000000</v>
      </c>
      <c r="AO217" s="172">
        <f ca="1">IF(OR($D217&lt;&gt;"Serviço",AND(AUTOEVENTO="Manual",$M217=$A$15)),0,
         IF(OFFSET(CRONOPLE!$F$15,$M217-$A$15,AO$13)="",10^12,OFFSET(CRONOPLE!$F$15,$M217-$A$15,AO$13)))</f>
        <v>1000000000000</v>
      </c>
      <c r="AP217" s="172">
        <f ca="1">IF(OR($D217&lt;&gt;"Serviço",AND(AUTOEVENTO="Manual",$M217=$A$15)),0,
         IF(OFFSET(CRONOPLE!$F$15,$M217-$A$15,AP$13)="",10^12,OFFSET(CRONOPLE!$F$15,$M217-$A$15,AP$13)))</f>
        <v>1000000000000</v>
      </c>
      <c r="AQ217" s="172">
        <f ca="1">IF(OR($D217&lt;&gt;"Serviço",AND(AUTOEVENTO="Manual",$M217=$A$15)),0,
         IF(OFFSET(CRONOPLE!$F$15,$M217-$A$15,AQ$13)="",10^12,OFFSET(CRONOPLE!$F$15,$M217-$A$15,AQ$13)))</f>
        <v>1000000000000</v>
      </c>
      <c r="AR217" s="172">
        <f ca="1">IF(OR($D217&lt;&gt;"Serviço",AND(AUTOEVENTO="Manual",$M217=$A$15)),0,
         IF(OFFSET(CRONOPLE!$F$15,$M217-$A$15,AR$13)="",10^12,OFFSET(CRONOPLE!$F$15,$M217-$A$15,AR$13)))</f>
        <v>1000000000000</v>
      </c>
      <c r="AS217" s="172">
        <f ca="1">IF(OR($D217&lt;&gt;"Serviço",AND(AUTOEVENTO="Manual",$M217=$A$15)),0,
         IF(OFFSET(CRONOPLE!$F$15,$M217-$A$15,AS$13)="",10^12,OFFSET(CRONOPLE!$F$15,$M217-$A$15,AS$13)))</f>
        <v>1000000000000</v>
      </c>
      <c r="AT217" s="172">
        <f ca="1">IF(OR($D217&lt;&gt;"Serviço",AND(AUTOEVENTO="Manual",$M217=$A$15)),0,
         IF(OFFSET(CRONOPLE!$F$15,$M217-$A$15,AT$13)="",10^12,OFFSET(CRONOPLE!$F$15,$M217-$A$15,AT$13)))</f>
        <v>1000000000000</v>
      </c>
      <c r="AU217" s="172">
        <f ca="1">IF(OR($D217&lt;&gt;"Serviço",AND(AUTOEVENTO="Manual",$M217=$A$15)),0,
         IF(OFFSET(CRONOPLE!$F$15,$M217-$A$15,AU$13)="",10^12,OFFSET(CRONOPLE!$F$15,$M217-$A$15,AU$13)))</f>
        <v>1000000000000</v>
      </c>
      <c r="AV217" s="172">
        <f ca="1">IF(OR($D217&lt;&gt;"Serviço",AND(AUTOEVENTO="Manual",$M217=$A$15)),0,
         IF(OFFSET(CRONOPLE!$F$15,$M217-$A$15,AV$13)="",10^12,OFFSET(CRONOPLE!$F$15,$M217-$A$15,AV$13)))</f>
        <v>1000000000000</v>
      </c>
      <c r="AX217" s="173">
        <f ca="1">IF(OR($D217&lt;&gt;"Serviço",AND(AUTOEVENTO="Manual",$M217=$A$15),$M217&gt;(ROW(PLE.lastrow)-ROW(PLE.firstrow))),0,
           IF(OFFSET(PLE!$G$15,$M217-$A$15,AX$13)="",10^12,OFFSET(PLE!$G$15,$M217-$A$15,AX$13)))</f>
        <v>1000000000000</v>
      </c>
      <c r="AY217" s="173">
        <f ca="1">IF(OR($D217&lt;&gt;"Serviço",AND(AUTOEVENTO="Manual",$M217=$A$15),$M217&gt;(ROW(PLE.lastrow)-ROW(PLE.firstrow))),0,
           IF(OFFSET(PLE!$G$15,$M217-$A$15,AY$13)="",10^12,OFFSET(PLE!$G$15,$M217-$A$15,AY$13)))</f>
        <v>1000000000000</v>
      </c>
      <c r="AZ217" s="173">
        <f ca="1">IF(OR($D217&lt;&gt;"Serviço",AND(AUTOEVENTO="Manual",$M217=$A$15),$M217&gt;(ROW(PLE.lastrow)-ROW(PLE.firstrow))),0,
           IF(OFFSET(PLE!$G$15,$M217-$A$15,AZ$13)="",10^12,OFFSET(PLE!$G$15,$M217-$A$15,AZ$13)))</f>
        <v>1000000000000</v>
      </c>
      <c r="BA217" s="173">
        <f ca="1">IF(OR($D217&lt;&gt;"Serviço",AND(AUTOEVENTO="Manual",$M217=$A$15),$M217&gt;(ROW(PLE.lastrow)-ROW(PLE.firstrow))),0,
           IF(OFFSET(PLE!$G$15,$M217-$A$15,BA$13)="",10^12,OFFSET(PLE!$G$15,$M217-$A$15,BA$13)))</f>
        <v>1000000000000</v>
      </c>
      <c r="BB217" s="173">
        <f ca="1">IF(OR($D217&lt;&gt;"Serviço",AND(AUTOEVENTO="Manual",$M217=$A$15),$M217&gt;(ROW(PLE.lastrow)-ROW(PLE.firstrow))),0,
           IF(OFFSET(PLE!$G$15,$M217-$A$15,BB$13)="",10^12,OFFSET(PLE!$G$15,$M217-$A$15,BB$13)))</f>
        <v>1000000000000</v>
      </c>
      <c r="BC217" s="173">
        <f ca="1">IF(OR($D217&lt;&gt;"Serviço",AND(AUTOEVENTO="Manual",$M217=$A$15),$M217&gt;(ROW(PLE.lastrow)-ROW(PLE.firstrow))),0,
           IF(OFFSET(PLE!$G$15,$M217-$A$15,BC$13)="",10^12,OFFSET(PLE!$G$15,$M217-$A$15,BC$13)))</f>
        <v>1000000000000</v>
      </c>
      <c r="BD217" s="173">
        <f ca="1">IF(OR($D217&lt;&gt;"Serviço",AND(AUTOEVENTO="Manual",$M217=$A$15),$M217&gt;(ROW(PLE.lastrow)-ROW(PLE.firstrow))),0,
           IF(OFFSET(PLE!$G$15,$M217-$A$15,BD$13)="",10^12,OFFSET(PLE!$G$15,$M217-$A$15,BD$13)))</f>
        <v>1000000000000</v>
      </c>
      <c r="BE217" s="173">
        <f ca="1">IF(OR($D217&lt;&gt;"Serviço",AND(AUTOEVENTO="Manual",$M217=$A$15),$M217&gt;(ROW(PLE.lastrow)-ROW(PLE.firstrow))),0,
           IF(OFFSET(PLE!$G$15,$M217-$A$15,BE$13)="",10^12,OFFSET(PLE!$G$15,$M217-$A$15,BE$13)))</f>
        <v>1000000000000</v>
      </c>
      <c r="BF217" s="173">
        <f ca="1">IF(OR($D217&lt;&gt;"Serviço",AND(AUTOEVENTO="Manual",$M217=$A$15),$M217&gt;(ROW(PLE.lastrow)-ROW(PLE.firstrow))),0,
           IF(OFFSET(PLE!$G$15,$M217-$A$15,BF$13)="",10^12,OFFSET(PLE!$G$15,$M217-$A$15,BF$13)))</f>
        <v>1000000000000</v>
      </c>
      <c r="BG217" s="173">
        <f ca="1">IF(OR($D217&lt;&gt;"Serviço",AND(AUTOEVENTO="Manual",$M217=$A$15),$M217&gt;(ROW(PLE.lastrow)-ROW(PLE.firstrow))),0,
           IF(OFFSET(PLE!$G$15,$M217-$A$15,BG$13)="",10^12,OFFSET(PLE!$G$15,$M217-$A$15,BG$13)))</f>
        <v>1000000000000</v>
      </c>
    </row>
    <row r="218" spans="1:59" ht="12.75" x14ac:dyDescent="0.2">
      <c r="A218" s="7" t="str">
        <f t="shared" ca="1" si="11"/>
        <v>203.</v>
      </c>
      <c r="B218" s="7">
        <f ca="1">OFFSET(ORÇAMENTO!C$15,ROW(B218)-ROW(B$15),0)</f>
        <v>2</v>
      </c>
      <c r="C218" s="7" t="str">
        <f ca="1">OFFSET(ORÇAMENTO!L$15,ROW(C218)-ROW(C$15),0)</f>
        <v>F</v>
      </c>
      <c r="D218" s="117" t="str">
        <f ca="1">OFFSET(ORÇAMENTO!N$15,ROW(D218)-ROW(D$15),0)</f>
        <v>Nível 2</v>
      </c>
      <c r="E218" s="118" t="str">
        <f ca="1">OFFSET(ORÇAMENTO!O$15,ROW(E218)-ROW(E$15),0)</f>
        <v>1.12.</v>
      </c>
      <c r="F218" s="164" t="str">
        <f ca="1">OFFSET(ORÇAMENTO!R$15,ROW(F218)-ROW(F$15),0)</f>
        <v>REVESTIMENTOS</v>
      </c>
      <c r="G218" s="165" t="str">
        <f ca="1">IF($D218&lt;&gt;"Serviço","",OFFSET(ORÇAMENTO!S$15,ROW(G218)-ROW(G$15),0))</f>
        <v/>
      </c>
      <c r="H218" s="123">
        <f ca="1">IF($D218&lt;&gt;"Serviço",0,IF(ACOMPANHAMENTO="BM",ROUND(OFFSET(ORÇAMENTO!AJ$15,ROW(H218)-ROW(H$15),0),15-13*ORÇAMENTO!$AF$7),SUMPRODUCT(($Q$1:$AA$1=1)*ROUND($Q218:$AA218,15-13*ORÇAMENTO!$AF$7))))</f>
        <v>0</v>
      </c>
      <c r="I218" s="469"/>
      <c r="J218" s="577" t="str" cm="1">
        <f t="array" aca="1" ref="J218" ca="1">IF(B218&lt;&gt;"S","",IF(AND(ACOMPANHAMENTO="PLE",AUTOEVENTO="Manual",OR(H218&gt;0,ORÇAMENTO!AC218="QUANT."),OR(K218="",M218=0,N218="")),"►",IF(AND(ACOMPANHAMENTO="PLE",ORÇAMENTO!AC218="QUANT."),"►►",IF(AND(COUNTIF($P$11:$AA$11,"▼")=0,H218&gt;0,I218=""),"◄",""))))</f>
        <v/>
      </c>
      <c r="K218" s="626"/>
      <c r="L218" s="166" t="s">
        <v>765</v>
      </c>
      <c r="M218" s="167" t="str">
        <f ca="1">IF($D218&lt;&gt;"Serviço","",
          IF(AUTOEVENTO="manual",$A218,
                IF(ISERROR(MATCH($A218,$A$15:OFFSET($A218,-1,0),0)),MAX($M$15:OFFSET(M218,-1,0))+1,
                      INDEX($M$15:OFFSET(M218,-1,0),MATCH($A218,$A$15:OFFSET($A218,-1,0),0)))))</f>
        <v/>
      </c>
      <c r="N218" s="168" t="str">
        <f ca="1">IF($D218&lt;&gt;"Serviço","",
         IF(AUTOEVENTO="Manual",
                IF($A218=0,"&lt;-- defina o número do agrupador",
                       OFFSET(EVENTOS!$D$15,$A218-$A$15,0)),
                OFFSET($F$15,$A218,0)))</f>
        <v/>
      </c>
      <c r="O218" s="169"/>
      <c r="Q218" s="169"/>
      <c r="R218" s="170"/>
      <c r="S218" s="170"/>
      <c r="T218" s="170"/>
      <c r="U218" s="170"/>
      <c r="V218" s="170"/>
      <c r="W218" s="170"/>
      <c r="X218" s="170"/>
      <c r="Y218" s="170"/>
      <c r="Z218" s="171"/>
      <c r="AB218" s="454">
        <f ca="1">IF(AND($D218="Serviço",AB$12&lt;&gt;0,$H218&gt;0,OR(AUTOEVENTO&lt;&gt;"manual",$M218&lt;&gt;$A$15)),
        IF(Import.TipoArredondamento&lt;&gt;"TransfereGOV",
              ROUND(OFFSET($P218,0,AB$13),15-13*ORÇAMENTO!$AF$7)/$H218*OFFSET(ORÇAMENTO!$X$15,ROW(AB218)-ROW(AB$15),0),
              ROUND(ROUND(OFFSET($P218,0,AB$13),15-13*ORÇAMENTO!$AF$7)*OFFSET(ORÇAMENTO!$W$15,ROW(AB218)-ROW(AB$15),0),15-13*ORÇAMENTO!$AF$11)),
         0)</f>
        <v>0</v>
      </c>
      <c r="AC218" s="454">
        <f ca="1">IF(AND($D218="Serviço",AC$12&lt;&gt;0,$H218&gt;0,OR(AUTOEVENTO&lt;&gt;"manual",$M218&lt;&gt;$A$15)),
        IF(Import.TipoArredondamento&lt;&gt;"TransfereGOV",
              ROUND(OFFSET($P218,0,AC$13),15-13*ORÇAMENTO!$AF$7)/$H218*OFFSET(ORÇAMENTO!$X$15,ROW(AC218)-ROW(AC$15),0),
              ROUND(ROUND(OFFSET($P218,0,AC$13),15-13*ORÇAMENTO!$AF$7)*OFFSET(ORÇAMENTO!$W$15,ROW(AC218)-ROW(AC$15),0),15-13*ORÇAMENTO!$AF$11)),
         0)</f>
        <v>0</v>
      </c>
      <c r="AD218" s="454">
        <f ca="1">IF(AND($D218="Serviço",AD$12&lt;&gt;0,$H218&gt;0,OR(AUTOEVENTO&lt;&gt;"manual",$M218&lt;&gt;$A$15)),
        IF(Import.TipoArredondamento&lt;&gt;"TransfereGOV",
              ROUND(OFFSET($P218,0,AD$13),15-13*ORÇAMENTO!$AF$7)/$H218*OFFSET(ORÇAMENTO!$X$15,ROW(AD218)-ROW(AD$15),0),
              ROUND(ROUND(OFFSET($P218,0,AD$13),15-13*ORÇAMENTO!$AF$7)*OFFSET(ORÇAMENTO!$W$15,ROW(AD218)-ROW(AD$15),0),15-13*ORÇAMENTO!$AF$11)),
         0)</f>
        <v>0</v>
      </c>
      <c r="AE218" s="454">
        <f ca="1">IF(AND($D218="Serviço",AE$12&lt;&gt;0,$H218&gt;0,OR(AUTOEVENTO&lt;&gt;"manual",$M218&lt;&gt;$A$15)),
        IF(Import.TipoArredondamento&lt;&gt;"TransfereGOV",
              ROUND(OFFSET($P218,0,AE$13),15-13*ORÇAMENTO!$AF$7)/$H218*OFFSET(ORÇAMENTO!$X$15,ROW(AE218)-ROW(AE$15),0),
              ROUND(ROUND(OFFSET($P218,0,AE$13),15-13*ORÇAMENTO!$AF$7)*OFFSET(ORÇAMENTO!$W$15,ROW(AE218)-ROW(AE$15),0),15-13*ORÇAMENTO!$AF$11)),
         0)</f>
        <v>0</v>
      </c>
      <c r="AF218" s="454">
        <f ca="1">IF(AND($D218="Serviço",AF$12&lt;&gt;0,$H218&gt;0,OR(AUTOEVENTO&lt;&gt;"manual",$M218&lt;&gt;$A$15)),
        IF(Import.TipoArredondamento&lt;&gt;"TransfereGOV",
              ROUND(OFFSET($P218,0,AF$13),15-13*ORÇAMENTO!$AF$7)/$H218*OFFSET(ORÇAMENTO!$X$15,ROW(AF218)-ROW(AF$15),0),
              ROUND(ROUND(OFFSET($P218,0,AF$13),15-13*ORÇAMENTO!$AF$7)*OFFSET(ORÇAMENTO!$W$15,ROW(AF218)-ROW(AF$15),0),15-13*ORÇAMENTO!$AF$11)),
         0)</f>
        <v>0</v>
      </c>
      <c r="AG218" s="454">
        <f ca="1">IF(AND($D218="Serviço",AG$12&lt;&gt;0,$H218&gt;0,OR(AUTOEVENTO&lt;&gt;"manual",$M218&lt;&gt;$A$15)),
        IF(Import.TipoArredondamento&lt;&gt;"TransfereGOV",
              ROUND(OFFSET($P218,0,AG$13),15-13*ORÇAMENTO!$AF$7)/$H218*OFFSET(ORÇAMENTO!$X$15,ROW(AG218)-ROW(AG$15),0),
              ROUND(ROUND(OFFSET($P218,0,AG$13),15-13*ORÇAMENTO!$AF$7)*OFFSET(ORÇAMENTO!$W$15,ROW(AG218)-ROW(AG$15),0),15-13*ORÇAMENTO!$AF$11)),
         0)</f>
        <v>0</v>
      </c>
      <c r="AH218" s="454">
        <f ca="1">IF(AND($D218="Serviço",AH$12&lt;&gt;0,$H218&gt;0,OR(AUTOEVENTO&lt;&gt;"manual",$M218&lt;&gt;$A$15)),
        IF(Import.TipoArredondamento&lt;&gt;"TransfereGOV",
              ROUND(OFFSET($P218,0,AH$13),15-13*ORÇAMENTO!$AF$7)/$H218*OFFSET(ORÇAMENTO!$X$15,ROW(AH218)-ROW(AH$15),0),
              ROUND(ROUND(OFFSET($P218,0,AH$13),15-13*ORÇAMENTO!$AF$7)*OFFSET(ORÇAMENTO!$W$15,ROW(AH218)-ROW(AH$15),0),15-13*ORÇAMENTO!$AF$11)),
         0)</f>
        <v>0</v>
      </c>
      <c r="AI218" s="454">
        <f ca="1">IF(AND($D218="Serviço",AI$12&lt;&gt;0,$H218&gt;0,OR(AUTOEVENTO&lt;&gt;"manual",$M218&lt;&gt;$A$15)),
        IF(Import.TipoArredondamento&lt;&gt;"TransfereGOV",
              ROUND(OFFSET($P218,0,AI$13),15-13*ORÇAMENTO!$AF$7)/$H218*OFFSET(ORÇAMENTO!$X$15,ROW(AI218)-ROW(AI$15),0),
              ROUND(ROUND(OFFSET($P218,0,AI$13),15-13*ORÇAMENTO!$AF$7)*OFFSET(ORÇAMENTO!$W$15,ROW(AI218)-ROW(AI$15),0),15-13*ORÇAMENTO!$AF$11)),
         0)</f>
        <v>0</v>
      </c>
      <c r="AJ218" s="454">
        <f ca="1">IF(AND($D218="Serviço",AJ$12&lt;&gt;0,$H218&gt;0,OR(AUTOEVENTO&lt;&gt;"manual",$M218&lt;&gt;$A$15)),
        IF(Import.TipoArredondamento&lt;&gt;"TransfereGOV",
              ROUND(OFFSET($P218,0,AJ$13),15-13*ORÇAMENTO!$AF$7)/$H218*OFFSET(ORÇAMENTO!$X$15,ROW(AJ218)-ROW(AJ$15),0),
              ROUND(ROUND(OFFSET($P218,0,AJ$13),15-13*ORÇAMENTO!$AF$7)*OFFSET(ORÇAMENTO!$W$15,ROW(AJ218)-ROW(AJ$15),0),15-13*ORÇAMENTO!$AF$11)),
         0)</f>
        <v>0</v>
      </c>
      <c r="AK218" s="454">
        <f ca="1">IF(AND($D218="Serviço",AK$12&lt;&gt;0,$H218&gt;0,OR(AUTOEVENTO&lt;&gt;"manual",$M218&lt;&gt;$A$15)),
        IF(Import.TipoArredondamento&lt;&gt;"TransfereGOV",
              ROUND(OFFSET($P218,0,AK$13),15-13*ORÇAMENTO!$AF$7)/$H218*OFFSET(ORÇAMENTO!$X$15,ROW(AK218)-ROW(AK$15),0),
              ROUND(ROUND(OFFSET($P218,0,AK$13),15-13*ORÇAMENTO!$AF$7)*OFFSET(ORÇAMENTO!$W$15,ROW(AK218)-ROW(AK$15),0),15-13*ORÇAMENTO!$AF$11)),
         0)</f>
        <v>0</v>
      </c>
      <c r="AM218" s="172">
        <f ca="1">IF(OR($D218&lt;&gt;"Serviço",AND(AUTOEVENTO="Manual",$M218=$A$15)),0,
         IF(OFFSET(CRONOPLE!$F$15,$M218-$A$15,AM$13)="",10^12,OFFSET(CRONOPLE!$F$15,$M218-$A$15,AM$13)))</f>
        <v>0</v>
      </c>
      <c r="AN218" s="172">
        <f ca="1">IF(OR($D218&lt;&gt;"Serviço",AND(AUTOEVENTO="Manual",$M218=$A$15)),0,
         IF(OFFSET(CRONOPLE!$F$15,$M218-$A$15,AN$13)="",10^12,OFFSET(CRONOPLE!$F$15,$M218-$A$15,AN$13)))</f>
        <v>0</v>
      </c>
      <c r="AO218" s="172">
        <f ca="1">IF(OR($D218&lt;&gt;"Serviço",AND(AUTOEVENTO="Manual",$M218=$A$15)),0,
         IF(OFFSET(CRONOPLE!$F$15,$M218-$A$15,AO$13)="",10^12,OFFSET(CRONOPLE!$F$15,$M218-$A$15,AO$13)))</f>
        <v>0</v>
      </c>
      <c r="AP218" s="172">
        <f ca="1">IF(OR($D218&lt;&gt;"Serviço",AND(AUTOEVENTO="Manual",$M218=$A$15)),0,
         IF(OFFSET(CRONOPLE!$F$15,$M218-$A$15,AP$13)="",10^12,OFFSET(CRONOPLE!$F$15,$M218-$A$15,AP$13)))</f>
        <v>0</v>
      </c>
      <c r="AQ218" s="172">
        <f ca="1">IF(OR($D218&lt;&gt;"Serviço",AND(AUTOEVENTO="Manual",$M218=$A$15)),0,
         IF(OFFSET(CRONOPLE!$F$15,$M218-$A$15,AQ$13)="",10^12,OFFSET(CRONOPLE!$F$15,$M218-$A$15,AQ$13)))</f>
        <v>0</v>
      </c>
      <c r="AR218" s="172">
        <f ca="1">IF(OR($D218&lt;&gt;"Serviço",AND(AUTOEVENTO="Manual",$M218=$A$15)),0,
         IF(OFFSET(CRONOPLE!$F$15,$M218-$A$15,AR$13)="",10^12,OFFSET(CRONOPLE!$F$15,$M218-$A$15,AR$13)))</f>
        <v>0</v>
      </c>
      <c r="AS218" s="172">
        <f ca="1">IF(OR($D218&lt;&gt;"Serviço",AND(AUTOEVENTO="Manual",$M218=$A$15)),0,
         IF(OFFSET(CRONOPLE!$F$15,$M218-$A$15,AS$13)="",10^12,OFFSET(CRONOPLE!$F$15,$M218-$A$15,AS$13)))</f>
        <v>0</v>
      </c>
      <c r="AT218" s="172">
        <f ca="1">IF(OR($D218&lt;&gt;"Serviço",AND(AUTOEVENTO="Manual",$M218=$A$15)),0,
         IF(OFFSET(CRONOPLE!$F$15,$M218-$A$15,AT$13)="",10^12,OFFSET(CRONOPLE!$F$15,$M218-$A$15,AT$13)))</f>
        <v>0</v>
      </c>
      <c r="AU218" s="172">
        <f ca="1">IF(OR($D218&lt;&gt;"Serviço",AND(AUTOEVENTO="Manual",$M218=$A$15)),0,
         IF(OFFSET(CRONOPLE!$F$15,$M218-$A$15,AU$13)="",10^12,OFFSET(CRONOPLE!$F$15,$M218-$A$15,AU$13)))</f>
        <v>0</v>
      </c>
      <c r="AV218" s="172">
        <f ca="1">IF(OR($D218&lt;&gt;"Serviço",AND(AUTOEVENTO="Manual",$M218=$A$15)),0,
         IF(OFFSET(CRONOPLE!$F$15,$M218-$A$15,AV$13)="",10^12,OFFSET(CRONOPLE!$F$15,$M218-$A$15,AV$13)))</f>
        <v>0</v>
      </c>
      <c r="AX218" s="173">
        <f ca="1">IF(OR($D218&lt;&gt;"Serviço",AND(AUTOEVENTO="Manual",$M218=$A$15),$M218&gt;(ROW(PLE.lastrow)-ROW(PLE.firstrow))),0,
           IF(OFFSET(PLE!$G$15,$M218-$A$15,AX$13)="",10^12,OFFSET(PLE!$G$15,$M218-$A$15,AX$13)))</f>
        <v>0</v>
      </c>
      <c r="AY218" s="173">
        <f ca="1">IF(OR($D218&lt;&gt;"Serviço",AND(AUTOEVENTO="Manual",$M218=$A$15),$M218&gt;(ROW(PLE.lastrow)-ROW(PLE.firstrow))),0,
           IF(OFFSET(PLE!$G$15,$M218-$A$15,AY$13)="",10^12,OFFSET(PLE!$G$15,$M218-$A$15,AY$13)))</f>
        <v>0</v>
      </c>
      <c r="AZ218" s="173">
        <f ca="1">IF(OR($D218&lt;&gt;"Serviço",AND(AUTOEVENTO="Manual",$M218=$A$15),$M218&gt;(ROW(PLE.lastrow)-ROW(PLE.firstrow))),0,
           IF(OFFSET(PLE!$G$15,$M218-$A$15,AZ$13)="",10^12,OFFSET(PLE!$G$15,$M218-$A$15,AZ$13)))</f>
        <v>0</v>
      </c>
      <c r="BA218" s="173">
        <f ca="1">IF(OR($D218&lt;&gt;"Serviço",AND(AUTOEVENTO="Manual",$M218=$A$15),$M218&gt;(ROW(PLE.lastrow)-ROW(PLE.firstrow))),0,
           IF(OFFSET(PLE!$G$15,$M218-$A$15,BA$13)="",10^12,OFFSET(PLE!$G$15,$M218-$A$15,BA$13)))</f>
        <v>0</v>
      </c>
      <c r="BB218" s="173">
        <f ca="1">IF(OR($D218&lt;&gt;"Serviço",AND(AUTOEVENTO="Manual",$M218=$A$15),$M218&gt;(ROW(PLE.lastrow)-ROW(PLE.firstrow))),0,
           IF(OFFSET(PLE!$G$15,$M218-$A$15,BB$13)="",10^12,OFFSET(PLE!$G$15,$M218-$A$15,BB$13)))</f>
        <v>0</v>
      </c>
      <c r="BC218" s="173">
        <f ca="1">IF(OR($D218&lt;&gt;"Serviço",AND(AUTOEVENTO="Manual",$M218=$A$15),$M218&gt;(ROW(PLE.lastrow)-ROW(PLE.firstrow))),0,
           IF(OFFSET(PLE!$G$15,$M218-$A$15,BC$13)="",10^12,OFFSET(PLE!$G$15,$M218-$A$15,BC$13)))</f>
        <v>0</v>
      </c>
      <c r="BD218" s="173">
        <f ca="1">IF(OR($D218&lt;&gt;"Serviço",AND(AUTOEVENTO="Manual",$M218=$A$15),$M218&gt;(ROW(PLE.lastrow)-ROW(PLE.firstrow))),0,
           IF(OFFSET(PLE!$G$15,$M218-$A$15,BD$13)="",10^12,OFFSET(PLE!$G$15,$M218-$A$15,BD$13)))</f>
        <v>0</v>
      </c>
      <c r="BE218" s="173">
        <f ca="1">IF(OR($D218&lt;&gt;"Serviço",AND(AUTOEVENTO="Manual",$M218=$A$15),$M218&gt;(ROW(PLE.lastrow)-ROW(PLE.firstrow))),0,
           IF(OFFSET(PLE!$G$15,$M218-$A$15,BE$13)="",10^12,OFFSET(PLE!$G$15,$M218-$A$15,BE$13)))</f>
        <v>0</v>
      </c>
      <c r="BF218" s="173">
        <f ca="1">IF(OR($D218&lt;&gt;"Serviço",AND(AUTOEVENTO="Manual",$M218=$A$15),$M218&gt;(ROW(PLE.lastrow)-ROW(PLE.firstrow))),0,
           IF(OFFSET(PLE!$G$15,$M218-$A$15,BF$13)="",10^12,OFFSET(PLE!$G$15,$M218-$A$15,BF$13)))</f>
        <v>0</v>
      </c>
      <c r="BG218" s="173">
        <f ca="1">IF(OR($D218&lt;&gt;"Serviço",AND(AUTOEVENTO="Manual",$M218=$A$15),$M218&gt;(ROW(PLE.lastrow)-ROW(PLE.firstrow))),0,
           IF(OFFSET(PLE!$G$15,$M218-$A$15,BG$13)="",10^12,OFFSET(PLE!$G$15,$M218-$A$15,BG$13)))</f>
        <v>0</v>
      </c>
    </row>
    <row r="219" spans="1:59" ht="25.5" x14ac:dyDescent="0.2">
      <c r="A219" s="7" t="str">
        <f t="shared" ca="1" si="11"/>
        <v>203</v>
      </c>
      <c r="B219" s="7" t="str">
        <f ca="1">OFFSET(ORÇAMENTO!C$15,ROW(B219)-ROW(B$15),0)</f>
        <v>S</v>
      </c>
      <c r="C219" s="7" t="str">
        <f ca="1">OFFSET(ORÇAMENTO!L$15,ROW(C219)-ROW(C$15),0)</f>
        <v/>
      </c>
      <c r="D219" s="117" t="str">
        <f ca="1">OFFSET(ORÇAMENTO!N$15,ROW(D219)-ROW(D$15),0)</f>
        <v>Serviço</v>
      </c>
      <c r="E219" s="118" t="str">
        <f ca="1">OFFSET(ORÇAMENTO!O$15,ROW(E219)-ROW(E$15),0)</f>
        <v>-</v>
      </c>
      <c r="F219" s="164" t="str">
        <f ca="1">OFFSET(ORÇAMENTO!R$15,ROW(F219)-ROW(F$15),0)</f>
        <v xml:space="preserve">SELANTE ELASTICO MONOCOMPONENTE A BASE DE POLIURETANO (PU) PARA JUNTAS DIVERSAS                                                                                                                                                                           </v>
      </c>
      <c r="G219" s="165" t="str">
        <f ca="1">IF($D219&lt;&gt;"Serviço","",OFFSET(ORÇAMENTO!S$15,ROW(G219)-ROW(G$15),0))</f>
        <v xml:space="preserve">310ML </v>
      </c>
      <c r="H219" s="123">
        <f ca="1">IF($D219&lt;&gt;"Serviço",0,IF(ACOMPANHAMENTO="BM",ROUND(OFFSET(ORÇAMENTO!AJ$15,ROW(H219)-ROW(H$15),0),15-13*ORÇAMENTO!$AF$7),SUMPRODUCT(($Q$1:$AA$1=1)*ROUND($Q219:$AA219,15-13*ORÇAMENTO!$AF$7))))</f>
        <v>318.08</v>
      </c>
      <c r="I219" s="469"/>
      <c r="J219" s="577" t="str" cm="1">
        <f t="array" aca="1" ref="J219" ca="1">IF(B219&lt;&gt;"S","",IF(AND(ACOMPANHAMENTO="PLE",AUTOEVENTO="Manual",OR(H219&gt;0,ORÇAMENTO!AC219="QUANT."),OR(K219="",M219=0,N219="")),"►",IF(AND(ACOMPANHAMENTO="PLE",ORÇAMENTO!AC219="QUANT."),"►►",IF(AND(COUNTIF($P$11:$AA$11,"▼")=0,H219&gt;0,I219=""),"◄",""))))</f>
        <v>◄</v>
      </c>
      <c r="K219" s="626"/>
      <c r="L219" s="166" t="s">
        <v>765</v>
      </c>
      <c r="M219" s="167">
        <f ca="1">IF($D219&lt;&gt;"Serviço","",
          IF(AUTOEVENTO="manual",$A219,
                IF(ISERROR(MATCH($A219,$A$15:OFFSET($A219,-1,0),0)),MAX($M$15:OFFSET(M219,-1,0))+1,
                      INDEX($M$15:OFFSET(M219,-1,0),MATCH($A219,$A$15:OFFSET($A219,-1,0),0)))))</f>
        <v>12</v>
      </c>
      <c r="N219" s="168" t="str">
        <f ca="1">IF($D219&lt;&gt;"Serviço","",
         IF(AUTOEVENTO="Manual",
                IF($A219=0,"&lt;-- defina o número do agrupador",
                       OFFSET(EVENTOS!$D$15,$A219-$A$15,0)),
                OFFSET($F$15,$A219,0)))</f>
        <v>REVESTIMENTOS</v>
      </c>
      <c r="O219" s="169"/>
      <c r="Q219" s="169"/>
      <c r="R219" s="170"/>
      <c r="S219" s="170"/>
      <c r="T219" s="170"/>
      <c r="U219" s="170"/>
      <c r="V219" s="170"/>
      <c r="W219" s="170"/>
      <c r="X219" s="170"/>
      <c r="Y219" s="170"/>
      <c r="Z219" s="171"/>
      <c r="AB219" s="454">
        <f ca="1">IF(AND($D219="Serviço",AB$12&lt;&gt;0,$H219&gt;0,OR(AUTOEVENTO&lt;&gt;"manual",$M219&lt;&gt;$A$15)),
        IF(Import.TipoArredondamento&lt;&gt;"TransfereGOV",
              ROUND(OFFSET($P219,0,AB$13),15-13*ORÇAMENTO!$AF$7)/$H219*OFFSET(ORÇAMENTO!$X$15,ROW(AB219)-ROW(AB$15),0),
              ROUND(ROUND(OFFSET($P219,0,AB$13),15-13*ORÇAMENTO!$AF$7)*OFFSET(ORÇAMENTO!$W$15,ROW(AB219)-ROW(AB$15),0),15-13*ORÇAMENTO!$AF$11)),
         0)</f>
        <v>0</v>
      </c>
      <c r="AC219" s="454">
        <f ca="1">IF(AND($D219="Serviço",AC$12&lt;&gt;0,$H219&gt;0,OR(AUTOEVENTO&lt;&gt;"manual",$M219&lt;&gt;$A$15)),
        IF(Import.TipoArredondamento&lt;&gt;"TransfereGOV",
              ROUND(OFFSET($P219,0,AC$13),15-13*ORÇAMENTO!$AF$7)/$H219*OFFSET(ORÇAMENTO!$X$15,ROW(AC219)-ROW(AC$15),0),
              ROUND(ROUND(OFFSET($P219,0,AC$13),15-13*ORÇAMENTO!$AF$7)*OFFSET(ORÇAMENTO!$W$15,ROW(AC219)-ROW(AC$15),0),15-13*ORÇAMENTO!$AF$11)),
         0)</f>
        <v>0</v>
      </c>
      <c r="AD219" s="454">
        <f ca="1">IF(AND($D219="Serviço",AD$12&lt;&gt;0,$H219&gt;0,OR(AUTOEVENTO&lt;&gt;"manual",$M219&lt;&gt;$A$15)),
        IF(Import.TipoArredondamento&lt;&gt;"TransfereGOV",
              ROUND(OFFSET($P219,0,AD$13),15-13*ORÇAMENTO!$AF$7)/$H219*OFFSET(ORÇAMENTO!$X$15,ROW(AD219)-ROW(AD$15),0),
              ROUND(ROUND(OFFSET($P219,0,AD$13),15-13*ORÇAMENTO!$AF$7)*OFFSET(ORÇAMENTO!$W$15,ROW(AD219)-ROW(AD$15),0),15-13*ORÇAMENTO!$AF$11)),
         0)</f>
        <v>0</v>
      </c>
      <c r="AE219" s="454">
        <f ca="1">IF(AND($D219="Serviço",AE$12&lt;&gt;0,$H219&gt;0,OR(AUTOEVENTO&lt;&gt;"manual",$M219&lt;&gt;$A$15)),
        IF(Import.TipoArredondamento&lt;&gt;"TransfereGOV",
              ROUND(OFFSET($P219,0,AE$13),15-13*ORÇAMENTO!$AF$7)/$H219*OFFSET(ORÇAMENTO!$X$15,ROW(AE219)-ROW(AE$15),0),
              ROUND(ROUND(OFFSET($P219,0,AE$13),15-13*ORÇAMENTO!$AF$7)*OFFSET(ORÇAMENTO!$W$15,ROW(AE219)-ROW(AE$15),0),15-13*ORÇAMENTO!$AF$11)),
         0)</f>
        <v>0</v>
      </c>
      <c r="AF219" s="454">
        <f ca="1">IF(AND($D219="Serviço",AF$12&lt;&gt;0,$H219&gt;0,OR(AUTOEVENTO&lt;&gt;"manual",$M219&lt;&gt;$A$15)),
        IF(Import.TipoArredondamento&lt;&gt;"TransfereGOV",
              ROUND(OFFSET($P219,0,AF$13),15-13*ORÇAMENTO!$AF$7)/$H219*OFFSET(ORÇAMENTO!$X$15,ROW(AF219)-ROW(AF$15),0),
              ROUND(ROUND(OFFSET($P219,0,AF$13),15-13*ORÇAMENTO!$AF$7)*OFFSET(ORÇAMENTO!$W$15,ROW(AF219)-ROW(AF$15),0),15-13*ORÇAMENTO!$AF$11)),
         0)</f>
        <v>0</v>
      </c>
      <c r="AG219" s="454">
        <f ca="1">IF(AND($D219="Serviço",AG$12&lt;&gt;0,$H219&gt;0,OR(AUTOEVENTO&lt;&gt;"manual",$M219&lt;&gt;$A$15)),
        IF(Import.TipoArredondamento&lt;&gt;"TransfereGOV",
              ROUND(OFFSET($P219,0,AG$13),15-13*ORÇAMENTO!$AF$7)/$H219*OFFSET(ORÇAMENTO!$X$15,ROW(AG219)-ROW(AG$15),0),
              ROUND(ROUND(OFFSET($P219,0,AG$13),15-13*ORÇAMENTO!$AF$7)*OFFSET(ORÇAMENTO!$W$15,ROW(AG219)-ROW(AG$15),0),15-13*ORÇAMENTO!$AF$11)),
         0)</f>
        <v>0</v>
      </c>
      <c r="AH219" s="454">
        <f ca="1">IF(AND($D219="Serviço",AH$12&lt;&gt;0,$H219&gt;0,OR(AUTOEVENTO&lt;&gt;"manual",$M219&lt;&gt;$A$15)),
        IF(Import.TipoArredondamento&lt;&gt;"TransfereGOV",
              ROUND(OFFSET($P219,0,AH$13),15-13*ORÇAMENTO!$AF$7)/$H219*OFFSET(ORÇAMENTO!$X$15,ROW(AH219)-ROW(AH$15),0),
              ROUND(ROUND(OFFSET($P219,0,AH$13),15-13*ORÇAMENTO!$AF$7)*OFFSET(ORÇAMENTO!$W$15,ROW(AH219)-ROW(AH$15),0),15-13*ORÇAMENTO!$AF$11)),
         0)</f>
        <v>0</v>
      </c>
      <c r="AI219" s="454">
        <f ca="1">IF(AND($D219="Serviço",AI$12&lt;&gt;0,$H219&gt;0,OR(AUTOEVENTO&lt;&gt;"manual",$M219&lt;&gt;$A$15)),
        IF(Import.TipoArredondamento&lt;&gt;"TransfereGOV",
              ROUND(OFFSET($P219,0,AI$13),15-13*ORÇAMENTO!$AF$7)/$H219*OFFSET(ORÇAMENTO!$X$15,ROW(AI219)-ROW(AI$15),0),
              ROUND(ROUND(OFFSET($P219,0,AI$13),15-13*ORÇAMENTO!$AF$7)*OFFSET(ORÇAMENTO!$W$15,ROW(AI219)-ROW(AI$15),0),15-13*ORÇAMENTO!$AF$11)),
         0)</f>
        <v>0</v>
      </c>
      <c r="AJ219" s="454">
        <f ca="1">IF(AND($D219="Serviço",AJ$12&lt;&gt;0,$H219&gt;0,OR(AUTOEVENTO&lt;&gt;"manual",$M219&lt;&gt;$A$15)),
        IF(Import.TipoArredondamento&lt;&gt;"TransfereGOV",
              ROUND(OFFSET($P219,0,AJ$13),15-13*ORÇAMENTO!$AF$7)/$H219*OFFSET(ORÇAMENTO!$X$15,ROW(AJ219)-ROW(AJ$15),0),
              ROUND(ROUND(OFFSET($P219,0,AJ$13),15-13*ORÇAMENTO!$AF$7)*OFFSET(ORÇAMENTO!$W$15,ROW(AJ219)-ROW(AJ$15),0),15-13*ORÇAMENTO!$AF$11)),
         0)</f>
        <v>0</v>
      </c>
      <c r="AK219" s="454">
        <f ca="1">IF(AND($D219="Serviço",AK$12&lt;&gt;0,$H219&gt;0,OR(AUTOEVENTO&lt;&gt;"manual",$M219&lt;&gt;$A$15)),
        IF(Import.TipoArredondamento&lt;&gt;"TransfereGOV",
              ROUND(OFFSET($P219,0,AK$13),15-13*ORÇAMENTO!$AF$7)/$H219*OFFSET(ORÇAMENTO!$X$15,ROW(AK219)-ROW(AK$15),0),
              ROUND(ROUND(OFFSET($P219,0,AK$13),15-13*ORÇAMENTO!$AF$7)*OFFSET(ORÇAMENTO!$W$15,ROW(AK219)-ROW(AK$15),0),15-13*ORÇAMENTO!$AF$11)),
         0)</f>
        <v>0</v>
      </c>
      <c r="AM219" s="172">
        <f ca="1">IF(OR($D219&lt;&gt;"Serviço",AND(AUTOEVENTO="Manual",$M219=$A$15)),0,
         IF(OFFSET(CRONOPLE!$F$15,$M219-$A$15,AM$13)="",10^12,OFFSET(CRONOPLE!$F$15,$M219-$A$15,AM$13)))</f>
        <v>1000000000000</v>
      </c>
      <c r="AN219" s="172">
        <f ca="1">IF(OR($D219&lt;&gt;"Serviço",AND(AUTOEVENTO="Manual",$M219=$A$15)),0,
         IF(OFFSET(CRONOPLE!$F$15,$M219-$A$15,AN$13)="",10^12,OFFSET(CRONOPLE!$F$15,$M219-$A$15,AN$13)))</f>
        <v>1000000000000</v>
      </c>
      <c r="AO219" s="172">
        <f ca="1">IF(OR($D219&lt;&gt;"Serviço",AND(AUTOEVENTO="Manual",$M219=$A$15)),0,
         IF(OFFSET(CRONOPLE!$F$15,$M219-$A$15,AO$13)="",10^12,OFFSET(CRONOPLE!$F$15,$M219-$A$15,AO$13)))</f>
        <v>1000000000000</v>
      </c>
      <c r="AP219" s="172">
        <f ca="1">IF(OR($D219&lt;&gt;"Serviço",AND(AUTOEVENTO="Manual",$M219=$A$15)),0,
         IF(OFFSET(CRONOPLE!$F$15,$M219-$A$15,AP$13)="",10^12,OFFSET(CRONOPLE!$F$15,$M219-$A$15,AP$13)))</f>
        <v>1000000000000</v>
      </c>
      <c r="AQ219" s="172">
        <f ca="1">IF(OR($D219&lt;&gt;"Serviço",AND(AUTOEVENTO="Manual",$M219=$A$15)),0,
         IF(OFFSET(CRONOPLE!$F$15,$M219-$A$15,AQ$13)="",10^12,OFFSET(CRONOPLE!$F$15,$M219-$A$15,AQ$13)))</f>
        <v>1000000000000</v>
      </c>
      <c r="AR219" s="172">
        <f ca="1">IF(OR($D219&lt;&gt;"Serviço",AND(AUTOEVENTO="Manual",$M219=$A$15)),0,
         IF(OFFSET(CRONOPLE!$F$15,$M219-$A$15,AR$13)="",10^12,OFFSET(CRONOPLE!$F$15,$M219-$A$15,AR$13)))</f>
        <v>1000000000000</v>
      </c>
      <c r="AS219" s="172">
        <f ca="1">IF(OR($D219&lt;&gt;"Serviço",AND(AUTOEVENTO="Manual",$M219=$A$15)),0,
         IF(OFFSET(CRONOPLE!$F$15,$M219-$A$15,AS$13)="",10^12,OFFSET(CRONOPLE!$F$15,$M219-$A$15,AS$13)))</f>
        <v>1000000000000</v>
      </c>
      <c r="AT219" s="172">
        <f ca="1">IF(OR($D219&lt;&gt;"Serviço",AND(AUTOEVENTO="Manual",$M219=$A$15)),0,
         IF(OFFSET(CRONOPLE!$F$15,$M219-$A$15,AT$13)="",10^12,OFFSET(CRONOPLE!$F$15,$M219-$A$15,AT$13)))</f>
        <v>1000000000000</v>
      </c>
      <c r="AU219" s="172">
        <f ca="1">IF(OR($D219&lt;&gt;"Serviço",AND(AUTOEVENTO="Manual",$M219=$A$15)),0,
         IF(OFFSET(CRONOPLE!$F$15,$M219-$A$15,AU$13)="",10^12,OFFSET(CRONOPLE!$F$15,$M219-$A$15,AU$13)))</f>
        <v>1000000000000</v>
      </c>
      <c r="AV219" s="172">
        <f ca="1">IF(OR($D219&lt;&gt;"Serviço",AND(AUTOEVENTO="Manual",$M219=$A$15)),0,
         IF(OFFSET(CRONOPLE!$F$15,$M219-$A$15,AV$13)="",10^12,OFFSET(CRONOPLE!$F$15,$M219-$A$15,AV$13)))</f>
        <v>1000000000000</v>
      </c>
      <c r="AX219" s="173">
        <f ca="1">IF(OR($D219&lt;&gt;"Serviço",AND(AUTOEVENTO="Manual",$M219=$A$15),$M219&gt;(ROW(PLE.lastrow)-ROW(PLE.firstrow))),0,
           IF(OFFSET(PLE!$G$15,$M219-$A$15,AX$13)="",10^12,OFFSET(PLE!$G$15,$M219-$A$15,AX$13)))</f>
        <v>1000000000000</v>
      </c>
      <c r="AY219" s="173">
        <f ca="1">IF(OR($D219&lt;&gt;"Serviço",AND(AUTOEVENTO="Manual",$M219=$A$15),$M219&gt;(ROW(PLE.lastrow)-ROW(PLE.firstrow))),0,
           IF(OFFSET(PLE!$G$15,$M219-$A$15,AY$13)="",10^12,OFFSET(PLE!$G$15,$M219-$A$15,AY$13)))</f>
        <v>1000000000000</v>
      </c>
      <c r="AZ219" s="173">
        <f ca="1">IF(OR($D219&lt;&gt;"Serviço",AND(AUTOEVENTO="Manual",$M219=$A$15),$M219&gt;(ROW(PLE.lastrow)-ROW(PLE.firstrow))),0,
           IF(OFFSET(PLE!$G$15,$M219-$A$15,AZ$13)="",10^12,OFFSET(PLE!$G$15,$M219-$A$15,AZ$13)))</f>
        <v>1000000000000</v>
      </c>
      <c r="BA219" s="173">
        <f ca="1">IF(OR($D219&lt;&gt;"Serviço",AND(AUTOEVENTO="Manual",$M219=$A$15),$M219&gt;(ROW(PLE.lastrow)-ROW(PLE.firstrow))),0,
           IF(OFFSET(PLE!$G$15,$M219-$A$15,BA$13)="",10^12,OFFSET(PLE!$G$15,$M219-$A$15,BA$13)))</f>
        <v>1000000000000</v>
      </c>
      <c r="BB219" s="173">
        <f ca="1">IF(OR($D219&lt;&gt;"Serviço",AND(AUTOEVENTO="Manual",$M219=$A$15),$M219&gt;(ROW(PLE.lastrow)-ROW(PLE.firstrow))),0,
           IF(OFFSET(PLE!$G$15,$M219-$A$15,BB$13)="",10^12,OFFSET(PLE!$G$15,$M219-$A$15,BB$13)))</f>
        <v>1000000000000</v>
      </c>
      <c r="BC219" s="173">
        <f ca="1">IF(OR($D219&lt;&gt;"Serviço",AND(AUTOEVENTO="Manual",$M219=$A$15),$M219&gt;(ROW(PLE.lastrow)-ROW(PLE.firstrow))),0,
           IF(OFFSET(PLE!$G$15,$M219-$A$15,BC$13)="",10^12,OFFSET(PLE!$G$15,$M219-$A$15,BC$13)))</f>
        <v>1000000000000</v>
      </c>
      <c r="BD219" s="173">
        <f ca="1">IF(OR($D219&lt;&gt;"Serviço",AND(AUTOEVENTO="Manual",$M219=$A$15),$M219&gt;(ROW(PLE.lastrow)-ROW(PLE.firstrow))),0,
           IF(OFFSET(PLE!$G$15,$M219-$A$15,BD$13)="",10^12,OFFSET(PLE!$G$15,$M219-$A$15,BD$13)))</f>
        <v>1000000000000</v>
      </c>
      <c r="BE219" s="173">
        <f ca="1">IF(OR($D219&lt;&gt;"Serviço",AND(AUTOEVENTO="Manual",$M219=$A$15),$M219&gt;(ROW(PLE.lastrow)-ROW(PLE.firstrow))),0,
           IF(OFFSET(PLE!$G$15,$M219-$A$15,BE$13)="",10^12,OFFSET(PLE!$G$15,$M219-$A$15,BE$13)))</f>
        <v>1000000000000</v>
      </c>
      <c r="BF219" s="173">
        <f ca="1">IF(OR($D219&lt;&gt;"Serviço",AND(AUTOEVENTO="Manual",$M219=$A$15),$M219&gt;(ROW(PLE.lastrow)-ROW(PLE.firstrow))),0,
           IF(OFFSET(PLE!$G$15,$M219-$A$15,BF$13)="",10^12,OFFSET(PLE!$G$15,$M219-$A$15,BF$13)))</f>
        <v>1000000000000</v>
      </c>
      <c r="BG219" s="173">
        <f ca="1">IF(OR($D219&lt;&gt;"Serviço",AND(AUTOEVENTO="Manual",$M219=$A$15),$M219&gt;(ROW(PLE.lastrow)-ROW(PLE.firstrow))),0,
           IF(OFFSET(PLE!$G$15,$M219-$A$15,BG$13)="",10^12,OFFSET(PLE!$G$15,$M219-$A$15,BG$13)))</f>
        <v>1000000000000</v>
      </c>
    </row>
    <row r="220" spans="1:59" ht="25.5" x14ac:dyDescent="0.2">
      <c r="A220" s="7" t="str">
        <f t="shared" ca="1" si="11"/>
        <v>203</v>
      </c>
      <c r="B220" s="7" t="str">
        <f ca="1">OFFSET(ORÇAMENTO!C$15,ROW(B220)-ROW(B$15),0)</f>
        <v>S</v>
      </c>
      <c r="C220" s="7" t="str">
        <f ca="1">OFFSET(ORÇAMENTO!L$15,ROW(C220)-ROW(C$15),0)</f>
        <v/>
      </c>
      <c r="D220" s="117" t="str">
        <f ca="1">OFFSET(ORÇAMENTO!N$15,ROW(D220)-ROW(D$15),0)</f>
        <v>Serviço</v>
      </c>
      <c r="E220" s="118" t="str">
        <f ca="1">OFFSET(ORÇAMENTO!O$15,ROW(E220)-ROW(E$15),0)</f>
        <v>-</v>
      </c>
      <c r="F220" s="164" t="str">
        <f ca="1">OFFSET(ORÇAMENTO!R$15,ROW(F220)-ROW(F$15),0)</f>
        <v>PISO VINÍLICO SEMI-FLEXÍVEL EM PLACAS, PADRÃO LISO, ESPESSURA 3,2 MM, FIXADO COM COLA. AF_09/2020</v>
      </c>
      <c r="G220" s="165" t="str">
        <f ca="1">IF($D220&lt;&gt;"Serviço","",OFFSET(ORÇAMENTO!S$15,ROW(G220)-ROW(G$15),0))</f>
        <v>M2</v>
      </c>
      <c r="H220" s="123">
        <f ca="1">IF($D220&lt;&gt;"Serviço",0,IF(ACOMPANHAMENTO="BM",ROUND(OFFSET(ORÇAMENTO!AJ$15,ROW(H220)-ROW(H$15),0),15-13*ORÇAMENTO!$AF$7),SUMPRODUCT(($Q$1:$AA$1=1)*ROUND($Q220:$AA220,15-13*ORÇAMENTO!$AF$7))))</f>
        <v>493</v>
      </c>
      <c r="I220" s="469"/>
      <c r="J220" s="577" t="str" cm="1">
        <f t="array" aca="1" ref="J220" ca="1">IF(B220&lt;&gt;"S","",IF(AND(ACOMPANHAMENTO="PLE",AUTOEVENTO="Manual",OR(H220&gt;0,ORÇAMENTO!AC220="QUANT."),OR(K220="",M220=0,N220="")),"►",IF(AND(ACOMPANHAMENTO="PLE",ORÇAMENTO!AC220="QUANT."),"►►",IF(AND(COUNTIF($P$11:$AA$11,"▼")=0,H220&gt;0,I220=""),"◄",""))))</f>
        <v>◄</v>
      </c>
      <c r="K220" s="626"/>
      <c r="L220" s="166" t="s">
        <v>765</v>
      </c>
      <c r="M220" s="167">
        <f ca="1">IF($D220&lt;&gt;"Serviço","",
          IF(AUTOEVENTO="manual",$A220,
                IF(ISERROR(MATCH($A220,$A$15:OFFSET($A220,-1,0),0)),MAX($M$15:OFFSET(M220,-1,0))+1,
                      INDEX($M$15:OFFSET(M220,-1,0),MATCH($A220,$A$15:OFFSET($A220,-1,0),0)))))</f>
        <v>12</v>
      </c>
      <c r="N220" s="168" t="str">
        <f ca="1">IF($D220&lt;&gt;"Serviço","",
         IF(AUTOEVENTO="Manual",
                IF($A220=0,"&lt;-- defina o número do agrupador",
                       OFFSET(EVENTOS!$D$15,$A220-$A$15,0)),
                OFFSET($F$15,$A220,0)))</f>
        <v>REVESTIMENTOS</v>
      </c>
      <c r="O220" s="169"/>
      <c r="Q220" s="169"/>
      <c r="R220" s="170"/>
      <c r="S220" s="170"/>
      <c r="T220" s="170"/>
      <c r="U220" s="170"/>
      <c r="V220" s="170"/>
      <c r="W220" s="170"/>
      <c r="X220" s="170"/>
      <c r="Y220" s="170"/>
      <c r="Z220" s="171"/>
      <c r="AB220" s="454">
        <f ca="1">IF(AND($D220="Serviço",AB$12&lt;&gt;0,$H220&gt;0,OR(AUTOEVENTO&lt;&gt;"manual",$M220&lt;&gt;$A$15)),
        IF(Import.TipoArredondamento&lt;&gt;"TransfereGOV",
              ROUND(OFFSET($P220,0,AB$13),15-13*ORÇAMENTO!$AF$7)/$H220*OFFSET(ORÇAMENTO!$X$15,ROW(AB220)-ROW(AB$15),0),
              ROUND(ROUND(OFFSET($P220,0,AB$13),15-13*ORÇAMENTO!$AF$7)*OFFSET(ORÇAMENTO!$W$15,ROW(AB220)-ROW(AB$15),0),15-13*ORÇAMENTO!$AF$11)),
         0)</f>
        <v>0</v>
      </c>
      <c r="AC220" s="454">
        <f ca="1">IF(AND($D220="Serviço",AC$12&lt;&gt;0,$H220&gt;0,OR(AUTOEVENTO&lt;&gt;"manual",$M220&lt;&gt;$A$15)),
        IF(Import.TipoArredondamento&lt;&gt;"TransfereGOV",
              ROUND(OFFSET($P220,0,AC$13),15-13*ORÇAMENTO!$AF$7)/$H220*OFFSET(ORÇAMENTO!$X$15,ROW(AC220)-ROW(AC$15),0),
              ROUND(ROUND(OFFSET($P220,0,AC$13),15-13*ORÇAMENTO!$AF$7)*OFFSET(ORÇAMENTO!$W$15,ROW(AC220)-ROW(AC$15),0),15-13*ORÇAMENTO!$AF$11)),
         0)</f>
        <v>0</v>
      </c>
      <c r="AD220" s="454">
        <f ca="1">IF(AND($D220="Serviço",AD$12&lt;&gt;0,$H220&gt;0,OR(AUTOEVENTO&lt;&gt;"manual",$M220&lt;&gt;$A$15)),
        IF(Import.TipoArredondamento&lt;&gt;"TransfereGOV",
              ROUND(OFFSET($P220,0,AD$13),15-13*ORÇAMENTO!$AF$7)/$H220*OFFSET(ORÇAMENTO!$X$15,ROW(AD220)-ROW(AD$15),0),
              ROUND(ROUND(OFFSET($P220,0,AD$13),15-13*ORÇAMENTO!$AF$7)*OFFSET(ORÇAMENTO!$W$15,ROW(AD220)-ROW(AD$15),0),15-13*ORÇAMENTO!$AF$11)),
         0)</f>
        <v>0</v>
      </c>
      <c r="AE220" s="454">
        <f ca="1">IF(AND($D220="Serviço",AE$12&lt;&gt;0,$H220&gt;0,OR(AUTOEVENTO&lt;&gt;"manual",$M220&lt;&gt;$A$15)),
        IF(Import.TipoArredondamento&lt;&gt;"TransfereGOV",
              ROUND(OFFSET($P220,0,AE$13),15-13*ORÇAMENTO!$AF$7)/$H220*OFFSET(ORÇAMENTO!$X$15,ROW(AE220)-ROW(AE$15),0),
              ROUND(ROUND(OFFSET($P220,0,AE$13),15-13*ORÇAMENTO!$AF$7)*OFFSET(ORÇAMENTO!$W$15,ROW(AE220)-ROW(AE$15),0),15-13*ORÇAMENTO!$AF$11)),
         0)</f>
        <v>0</v>
      </c>
      <c r="AF220" s="454">
        <f ca="1">IF(AND($D220="Serviço",AF$12&lt;&gt;0,$H220&gt;0,OR(AUTOEVENTO&lt;&gt;"manual",$M220&lt;&gt;$A$15)),
        IF(Import.TipoArredondamento&lt;&gt;"TransfereGOV",
              ROUND(OFFSET($P220,0,AF$13),15-13*ORÇAMENTO!$AF$7)/$H220*OFFSET(ORÇAMENTO!$X$15,ROW(AF220)-ROW(AF$15),0),
              ROUND(ROUND(OFFSET($P220,0,AF$13),15-13*ORÇAMENTO!$AF$7)*OFFSET(ORÇAMENTO!$W$15,ROW(AF220)-ROW(AF$15),0),15-13*ORÇAMENTO!$AF$11)),
         0)</f>
        <v>0</v>
      </c>
      <c r="AG220" s="454">
        <f ca="1">IF(AND($D220="Serviço",AG$12&lt;&gt;0,$H220&gt;0,OR(AUTOEVENTO&lt;&gt;"manual",$M220&lt;&gt;$A$15)),
        IF(Import.TipoArredondamento&lt;&gt;"TransfereGOV",
              ROUND(OFFSET($P220,0,AG$13),15-13*ORÇAMENTO!$AF$7)/$H220*OFFSET(ORÇAMENTO!$X$15,ROW(AG220)-ROW(AG$15),0),
              ROUND(ROUND(OFFSET($P220,0,AG$13),15-13*ORÇAMENTO!$AF$7)*OFFSET(ORÇAMENTO!$W$15,ROW(AG220)-ROW(AG$15),0),15-13*ORÇAMENTO!$AF$11)),
         0)</f>
        <v>0</v>
      </c>
      <c r="AH220" s="454">
        <f ca="1">IF(AND($D220="Serviço",AH$12&lt;&gt;0,$H220&gt;0,OR(AUTOEVENTO&lt;&gt;"manual",$M220&lt;&gt;$A$15)),
        IF(Import.TipoArredondamento&lt;&gt;"TransfereGOV",
              ROUND(OFFSET($P220,0,AH$13),15-13*ORÇAMENTO!$AF$7)/$H220*OFFSET(ORÇAMENTO!$X$15,ROW(AH220)-ROW(AH$15),0),
              ROUND(ROUND(OFFSET($P220,0,AH$13),15-13*ORÇAMENTO!$AF$7)*OFFSET(ORÇAMENTO!$W$15,ROW(AH220)-ROW(AH$15),0),15-13*ORÇAMENTO!$AF$11)),
         0)</f>
        <v>0</v>
      </c>
      <c r="AI220" s="454">
        <f ca="1">IF(AND($D220="Serviço",AI$12&lt;&gt;0,$H220&gt;0,OR(AUTOEVENTO&lt;&gt;"manual",$M220&lt;&gt;$A$15)),
        IF(Import.TipoArredondamento&lt;&gt;"TransfereGOV",
              ROUND(OFFSET($P220,0,AI$13),15-13*ORÇAMENTO!$AF$7)/$H220*OFFSET(ORÇAMENTO!$X$15,ROW(AI220)-ROW(AI$15),0),
              ROUND(ROUND(OFFSET($P220,0,AI$13),15-13*ORÇAMENTO!$AF$7)*OFFSET(ORÇAMENTO!$W$15,ROW(AI220)-ROW(AI$15),0),15-13*ORÇAMENTO!$AF$11)),
         0)</f>
        <v>0</v>
      </c>
      <c r="AJ220" s="454">
        <f ca="1">IF(AND($D220="Serviço",AJ$12&lt;&gt;0,$H220&gt;0,OR(AUTOEVENTO&lt;&gt;"manual",$M220&lt;&gt;$A$15)),
        IF(Import.TipoArredondamento&lt;&gt;"TransfereGOV",
              ROUND(OFFSET($P220,0,AJ$13),15-13*ORÇAMENTO!$AF$7)/$H220*OFFSET(ORÇAMENTO!$X$15,ROW(AJ220)-ROW(AJ$15),0),
              ROUND(ROUND(OFFSET($P220,0,AJ$13),15-13*ORÇAMENTO!$AF$7)*OFFSET(ORÇAMENTO!$W$15,ROW(AJ220)-ROW(AJ$15),0),15-13*ORÇAMENTO!$AF$11)),
         0)</f>
        <v>0</v>
      </c>
      <c r="AK220" s="454">
        <f ca="1">IF(AND($D220="Serviço",AK$12&lt;&gt;0,$H220&gt;0,OR(AUTOEVENTO&lt;&gt;"manual",$M220&lt;&gt;$A$15)),
        IF(Import.TipoArredondamento&lt;&gt;"TransfereGOV",
              ROUND(OFFSET($P220,0,AK$13),15-13*ORÇAMENTO!$AF$7)/$H220*OFFSET(ORÇAMENTO!$X$15,ROW(AK220)-ROW(AK$15),0),
              ROUND(ROUND(OFFSET($P220,0,AK$13),15-13*ORÇAMENTO!$AF$7)*OFFSET(ORÇAMENTO!$W$15,ROW(AK220)-ROW(AK$15),0),15-13*ORÇAMENTO!$AF$11)),
         0)</f>
        <v>0</v>
      </c>
      <c r="AM220" s="172">
        <f ca="1">IF(OR($D220&lt;&gt;"Serviço",AND(AUTOEVENTO="Manual",$M220=$A$15)),0,
         IF(OFFSET(CRONOPLE!$F$15,$M220-$A$15,AM$13)="",10^12,OFFSET(CRONOPLE!$F$15,$M220-$A$15,AM$13)))</f>
        <v>1000000000000</v>
      </c>
      <c r="AN220" s="172">
        <f ca="1">IF(OR($D220&lt;&gt;"Serviço",AND(AUTOEVENTO="Manual",$M220=$A$15)),0,
         IF(OFFSET(CRONOPLE!$F$15,$M220-$A$15,AN$13)="",10^12,OFFSET(CRONOPLE!$F$15,$M220-$A$15,AN$13)))</f>
        <v>1000000000000</v>
      </c>
      <c r="AO220" s="172">
        <f ca="1">IF(OR($D220&lt;&gt;"Serviço",AND(AUTOEVENTO="Manual",$M220=$A$15)),0,
         IF(OFFSET(CRONOPLE!$F$15,$M220-$A$15,AO$13)="",10^12,OFFSET(CRONOPLE!$F$15,$M220-$A$15,AO$13)))</f>
        <v>1000000000000</v>
      </c>
      <c r="AP220" s="172">
        <f ca="1">IF(OR($D220&lt;&gt;"Serviço",AND(AUTOEVENTO="Manual",$M220=$A$15)),0,
         IF(OFFSET(CRONOPLE!$F$15,$M220-$A$15,AP$13)="",10^12,OFFSET(CRONOPLE!$F$15,$M220-$A$15,AP$13)))</f>
        <v>1000000000000</v>
      </c>
      <c r="AQ220" s="172">
        <f ca="1">IF(OR($D220&lt;&gt;"Serviço",AND(AUTOEVENTO="Manual",$M220=$A$15)),0,
         IF(OFFSET(CRONOPLE!$F$15,$M220-$A$15,AQ$13)="",10^12,OFFSET(CRONOPLE!$F$15,$M220-$A$15,AQ$13)))</f>
        <v>1000000000000</v>
      </c>
      <c r="AR220" s="172">
        <f ca="1">IF(OR($D220&lt;&gt;"Serviço",AND(AUTOEVENTO="Manual",$M220=$A$15)),0,
         IF(OFFSET(CRONOPLE!$F$15,$M220-$A$15,AR$13)="",10^12,OFFSET(CRONOPLE!$F$15,$M220-$A$15,AR$13)))</f>
        <v>1000000000000</v>
      </c>
      <c r="AS220" s="172">
        <f ca="1">IF(OR($D220&lt;&gt;"Serviço",AND(AUTOEVENTO="Manual",$M220=$A$15)),0,
         IF(OFFSET(CRONOPLE!$F$15,$M220-$A$15,AS$13)="",10^12,OFFSET(CRONOPLE!$F$15,$M220-$A$15,AS$13)))</f>
        <v>1000000000000</v>
      </c>
      <c r="AT220" s="172">
        <f ca="1">IF(OR($D220&lt;&gt;"Serviço",AND(AUTOEVENTO="Manual",$M220=$A$15)),0,
         IF(OFFSET(CRONOPLE!$F$15,$M220-$A$15,AT$13)="",10^12,OFFSET(CRONOPLE!$F$15,$M220-$A$15,AT$13)))</f>
        <v>1000000000000</v>
      </c>
      <c r="AU220" s="172">
        <f ca="1">IF(OR($D220&lt;&gt;"Serviço",AND(AUTOEVENTO="Manual",$M220=$A$15)),0,
         IF(OFFSET(CRONOPLE!$F$15,$M220-$A$15,AU$13)="",10^12,OFFSET(CRONOPLE!$F$15,$M220-$A$15,AU$13)))</f>
        <v>1000000000000</v>
      </c>
      <c r="AV220" s="172">
        <f ca="1">IF(OR($D220&lt;&gt;"Serviço",AND(AUTOEVENTO="Manual",$M220=$A$15)),0,
         IF(OFFSET(CRONOPLE!$F$15,$M220-$A$15,AV$13)="",10^12,OFFSET(CRONOPLE!$F$15,$M220-$A$15,AV$13)))</f>
        <v>1000000000000</v>
      </c>
      <c r="AX220" s="173">
        <f ca="1">IF(OR($D220&lt;&gt;"Serviço",AND(AUTOEVENTO="Manual",$M220=$A$15),$M220&gt;(ROW(PLE.lastrow)-ROW(PLE.firstrow))),0,
           IF(OFFSET(PLE!$G$15,$M220-$A$15,AX$13)="",10^12,OFFSET(PLE!$G$15,$M220-$A$15,AX$13)))</f>
        <v>1000000000000</v>
      </c>
      <c r="AY220" s="173">
        <f ca="1">IF(OR($D220&lt;&gt;"Serviço",AND(AUTOEVENTO="Manual",$M220=$A$15),$M220&gt;(ROW(PLE.lastrow)-ROW(PLE.firstrow))),0,
           IF(OFFSET(PLE!$G$15,$M220-$A$15,AY$13)="",10^12,OFFSET(PLE!$G$15,$M220-$A$15,AY$13)))</f>
        <v>1000000000000</v>
      </c>
      <c r="AZ220" s="173">
        <f ca="1">IF(OR($D220&lt;&gt;"Serviço",AND(AUTOEVENTO="Manual",$M220=$A$15),$M220&gt;(ROW(PLE.lastrow)-ROW(PLE.firstrow))),0,
           IF(OFFSET(PLE!$G$15,$M220-$A$15,AZ$13)="",10^12,OFFSET(PLE!$G$15,$M220-$A$15,AZ$13)))</f>
        <v>1000000000000</v>
      </c>
      <c r="BA220" s="173">
        <f ca="1">IF(OR($D220&lt;&gt;"Serviço",AND(AUTOEVENTO="Manual",$M220=$A$15),$M220&gt;(ROW(PLE.lastrow)-ROW(PLE.firstrow))),0,
           IF(OFFSET(PLE!$G$15,$M220-$A$15,BA$13)="",10^12,OFFSET(PLE!$G$15,$M220-$A$15,BA$13)))</f>
        <v>1000000000000</v>
      </c>
      <c r="BB220" s="173">
        <f ca="1">IF(OR($D220&lt;&gt;"Serviço",AND(AUTOEVENTO="Manual",$M220=$A$15),$M220&gt;(ROW(PLE.lastrow)-ROW(PLE.firstrow))),0,
           IF(OFFSET(PLE!$G$15,$M220-$A$15,BB$13)="",10^12,OFFSET(PLE!$G$15,$M220-$A$15,BB$13)))</f>
        <v>1000000000000</v>
      </c>
      <c r="BC220" s="173">
        <f ca="1">IF(OR($D220&lt;&gt;"Serviço",AND(AUTOEVENTO="Manual",$M220=$A$15),$M220&gt;(ROW(PLE.lastrow)-ROW(PLE.firstrow))),0,
           IF(OFFSET(PLE!$G$15,$M220-$A$15,BC$13)="",10^12,OFFSET(PLE!$G$15,$M220-$A$15,BC$13)))</f>
        <v>1000000000000</v>
      </c>
      <c r="BD220" s="173">
        <f ca="1">IF(OR($D220&lt;&gt;"Serviço",AND(AUTOEVENTO="Manual",$M220=$A$15),$M220&gt;(ROW(PLE.lastrow)-ROW(PLE.firstrow))),0,
           IF(OFFSET(PLE!$G$15,$M220-$A$15,BD$13)="",10^12,OFFSET(PLE!$G$15,$M220-$A$15,BD$13)))</f>
        <v>1000000000000</v>
      </c>
      <c r="BE220" s="173">
        <f ca="1">IF(OR($D220&lt;&gt;"Serviço",AND(AUTOEVENTO="Manual",$M220=$A$15),$M220&gt;(ROW(PLE.lastrow)-ROW(PLE.firstrow))),0,
           IF(OFFSET(PLE!$G$15,$M220-$A$15,BE$13)="",10^12,OFFSET(PLE!$G$15,$M220-$A$15,BE$13)))</f>
        <v>1000000000000</v>
      </c>
      <c r="BF220" s="173">
        <f ca="1">IF(OR($D220&lt;&gt;"Serviço",AND(AUTOEVENTO="Manual",$M220=$A$15),$M220&gt;(ROW(PLE.lastrow)-ROW(PLE.firstrow))),0,
           IF(OFFSET(PLE!$G$15,$M220-$A$15,BF$13)="",10^12,OFFSET(PLE!$G$15,$M220-$A$15,BF$13)))</f>
        <v>1000000000000</v>
      </c>
      <c r="BG220" s="173">
        <f ca="1">IF(OR($D220&lt;&gt;"Serviço",AND(AUTOEVENTO="Manual",$M220=$A$15),$M220&gt;(ROW(PLE.lastrow)-ROW(PLE.firstrow))),0,
           IF(OFFSET(PLE!$G$15,$M220-$A$15,BG$13)="",10^12,OFFSET(PLE!$G$15,$M220-$A$15,BG$13)))</f>
        <v>1000000000000</v>
      </c>
    </row>
    <row r="221" spans="1:59" ht="38.25" x14ac:dyDescent="0.2">
      <c r="A221" s="7" t="str">
        <f t="shared" ca="1" si="11"/>
        <v>203</v>
      </c>
      <c r="B221" s="7" t="str">
        <f ca="1">OFFSET(ORÇAMENTO!C$15,ROW(B221)-ROW(B$15),0)</f>
        <v>S</v>
      </c>
      <c r="C221" s="7" t="str">
        <f ca="1">OFFSET(ORÇAMENTO!L$15,ROW(C221)-ROW(C$15),0)</f>
        <v/>
      </c>
      <c r="D221" s="117" t="str">
        <f ca="1">OFFSET(ORÇAMENTO!N$15,ROW(D221)-ROW(D$15),0)</f>
        <v>Serviço</v>
      </c>
      <c r="E221" s="118" t="str">
        <f ca="1">OFFSET(ORÇAMENTO!O$15,ROW(E221)-ROW(E$15),0)</f>
        <v>-</v>
      </c>
      <c r="F221" s="164" t="str">
        <f ca="1">OFFSET(ORÇAMENTO!R$15,ROW(F221)-ROW(F$15),0)</f>
        <v>REVESTIMENTO CERÂMICO PARA PISO COM PLACAS TIPO PORCELANATO DE DIMENSÕES 60X60 CM APLICADA EM AMBIENTES DE ÁREA MAIOR QUE 10 M². AF_02/2023_PE</v>
      </c>
      <c r="G221" s="165" t="str">
        <f ca="1">IF($D221&lt;&gt;"Serviço","",OFFSET(ORÇAMENTO!S$15,ROW(G221)-ROW(G$15),0))</f>
        <v>M2</v>
      </c>
      <c r="H221" s="123">
        <f ca="1">IF($D221&lt;&gt;"Serviço",0,IF(ACOMPANHAMENTO="BM",ROUND(OFFSET(ORÇAMENTO!AJ$15,ROW(H221)-ROW(H$15),0),15-13*ORÇAMENTO!$AF$7),SUMPRODUCT(($Q$1:$AA$1=1)*ROUND($Q221:$AA221,15-13*ORÇAMENTO!$AF$7))))</f>
        <v>950.66</v>
      </c>
      <c r="I221" s="469"/>
      <c r="J221" s="577" t="str" cm="1">
        <f t="array" aca="1" ref="J221" ca="1">IF(B221&lt;&gt;"S","",IF(AND(ACOMPANHAMENTO="PLE",AUTOEVENTO="Manual",OR(H221&gt;0,ORÇAMENTO!AC221="QUANT."),OR(K221="",M221=0,N221="")),"►",IF(AND(ACOMPANHAMENTO="PLE",ORÇAMENTO!AC221="QUANT."),"►►",IF(AND(COUNTIF($P$11:$AA$11,"▼")=0,H221&gt;0,I221=""),"◄",""))))</f>
        <v>◄</v>
      </c>
      <c r="K221" s="626"/>
      <c r="L221" s="166" t="s">
        <v>765</v>
      </c>
      <c r="M221" s="167">
        <f ca="1">IF($D221&lt;&gt;"Serviço","",
          IF(AUTOEVENTO="manual",$A221,
                IF(ISERROR(MATCH($A221,$A$15:OFFSET($A221,-1,0),0)),MAX($M$15:OFFSET(M221,-1,0))+1,
                      INDEX($M$15:OFFSET(M221,-1,0),MATCH($A221,$A$15:OFFSET($A221,-1,0),0)))))</f>
        <v>12</v>
      </c>
      <c r="N221" s="168" t="str">
        <f ca="1">IF($D221&lt;&gt;"Serviço","",
         IF(AUTOEVENTO="Manual",
                IF($A221=0,"&lt;-- defina o número do agrupador",
                       OFFSET(EVENTOS!$D$15,$A221-$A$15,0)),
                OFFSET($F$15,$A221,0)))</f>
        <v>REVESTIMENTOS</v>
      </c>
      <c r="O221" s="169"/>
      <c r="Q221" s="169"/>
      <c r="R221" s="170"/>
      <c r="S221" s="170"/>
      <c r="T221" s="170"/>
      <c r="U221" s="170"/>
      <c r="V221" s="170"/>
      <c r="W221" s="170"/>
      <c r="X221" s="170"/>
      <c r="Y221" s="170"/>
      <c r="Z221" s="171"/>
      <c r="AB221" s="454">
        <f ca="1">IF(AND($D221="Serviço",AB$12&lt;&gt;0,$H221&gt;0,OR(AUTOEVENTO&lt;&gt;"manual",$M221&lt;&gt;$A$15)),
        IF(Import.TipoArredondamento&lt;&gt;"TransfereGOV",
              ROUND(OFFSET($P221,0,AB$13),15-13*ORÇAMENTO!$AF$7)/$H221*OFFSET(ORÇAMENTO!$X$15,ROW(AB221)-ROW(AB$15),0),
              ROUND(ROUND(OFFSET($P221,0,AB$13),15-13*ORÇAMENTO!$AF$7)*OFFSET(ORÇAMENTO!$W$15,ROW(AB221)-ROW(AB$15),0),15-13*ORÇAMENTO!$AF$11)),
         0)</f>
        <v>0</v>
      </c>
      <c r="AC221" s="454">
        <f ca="1">IF(AND($D221="Serviço",AC$12&lt;&gt;0,$H221&gt;0,OR(AUTOEVENTO&lt;&gt;"manual",$M221&lt;&gt;$A$15)),
        IF(Import.TipoArredondamento&lt;&gt;"TransfereGOV",
              ROUND(OFFSET($P221,0,AC$13),15-13*ORÇAMENTO!$AF$7)/$H221*OFFSET(ORÇAMENTO!$X$15,ROW(AC221)-ROW(AC$15),0),
              ROUND(ROUND(OFFSET($P221,0,AC$13),15-13*ORÇAMENTO!$AF$7)*OFFSET(ORÇAMENTO!$W$15,ROW(AC221)-ROW(AC$15),0),15-13*ORÇAMENTO!$AF$11)),
         0)</f>
        <v>0</v>
      </c>
      <c r="AD221" s="454">
        <f ca="1">IF(AND($D221="Serviço",AD$12&lt;&gt;0,$H221&gt;0,OR(AUTOEVENTO&lt;&gt;"manual",$M221&lt;&gt;$A$15)),
        IF(Import.TipoArredondamento&lt;&gt;"TransfereGOV",
              ROUND(OFFSET($P221,0,AD$13),15-13*ORÇAMENTO!$AF$7)/$H221*OFFSET(ORÇAMENTO!$X$15,ROW(AD221)-ROW(AD$15),0),
              ROUND(ROUND(OFFSET($P221,0,AD$13),15-13*ORÇAMENTO!$AF$7)*OFFSET(ORÇAMENTO!$W$15,ROW(AD221)-ROW(AD$15),0),15-13*ORÇAMENTO!$AF$11)),
         0)</f>
        <v>0</v>
      </c>
      <c r="AE221" s="454">
        <f ca="1">IF(AND($D221="Serviço",AE$12&lt;&gt;0,$H221&gt;0,OR(AUTOEVENTO&lt;&gt;"manual",$M221&lt;&gt;$A$15)),
        IF(Import.TipoArredondamento&lt;&gt;"TransfereGOV",
              ROUND(OFFSET($P221,0,AE$13),15-13*ORÇAMENTO!$AF$7)/$H221*OFFSET(ORÇAMENTO!$X$15,ROW(AE221)-ROW(AE$15),0),
              ROUND(ROUND(OFFSET($P221,0,AE$13),15-13*ORÇAMENTO!$AF$7)*OFFSET(ORÇAMENTO!$W$15,ROW(AE221)-ROW(AE$15),0),15-13*ORÇAMENTO!$AF$11)),
         0)</f>
        <v>0</v>
      </c>
      <c r="AF221" s="454">
        <f ca="1">IF(AND($D221="Serviço",AF$12&lt;&gt;0,$H221&gt;0,OR(AUTOEVENTO&lt;&gt;"manual",$M221&lt;&gt;$A$15)),
        IF(Import.TipoArredondamento&lt;&gt;"TransfereGOV",
              ROUND(OFFSET($P221,0,AF$13),15-13*ORÇAMENTO!$AF$7)/$H221*OFFSET(ORÇAMENTO!$X$15,ROW(AF221)-ROW(AF$15),0),
              ROUND(ROUND(OFFSET($P221,0,AF$13),15-13*ORÇAMENTO!$AF$7)*OFFSET(ORÇAMENTO!$W$15,ROW(AF221)-ROW(AF$15),0),15-13*ORÇAMENTO!$AF$11)),
         0)</f>
        <v>0</v>
      </c>
      <c r="AG221" s="454">
        <f ca="1">IF(AND($D221="Serviço",AG$12&lt;&gt;0,$H221&gt;0,OR(AUTOEVENTO&lt;&gt;"manual",$M221&lt;&gt;$A$15)),
        IF(Import.TipoArredondamento&lt;&gt;"TransfereGOV",
              ROUND(OFFSET($P221,0,AG$13),15-13*ORÇAMENTO!$AF$7)/$H221*OFFSET(ORÇAMENTO!$X$15,ROW(AG221)-ROW(AG$15),0),
              ROUND(ROUND(OFFSET($P221,0,AG$13),15-13*ORÇAMENTO!$AF$7)*OFFSET(ORÇAMENTO!$W$15,ROW(AG221)-ROW(AG$15),0),15-13*ORÇAMENTO!$AF$11)),
         0)</f>
        <v>0</v>
      </c>
      <c r="AH221" s="454">
        <f ca="1">IF(AND($D221="Serviço",AH$12&lt;&gt;0,$H221&gt;0,OR(AUTOEVENTO&lt;&gt;"manual",$M221&lt;&gt;$A$15)),
        IF(Import.TipoArredondamento&lt;&gt;"TransfereGOV",
              ROUND(OFFSET($P221,0,AH$13),15-13*ORÇAMENTO!$AF$7)/$H221*OFFSET(ORÇAMENTO!$X$15,ROW(AH221)-ROW(AH$15),0),
              ROUND(ROUND(OFFSET($P221,0,AH$13),15-13*ORÇAMENTO!$AF$7)*OFFSET(ORÇAMENTO!$W$15,ROW(AH221)-ROW(AH$15),0),15-13*ORÇAMENTO!$AF$11)),
         0)</f>
        <v>0</v>
      </c>
      <c r="AI221" s="454">
        <f ca="1">IF(AND($D221="Serviço",AI$12&lt;&gt;0,$H221&gt;0,OR(AUTOEVENTO&lt;&gt;"manual",$M221&lt;&gt;$A$15)),
        IF(Import.TipoArredondamento&lt;&gt;"TransfereGOV",
              ROUND(OFFSET($P221,0,AI$13),15-13*ORÇAMENTO!$AF$7)/$H221*OFFSET(ORÇAMENTO!$X$15,ROW(AI221)-ROW(AI$15),0),
              ROUND(ROUND(OFFSET($P221,0,AI$13),15-13*ORÇAMENTO!$AF$7)*OFFSET(ORÇAMENTO!$W$15,ROW(AI221)-ROW(AI$15),0),15-13*ORÇAMENTO!$AF$11)),
         0)</f>
        <v>0</v>
      </c>
      <c r="AJ221" s="454">
        <f ca="1">IF(AND($D221="Serviço",AJ$12&lt;&gt;0,$H221&gt;0,OR(AUTOEVENTO&lt;&gt;"manual",$M221&lt;&gt;$A$15)),
        IF(Import.TipoArredondamento&lt;&gt;"TransfereGOV",
              ROUND(OFFSET($P221,0,AJ$13),15-13*ORÇAMENTO!$AF$7)/$H221*OFFSET(ORÇAMENTO!$X$15,ROW(AJ221)-ROW(AJ$15),0),
              ROUND(ROUND(OFFSET($P221,0,AJ$13),15-13*ORÇAMENTO!$AF$7)*OFFSET(ORÇAMENTO!$W$15,ROW(AJ221)-ROW(AJ$15),0),15-13*ORÇAMENTO!$AF$11)),
         0)</f>
        <v>0</v>
      </c>
      <c r="AK221" s="454">
        <f ca="1">IF(AND($D221="Serviço",AK$12&lt;&gt;0,$H221&gt;0,OR(AUTOEVENTO&lt;&gt;"manual",$M221&lt;&gt;$A$15)),
        IF(Import.TipoArredondamento&lt;&gt;"TransfereGOV",
              ROUND(OFFSET($P221,0,AK$13),15-13*ORÇAMENTO!$AF$7)/$H221*OFFSET(ORÇAMENTO!$X$15,ROW(AK221)-ROW(AK$15),0),
              ROUND(ROUND(OFFSET($P221,0,AK$13),15-13*ORÇAMENTO!$AF$7)*OFFSET(ORÇAMENTO!$W$15,ROW(AK221)-ROW(AK$15),0),15-13*ORÇAMENTO!$AF$11)),
         0)</f>
        <v>0</v>
      </c>
      <c r="AM221" s="172">
        <f ca="1">IF(OR($D221&lt;&gt;"Serviço",AND(AUTOEVENTO="Manual",$M221=$A$15)),0,
         IF(OFFSET(CRONOPLE!$F$15,$M221-$A$15,AM$13)="",10^12,OFFSET(CRONOPLE!$F$15,$M221-$A$15,AM$13)))</f>
        <v>1000000000000</v>
      </c>
      <c r="AN221" s="172">
        <f ca="1">IF(OR($D221&lt;&gt;"Serviço",AND(AUTOEVENTO="Manual",$M221=$A$15)),0,
         IF(OFFSET(CRONOPLE!$F$15,$M221-$A$15,AN$13)="",10^12,OFFSET(CRONOPLE!$F$15,$M221-$A$15,AN$13)))</f>
        <v>1000000000000</v>
      </c>
      <c r="AO221" s="172">
        <f ca="1">IF(OR($D221&lt;&gt;"Serviço",AND(AUTOEVENTO="Manual",$M221=$A$15)),0,
         IF(OFFSET(CRONOPLE!$F$15,$M221-$A$15,AO$13)="",10^12,OFFSET(CRONOPLE!$F$15,$M221-$A$15,AO$13)))</f>
        <v>1000000000000</v>
      </c>
      <c r="AP221" s="172">
        <f ca="1">IF(OR($D221&lt;&gt;"Serviço",AND(AUTOEVENTO="Manual",$M221=$A$15)),0,
         IF(OFFSET(CRONOPLE!$F$15,$M221-$A$15,AP$13)="",10^12,OFFSET(CRONOPLE!$F$15,$M221-$A$15,AP$13)))</f>
        <v>1000000000000</v>
      </c>
      <c r="AQ221" s="172">
        <f ca="1">IF(OR($D221&lt;&gt;"Serviço",AND(AUTOEVENTO="Manual",$M221=$A$15)),0,
         IF(OFFSET(CRONOPLE!$F$15,$M221-$A$15,AQ$13)="",10^12,OFFSET(CRONOPLE!$F$15,$M221-$A$15,AQ$13)))</f>
        <v>1000000000000</v>
      </c>
      <c r="AR221" s="172">
        <f ca="1">IF(OR($D221&lt;&gt;"Serviço",AND(AUTOEVENTO="Manual",$M221=$A$15)),0,
         IF(OFFSET(CRONOPLE!$F$15,$M221-$A$15,AR$13)="",10^12,OFFSET(CRONOPLE!$F$15,$M221-$A$15,AR$13)))</f>
        <v>1000000000000</v>
      </c>
      <c r="AS221" s="172">
        <f ca="1">IF(OR($D221&lt;&gt;"Serviço",AND(AUTOEVENTO="Manual",$M221=$A$15)),0,
         IF(OFFSET(CRONOPLE!$F$15,$M221-$A$15,AS$13)="",10^12,OFFSET(CRONOPLE!$F$15,$M221-$A$15,AS$13)))</f>
        <v>1000000000000</v>
      </c>
      <c r="AT221" s="172">
        <f ca="1">IF(OR($D221&lt;&gt;"Serviço",AND(AUTOEVENTO="Manual",$M221=$A$15)),0,
         IF(OFFSET(CRONOPLE!$F$15,$M221-$A$15,AT$13)="",10^12,OFFSET(CRONOPLE!$F$15,$M221-$A$15,AT$13)))</f>
        <v>1000000000000</v>
      </c>
      <c r="AU221" s="172">
        <f ca="1">IF(OR($D221&lt;&gt;"Serviço",AND(AUTOEVENTO="Manual",$M221=$A$15)),0,
         IF(OFFSET(CRONOPLE!$F$15,$M221-$A$15,AU$13)="",10^12,OFFSET(CRONOPLE!$F$15,$M221-$A$15,AU$13)))</f>
        <v>1000000000000</v>
      </c>
      <c r="AV221" s="172">
        <f ca="1">IF(OR($D221&lt;&gt;"Serviço",AND(AUTOEVENTO="Manual",$M221=$A$15)),0,
         IF(OFFSET(CRONOPLE!$F$15,$M221-$A$15,AV$13)="",10^12,OFFSET(CRONOPLE!$F$15,$M221-$A$15,AV$13)))</f>
        <v>1000000000000</v>
      </c>
      <c r="AX221" s="173">
        <f ca="1">IF(OR($D221&lt;&gt;"Serviço",AND(AUTOEVENTO="Manual",$M221=$A$15),$M221&gt;(ROW(PLE.lastrow)-ROW(PLE.firstrow))),0,
           IF(OFFSET(PLE!$G$15,$M221-$A$15,AX$13)="",10^12,OFFSET(PLE!$G$15,$M221-$A$15,AX$13)))</f>
        <v>1000000000000</v>
      </c>
      <c r="AY221" s="173">
        <f ca="1">IF(OR($D221&lt;&gt;"Serviço",AND(AUTOEVENTO="Manual",$M221=$A$15),$M221&gt;(ROW(PLE.lastrow)-ROW(PLE.firstrow))),0,
           IF(OFFSET(PLE!$G$15,$M221-$A$15,AY$13)="",10^12,OFFSET(PLE!$G$15,$M221-$A$15,AY$13)))</f>
        <v>1000000000000</v>
      </c>
      <c r="AZ221" s="173">
        <f ca="1">IF(OR($D221&lt;&gt;"Serviço",AND(AUTOEVENTO="Manual",$M221=$A$15),$M221&gt;(ROW(PLE.lastrow)-ROW(PLE.firstrow))),0,
           IF(OFFSET(PLE!$G$15,$M221-$A$15,AZ$13)="",10^12,OFFSET(PLE!$G$15,$M221-$A$15,AZ$13)))</f>
        <v>1000000000000</v>
      </c>
      <c r="BA221" s="173">
        <f ca="1">IF(OR($D221&lt;&gt;"Serviço",AND(AUTOEVENTO="Manual",$M221=$A$15),$M221&gt;(ROW(PLE.lastrow)-ROW(PLE.firstrow))),0,
           IF(OFFSET(PLE!$G$15,$M221-$A$15,BA$13)="",10^12,OFFSET(PLE!$G$15,$M221-$A$15,BA$13)))</f>
        <v>1000000000000</v>
      </c>
      <c r="BB221" s="173">
        <f ca="1">IF(OR($D221&lt;&gt;"Serviço",AND(AUTOEVENTO="Manual",$M221=$A$15),$M221&gt;(ROW(PLE.lastrow)-ROW(PLE.firstrow))),0,
           IF(OFFSET(PLE!$G$15,$M221-$A$15,BB$13)="",10^12,OFFSET(PLE!$G$15,$M221-$A$15,BB$13)))</f>
        <v>1000000000000</v>
      </c>
      <c r="BC221" s="173">
        <f ca="1">IF(OR($D221&lt;&gt;"Serviço",AND(AUTOEVENTO="Manual",$M221=$A$15),$M221&gt;(ROW(PLE.lastrow)-ROW(PLE.firstrow))),0,
           IF(OFFSET(PLE!$G$15,$M221-$A$15,BC$13)="",10^12,OFFSET(PLE!$G$15,$M221-$A$15,BC$13)))</f>
        <v>1000000000000</v>
      </c>
      <c r="BD221" s="173">
        <f ca="1">IF(OR($D221&lt;&gt;"Serviço",AND(AUTOEVENTO="Manual",$M221=$A$15),$M221&gt;(ROW(PLE.lastrow)-ROW(PLE.firstrow))),0,
           IF(OFFSET(PLE!$G$15,$M221-$A$15,BD$13)="",10^12,OFFSET(PLE!$G$15,$M221-$A$15,BD$13)))</f>
        <v>1000000000000</v>
      </c>
      <c r="BE221" s="173">
        <f ca="1">IF(OR($D221&lt;&gt;"Serviço",AND(AUTOEVENTO="Manual",$M221=$A$15),$M221&gt;(ROW(PLE.lastrow)-ROW(PLE.firstrow))),0,
           IF(OFFSET(PLE!$G$15,$M221-$A$15,BE$13)="",10^12,OFFSET(PLE!$G$15,$M221-$A$15,BE$13)))</f>
        <v>1000000000000</v>
      </c>
      <c r="BF221" s="173">
        <f ca="1">IF(OR($D221&lt;&gt;"Serviço",AND(AUTOEVENTO="Manual",$M221=$A$15),$M221&gt;(ROW(PLE.lastrow)-ROW(PLE.firstrow))),0,
           IF(OFFSET(PLE!$G$15,$M221-$A$15,BF$13)="",10^12,OFFSET(PLE!$G$15,$M221-$A$15,BF$13)))</f>
        <v>1000000000000</v>
      </c>
      <c r="BG221" s="173">
        <f ca="1">IF(OR($D221&lt;&gt;"Serviço",AND(AUTOEVENTO="Manual",$M221=$A$15),$M221&gt;(ROW(PLE.lastrow)-ROW(PLE.firstrow))),0,
           IF(OFFSET(PLE!$G$15,$M221-$A$15,BG$13)="",10^12,OFFSET(PLE!$G$15,$M221-$A$15,BG$13)))</f>
        <v>1000000000000</v>
      </c>
    </row>
    <row r="222" spans="1:59" ht="38.25" x14ac:dyDescent="0.2">
      <c r="A222" s="7" t="str">
        <f t="shared" ca="1" si="11"/>
        <v>203</v>
      </c>
      <c r="B222" s="7" t="str">
        <f ca="1">OFFSET(ORÇAMENTO!C$15,ROW(B222)-ROW(B$15),0)</f>
        <v>S</v>
      </c>
      <c r="C222" s="7" t="str">
        <f ca="1">OFFSET(ORÇAMENTO!L$15,ROW(C222)-ROW(C$15),0)</f>
        <v/>
      </c>
      <c r="D222" s="117" t="str">
        <f ca="1">OFFSET(ORÇAMENTO!N$15,ROW(D222)-ROW(D$15),0)</f>
        <v>Serviço</v>
      </c>
      <c r="E222" s="118" t="str">
        <f ca="1">OFFSET(ORÇAMENTO!O$15,ROW(E222)-ROW(E$15),0)</f>
        <v>-</v>
      </c>
      <c r="F222" s="164" t="str">
        <f ca="1">OFFSET(ORÇAMENTO!R$15,ROW(F222)-ROW(F$15),0)</f>
        <v>REVESTIMENTO CERÂMICO PARA PISO COM PLACAS TIPO PORCELANATO DE DIMENSÕES 60X60 CM APLICADA EM AMBIENTES DE ÁREA ENTRE 5 M² E 10 M². AF_02/2023_PE</v>
      </c>
      <c r="G222" s="165" t="str">
        <f ca="1">IF($D222&lt;&gt;"Serviço","",OFFSET(ORÇAMENTO!S$15,ROW(G222)-ROW(G$15),0))</f>
        <v>M2</v>
      </c>
      <c r="H222" s="123">
        <f ca="1">IF($D222&lt;&gt;"Serviço",0,IF(ACOMPANHAMENTO="BM",ROUND(OFFSET(ORÇAMENTO!AJ$15,ROW(H222)-ROW(H$15),0),15-13*ORÇAMENTO!$AF$7),SUMPRODUCT(($Q$1:$AA$1=1)*ROUND($Q222:$AA222,15-13*ORÇAMENTO!$AF$7))))</f>
        <v>52.26</v>
      </c>
      <c r="I222" s="469"/>
      <c r="J222" s="577" t="str" cm="1">
        <f t="array" aca="1" ref="J222" ca="1">IF(B222&lt;&gt;"S","",IF(AND(ACOMPANHAMENTO="PLE",AUTOEVENTO="Manual",OR(H222&gt;0,ORÇAMENTO!AC222="QUANT."),OR(K222="",M222=0,N222="")),"►",IF(AND(ACOMPANHAMENTO="PLE",ORÇAMENTO!AC222="QUANT."),"►►",IF(AND(COUNTIF($P$11:$AA$11,"▼")=0,H222&gt;0,I222=""),"◄",""))))</f>
        <v>◄</v>
      </c>
      <c r="K222" s="626"/>
      <c r="L222" s="166" t="s">
        <v>765</v>
      </c>
      <c r="M222" s="167">
        <f ca="1">IF($D222&lt;&gt;"Serviço","",
          IF(AUTOEVENTO="manual",$A222,
                IF(ISERROR(MATCH($A222,$A$15:OFFSET($A222,-1,0),0)),MAX($M$15:OFFSET(M222,-1,0))+1,
                      INDEX($M$15:OFFSET(M222,-1,0),MATCH($A222,$A$15:OFFSET($A222,-1,0),0)))))</f>
        <v>12</v>
      </c>
      <c r="N222" s="168" t="str">
        <f ca="1">IF($D222&lt;&gt;"Serviço","",
         IF(AUTOEVENTO="Manual",
                IF($A222=0,"&lt;-- defina o número do agrupador",
                       OFFSET(EVENTOS!$D$15,$A222-$A$15,0)),
                OFFSET($F$15,$A222,0)))</f>
        <v>REVESTIMENTOS</v>
      </c>
      <c r="O222" s="169"/>
      <c r="Q222" s="169"/>
      <c r="R222" s="170"/>
      <c r="S222" s="170"/>
      <c r="T222" s="170"/>
      <c r="U222" s="170"/>
      <c r="V222" s="170"/>
      <c r="W222" s="170"/>
      <c r="X222" s="170"/>
      <c r="Y222" s="170"/>
      <c r="Z222" s="171"/>
      <c r="AB222" s="454">
        <f ca="1">IF(AND($D222="Serviço",AB$12&lt;&gt;0,$H222&gt;0,OR(AUTOEVENTO&lt;&gt;"manual",$M222&lt;&gt;$A$15)),
        IF(Import.TipoArredondamento&lt;&gt;"TransfereGOV",
              ROUND(OFFSET($P222,0,AB$13),15-13*ORÇAMENTO!$AF$7)/$H222*OFFSET(ORÇAMENTO!$X$15,ROW(AB222)-ROW(AB$15),0),
              ROUND(ROUND(OFFSET($P222,0,AB$13),15-13*ORÇAMENTO!$AF$7)*OFFSET(ORÇAMENTO!$W$15,ROW(AB222)-ROW(AB$15),0),15-13*ORÇAMENTO!$AF$11)),
         0)</f>
        <v>0</v>
      </c>
      <c r="AC222" s="454">
        <f ca="1">IF(AND($D222="Serviço",AC$12&lt;&gt;0,$H222&gt;0,OR(AUTOEVENTO&lt;&gt;"manual",$M222&lt;&gt;$A$15)),
        IF(Import.TipoArredondamento&lt;&gt;"TransfereGOV",
              ROUND(OFFSET($P222,0,AC$13),15-13*ORÇAMENTO!$AF$7)/$H222*OFFSET(ORÇAMENTO!$X$15,ROW(AC222)-ROW(AC$15),0),
              ROUND(ROUND(OFFSET($P222,0,AC$13),15-13*ORÇAMENTO!$AF$7)*OFFSET(ORÇAMENTO!$W$15,ROW(AC222)-ROW(AC$15),0),15-13*ORÇAMENTO!$AF$11)),
         0)</f>
        <v>0</v>
      </c>
      <c r="AD222" s="454">
        <f ca="1">IF(AND($D222="Serviço",AD$12&lt;&gt;0,$H222&gt;0,OR(AUTOEVENTO&lt;&gt;"manual",$M222&lt;&gt;$A$15)),
        IF(Import.TipoArredondamento&lt;&gt;"TransfereGOV",
              ROUND(OFFSET($P222,0,AD$13),15-13*ORÇAMENTO!$AF$7)/$H222*OFFSET(ORÇAMENTO!$X$15,ROW(AD222)-ROW(AD$15),0),
              ROUND(ROUND(OFFSET($P222,0,AD$13),15-13*ORÇAMENTO!$AF$7)*OFFSET(ORÇAMENTO!$W$15,ROW(AD222)-ROW(AD$15),0),15-13*ORÇAMENTO!$AF$11)),
         0)</f>
        <v>0</v>
      </c>
      <c r="AE222" s="454">
        <f ca="1">IF(AND($D222="Serviço",AE$12&lt;&gt;0,$H222&gt;0,OR(AUTOEVENTO&lt;&gt;"manual",$M222&lt;&gt;$A$15)),
        IF(Import.TipoArredondamento&lt;&gt;"TransfereGOV",
              ROUND(OFFSET($P222,0,AE$13),15-13*ORÇAMENTO!$AF$7)/$H222*OFFSET(ORÇAMENTO!$X$15,ROW(AE222)-ROW(AE$15),0),
              ROUND(ROUND(OFFSET($P222,0,AE$13),15-13*ORÇAMENTO!$AF$7)*OFFSET(ORÇAMENTO!$W$15,ROW(AE222)-ROW(AE$15),0),15-13*ORÇAMENTO!$AF$11)),
         0)</f>
        <v>0</v>
      </c>
      <c r="AF222" s="454">
        <f ca="1">IF(AND($D222="Serviço",AF$12&lt;&gt;0,$H222&gt;0,OR(AUTOEVENTO&lt;&gt;"manual",$M222&lt;&gt;$A$15)),
        IF(Import.TipoArredondamento&lt;&gt;"TransfereGOV",
              ROUND(OFFSET($P222,0,AF$13),15-13*ORÇAMENTO!$AF$7)/$H222*OFFSET(ORÇAMENTO!$X$15,ROW(AF222)-ROW(AF$15),0),
              ROUND(ROUND(OFFSET($P222,0,AF$13),15-13*ORÇAMENTO!$AF$7)*OFFSET(ORÇAMENTO!$W$15,ROW(AF222)-ROW(AF$15),0),15-13*ORÇAMENTO!$AF$11)),
         0)</f>
        <v>0</v>
      </c>
      <c r="AG222" s="454">
        <f ca="1">IF(AND($D222="Serviço",AG$12&lt;&gt;0,$H222&gt;0,OR(AUTOEVENTO&lt;&gt;"manual",$M222&lt;&gt;$A$15)),
        IF(Import.TipoArredondamento&lt;&gt;"TransfereGOV",
              ROUND(OFFSET($P222,0,AG$13),15-13*ORÇAMENTO!$AF$7)/$H222*OFFSET(ORÇAMENTO!$X$15,ROW(AG222)-ROW(AG$15),0),
              ROUND(ROUND(OFFSET($P222,0,AG$13),15-13*ORÇAMENTO!$AF$7)*OFFSET(ORÇAMENTO!$W$15,ROW(AG222)-ROW(AG$15),0),15-13*ORÇAMENTO!$AF$11)),
         0)</f>
        <v>0</v>
      </c>
      <c r="AH222" s="454">
        <f ca="1">IF(AND($D222="Serviço",AH$12&lt;&gt;0,$H222&gt;0,OR(AUTOEVENTO&lt;&gt;"manual",$M222&lt;&gt;$A$15)),
        IF(Import.TipoArredondamento&lt;&gt;"TransfereGOV",
              ROUND(OFFSET($P222,0,AH$13),15-13*ORÇAMENTO!$AF$7)/$H222*OFFSET(ORÇAMENTO!$X$15,ROW(AH222)-ROW(AH$15),0),
              ROUND(ROUND(OFFSET($P222,0,AH$13),15-13*ORÇAMENTO!$AF$7)*OFFSET(ORÇAMENTO!$W$15,ROW(AH222)-ROW(AH$15),0),15-13*ORÇAMENTO!$AF$11)),
         0)</f>
        <v>0</v>
      </c>
      <c r="AI222" s="454">
        <f ca="1">IF(AND($D222="Serviço",AI$12&lt;&gt;0,$H222&gt;0,OR(AUTOEVENTO&lt;&gt;"manual",$M222&lt;&gt;$A$15)),
        IF(Import.TipoArredondamento&lt;&gt;"TransfereGOV",
              ROUND(OFFSET($P222,0,AI$13),15-13*ORÇAMENTO!$AF$7)/$H222*OFFSET(ORÇAMENTO!$X$15,ROW(AI222)-ROW(AI$15),0),
              ROUND(ROUND(OFFSET($P222,0,AI$13),15-13*ORÇAMENTO!$AF$7)*OFFSET(ORÇAMENTO!$W$15,ROW(AI222)-ROW(AI$15),0),15-13*ORÇAMENTO!$AF$11)),
         0)</f>
        <v>0</v>
      </c>
      <c r="AJ222" s="454">
        <f ca="1">IF(AND($D222="Serviço",AJ$12&lt;&gt;0,$H222&gt;0,OR(AUTOEVENTO&lt;&gt;"manual",$M222&lt;&gt;$A$15)),
        IF(Import.TipoArredondamento&lt;&gt;"TransfereGOV",
              ROUND(OFFSET($P222,0,AJ$13),15-13*ORÇAMENTO!$AF$7)/$H222*OFFSET(ORÇAMENTO!$X$15,ROW(AJ222)-ROW(AJ$15),0),
              ROUND(ROUND(OFFSET($P222,0,AJ$13),15-13*ORÇAMENTO!$AF$7)*OFFSET(ORÇAMENTO!$W$15,ROW(AJ222)-ROW(AJ$15),0),15-13*ORÇAMENTO!$AF$11)),
         0)</f>
        <v>0</v>
      </c>
      <c r="AK222" s="454">
        <f ca="1">IF(AND($D222="Serviço",AK$12&lt;&gt;0,$H222&gt;0,OR(AUTOEVENTO&lt;&gt;"manual",$M222&lt;&gt;$A$15)),
        IF(Import.TipoArredondamento&lt;&gt;"TransfereGOV",
              ROUND(OFFSET($P222,0,AK$13),15-13*ORÇAMENTO!$AF$7)/$H222*OFFSET(ORÇAMENTO!$X$15,ROW(AK222)-ROW(AK$15),0),
              ROUND(ROUND(OFFSET($P222,0,AK$13),15-13*ORÇAMENTO!$AF$7)*OFFSET(ORÇAMENTO!$W$15,ROW(AK222)-ROW(AK$15),0),15-13*ORÇAMENTO!$AF$11)),
         0)</f>
        <v>0</v>
      </c>
      <c r="AM222" s="172">
        <f ca="1">IF(OR($D222&lt;&gt;"Serviço",AND(AUTOEVENTO="Manual",$M222=$A$15)),0,
         IF(OFFSET(CRONOPLE!$F$15,$M222-$A$15,AM$13)="",10^12,OFFSET(CRONOPLE!$F$15,$M222-$A$15,AM$13)))</f>
        <v>1000000000000</v>
      </c>
      <c r="AN222" s="172">
        <f ca="1">IF(OR($D222&lt;&gt;"Serviço",AND(AUTOEVENTO="Manual",$M222=$A$15)),0,
         IF(OFFSET(CRONOPLE!$F$15,$M222-$A$15,AN$13)="",10^12,OFFSET(CRONOPLE!$F$15,$M222-$A$15,AN$13)))</f>
        <v>1000000000000</v>
      </c>
      <c r="AO222" s="172">
        <f ca="1">IF(OR($D222&lt;&gt;"Serviço",AND(AUTOEVENTO="Manual",$M222=$A$15)),0,
         IF(OFFSET(CRONOPLE!$F$15,$M222-$A$15,AO$13)="",10^12,OFFSET(CRONOPLE!$F$15,$M222-$A$15,AO$13)))</f>
        <v>1000000000000</v>
      </c>
      <c r="AP222" s="172">
        <f ca="1">IF(OR($D222&lt;&gt;"Serviço",AND(AUTOEVENTO="Manual",$M222=$A$15)),0,
         IF(OFFSET(CRONOPLE!$F$15,$M222-$A$15,AP$13)="",10^12,OFFSET(CRONOPLE!$F$15,$M222-$A$15,AP$13)))</f>
        <v>1000000000000</v>
      </c>
      <c r="AQ222" s="172">
        <f ca="1">IF(OR($D222&lt;&gt;"Serviço",AND(AUTOEVENTO="Manual",$M222=$A$15)),0,
         IF(OFFSET(CRONOPLE!$F$15,$M222-$A$15,AQ$13)="",10^12,OFFSET(CRONOPLE!$F$15,$M222-$A$15,AQ$13)))</f>
        <v>1000000000000</v>
      </c>
      <c r="AR222" s="172">
        <f ca="1">IF(OR($D222&lt;&gt;"Serviço",AND(AUTOEVENTO="Manual",$M222=$A$15)),0,
         IF(OFFSET(CRONOPLE!$F$15,$M222-$A$15,AR$13)="",10^12,OFFSET(CRONOPLE!$F$15,$M222-$A$15,AR$13)))</f>
        <v>1000000000000</v>
      </c>
      <c r="AS222" s="172">
        <f ca="1">IF(OR($D222&lt;&gt;"Serviço",AND(AUTOEVENTO="Manual",$M222=$A$15)),0,
         IF(OFFSET(CRONOPLE!$F$15,$M222-$A$15,AS$13)="",10^12,OFFSET(CRONOPLE!$F$15,$M222-$A$15,AS$13)))</f>
        <v>1000000000000</v>
      </c>
      <c r="AT222" s="172">
        <f ca="1">IF(OR($D222&lt;&gt;"Serviço",AND(AUTOEVENTO="Manual",$M222=$A$15)),0,
         IF(OFFSET(CRONOPLE!$F$15,$M222-$A$15,AT$13)="",10^12,OFFSET(CRONOPLE!$F$15,$M222-$A$15,AT$13)))</f>
        <v>1000000000000</v>
      </c>
      <c r="AU222" s="172">
        <f ca="1">IF(OR($D222&lt;&gt;"Serviço",AND(AUTOEVENTO="Manual",$M222=$A$15)),0,
         IF(OFFSET(CRONOPLE!$F$15,$M222-$A$15,AU$13)="",10^12,OFFSET(CRONOPLE!$F$15,$M222-$A$15,AU$13)))</f>
        <v>1000000000000</v>
      </c>
      <c r="AV222" s="172">
        <f ca="1">IF(OR($D222&lt;&gt;"Serviço",AND(AUTOEVENTO="Manual",$M222=$A$15)),0,
         IF(OFFSET(CRONOPLE!$F$15,$M222-$A$15,AV$13)="",10^12,OFFSET(CRONOPLE!$F$15,$M222-$A$15,AV$13)))</f>
        <v>1000000000000</v>
      </c>
      <c r="AX222" s="173">
        <f ca="1">IF(OR($D222&lt;&gt;"Serviço",AND(AUTOEVENTO="Manual",$M222=$A$15),$M222&gt;(ROW(PLE.lastrow)-ROW(PLE.firstrow))),0,
           IF(OFFSET(PLE!$G$15,$M222-$A$15,AX$13)="",10^12,OFFSET(PLE!$G$15,$M222-$A$15,AX$13)))</f>
        <v>1000000000000</v>
      </c>
      <c r="AY222" s="173">
        <f ca="1">IF(OR($D222&lt;&gt;"Serviço",AND(AUTOEVENTO="Manual",$M222=$A$15),$M222&gt;(ROW(PLE.lastrow)-ROW(PLE.firstrow))),0,
           IF(OFFSET(PLE!$G$15,$M222-$A$15,AY$13)="",10^12,OFFSET(PLE!$G$15,$M222-$A$15,AY$13)))</f>
        <v>1000000000000</v>
      </c>
      <c r="AZ222" s="173">
        <f ca="1">IF(OR($D222&lt;&gt;"Serviço",AND(AUTOEVENTO="Manual",$M222=$A$15),$M222&gt;(ROW(PLE.lastrow)-ROW(PLE.firstrow))),0,
           IF(OFFSET(PLE!$G$15,$M222-$A$15,AZ$13)="",10^12,OFFSET(PLE!$G$15,$M222-$A$15,AZ$13)))</f>
        <v>1000000000000</v>
      </c>
      <c r="BA222" s="173">
        <f ca="1">IF(OR($D222&lt;&gt;"Serviço",AND(AUTOEVENTO="Manual",$M222=$A$15),$M222&gt;(ROW(PLE.lastrow)-ROW(PLE.firstrow))),0,
           IF(OFFSET(PLE!$G$15,$M222-$A$15,BA$13)="",10^12,OFFSET(PLE!$G$15,$M222-$A$15,BA$13)))</f>
        <v>1000000000000</v>
      </c>
      <c r="BB222" s="173">
        <f ca="1">IF(OR($D222&lt;&gt;"Serviço",AND(AUTOEVENTO="Manual",$M222=$A$15),$M222&gt;(ROW(PLE.lastrow)-ROW(PLE.firstrow))),0,
           IF(OFFSET(PLE!$G$15,$M222-$A$15,BB$13)="",10^12,OFFSET(PLE!$G$15,$M222-$A$15,BB$13)))</f>
        <v>1000000000000</v>
      </c>
      <c r="BC222" s="173">
        <f ca="1">IF(OR($D222&lt;&gt;"Serviço",AND(AUTOEVENTO="Manual",$M222=$A$15),$M222&gt;(ROW(PLE.lastrow)-ROW(PLE.firstrow))),0,
           IF(OFFSET(PLE!$G$15,$M222-$A$15,BC$13)="",10^12,OFFSET(PLE!$G$15,$M222-$A$15,BC$13)))</f>
        <v>1000000000000</v>
      </c>
      <c r="BD222" s="173">
        <f ca="1">IF(OR($D222&lt;&gt;"Serviço",AND(AUTOEVENTO="Manual",$M222=$A$15),$M222&gt;(ROW(PLE.lastrow)-ROW(PLE.firstrow))),0,
           IF(OFFSET(PLE!$G$15,$M222-$A$15,BD$13)="",10^12,OFFSET(PLE!$G$15,$M222-$A$15,BD$13)))</f>
        <v>1000000000000</v>
      </c>
      <c r="BE222" s="173">
        <f ca="1">IF(OR($D222&lt;&gt;"Serviço",AND(AUTOEVENTO="Manual",$M222=$A$15),$M222&gt;(ROW(PLE.lastrow)-ROW(PLE.firstrow))),0,
           IF(OFFSET(PLE!$G$15,$M222-$A$15,BE$13)="",10^12,OFFSET(PLE!$G$15,$M222-$A$15,BE$13)))</f>
        <v>1000000000000</v>
      </c>
      <c r="BF222" s="173">
        <f ca="1">IF(OR($D222&lt;&gt;"Serviço",AND(AUTOEVENTO="Manual",$M222=$A$15),$M222&gt;(ROW(PLE.lastrow)-ROW(PLE.firstrow))),0,
           IF(OFFSET(PLE!$G$15,$M222-$A$15,BF$13)="",10^12,OFFSET(PLE!$G$15,$M222-$A$15,BF$13)))</f>
        <v>1000000000000</v>
      </c>
      <c r="BG222" s="173">
        <f ca="1">IF(OR($D222&lt;&gt;"Serviço",AND(AUTOEVENTO="Manual",$M222=$A$15),$M222&gt;(ROW(PLE.lastrow)-ROW(PLE.firstrow))),0,
           IF(OFFSET(PLE!$G$15,$M222-$A$15,BG$13)="",10^12,OFFSET(PLE!$G$15,$M222-$A$15,BG$13)))</f>
        <v>1000000000000</v>
      </c>
    </row>
    <row r="223" spans="1:59" ht="38.25" x14ac:dyDescent="0.2">
      <c r="A223" s="7" t="str">
        <f t="shared" ca="1" si="11"/>
        <v>203</v>
      </c>
      <c r="B223" s="7" t="str">
        <f ca="1">OFFSET(ORÇAMENTO!C$15,ROW(B223)-ROW(B$15),0)</f>
        <v>S</v>
      </c>
      <c r="C223" s="7" t="str">
        <f ca="1">OFFSET(ORÇAMENTO!L$15,ROW(C223)-ROW(C$15),0)</f>
        <v/>
      </c>
      <c r="D223" s="117" t="str">
        <f ca="1">OFFSET(ORÇAMENTO!N$15,ROW(D223)-ROW(D$15),0)</f>
        <v>Serviço</v>
      </c>
      <c r="E223" s="118" t="str">
        <f ca="1">OFFSET(ORÇAMENTO!O$15,ROW(E223)-ROW(E$15),0)</f>
        <v>-</v>
      </c>
      <c r="F223" s="164" t="str">
        <f ca="1">OFFSET(ORÇAMENTO!R$15,ROW(F223)-ROW(F$15),0)</f>
        <v>REVESTIMENTO CERÂMICO PARA PISO COM PLACAS TIPO PORCELANATO DE DIMENSÕES 60X60 CM APLICADA EM AMBIENTES DE ÁREA MENOR QUE 5 M². AF_02/2023_PE</v>
      </c>
      <c r="G223" s="165" t="str">
        <f ca="1">IF($D223&lt;&gt;"Serviço","",OFFSET(ORÇAMENTO!S$15,ROW(G223)-ROW(G$15),0))</f>
        <v>M2</v>
      </c>
      <c r="H223" s="123">
        <f ca="1">IF($D223&lt;&gt;"Serviço",0,IF(ACOMPANHAMENTO="BM",ROUND(OFFSET(ORÇAMENTO!AJ$15,ROW(H223)-ROW(H$15),0),15-13*ORÇAMENTO!$AF$7),SUMPRODUCT(($Q$1:$AA$1=1)*ROUND($Q223:$AA223,15-13*ORÇAMENTO!$AF$7))))</f>
        <v>45.16</v>
      </c>
      <c r="I223" s="469"/>
      <c r="J223" s="577" t="str" cm="1">
        <f t="array" aca="1" ref="J223" ca="1">IF(B223&lt;&gt;"S","",IF(AND(ACOMPANHAMENTO="PLE",AUTOEVENTO="Manual",OR(H223&gt;0,ORÇAMENTO!AC223="QUANT."),OR(K223="",M223=0,N223="")),"►",IF(AND(ACOMPANHAMENTO="PLE",ORÇAMENTO!AC223="QUANT."),"►►",IF(AND(COUNTIF($P$11:$AA$11,"▼")=0,H223&gt;0,I223=""),"◄",""))))</f>
        <v>◄</v>
      </c>
      <c r="K223" s="626"/>
      <c r="L223" s="166" t="s">
        <v>765</v>
      </c>
      <c r="M223" s="167">
        <f ca="1">IF($D223&lt;&gt;"Serviço","",
          IF(AUTOEVENTO="manual",$A223,
                IF(ISERROR(MATCH($A223,$A$15:OFFSET($A223,-1,0),0)),MAX($M$15:OFFSET(M223,-1,0))+1,
                      INDEX($M$15:OFFSET(M223,-1,0),MATCH($A223,$A$15:OFFSET($A223,-1,0),0)))))</f>
        <v>12</v>
      </c>
      <c r="N223" s="168" t="str">
        <f ca="1">IF($D223&lt;&gt;"Serviço","",
         IF(AUTOEVENTO="Manual",
                IF($A223=0,"&lt;-- defina o número do agrupador",
                       OFFSET(EVENTOS!$D$15,$A223-$A$15,0)),
                OFFSET($F$15,$A223,0)))</f>
        <v>REVESTIMENTOS</v>
      </c>
      <c r="O223" s="169"/>
      <c r="Q223" s="169"/>
      <c r="R223" s="170"/>
      <c r="S223" s="170"/>
      <c r="T223" s="170"/>
      <c r="U223" s="170"/>
      <c r="V223" s="170"/>
      <c r="W223" s="170"/>
      <c r="X223" s="170"/>
      <c r="Y223" s="170"/>
      <c r="Z223" s="171"/>
      <c r="AB223" s="454">
        <f ca="1">IF(AND($D223="Serviço",AB$12&lt;&gt;0,$H223&gt;0,OR(AUTOEVENTO&lt;&gt;"manual",$M223&lt;&gt;$A$15)),
        IF(Import.TipoArredondamento&lt;&gt;"TransfereGOV",
              ROUND(OFFSET($P223,0,AB$13),15-13*ORÇAMENTO!$AF$7)/$H223*OFFSET(ORÇAMENTO!$X$15,ROW(AB223)-ROW(AB$15),0),
              ROUND(ROUND(OFFSET($P223,0,AB$13),15-13*ORÇAMENTO!$AF$7)*OFFSET(ORÇAMENTO!$W$15,ROW(AB223)-ROW(AB$15),0),15-13*ORÇAMENTO!$AF$11)),
         0)</f>
        <v>0</v>
      </c>
      <c r="AC223" s="454">
        <f ca="1">IF(AND($D223="Serviço",AC$12&lt;&gt;0,$H223&gt;0,OR(AUTOEVENTO&lt;&gt;"manual",$M223&lt;&gt;$A$15)),
        IF(Import.TipoArredondamento&lt;&gt;"TransfereGOV",
              ROUND(OFFSET($P223,0,AC$13),15-13*ORÇAMENTO!$AF$7)/$H223*OFFSET(ORÇAMENTO!$X$15,ROW(AC223)-ROW(AC$15),0),
              ROUND(ROUND(OFFSET($P223,0,AC$13),15-13*ORÇAMENTO!$AF$7)*OFFSET(ORÇAMENTO!$W$15,ROW(AC223)-ROW(AC$15),0),15-13*ORÇAMENTO!$AF$11)),
         0)</f>
        <v>0</v>
      </c>
      <c r="AD223" s="454">
        <f ca="1">IF(AND($D223="Serviço",AD$12&lt;&gt;0,$H223&gt;0,OR(AUTOEVENTO&lt;&gt;"manual",$M223&lt;&gt;$A$15)),
        IF(Import.TipoArredondamento&lt;&gt;"TransfereGOV",
              ROUND(OFFSET($P223,0,AD$13),15-13*ORÇAMENTO!$AF$7)/$H223*OFFSET(ORÇAMENTO!$X$15,ROW(AD223)-ROW(AD$15),0),
              ROUND(ROUND(OFFSET($P223,0,AD$13),15-13*ORÇAMENTO!$AF$7)*OFFSET(ORÇAMENTO!$W$15,ROW(AD223)-ROW(AD$15),0),15-13*ORÇAMENTO!$AF$11)),
         0)</f>
        <v>0</v>
      </c>
      <c r="AE223" s="454">
        <f ca="1">IF(AND($D223="Serviço",AE$12&lt;&gt;0,$H223&gt;0,OR(AUTOEVENTO&lt;&gt;"manual",$M223&lt;&gt;$A$15)),
        IF(Import.TipoArredondamento&lt;&gt;"TransfereGOV",
              ROUND(OFFSET($P223,0,AE$13),15-13*ORÇAMENTO!$AF$7)/$H223*OFFSET(ORÇAMENTO!$X$15,ROW(AE223)-ROW(AE$15),0),
              ROUND(ROUND(OFFSET($P223,0,AE$13),15-13*ORÇAMENTO!$AF$7)*OFFSET(ORÇAMENTO!$W$15,ROW(AE223)-ROW(AE$15),0),15-13*ORÇAMENTO!$AF$11)),
         0)</f>
        <v>0</v>
      </c>
      <c r="AF223" s="454">
        <f ca="1">IF(AND($D223="Serviço",AF$12&lt;&gt;0,$H223&gt;0,OR(AUTOEVENTO&lt;&gt;"manual",$M223&lt;&gt;$A$15)),
        IF(Import.TipoArredondamento&lt;&gt;"TransfereGOV",
              ROUND(OFFSET($P223,0,AF$13),15-13*ORÇAMENTO!$AF$7)/$H223*OFFSET(ORÇAMENTO!$X$15,ROW(AF223)-ROW(AF$15),0),
              ROUND(ROUND(OFFSET($P223,0,AF$13),15-13*ORÇAMENTO!$AF$7)*OFFSET(ORÇAMENTO!$W$15,ROW(AF223)-ROW(AF$15),0),15-13*ORÇAMENTO!$AF$11)),
         0)</f>
        <v>0</v>
      </c>
      <c r="AG223" s="454">
        <f ca="1">IF(AND($D223="Serviço",AG$12&lt;&gt;0,$H223&gt;0,OR(AUTOEVENTO&lt;&gt;"manual",$M223&lt;&gt;$A$15)),
        IF(Import.TipoArredondamento&lt;&gt;"TransfereGOV",
              ROUND(OFFSET($P223,0,AG$13),15-13*ORÇAMENTO!$AF$7)/$H223*OFFSET(ORÇAMENTO!$X$15,ROW(AG223)-ROW(AG$15),0),
              ROUND(ROUND(OFFSET($P223,0,AG$13),15-13*ORÇAMENTO!$AF$7)*OFFSET(ORÇAMENTO!$W$15,ROW(AG223)-ROW(AG$15),0),15-13*ORÇAMENTO!$AF$11)),
         0)</f>
        <v>0</v>
      </c>
      <c r="AH223" s="454">
        <f ca="1">IF(AND($D223="Serviço",AH$12&lt;&gt;0,$H223&gt;0,OR(AUTOEVENTO&lt;&gt;"manual",$M223&lt;&gt;$A$15)),
        IF(Import.TipoArredondamento&lt;&gt;"TransfereGOV",
              ROUND(OFFSET($P223,0,AH$13),15-13*ORÇAMENTO!$AF$7)/$H223*OFFSET(ORÇAMENTO!$X$15,ROW(AH223)-ROW(AH$15),0),
              ROUND(ROUND(OFFSET($P223,0,AH$13),15-13*ORÇAMENTO!$AF$7)*OFFSET(ORÇAMENTO!$W$15,ROW(AH223)-ROW(AH$15),0),15-13*ORÇAMENTO!$AF$11)),
         0)</f>
        <v>0</v>
      </c>
      <c r="AI223" s="454">
        <f ca="1">IF(AND($D223="Serviço",AI$12&lt;&gt;0,$H223&gt;0,OR(AUTOEVENTO&lt;&gt;"manual",$M223&lt;&gt;$A$15)),
        IF(Import.TipoArredondamento&lt;&gt;"TransfereGOV",
              ROUND(OFFSET($P223,0,AI$13),15-13*ORÇAMENTO!$AF$7)/$H223*OFFSET(ORÇAMENTO!$X$15,ROW(AI223)-ROW(AI$15),0),
              ROUND(ROUND(OFFSET($P223,0,AI$13),15-13*ORÇAMENTO!$AF$7)*OFFSET(ORÇAMENTO!$W$15,ROW(AI223)-ROW(AI$15),0),15-13*ORÇAMENTO!$AF$11)),
         0)</f>
        <v>0</v>
      </c>
      <c r="AJ223" s="454">
        <f ca="1">IF(AND($D223="Serviço",AJ$12&lt;&gt;0,$H223&gt;0,OR(AUTOEVENTO&lt;&gt;"manual",$M223&lt;&gt;$A$15)),
        IF(Import.TipoArredondamento&lt;&gt;"TransfereGOV",
              ROUND(OFFSET($P223,0,AJ$13),15-13*ORÇAMENTO!$AF$7)/$H223*OFFSET(ORÇAMENTO!$X$15,ROW(AJ223)-ROW(AJ$15),0),
              ROUND(ROUND(OFFSET($P223,0,AJ$13),15-13*ORÇAMENTO!$AF$7)*OFFSET(ORÇAMENTO!$W$15,ROW(AJ223)-ROW(AJ$15),0),15-13*ORÇAMENTO!$AF$11)),
         0)</f>
        <v>0</v>
      </c>
      <c r="AK223" s="454">
        <f ca="1">IF(AND($D223="Serviço",AK$12&lt;&gt;0,$H223&gt;0,OR(AUTOEVENTO&lt;&gt;"manual",$M223&lt;&gt;$A$15)),
        IF(Import.TipoArredondamento&lt;&gt;"TransfereGOV",
              ROUND(OFFSET($P223,0,AK$13),15-13*ORÇAMENTO!$AF$7)/$H223*OFFSET(ORÇAMENTO!$X$15,ROW(AK223)-ROW(AK$15),0),
              ROUND(ROUND(OFFSET($P223,0,AK$13),15-13*ORÇAMENTO!$AF$7)*OFFSET(ORÇAMENTO!$W$15,ROW(AK223)-ROW(AK$15),0),15-13*ORÇAMENTO!$AF$11)),
         0)</f>
        <v>0</v>
      </c>
      <c r="AM223" s="172">
        <f ca="1">IF(OR($D223&lt;&gt;"Serviço",AND(AUTOEVENTO="Manual",$M223=$A$15)),0,
         IF(OFFSET(CRONOPLE!$F$15,$M223-$A$15,AM$13)="",10^12,OFFSET(CRONOPLE!$F$15,$M223-$A$15,AM$13)))</f>
        <v>1000000000000</v>
      </c>
      <c r="AN223" s="172">
        <f ca="1">IF(OR($D223&lt;&gt;"Serviço",AND(AUTOEVENTO="Manual",$M223=$A$15)),0,
         IF(OFFSET(CRONOPLE!$F$15,$M223-$A$15,AN$13)="",10^12,OFFSET(CRONOPLE!$F$15,$M223-$A$15,AN$13)))</f>
        <v>1000000000000</v>
      </c>
      <c r="AO223" s="172">
        <f ca="1">IF(OR($D223&lt;&gt;"Serviço",AND(AUTOEVENTO="Manual",$M223=$A$15)),0,
         IF(OFFSET(CRONOPLE!$F$15,$M223-$A$15,AO$13)="",10^12,OFFSET(CRONOPLE!$F$15,$M223-$A$15,AO$13)))</f>
        <v>1000000000000</v>
      </c>
      <c r="AP223" s="172">
        <f ca="1">IF(OR($D223&lt;&gt;"Serviço",AND(AUTOEVENTO="Manual",$M223=$A$15)),0,
         IF(OFFSET(CRONOPLE!$F$15,$M223-$A$15,AP$13)="",10^12,OFFSET(CRONOPLE!$F$15,$M223-$A$15,AP$13)))</f>
        <v>1000000000000</v>
      </c>
      <c r="AQ223" s="172">
        <f ca="1">IF(OR($D223&lt;&gt;"Serviço",AND(AUTOEVENTO="Manual",$M223=$A$15)),0,
         IF(OFFSET(CRONOPLE!$F$15,$M223-$A$15,AQ$13)="",10^12,OFFSET(CRONOPLE!$F$15,$M223-$A$15,AQ$13)))</f>
        <v>1000000000000</v>
      </c>
      <c r="AR223" s="172">
        <f ca="1">IF(OR($D223&lt;&gt;"Serviço",AND(AUTOEVENTO="Manual",$M223=$A$15)),0,
         IF(OFFSET(CRONOPLE!$F$15,$M223-$A$15,AR$13)="",10^12,OFFSET(CRONOPLE!$F$15,$M223-$A$15,AR$13)))</f>
        <v>1000000000000</v>
      </c>
      <c r="AS223" s="172">
        <f ca="1">IF(OR($D223&lt;&gt;"Serviço",AND(AUTOEVENTO="Manual",$M223=$A$15)),0,
         IF(OFFSET(CRONOPLE!$F$15,$M223-$A$15,AS$13)="",10^12,OFFSET(CRONOPLE!$F$15,$M223-$A$15,AS$13)))</f>
        <v>1000000000000</v>
      </c>
      <c r="AT223" s="172">
        <f ca="1">IF(OR($D223&lt;&gt;"Serviço",AND(AUTOEVENTO="Manual",$M223=$A$15)),0,
         IF(OFFSET(CRONOPLE!$F$15,$M223-$A$15,AT$13)="",10^12,OFFSET(CRONOPLE!$F$15,$M223-$A$15,AT$13)))</f>
        <v>1000000000000</v>
      </c>
      <c r="AU223" s="172">
        <f ca="1">IF(OR($D223&lt;&gt;"Serviço",AND(AUTOEVENTO="Manual",$M223=$A$15)),0,
         IF(OFFSET(CRONOPLE!$F$15,$M223-$A$15,AU$13)="",10^12,OFFSET(CRONOPLE!$F$15,$M223-$A$15,AU$13)))</f>
        <v>1000000000000</v>
      </c>
      <c r="AV223" s="172">
        <f ca="1">IF(OR($D223&lt;&gt;"Serviço",AND(AUTOEVENTO="Manual",$M223=$A$15)),0,
         IF(OFFSET(CRONOPLE!$F$15,$M223-$A$15,AV$13)="",10^12,OFFSET(CRONOPLE!$F$15,$M223-$A$15,AV$13)))</f>
        <v>1000000000000</v>
      </c>
      <c r="AX223" s="173">
        <f ca="1">IF(OR($D223&lt;&gt;"Serviço",AND(AUTOEVENTO="Manual",$M223=$A$15),$M223&gt;(ROW(PLE.lastrow)-ROW(PLE.firstrow))),0,
           IF(OFFSET(PLE!$G$15,$M223-$A$15,AX$13)="",10^12,OFFSET(PLE!$G$15,$M223-$A$15,AX$13)))</f>
        <v>1000000000000</v>
      </c>
      <c r="AY223" s="173">
        <f ca="1">IF(OR($D223&lt;&gt;"Serviço",AND(AUTOEVENTO="Manual",$M223=$A$15),$M223&gt;(ROW(PLE.lastrow)-ROW(PLE.firstrow))),0,
           IF(OFFSET(PLE!$G$15,$M223-$A$15,AY$13)="",10^12,OFFSET(PLE!$G$15,$M223-$A$15,AY$13)))</f>
        <v>1000000000000</v>
      </c>
      <c r="AZ223" s="173">
        <f ca="1">IF(OR($D223&lt;&gt;"Serviço",AND(AUTOEVENTO="Manual",$M223=$A$15),$M223&gt;(ROW(PLE.lastrow)-ROW(PLE.firstrow))),0,
           IF(OFFSET(PLE!$G$15,$M223-$A$15,AZ$13)="",10^12,OFFSET(PLE!$G$15,$M223-$A$15,AZ$13)))</f>
        <v>1000000000000</v>
      </c>
      <c r="BA223" s="173">
        <f ca="1">IF(OR($D223&lt;&gt;"Serviço",AND(AUTOEVENTO="Manual",$M223=$A$15),$M223&gt;(ROW(PLE.lastrow)-ROW(PLE.firstrow))),0,
           IF(OFFSET(PLE!$G$15,$M223-$A$15,BA$13)="",10^12,OFFSET(PLE!$G$15,$M223-$A$15,BA$13)))</f>
        <v>1000000000000</v>
      </c>
      <c r="BB223" s="173">
        <f ca="1">IF(OR($D223&lt;&gt;"Serviço",AND(AUTOEVENTO="Manual",$M223=$A$15),$M223&gt;(ROW(PLE.lastrow)-ROW(PLE.firstrow))),0,
           IF(OFFSET(PLE!$G$15,$M223-$A$15,BB$13)="",10^12,OFFSET(PLE!$G$15,$M223-$A$15,BB$13)))</f>
        <v>1000000000000</v>
      </c>
      <c r="BC223" s="173">
        <f ca="1">IF(OR($D223&lt;&gt;"Serviço",AND(AUTOEVENTO="Manual",$M223=$A$15),$M223&gt;(ROW(PLE.lastrow)-ROW(PLE.firstrow))),0,
           IF(OFFSET(PLE!$G$15,$M223-$A$15,BC$13)="",10^12,OFFSET(PLE!$G$15,$M223-$A$15,BC$13)))</f>
        <v>1000000000000</v>
      </c>
      <c r="BD223" s="173">
        <f ca="1">IF(OR($D223&lt;&gt;"Serviço",AND(AUTOEVENTO="Manual",$M223=$A$15),$M223&gt;(ROW(PLE.lastrow)-ROW(PLE.firstrow))),0,
           IF(OFFSET(PLE!$G$15,$M223-$A$15,BD$13)="",10^12,OFFSET(PLE!$G$15,$M223-$A$15,BD$13)))</f>
        <v>1000000000000</v>
      </c>
      <c r="BE223" s="173">
        <f ca="1">IF(OR($D223&lt;&gt;"Serviço",AND(AUTOEVENTO="Manual",$M223=$A$15),$M223&gt;(ROW(PLE.lastrow)-ROW(PLE.firstrow))),0,
           IF(OFFSET(PLE!$G$15,$M223-$A$15,BE$13)="",10^12,OFFSET(PLE!$G$15,$M223-$A$15,BE$13)))</f>
        <v>1000000000000</v>
      </c>
      <c r="BF223" s="173">
        <f ca="1">IF(OR($D223&lt;&gt;"Serviço",AND(AUTOEVENTO="Manual",$M223=$A$15),$M223&gt;(ROW(PLE.lastrow)-ROW(PLE.firstrow))),0,
           IF(OFFSET(PLE!$G$15,$M223-$A$15,BF$13)="",10^12,OFFSET(PLE!$G$15,$M223-$A$15,BF$13)))</f>
        <v>1000000000000</v>
      </c>
      <c r="BG223" s="173">
        <f ca="1">IF(OR($D223&lt;&gt;"Serviço",AND(AUTOEVENTO="Manual",$M223=$A$15),$M223&gt;(ROW(PLE.lastrow)-ROW(PLE.firstrow))),0,
           IF(OFFSET(PLE!$G$15,$M223-$A$15,BG$13)="",10^12,OFFSET(PLE!$G$15,$M223-$A$15,BG$13)))</f>
        <v>1000000000000</v>
      </c>
    </row>
    <row r="224" spans="1:59" ht="38.25" x14ac:dyDescent="0.2">
      <c r="A224" s="7" t="str">
        <f t="shared" ca="1" si="11"/>
        <v>203</v>
      </c>
      <c r="B224" s="7" t="str">
        <f ca="1">OFFSET(ORÇAMENTO!C$15,ROW(B224)-ROW(B$15),0)</f>
        <v>S</v>
      </c>
      <c r="C224" s="7" t="str">
        <f ca="1">OFFSET(ORÇAMENTO!L$15,ROW(C224)-ROW(C$15),0)</f>
        <v/>
      </c>
      <c r="D224" s="117" t="str">
        <f ca="1">OFFSET(ORÇAMENTO!N$15,ROW(D224)-ROW(D$15),0)</f>
        <v>Serviço</v>
      </c>
      <c r="E224" s="118" t="str">
        <f ca="1">OFFSET(ORÇAMENTO!O$15,ROW(E224)-ROW(E$15),0)</f>
        <v>-</v>
      </c>
      <c r="F224" s="164" t="str">
        <f ca="1">OFFSET(ORÇAMENTO!R$15,ROW(F224)-ROW(F$15),0)</f>
        <v>CONTRAPISO EM ARGAMASSA PRONTA, PREPARO MANUAL, APLICADO EM ÁREAS MOLHADAS SOBRE LAJE, ADERIDO, ACABAMENTO NÃO REFORÇADO, ESPESSURA 2CM. AF_07/2021</v>
      </c>
      <c r="G224" s="165" t="str">
        <f ca="1">IF($D224&lt;&gt;"Serviço","",OFFSET(ORÇAMENTO!S$15,ROW(G224)-ROW(G$15),0))</f>
        <v>M2</v>
      </c>
      <c r="H224" s="123">
        <f ca="1">IF($D224&lt;&gt;"Serviço",0,IF(ACOMPANHAMENTO="BM",ROUND(OFFSET(ORÇAMENTO!AJ$15,ROW(H224)-ROW(H$15),0),15-13*ORÇAMENTO!$AF$7),SUMPRODUCT(($Q$1:$AA$1=1)*ROUND($Q224:$AA224,15-13*ORÇAMENTO!$AF$7))))</f>
        <v>550</v>
      </c>
      <c r="I224" s="469"/>
      <c r="J224" s="577" t="str" cm="1">
        <f t="array" aca="1" ref="J224" ca="1">IF(B224&lt;&gt;"S","",IF(AND(ACOMPANHAMENTO="PLE",AUTOEVENTO="Manual",OR(H224&gt;0,ORÇAMENTO!AC224="QUANT."),OR(K224="",M224=0,N224="")),"►",IF(AND(ACOMPANHAMENTO="PLE",ORÇAMENTO!AC224="QUANT."),"►►",IF(AND(COUNTIF($P$11:$AA$11,"▼")=0,H224&gt;0,I224=""),"◄",""))))</f>
        <v>◄</v>
      </c>
      <c r="K224" s="626"/>
      <c r="L224" s="166" t="s">
        <v>765</v>
      </c>
      <c r="M224" s="167">
        <f ca="1">IF($D224&lt;&gt;"Serviço","",
          IF(AUTOEVENTO="manual",$A224,
                IF(ISERROR(MATCH($A224,$A$15:OFFSET($A224,-1,0),0)),MAX($M$15:OFFSET(M224,-1,0))+1,
                      INDEX($M$15:OFFSET(M224,-1,0),MATCH($A224,$A$15:OFFSET($A224,-1,0),0)))))</f>
        <v>12</v>
      </c>
      <c r="N224" s="168" t="str">
        <f ca="1">IF($D224&lt;&gt;"Serviço","",
         IF(AUTOEVENTO="Manual",
                IF($A224=0,"&lt;-- defina o número do agrupador",
                       OFFSET(EVENTOS!$D$15,$A224-$A$15,0)),
                OFFSET($F$15,$A224,0)))</f>
        <v>REVESTIMENTOS</v>
      </c>
      <c r="O224" s="169"/>
      <c r="Q224" s="169"/>
      <c r="R224" s="170"/>
      <c r="S224" s="170"/>
      <c r="T224" s="170"/>
      <c r="U224" s="170"/>
      <c r="V224" s="170"/>
      <c r="W224" s="170"/>
      <c r="X224" s="170"/>
      <c r="Y224" s="170"/>
      <c r="Z224" s="171"/>
      <c r="AB224" s="454">
        <f ca="1">IF(AND($D224="Serviço",AB$12&lt;&gt;0,$H224&gt;0,OR(AUTOEVENTO&lt;&gt;"manual",$M224&lt;&gt;$A$15)),
        IF(Import.TipoArredondamento&lt;&gt;"TransfereGOV",
              ROUND(OFFSET($P224,0,AB$13),15-13*ORÇAMENTO!$AF$7)/$H224*OFFSET(ORÇAMENTO!$X$15,ROW(AB224)-ROW(AB$15),0),
              ROUND(ROUND(OFFSET($P224,0,AB$13),15-13*ORÇAMENTO!$AF$7)*OFFSET(ORÇAMENTO!$W$15,ROW(AB224)-ROW(AB$15),0),15-13*ORÇAMENTO!$AF$11)),
         0)</f>
        <v>0</v>
      </c>
      <c r="AC224" s="454">
        <f ca="1">IF(AND($D224="Serviço",AC$12&lt;&gt;0,$H224&gt;0,OR(AUTOEVENTO&lt;&gt;"manual",$M224&lt;&gt;$A$15)),
        IF(Import.TipoArredondamento&lt;&gt;"TransfereGOV",
              ROUND(OFFSET($P224,0,AC$13),15-13*ORÇAMENTO!$AF$7)/$H224*OFFSET(ORÇAMENTO!$X$15,ROW(AC224)-ROW(AC$15),0),
              ROUND(ROUND(OFFSET($P224,0,AC$13),15-13*ORÇAMENTO!$AF$7)*OFFSET(ORÇAMENTO!$W$15,ROW(AC224)-ROW(AC$15),0),15-13*ORÇAMENTO!$AF$11)),
         0)</f>
        <v>0</v>
      </c>
      <c r="AD224" s="454">
        <f ca="1">IF(AND($D224="Serviço",AD$12&lt;&gt;0,$H224&gt;0,OR(AUTOEVENTO&lt;&gt;"manual",$M224&lt;&gt;$A$15)),
        IF(Import.TipoArredondamento&lt;&gt;"TransfereGOV",
              ROUND(OFFSET($P224,0,AD$13),15-13*ORÇAMENTO!$AF$7)/$H224*OFFSET(ORÇAMENTO!$X$15,ROW(AD224)-ROW(AD$15),0),
              ROUND(ROUND(OFFSET($P224,0,AD$13),15-13*ORÇAMENTO!$AF$7)*OFFSET(ORÇAMENTO!$W$15,ROW(AD224)-ROW(AD$15),0),15-13*ORÇAMENTO!$AF$11)),
         0)</f>
        <v>0</v>
      </c>
      <c r="AE224" s="454">
        <f ca="1">IF(AND($D224="Serviço",AE$12&lt;&gt;0,$H224&gt;0,OR(AUTOEVENTO&lt;&gt;"manual",$M224&lt;&gt;$A$15)),
        IF(Import.TipoArredondamento&lt;&gt;"TransfereGOV",
              ROUND(OFFSET($P224,0,AE$13),15-13*ORÇAMENTO!$AF$7)/$H224*OFFSET(ORÇAMENTO!$X$15,ROW(AE224)-ROW(AE$15),0),
              ROUND(ROUND(OFFSET($P224,0,AE$13),15-13*ORÇAMENTO!$AF$7)*OFFSET(ORÇAMENTO!$W$15,ROW(AE224)-ROW(AE$15),0),15-13*ORÇAMENTO!$AF$11)),
         0)</f>
        <v>0</v>
      </c>
      <c r="AF224" s="454">
        <f ca="1">IF(AND($D224="Serviço",AF$12&lt;&gt;0,$H224&gt;0,OR(AUTOEVENTO&lt;&gt;"manual",$M224&lt;&gt;$A$15)),
        IF(Import.TipoArredondamento&lt;&gt;"TransfereGOV",
              ROUND(OFFSET($P224,0,AF$13),15-13*ORÇAMENTO!$AF$7)/$H224*OFFSET(ORÇAMENTO!$X$15,ROW(AF224)-ROW(AF$15),0),
              ROUND(ROUND(OFFSET($P224,0,AF$13),15-13*ORÇAMENTO!$AF$7)*OFFSET(ORÇAMENTO!$W$15,ROW(AF224)-ROW(AF$15),0),15-13*ORÇAMENTO!$AF$11)),
         0)</f>
        <v>0</v>
      </c>
      <c r="AG224" s="454">
        <f ca="1">IF(AND($D224="Serviço",AG$12&lt;&gt;0,$H224&gt;0,OR(AUTOEVENTO&lt;&gt;"manual",$M224&lt;&gt;$A$15)),
        IF(Import.TipoArredondamento&lt;&gt;"TransfereGOV",
              ROUND(OFFSET($P224,0,AG$13),15-13*ORÇAMENTO!$AF$7)/$H224*OFFSET(ORÇAMENTO!$X$15,ROW(AG224)-ROW(AG$15),0),
              ROUND(ROUND(OFFSET($P224,0,AG$13),15-13*ORÇAMENTO!$AF$7)*OFFSET(ORÇAMENTO!$W$15,ROW(AG224)-ROW(AG$15),0),15-13*ORÇAMENTO!$AF$11)),
         0)</f>
        <v>0</v>
      </c>
      <c r="AH224" s="454">
        <f ca="1">IF(AND($D224="Serviço",AH$12&lt;&gt;0,$H224&gt;0,OR(AUTOEVENTO&lt;&gt;"manual",$M224&lt;&gt;$A$15)),
        IF(Import.TipoArredondamento&lt;&gt;"TransfereGOV",
              ROUND(OFFSET($P224,0,AH$13),15-13*ORÇAMENTO!$AF$7)/$H224*OFFSET(ORÇAMENTO!$X$15,ROW(AH224)-ROW(AH$15),0),
              ROUND(ROUND(OFFSET($P224,0,AH$13),15-13*ORÇAMENTO!$AF$7)*OFFSET(ORÇAMENTO!$W$15,ROW(AH224)-ROW(AH$15),0),15-13*ORÇAMENTO!$AF$11)),
         0)</f>
        <v>0</v>
      </c>
      <c r="AI224" s="454">
        <f ca="1">IF(AND($D224="Serviço",AI$12&lt;&gt;0,$H224&gt;0,OR(AUTOEVENTO&lt;&gt;"manual",$M224&lt;&gt;$A$15)),
        IF(Import.TipoArredondamento&lt;&gt;"TransfereGOV",
              ROUND(OFFSET($P224,0,AI$13),15-13*ORÇAMENTO!$AF$7)/$H224*OFFSET(ORÇAMENTO!$X$15,ROW(AI224)-ROW(AI$15),0),
              ROUND(ROUND(OFFSET($P224,0,AI$13),15-13*ORÇAMENTO!$AF$7)*OFFSET(ORÇAMENTO!$W$15,ROW(AI224)-ROW(AI$15),0),15-13*ORÇAMENTO!$AF$11)),
         0)</f>
        <v>0</v>
      </c>
      <c r="AJ224" s="454">
        <f ca="1">IF(AND($D224="Serviço",AJ$12&lt;&gt;0,$H224&gt;0,OR(AUTOEVENTO&lt;&gt;"manual",$M224&lt;&gt;$A$15)),
        IF(Import.TipoArredondamento&lt;&gt;"TransfereGOV",
              ROUND(OFFSET($P224,0,AJ$13),15-13*ORÇAMENTO!$AF$7)/$H224*OFFSET(ORÇAMENTO!$X$15,ROW(AJ224)-ROW(AJ$15),0),
              ROUND(ROUND(OFFSET($P224,0,AJ$13),15-13*ORÇAMENTO!$AF$7)*OFFSET(ORÇAMENTO!$W$15,ROW(AJ224)-ROW(AJ$15),0),15-13*ORÇAMENTO!$AF$11)),
         0)</f>
        <v>0</v>
      </c>
      <c r="AK224" s="454">
        <f ca="1">IF(AND($D224="Serviço",AK$12&lt;&gt;0,$H224&gt;0,OR(AUTOEVENTO&lt;&gt;"manual",$M224&lt;&gt;$A$15)),
        IF(Import.TipoArredondamento&lt;&gt;"TransfereGOV",
              ROUND(OFFSET($P224,0,AK$13),15-13*ORÇAMENTO!$AF$7)/$H224*OFFSET(ORÇAMENTO!$X$15,ROW(AK224)-ROW(AK$15),0),
              ROUND(ROUND(OFFSET($P224,0,AK$13),15-13*ORÇAMENTO!$AF$7)*OFFSET(ORÇAMENTO!$W$15,ROW(AK224)-ROW(AK$15),0),15-13*ORÇAMENTO!$AF$11)),
         0)</f>
        <v>0</v>
      </c>
      <c r="AM224" s="172">
        <f ca="1">IF(OR($D224&lt;&gt;"Serviço",AND(AUTOEVENTO="Manual",$M224=$A$15)),0,
         IF(OFFSET(CRONOPLE!$F$15,$M224-$A$15,AM$13)="",10^12,OFFSET(CRONOPLE!$F$15,$M224-$A$15,AM$13)))</f>
        <v>1000000000000</v>
      </c>
      <c r="AN224" s="172">
        <f ca="1">IF(OR($D224&lt;&gt;"Serviço",AND(AUTOEVENTO="Manual",$M224=$A$15)),0,
         IF(OFFSET(CRONOPLE!$F$15,$M224-$A$15,AN$13)="",10^12,OFFSET(CRONOPLE!$F$15,$M224-$A$15,AN$13)))</f>
        <v>1000000000000</v>
      </c>
      <c r="AO224" s="172">
        <f ca="1">IF(OR($D224&lt;&gt;"Serviço",AND(AUTOEVENTO="Manual",$M224=$A$15)),0,
         IF(OFFSET(CRONOPLE!$F$15,$M224-$A$15,AO$13)="",10^12,OFFSET(CRONOPLE!$F$15,$M224-$A$15,AO$13)))</f>
        <v>1000000000000</v>
      </c>
      <c r="AP224" s="172">
        <f ca="1">IF(OR($D224&lt;&gt;"Serviço",AND(AUTOEVENTO="Manual",$M224=$A$15)),0,
         IF(OFFSET(CRONOPLE!$F$15,$M224-$A$15,AP$13)="",10^12,OFFSET(CRONOPLE!$F$15,$M224-$A$15,AP$13)))</f>
        <v>1000000000000</v>
      </c>
      <c r="AQ224" s="172">
        <f ca="1">IF(OR($D224&lt;&gt;"Serviço",AND(AUTOEVENTO="Manual",$M224=$A$15)),0,
         IF(OFFSET(CRONOPLE!$F$15,$M224-$A$15,AQ$13)="",10^12,OFFSET(CRONOPLE!$F$15,$M224-$A$15,AQ$13)))</f>
        <v>1000000000000</v>
      </c>
      <c r="AR224" s="172">
        <f ca="1">IF(OR($D224&lt;&gt;"Serviço",AND(AUTOEVENTO="Manual",$M224=$A$15)),0,
         IF(OFFSET(CRONOPLE!$F$15,$M224-$A$15,AR$13)="",10^12,OFFSET(CRONOPLE!$F$15,$M224-$A$15,AR$13)))</f>
        <v>1000000000000</v>
      </c>
      <c r="AS224" s="172">
        <f ca="1">IF(OR($D224&lt;&gt;"Serviço",AND(AUTOEVENTO="Manual",$M224=$A$15)),0,
         IF(OFFSET(CRONOPLE!$F$15,$M224-$A$15,AS$13)="",10^12,OFFSET(CRONOPLE!$F$15,$M224-$A$15,AS$13)))</f>
        <v>1000000000000</v>
      </c>
      <c r="AT224" s="172">
        <f ca="1">IF(OR($D224&lt;&gt;"Serviço",AND(AUTOEVENTO="Manual",$M224=$A$15)),0,
         IF(OFFSET(CRONOPLE!$F$15,$M224-$A$15,AT$13)="",10^12,OFFSET(CRONOPLE!$F$15,$M224-$A$15,AT$13)))</f>
        <v>1000000000000</v>
      </c>
      <c r="AU224" s="172">
        <f ca="1">IF(OR($D224&lt;&gt;"Serviço",AND(AUTOEVENTO="Manual",$M224=$A$15)),0,
         IF(OFFSET(CRONOPLE!$F$15,$M224-$A$15,AU$13)="",10^12,OFFSET(CRONOPLE!$F$15,$M224-$A$15,AU$13)))</f>
        <v>1000000000000</v>
      </c>
      <c r="AV224" s="172">
        <f ca="1">IF(OR($D224&lt;&gt;"Serviço",AND(AUTOEVENTO="Manual",$M224=$A$15)),0,
         IF(OFFSET(CRONOPLE!$F$15,$M224-$A$15,AV$13)="",10^12,OFFSET(CRONOPLE!$F$15,$M224-$A$15,AV$13)))</f>
        <v>1000000000000</v>
      </c>
      <c r="AX224" s="173">
        <f ca="1">IF(OR($D224&lt;&gt;"Serviço",AND(AUTOEVENTO="Manual",$M224=$A$15),$M224&gt;(ROW(PLE.lastrow)-ROW(PLE.firstrow))),0,
           IF(OFFSET(PLE!$G$15,$M224-$A$15,AX$13)="",10^12,OFFSET(PLE!$G$15,$M224-$A$15,AX$13)))</f>
        <v>1000000000000</v>
      </c>
      <c r="AY224" s="173">
        <f ca="1">IF(OR($D224&lt;&gt;"Serviço",AND(AUTOEVENTO="Manual",$M224=$A$15),$M224&gt;(ROW(PLE.lastrow)-ROW(PLE.firstrow))),0,
           IF(OFFSET(PLE!$G$15,$M224-$A$15,AY$13)="",10^12,OFFSET(PLE!$G$15,$M224-$A$15,AY$13)))</f>
        <v>1000000000000</v>
      </c>
      <c r="AZ224" s="173">
        <f ca="1">IF(OR($D224&lt;&gt;"Serviço",AND(AUTOEVENTO="Manual",$M224=$A$15),$M224&gt;(ROW(PLE.lastrow)-ROW(PLE.firstrow))),0,
           IF(OFFSET(PLE!$G$15,$M224-$A$15,AZ$13)="",10^12,OFFSET(PLE!$G$15,$M224-$A$15,AZ$13)))</f>
        <v>1000000000000</v>
      </c>
      <c r="BA224" s="173">
        <f ca="1">IF(OR($D224&lt;&gt;"Serviço",AND(AUTOEVENTO="Manual",$M224=$A$15),$M224&gt;(ROW(PLE.lastrow)-ROW(PLE.firstrow))),0,
           IF(OFFSET(PLE!$G$15,$M224-$A$15,BA$13)="",10^12,OFFSET(PLE!$G$15,$M224-$A$15,BA$13)))</f>
        <v>1000000000000</v>
      </c>
      <c r="BB224" s="173">
        <f ca="1">IF(OR($D224&lt;&gt;"Serviço",AND(AUTOEVENTO="Manual",$M224=$A$15),$M224&gt;(ROW(PLE.lastrow)-ROW(PLE.firstrow))),0,
           IF(OFFSET(PLE!$G$15,$M224-$A$15,BB$13)="",10^12,OFFSET(PLE!$G$15,$M224-$A$15,BB$13)))</f>
        <v>1000000000000</v>
      </c>
      <c r="BC224" s="173">
        <f ca="1">IF(OR($D224&lt;&gt;"Serviço",AND(AUTOEVENTO="Manual",$M224=$A$15),$M224&gt;(ROW(PLE.lastrow)-ROW(PLE.firstrow))),0,
           IF(OFFSET(PLE!$G$15,$M224-$A$15,BC$13)="",10^12,OFFSET(PLE!$G$15,$M224-$A$15,BC$13)))</f>
        <v>1000000000000</v>
      </c>
      <c r="BD224" s="173">
        <f ca="1">IF(OR($D224&lt;&gt;"Serviço",AND(AUTOEVENTO="Manual",$M224=$A$15),$M224&gt;(ROW(PLE.lastrow)-ROW(PLE.firstrow))),0,
           IF(OFFSET(PLE!$G$15,$M224-$A$15,BD$13)="",10^12,OFFSET(PLE!$G$15,$M224-$A$15,BD$13)))</f>
        <v>1000000000000</v>
      </c>
      <c r="BE224" s="173">
        <f ca="1">IF(OR($D224&lt;&gt;"Serviço",AND(AUTOEVENTO="Manual",$M224=$A$15),$M224&gt;(ROW(PLE.lastrow)-ROW(PLE.firstrow))),0,
           IF(OFFSET(PLE!$G$15,$M224-$A$15,BE$13)="",10^12,OFFSET(PLE!$G$15,$M224-$A$15,BE$13)))</f>
        <v>1000000000000</v>
      </c>
      <c r="BF224" s="173">
        <f ca="1">IF(OR($D224&lt;&gt;"Serviço",AND(AUTOEVENTO="Manual",$M224=$A$15),$M224&gt;(ROW(PLE.lastrow)-ROW(PLE.firstrow))),0,
           IF(OFFSET(PLE!$G$15,$M224-$A$15,BF$13)="",10^12,OFFSET(PLE!$G$15,$M224-$A$15,BF$13)))</f>
        <v>1000000000000</v>
      </c>
      <c r="BG224" s="173">
        <f ca="1">IF(OR($D224&lt;&gt;"Serviço",AND(AUTOEVENTO="Manual",$M224=$A$15),$M224&gt;(ROW(PLE.lastrow)-ROW(PLE.firstrow))),0,
           IF(OFFSET(PLE!$G$15,$M224-$A$15,BG$13)="",10^12,OFFSET(PLE!$G$15,$M224-$A$15,BG$13)))</f>
        <v>1000000000000</v>
      </c>
    </row>
    <row r="225" spans="1:59" ht="12.75" x14ac:dyDescent="0.2">
      <c r="A225" s="7" t="str">
        <f t="shared" ca="1" si="11"/>
        <v>210.</v>
      </c>
      <c r="B225" s="7">
        <f ca="1">OFFSET(ORÇAMENTO!C$15,ROW(B225)-ROW(B$15),0)</f>
        <v>2</v>
      </c>
      <c r="C225" s="7" t="str">
        <f ca="1">OFFSET(ORÇAMENTO!L$15,ROW(C225)-ROW(C$15),0)</f>
        <v>F</v>
      </c>
      <c r="D225" s="117" t="str">
        <f ca="1">OFFSET(ORÇAMENTO!N$15,ROW(D225)-ROW(D$15),0)</f>
        <v>Nível 2</v>
      </c>
      <c r="E225" s="118" t="str">
        <f ca="1">OFFSET(ORÇAMENTO!O$15,ROW(E225)-ROW(E$15),0)</f>
        <v>1.13.</v>
      </c>
      <c r="F225" s="164" t="str">
        <f ca="1">OFFSET(ORÇAMENTO!R$15,ROW(F225)-ROW(F$15),0)</f>
        <v>LOUÇAS E ACESSÓRIOS</v>
      </c>
      <c r="G225" s="165" t="str">
        <f ca="1">IF($D225&lt;&gt;"Serviço","",OFFSET(ORÇAMENTO!S$15,ROW(G225)-ROW(G$15),0))</f>
        <v/>
      </c>
      <c r="H225" s="123">
        <f ca="1">IF($D225&lt;&gt;"Serviço",0,IF(ACOMPANHAMENTO="BM",ROUND(OFFSET(ORÇAMENTO!AJ$15,ROW(H225)-ROW(H$15),0),15-13*ORÇAMENTO!$AF$7),SUMPRODUCT(($Q$1:$AA$1=1)*ROUND($Q225:$AA225,15-13*ORÇAMENTO!$AF$7))))</f>
        <v>0</v>
      </c>
      <c r="I225" s="469"/>
      <c r="J225" s="577" t="str" cm="1">
        <f t="array" aca="1" ref="J225" ca="1">IF(B225&lt;&gt;"S","",IF(AND(ACOMPANHAMENTO="PLE",AUTOEVENTO="Manual",OR(H225&gt;0,ORÇAMENTO!AC225="QUANT."),OR(K225="",M225=0,N225="")),"►",IF(AND(ACOMPANHAMENTO="PLE",ORÇAMENTO!AC225="QUANT."),"►►",IF(AND(COUNTIF($P$11:$AA$11,"▼")=0,H225&gt;0,I225=""),"◄",""))))</f>
        <v/>
      </c>
      <c r="K225" s="626"/>
      <c r="L225" s="166" t="s">
        <v>765</v>
      </c>
      <c r="M225" s="167" t="str">
        <f ca="1">IF($D225&lt;&gt;"Serviço","",
          IF(AUTOEVENTO="manual",$A225,
                IF(ISERROR(MATCH($A225,$A$15:OFFSET($A225,-1,0),0)),MAX($M$15:OFFSET(M225,-1,0))+1,
                      INDEX($M$15:OFFSET(M225,-1,0),MATCH($A225,$A$15:OFFSET($A225,-1,0),0)))))</f>
        <v/>
      </c>
      <c r="N225" s="168" t="str">
        <f ca="1">IF($D225&lt;&gt;"Serviço","",
         IF(AUTOEVENTO="Manual",
                IF($A225=0,"&lt;-- defina o número do agrupador",
                       OFFSET(EVENTOS!$D$15,$A225-$A$15,0)),
                OFFSET($F$15,$A225,0)))</f>
        <v/>
      </c>
      <c r="O225" s="169"/>
      <c r="Q225" s="169"/>
      <c r="R225" s="170"/>
      <c r="S225" s="170"/>
      <c r="T225" s="170"/>
      <c r="U225" s="170"/>
      <c r="V225" s="170"/>
      <c r="W225" s="170"/>
      <c r="X225" s="170"/>
      <c r="Y225" s="170"/>
      <c r="Z225" s="171"/>
      <c r="AB225" s="454">
        <f ca="1">IF(AND($D225="Serviço",AB$12&lt;&gt;0,$H225&gt;0,OR(AUTOEVENTO&lt;&gt;"manual",$M225&lt;&gt;$A$15)),
        IF(Import.TipoArredondamento&lt;&gt;"TransfereGOV",
              ROUND(OFFSET($P225,0,AB$13),15-13*ORÇAMENTO!$AF$7)/$H225*OFFSET(ORÇAMENTO!$X$15,ROW(AB225)-ROW(AB$15),0),
              ROUND(ROUND(OFFSET($P225,0,AB$13),15-13*ORÇAMENTO!$AF$7)*OFFSET(ORÇAMENTO!$W$15,ROW(AB225)-ROW(AB$15),0),15-13*ORÇAMENTO!$AF$11)),
         0)</f>
        <v>0</v>
      </c>
      <c r="AC225" s="454">
        <f ca="1">IF(AND($D225="Serviço",AC$12&lt;&gt;0,$H225&gt;0,OR(AUTOEVENTO&lt;&gt;"manual",$M225&lt;&gt;$A$15)),
        IF(Import.TipoArredondamento&lt;&gt;"TransfereGOV",
              ROUND(OFFSET($P225,0,AC$13),15-13*ORÇAMENTO!$AF$7)/$H225*OFFSET(ORÇAMENTO!$X$15,ROW(AC225)-ROW(AC$15),0),
              ROUND(ROUND(OFFSET($P225,0,AC$13),15-13*ORÇAMENTO!$AF$7)*OFFSET(ORÇAMENTO!$W$15,ROW(AC225)-ROW(AC$15),0),15-13*ORÇAMENTO!$AF$11)),
         0)</f>
        <v>0</v>
      </c>
      <c r="AD225" s="454">
        <f ca="1">IF(AND($D225="Serviço",AD$12&lt;&gt;0,$H225&gt;0,OR(AUTOEVENTO&lt;&gt;"manual",$M225&lt;&gt;$A$15)),
        IF(Import.TipoArredondamento&lt;&gt;"TransfereGOV",
              ROUND(OFFSET($P225,0,AD$13),15-13*ORÇAMENTO!$AF$7)/$H225*OFFSET(ORÇAMENTO!$X$15,ROW(AD225)-ROW(AD$15),0),
              ROUND(ROUND(OFFSET($P225,0,AD$13),15-13*ORÇAMENTO!$AF$7)*OFFSET(ORÇAMENTO!$W$15,ROW(AD225)-ROW(AD$15),0),15-13*ORÇAMENTO!$AF$11)),
         0)</f>
        <v>0</v>
      </c>
      <c r="AE225" s="454">
        <f ca="1">IF(AND($D225="Serviço",AE$12&lt;&gt;0,$H225&gt;0,OR(AUTOEVENTO&lt;&gt;"manual",$M225&lt;&gt;$A$15)),
        IF(Import.TipoArredondamento&lt;&gt;"TransfereGOV",
              ROUND(OFFSET($P225,0,AE$13),15-13*ORÇAMENTO!$AF$7)/$H225*OFFSET(ORÇAMENTO!$X$15,ROW(AE225)-ROW(AE$15),0),
              ROUND(ROUND(OFFSET($P225,0,AE$13),15-13*ORÇAMENTO!$AF$7)*OFFSET(ORÇAMENTO!$W$15,ROW(AE225)-ROW(AE$15),0),15-13*ORÇAMENTO!$AF$11)),
         0)</f>
        <v>0</v>
      </c>
      <c r="AF225" s="454">
        <f ca="1">IF(AND($D225="Serviço",AF$12&lt;&gt;0,$H225&gt;0,OR(AUTOEVENTO&lt;&gt;"manual",$M225&lt;&gt;$A$15)),
        IF(Import.TipoArredondamento&lt;&gt;"TransfereGOV",
              ROUND(OFFSET($P225,0,AF$13),15-13*ORÇAMENTO!$AF$7)/$H225*OFFSET(ORÇAMENTO!$X$15,ROW(AF225)-ROW(AF$15),0),
              ROUND(ROUND(OFFSET($P225,0,AF$13),15-13*ORÇAMENTO!$AF$7)*OFFSET(ORÇAMENTO!$W$15,ROW(AF225)-ROW(AF$15),0),15-13*ORÇAMENTO!$AF$11)),
         0)</f>
        <v>0</v>
      </c>
      <c r="AG225" s="454">
        <f ca="1">IF(AND($D225="Serviço",AG$12&lt;&gt;0,$H225&gt;0,OR(AUTOEVENTO&lt;&gt;"manual",$M225&lt;&gt;$A$15)),
        IF(Import.TipoArredondamento&lt;&gt;"TransfereGOV",
              ROUND(OFFSET($P225,0,AG$13),15-13*ORÇAMENTO!$AF$7)/$H225*OFFSET(ORÇAMENTO!$X$15,ROW(AG225)-ROW(AG$15),0),
              ROUND(ROUND(OFFSET($P225,0,AG$13),15-13*ORÇAMENTO!$AF$7)*OFFSET(ORÇAMENTO!$W$15,ROW(AG225)-ROW(AG$15),0),15-13*ORÇAMENTO!$AF$11)),
         0)</f>
        <v>0</v>
      </c>
      <c r="AH225" s="454">
        <f ca="1">IF(AND($D225="Serviço",AH$12&lt;&gt;0,$H225&gt;0,OR(AUTOEVENTO&lt;&gt;"manual",$M225&lt;&gt;$A$15)),
        IF(Import.TipoArredondamento&lt;&gt;"TransfereGOV",
              ROUND(OFFSET($P225,0,AH$13),15-13*ORÇAMENTO!$AF$7)/$H225*OFFSET(ORÇAMENTO!$X$15,ROW(AH225)-ROW(AH$15),0),
              ROUND(ROUND(OFFSET($P225,0,AH$13),15-13*ORÇAMENTO!$AF$7)*OFFSET(ORÇAMENTO!$W$15,ROW(AH225)-ROW(AH$15),0),15-13*ORÇAMENTO!$AF$11)),
         0)</f>
        <v>0</v>
      </c>
      <c r="AI225" s="454">
        <f ca="1">IF(AND($D225="Serviço",AI$12&lt;&gt;0,$H225&gt;0,OR(AUTOEVENTO&lt;&gt;"manual",$M225&lt;&gt;$A$15)),
        IF(Import.TipoArredondamento&lt;&gt;"TransfereGOV",
              ROUND(OFFSET($P225,0,AI$13),15-13*ORÇAMENTO!$AF$7)/$H225*OFFSET(ORÇAMENTO!$X$15,ROW(AI225)-ROW(AI$15),0),
              ROUND(ROUND(OFFSET($P225,0,AI$13),15-13*ORÇAMENTO!$AF$7)*OFFSET(ORÇAMENTO!$W$15,ROW(AI225)-ROW(AI$15),0),15-13*ORÇAMENTO!$AF$11)),
         0)</f>
        <v>0</v>
      </c>
      <c r="AJ225" s="454">
        <f ca="1">IF(AND($D225="Serviço",AJ$12&lt;&gt;0,$H225&gt;0,OR(AUTOEVENTO&lt;&gt;"manual",$M225&lt;&gt;$A$15)),
        IF(Import.TipoArredondamento&lt;&gt;"TransfereGOV",
              ROUND(OFFSET($P225,0,AJ$13),15-13*ORÇAMENTO!$AF$7)/$H225*OFFSET(ORÇAMENTO!$X$15,ROW(AJ225)-ROW(AJ$15),0),
              ROUND(ROUND(OFFSET($P225,0,AJ$13),15-13*ORÇAMENTO!$AF$7)*OFFSET(ORÇAMENTO!$W$15,ROW(AJ225)-ROW(AJ$15),0),15-13*ORÇAMENTO!$AF$11)),
         0)</f>
        <v>0</v>
      </c>
      <c r="AK225" s="454">
        <f ca="1">IF(AND($D225="Serviço",AK$12&lt;&gt;0,$H225&gt;0,OR(AUTOEVENTO&lt;&gt;"manual",$M225&lt;&gt;$A$15)),
        IF(Import.TipoArredondamento&lt;&gt;"TransfereGOV",
              ROUND(OFFSET($P225,0,AK$13),15-13*ORÇAMENTO!$AF$7)/$H225*OFFSET(ORÇAMENTO!$X$15,ROW(AK225)-ROW(AK$15),0),
              ROUND(ROUND(OFFSET($P225,0,AK$13),15-13*ORÇAMENTO!$AF$7)*OFFSET(ORÇAMENTO!$W$15,ROW(AK225)-ROW(AK$15),0),15-13*ORÇAMENTO!$AF$11)),
         0)</f>
        <v>0</v>
      </c>
      <c r="AM225" s="172">
        <f ca="1">IF(OR($D225&lt;&gt;"Serviço",AND(AUTOEVENTO="Manual",$M225=$A$15)),0,
         IF(OFFSET(CRONOPLE!$F$15,$M225-$A$15,AM$13)="",10^12,OFFSET(CRONOPLE!$F$15,$M225-$A$15,AM$13)))</f>
        <v>0</v>
      </c>
      <c r="AN225" s="172">
        <f ca="1">IF(OR($D225&lt;&gt;"Serviço",AND(AUTOEVENTO="Manual",$M225=$A$15)),0,
         IF(OFFSET(CRONOPLE!$F$15,$M225-$A$15,AN$13)="",10^12,OFFSET(CRONOPLE!$F$15,$M225-$A$15,AN$13)))</f>
        <v>0</v>
      </c>
      <c r="AO225" s="172">
        <f ca="1">IF(OR($D225&lt;&gt;"Serviço",AND(AUTOEVENTO="Manual",$M225=$A$15)),0,
         IF(OFFSET(CRONOPLE!$F$15,$M225-$A$15,AO$13)="",10^12,OFFSET(CRONOPLE!$F$15,$M225-$A$15,AO$13)))</f>
        <v>0</v>
      </c>
      <c r="AP225" s="172">
        <f ca="1">IF(OR($D225&lt;&gt;"Serviço",AND(AUTOEVENTO="Manual",$M225=$A$15)),0,
         IF(OFFSET(CRONOPLE!$F$15,$M225-$A$15,AP$13)="",10^12,OFFSET(CRONOPLE!$F$15,$M225-$A$15,AP$13)))</f>
        <v>0</v>
      </c>
      <c r="AQ225" s="172">
        <f ca="1">IF(OR($D225&lt;&gt;"Serviço",AND(AUTOEVENTO="Manual",$M225=$A$15)),0,
         IF(OFFSET(CRONOPLE!$F$15,$M225-$A$15,AQ$13)="",10^12,OFFSET(CRONOPLE!$F$15,$M225-$A$15,AQ$13)))</f>
        <v>0</v>
      </c>
      <c r="AR225" s="172">
        <f ca="1">IF(OR($D225&lt;&gt;"Serviço",AND(AUTOEVENTO="Manual",$M225=$A$15)),0,
         IF(OFFSET(CRONOPLE!$F$15,$M225-$A$15,AR$13)="",10^12,OFFSET(CRONOPLE!$F$15,$M225-$A$15,AR$13)))</f>
        <v>0</v>
      </c>
      <c r="AS225" s="172">
        <f ca="1">IF(OR($D225&lt;&gt;"Serviço",AND(AUTOEVENTO="Manual",$M225=$A$15)),0,
         IF(OFFSET(CRONOPLE!$F$15,$M225-$A$15,AS$13)="",10^12,OFFSET(CRONOPLE!$F$15,$M225-$A$15,AS$13)))</f>
        <v>0</v>
      </c>
      <c r="AT225" s="172">
        <f ca="1">IF(OR($D225&lt;&gt;"Serviço",AND(AUTOEVENTO="Manual",$M225=$A$15)),0,
         IF(OFFSET(CRONOPLE!$F$15,$M225-$A$15,AT$13)="",10^12,OFFSET(CRONOPLE!$F$15,$M225-$A$15,AT$13)))</f>
        <v>0</v>
      </c>
      <c r="AU225" s="172">
        <f ca="1">IF(OR($D225&lt;&gt;"Serviço",AND(AUTOEVENTO="Manual",$M225=$A$15)),0,
         IF(OFFSET(CRONOPLE!$F$15,$M225-$A$15,AU$13)="",10^12,OFFSET(CRONOPLE!$F$15,$M225-$A$15,AU$13)))</f>
        <v>0</v>
      </c>
      <c r="AV225" s="172">
        <f ca="1">IF(OR($D225&lt;&gt;"Serviço",AND(AUTOEVENTO="Manual",$M225=$A$15)),0,
         IF(OFFSET(CRONOPLE!$F$15,$M225-$A$15,AV$13)="",10^12,OFFSET(CRONOPLE!$F$15,$M225-$A$15,AV$13)))</f>
        <v>0</v>
      </c>
      <c r="AX225" s="173">
        <f ca="1">IF(OR($D225&lt;&gt;"Serviço",AND(AUTOEVENTO="Manual",$M225=$A$15),$M225&gt;(ROW(PLE.lastrow)-ROW(PLE.firstrow))),0,
           IF(OFFSET(PLE!$G$15,$M225-$A$15,AX$13)="",10^12,OFFSET(PLE!$G$15,$M225-$A$15,AX$13)))</f>
        <v>0</v>
      </c>
      <c r="AY225" s="173">
        <f ca="1">IF(OR($D225&lt;&gt;"Serviço",AND(AUTOEVENTO="Manual",$M225=$A$15),$M225&gt;(ROW(PLE.lastrow)-ROW(PLE.firstrow))),0,
           IF(OFFSET(PLE!$G$15,$M225-$A$15,AY$13)="",10^12,OFFSET(PLE!$G$15,$M225-$A$15,AY$13)))</f>
        <v>0</v>
      </c>
      <c r="AZ225" s="173">
        <f ca="1">IF(OR($D225&lt;&gt;"Serviço",AND(AUTOEVENTO="Manual",$M225=$A$15),$M225&gt;(ROW(PLE.lastrow)-ROW(PLE.firstrow))),0,
           IF(OFFSET(PLE!$G$15,$M225-$A$15,AZ$13)="",10^12,OFFSET(PLE!$G$15,$M225-$A$15,AZ$13)))</f>
        <v>0</v>
      </c>
      <c r="BA225" s="173">
        <f ca="1">IF(OR($D225&lt;&gt;"Serviço",AND(AUTOEVENTO="Manual",$M225=$A$15),$M225&gt;(ROW(PLE.lastrow)-ROW(PLE.firstrow))),0,
           IF(OFFSET(PLE!$G$15,$M225-$A$15,BA$13)="",10^12,OFFSET(PLE!$G$15,$M225-$A$15,BA$13)))</f>
        <v>0</v>
      </c>
      <c r="BB225" s="173">
        <f ca="1">IF(OR($D225&lt;&gt;"Serviço",AND(AUTOEVENTO="Manual",$M225=$A$15),$M225&gt;(ROW(PLE.lastrow)-ROW(PLE.firstrow))),0,
           IF(OFFSET(PLE!$G$15,$M225-$A$15,BB$13)="",10^12,OFFSET(PLE!$G$15,$M225-$A$15,BB$13)))</f>
        <v>0</v>
      </c>
      <c r="BC225" s="173">
        <f ca="1">IF(OR($D225&lt;&gt;"Serviço",AND(AUTOEVENTO="Manual",$M225=$A$15),$M225&gt;(ROW(PLE.lastrow)-ROW(PLE.firstrow))),0,
           IF(OFFSET(PLE!$G$15,$M225-$A$15,BC$13)="",10^12,OFFSET(PLE!$G$15,$M225-$A$15,BC$13)))</f>
        <v>0</v>
      </c>
      <c r="BD225" s="173">
        <f ca="1">IF(OR($D225&lt;&gt;"Serviço",AND(AUTOEVENTO="Manual",$M225=$A$15),$M225&gt;(ROW(PLE.lastrow)-ROW(PLE.firstrow))),0,
           IF(OFFSET(PLE!$G$15,$M225-$A$15,BD$13)="",10^12,OFFSET(PLE!$G$15,$M225-$A$15,BD$13)))</f>
        <v>0</v>
      </c>
      <c r="BE225" s="173">
        <f ca="1">IF(OR($D225&lt;&gt;"Serviço",AND(AUTOEVENTO="Manual",$M225=$A$15),$M225&gt;(ROW(PLE.lastrow)-ROW(PLE.firstrow))),0,
           IF(OFFSET(PLE!$G$15,$M225-$A$15,BE$13)="",10^12,OFFSET(PLE!$G$15,$M225-$A$15,BE$13)))</f>
        <v>0</v>
      </c>
      <c r="BF225" s="173">
        <f ca="1">IF(OR($D225&lt;&gt;"Serviço",AND(AUTOEVENTO="Manual",$M225=$A$15),$M225&gt;(ROW(PLE.lastrow)-ROW(PLE.firstrow))),0,
           IF(OFFSET(PLE!$G$15,$M225-$A$15,BF$13)="",10^12,OFFSET(PLE!$G$15,$M225-$A$15,BF$13)))</f>
        <v>0</v>
      </c>
      <c r="BG225" s="173">
        <f ca="1">IF(OR($D225&lt;&gt;"Serviço",AND(AUTOEVENTO="Manual",$M225=$A$15),$M225&gt;(ROW(PLE.lastrow)-ROW(PLE.firstrow))),0,
           IF(OFFSET(PLE!$G$15,$M225-$A$15,BG$13)="",10^12,OFFSET(PLE!$G$15,$M225-$A$15,BG$13)))</f>
        <v>0</v>
      </c>
    </row>
    <row r="226" spans="1:59" ht="38.25" x14ac:dyDescent="0.2">
      <c r="A226" s="7" t="str">
        <f t="shared" ca="1" si="11"/>
        <v>210</v>
      </c>
      <c r="B226" s="7" t="str">
        <f ca="1">OFFSET(ORÇAMENTO!C$15,ROW(B226)-ROW(B$15),0)</f>
        <v>S</v>
      </c>
      <c r="C226" s="7" t="str">
        <f ca="1">OFFSET(ORÇAMENTO!L$15,ROW(C226)-ROW(C$15),0)</f>
        <v/>
      </c>
      <c r="D226" s="117" t="str">
        <f ca="1">OFFSET(ORÇAMENTO!N$15,ROW(D226)-ROW(D$15),0)</f>
        <v>Serviço</v>
      </c>
      <c r="E226" s="118" t="str">
        <f ca="1">OFFSET(ORÇAMENTO!O$15,ROW(E226)-ROW(E$15),0)</f>
        <v>-</v>
      </c>
      <c r="F226" s="164" t="str">
        <f ca="1">OFFSET(ORÇAMENTO!R$15,ROW(F226)-ROW(F$15),0)</f>
        <v>VASO SANITÁRIO SIFONADO COM CAIXA ACOPLADA LOUÇA BRANCA - PADRÃO MÉDIO, INCLUSO ENGATE FLEXÍVEL EM METAL CROMADO, 1/2  X 40CM - FORNECIMENTO E INSTALAÇÃO. AF_01/2020</v>
      </c>
      <c r="G226" s="165" t="str">
        <f ca="1">IF($D226&lt;&gt;"Serviço","",OFFSET(ORÇAMENTO!S$15,ROW(G226)-ROW(G$15),0))</f>
        <v>UN</v>
      </c>
      <c r="H226" s="123">
        <f ca="1">IF($D226&lt;&gt;"Serviço",0,IF(ACOMPANHAMENTO="BM",ROUND(OFFSET(ORÇAMENTO!AJ$15,ROW(H226)-ROW(H$15),0),15-13*ORÇAMENTO!$AF$7),SUMPRODUCT(($Q$1:$AA$1=1)*ROUND($Q226:$AA226,15-13*ORÇAMENTO!$AF$7))))</f>
        <v>5</v>
      </c>
      <c r="I226" s="469"/>
      <c r="J226" s="577" t="str" cm="1">
        <f t="array" aca="1" ref="J226" ca="1">IF(B226&lt;&gt;"S","",IF(AND(ACOMPANHAMENTO="PLE",AUTOEVENTO="Manual",OR(H226&gt;0,ORÇAMENTO!AC226="QUANT."),OR(K226="",M226=0,N226="")),"►",IF(AND(ACOMPANHAMENTO="PLE",ORÇAMENTO!AC226="QUANT."),"►►",IF(AND(COUNTIF($P$11:$AA$11,"▼")=0,H226&gt;0,I226=""),"◄",""))))</f>
        <v>◄</v>
      </c>
      <c r="K226" s="626"/>
      <c r="L226" s="166" t="s">
        <v>765</v>
      </c>
      <c r="M226" s="167">
        <f ca="1">IF($D226&lt;&gt;"Serviço","",
          IF(AUTOEVENTO="manual",$A226,
                IF(ISERROR(MATCH($A226,$A$15:OFFSET($A226,-1,0),0)),MAX($M$15:OFFSET(M226,-1,0))+1,
                      INDEX($M$15:OFFSET(M226,-1,0),MATCH($A226,$A$15:OFFSET($A226,-1,0),0)))))</f>
        <v>13</v>
      </c>
      <c r="N226" s="168" t="str">
        <f ca="1">IF($D226&lt;&gt;"Serviço","",
         IF(AUTOEVENTO="Manual",
                IF($A226=0,"&lt;-- defina o número do agrupador",
                       OFFSET(EVENTOS!$D$15,$A226-$A$15,0)),
                OFFSET($F$15,$A226,0)))</f>
        <v>LOUÇAS E ACESSÓRIOS</v>
      </c>
      <c r="O226" s="169"/>
      <c r="Q226" s="169"/>
      <c r="R226" s="170"/>
      <c r="S226" s="170"/>
      <c r="T226" s="170"/>
      <c r="U226" s="170"/>
      <c r="V226" s="170"/>
      <c r="W226" s="170"/>
      <c r="X226" s="170"/>
      <c r="Y226" s="170"/>
      <c r="Z226" s="171"/>
      <c r="AB226" s="454">
        <f ca="1">IF(AND($D226="Serviço",AB$12&lt;&gt;0,$H226&gt;0,OR(AUTOEVENTO&lt;&gt;"manual",$M226&lt;&gt;$A$15)),
        IF(Import.TipoArredondamento&lt;&gt;"TransfereGOV",
              ROUND(OFFSET($P226,0,AB$13),15-13*ORÇAMENTO!$AF$7)/$H226*OFFSET(ORÇAMENTO!$X$15,ROW(AB226)-ROW(AB$15),0),
              ROUND(ROUND(OFFSET($P226,0,AB$13),15-13*ORÇAMENTO!$AF$7)*OFFSET(ORÇAMENTO!$W$15,ROW(AB226)-ROW(AB$15),0),15-13*ORÇAMENTO!$AF$11)),
         0)</f>
        <v>0</v>
      </c>
      <c r="AC226" s="454">
        <f ca="1">IF(AND($D226="Serviço",AC$12&lt;&gt;0,$H226&gt;0,OR(AUTOEVENTO&lt;&gt;"manual",$M226&lt;&gt;$A$15)),
        IF(Import.TipoArredondamento&lt;&gt;"TransfereGOV",
              ROUND(OFFSET($P226,0,AC$13),15-13*ORÇAMENTO!$AF$7)/$H226*OFFSET(ORÇAMENTO!$X$15,ROW(AC226)-ROW(AC$15),0),
              ROUND(ROUND(OFFSET($P226,0,AC$13),15-13*ORÇAMENTO!$AF$7)*OFFSET(ORÇAMENTO!$W$15,ROW(AC226)-ROW(AC$15),0),15-13*ORÇAMENTO!$AF$11)),
         0)</f>
        <v>0</v>
      </c>
      <c r="AD226" s="454">
        <f ca="1">IF(AND($D226="Serviço",AD$12&lt;&gt;0,$H226&gt;0,OR(AUTOEVENTO&lt;&gt;"manual",$M226&lt;&gt;$A$15)),
        IF(Import.TipoArredondamento&lt;&gt;"TransfereGOV",
              ROUND(OFFSET($P226,0,AD$13),15-13*ORÇAMENTO!$AF$7)/$H226*OFFSET(ORÇAMENTO!$X$15,ROW(AD226)-ROW(AD$15),0),
              ROUND(ROUND(OFFSET($P226,0,AD$13),15-13*ORÇAMENTO!$AF$7)*OFFSET(ORÇAMENTO!$W$15,ROW(AD226)-ROW(AD$15),0),15-13*ORÇAMENTO!$AF$11)),
         0)</f>
        <v>0</v>
      </c>
      <c r="AE226" s="454">
        <f ca="1">IF(AND($D226="Serviço",AE$12&lt;&gt;0,$H226&gt;0,OR(AUTOEVENTO&lt;&gt;"manual",$M226&lt;&gt;$A$15)),
        IF(Import.TipoArredondamento&lt;&gt;"TransfereGOV",
              ROUND(OFFSET($P226,0,AE$13),15-13*ORÇAMENTO!$AF$7)/$H226*OFFSET(ORÇAMENTO!$X$15,ROW(AE226)-ROW(AE$15),0),
              ROUND(ROUND(OFFSET($P226,0,AE$13),15-13*ORÇAMENTO!$AF$7)*OFFSET(ORÇAMENTO!$W$15,ROW(AE226)-ROW(AE$15),0),15-13*ORÇAMENTO!$AF$11)),
         0)</f>
        <v>0</v>
      </c>
      <c r="AF226" s="454">
        <f ca="1">IF(AND($D226="Serviço",AF$12&lt;&gt;0,$H226&gt;0,OR(AUTOEVENTO&lt;&gt;"manual",$M226&lt;&gt;$A$15)),
        IF(Import.TipoArredondamento&lt;&gt;"TransfereGOV",
              ROUND(OFFSET($P226,0,AF$13),15-13*ORÇAMENTO!$AF$7)/$H226*OFFSET(ORÇAMENTO!$X$15,ROW(AF226)-ROW(AF$15),0),
              ROUND(ROUND(OFFSET($P226,0,AF$13),15-13*ORÇAMENTO!$AF$7)*OFFSET(ORÇAMENTO!$W$15,ROW(AF226)-ROW(AF$15),0),15-13*ORÇAMENTO!$AF$11)),
         0)</f>
        <v>0</v>
      </c>
      <c r="AG226" s="454">
        <f ca="1">IF(AND($D226="Serviço",AG$12&lt;&gt;0,$H226&gt;0,OR(AUTOEVENTO&lt;&gt;"manual",$M226&lt;&gt;$A$15)),
        IF(Import.TipoArredondamento&lt;&gt;"TransfereGOV",
              ROUND(OFFSET($P226,0,AG$13),15-13*ORÇAMENTO!$AF$7)/$H226*OFFSET(ORÇAMENTO!$X$15,ROW(AG226)-ROW(AG$15),0),
              ROUND(ROUND(OFFSET($P226,0,AG$13),15-13*ORÇAMENTO!$AF$7)*OFFSET(ORÇAMENTO!$W$15,ROW(AG226)-ROW(AG$15),0),15-13*ORÇAMENTO!$AF$11)),
         0)</f>
        <v>0</v>
      </c>
      <c r="AH226" s="454">
        <f ca="1">IF(AND($D226="Serviço",AH$12&lt;&gt;0,$H226&gt;0,OR(AUTOEVENTO&lt;&gt;"manual",$M226&lt;&gt;$A$15)),
        IF(Import.TipoArredondamento&lt;&gt;"TransfereGOV",
              ROUND(OFFSET($P226,0,AH$13),15-13*ORÇAMENTO!$AF$7)/$H226*OFFSET(ORÇAMENTO!$X$15,ROW(AH226)-ROW(AH$15),0),
              ROUND(ROUND(OFFSET($P226,0,AH$13),15-13*ORÇAMENTO!$AF$7)*OFFSET(ORÇAMENTO!$W$15,ROW(AH226)-ROW(AH$15),0),15-13*ORÇAMENTO!$AF$11)),
         0)</f>
        <v>0</v>
      </c>
      <c r="AI226" s="454">
        <f ca="1">IF(AND($D226="Serviço",AI$12&lt;&gt;0,$H226&gt;0,OR(AUTOEVENTO&lt;&gt;"manual",$M226&lt;&gt;$A$15)),
        IF(Import.TipoArredondamento&lt;&gt;"TransfereGOV",
              ROUND(OFFSET($P226,0,AI$13),15-13*ORÇAMENTO!$AF$7)/$H226*OFFSET(ORÇAMENTO!$X$15,ROW(AI226)-ROW(AI$15),0),
              ROUND(ROUND(OFFSET($P226,0,AI$13),15-13*ORÇAMENTO!$AF$7)*OFFSET(ORÇAMENTO!$W$15,ROW(AI226)-ROW(AI$15),0),15-13*ORÇAMENTO!$AF$11)),
         0)</f>
        <v>0</v>
      </c>
      <c r="AJ226" s="454">
        <f ca="1">IF(AND($D226="Serviço",AJ$12&lt;&gt;0,$H226&gt;0,OR(AUTOEVENTO&lt;&gt;"manual",$M226&lt;&gt;$A$15)),
        IF(Import.TipoArredondamento&lt;&gt;"TransfereGOV",
              ROUND(OFFSET($P226,0,AJ$13),15-13*ORÇAMENTO!$AF$7)/$H226*OFFSET(ORÇAMENTO!$X$15,ROW(AJ226)-ROW(AJ$15),0),
              ROUND(ROUND(OFFSET($P226,0,AJ$13),15-13*ORÇAMENTO!$AF$7)*OFFSET(ORÇAMENTO!$W$15,ROW(AJ226)-ROW(AJ$15),0),15-13*ORÇAMENTO!$AF$11)),
         0)</f>
        <v>0</v>
      </c>
      <c r="AK226" s="454">
        <f ca="1">IF(AND($D226="Serviço",AK$12&lt;&gt;0,$H226&gt;0,OR(AUTOEVENTO&lt;&gt;"manual",$M226&lt;&gt;$A$15)),
        IF(Import.TipoArredondamento&lt;&gt;"TransfereGOV",
              ROUND(OFFSET($P226,0,AK$13),15-13*ORÇAMENTO!$AF$7)/$H226*OFFSET(ORÇAMENTO!$X$15,ROW(AK226)-ROW(AK$15),0),
              ROUND(ROUND(OFFSET($P226,0,AK$13),15-13*ORÇAMENTO!$AF$7)*OFFSET(ORÇAMENTO!$W$15,ROW(AK226)-ROW(AK$15),0),15-13*ORÇAMENTO!$AF$11)),
         0)</f>
        <v>0</v>
      </c>
      <c r="AM226" s="172">
        <f ca="1">IF(OR($D226&lt;&gt;"Serviço",AND(AUTOEVENTO="Manual",$M226=$A$15)),0,
         IF(OFFSET(CRONOPLE!$F$15,$M226-$A$15,AM$13)="",10^12,OFFSET(CRONOPLE!$F$15,$M226-$A$15,AM$13)))</f>
        <v>1000000000000</v>
      </c>
      <c r="AN226" s="172">
        <f ca="1">IF(OR($D226&lt;&gt;"Serviço",AND(AUTOEVENTO="Manual",$M226=$A$15)),0,
         IF(OFFSET(CRONOPLE!$F$15,$M226-$A$15,AN$13)="",10^12,OFFSET(CRONOPLE!$F$15,$M226-$A$15,AN$13)))</f>
        <v>1000000000000</v>
      </c>
      <c r="AO226" s="172">
        <f ca="1">IF(OR($D226&lt;&gt;"Serviço",AND(AUTOEVENTO="Manual",$M226=$A$15)),0,
         IF(OFFSET(CRONOPLE!$F$15,$M226-$A$15,AO$13)="",10^12,OFFSET(CRONOPLE!$F$15,$M226-$A$15,AO$13)))</f>
        <v>1000000000000</v>
      </c>
      <c r="AP226" s="172">
        <f ca="1">IF(OR($D226&lt;&gt;"Serviço",AND(AUTOEVENTO="Manual",$M226=$A$15)),0,
         IF(OFFSET(CRONOPLE!$F$15,$M226-$A$15,AP$13)="",10^12,OFFSET(CRONOPLE!$F$15,$M226-$A$15,AP$13)))</f>
        <v>1000000000000</v>
      </c>
      <c r="AQ226" s="172">
        <f ca="1">IF(OR($D226&lt;&gt;"Serviço",AND(AUTOEVENTO="Manual",$M226=$A$15)),0,
         IF(OFFSET(CRONOPLE!$F$15,$M226-$A$15,AQ$13)="",10^12,OFFSET(CRONOPLE!$F$15,$M226-$A$15,AQ$13)))</f>
        <v>1000000000000</v>
      </c>
      <c r="AR226" s="172">
        <f ca="1">IF(OR($D226&lt;&gt;"Serviço",AND(AUTOEVENTO="Manual",$M226=$A$15)),0,
         IF(OFFSET(CRONOPLE!$F$15,$M226-$A$15,AR$13)="",10^12,OFFSET(CRONOPLE!$F$15,$M226-$A$15,AR$13)))</f>
        <v>1000000000000</v>
      </c>
      <c r="AS226" s="172">
        <f ca="1">IF(OR($D226&lt;&gt;"Serviço",AND(AUTOEVENTO="Manual",$M226=$A$15)),0,
         IF(OFFSET(CRONOPLE!$F$15,$M226-$A$15,AS$13)="",10^12,OFFSET(CRONOPLE!$F$15,$M226-$A$15,AS$13)))</f>
        <v>1000000000000</v>
      </c>
      <c r="AT226" s="172">
        <f ca="1">IF(OR($D226&lt;&gt;"Serviço",AND(AUTOEVENTO="Manual",$M226=$A$15)),0,
         IF(OFFSET(CRONOPLE!$F$15,$M226-$A$15,AT$13)="",10^12,OFFSET(CRONOPLE!$F$15,$M226-$A$15,AT$13)))</f>
        <v>1000000000000</v>
      </c>
      <c r="AU226" s="172">
        <f ca="1">IF(OR($D226&lt;&gt;"Serviço",AND(AUTOEVENTO="Manual",$M226=$A$15)),0,
         IF(OFFSET(CRONOPLE!$F$15,$M226-$A$15,AU$13)="",10^12,OFFSET(CRONOPLE!$F$15,$M226-$A$15,AU$13)))</f>
        <v>1000000000000</v>
      </c>
      <c r="AV226" s="172">
        <f ca="1">IF(OR($D226&lt;&gt;"Serviço",AND(AUTOEVENTO="Manual",$M226=$A$15)),0,
         IF(OFFSET(CRONOPLE!$F$15,$M226-$A$15,AV$13)="",10^12,OFFSET(CRONOPLE!$F$15,$M226-$A$15,AV$13)))</f>
        <v>1000000000000</v>
      </c>
      <c r="AX226" s="173">
        <f ca="1">IF(OR($D226&lt;&gt;"Serviço",AND(AUTOEVENTO="Manual",$M226=$A$15),$M226&gt;(ROW(PLE.lastrow)-ROW(PLE.firstrow))),0,
           IF(OFFSET(PLE!$G$15,$M226-$A$15,AX$13)="",10^12,OFFSET(PLE!$G$15,$M226-$A$15,AX$13)))</f>
        <v>1000000000000</v>
      </c>
      <c r="AY226" s="173">
        <f ca="1">IF(OR($D226&lt;&gt;"Serviço",AND(AUTOEVENTO="Manual",$M226=$A$15),$M226&gt;(ROW(PLE.lastrow)-ROW(PLE.firstrow))),0,
           IF(OFFSET(PLE!$G$15,$M226-$A$15,AY$13)="",10^12,OFFSET(PLE!$G$15,$M226-$A$15,AY$13)))</f>
        <v>1000000000000</v>
      </c>
      <c r="AZ226" s="173">
        <f ca="1">IF(OR($D226&lt;&gt;"Serviço",AND(AUTOEVENTO="Manual",$M226=$A$15),$M226&gt;(ROW(PLE.lastrow)-ROW(PLE.firstrow))),0,
           IF(OFFSET(PLE!$G$15,$M226-$A$15,AZ$13)="",10^12,OFFSET(PLE!$G$15,$M226-$A$15,AZ$13)))</f>
        <v>1000000000000</v>
      </c>
      <c r="BA226" s="173">
        <f ca="1">IF(OR($D226&lt;&gt;"Serviço",AND(AUTOEVENTO="Manual",$M226=$A$15),$M226&gt;(ROW(PLE.lastrow)-ROW(PLE.firstrow))),0,
           IF(OFFSET(PLE!$G$15,$M226-$A$15,BA$13)="",10^12,OFFSET(PLE!$G$15,$M226-$A$15,BA$13)))</f>
        <v>1000000000000</v>
      </c>
      <c r="BB226" s="173">
        <f ca="1">IF(OR($D226&lt;&gt;"Serviço",AND(AUTOEVENTO="Manual",$M226=$A$15),$M226&gt;(ROW(PLE.lastrow)-ROW(PLE.firstrow))),0,
           IF(OFFSET(PLE!$G$15,$M226-$A$15,BB$13)="",10^12,OFFSET(PLE!$G$15,$M226-$A$15,BB$13)))</f>
        <v>1000000000000</v>
      </c>
      <c r="BC226" s="173">
        <f ca="1">IF(OR($D226&lt;&gt;"Serviço",AND(AUTOEVENTO="Manual",$M226=$A$15),$M226&gt;(ROW(PLE.lastrow)-ROW(PLE.firstrow))),0,
           IF(OFFSET(PLE!$G$15,$M226-$A$15,BC$13)="",10^12,OFFSET(PLE!$G$15,$M226-$A$15,BC$13)))</f>
        <v>1000000000000</v>
      </c>
      <c r="BD226" s="173">
        <f ca="1">IF(OR($D226&lt;&gt;"Serviço",AND(AUTOEVENTO="Manual",$M226=$A$15),$M226&gt;(ROW(PLE.lastrow)-ROW(PLE.firstrow))),0,
           IF(OFFSET(PLE!$G$15,$M226-$A$15,BD$13)="",10^12,OFFSET(PLE!$G$15,$M226-$A$15,BD$13)))</f>
        <v>1000000000000</v>
      </c>
      <c r="BE226" s="173">
        <f ca="1">IF(OR($D226&lt;&gt;"Serviço",AND(AUTOEVENTO="Manual",$M226=$A$15),$M226&gt;(ROW(PLE.lastrow)-ROW(PLE.firstrow))),0,
           IF(OFFSET(PLE!$G$15,$M226-$A$15,BE$13)="",10^12,OFFSET(PLE!$G$15,$M226-$A$15,BE$13)))</f>
        <v>1000000000000</v>
      </c>
      <c r="BF226" s="173">
        <f ca="1">IF(OR($D226&lt;&gt;"Serviço",AND(AUTOEVENTO="Manual",$M226=$A$15),$M226&gt;(ROW(PLE.lastrow)-ROW(PLE.firstrow))),0,
           IF(OFFSET(PLE!$G$15,$M226-$A$15,BF$13)="",10^12,OFFSET(PLE!$G$15,$M226-$A$15,BF$13)))</f>
        <v>1000000000000</v>
      </c>
      <c r="BG226" s="173">
        <f ca="1">IF(OR($D226&lt;&gt;"Serviço",AND(AUTOEVENTO="Manual",$M226=$A$15),$M226&gt;(ROW(PLE.lastrow)-ROW(PLE.firstrow))),0,
           IF(OFFSET(PLE!$G$15,$M226-$A$15,BG$13)="",10^12,OFFSET(PLE!$G$15,$M226-$A$15,BG$13)))</f>
        <v>1000000000000</v>
      </c>
    </row>
    <row r="227" spans="1:59" ht="25.5" x14ac:dyDescent="0.2">
      <c r="A227" s="7" t="str">
        <f t="shared" ca="1" si="11"/>
        <v>210</v>
      </c>
      <c r="B227" s="7" t="str">
        <f ca="1">OFFSET(ORÇAMENTO!C$15,ROW(B227)-ROW(B$15),0)</f>
        <v>S</v>
      </c>
      <c r="C227" s="7" t="str">
        <f ca="1">OFFSET(ORÇAMENTO!L$15,ROW(C227)-ROW(C$15),0)</f>
        <v/>
      </c>
      <c r="D227" s="117" t="str">
        <f ca="1">OFFSET(ORÇAMENTO!N$15,ROW(D227)-ROW(D$15),0)</f>
        <v>Serviço</v>
      </c>
      <c r="E227" s="118" t="str">
        <f ca="1">OFFSET(ORÇAMENTO!O$15,ROW(E227)-ROW(E$15),0)</f>
        <v>-</v>
      </c>
      <c r="F227" s="164" t="str">
        <f ca="1">OFFSET(ORÇAMENTO!R$15,ROW(F227)-ROW(F$15),0)</f>
        <v>VASO SANITÁRIO INFANTIL LOUÇA BRANCA - FORNECIMENTO E INSTALACAO. AF_01/2020</v>
      </c>
      <c r="G227" s="165" t="str">
        <f ca="1">IF($D227&lt;&gt;"Serviço","",OFFSET(ORÇAMENTO!S$15,ROW(G227)-ROW(G$15),0))</f>
        <v>UN</v>
      </c>
      <c r="H227" s="123">
        <f ca="1">IF($D227&lt;&gt;"Serviço",0,IF(ACOMPANHAMENTO="BM",ROUND(OFFSET(ORÇAMENTO!AJ$15,ROW(H227)-ROW(H$15),0),15-13*ORÇAMENTO!$AF$7),SUMPRODUCT(($Q$1:$AA$1=1)*ROUND($Q227:$AA227,15-13*ORÇAMENTO!$AF$7))))</f>
        <v>16</v>
      </c>
      <c r="I227" s="469"/>
      <c r="J227" s="577" t="str" cm="1">
        <f t="array" aca="1" ref="J227" ca="1">IF(B227&lt;&gt;"S","",IF(AND(ACOMPANHAMENTO="PLE",AUTOEVENTO="Manual",OR(H227&gt;0,ORÇAMENTO!AC227="QUANT."),OR(K227="",M227=0,N227="")),"►",IF(AND(ACOMPANHAMENTO="PLE",ORÇAMENTO!AC227="QUANT."),"►►",IF(AND(COUNTIF($P$11:$AA$11,"▼")=0,H227&gt;0,I227=""),"◄",""))))</f>
        <v>◄</v>
      </c>
      <c r="K227" s="626"/>
      <c r="L227" s="166" t="s">
        <v>765</v>
      </c>
      <c r="M227" s="167">
        <f ca="1">IF($D227&lt;&gt;"Serviço","",
          IF(AUTOEVENTO="manual",$A227,
                IF(ISERROR(MATCH($A227,$A$15:OFFSET($A227,-1,0),0)),MAX($M$15:OFFSET(M227,-1,0))+1,
                      INDEX($M$15:OFFSET(M227,-1,0),MATCH($A227,$A$15:OFFSET($A227,-1,0),0)))))</f>
        <v>13</v>
      </c>
      <c r="N227" s="168" t="str">
        <f ca="1">IF($D227&lt;&gt;"Serviço","",
         IF(AUTOEVENTO="Manual",
                IF($A227=0,"&lt;-- defina o número do agrupador",
                       OFFSET(EVENTOS!$D$15,$A227-$A$15,0)),
                OFFSET($F$15,$A227,0)))</f>
        <v>LOUÇAS E ACESSÓRIOS</v>
      </c>
      <c r="O227" s="169"/>
      <c r="Q227" s="169"/>
      <c r="R227" s="170"/>
      <c r="S227" s="170"/>
      <c r="T227" s="170"/>
      <c r="U227" s="170"/>
      <c r="V227" s="170"/>
      <c r="W227" s="170"/>
      <c r="X227" s="170"/>
      <c r="Y227" s="170"/>
      <c r="Z227" s="171"/>
      <c r="AB227" s="454">
        <f ca="1">IF(AND($D227="Serviço",AB$12&lt;&gt;0,$H227&gt;0,OR(AUTOEVENTO&lt;&gt;"manual",$M227&lt;&gt;$A$15)),
        IF(Import.TipoArredondamento&lt;&gt;"TransfereGOV",
              ROUND(OFFSET($P227,0,AB$13),15-13*ORÇAMENTO!$AF$7)/$H227*OFFSET(ORÇAMENTO!$X$15,ROW(AB227)-ROW(AB$15),0),
              ROUND(ROUND(OFFSET($P227,0,AB$13),15-13*ORÇAMENTO!$AF$7)*OFFSET(ORÇAMENTO!$W$15,ROW(AB227)-ROW(AB$15),0),15-13*ORÇAMENTO!$AF$11)),
         0)</f>
        <v>0</v>
      </c>
      <c r="AC227" s="454">
        <f ca="1">IF(AND($D227="Serviço",AC$12&lt;&gt;0,$H227&gt;0,OR(AUTOEVENTO&lt;&gt;"manual",$M227&lt;&gt;$A$15)),
        IF(Import.TipoArredondamento&lt;&gt;"TransfereGOV",
              ROUND(OFFSET($P227,0,AC$13),15-13*ORÇAMENTO!$AF$7)/$H227*OFFSET(ORÇAMENTO!$X$15,ROW(AC227)-ROW(AC$15),0),
              ROUND(ROUND(OFFSET($P227,0,AC$13),15-13*ORÇAMENTO!$AF$7)*OFFSET(ORÇAMENTO!$W$15,ROW(AC227)-ROW(AC$15),0),15-13*ORÇAMENTO!$AF$11)),
         0)</f>
        <v>0</v>
      </c>
      <c r="AD227" s="454">
        <f ca="1">IF(AND($D227="Serviço",AD$12&lt;&gt;0,$H227&gt;0,OR(AUTOEVENTO&lt;&gt;"manual",$M227&lt;&gt;$A$15)),
        IF(Import.TipoArredondamento&lt;&gt;"TransfereGOV",
              ROUND(OFFSET($P227,0,AD$13),15-13*ORÇAMENTO!$AF$7)/$H227*OFFSET(ORÇAMENTO!$X$15,ROW(AD227)-ROW(AD$15),0),
              ROUND(ROUND(OFFSET($P227,0,AD$13),15-13*ORÇAMENTO!$AF$7)*OFFSET(ORÇAMENTO!$W$15,ROW(AD227)-ROW(AD$15),0),15-13*ORÇAMENTO!$AF$11)),
         0)</f>
        <v>0</v>
      </c>
      <c r="AE227" s="454">
        <f ca="1">IF(AND($D227="Serviço",AE$12&lt;&gt;0,$H227&gt;0,OR(AUTOEVENTO&lt;&gt;"manual",$M227&lt;&gt;$A$15)),
        IF(Import.TipoArredondamento&lt;&gt;"TransfereGOV",
              ROUND(OFFSET($P227,0,AE$13),15-13*ORÇAMENTO!$AF$7)/$H227*OFFSET(ORÇAMENTO!$X$15,ROW(AE227)-ROW(AE$15),0),
              ROUND(ROUND(OFFSET($P227,0,AE$13),15-13*ORÇAMENTO!$AF$7)*OFFSET(ORÇAMENTO!$W$15,ROW(AE227)-ROW(AE$15),0),15-13*ORÇAMENTO!$AF$11)),
         0)</f>
        <v>0</v>
      </c>
      <c r="AF227" s="454">
        <f ca="1">IF(AND($D227="Serviço",AF$12&lt;&gt;0,$H227&gt;0,OR(AUTOEVENTO&lt;&gt;"manual",$M227&lt;&gt;$A$15)),
        IF(Import.TipoArredondamento&lt;&gt;"TransfereGOV",
              ROUND(OFFSET($P227,0,AF$13),15-13*ORÇAMENTO!$AF$7)/$H227*OFFSET(ORÇAMENTO!$X$15,ROW(AF227)-ROW(AF$15),0),
              ROUND(ROUND(OFFSET($P227,0,AF$13),15-13*ORÇAMENTO!$AF$7)*OFFSET(ORÇAMENTO!$W$15,ROW(AF227)-ROW(AF$15),0),15-13*ORÇAMENTO!$AF$11)),
         0)</f>
        <v>0</v>
      </c>
      <c r="AG227" s="454">
        <f ca="1">IF(AND($D227="Serviço",AG$12&lt;&gt;0,$H227&gt;0,OR(AUTOEVENTO&lt;&gt;"manual",$M227&lt;&gt;$A$15)),
        IF(Import.TipoArredondamento&lt;&gt;"TransfereGOV",
              ROUND(OFFSET($P227,0,AG$13),15-13*ORÇAMENTO!$AF$7)/$H227*OFFSET(ORÇAMENTO!$X$15,ROW(AG227)-ROW(AG$15),0),
              ROUND(ROUND(OFFSET($P227,0,AG$13),15-13*ORÇAMENTO!$AF$7)*OFFSET(ORÇAMENTO!$W$15,ROW(AG227)-ROW(AG$15),0),15-13*ORÇAMENTO!$AF$11)),
         0)</f>
        <v>0</v>
      </c>
      <c r="AH227" s="454">
        <f ca="1">IF(AND($D227="Serviço",AH$12&lt;&gt;0,$H227&gt;0,OR(AUTOEVENTO&lt;&gt;"manual",$M227&lt;&gt;$A$15)),
        IF(Import.TipoArredondamento&lt;&gt;"TransfereGOV",
              ROUND(OFFSET($P227,0,AH$13),15-13*ORÇAMENTO!$AF$7)/$H227*OFFSET(ORÇAMENTO!$X$15,ROW(AH227)-ROW(AH$15),0),
              ROUND(ROUND(OFFSET($P227,0,AH$13),15-13*ORÇAMENTO!$AF$7)*OFFSET(ORÇAMENTO!$W$15,ROW(AH227)-ROW(AH$15),0),15-13*ORÇAMENTO!$AF$11)),
         0)</f>
        <v>0</v>
      </c>
      <c r="AI227" s="454">
        <f ca="1">IF(AND($D227="Serviço",AI$12&lt;&gt;0,$H227&gt;0,OR(AUTOEVENTO&lt;&gt;"manual",$M227&lt;&gt;$A$15)),
        IF(Import.TipoArredondamento&lt;&gt;"TransfereGOV",
              ROUND(OFFSET($P227,0,AI$13),15-13*ORÇAMENTO!$AF$7)/$H227*OFFSET(ORÇAMENTO!$X$15,ROW(AI227)-ROW(AI$15),0),
              ROUND(ROUND(OFFSET($P227,0,AI$13),15-13*ORÇAMENTO!$AF$7)*OFFSET(ORÇAMENTO!$W$15,ROW(AI227)-ROW(AI$15),0),15-13*ORÇAMENTO!$AF$11)),
         0)</f>
        <v>0</v>
      </c>
      <c r="AJ227" s="454">
        <f ca="1">IF(AND($D227="Serviço",AJ$12&lt;&gt;0,$H227&gt;0,OR(AUTOEVENTO&lt;&gt;"manual",$M227&lt;&gt;$A$15)),
        IF(Import.TipoArredondamento&lt;&gt;"TransfereGOV",
              ROUND(OFFSET($P227,0,AJ$13),15-13*ORÇAMENTO!$AF$7)/$H227*OFFSET(ORÇAMENTO!$X$15,ROW(AJ227)-ROW(AJ$15),0),
              ROUND(ROUND(OFFSET($P227,0,AJ$13),15-13*ORÇAMENTO!$AF$7)*OFFSET(ORÇAMENTO!$W$15,ROW(AJ227)-ROW(AJ$15),0),15-13*ORÇAMENTO!$AF$11)),
         0)</f>
        <v>0</v>
      </c>
      <c r="AK227" s="454">
        <f ca="1">IF(AND($D227="Serviço",AK$12&lt;&gt;0,$H227&gt;0,OR(AUTOEVENTO&lt;&gt;"manual",$M227&lt;&gt;$A$15)),
        IF(Import.TipoArredondamento&lt;&gt;"TransfereGOV",
              ROUND(OFFSET($P227,0,AK$13),15-13*ORÇAMENTO!$AF$7)/$H227*OFFSET(ORÇAMENTO!$X$15,ROW(AK227)-ROW(AK$15),0),
              ROUND(ROUND(OFFSET($P227,0,AK$13),15-13*ORÇAMENTO!$AF$7)*OFFSET(ORÇAMENTO!$W$15,ROW(AK227)-ROW(AK$15),0),15-13*ORÇAMENTO!$AF$11)),
         0)</f>
        <v>0</v>
      </c>
      <c r="AM227" s="172">
        <f ca="1">IF(OR($D227&lt;&gt;"Serviço",AND(AUTOEVENTO="Manual",$M227=$A$15)),0,
         IF(OFFSET(CRONOPLE!$F$15,$M227-$A$15,AM$13)="",10^12,OFFSET(CRONOPLE!$F$15,$M227-$A$15,AM$13)))</f>
        <v>1000000000000</v>
      </c>
      <c r="AN227" s="172">
        <f ca="1">IF(OR($D227&lt;&gt;"Serviço",AND(AUTOEVENTO="Manual",$M227=$A$15)),0,
         IF(OFFSET(CRONOPLE!$F$15,$M227-$A$15,AN$13)="",10^12,OFFSET(CRONOPLE!$F$15,$M227-$A$15,AN$13)))</f>
        <v>1000000000000</v>
      </c>
      <c r="AO227" s="172">
        <f ca="1">IF(OR($D227&lt;&gt;"Serviço",AND(AUTOEVENTO="Manual",$M227=$A$15)),0,
         IF(OFFSET(CRONOPLE!$F$15,$M227-$A$15,AO$13)="",10^12,OFFSET(CRONOPLE!$F$15,$M227-$A$15,AO$13)))</f>
        <v>1000000000000</v>
      </c>
      <c r="AP227" s="172">
        <f ca="1">IF(OR($D227&lt;&gt;"Serviço",AND(AUTOEVENTO="Manual",$M227=$A$15)),0,
         IF(OFFSET(CRONOPLE!$F$15,$M227-$A$15,AP$13)="",10^12,OFFSET(CRONOPLE!$F$15,$M227-$A$15,AP$13)))</f>
        <v>1000000000000</v>
      </c>
      <c r="AQ227" s="172">
        <f ca="1">IF(OR($D227&lt;&gt;"Serviço",AND(AUTOEVENTO="Manual",$M227=$A$15)),0,
         IF(OFFSET(CRONOPLE!$F$15,$M227-$A$15,AQ$13)="",10^12,OFFSET(CRONOPLE!$F$15,$M227-$A$15,AQ$13)))</f>
        <v>1000000000000</v>
      </c>
      <c r="AR227" s="172">
        <f ca="1">IF(OR($D227&lt;&gt;"Serviço",AND(AUTOEVENTO="Manual",$M227=$A$15)),0,
         IF(OFFSET(CRONOPLE!$F$15,$M227-$A$15,AR$13)="",10^12,OFFSET(CRONOPLE!$F$15,$M227-$A$15,AR$13)))</f>
        <v>1000000000000</v>
      </c>
      <c r="AS227" s="172">
        <f ca="1">IF(OR($D227&lt;&gt;"Serviço",AND(AUTOEVENTO="Manual",$M227=$A$15)),0,
         IF(OFFSET(CRONOPLE!$F$15,$M227-$A$15,AS$13)="",10^12,OFFSET(CRONOPLE!$F$15,$M227-$A$15,AS$13)))</f>
        <v>1000000000000</v>
      </c>
      <c r="AT227" s="172">
        <f ca="1">IF(OR($D227&lt;&gt;"Serviço",AND(AUTOEVENTO="Manual",$M227=$A$15)),0,
         IF(OFFSET(CRONOPLE!$F$15,$M227-$A$15,AT$13)="",10^12,OFFSET(CRONOPLE!$F$15,$M227-$A$15,AT$13)))</f>
        <v>1000000000000</v>
      </c>
      <c r="AU227" s="172">
        <f ca="1">IF(OR($D227&lt;&gt;"Serviço",AND(AUTOEVENTO="Manual",$M227=$A$15)),0,
         IF(OFFSET(CRONOPLE!$F$15,$M227-$A$15,AU$13)="",10^12,OFFSET(CRONOPLE!$F$15,$M227-$A$15,AU$13)))</f>
        <v>1000000000000</v>
      </c>
      <c r="AV227" s="172">
        <f ca="1">IF(OR($D227&lt;&gt;"Serviço",AND(AUTOEVENTO="Manual",$M227=$A$15)),0,
         IF(OFFSET(CRONOPLE!$F$15,$M227-$A$15,AV$13)="",10^12,OFFSET(CRONOPLE!$F$15,$M227-$A$15,AV$13)))</f>
        <v>1000000000000</v>
      </c>
      <c r="AX227" s="173">
        <f ca="1">IF(OR($D227&lt;&gt;"Serviço",AND(AUTOEVENTO="Manual",$M227=$A$15),$M227&gt;(ROW(PLE.lastrow)-ROW(PLE.firstrow))),0,
           IF(OFFSET(PLE!$G$15,$M227-$A$15,AX$13)="",10^12,OFFSET(PLE!$G$15,$M227-$A$15,AX$13)))</f>
        <v>1000000000000</v>
      </c>
      <c r="AY227" s="173">
        <f ca="1">IF(OR($D227&lt;&gt;"Serviço",AND(AUTOEVENTO="Manual",$M227=$A$15),$M227&gt;(ROW(PLE.lastrow)-ROW(PLE.firstrow))),0,
           IF(OFFSET(PLE!$G$15,$M227-$A$15,AY$13)="",10^12,OFFSET(PLE!$G$15,$M227-$A$15,AY$13)))</f>
        <v>1000000000000</v>
      </c>
      <c r="AZ227" s="173">
        <f ca="1">IF(OR($D227&lt;&gt;"Serviço",AND(AUTOEVENTO="Manual",$M227=$A$15),$M227&gt;(ROW(PLE.lastrow)-ROW(PLE.firstrow))),0,
           IF(OFFSET(PLE!$G$15,$M227-$A$15,AZ$13)="",10^12,OFFSET(PLE!$G$15,$M227-$A$15,AZ$13)))</f>
        <v>1000000000000</v>
      </c>
      <c r="BA227" s="173">
        <f ca="1">IF(OR($D227&lt;&gt;"Serviço",AND(AUTOEVENTO="Manual",$M227=$A$15),$M227&gt;(ROW(PLE.lastrow)-ROW(PLE.firstrow))),0,
           IF(OFFSET(PLE!$G$15,$M227-$A$15,BA$13)="",10^12,OFFSET(PLE!$G$15,$M227-$A$15,BA$13)))</f>
        <v>1000000000000</v>
      </c>
      <c r="BB227" s="173">
        <f ca="1">IF(OR($D227&lt;&gt;"Serviço",AND(AUTOEVENTO="Manual",$M227=$A$15),$M227&gt;(ROW(PLE.lastrow)-ROW(PLE.firstrow))),0,
           IF(OFFSET(PLE!$G$15,$M227-$A$15,BB$13)="",10^12,OFFSET(PLE!$G$15,$M227-$A$15,BB$13)))</f>
        <v>1000000000000</v>
      </c>
      <c r="BC227" s="173">
        <f ca="1">IF(OR($D227&lt;&gt;"Serviço",AND(AUTOEVENTO="Manual",$M227=$A$15),$M227&gt;(ROW(PLE.lastrow)-ROW(PLE.firstrow))),0,
           IF(OFFSET(PLE!$G$15,$M227-$A$15,BC$13)="",10^12,OFFSET(PLE!$G$15,$M227-$A$15,BC$13)))</f>
        <v>1000000000000</v>
      </c>
      <c r="BD227" s="173">
        <f ca="1">IF(OR($D227&lt;&gt;"Serviço",AND(AUTOEVENTO="Manual",$M227=$A$15),$M227&gt;(ROW(PLE.lastrow)-ROW(PLE.firstrow))),0,
           IF(OFFSET(PLE!$G$15,$M227-$A$15,BD$13)="",10^12,OFFSET(PLE!$G$15,$M227-$A$15,BD$13)))</f>
        <v>1000000000000</v>
      </c>
      <c r="BE227" s="173">
        <f ca="1">IF(OR($D227&lt;&gt;"Serviço",AND(AUTOEVENTO="Manual",$M227=$A$15),$M227&gt;(ROW(PLE.lastrow)-ROW(PLE.firstrow))),0,
           IF(OFFSET(PLE!$G$15,$M227-$A$15,BE$13)="",10^12,OFFSET(PLE!$G$15,$M227-$A$15,BE$13)))</f>
        <v>1000000000000</v>
      </c>
      <c r="BF227" s="173">
        <f ca="1">IF(OR($D227&lt;&gt;"Serviço",AND(AUTOEVENTO="Manual",$M227=$A$15),$M227&gt;(ROW(PLE.lastrow)-ROW(PLE.firstrow))),0,
           IF(OFFSET(PLE!$G$15,$M227-$A$15,BF$13)="",10^12,OFFSET(PLE!$G$15,$M227-$A$15,BF$13)))</f>
        <v>1000000000000</v>
      </c>
      <c r="BG227" s="173">
        <f ca="1">IF(OR($D227&lt;&gt;"Serviço",AND(AUTOEVENTO="Manual",$M227=$A$15),$M227&gt;(ROW(PLE.lastrow)-ROW(PLE.firstrow))),0,
           IF(OFFSET(PLE!$G$15,$M227-$A$15,BG$13)="",10^12,OFFSET(PLE!$G$15,$M227-$A$15,BG$13)))</f>
        <v>1000000000000</v>
      </c>
    </row>
    <row r="228" spans="1:59" ht="38.25" x14ac:dyDescent="0.2">
      <c r="A228" s="7" t="str">
        <f t="shared" ca="1" si="11"/>
        <v>210</v>
      </c>
      <c r="B228" s="7" t="str">
        <f ca="1">OFFSET(ORÇAMENTO!C$15,ROW(B228)-ROW(B$15),0)</f>
        <v>S</v>
      </c>
      <c r="C228" s="7" t="str">
        <f ca="1">OFFSET(ORÇAMENTO!L$15,ROW(C228)-ROW(C$15),0)</f>
        <v/>
      </c>
      <c r="D228" s="117" t="str">
        <f ca="1">OFFSET(ORÇAMENTO!N$15,ROW(D228)-ROW(D$15),0)</f>
        <v>Serviço</v>
      </c>
      <c r="E228" s="118" t="str">
        <f ca="1">OFFSET(ORÇAMENTO!O$15,ROW(E228)-ROW(E$15),0)</f>
        <v>-</v>
      </c>
      <c r="F228" s="164" t="str">
        <f ca="1">OFFSET(ORÇAMENTO!R$15,ROW(F228)-ROW(F$15),0)</f>
        <v>VASO SANITARIO SIFONADO CONVENCIONAL PARA PCD SEM FURO FRONTAL COM  LOUÇA BRANCA SEM ASSENTO -  FORNECIMENTO E INSTALAÇÃO. AF_01/2020</v>
      </c>
      <c r="G228" s="165" t="str">
        <f ca="1">IF($D228&lt;&gt;"Serviço","",OFFSET(ORÇAMENTO!S$15,ROW(G228)-ROW(G$15),0))</f>
        <v>UN</v>
      </c>
      <c r="H228" s="123">
        <f ca="1">IF($D228&lt;&gt;"Serviço",0,IF(ACOMPANHAMENTO="BM",ROUND(OFFSET(ORÇAMENTO!AJ$15,ROW(H228)-ROW(H$15),0),15-13*ORÇAMENTO!$AF$7),SUMPRODUCT(($Q$1:$AA$1=1)*ROUND($Q228:$AA228,15-13*ORÇAMENTO!$AF$7))))</f>
        <v>6</v>
      </c>
      <c r="I228" s="469"/>
      <c r="J228" s="577" t="str" cm="1">
        <f t="array" aca="1" ref="J228" ca="1">IF(B228&lt;&gt;"S","",IF(AND(ACOMPANHAMENTO="PLE",AUTOEVENTO="Manual",OR(H228&gt;0,ORÇAMENTO!AC228="QUANT."),OR(K228="",M228=0,N228="")),"►",IF(AND(ACOMPANHAMENTO="PLE",ORÇAMENTO!AC228="QUANT."),"►►",IF(AND(COUNTIF($P$11:$AA$11,"▼")=0,H228&gt;0,I228=""),"◄",""))))</f>
        <v>◄</v>
      </c>
      <c r="K228" s="626"/>
      <c r="L228" s="166" t="s">
        <v>765</v>
      </c>
      <c r="M228" s="167">
        <f ca="1">IF($D228&lt;&gt;"Serviço","",
          IF(AUTOEVENTO="manual",$A228,
                IF(ISERROR(MATCH($A228,$A$15:OFFSET($A228,-1,0),0)),MAX($M$15:OFFSET(M228,-1,0))+1,
                      INDEX($M$15:OFFSET(M228,-1,0),MATCH($A228,$A$15:OFFSET($A228,-1,0),0)))))</f>
        <v>13</v>
      </c>
      <c r="N228" s="168" t="str">
        <f ca="1">IF($D228&lt;&gt;"Serviço","",
         IF(AUTOEVENTO="Manual",
                IF($A228=0,"&lt;-- defina o número do agrupador",
                       OFFSET(EVENTOS!$D$15,$A228-$A$15,0)),
                OFFSET($F$15,$A228,0)))</f>
        <v>LOUÇAS E ACESSÓRIOS</v>
      </c>
      <c r="O228" s="169"/>
      <c r="Q228" s="169"/>
      <c r="R228" s="170"/>
      <c r="S228" s="170"/>
      <c r="T228" s="170"/>
      <c r="U228" s="170"/>
      <c r="V228" s="170"/>
      <c r="W228" s="170"/>
      <c r="X228" s="170"/>
      <c r="Y228" s="170"/>
      <c r="Z228" s="171"/>
      <c r="AB228" s="454">
        <f ca="1">IF(AND($D228="Serviço",AB$12&lt;&gt;0,$H228&gt;0,OR(AUTOEVENTO&lt;&gt;"manual",$M228&lt;&gt;$A$15)),
        IF(Import.TipoArredondamento&lt;&gt;"TransfereGOV",
              ROUND(OFFSET($P228,0,AB$13),15-13*ORÇAMENTO!$AF$7)/$H228*OFFSET(ORÇAMENTO!$X$15,ROW(AB228)-ROW(AB$15),0),
              ROUND(ROUND(OFFSET($P228,0,AB$13),15-13*ORÇAMENTO!$AF$7)*OFFSET(ORÇAMENTO!$W$15,ROW(AB228)-ROW(AB$15),0),15-13*ORÇAMENTO!$AF$11)),
         0)</f>
        <v>0</v>
      </c>
      <c r="AC228" s="454">
        <f ca="1">IF(AND($D228="Serviço",AC$12&lt;&gt;0,$H228&gt;0,OR(AUTOEVENTO&lt;&gt;"manual",$M228&lt;&gt;$A$15)),
        IF(Import.TipoArredondamento&lt;&gt;"TransfereGOV",
              ROUND(OFFSET($P228,0,AC$13),15-13*ORÇAMENTO!$AF$7)/$H228*OFFSET(ORÇAMENTO!$X$15,ROW(AC228)-ROW(AC$15),0),
              ROUND(ROUND(OFFSET($P228,0,AC$13),15-13*ORÇAMENTO!$AF$7)*OFFSET(ORÇAMENTO!$W$15,ROW(AC228)-ROW(AC$15),0),15-13*ORÇAMENTO!$AF$11)),
         0)</f>
        <v>0</v>
      </c>
      <c r="AD228" s="454">
        <f ca="1">IF(AND($D228="Serviço",AD$12&lt;&gt;0,$H228&gt;0,OR(AUTOEVENTO&lt;&gt;"manual",$M228&lt;&gt;$A$15)),
        IF(Import.TipoArredondamento&lt;&gt;"TransfereGOV",
              ROUND(OFFSET($P228,0,AD$13),15-13*ORÇAMENTO!$AF$7)/$H228*OFFSET(ORÇAMENTO!$X$15,ROW(AD228)-ROW(AD$15),0),
              ROUND(ROUND(OFFSET($P228,0,AD$13),15-13*ORÇAMENTO!$AF$7)*OFFSET(ORÇAMENTO!$W$15,ROW(AD228)-ROW(AD$15),0),15-13*ORÇAMENTO!$AF$11)),
         0)</f>
        <v>0</v>
      </c>
      <c r="AE228" s="454">
        <f ca="1">IF(AND($D228="Serviço",AE$12&lt;&gt;0,$H228&gt;0,OR(AUTOEVENTO&lt;&gt;"manual",$M228&lt;&gt;$A$15)),
        IF(Import.TipoArredondamento&lt;&gt;"TransfereGOV",
              ROUND(OFFSET($P228,0,AE$13),15-13*ORÇAMENTO!$AF$7)/$H228*OFFSET(ORÇAMENTO!$X$15,ROW(AE228)-ROW(AE$15),0),
              ROUND(ROUND(OFFSET($P228,0,AE$13),15-13*ORÇAMENTO!$AF$7)*OFFSET(ORÇAMENTO!$W$15,ROW(AE228)-ROW(AE$15),0),15-13*ORÇAMENTO!$AF$11)),
         0)</f>
        <v>0</v>
      </c>
      <c r="AF228" s="454">
        <f ca="1">IF(AND($D228="Serviço",AF$12&lt;&gt;0,$H228&gt;0,OR(AUTOEVENTO&lt;&gt;"manual",$M228&lt;&gt;$A$15)),
        IF(Import.TipoArredondamento&lt;&gt;"TransfereGOV",
              ROUND(OFFSET($P228,0,AF$13),15-13*ORÇAMENTO!$AF$7)/$H228*OFFSET(ORÇAMENTO!$X$15,ROW(AF228)-ROW(AF$15),0),
              ROUND(ROUND(OFFSET($P228,0,AF$13),15-13*ORÇAMENTO!$AF$7)*OFFSET(ORÇAMENTO!$W$15,ROW(AF228)-ROW(AF$15),0),15-13*ORÇAMENTO!$AF$11)),
         0)</f>
        <v>0</v>
      </c>
      <c r="AG228" s="454">
        <f ca="1">IF(AND($D228="Serviço",AG$12&lt;&gt;0,$H228&gt;0,OR(AUTOEVENTO&lt;&gt;"manual",$M228&lt;&gt;$A$15)),
        IF(Import.TipoArredondamento&lt;&gt;"TransfereGOV",
              ROUND(OFFSET($P228,0,AG$13),15-13*ORÇAMENTO!$AF$7)/$H228*OFFSET(ORÇAMENTO!$X$15,ROW(AG228)-ROW(AG$15),0),
              ROUND(ROUND(OFFSET($P228,0,AG$13),15-13*ORÇAMENTO!$AF$7)*OFFSET(ORÇAMENTO!$W$15,ROW(AG228)-ROW(AG$15),0),15-13*ORÇAMENTO!$AF$11)),
         0)</f>
        <v>0</v>
      </c>
      <c r="AH228" s="454">
        <f ca="1">IF(AND($D228="Serviço",AH$12&lt;&gt;0,$H228&gt;0,OR(AUTOEVENTO&lt;&gt;"manual",$M228&lt;&gt;$A$15)),
        IF(Import.TipoArredondamento&lt;&gt;"TransfereGOV",
              ROUND(OFFSET($P228,0,AH$13),15-13*ORÇAMENTO!$AF$7)/$H228*OFFSET(ORÇAMENTO!$X$15,ROW(AH228)-ROW(AH$15),0),
              ROUND(ROUND(OFFSET($P228,0,AH$13),15-13*ORÇAMENTO!$AF$7)*OFFSET(ORÇAMENTO!$W$15,ROW(AH228)-ROW(AH$15),0),15-13*ORÇAMENTO!$AF$11)),
         0)</f>
        <v>0</v>
      </c>
      <c r="AI228" s="454">
        <f ca="1">IF(AND($D228="Serviço",AI$12&lt;&gt;0,$H228&gt;0,OR(AUTOEVENTO&lt;&gt;"manual",$M228&lt;&gt;$A$15)),
        IF(Import.TipoArredondamento&lt;&gt;"TransfereGOV",
              ROUND(OFFSET($P228,0,AI$13),15-13*ORÇAMENTO!$AF$7)/$H228*OFFSET(ORÇAMENTO!$X$15,ROW(AI228)-ROW(AI$15),0),
              ROUND(ROUND(OFFSET($P228,0,AI$13),15-13*ORÇAMENTO!$AF$7)*OFFSET(ORÇAMENTO!$W$15,ROW(AI228)-ROW(AI$15),0),15-13*ORÇAMENTO!$AF$11)),
         0)</f>
        <v>0</v>
      </c>
      <c r="AJ228" s="454">
        <f ca="1">IF(AND($D228="Serviço",AJ$12&lt;&gt;0,$H228&gt;0,OR(AUTOEVENTO&lt;&gt;"manual",$M228&lt;&gt;$A$15)),
        IF(Import.TipoArredondamento&lt;&gt;"TransfereGOV",
              ROUND(OFFSET($P228,0,AJ$13),15-13*ORÇAMENTO!$AF$7)/$H228*OFFSET(ORÇAMENTO!$X$15,ROW(AJ228)-ROW(AJ$15),0),
              ROUND(ROUND(OFFSET($P228,0,AJ$13),15-13*ORÇAMENTO!$AF$7)*OFFSET(ORÇAMENTO!$W$15,ROW(AJ228)-ROW(AJ$15),0),15-13*ORÇAMENTO!$AF$11)),
         0)</f>
        <v>0</v>
      </c>
      <c r="AK228" s="454">
        <f ca="1">IF(AND($D228="Serviço",AK$12&lt;&gt;0,$H228&gt;0,OR(AUTOEVENTO&lt;&gt;"manual",$M228&lt;&gt;$A$15)),
        IF(Import.TipoArredondamento&lt;&gt;"TransfereGOV",
              ROUND(OFFSET($P228,0,AK$13),15-13*ORÇAMENTO!$AF$7)/$H228*OFFSET(ORÇAMENTO!$X$15,ROW(AK228)-ROW(AK$15),0),
              ROUND(ROUND(OFFSET($P228,0,AK$13),15-13*ORÇAMENTO!$AF$7)*OFFSET(ORÇAMENTO!$W$15,ROW(AK228)-ROW(AK$15),0),15-13*ORÇAMENTO!$AF$11)),
         0)</f>
        <v>0</v>
      </c>
      <c r="AM228" s="172">
        <f ca="1">IF(OR($D228&lt;&gt;"Serviço",AND(AUTOEVENTO="Manual",$M228=$A$15)),0,
         IF(OFFSET(CRONOPLE!$F$15,$M228-$A$15,AM$13)="",10^12,OFFSET(CRONOPLE!$F$15,$M228-$A$15,AM$13)))</f>
        <v>1000000000000</v>
      </c>
      <c r="AN228" s="172">
        <f ca="1">IF(OR($D228&lt;&gt;"Serviço",AND(AUTOEVENTO="Manual",$M228=$A$15)),0,
         IF(OFFSET(CRONOPLE!$F$15,$M228-$A$15,AN$13)="",10^12,OFFSET(CRONOPLE!$F$15,$M228-$A$15,AN$13)))</f>
        <v>1000000000000</v>
      </c>
      <c r="AO228" s="172">
        <f ca="1">IF(OR($D228&lt;&gt;"Serviço",AND(AUTOEVENTO="Manual",$M228=$A$15)),0,
         IF(OFFSET(CRONOPLE!$F$15,$M228-$A$15,AO$13)="",10^12,OFFSET(CRONOPLE!$F$15,$M228-$A$15,AO$13)))</f>
        <v>1000000000000</v>
      </c>
      <c r="AP228" s="172">
        <f ca="1">IF(OR($D228&lt;&gt;"Serviço",AND(AUTOEVENTO="Manual",$M228=$A$15)),0,
         IF(OFFSET(CRONOPLE!$F$15,$M228-$A$15,AP$13)="",10^12,OFFSET(CRONOPLE!$F$15,$M228-$A$15,AP$13)))</f>
        <v>1000000000000</v>
      </c>
      <c r="AQ228" s="172">
        <f ca="1">IF(OR($D228&lt;&gt;"Serviço",AND(AUTOEVENTO="Manual",$M228=$A$15)),0,
         IF(OFFSET(CRONOPLE!$F$15,$M228-$A$15,AQ$13)="",10^12,OFFSET(CRONOPLE!$F$15,$M228-$A$15,AQ$13)))</f>
        <v>1000000000000</v>
      </c>
      <c r="AR228" s="172">
        <f ca="1">IF(OR($D228&lt;&gt;"Serviço",AND(AUTOEVENTO="Manual",$M228=$A$15)),0,
         IF(OFFSET(CRONOPLE!$F$15,$M228-$A$15,AR$13)="",10^12,OFFSET(CRONOPLE!$F$15,$M228-$A$15,AR$13)))</f>
        <v>1000000000000</v>
      </c>
      <c r="AS228" s="172">
        <f ca="1">IF(OR($D228&lt;&gt;"Serviço",AND(AUTOEVENTO="Manual",$M228=$A$15)),0,
         IF(OFFSET(CRONOPLE!$F$15,$M228-$A$15,AS$13)="",10^12,OFFSET(CRONOPLE!$F$15,$M228-$A$15,AS$13)))</f>
        <v>1000000000000</v>
      </c>
      <c r="AT228" s="172">
        <f ca="1">IF(OR($D228&lt;&gt;"Serviço",AND(AUTOEVENTO="Manual",$M228=$A$15)),0,
         IF(OFFSET(CRONOPLE!$F$15,$M228-$A$15,AT$13)="",10^12,OFFSET(CRONOPLE!$F$15,$M228-$A$15,AT$13)))</f>
        <v>1000000000000</v>
      </c>
      <c r="AU228" s="172">
        <f ca="1">IF(OR($D228&lt;&gt;"Serviço",AND(AUTOEVENTO="Manual",$M228=$A$15)),0,
         IF(OFFSET(CRONOPLE!$F$15,$M228-$A$15,AU$13)="",10^12,OFFSET(CRONOPLE!$F$15,$M228-$A$15,AU$13)))</f>
        <v>1000000000000</v>
      </c>
      <c r="AV228" s="172">
        <f ca="1">IF(OR($D228&lt;&gt;"Serviço",AND(AUTOEVENTO="Manual",$M228=$A$15)),0,
         IF(OFFSET(CRONOPLE!$F$15,$M228-$A$15,AV$13)="",10^12,OFFSET(CRONOPLE!$F$15,$M228-$A$15,AV$13)))</f>
        <v>1000000000000</v>
      </c>
      <c r="AX228" s="173">
        <f ca="1">IF(OR($D228&lt;&gt;"Serviço",AND(AUTOEVENTO="Manual",$M228=$A$15),$M228&gt;(ROW(PLE.lastrow)-ROW(PLE.firstrow))),0,
           IF(OFFSET(PLE!$G$15,$M228-$A$15,AX$13)="",10^12,OFFSET(PLE!$G$15,$M228-$A$15,AX$13)))</f>
        <v>1000000000000</v>
      </c>
      <c r="AY228" s="173">
        <f ca="1">IF(OR($D228&lt;&gt;"Serviço",AND(AUTOEVENTO="Manual",$M228=$A$15),$M228&gt;(ROW(PLE.lastrow)-ROW(PLE.firstrow))),0,
           IF(OFFSET(PLE!$G$15,$M228-$A$15,AY$13)="",10^12,OFFSET(PLE!$G$15,$M228-$A$15,AY$13)))</f>
        <v>1000000000000</v>
      </c>
      <c r="AZ228" s="173">
        <f ca="1">IF(OR($D228&lt;&gt;"Serviço",AND(AUTOEVENTO="Manual",$M228=$A$15),$M228&gt;(ROW(PLE.lastrow)-ROW(PLE.firstrow))),0,
           IF(OFFSET(PLE!$G$15,$M228-$A$15,AZ$13)="",10^12,OFFSET(PLE!$G$15,$M228-$A$15,AZ$13)))</f>
        <v>1000000000000</v>
      </c>
      <c r="BA228" s="173">
        <f ca="1">IF(OR($D228&lt;&gt;"Serviço",AND(AUTOEVENTO="Manual",$M228=$A$15),$M228&gt;(ROW(PLE.lastrow)-ROW(PLE.firstrow))),0,
           IF(OFFSET(PLE!$G$15,$M228-$A$15,BA$13)="",10^12,OFFSET(PLE!$G$15,$M228-$A$15,BA$13)))</f>
        <v>1000000000000</v>
      </c>
      <c r="BB228" s="173">
        <f ca="1">IF(OR($D228&lt;&gt;"Serviço",AND(AUTOEVENTO="Manual",$M228=$A$15),$M228&gt;(ROW(PLE.lastrow)-ROW(PLE.firstrow))),0,
           IF(OFFSET(PLE!$G$15,$M228-$A$15,BB$13)="",10^12,OFFSET(PLE!$G$15,$M228-$A$15,BB$13)))</f>
        <v>1000000000000</v>
      </c>
      <c r="BC228" s="173">
        <f ca="1">IF(OR($D228&lt;&gt;"Serviço",AND(AUTOEVENTO="Manual",$M228=$A$15),$M228&gt;(ROW(PLE.lastrow)-ROW(PLE.firstrow))),0,
           IF(OFFSET(PLE!$G$15,$M228-$A$15,BC$13)="",10^12,OFFSET(PLE!$G$15,$M228-$A$15,BC$13)))</f>
        <v>1000000000000</v>
      </c>
      <c r="BD228" s="173">
        <f ca="1">IF(OR($D228&lt;&gt;"Serviço",AND(AUTOEVENTO="Manual",$M228=$A$15),$M228&gt;(ROW(PLE.lastrow)-ROW(PLE.firstrow))),0,
           IF(OFFSET(PLE!$G$15,$M228-$A$15,BD$13)="",10^12,OFFSET(PLE!$G$15,$M228-$A$15,BD$13)))</f>
        <v>1000000000000</v>
      </c>
      <c r="BE228" s="173">
        <f ca="1">IF(OR($D228&lt;&gt;"Serviço",AND(AUTOEVENTO="Manual",$M228=$A$15),$M228&gt;(ROW(PLE.lastrow)-ROW(PLE.firstrow))),0,
           IF(OFFSET(PLE!$G$15,$M228-$A$15,BE$13)="",10^12,OFFSET(PLE!$G$15,$M228-$A$15,BE$13)))</f>
        <v>1000000000000</v>
      </c>
      <c r="BF228" s="173">
        <f ca="1">IF(OR($D228&lt;&gt;"Serviço",AND(AUTOEVENTO="Manual",$M228=$A$15),$M228&gt;(ROW(PLE.lastrow)-ROW(PLE.firstrow))),0,
           IF(OFFSET(PLE!$G$15,$M228-$A$15,BF$13)="",10^12,OFFSET(PLE!$G$15,$M228-$A$15,BF$13)))</f>
        <v>1000000000000</v>
      </c>
      <c r="BG228" s="173">
        <f ca="1">IF(OR($D228&lt;&gt;"Serviço",AND(AUTOEVENTO="Manual",$M228=$A$15),$M228&gt;(ROW(PLE.lastrow)-ROW(PLE.firstrow))),0,
           IF(OFFSET(PLE!$G$15,$M228-$A$15,BG$13)="",10^12,OFFSET(PLE!$G$15,$M228-$A$15,BG$13)))</f>
        <v>1000000000000</v>
      </c>
    </row>
    <row r="229" spans="1:59" ht="25.5" x14ac:dyDescent="0.2">
      <c r="A229" s="7" t="str">
        <f t="shared" ca="1" si="11"/>
        <v>210</v>
      </c>
      <c r="B229" s="7" t="str">
        <f ca="1">OFFSET(ORÇAMENTO!C$15,ROW(B229)-ROW(B$15),0)</f>
        <v>S</v>
      </c>
      <c r="C229" s="7" t="str">
        <f ca="1">OFFSET(ORÇAMENTO!L$15,ROW(C229)-ROW(C$15),0)</f>
        <v/>
      </c>
      <c r="D229" s="117" t="str">
        <f ca="1">OFFSET(ORÇAMENTO!N$15,ROW(D229)-ROW(D$15),0)</f>
        <v>Serviço</v>
      </c>
      <c r="E229" s="118" t="str">
        <f ca="1">OFFSET(ORÇAMENTO!O$15,ROW(E229)-ROW(E$15),0)</f>
        <v>-</v>
      </c>
      <c r="F229" s="164" t="str">
        <f ca="1">OFFSET(ORÇAMENTO!R$15,ROW(F229)-ROW(F$15),0)</f>
        <v>ASSENTO SANITÁRIO CONVENCIONAL - FORNECIMENTO E INSTALACAO. AF_01/2020</v>
      </c>
      <c r="G229" s="165" t="str">
        <f ca="1">IF($D229&lt;&gt;"Serviço","",OFFSET(ORÇAMENTO!S$15,ROW(G229)-ROW(G$15),0))</f>
        <v>UN</v>
      </c>
      <c r="H229" s="123">
        <f ca="1">IF($D229&lt;&gt;"Serviço",0,IF(ACOMPANHAMENTO="BM",ROUND(OFFSET(ORÇAMENTO!AJ$15,ROW(H229)-ROW(H$15),0),15-13*ORÇAMENTO!$AF$7),SUMPRODUCT(($Q$1:$AA$1=1)*ROUND($Q229:$AA229,15-13*ORÇAMENTO!$AF$7))))</f>
        <v>11</v>
      </c>
      <c r="I229" s="469"/>
      <c r="J229" s="577" t="str" cm="1">
        <f t="array" aca="1" ref="J229" ca="1">IF(B229&lt;&gt;"S","",IF(AND(ACOMPANHAMENTO="PLE",AUTOEVENTO="Manual",OR(H229&gt;0,ORÇAMENTO!AC229="QUANT."),OR(K229="",M229=0,N229="")),"►",IF(AND(ACOMPANHAMENTO="PLE",ORÇAMENTO!AC229="QUANT."),"►►",IF(AND(COUNTIF($P$11:$AA$11,"▼")=0,H229&gt;0,I229=""),"◄",""))))</f>
        <v>◄</v>
      </c>
      <c r="K229" s="626"/>
      <c r="L229" s="166" t="s">
        <v>765</v>
      </c>
      <c r="M229" s="167">
        <f ca="1">IF($D229&lt;&gt;"Serviço","",
          IF(AUTOEVENTO="manual",$A229,
                IF(ISERROR(MATCH($A229,$A$15:OFFSET($A229,-1,0),0)),MAX($M$15:OFFSET(M229,-1,0))+1,
                      INDEX($M$15:OFFSET(M229,-1,0),MATCH($A229,$A$15:OFFSET($A229,-1,0),0)))))</f>
        <v>13</v>
      </c>
      <c r="N229" s="168" t="str">
        <f ca="1">IF($D229&lt;&gt;"Serviço","",
         IF(AUTOEVENTO="Manual",
                IF($A229=0,"&lt;-- defina o número do agrupador",
                       OFFSET(EVENTOS!$D$15,$A229-$A$15,0)),
                OFFSET($F$15,$A229,0)))</f>
        <v>LOUÇAS E ACESSÓRIOS</v>
      </c>
      <c r="O229" s="169"/>
      <c r="Q229" s="169"/>
      <c r="R229" s="170"/>
      <c r="S229" s="170"/>
      <c r="T229" s="170"/>
      <c r="U229" s="170"/>
      <c r="V229" s="170"/>
      <c r="W229" s="170"/>
      <c r="X229" s="170"/>
      <c r="Y229" s="170"/>
      <c r="Z229" s="171"/>
      <c r="AB229" s="454">
        <f ca="1">IF(AND($D229="Serviço",AB$12&lt;&gt;0,$H229&gt;0,OR(AUTOEVENTO&lt;&gt;"manual",$M229&lt;&gt;$A$15)),
        IF(Import.TipoArredondamento&lt;&gt;"TransfereGOV",
              ROUND(OFFSET($P229,0,AB$13),15-13*ORÇAMENTO!$AF$7)/$H229*OFFSET(ORÇAMENTO!$X$15,ROW(AB229)-ROW(AB$15),0),
              ROUND(ROUND(OFFSET($P229,0,AB$13),15-13*ORÇAMENTO!$AF$7)*OFFSET(ORÇAMENTO!$W$15,ROW(AB229)-ROW(AB$15),0),15-13*ORÇAMENTO!$AF$11)),
         0)</f>
        <v>0</v>
      </c>
      <c r="AC229" s="454">
        <f ca="1">IF(AND($D229="Serviço",AC$12&lt;&gt;0,$H229&gt;0,OR(AUTOEVENTO&lt;&gt;"manual",$M229&lt;&gt;$A$15)),
        IF(Import.TipoArredondamento&lt;&gt;"TransfereGOV",
              ROUND(OFFSET($P229,0,AC$13),15-13*ORÇAMENTO!$AF$7)/$H229*OFFSET(ORÇAMENTO!$X$15,ROW(AC229)-ROW(AC$15),0),
              ROUND(ROUND(OFFSET($P229,0,AC$13),15-13*ORÇAMENTO!$AF$7)*OFFSET(ORÇAMENTO!$W$15,ROW(AC229)-ROW(AC$15),0),15-13*ORÇAMENTO!$AF$11)),
         0)</f>
        <v>0</v>
      </c>
      <c r="AD229" s="454">
        <f ca="1">IF(AND($D229="Serviço",AD$12&lt;&gt;0,$H229&gt;0,OR(AUTOEVENTO&lt;&gt;"manual",$M229&lt;&gt;$A$15)),
        IF(Import.TipoArredondamento&lt;&gt;"TransfereGOV",
              ROUND(OFFSET($P229,0,AD$13),15-13*ORÇAMENTO!$AF$7)/$H229*OFFSET(ORÇAMENTO!$X$15,ROW(AD229)-ROW(AD$15),0),
              ROUND(ROUND(OFFSET($P229,0,AD$13),15-13*ORÇAMENTO!$AF$7)*OFFSET(ORÇAMENTO!$W$15,ROW(AD229)-ROW(AD$15),0),15-13*ORÇAMENTO!$AF$11)),
         0)</f>
        <v>0</v>
      </c>
      <c r="AE229" s="454">
        <f ca="1">IF(AND($D229="Serviço",AE$12&lt;&gt;0,$H229&gt;0,OR(AUTOEVENTO&lt;&gt;"manual",$M229&lt;&gt;$A$15)),
        IF(Import.TipoArredondamento&lt;&gt;"TransfereGOV",
              ROUND(OFFSET($P229,0,AE$13),15-13*ORÇAMENTO!$AF$7)/$H229*OFFSET(ORÇAMENTO!$X$15,ROW(AE229)-ROW(AE$15),0),
              ROUND(ROUND(OFFSET($P229,0,AE$13),15-13*ORÇAMENTO!$AF$7)*OFFSET(ORÇAMENTO!$W$15,ROW(AE229)-ROW(AE$15),0),15-13*ORÇAMENTO!$AF$11)),
         0)</f>
        <v>0</v>
      </c>
      <c r="AF229" s="454">
        <f ca="1">IF(AND($D229="Serviço",AF$12&lt;&gt;0,$H229&gt;0,OR(AUTOEVENTO&lt;&gt;"manual",$M229&lt;&gt;$A$15)),
        IF(Import.TipoArredondamento&lt;&gt;"TransfereGOV",
              ROUND(OFFSET($P229,0,AF$13),15-13*ORÇAMENTO!$AF$7)/$H229*OFFSET(ORÇAMENTO!$X$15,ROW(AF229)-ROW(AF$15),0),
              ROUND(ROUND(OFFSET($P229,0,AF$13),15-13*ORÇAMENTO!$AF$7)*OFFSET(ORÇAMENTO!$W$15,ROW(AF229)-ROW(AF$15),0),15-13*ORÇAMENTO!$AF$11)),
         0)</f>
        <v>0</v>
      </c>
      <c r="AG229" s="454">
        <f ca="1">IF(AND($D229="Serviço",AG$12&lt;&gt;0,$H229&gt;0,OR(AUTOEVENTO&lt;&gt;"manual",$M229&lt;&gt;$A$15)),
        IF(Import.TipoArredondamento&lt;&gt;"TransfereGOV",
              ROUND(OFFSET($P229,0,AG$13),15-13*ORÇAMENTO!$AF$7)/$H229*OFFSET(ORÇAMENTO!$X$15,ROW(AG229)-ROW(AG$15),0),
              ROUND(ROUND(OFFSET($P229,0,AG$13),15-13*ORÇAMENTO!$AF$7)*OFFSET(ORÇAMENTO!$W$15,ROW(AG229)-ROW(AG$15),0),15-13*ORÇAMENTO!$AF$11)),
         0)</f>
        <v>0</v>
      </c>
      <c r="AH229" s="454">
        <f ca="1">IF(AND($D229="Serviço",AH$12&lt;&gt;0,$H229&gt;0,OR(AUTOEVENTO&lt;&gt;"manual",$M229&lt;&gt;$A$15)),
        IF(Import.TipoArredondamento&lt;&gt;"TransfereGOV",
              ROUND(OFFSET($P229,0,AH$13),15-13*ORÇAMENTO!$AF$7)/$H229*OFFSET(ORÇAMENTO!$X$15,ROW(AH229)-ROW(AH$15),0),
              ROUND(ROUND(OFFSET($P229,0,AH$13),15-13*ORÇAMENTO!$AF$7)*OFFSET(ORÇAMENTO!$W$15,ROW(AH229)-ROW(AH$15),0),15-13*ORÇAMENTO!$AF$11)),
         0)</f>
        <v>0</v>
      </c>
      <c r="AI229" s="454">
        <f ca="1">IF(AND($D229="Serviço",AI$12&lt;&gt;0,$H229&gt;0,OR(AUTOEVENTO&lt;&gt;"manual",$M229&lt;&gt;$A$15)),
        IF(Import.TipoArredondamento&lt;&gt;"TransfereGOV",
              ROUND(OFFSET($P229,0,AI$13),15-13*ORÇAMENTO!$AF$7)/$H229*OFFSET(ORÇAMENTO!$X$15,ROW(AI229)-ROW(AI$15),0),
              ROUND(ROUND(OFFSET($P229,0,AI$13),15-13*ORÇAMENTO!$AF$7)*OFFSET(ORÇAMENTO!$W$15,ROW(AI229)-ROW(AI$15),0),15-13*ORÇAMENTO!$AF$11)),
         0)</f>
        <v>0</v>
      </c>
      <c r="AJ229" s="454">
        <f ca="1">IF(AND($D229="Serviço",AJ$12&lt;&gt;0,$H229&gt;0,OR(AUTOEVENTO&lt;&gt;"manual",$M229&lt;&gt;$A$15)),
        IF(Import.TipoArredondamento&lt;&gt;"TransfereGOV",
              ROUND(OFFSET($P229,0,AJ$13),15-13*ORÇAMENTO!$AF$7)/$H229*OFFSET(ORÇAMENTO!$X$15,ROW(AJ229)-ROW(AJ$15),0),
              ROUND(ROUND(OFFSET($P229,0,AJ$13),15-13*ORÇAMENTO!$AF$7)*OFFSET(ORÇAMENTO!$W$15,ROW(AJ229)-ROW(AJ$15),0),15-13*ORÇAMENTO!$AF$11)),
         0)</f>
        <v>0</v>
      </c>
      <c r="AK229" s="454">
        <f ca="1">IF(AND($D229="Serviço",AK$12&lt;&gt;0,$H229&gt;0,OR(AUTOEVENTO&lt;&gt;"manual",$M229&lt;&gt;$A$15)),
        IF(Import.TipoArredondamento&lt;&gt;"TransfereGOV",
              ROUND(OFFSET($P229,0,AK$13),15-13*ORÇAMENTO!$AF$7)/$H229*OFFSET(ORÇAMENTO!$X$15,ROW(AK229)-ROW(AK$15),0),
              ROUND(ROUND(OFFSET($P229,0,AK$13),15-13*ORÇAMENTO!$AF$7)*OFFSET(ORÇAMENTO!$W$15,ROW(AK229)-ROW(AK$15),0),15-13*ORÇAMENTO!$AF$11)),
         0)</f>
        <v>0</v>
      </c>
      <c r="AM229" s="172">
        <f ca="1">IF(OR($D229&lt;&gt;"Serviço",AND(AUTOEVENTO="Manual",$M229=$A$15)),0,
         IF(OFFSET(CRONOPLE!$F$15,$M229-$A$15,AM$13)="",10^12,OFFSET(CRONOPLE!$F$15,$M229-$A$15,AM$13)))</f>
        <v>1000000000000</v>
      </c>
      <c r="AN229" s="172">
        <f ca="1">IF(OR($D229&lt;&gt;"Serviço",AND(AUTOEVENTO="Manual",$M229=$A$15)),0,
         IF(OFFSET(CRONOPLE!$F$15,$M229-$A$15,AN$13)="",10^12,OFFSET(CRONOPLE!$F$15,$M229-$A$15,AN$13)))</f>
        <v>1000000000000</v>
      </c>
      <c r="AO229" s="172">
        <f ca="1">IF(OR($D229&lt;&gt;"Serviço",AND(AUTOEVENTO="Manual",$M229=$A$15)),0,
         IF(OFFSET(CRONOPLE!$F$15,$M229-$A$15,AO$13)="",10^12,OFFSET(CRONOPLE!$F$15,$M229-$A$15,AO$13)))</f>
        <v>1000000000000</v>
      </c>
      <c r="AP229" s="172">
        <f ca="1">IF(OR($D229&lt;&gt;"Serviço",AND(AUTOEVENTO="Manual",$M229=$A$15)),0,
         IF(OFFSET(CRONOPLE!$F$15,$M229-$A$15,AP$13)="",10^12,OFFSET(CRONOPLE!$F$15,$M229-$A$15,AP$13)))</f>
        <v>1000000000000</v>
      </c>
      <c r="AQ229" s="172">
        <f ca="1">IF(OR($D229&lt;&gt;"Serviço",AND(AUTOEVENTO="Manual",$M229=$A$15)),0,
         IF(OFFSET(CRONOPLE!$F$15,$M229-$A$15,AQ$13)="",10^12,OFFSET(CRONOPLE!$F$15,$M229-$A$15,AQ$13)))</f>
        <v>1000000000000</v>
      </c>
      <c r="AR229" s="172">
        <f ca="1">IF(OR($D229&lt;&gt;"Serviço",AND(AUTOEVENTO="Manual",$M229=$A$15)),0,
         IF(OFFSET(CRONOPLE!$F$15,$M229-$A$15,AR$13)="",10^12,OFFSET(CRONOPLE!$F$15,$M229-$A$15,AR$13)))</f>
        <v>1000000000000</v>
      </c>
      <c r="AS229" s="172">
        <f ca="1">IF(OR($D229&lt;&gt;"Serviço",AND(AUTOEVENTO="Manual",$M229=$A$15)),0,
         IF(OFFSET(CRONOPLE!$F$15,$M229-$A$15,AS$13)="",10^12,OFFSET(CRONOPLE!$F$15,$M229-$A$15,AS$13)))</f>
        <v>1000000000000</v>
      </c>
      <c r="AT229" s="172">
        <f ca="1">IF(OR($D229&lt;&gt;"Serviço",AND(AUTOEVENTO="Manual",$M229=$A$15)),0,
         IF(OFFSET(CRONOPLE!$F$15,$M229-$A$15,AT$13)="",10^12,OFFSET(CRONOPLE!$F$15,$M229-$A$15,AT$13)))</f>
        <v>1000000000000</v>
      </c>
      <c r="AU229" s="172">
        <f ca="1">IF(OR($D229&lt;&gt;"Serviço",AND(AUTOEVENTO="Manual",$M229=$A$15)),0,
         IF(OFFSET(CRONOPLE!$F$15,$M229-$A$15,AU$13)="",10^12,OFFSET(CRONOPLE!$F$15,$M229-$A$15,AU$13)))</f>
        <v>1000000000000</v>
      </c>
      <c r="AV229" s="172">
        <f ca="1">IF(OR($D229&lt;&gt;"Serviço",AND(AUTOEVENTO="Manual",$M229=$A$15)),0,
         IF(OFFSET(CRONOPLE!$F$15,$M229-$A$15,AV$13)="",10^12,OFFSET(CRONOPLE!$F$15,$M229-$A$15,AV$13)))</f>
        <v>1000000000000</v>
      </c>
      <c r="AX229" s="173">
        <f ca="1">IF(OR($D229&lt;&gt;"Serviço",AND(AUTOEVENTO="Manual",$M229=$A$15),$M229&gt;(ROW(PLE.lastrow)-ROW(PLE.firstrow))),0,
           IF(OFFSET(PLE!$G$15,$M229-$A$15,AX$13)="",10^12,OFFSET(PLE!$G$15,$M229-$A$15,AX$13)))</f>
        <v>1000000000000</v>
      </c>
      <c r="AY229" s="173">
        <f ca="1">IF(OR($D229&lt;&gt;"Serviço",AND(AUTOEVENTO="Manual",$M229=$A$15),$M229&gt;(ROW(PLE.lastrow)-ROW(PLE.firstrow))),0,
           IF(OFFSET(PLE!$G$15,$M229-$A$15,AY$13)="",10^12,OFFSET(PLE!$G$15,$M229-$A$15,AY$13)))</f>
        <v>1000000000000</v>
      </c>
      <c r="AZ229" s="173">
        <f ca="1">IF(OR($D229&lt;&gt;"Serviço",AND(AUTOEVENTO="Manual",$M229=$A$15),$M229&gt;(ROW(PLE.lastrow)-ROW(PLE.firstrow))),0,
           IF(OFFSET(PLE!$G$15,$M229-$A$15,AZ$13)="",10^12,OFFSET(PLE!$G$15,$M229-$A$15,AZ$13)))</f>
        <v>1000000000000</v>
      </c>
      <c r="BA229" s="173">
        <f ca="1">IF(OR($D229&lt;&gt;"Serviço",AND(AUTOEVENTO="Manual",$M229=$A$15),$M229&gt;(ROW(PLE.lastrow)-ROW(PLE.firstrow))),0,
           IF(OFFSET(PLE!$G$15,$M229-$A$15,BA$13)="",10^12,OFFSET(PLE!$G$15,$M229-$A$15,BA$13)))</f>
        <v>1000000000000</v>
      </c>
      <c r="BB229" s="173">
        <f ca="1">IF(OR($D229&lt;&gt;"Serviço",AND(AUTOEVENTO="Manual",$M229=$A$15),$M229&gt;(ROW(PLE.lastrow)-ROW(PLE.firstrow))),0,
           IF(OFFSET(PLE!$G$15,$M229-$A$15,BB$13)="",10^12,OFFSET(PLE!$G$15,$M229-$A$15,BB$13)))</f>
        <v>1000000000000</v>
      </c>
      <c r="BC229" s="173">
        <f ca="1">IF(OR($D229&lt;&gt;"Serviço",AND(AUTOEVENTO="Manual",$M229=$A$15),$M229&gt;(ROW(PLE.lastrow)-ROW(PLE.firstrow))),0,
           IF(OFFSET(PLE!$G$15,$M229-$A$15,BC$13)="",10^12,OFFSET(PLE!$G$15,$M229-$A$15,BC$13)))</f>
        <v>1000000000000</v>
      </c>
      <c r="BD229" s="173">
        <f ca="1">IF(OR($D229&lt;&gt;"Serviço",AND(AUTOEVENTO="Manual",$M229=$A$15),$M229&gt;(ROW(PLE.lastrow)-ROW(PLE.firstrow))),0,
           IF(OFFSET(PLE!$G$15,$M229-$A$15,BD$13)="",10^12,OFFSET(PLE!$G$15,$M229-$A$15,BD$13)))</f>
        <v>1000000000000</v>
      </c>
      <c r="BE229" s="173">
        <f ca="1">IF(OR($D229&lt;&gt;"Serviço",AND(AUTOEVENTO="Manual",$M229=$A$15),$M229&gt;(ROW(PLE.lastrow)-ROW(PLE.firstrow))),0,
           IF(OFFSET(PLE!$G$15,$M229-$A$15,BE$13)="",10^12,OFFSET(PLE!$G$15,$M229-$A$15,BE$13)))</f>
        <v>1000000000000</v>
      </c>
      <c r="BF229" s="173">
        <f ca="1">IF(OR($D229&lt;&gt;"Serviço",AND(AUTOEVENTO="Manual",$M229=$A$15),$M229&gt;(ROW(PLE.lastrow)-ROW(PLE.firstrow))),0,
           IF(OFFSET(PLE!$G$15,$M229-$A$15,BF$13)="",10^12,OFFSET(PLE!$G$15,$M229-$A$15,BF$13)))</f>
        <v>1000000000000</v>
      </c>
      <c r="BG229" s="173">
        <f ca="1">IF(OR($D229&lt;&gt;"Serviço",AND(AUTOEVENTO="Manual",$M229=$A$15),$M229&gt;(ROW(PLE.lastrow)-ROW(PLE.firstrow))),0,
           IF(OFFSET(PLE!$G$15,$M229-$A$15,BG$13)="",10^12,OFFSET(PLE!$G$15,$M229-$A$15,BG$13)))</f>
        <v>1000000000000</v>
      </c>
    </row>
    <row r="230" spans="1:59" ht="25.5" x14ac:dyDescent="0.2">
      <c r="A230" s="7" t="str">
        <f t="shared" ca="1" si="11"/>
        <v>210</v>
      </c>
      <c r="B230" s="7" t="str">
        <f ca="1">OFFSET(ORÇAMENTO!C$15,ROW(B230)-ROW(B$15),0)</f>
        <v>S</v>
      </c>
      <c r="C230" s="7" t="str">
        <f ca="1">OFFSET(ORÇAMENTO!L$15,ROW(C230)-ROW(C$15),0)</f>
        <v/>
      </c>
      <c r="D230" s="117" t="str">
        <f ca="1">OFFSET(ORÇAMENTO!N$15,ROW(D230)-ROW(D$15),0)</f>
        <v>Serviço</v>
      </c>
      <c r="E230" s="118" t="str">
        <f ca="1">OFFSET(ORÇAMENTO!O$15,ROW(E230)-ROW(E$15),0)</f>
        <v>-</v>
      </c>
      <c r="F230" s="164" t="str">
        <f ca="1">OFFSET(ORÇAMENTO!R$15,ROW(F230)-ROW(F$15),0)</f>
        <v>ASSENTO SANITÁRIO INFANTIL - FORNECIMENTO E INSTALACAO. AF_01/2020</v>
      </c>
      <c r="G230" s="165" t="str">
        <f ca="1">IF($D230&lt;&gt;"Serviço","",OFFSET(ORÇAMENTO!S$15,ROW(G230)-ROW(G$15),0))</f>
        <v>UN</v>
      </c>
      <c r="H230" s="123">
        <f ca="1">IF($D230&lt;&gt;"Serviço",0,IF(ACOMPANHAMENTO="BM",ROUND(OFFSET(ORÇAMENTO!AJ$15,ROW(H230)-ROW(H$15),0),15-13*ORÇAMENTO!$AF$7),SUMPRODUCT(($Q$1:$AA$1=1)*ROUND($Q230:$AA230,15-13*ORÇAMENTO!$AF$7))))</f>
        <v>16</v>
      </c>
      <c r="I230" s="469"/>
      <c r="J230" s="577" t="str" cm="1">
        <f t="array" aca="1" ref="J230" ca="1">IF(B230&lt;&gt;"S","",IF(AND(ACOMPANHAMENTO="PLE",AUTOEVENTO="Manual",OR(H230&gt;0,ORÇAMENTO!AC230="QUANT."),OR(K230="",M230=0,N230="")),"►",IF(AND(ACOMPANHAMENTO="PLE",ORÇAMENTO!AC230="QUANT."),"►►",IF(AND(COUNTIF($P$11:$AA$11,"▼")=0,H230&gt;0,I230=""),"◄",""))))</f>
        <v>◄</v>
      </c>
      <c r="K230" s="626"/>
      <c r="L230" s="166" t="s">
        <v>765</v>
      </c>
      <c r="M230" s="167">
        <f ca="1">IF($D230&lt;&gt;"Serviço","",
          IF(AUTOEVENTO="manual",$A230,
                IF(ISERROR(MATCH($A230,$A$15:OFFSET($A230,-1,0),0)),MAX($M$15:OFFSET(M230,-1,0))+1,
                      INDEX($M$15:OFFSET(M230,-1,0),MATCH($A230,$A$15:OFFSET($A230,-1,0),0)))))</f>
        <v>13</v>
      </c>
      <c r="N230" s="168" t="str">
        <f ca="1">IF($D230&lt;&gt;"Serviço","",
         IF(AUTOEVENTO="Manual",
                IF($A230=0,"&lt;-- defina o número do agrupador",
                       OFFSET(EVENTOS!$D$15,$A230-$A$15,0)),
                OFFSET($F$15,$A230,0)))</f>
        <v>LOUÇAS E ACESSÓRIOS</v>
      </c>
      <c r="O230" s="169"/>
      <c r="Q230" s="169"/>
      <c r="R230" s="170"/>
      <c r="S230" s="170"/>
      <c r="T230" s="170"/>
      <c r="U230" s="170"/>
      <c r="V230" s="170"/>
      <c r="W230" s="170"/>
      <c r="X230" s="170"/>
      <c r="Y230" s="170"/>
      <c r="Z230" s="171"/>
      <c r="AB230" s="454">
        <f ca="1">IF(AND($D230="Serviço",AB$12&lt;&gt;0,$H230&gt;0,OR(AUTOEVENTO&lt;&gt;"manual",$M230&lt;&gt;$A$15)),
        IF(Import.TipoArredondamento&lt;&gt;"TransfereGOV",
              ROUND(OFFSET($P230,0,AB$13),15-13*ORÇAMENTO!$AF$7)/$H230*OFFSET(ORÇAMENTO!$X$15,ROW(AB230)-ROW(AB$15),0),
              ROUND(ROUND(OFFSET($P230,0,AB$13),15-13*ORÇAMENTO!$AF$7)*OFFSET(ORÇAMENTO!$W$15,ROW(AB230)-ROW(AB$15),0),15-13*ORÇAMENTO!$AF$11)),
         0)</f>
        <v>0</v>
      </c>
      <c r="AC230" s="454">
        <f ca="1">IF(AND($D230="Serviço",AC$12&lt;&gt;0,$H230&gt;0,OR(AUTOEVENTO&lt;&gt;"manual",$M230&lt;&gt;$A$15)),
        IF(Import.TipoArredondamento&lt;&gt;"TransfereGOV",
              ROUND(OFFSET($P230,0,AC$13),15-13*ORÇAMENTO!$AF$7)/$H230*OFFSET(ORÇAMENTO!$X$15,ROW(AC230)-ROW(AC$15),0),
              ROUND(ROUND(OFFSET($P230,0,AC$13),15-13*ORÇAMENTO!$AF$7)*OFFSET(ORÇAMENTO!$W$15,ROW(AC230)-ROW(AC$15),0),15-13*ORÇAMENTO!$AF$11)),
         0)</f>
        <v>0</v>
      </c>
      <c r="AD230" s="454">
        <f ca="1">IF(AND($D230="Serviço",AD$12&lt;&gt;0,$H230&gt;0,OR(AUTOEVENTO&lt;&gt;"manual",$M230&lt;&gt;$A$15)),
        IF(Import.TipoArredondamento&lt;&gt;"TransfereGOV",
              ROUND(OFFSET($P230,0,AD$13),15-13*ORÇAMENTO!$AF$7)/$H230*OFFSET(ORÇAMENTO!$X$15,ROW(AD230)-ROW(AD$15),0),
              ROUND(ROUND(OFFSET($P230,0,AD$13),15-13*ORÇAMENTO!$AF$7)*OFFSET(ORÇAMENTO!$W$15,ROW(AD230)-ROW(AD$15),0),15-13*ORÇAMENTO!$AF$11)),
         0)</f>
        <v>0</v>
      </c>
      <c r="AE230" s="454">
        <f ca="1">IF(AND($D230="Serviço",AE$12&lt;&gt;0,$H230&gt;0,OR(AUTOEVENTO&lt;&gt;"manual",$M230&lt;&gt;$A$15)),
        IF(Import.TipoArredondamento&lt;&gt;"TransfereGOV",
              ROUND(OFFSET($P230,0,AE$13),15-13*ORÇAMENTO!$AF$7)/$H230*OFFSET(ORÇAMENTO!$X$15,ROW(AE230)-ROW(AE$15),0),
              ROUND(ROUND(OFFSET($P230,0,AE$13),15-13*ORÇAMENTO!$AF$7)*OFFSET(ORÇAMENTO!$W$15,ROW(AE230)-ROW(AE$15),0),15-13*ORÇAMENTO!$AF$11)),
         0)</f>
        <v>0</v>
      </c>
      <c r="AF230" s="454">
        <f ca="1">IF(AND($D230="Serviço",AF$12&lt;&gt;0,$H230&gt;0,OR(AUTOEVENTO&lt;&gt;"manual",$M230&lt;&gt;$A$15)),
        IF(Import.TipoArredondamento&lt;&gt;"TransfereGOV",
              ROUND(OFFSET($P230,0,AF$13),15-13*ORÇAMENTO!$AF$7)/$H230*OFFSET(ORÇAMENTO!$X$15,ROW(AF230)-ROW(AF$15),0),
              ROUND(ROUND(OFFSET($P230,0,AF$13),15-13*ORÇAMENTO!$AF$7)*OFFSET(ORÇAMENTO!$W$15,ROW(AF230)-ROW(AF$15),0),15-13*ORÇAMENTO!$AF$11)),
         0)</f>
        <v>0</v>
      </c>
      <c r="AG230" s="454">
        <f ca="1">IF(AND($D230="Serviço",AG$12&lt;&gt;0,$H230&gt;0,OR(AUTOEVENTO&lt;&gt;"manual",$M230&lt;&gt;$A$15)),
        IF(Import.TipoArredondamento&lt;&gt;"TransfereGOV",
              ROUND(OFFSET($P230,0,AG$13),15-13*ORÇAMENTO!$AF$7)/$H230*OFFSET(ORÇAMENTO!$X$15,ROW(AG230)-ROW(AG$15),0),
              ROUND(ROUND(OFFSET($P230,0,AG$13),15-13*ORÇAMENTO!$AF$7)*OFFSET(ORÇAMENTO!$W$15,ROW(AG230)-ROW(AG$15),0),15-13*ORÇAMENTO!$AF$11)),
         0)</f>
        <v>0</v>
      </c>
      <c r="AH230" s="454">
        <f ca="1">IF(AND($D230="Serviço",AH$12&lt;&gt;0,$H230&gt;0,OR(AUTOEVENTO&lt;&gt;"manual",$M230&lt;&gt;$A$15)),
        IF(Import.TipoArredondamento&lt;&gt;"TransfereGOV",
              ROUND(OFFSET($P230,0,AH$13),15-13*ORÇAMENTO!$AF$7)/$H230*OFFSET(ORÇAMENTO!$X$15,ROW(AH230)-ROW(AH$15),0),
              ROUND(ROUND(OFFSET($P230,0,AH$13),15-13*ORÇAMENTO!$AF$7)*OFFSET(ORÇAMENTO!$W$15,ROW(AH230)-ROW(AH$15),0),15-13*ORÇAMENTO!$AF$11)),
         0)</f>
        <v>0</v>
      </c>
      <c r="AI230" s="454">
        <f ca="1">IF(AND($D230="Serviço",AI$12&lt;&gt;0,$H230&gt;0,OR(AUTOEVENTO&lt;&gt;"manual",$M230&lt;&gt;$A$15)),
        IF(Import.TipoArredondamento&lt;&gt;"TransfereGOV",
              ROUND(OFFSET($P230,0,AI$13),15-13*ORÇAMENTO!$AF$7)/$H230*OFFSET(ORÇAMENTO!$X$15,ROW(AI230)-ROW(AI$15),0),
              ROUND(ROUND(OFFSET($P230,0,AI$13),15-13*ORÇAMENTO!$AF$7)*OFFSET(ORÇAMENTO!$W$15,ROW(AI230)-ROW(AI$15),0),15-13*ORÇAMENTO!$AF$11)),
         0)</f>
        <v>0</v>
      </c>
      <c r="AJ230" s="454">
        <f ca="1">IF(AND($D230="Serviço",AJ$12&lt;&gt;0,$H230&gt;0,OR(AUTOEVENTO&lt;&gt;"manual",$M230&lt;&gt;$A$15)),
        IF(Import.TipoArredondamento&lt;&gt;"TransfereGOV",
              ROUND(OFFSET($P230,0,AJ$13),15-13*ORÇAMENTO!$AF$7)/$H230*OFFSET(ORÇAMENTO!$X$15,ROW(AJ230)-ROW(AJ$15),0),
              ROUND(ROUND(OFFSET($P230,0,AJ$13),15-13*ORÇAMENTO!$AF$7)*OFFSET(ORÇAMENTO!$W$15,ROW(AJ230)-ROW(AJ$15),0),15-13*ORÇAMENTO!$AF$11)),
         0)</f>
        <v>0</v>
      </c>
      <c r="AK230" s="454">
        <f ca="1">IF(AND($D230="Serviço",AK$12&lt;&gt;0,$H230&gt;0,OR(AUTOEVENTO&lt;&gt;"manual",$M230&lt;&gt;$A$15)),
        IF(Import.TipoArredondamento&lt;&gt;"TransfereGOV",
              ROUND(OFFSET($P230,0,AK$13),15-13*ORÇAMENTO!$AF$7)/$H230*OFFSET(ORÇAMENTO!$X$15,ROW(AK230)-ROW(AK$15),0),
              ROUND(ROUND(OFFSET($P230,0,AK$13),15-13*ORÇAMENTO!$AF$7)*OFFSET(ORÇAMENTO!$W$15,ROW(AK230)-ROW(AK$15),0),15-13*ORÇAMENTO!$AF$11)),
         0)</f>
        <v>0</v>
      </c>
      <c r="AM230" s="172">
        <f ca="1">IF(OR($D230&lt;&gt;"Serviço",AND(AUTOEVENTO="Manual",$M230=$A$15)),0,
         IF(OFFSET(CRONOPLE!$F$15,$M230-$A$15,AM$13)="",10^12,OFFSET(CRONOPLE!$F$15,$M230-$A$15,AM$13)))</f>
        <v>1000000000000</v>
      </c>
      <c r="AN230" s="172">
        <f ca="1">IF(OR($D230&lt;&gt;"Serviço",AND(AUTOEVENTO="Manual",$M230=$A$15)),0,
         IF(OFFSET(CRONOPLE!$F$15,$M230-$A$15,AN$13)="",10^12,OFFSET(CRONOPLE!$F$15,$M230-$A$15,AN$13)))</f>
        <v>1000000000000</v>
      </c>
      <c r="AO230" s="172">
        <f ca="1">IF(OR($D230&lt;&gt;"Serviço",AND(AUTOEVENTO="Manual",$M230=$A$15)),0,
         IF(OFFSET(CRONOPLE!$F$15,$M230-$A$15,AO$13)="",10^12,OFFSET(CRONOPLE!$F$15,$M230-$A$15,AO$13)))</f>
        <v>1000000000000</v>
      </c>
      <c r="AP230" s="172">
        <f ca="1">IF(OR($D230&lt;&gt;"Serviço",AND(AUTOEVENTO="Manual",$M230=$A$15)),0,
         IF(OFFSET(CRONOPLE!$F$15,$M230-$A$15,AP$13)="",10^12,OFFSET(CRONOPLE!$F$15,$M230-$A$15,AP$13)))</f>
        <v>1000000000000</v>
      </c>
      <c r="AQ230" s="172">
        <f ca="1">IF(OR($D230&lt;&gt;"Serviço",AND(AUTOEVENTO="Manual",$M230=$A$15)),0,
         IF(OFFSET(CRONOPLE!$F$15,$M230-$A$15,AQ$13)="",10^12,OFFSET(CRONOPLE!$F$15,$M230-$A$15,AQ$13)))</f>
        <v>1000000000000</v>
      </c>
      <c r="AR230" s="172">
        <f ca="1">IF(OR($D230&lt;&gt;"Serviço",AND(AUTOEVENTO="Manual",$M230=$A$15)),0,
         IF(OFFSET(CRONOPLE!$F$15,$M230-$A$15,AR$13)="",10^12,OFFSET(CRONOPLE!$F$15,$M230-$A$15,AR$13)))</f>
        <v>1000000000000</v>
      </c>
      <c r="AS230" s="172">
        <f ca="1">IF(OR($D230&lt;&gt;"Serviço",AND(AUTOEVENTO="Manual",$M230=$A$15)),0,
         IF(OFFSET(CRONOPLE!$F$15,$M230-$A$15,AS$13)="",10^12,OFFSET(CRONOPLE!$F$15,$M230-$A$15,AS$13)))</f>
        <v>1000000000000</v>
      </c>
      <c r="AT230" s="172">
        <f ca="1">IF(OR($D230&lt;&gt;"Serviço",AND(AUTOEVENTO="Manual",$M230=$A$15)),0,
         IF(OFFSET(CRONOPLE!$F$15,$M230-$A$15,AT$13)="",10^12,OFFSET(CRONOPLE!$F$15,$M230-$A$15,AT$13)))</f>
        <v>1000000000000</v>
      </c>
      <c r="AU230" s="172">
        <f ca="1">IF(OR($D230&lt;&gt;"Serviço",AND(AUTOEVENTO="Manual",$M230=$A$15)),0,
         IF(OFFSET(CRONOPLE!$F$15,$M230-$A$15,AU$13)="",10^12,OFFSET(CRONOPLE!$F$15,$M230-$A$15,AU$13)))</f>
        <v>1000000000000</v>
      </c>
      <c r="AV230" s="172">
        <f ca="1">IF(OR($D230&lt;&gt;"Serviço",AND(AUTOEVENTO="Manual",$M230=$A$15)),0,
         IF(OFFSET(CRONOPLE!$F$15,$M230-$A$15,AV$13)="",10^12,OFFSET(CRONOPLE!$F$15,$M230-$A$15,AV$13)))</f>
        <v>1000000000000</v>
      </c>
      <c r="AX230" s="173">
        <f ca="1">IF(OR($D230&lt;&gt;"Serviço",AND(AUTOEVENTO="Manual",$M230=$A$15),$M230&gt;(ROW(PLE.lastrow)-ROW(PLE.firstrow))),0,
           IF(OFFSET(PLE!$G$15,$M230-$A$15,AX$13)="",10^12,OFFSET(PLE!$G$15,$M230-$A$15,AX$13)))</f>
        <v>1000000000000</v>
      </c>
      <c r="AY230" s="173">
        <f ca="1">IF(OR($D230&lt;&gt;"Serviço",AND(AUTOEVENTO="Manual",$M230=$A$15),$M230&gt;(ROW(PLE.lastrow)-ROW(PLE.firstrow))),0,
           IF(OFFSET(PLE!$G$15,$M230-$A$15,AY$13)="",10^12,OFFSET(PLE!$G$15,$M230-$A$15,AY$13)))</f>
        <v>1000000000000</v>
      </c>
      <c r="AZ230" s="173">
        <f ca="1">IF(OR($D230&lt;&gt;"Serviço",AND(AUTOEVENTO="Manual",$M230=$A$15),$M230&gt;(ROW(PLE.lastrow)-ROW(PLE.firstrow))),0,
           IF(OFFSET(PLE!$G$15,$M230-$A$15,AZ$13)="",10^12,OFFSET(PLE!$G$15,$M230-$A$15,AZ$13)))</f>
        <v>1000000000000</v>
      </c>
      <c r="BA230" s="173">
        <f ca="1">IF(OR($D230&lt;&gt;"Serviço",AND(AUTOEVENTO="Manual",$M230=$A$15),$M230&gt;(ROW(PLE.lastrow)-ROW(PLE.firstrow))),0,
           IF(OFFSET(PLE!$G$15,$M230-$A$15,BA$13)="",10^12,OFFSET(PLE!$G$15,$M230-$A$15,BA$13)))</f>
        <v>1000000000000</v>
      </c>
      <c r="BB230" s="173">
        <f ca="1">IF(OR($D230&lt;&gt;"Serviço",AND(AUTOEVENTO="Manual",$M230=$A$15),$M230&gt;(ROW(PLE.lastrow)-ROW(PLE.firstrow))),0,
           IF(OFFSET(PLE!$G$15,$M230-$A$15,BB$13)="",10^12,OFFSET(PLE!$G$15,$M230-$A$15,BB$13)))</f>
        <v>1000000000000</v>
      </c>
      <c r="BC230" s="173">
        <f ca="1">IF(OR($D230&lt;&gt;"Serviço",AND(AUTOEVENTO="Manual",$M230=$A$15),$M230&gt;(ROW(PLE.lastrow)-ROW(PLE.firstrow))),0,
           IF(OFFSET(PLE!$G$15,$M230-$A$15,BC$13)="",10^12,OFFSET(PLE!$G$15,$M230-$A$15,BC$13)))</f>
        <v>1000000000000</v>
      </c>
      <c r="BD230" s="173">
        <f ca="1">IF(OR($D230&lt;&gt;"Serviço",AND(AUTOEVENTO="Manual",$M230=$A$15),$M230&gt;(ROW(PLE.lastrow)-ROW(PLE.firstrow))),0,
           IF(OFFSET(PLE!$G$15,$M230-$A$15,BD$13)="",10^12,OFFSET(PLE!$G$15,$M230-$A$15,BD$13)))</f>
        <v>1000000000000</v>
      </c>
      <c r="BE230" s="173">
        <f ca="1">IF(OR($D230&lt;&gt;"Serviço",AND(AUTOEVENTO="Manual",$M230=$A$15),$M230&gt;(ROW(PLE.lastrow)-ROW(PLE.firstrow))),0,
           IF(OFFSET(PLE!$G$15,$M230-$A$15,BE$13)="",10^12,OFFSET(PLE!$G$15,$M230-$A$15,BE$13)))</f>
        <v>1000000000000</v>
      </c>
      <c r="BF230" s="173">
        <f ca="1">IF(OR($D230&lt;&gt;"Serviço",AND(AUTOEVENTO="Manual",$M230=$A$15),$M230&gt;(ROW(PLE.lastrow)-ROW(PLE.firstrow))),0,
           IF(OFFSET(PLE!$G$15,$M230-$A$15,BF$13)="",10^12,OFFSET(PLE!$G$15,$M230-$A$15,BF$13)))</f>
        <v>1000000000000</v>
      </c>
      <c r="BG230" s="173">
        <f ca="1">IF(OR($D230&lt;&gt;"Serviço",AND(AUTOEVENTO="Manual",$M230=$A$15),$M230&gt;(ROW(PLE.lastrow)-ROW(PLE.firstrow))),0,
           IF(OFFSET(PLE!$G$15,$M230-$A$15,BG$13)="",10^12,OFFSET(PLE!$G$15,$M230-$A$15,BG$13)))</f>
        <v>1000000000000</v>
      </c>
    </row>
    <row r="231" spans="1:59" ht="38.25" x14ac:dyDescent="0.2">
      <c r="A231" s="7" t="str">
        <f t="shared" ca="1" si="11"/>
        <v>210</v>
      </c>
      <c r="B231" s="7" t="str">
        <f ca="1">OFFSET(ORÇAMENTO!C$15,ROW(B231)-ROW(B$15),0)</f>
        <v>S</v>
      </c>
      <c r="C231" s="7" t="str">
        <f ca="1">OFFSET(ORÇAMENTO!L$15,ROW(C231)-ROW(C$15),0)</f>
        <v/>
      </c>
      <c r="D231" s="117" t="str">
        <f ca="1">OFFSET(ORÇAMENTO!N$15,ROW(D231)-ROW(D$15),0)</f>
        <v>Serviço</v>
      </c>
      <c r="E231" s="118" t="str">
        <f ca="1">OFFSET(ORÇAMENTO!O$15,ROW(E231)-ROW(E$15),0)</f>
        <v>-</v>
      </c>
      <c r="F231" s="164" t="str">
        <f ca="1">OFFSET(ORÇAMENTO!R$15,ROW(F231)-ROW(F$15),0)</f>
        <v>VÁLVULA DE DESCARGA METÁLICA, DUPLO ACIONAMENTO ECO, BASE 1.1/2", ACABAMENTO METÁLICO CROMADO - FORNECIMENTO E INSTALAÇÃO</v>
      </c>
      <c r="G231" s="165" t="str">
        <f ca="1">IF($D231&lt;&gt;"Serviço","",OFFSET(ORÇAMENTO!S$15,ROW(G231)-ROW(G$15),0))</f>
        <v>UN</v>
      </c>
      <c r="H231" s="123">
        <f ca="1">IF($D231&lt;&gt;"Serviço",0,IF(ACOMPANHAMENTO="BM",ROUND(OFFSET(ORÇAMENTO!AJ$15,ROW(H231)-ROW(H$15),0),15-13*ORÇAMENTO!$AF$7),SUMPRODUCT(($Q$1:$AA$1=1)*ROUND($Q231:$AA231,15-13*ORÇAMENTO!$AF$7))))</f>
        <v>27</v>
      </c>
      <c r="I231" s="469"/>
      <c r="J231" s="577" t="str" cm="1">
        <f t="array" aca="1" ref="J231" ca="1">IF(B231&lt;&gt;"S","",IF(AND(ACOMPANHAMENTO="PLE",AUTOEVENTO="Manual",OR(H231&gt;0,ORÇAMENTO!AC231="QUANT."),OR(K231="",M231=0,N231="")),"►",IF(AND(ACOMPANHAMENTO="PLE",ORÇAMENTO!AC231="QUANT."),"►►",IF(AND(COUNTIF($P$11:$AA$11,"▼")=0,H231&gt;0,I231=""),"◄",""))))</f>
        <v>◄</v>
      </c>
      <c r="K231" s="626"/>
      <c r="L231" s="166" t="s">
        <v>765</v>
      </c>
      <c r="M231" s="167">
        <f ca="1">IF($D231&lt;&gt;"Serviço","",
          IF(AUTOEVENTO="manual",$A231,
                IF(ISERROR(MATCH($A231,$A$15:OFFSET($A231,-1,0),0)),MAX($M$15:OFFSET(M231,-1,0))+1,
                      INDEX($M$15:OFFSET(M231,-1,0),MATCH($A231,$A$15:OFFSET($A231,-1,0),0)))))</f>
        <v>13</v>
      </c>
      <c r="N231" s="168" t="str">
        <f ca="1">IF($D231&lt;&gt;"Serviço","",
         IF(AUTOEVENTO="Manual",
                IF($A231=0,"&lt;-- defina o número do agrupador",
                       OFFSET(EVENTOS!$D$15,$A231-$A$15,0)),
                OFFSET($F$15,$A231,0)))</f>
        <v>LOUÇAS E ACESSÓRIOS</v>
      </c>
      <c r="O231" s="169"/>
      <c r="Q231" s="169"/>
      <c r="R231" s="170"/>
      <c r="S231" s="170"/>
      <c r="T231" s="170"/>
      <c r="U231" s="170"/>
      <c r="V231" s="170"/>
      <c r="W231" s="170"/>
      <c r="X231" s="170"/>
      <c r="Y231" s="170"/>
      <c r="Z231" s="171"/>
      <c r="AB231" s="454">
        <f ca="1">IF(AND($D231="Serviço",AB$12&lt;&gt;0,$H231&gt;0,OR(AUTOEVENTO&lt;&gt;"manual",$M231&lt;&gt;$A$15)),
        IF(Import.TipoArredondamento&lt;&gt;"TransfereGOV",
              ROUND(OFFSET($P231,0,AB$13),15-13*ORÇAMENTO!$AF$7)/$H231*OFFSET(ORÇAMENTO!$X$15,ROW(AB231)-ROW(AB$15),0),
              ROUND(ROUND(OFFSET($P231,0,AB$13),15-13*ORÇAMENTO!$AF$7)*OFFSET(ORÇAMENTO!$W$15,ROW(AB231)-ROW(AB$15),0),15-13*ORÇAMENTO!$AF$11)),
         0)</f>
        <v>0</v>
      </c>
      <c r="AC231" s="454">
        <f ca="1">IF(AND($D231="Serviço",AC$12&lt;&gt;0,$H231&gt;0,OR(AUTOEVENTO&lt;&gt;"manual",$M231&lt;&gt;$A$15)),
        IF(Import.TipoArredondamento&lt;&gt;"TransfereGOV",
              ROUND(OFFSET($P231,0,AC$13),15-13*ORÇAMENTO!$AF$7)/$H231*OFFSET(ORÇAMENTO!$X$15,ROW(AC231)-ROW(AC$15),0),
              ROUND(ROUND(OFFSET($P231,0,AC$13),15-13*ORÇAMENTO!$AF$7)*OFFSET(ORÇAMENTO!$W$15,ROW(AC231)-ROW(AC$15),0),15-13*ORÇAMENTO!$AF$11)),
         0)</f>
        <v>0</v>
      </c>
      <c r="AD231" s="454">
        <f ca="1">IF(AND($D231="Serviço",AD$12&lt;&gt;0,$H231&gt;0,OR(AUTOEVENTO&lt;&gt;"manual",$M231&lt;&gt;$A$15)),
        IF(Import.TipoArredondamento&lt;&gt;"TransfereGOV",
              ROUND(OFFSET($P231,0,AD$13),15-13*ORÇAMENTO!$AF$7)/$H231*OFFSET(ORÇAMENTO!$X$15,ROW(AD231)-ROW(AD$15),0),
              ROUND(ROUND(OFFSET($P231,0,AD$13),15-13*ORÇAMENTO!$AF$7)*OFFSET(ORÇAMENTO!$W$15,ROW(AD231)-ROW(AD$15),0),15-13*ORÇAMENTO!$AF$11)),
         0)</f>
        <v>0</v>
      </c>
      <c r="AE231" s="454">
        <f ca="1">IF(AND($D231="Serviço",AE$12&lt;&gt;0,$H231&gt;0,OR(AUTOEVENTO&lt;&gt;"manual",$M231&lt;&gt;$A$15)),
        IF(Import.TipoArredondamento&lt;&gt;"TransfereGOV",
              ROUND(OFFSET($P231,0,AE$13),15-13*ORÇAMENTO!$AF$7)/$H231*OFFSET(ORÇAMENTO!$X$15,ROW(AE231)-ROW(AE$15),0),
              ROUND(ROUND(OFFSET($P231,0,AE$13),15-13*ORÇAMENTO!$AF$7)*OFFSET(ORÇAMENTO!$W$15,ROW(AE231)-ROW(AE$15),0),15-13*ORÇAMENTO!$AF$11)),
         0)</f>
        <v>0</v>
      </c>
      <c r="AF231" s="454">
        <f ca="1">IF(AND($D231="Serviço",AF$12&lt;&gt;0,$H231&gt;0,OR(AUTOEVENTO&lt;&gt;"manual",$M231&lt;&gt;$A$15)),
        IF(Import.TipoArredondamento&lt;&gt;"TransfereGOV",
              ROUND(OFFSET($P231,0,AF$13),15-13*ORÇAMENTO!$AF$7)/$H231*OFFSET(ORÇAMENTO!$X$15,ROW(AF231)-ROW(AF$15),0),
              ROUND(ROUND(OFFSET($P231,0,AF$13),15-13*ORÇAMENTO!$AF$7)*OFFSET(ORÇAMENTO!$W$15,ROW(AF231)-ROW(AF$15),0),15-13*ORÇAMENTO!$AF$11)),
         0)</f>
        <v>0</v>
      </c>
      <c r="AG231" s="454">
        <f ca="1">IF(AND($D231="Serviço",AG$12&lt;&gt;0,$H231&gt;0,OR(AUTOEVENTO&lt;&gt;"manual",$M231&lt;&gt;$A$15)),
        IF(Import.TipoArredondamento&lt;&gt;"TransfereGOV",
              ROUND(OFFSET($P231,0,AG$13),15-13*ORÇAMENTO!$AF$7)/$H231*OFFSET(ORÇAMENTO!$X$15,ROW(AG231)-ROW(AG$15),0),
              ROUND(ROUND(OFFSET($P231,0,AG$13),15-13*ORÇAMENTO!$AF$7)*OFFSET(ORÇAMENTO!$W$15,ROW(AG231)-ROW(AG$15),0),15-13*ORÇAMENTO!$AF$11)),
         0)</f>
        <v>0</v>
      </c>
      <c r="AH231" s="454">
        <f ca="1">IF(AND($D231="Serviço",AH$12&lt;&gt;0,$H231&gt;0,OR(AUTOEVENTO&lt;&gt;"manual",$M231&lt;&gt;$A$15)),
        IF(Import.TipoArredondamento&lt;&gt;"TransfereGOV",
              ROUND(OFFSET($P231,0,AH$13),15-13*ORÇAMENTO!$AF$7)/$H231*OFFSET(ORÇAMENTO!$X$15,ROW(AH231)-ROW(AH$15),0),
              ROUND(ROUND(OFFSET($P231,0,AH$13),15-13*ORÇAMENTO!$AF$7)*OFFSET(ORÇAMENTO!$W$15,ROW(AH231)-ROW(AH$15),0),15-13*ORÇAMENTO!$AF$11)),
         0)</f>
        <v>0</v>
      </c>
      <c r="AI231" s="454">
        <f ca="1">IF(AND($D231="Serviço",AI$12&lt;&gt;0,$H231&gt;0,OR(AUTOEVENTO&lt;&gt;"manual",$M231&lt;&gt;$A$15)),
        IF(Import.TipoArredondamento&lt;&gt;"TransfereGOV",
              ROUND(OFFSET($P231,0,AI$13),15-13*ORÇAMENTO!$AF$7)/$H231*OFFSET(ORÇAMENTO!$X$15,ROW(AI231)-ROW(AI$15),0),
              ROUND(ROUND(OFFSET($P231,0,AI$13),15-13*ORÇAMENTO!$AF$7)*OFFSET(ORÇAMENTO!$W$15,ROW(AI231)-ROW(AI$15),0),15-13*ORÇAMENTO!$AF$11)),
         0)</f>
        <v>0</v>
      </c>
      <c r="AJ231" s="454">
        <f ca="1">IF(AND($D231="Serviço",AJ$12&lt;&gt;0,$H231&gt;0,OR(AUTOEVENTO&lt;&gt;"manual",$M231&lt;&gt;$A$15)),
        IF(Import.TipoArredondamento&lt;&gt;"TransfereGOV",
              ROUND(OFFSET($P231,0,AJ$13),15-13*ORÇAMENTO!$AF$7)/$H231*OFFSET(ORÇAMENTO!$X$15,ROW(AJ231)-ROW(AJ$15),0),
              ROUND(ROUND(OFFSET($P231,0,AJ$13),15-13*ORÇAMENTO!$AF$7)*OFFSET(ORÇAMENTO!$W$15,ROW(AJ231)-ROW(AJ$15),0),15-13*ORÇAMENTO!$AF$11)),
         0)</f>
        <v>0</v>
      </c>
      <c r="AK231" s="454">
        <f ca="1">IF(AND($D231="Serviço",AK$12&lt;&gt;0,$H231&gt;0,OR(AUTOEVENTO&lt;&gt;"manual",$M231&lt;&gt;$A$15)),
        IF(Import.TipoArredondamento&lt;&gt;"TransfereGOV",
              ROUND(OFFSET($P231,0,AK$13),15-13*ORÇAMENTO!$AF$7)/$H231*OFFSET(ORÇAMENTO!$X$15,ROW(AK231)-ROW(AK$15),0),
              ROUND(ROUND(OFFSET($P231,0,AK$13),15-13*ORÇAMENTO!$AF$7)*OFFSET(ORÇAMENTO!$W$15,ROW(AK231)-ROW(AK$15),0),15-13*ORÇAMENTO!$AF$11)),
         0)</f>
        <v>0</v>
      </c>
      <c r="AM231" s="172">
        <f ca="1">IF(OR($D231&lt;&gt;"Serviço",AND(AUTOEVENTO="Manual",$M231=$A$15)),0,
         IF(OFFSET(CRONOPLE!$F$15,$M231-$A$15,AM$13)="",10^12,OFFSET(CRONOPLE!$F$15,$M231-$A$15,AM$13)))</f>
        <v>1000000000000</v>
      </c>
      <c r="AN231" s="172">
        <f ca="1">IF(OR($D231&lt;&gt;"Serviço",AND(AUTOEVENTO="Manual",$M231=$A$15)),0,
         IF(OFFSET(CRONOPLE!$F$15,$M231-$A$15,AN$13)="",10^12,OFFSET(CRONOPLE!$F$15,$M231-$A$15,AN$13)))</f>
        <v>1000000000000</v>
      </c>
      <c r="AO231" s="172">
        <f ca="1">IF(OR($D231&lt;&gt;"Serviço",AND(AUTOEVENTO="Manual",$M231=$A$15)),0,
         IF(OFFSET(CRONOPLE!$F$15,$M231-$A$15,AO$13)="",10^12,OFFSET(CRONOPLE!$F$15,$M231-$A$15,AO$13)))</f>
        <v>1000000000000</v>
      </c>
      <c r="AP231" s="172">
        <f ca="1">IF(OR($D231&lt;&gt;"Serviço",AND(AUTOEVENTO="Manual",$M231=$A$15)),0,
         IF(OFFSET(CRONOPLE!$F$15,$M231-$A$15,AP$13)="",10^12,OFFSET(CRONOPLE!$F$15,$M231-$A$15,AP$13)))</f>
        <v>1000000000000</v>
      </c>
      <c r="AQ231" s="172">
        <f ca="1">IF(OR($D231&lt;&gt;"Serviço",AND(AUTOEVENTO="Manual",$M231=$A$15)),0,
         IF(OFFSET(CRONOPLE!$F$15,$M231-$A$15,AQ$13)="",10^12,OFFSET(CRONOPLE!$F$15,$M231-$A$15,AQ$13)))</f>
        <v>1000000000000</v>
      </c>
      <c r="AR231" s="172">
        <f ca="1">IF(OR($D231&lt;&gt;"Serviço",AND(AUTOEVENTO="Manual",$M231=$A$15)),0,
         IF(OFFSET(CRONOPLE!$F$15,$M231-$A$15,AR$13)="",10^12,OFFSET(CRONOPLE!$F$15,$M231-$A$15,AR$13)))</f>
        <v>1000000000000</v>
      </c>
      <c r="AS231" s="172">
        <f ca="1">IF(OR($D231&lt;&gt;"Serviço",AND(AUTOEVENTO="Manual",$M231=$A$15)),0,
         IF(OFFSET(CRONOPLE!$F$15,$M231-$A$15,AS$13)="",10^12,OFFSET(CRONOPLE!$F$15,$M231-$A$15,AS$13)))</f>
        <v>1000000000000</v>
      </c>
      <c r="AT231" s="172">
        <f ca="1">IF(OR($D231&lt;&gt;"Serviço",AND(AUTOEVENTO="Manual",$M231=$A$15)),0,
         IF(OFFSET(CRONOPLE!$F$15,$M231-$A$15,AT$13)="",10^12,OFFSET(CRONOPLE!$F$15,$M231-$A$15,AT$13)))</f>
        <v>1000000000000</v>
      </c>
      <c r="AU231" s="172">
        <f ca="1">IF(OR($D231&lt;&gt;"Serviço",AND(AUTOEVENTO="Manual",$M231=$A$15)),0,
         IF(OFFSET(CRONOPLE!$F$15,$M231-$A$15,AU$13)="",10^12,OFFSET(CRONOPLE!$F$15,$M231-$A$15,AU$13)))</f>
        <v>1000000000000</v>
      </c>
      <c r="AV231" s="172">
        <f ca="1">IF(OR($D231&lt;&gt;"Serviço",AND(AUTOEVENTO="Manual",$M231=$A$15)),0,
         IF(OFFSET(CRONOPLE!$F$15,$M231-$A$15,AV$13)="",10^12,OFFSET(CRONOPLE!$F$15,$M231-$A$15,AV$13)))</f>
        <v>1000000000000</v>
      </c>
      <c r="AX231" s="173">
        <f ca="1">IF(OR($D231&lt;&gt;"Serviço",AND(AUTOEVENTO="Manual",$M231=$A$15),$M231&gt;(ROW(PLE.lastrow)-ROW(PLE.firstrow))),0,
           IF(OFFSET(PLE!$G$15,$M231-$A$15,AX$13)="",10^12,OFFSET(PLE!$G$15,$M231-$A$15,AX$13)))</f>
        <v>1000000000000</v>
      </c>
      <c r="AY231" s="173">
        <f ca="1">IF(OR($D231&lt;&gt;"Serviço",AND(AUTOEVENTO="Manual",$M231=$A$15),$M231&gt;(ROW(PLE.lastrow)-ROW(PLE.firstrow))),0,
           IF(OFFSET(PLE!$G$15,$M231-$A$15,AY$13)="",10^12,OFFSET(PLE!$G$15,$M231-$A$15,AY$13)))</f>
        <v>1000000000000</v>
      </c>
      <c r="AZ231" s="173">
        <f ca="1">IF(OR($D231&lt;&gt;"Serviço",AND(AUTOEVENTO="Manual",$M231=$A$15),$M231&gt;(ROW(PLE.lastrow)-ROW(PLE.firstrow))),0,
           IF(OFFSET(PLE!$G$15,$M231-$A$15,AZ$13)="",10^12,OFFSET(PLE!$G$15,$M231-$A$15,AZ$13)))</f>
        <v>1000000000000</v>
      </c>
      <c r="BA231" s="173">
        <f ca="1">IF(OR($D231&lt;&gt;"Serviço",AND(AUTOEVENTO="Manual",$M231=$A$15),$M231&gt;(ROW(PLE.lastrow)-ROW(PLE.firstrow))),0,
           IF(OFFSET(PLE!$G$15,$M231-$A$15,BA$13)="",10^12,OFFSET(PLE!$G$15,$M231-$A$15,BA$13)))</f>
        <v>1000000000000</v>
      </c>
      <c r="BB231" s="173">
        <f ca="1">IF(OR($D231&lt;&gt;"Serviço",AND(AUTOEVENTO="Manual",$M231=$A$15),$M231&gt;(ROW(PLE.lastrow)-ROW(PLE.firstrow))),0,
           IF(OFFSET(PLE!$G$15,$M231-$A$15,BB$13)="",10^12,OFFSET(PLE!$G$15,$M231-$A$15,BB$13)))</f>
        <v>1000000000000</v>
      </c>
      <c r="BC231" s="173">
        <f ca="1">IF(OR($D231&lt;&gt;"Serviço",AND(AUTOEVENTO="Manual",$M231=$A$15),$M231&gt;(ROW(PLE.lastrow)-ROW(PLE.firstrow))),0,
           IF(OFFSET(PLE!$G$15,$M231-$A$15,BC$13)="",10^12,OFFSET(PLE!$G$15,$M231-$A$15,BC$13)))</f>
        <v>1000000000000</v>
      </c>
      <c r="BD231" s="173">
        <f ca="1">IF(OR($D231&lt;&gt;"Serviço",AND(AUTOEVENTO="Manual",$M231=$A$15),$M231&gt;(ROW(PLE.lastrow)-ROW(PLE.firstrow))),0,
           IF(OFFSET(PLE!$G$15,$M231-$A$15,BD$13)="",10^12,OFFSET(PLE!$G$15,$M231-$A$15,BD$13)))</f>
        <v>1000000000000</v>
      </c>
      <c r="BE231" s="173">
        <f ca="1">IF(OR($D231&lt;&gt;"Serviço",AND(AUTOEVENTO="Manual",$M231=$A$15),$M231&gt;(ROW(PLE.lastrow)-ROW(PLE.firstrow))),0,
           IF(OFFSET(PLE!$G$15,$M231-$A$15,BE$13)="",10^12,OFFSET(PLE!$G$15,$M231-$A$15,BE$13)))</f>
        <v>1000000000000</v>
      </c>
      <c r="BF231" s="173">
        <f ca="1">IF(OR($D231&lt;&gt;"Serviço",AND(AUTOEVENTO="Manual",$M231=$A$15),$M231&gt;(ROW(PLE.lastrow)-ROW(PLE.firstrow))),0,
           IF(OFFSET(PLE!$G$15,$M231-$A$15,BF$13)="",10^12,OFFSET(PLE!$G$15,$M231-$A$15,BF$13)))</f>
        <v>1000000000000</v>
      </c>
      <c r="BG231" s="173">
        <f ca="1">IF(OR($D231&lt;&gt;"Serviço",AND(AUTOEVENTO="Manual",$M231=$A$15),$M231&gt;(ROW(PLE.lastrow)-ROW(PLE.firstrow))),0,
           IF(OFFSET(PLE!$G$15,$M231-$A$15,BG$13)="",10^12,OFFSET(PLE!$G$15,$M231-$A$15,BG$13)))</f>
        <v>1000000000000</v>
      </c>
    </row>
    <row r="232" spans="1:59" ht="38.25" x14ac:dyDescent="0.2">
      <c r="A232" s="7" t="str">
        <f t="shared" ca="1" si="11"/>
        <v>210</v>
      </c>
      <c r="B232" s="7" t="str">
        <f ca="1">OFFSET(ORÇAMENTO!C$15,ROW(B232)-ROW(B$15),0)</f>
        <v>S</v>
      </c>
      <c r="C232" s="7" t="str">
        <f ca="1">OFFSET(ORÇAMENTO!L$15,ROW(C232)-ROW(C$15),0)</f>
        <v/>
      </c>
      <c r="D232" s="117" t="str">
        <f ca="1">OFFSET(ORÇAMENTO!N$15,ROW(D232)-ROW(D$15),0)</f>
        <v>Serviço</v>
      </c>
      <c r="E232" s="118" t="str">
        <f ca="1">OFFSET(ORÇAMENTO!O$15,ROW(E232)-ROW(E$15),0)</f>
        <v>-</v>
      </c>
      <c r="F232" s="164" t="str">
        <f ca="1">OFFSET(ORÇAMENTO!R$15,ROW(F232)-ROW(F$15),0)</f>
        <v>TORNEIRA COM ALAVANCA CROMADA DE MESA, 1/2" OU 3/4", PARA SANITÁRIO PCD, BICA BAIXA - FORNECIMENTO E INSTALAÇÃO. AF_01/2020</v>
      </c>
      <c r="G232" s="165" t="str">
        <f ca="1">IF($D232&lt;&gt;"Serviço","",OFFSET(ORÇAMENTO!S$15,ROW(G232)-ROW(G$15),0))</f>
        <v xml:space="preserve">UN    </v>
      </c>
      <c r="H232" s="123">
        <f ca="1">IF($D232&lt;&gt;"Serviço",0,IF(ACOMPANHAMENTO="BM",ROUND(OFFSET(ORÇAMENTO!AJ$15,ROW(H232)-ROW(H$15),0),15-13*ORÇAMENTO!$AF$7),SUMPRODUCT(($Q$1:$AA$1=1)*ROUND($Q232:$AA232,15-13*ORÇAMENTO!$AF$7))))</f>
        <v>6</v>
      </c>
      <c r="I232" s="469"/>
      <c r="J232" s="577" t="str" cm="1">
        <f t="array" aca="1" ref="J232" ca="1">IF(B232&lt;&gt;"S","",IF(AND(ACOMPANHAMENTO="PLE",AUTOEVENTO="Manual",OR(H232&gt;0,ORÇAMENTO!AC232="QUANT."),OR(K232="",M232=0,N232="")),"►",IF(AND(ACOMPANHAMENTO="PLE",ORÇAMENTO!AC232="QUANT."),"►►",IF(AND(COUNTIF($P$11:$AA$11,"▼")=0,H232&gt;0,I232=""),"◄",""))))</f>
        <v>◄</v>
      </c>
      <c r="K232" s="626"/>
      <c r="L232" s="166" t="s">
        <v>765</v>
      </c>
      <c r="M232" s="167">
        <f ca="1">IF($D232&lt;&gt;"Serviço","",
          IF(AUTOEVENTO="manual",$A232,
                IF(ISERROR(MATCH($A232,$A$15:OFFSET($A232,-1,0),0)),MAX($M$15:OFFSET(M232,-1,0))+1,
                      INDEX($M$15:OFFSET(M232,-1,0),MATCH($A232,$A$15:OFFSET($A232,-1,0),0)))))</f>
        <v>13</v>
      </c>
      <c r="N232" s="168" t="str">
        <f ca="1">IF($D232&lt;&gt;"Serviço","",
         IF(AUTOEVENTO="Manual",
                IF($A232=0,"&lt;-- defina o número do agrupador",
                       OFFSET(EVENTOS!$D$15,$A232-$A$15,0)),
                OFFSET($F$15,$A232,0)))</f>
        <v>LOUÇAS E ACESSÓRIOS</v>
      </c>
      <c r="O232" s="169"/>
      <c r="Q232" s="169"/>
      <c r="R232" s="170"/>
      <c r="S232" s="170"/>
      <c r="T232" s="170"/>
      <c r="U232" s="170"/>
      <c r="V232" s="170"/>
      <c r="W232" s="170"/>
      <c r="X232" s="170"/>
      <c r="Y232" s="170"/>
      <c r="Z232" s="171"/>
      <c r="AB232" s="454">
        <f ca="1">IF(AND($D232="Serviço",AB$12&lt;&gt;0,$H232&gt;0,OR(AUTOEVENTO&lt;&gt;"manual",$M232&lt;&gt;$A$15)),
        IF(Import.TipoArredondamento&lt;&gt;"TransfereGOV",
              ROUND(OFFSET($P232,0,AB$13),15-13*ORÇAMENTO!$AF$7)/$H232*OFFSET(ORÇAMENTO!$X$15,ROW(AB232)-ROW(AB$15),0),
              ROUND(ROUND(OFFSET($P232,0,AB$13),15-13*ORÇAMENTO!$AF$7)*OFFSET(ORÇAMENTO!$W$15,ROW(AB232)-ROW(AB$15),0),15-13*ORÇAMENTO!$AF$11)),
         0)</f>
        <v>0</v>
      </c>
      <c r="AC232" s="454">
        <f ca="1">IF(AND($D232="Serviço",AC$12&lt;&gt;0,$H232&gt;0,OR(AUTOEVENTO&lt;&gt;"manual",$M232&lt;&gt;$A$15)),
        IF(Import.TipoArredondamento&lt;&gt;"TransfereGOV",
              ROUND(OFFSET($P232,0,AC$13),15-13*ORÇAMENTO!$AF$7)/$H232*OFFSET(ORÇAMENTO!$X$15,ROW(AC232)-ROW(AC$15),0),
              ROUND(ROUND(OFFSET($P232,0,AC$13),15-13*ORÇAMENTO!$AF$7)*OFFSET(ORÇAMENTO!$W$15,ROW(AC232)-ROW(AC$15),0),15-13*ORÇAMENTO!$AF$11)),
         0)</f>
        <v>0</v>
      </c>
      <c r="AD232" s="454">
        <f ca="1">IF(AND($D232="Serviço",AD$12&lt;&gt;0,$H232&gt;0,OR(AUTOEVENTO&lt;&gt;"manual",$M232&lt;&gt;$A$15)),
        IF(Import.TipoArredondamento&lt;&gt;"TransfereGOV",
              ROUND(OFFSET($P232,0,AD$13),15-13*ORÇAMENTO!$AF$7)/$H232*OFFSET(ORÇAMENTO!$X$15,ROW(AD232)-ROW(AD$15),0),
              ROUND(ROUND(OFFSET($P232,0,AD$13),15-13*ORÇAMENTO!$AF$7)*OFFSET(ORÇAMENTO!$W$15,ROW(AD232)-ROW(AD$15),0),15-13*ORÇAMENTO!$AF$11)),
         0)</f>
        <v>0</v>
      </c>
      <c r="AE232" s="454">
        <f ca="1">IF(AND($D232="Serviço",AE$12&lt;&gt;0,$H232&gt;0,OR(AUTOEVENTO&lt;&gt;"manual",$M232&lt;&gt;$A$15)),
        IF(Import.TipoArredondamento&lt;&gt;"TransfereGOV",
              ROUND(OFFSET($P232,0,AE$13),15-13*ORÇAMENTO!$AF$7)/$H232*OFFSET(ORÇAMENTO!$X$15,ROW(AE232)-ROW(AE$15),0),
              ROUND(ROUND(OFFSET($P232,0,AE$13),15-13*ORÇAMENTO!$AF$7)*OFFSET(ORÇAMENTO!$W$15,ROW(AE232)-ROW(AE$15),0),15-13*ORÇAMENTO!$AF$11)),
         0)</f>
        <v>0</v>
      </c>
      <c r="AF232" s="454">
        <f ca="1">IF(AND($D232="Serviço",AF$12&lt;&gt;0,$H232&gt;0,OR(AUTOEVENTO&lt;&gt;"manual",$M232&lt;&gt;$A$15)),
        IF(Import.TipoArredondamento&lt;&gt;"TransfereGOV",
              ROUND(OFFSET($P232,0,AF$13),15-13*ORÇAMENTO!$AF$7)/$H232*OFFSET(ORÇAMENTO!$X$15,ROW(AF232)-ROW(AF$15),0),
              ROUND(ROUND(OFFSET($P232,0,AF$13),15-13*ORÇAMENTO!$AF$7)*OFFSET(ORÇAMENTO!$W$15,ROW(AF232)-ROW(AF$15),0),15-13*ORÇAMENTO!$AF$11)),
         0)</f>
        <v>0</v>
      </c>
      <c r="AG232" s="454">
        <f ca="1">IF(AND($D232="Serviço",AG$12&lt;&gt;0,$H232&gt;0,OR(AUTOEVENTO&lt;&gt;"manual",$M232&lt;&gt;$A$15)),
        IF(Import.TipoArredondamento&lt;&gt;"TransfereGOV",
              ROUND(OFFSET($P232,0,AG$13),15-13*ORÇAMENTO!$AF$7)/$H232*OFFSET(ORÇAMENTO!$X$15,ROW(AG232)-ROW(AG$15),0),
              ROUND(ROUND(OFFSET($P232,0,AG$13),15-13*ORÇAMENTO!$AF$7)*OFFSET(ORÇAMENTO!$W$15,ROW(AG232)-ROW(AG$15),0),15-13*ORÇAMENTO!$AF$11)),
         0)</f>
        <v>0</v>
      </c>
      <c r="AH232" s="454">
        <f ca="1">IF(AND($D232="Serviço",AH$12&lt;&gt;0,$H232&gt;0,OR(AUTOEVENTO&lt;&gt;"manual",$M232&lt;&gt;$A$15)),
        IF(Import.TipoArredondamento&lt;&gt;"TransfereGOV",
              ROUND(OFFSET($P232,0,AH$13),15-13*ORÇAMENTO!$AF$7)/$H232*OFFSET(ORÇAMENTO!$X$15,ROW(AH232)-ROW(AH$15),0),
              ROUND(ROUND(OFFSET($P232,0,AH$13),15-13*ORÇAMENTO!$AF$7)*OFFSET(ORÇAMENTO!$W$15,ROW(AH232)-ROW(AH$15),0),15-13*ORÇAMENTO!$AF$11)),
         0)</f>
        <v>0</v>
      </c>
      <c r="AI232" s="454">
        <f ca="1">IF(AND($D232="Serviço",AI$12&lt;&gt;0,$H232&gt;0,OR(AUTOEVENTO&lt;&gt;"manual",$M232&lt;&gt;$A$15)),
        IF(Import.TipoArredondamento&lt;&gt;"TransfereGOV",
              ROUND(OFFSET($P232,0,AI$13),15-13*ORÇAMENTO!$AF$7)/$H232*OFFSET(ORÇAMENTO!$X$15,ROW(AI232)-ROW(AI$15),0),
              ROUND(ROUND(OFFSET($P232,0,AI$13),15-13*ORÇAMENTO!$AF$7)*OFFSET(ORÇAMENTO!$W$15,ROW(AI232)-ROW(AI$15),0),15-13*ORÇAMENTO!$AF$11)),
         0)</f>
        <v>0</v>
      </c>
      <c r="AJ232" s="454">
        <f ca="1">IF(AND($D232="Serviço",AJ$12&lt;&gt;0,$H232&gt;0,OR(AUTOEVENTO&lt;&gt;"manual",$M232&lt;&gt;$A$15)),
        IF(Import.TipoArredondamento&lt;&gt;"TransfereGOV",
              ROUND(OFFSET($P232,0,AJ$13),15-13*ORÇAMENTO!$AF$7)/$H232*OFFSET(ORÇAMENTO!$X$15,ROW(AJ232)-ROW(AJ$15),0),
              ROUND(ROUND(OFFSET($P232,0,AJ$13),15-13*ORÇAMENTO!$AF$7)*OFFSET(ORÇAMENTO!$W$15,ROW(AJ232)-ROW(AJ$15),0),15-13*ORÇAMENTO!$AF$11)),
         0)</f>
        <v>0</v>
      </c>
      <c r="AK232" s="454">
        <f ca="1">IF(AND($D232="Serviço",AK$12&lt;&gt;0,$H232&gt;0,OR(AUTOEVENTO&lt;&gt;"manual",$M232&lt;&gt;$A$15)),
        IF(Import.TipoArredondamento&lt;&gt;"TransfereGOV",
              ROUND(OFFSET($P232,0,AK$13),15-13*ORÇAMENTO!$AF$7)/$H232*OFFSET(ORÇAMENTO!$X$15,ROW(AK232)-ROW(AK$15),0),
              ROUND(ROUND(OFFSET($P232,0,AK$13),15-13*ORÇAMENTO!$AF$7)*OFFSET(ORÇAMENTO!$W$15,ROW(AK232)-ROW(AK$15),0),15-13*ORÇAMENTO!$AF$11)),
         0)</f>
        <v>0</v>
      </c>
      <c r="AM232" s="172">
        <f ca="1">IF(OR($D232&lt;&gt;"Serviço",AND(AUTOEVENTO="Manual",$M232=$A$15)),0,
         IF(OFFSET(CRONOPLE!$F$15,$M232-$A$15,AM$13)="",10^12,OFFSET(CRONOPLE!$F$15,$M232-$A$15,AM$13)))</f>
        <v>1000000000000</v>
      </c>
      <c r="AN232" s="172">
        <f ca="1">IF(OR($D232&lt;&gt;"Serviço",AND(AUTOEVENTO="Manual",$M232=$A$15)),0,
         IF(OFFSET(CRONOPLE!$F$15,$M232-$A$15,AN$13)="",10^12,OFFSET(CRONOPLE!$F$15,$M232-$A$15,AN$13)))</f>
        <v>1000000000000</v>
      </c>
      <c r="AO232" s="172">
        <f ca="1">IF(OR($D232&lt;&gt;"Serviço",AND(AUTOEVENTO="Manual",$M232=$A$15)),0,
         IF(OFFSET(CRONOPLE!$F$15,$M232-$A$15,AO$13)="",10^12,OFFSET(CRONOPLE!$F$15,$M232-$A$15,AO$13)))</f>
        <v>1000000000000</v>
      </c>
      <c r="AP232" s="172">
        <f ca="1">IF(OR($D232&lt;&gt;"Serviço",AND(AUTOEVENTO="Manual",$M232=$A$15)),0,
         IF(OFFSET(CRONOPLE!$F$15,$M232-$A$15,AP$13)="",10^12,OFFSET(CRONOPLE!$F$15,$M232-$A$15,AP$13)))</f>
        <v>1000000000000</v>
      </c>
      <c r="AQ232" s="172">
        <f ca="1">IF(OR($D232&lt;&gt;"Serviço",AND(AUTOEVENTO="Manual",$M232=$A$15)),0,
         IF(OFFSET(CRONOPLE!$F$15,$M232-$A$15,AQ$13)="",10^12,OFFSET(CRONOPLE!$F$15,$M232-$A$15,AQ$13)))</f>
        <v>1000000000000</v>
      </c>
      <c r="AR232" s="172">
        <f ca="1">IF(OR($D232&lt;&gt;"Serviço",AND(AUTOEVENTO="Manual",$M232=$A$15)),0,
         IF(OFFSET(CRONOPLE!$F$15,$M232-$A$15,AR$13)="",10^12,OFFSET(CRONOPLE!$F$15,$M232-$A$15,AR$13)))</f>
        <v>1000000000000</v>
      </c>
      <c r="AS232" s="172">
        <f ca="1">IF(OR($D232&lt;&gt;"Serviço",AND(AUTOEVENTO="Manual",$M232=$A$15)),0,
         IF(OFFSET(CRONOPLE!$F$15,$M232-$A$15,AS$13)="",10^12,OFFSET(CRONOPLE!$F$15,$M232-$A$15,AS$13)))</f>
        <v>1000000000000</v>
      </c>
      <c r="AT232" s="172">
        <f ca="1">IF(OR($D232&lt;&gt;"Serviço",AND(AUTOEVENTO="Manual",$M232=$A$15)),0,
         IF(OFFSET(CRONOPLE!$F$15,$M232-$A$15,AT$13)="",10^12,OFFSET(CRONOPLE!$F$15,$M232-$A$15,AT$13)))</f>
        <v>1000000000000</v>
      </c>
      <c r="AU232" s="172">
        <f ca="1">IF(OR($D232&lt;&gt;"Serviço",AND(AUTOEVENTO="Manual",$M232=$A$15)),0,
         IF(OFFSET(CRONOPLE!$F$15,$M232-$A$15,AU$13)="",10^12,OFFSET(CRONOPLE!$F$15,$M232-$A$15,AU$13)))</f>
        <v>1000000000000</v>
      </c>
      <c r="AV232" s="172">
        <f ca="1">IF(OR($D232&lt;&gt;"Serviço",AND(AUTOEVENTO="Manual",$M232=$A$15)),0,
         IF(OFFSET(CRONOPLE!$F$15,$M232-$A$15,AV$13)="",10^12,OFFSET(CRONOPLE!$F$15,$M232-$A$15,AV$13)))</f>
        <v>1000000000000</v>
      </c>
      <c r="AX232" s="173">
        <f ca="1">IF(OR($D232&lt;&gt;"Serviço",AND(AUTOEVENTO="Manual",$M232=$A$15),$M232&gt;(ROW(PLE.lastrow)-ROW(PLE.firstrow))),0,
           IF(OFFSET(PLE!$G$15,$M232-$A$15,AX$13)="",10^12,OFFSET(PLE!$G$15,$M232-$A$15,AX$13)))</f>
        <v>1000000000000</v>
      </c>
      <c r="AY232" s="173">
        <f ca="1">IF(OR($D232&lt;&gt;"Serviço",AND(AUTOEVENTO="Manual",$M232=$A$15),$M232&gt;(ROW(PLE.lastrow)-ROW(PLE.firstrow))),0,
           IF(OFFSET(PLE!$G$15,$M232-$A$15,AY$13)="",10^12,OFFSET(PLE!$G$15,$M232-$A$15,AY$13)))</f>
        <v>1000000000000</v>
      </c>
      <c r="AZ232" s="173">
        <f ca="1">IF(OR($D232&lt;&gt;"Serviço",AND(AUTOEVENTO="Manual",$M232=$A$15),$M232&gt;(ROW(PLE.lastrow)-ROW(PLE.firstrow))),0,
           IF(OFFSET(PLE!$G$15,$M232-$A$15,AZ$13)="",10^12,OFFSET(PLE!$G$15,$M232-$A$15,AZ$13)))</f>
        <v>1000000000000</v>
      </c>
      <c r="BA232" s="173">
        <f ca="1">IF(OR($D232&lt;&gt;"Serviço",AND(AUTOEVENTO="Manual",$M232=$A$15),$M232&gt;(ROW(PLE.lastrow)-ROW(PLE.firstrow))),0,
           IF(OFFSET(PLE!$G$15,$M232-$A$15,BA$13)="",10^12,OFFSET(PLE!$G$15,$M232-$A$15,BA$13)))</f>
        <v>1000000000000</v>
      </c>
      <c r="BB232" s="173">
        <f ca="1">IF(OR($D232&lt;&gt;"Serviço",AND(AUTOEVENTO="Manual",$M232=$A$15),$M232&gt;(ROW(PLE.lastrow)-ROW(PLE.firstrow))),0,
           IF(OFFSET(PLE!$G$15,$M232-$A$15,BB$13)="",10^12,OFFSET(PLE!$G$15,$M232-$A$15,BB$13)))</f>
        <v>1000000000000</v>
      </c>
      <c r="BC232" s="173">
        <f ca="1">IF(OR($D232&lt;&gt;"Serviço",AND(AUTOEVENTO="Manual",$M232=$A$15),$M232&gt;(ROW(PLE.lastrow)-ROW(PLE.firstrow))),0,
           IF(OFFSET(PLE!$G$15,$M232-$A$15,BC$13)="",10^12,OFFSET(PLE!$G$15,$M232-$A$15,BC$13)))</f>
        <v>1000000000000</v>
      </c>
      <c r="BD232" s="173">
        <f ca="1">IF(OR($D232&lt;&gt;"Serviço",AND(AUTOEVENTO="Manual",$M232=$A$15),$M232&gt;(ROW(PLE.lastrow)-ROW(PLE.firstrow))),0,
           IF(OFFSET(PLE!$G$15,$M232-$A$15,BD$13)="",10^12,OFFSET(PLE!$G$15,$M232-$A$15,BD$13)))</f>
        <v>1000000000000</v>
      </c>
      <c r="BE232" s="173">
        <f ca="1">IF(OR($D232&lt;&gt;"Serviço",AND(AUTOEVENTO="Manual",$M232=$A$15),$M232&gt;(ROW(PLE.lastrow)-ROW(PLE.firstrow))),0,
           IF(OFFSET(PLE!$G$15,$M232-$A$15,BE$13)="",10^12,OFFSET(PLE!$G$15,$M232-$A$15,BE$13)))</f>
        <v>1000000000000</v>
      </c>
      <c r="BF232" s="173">
        <f ca="1">IF(OR($D232&lt;&gt;"Serviço",AND(AUTOEVENTO="Manual",$M232=$A$15),$M232&gt;(ROW(PLE.lastrow)-ROW(PLE.firstrow))),0,
           IF(OFFSET(PLE!$G$15,$M232-$A$15,BF$13)="",10^12,OFFSET(PLE!$G$15,$M232-$A$15,BF$13)))</f>
        <v>1000000000000</v>
      </c>
      <c r="BG232" s="173">
        <f ca="1">IF(OR($D232&lt;&gt;"Serviço",AND(AUTOEVENTO="Manual",$M232=$A$15),$M232&gt;(ROW(PLE.lastrow)-ROW(PLE.firstrow))),0,
           IF(OFFSET(PLE!$G$15,$M232-$A$15,BG$13)="",10^12,OFFSET(PLE!$G$15,$M232-$A$15,BG$13)))</f>
        <v>1000000000000</v>
      </c>
    </row>
    <row r="233" spans="1:59" ht="38.25" x14ac:dyDescent="0.2">
      <c r="A233" s="7" t="str">
        <f t="shared" ca="1" si="11"/>
        <v>210</v>
      </c>
      <c r="B233" s="7" t="str">
        <f ca="1">OFFSET(ORÇAMENTO!C$15,ROW(B233)-ROW(B$15),0)</f>
        <v>S</v>
      </c>
      <c r="C233" s="7" t="str">
        <f ca="1">OFFSET(ORÇAMENTO!L$15,ROW(C233)-ROW(C$15),0)</f>
        <v/>
      </c>
      <c r="D233" s="117" t="str">
        <f ca="1">OFFSET(ORÇAMENTO!N$15,ROW(D233)-ROW(D$15),0)</f>
        <v>Serviço</v>
      </c>
      <c r="E233" s="118" t="str">
        <f ca="1">OFFSET(ORÇAMENTO!O$15,ROW(E233)-ROW(E$15),0)</f>
        <v>-</v>
      </c>
      <c r="F233" s="164" t="str">
        <f ca="1">OFFSET(ORÇAMENTO!R$15,ROW(F233)-ROW(F$15),0)</f>
        <v>TORNEIRA CROMADA DE MESA, 1/2" OU 3/4", PARA LAVATÓRIO,TEMPORIZADA PRESSÃO, FECHAMENTO AUTOMÁTICO, BICA BAIXA - FORNECIMENTO E INSTALAÇÃO. AF_01/2020</v>
      </c>
      <c r="G233" s="165" t="str">
        <f ca="1">IF($D233&lt;&gt;"Serviço","",OFFSET(ORÇAMENTO!S$15,ROW(G233)-ROW(G$15),0))</f>
        <v xml:space="preserve">UN    </v>
      </c>
      <c r="H233" s="123">
        <f ca="1">IF($D233&lt;&gt;"Serviço",0,IF(ACOMPANHAMENTO="BM",ROUND(OFFSET(ORÇAMENTO!AJ$15,ROW(H233)-ROW(H$15),0),15-13*ORÇAMENTO!$AF$7),SUMPRODUCT(($Q$1:$AA$1=1)*ROUND($Q233:$AA233,15-13*ORÇAMENTO!$AF$7))))</f>
        <v>29</v>
      </c>
      <c r="I233" s="469"/>
      <c r="J233" s="577" t="str" cm="1">
        <f t="array" aca="1" ref="J233" ca="1">IF(B233&lt;&gt;"S","",IF(AND(ACOMPANHAMENTO="PLE",AUTOEVENTO="Manual",OR(H233&gt;0,ORÇAMENTO!AC233="QUANT."),OR(K233="",M233=0,N233="")),"►",IF(AND(ACOMPANHAMENTO="PLE",ORÇAMENTO!AC233="QUANT."),"►►",IF(AND(COUNTIF($P$11:$AA$11,"▼")=0,H233&gt;0,I233=""),"◄",""))))</f>
        <v>◄</v>
      </c>
      <c r="K233" s="626"/>
      <c r="L233" s="166" t="s">
        <v>765</v>
      </c>
      <c r="M233" s="167">
        <f ca="1">IF($D233&lt;&gt;"Serviço","",
          IF(AUTOEVENTO="manual",$A233,
                IF(ISERROR(MATCH($A233,$A$15:OFFSET($A233,-1,0),0)),MAX($M$15:OFFSET(M233,-1,0))+1,
                      INDEX($M$15:OFFSET(M233,-1,0),MATCH($A233,$A$15:OFFSET($A233,-1,0),0)))))</f>
        <v>13</v>
      </c>
      <c r="N233" s="168" t="str">
        <f ca="1">IF($D233&lt;&gt;"Serviço","",
         IF(AUTOEVENTO="Manual",
                IF($A233=0,"&lt;-- defina o número do agrupador",
                       OFFSET(EVENTOS!$D$15,$A233-$A$15,0)),
                OFFSET($F$15,$A233,0)))</f>
        <v>LOUÇAS E ACESSÓRIOS</v>
      </c>
      <c r="O233" s="169"/>
      <c r="Q233" s="169"/>
      <c r="R233" s="170"/>
      <c r="S233" s="170"/>
      <c r="T233" s="170"/>
      <c r="U233" s="170"/>
      <c r="V233" s="170"/>
      <c r="W233" s="170"/>
      <c r="X233" s="170"/>
      <c r="Y233" s="170"/>
      <c r="Z233" s="171"/>
      <c r="AB233" s="454">
        <f ca="1">IF(AND($D233="Serviço",AB$12&lt;&gt;0,$H233&gt;0,OR(AUTOEVENTO&lt;&gt;"manual",$M233&lt;&gt;$A$15)),
        IF(Import.TipoArredondamento&lt;&gt;"TransfereGOV",
              ROUND(OFFSET($P233,0,AB$13),15-13*ORÇAMENTO!$AF$7)/$H233*OFFSET(ORÇAMENTO!$X$15,ROW(AB233)-ROW(AB$15),0),
              ROUND(ROUND(OFFSET($P233,0,AB$13),15-13*ORÇAMENTO!$AF$7)*OFFSET(ORÇAMENTO!$W$15,ROW(AB233)-ROW(AB$15),0),15-13*ORÇAMENTO!$AF$11)),
         0)</f>
        <v>0</v>
      </c>
      <c r="AC233" s="454">
        <f ca="1">IF(AND($D233="Serviço",AC$12&lt;&gt;0,$H233&gt;0,OR(AUTOEVENTO&lt;&gt;"manual",$M233&lt;&gt;$A$15)),
        IF(Import.TipoArredondamento&lt;&gt;"TransfereGOV",
              ROUND(OFFSET($P233,0,AC$13),15-13*ORÇAMENTO!$AF$7)/$H233*OFFSET(ORÇAMENTO!$X$15,ROW(AC233)-ROW(AC$15),0),
              ROUND(ROUND(OFFSET($P233,0,AC$13),15-13*ORÇAMENTO!$AF$7)*OFFSET(ORÇAMENTO!$W$15,ROW(AC233)-ROW(AC$15),0),15-13*ORÇAMENTO!$AF$11)),
         0)</f>
        <v>0</v>
      </c>
      <c r="AD233" s="454">
        <f ca="1">IF(AND($D233="Serviço",AD$12&lt;&gt;0,$H233&gt;0,OR(AUTOEVENTO&lt;&gt;"manual",$M233&lt;&gt;$A$15)),
        IF(Import.TipoArredondamento&lt;&gt;"TransfereGOV",
              ROUND(OFFSET($P233,0,AD$13),15-13*ORÇAMENTO!$AF$7)/$H233*OFFSET(ORÇAMENTO!$X$15,ROW(AD233)-ROW(AD$15),0),
              ROUND(ROUND(OFFSET($P233,0,AD$13),15-13*ORÇAMENTO!$AF$7)*OFFSET(ORÇAMENTO!$W$15,ROW(AD233)-ROW(AD$15),0),15-13*ORÇAMENTO!$AF$11)),
         0)</f>
        <v>0</v>
      </c>
      <c r="AE233" s="454">
        <f ca="1">IF(AND($D233="Serviço",AE$12&lt;&gt;0,$H233&gt;0,OR(AUTOEVENTO&lt;&gt;"manual",$M233&lt;&gt;$A$15)),
        IF(Import.TipoArredondamento&lt;&gt;"TransfereGOV",
              ROUND(OFFSET($P233,0,AE$13),15-13*ORÇAMENTO!$AF$7)/$H233*OFFSET(ORÇAMENTO!$X$15,ROW(AE233)-ROW(AE$15),0),
              ROUND(ROUND(OFFSET($P233,0,AE$13),15-13*ORÇAMENTO!$AF$7)*OFFSET(ORÇAMENTO!$W$15,ROW(AE233)-ROW(AE$15),0),15-13*ORÇAMENTO!$AF$11)),
         0)</f>
        <v>0</v>
      </c>
      <c r="AF233" s="454">
        <f ca="1">IF(AND($D233="Serviço",AF$12&lt;&gt;0,$H233&gt;0,OR(AUTOEVENTO&lt;&gt;"manual",$M233&lt;&gt;$A$15)),
        IF(Import.TipoArredondamento&lt;&gt;"TransfereGOV",
              ROUND(OFFSET($P233,0,AF$13),15-13*ORÇAMENTO!$AF$7)/$H233*OFFSET(ORÇAMENTO!$X$15,ROW(AF233)-ROW(AF$15),0),
              ROUND(ROUND(OFFSET($P233,0,AF$13),15-13*ORÇAMENTO!$AF$7)*OFFSET(ORÇAMENTO!$W$15,ROW(AF233)-ROW(AF$15),0),15-13*ORÇAMENTO!$AF$11)),
         0)</f>
        <v>0</v>
      </c>
      <c r="AG233" s="454">
        <f ca="1">IF(AND($D233="Serviço",AG$12&lt;&gt;0,$H233&gt;0,OR(AUTOEVENTO&lt;&gt;"manual",$M233&lt;&gt;$A$15)),
        IF(Import.TipoArredondamento&lt;&gt;"TransfereGOV",
              ROUND(OFFSET($P233,0,AG$13),15-13*ORÇAMENTO!$AF$7)/$H233*OFFSET(ORÇAMENTO!$X$15,ROW(AG233)-ROW(AG$15),0),
              ROUND(ROUND(OFFSET($P233,0,AG$13),15-13*ORÇAMENTO!$AF$7)*OFFSET(ORÇAMENTO!$W$15,ROW(AG233)-ROW(AG$15),0),15-13*ORÇAMENTO!$AF$11)),
         0)</f>
        <v>0</v>
      </c>
      <c r="AH233" s="454">
        <f ca="1">IF(AND($D233="Serviço",AH$12&lt;&gt;0,$H233&gt;0,OR(AUTOEVENTO&lt;&gt;"manual",$M233&lt;&gt;$A$15)),
        IF(Import.TipoArredondamento&lt;&gt;"TransfereGOV",
              ROUND(OFFSET($P233,0,AH$13),15-13*ORÇAMENTO!$AF$7)/$H233*OFFSET(ORÇAMENTO!$X$15,ROW(AH233)-ROW(AH$15),0),
              ROUND(ROUND(OFFSET($P233,0,AH$13),15-13*ORÇAMENTO!$AF$7)*OFFSET(ORÇAMENTO!$W$15,ROW(AH233)-ROW(AH$15),0),15-13*ORÇAMENTO!$AF$11)),
         0)</f>
        <v>0</v>
      </c>
      <c r="AI233" s="454">
        <f ca="1">IF(AND($D233="Serviço",AI$12&lt;&gt;0,$H233&gt;0,OR(AUTOEVENTO&lt;&gt;"manual",$M233&lt;&gt;$A$15)),
        IF(Import.TipoArredondamento&lt;&gt;"TransfereGOV",
              ROUND(OFFSET($P233,0,AI$13),15-13*ORÇAMENTO!$AF$7)/$H233*OFFSET(ORÇAMENTO!$X$15,ROW(AI233)-ROW(AI$15),0),
              ROUND(ROUND(OFFSET($P233,0,AI$13),15-13*ORÇAMENTO!$AF$7)*OFFSET(ORÇAMENTO!$W$15,ROW(AI233)-ROW(AI$15),0),15-13*ORÇAMENTO!$AF$11)),
         0)</f>
        <v>0</v>
      </c>
      <c r="AJ233" s="454">
        <f ca="1">IF(AND($D233="Serviço",AJ$12&lt;&gt;0,$H233&gt;0,OR(AUTOEVENTO&lt;&gt;"manual",$M233&lt;&gt;$A$15)),
        IF(Import.TipoArredondamento&lt;&gt;"TransfereGOV",
              ROUND(OFFSET($P233,0,AJ$13),15-13*ORÇAMENTO!$AF$7)/$H233*OFFSET(ORÇAMENTO!$X$15,ROW(AJ233)-ROW(AJ$15),0),
              ROUND(ROUND(OFFSET($P233,0,AJ$13),15-13*ORÇAMENTO!$AF$7)*OFFSET(ORÇAMENTO!$W$15,ROW(AJ233)-ROW(AJ$15),0),15-13*ORÇAMENTO!$AF$11)),
         0)</f>
        <v>0</v>
      </c>
      <c r="AK233" s="454">
        <f ca="1">IF(AND($D233="Serviço",AK$12&lt;&gt;0,$H233&gt;0,OR(AUTOEVENTO&lt;&gt;"manual",$M233&lt;&gt;$A$15)),
        IF(Import.TipoArredondamento&lt;&gt;"TransfereGOV",
              ROUND(OFFSET($P233,0,AK$13),15-13*ORÇAMENTO!$AF$7)/$H233*OFFSET(ORÇAMENTO!$X$15,ROW(AK233)-ROW(AK$15),0),
              ROUND(ROUND(OFFSET($P233,0,AK$13),15-13*ORÇAMENTO!$AF$7)*OFFSET(ORÇAMENTO!$W$15,ROW(AK233)-ROW(AK$15),0),15-13*ORÇAMENTO!$AF$11)),
         0)</f>
        <v>0</v>
      </c>
      <c r="AM233" s="172">
        <f ca="1">IF(OR($D233&lt;&gt;"Serviço",AND(AUTOEVENTO="Manual",$M233=$A$15)),0,
         IF(OFFSET(CRONOPLE!$F$15,$M233-$A$15,AM$13)="",10^12,OFFSET(CRONOPLE!$F$15,$M233-$A$15,AM$13)))</f>
        <v>1000000000000</v>
      </c>
      <c r="AN233" s="172">
        <f ca="1">IF(OR($D233&lt;&gt;"Serviço",AND(AUTOEVENTO="Manual",$M233=$A$15)),0,
         IF(OFFSET(CRONOPLE!$F$15,$M233-$A$15,AN$13)="",10^12,OFFSET(CRONOPLE!$F$15,$M233-$A$15,AN$13)))</f>
        <v>1000000000000</v>
      </c>
      <c r="AO233" s="172">
        <f ca="1">IF(OR($D233&lt;&gt;"Serviço",AND(AUTOEVENTO="Manual",$M233=$A$15)),0,
         IF(OFFSET(CRONOPLE!$F$15,$M233-$A$15,AO$13)="",10^12,OFFSET(CRONOPLE!$F$15,$M233-$A$15,AO$13)))</f>
        <v>1000000000000</v>
      </c>
      <c r="AP233" s="172">
        <f ca="1">IF(OR($D233&lt;&gt;"Serviço",AND(AUTOEVENTO="Manual",$M233=$A$15)),0,
         IF(OFFSET(CRONOPLE!$F$15,$M233-$A$15,AP$13)="",10^12,OFFSET(CRONOPLE!$F$15,$M233-$A$15,AP$13)))</f>
        <v>1000000000000</v>
      </c>
      <c r="AQ233" s="172">
        <f ca="1">IF(OR($D233&lt;&gt;"Serviço",AND(AUTOEVENTO="Manual",$M233=$A$15)),0,
         IF(OFFSET(CRONOPLE!$F$15,$M233-$A$15,AQ$13)="",10^12,OFFSET(CRONOPLE!$F$15,$M233-$A$15,AQ$13)))</f>
        <v>1000000000000</v>
      </c>
      <c r="AR233" s="172">
        <f ca="1">IF(OR($D233&lt;&gt;"Serviço",AND(AUTOEVENTO="Manual",$M233=$A$15)),0,
         IF(OFFSET(CRONOPLE!$F$15,$M233-$A$15,AR$13)="",10^12,OFFSET(CRONOPLE!$F$15,$M233-$A$15,AR$13)))</f>
        <v>1000000000000</v>
      </c>
      <c r="AS233" s="172">
        <f ca="1">IF(OR($D233&lt;&gt;"Serviço",AND(AUTOEVENTO="Manual",$M233=$A$15)),0,
         IF(OFFSET(CRONOPLE!$F$15,$M233-$A$15,AS$13)="",10^12,OFFSET(CRONOPLE!$F$15,$M233-$A$15,AS$13)))</f>
        <v>1000000000000</v>
      </c>
      <c r="AT233" s="172">
        <f ca="1">IF(OR($D233&lt;&gt;"Serviço",AND(AUTOEVENTO="Manual",$M233=$A$15)),0,
         IF(OFFSET(CRONOPLE!$F$15,$M233-$A$15,AT$13)="",10^12,OFFSET(CRONOPLE!$F$15,$M233-$A$15,AT$13)))</f>
        <v>1000000000000</v>
      </c>
      <c r="AU233" s="172">
        <f ca="1">IF(OR($D233&lt;&gt;"Serviço",AND(AUTOEVENTO="Manual",$M233=$A$15)),0,
         IF(OFFSET(CRONOPLE!$F$15,$M233-$A$15,AU$13)="",10^12,OFFSET(CRONOPLE!$F$15,$M233-$A$15,AU$13)))</f>
        <v>1000000000000</v>
      </c>
      <c r="AV233" s="172">
        <f ca="1">IF(OR($D233&lt;&gt;"Serviço",AND(AUTOEVENTO="Manual",$M233=$A$15)),0,
         IF(OFFSET(CRONOPLE!$F$15,$M233-$A$15,AV$13)="",10^12,OFFSET(CRONOPLE!$F$15,$M233-$A$15,AV$13)))</f>
        <v>1000000000000</v>
      </c>
      <c r="AX233" s="173">
        <f ca="1">IF(OR($D233&lt;&gt;"Serviço",AND(AUTOEVENTO="Manual",$M233=$A$15),$M233&gt;(ROW(PLE.lastrow)-ROW(PLE.firstrow))),0,
           IF(OFFSET(PLE!$G$15,$M233-$A$15,AX$13)="",10^12,OFFSET(PLE!$G$15,$M233-$A$15,AX$13)))</f>
        <v>1000000000000</v>
      </c>
      <c r="AY233" s="173">
        <f ca="1">IF(OR($D233&lt;&gt;"Serviço",AND(AUTOEVENTO="Manual",$M233=$A$15),$M233&gt;(ROW(PLE.lastrow)-ROW(PLE.firstrow))),0,
           IF(OFFSET(PLE!$G$15,$M233-$A$15,AY$13)="",10^12,OFFSET(PLE!$G$15,$M233-$A$15,AY$13)))</f>
        <v>1000000000000</v>
      </c>
      <c r="AZ233" s="173">
        <f ca="1">IF(OR($D233&lt;&gt;"Serviço",AND(AUTOEVENTO="Manual",$M233=$A$15),$M233&gt;(ROW(PLE.lastrow)-ROW(PLE.firstrow))),0,
           IF(OFFSET(PLE!$G$15,$M233-$A$15,AZ$13)="",10^12,OFFSET(PLE!$G$15,$M233-$A$15,AZ$13)))</f>
        <v>1000000000000</v>
      </c>
      <c r="BA233" s="173">
        <f ca="1">IF(OR($D233&lt;&gt;"Serviço",AND(AUTOEVENTO="Manual",$M233=$A$15),$M233&gt;(ROW(PLE.lastrow)-ROW(PLE.firstrow))),0,
           IF(OFFSET(PLE!$G$15,$M233-$A$15,BA$13)="",10^12,OFFSET(PLE!$G$15,$M233-$A$15,BA$13)))</f>
        <v>1000000000000</v>
      </c>
      <c r="BB233" s="173">
        <f ca="1">IF(OR($D233&lt;&gt;"Serviço",AND(AUTOEVENTO="Manual",$M233=$A$15),$M233&gt;(ROW(PLE.lastrow)-ROW(PLE.firstrow))),0,
           IF(OFFSET(PLE!$G$15,$M233-$A$15,BB$13)="",10^12,OFFSET(PLE!$G$15,$M233-$A$15,BB$13)))</f>
        <v>1000000000000</v>
      </c>
      <c r="BC233" s="173">
        <f ca="1">IF(OR($D233&lt;&gt;"Serviço",AND(AUTOEVENTO="Manual",$M233=$A$15),$M233&gt;(ROW(PLE.lastrow)-ROW(PLE.firstrow))),0,
           IF(OFFSET(PLE!$G$15,$M233-$A$15,BC$13)="",10^12,OFFSET(PLE!$G$15,$M233-$A$15,BC$13)))</f>
        <v>1000000000000</v>
      </c>
      <c r="BD233" s="173">
        <f ca="1">IF(OR($D233&lt;&gt;"Serviço",AND(AUTOEVENTO="Manual",$M233=$A$15),$M233&gt;(ROW(PLE.lastrow)-ROW(PLE.firstrow))),0,
           IF(OFFSET(PLE!$G$15,$M233-$A$15,BD$13)="",10^12,OFFSET(PLE!$G$15,$M233-$A$15,BD$13)))</f>
        <v>1000000000000</v>
      </c>
      <c r="BE233" s="173">
        <f ca="1">IF(OR($D233&lt;&gt;"Serviço",AND(AUTOEVENTO="Manual",$M233=$A$15),$M233&gt;(ROW(PLE.lastrow)-ROW(PLE.firstrow))),0,
           IF(OFFSET(PLE!$G$15,$M233-$A$15,BE$13)="",10^12,OFFSET(PLE!$G$15,$M233-$A$15,BE$13)))</f>
        <v>1000000000000</v>
      </c>
      <c r="BF233" s="173">
        <f ca="1">IF(OR($D233&lt;&gt;"Serviço",AND(AUTOEVENTO="Manual",$M233=$A$15),$M233&gt;(ROW(PLE.lastrow)-ROW(PLE.firstrow))),0,
           IF(OFFSET(PLE!$G$15,$M233-$A$15,BF$13)="",10^12,OFFSET(PLE!$G$15,$M233-$A$15,BF$13)))</f>
        <v>1000000000000</v>
      </c>
      <c r="BG233" s="173">
        <f ca="1">IF(OR($D233&lt;&gt;"Serviço",AND(AUTOEVENTO="Manual",$M233=$A$15),$M233&gt;(ROW(PLE.lastrow)-ROW(PLE.firstrow))),0,
           IF(OFFSET(PLE!$G$15,$M233-$A$15,BG$13)="",10^12,OFFSET(PLE!$G$15,$M233-$A$15,BG$13)))</f>
        <v>1000000000000</v>
      </c>
    </row>
    <row r="234" spans="1:59" ht="25.5" x14ac:dyDescent="0.2">
      <c r="A234" s="7" t="str">
        <f t="shared" ca="1" si="11"/>
        <v>210</v>
      </c>
      <c r="B234" s="7" t="str">
        <f ca="1">OFFSET(ORÇAMENTO!C$15,ROW(B234)-ROW(B$15),0)</f>
        <v>S</v>
      </c>
      <c r="C234" s="7" t="str">
        <f ca="1">OFFSET(ORÇAMENTO!L$15,ROW(C234)-ROW(C$15),0)</f>
        <v/>
      </c>
      <c r="D234" s="117" t="str">
        <f ca="1">OFFSET(ORÇAMENTO!N$15,ROW(D234)-ROW(D$15),0)</f>
        <v>Serviço</v>
      </c>
      <c r="E234" s="118" t="str">
        <f ca="1">OFFSET(ORÇAMENTO!O$15,ROW(E234)-ROW(E$15),0)</f>
        <v>-</v>
      </c>
      <c r="F234" s="164" t="str">
        <f ca="1">OFFSET(ORÇAMENTO!R$15,ROW(F234)-ROW(F$15),0)</f>
        <v>VÁLVULA EM PLÁSTICO 1" PARA PIA, TANQUE OU LAVATÓRIO, COM OU SEM LADRÃO - FORNECIMENTO E INSTALAÇÃO. AF_01/2020</v>
      </c>
      <c r="G234" s="165" t="str">
        <f ca="1">IF($D234&lt;&gt;"Serviço","",OFFSET(ORÇAMENTO!S$15,ROW(G234)-ROW(G$15),0))</f>
        <v>UN</v>
      </c>
      <c r="H234" s="123">
        <f ca="1">IF($D234&lt;&gt;"Serviço",0,IF(ACOMPANHAMENTO="BM",ROUND(OFFSET(ORÇAMENTO!AJ$15,ROW(H234)-ROW(H$15),0),15-13*ORÇAMENTO!$AF$7),SUMPRODUCT(($Q$1:$AA$1=1)*ROUND($Q234:$AA234,15-13*ORÇAMENTO!$AF$7))))</f>
        <v>35</v>
      </c>
      <c r="I234" s="469"/>
      <c r="J234" s="577" t="str" cm="1">
        <f t="array" aca="1" ref="J234" ca="1">IF(B234&lt;&gt;"S","",IF(AND(ACOMPANHAMENTO="PLE",AUTOEVENTO="Manual",OR(H234&gt;0,ORÇAMENTO!AC234="QUANT."),OR(K234="",M234=0,N234="")),"►",IF(AND(ACOMPANHAMENTO="PLE",ORÇAMENTO!AC234="QUANT."),"►►",IF(AND(COUNTIF($P$11:$AA$11,"▼")=0,H234&gt;0,I234=""),"◄",""))))</f>
        <v>◄</v>
      </c>
      <c r="K234" s="626"/>
      <c r="L234" s="166" t="s">
        <v>765</v>
      </c>
      <c r="M234" s="167">
        <f ca="1">IF($D234&lt;&gt;"Serviço","",
          IF(AUTOEVENTO="manual",$A234,
                IF(ISERROR(MATCH($A234,$A$15:OFFSET($A234,-1,0),0)),MAX($M$15:OFFSET(M234,-1,0))+1,
                      INDEX($M$15:OFFSET(M234,-1,0),MATCH($A234,$A$15:OFFSET($A234,-1,0),0)))))</f>
        <v>13</v>
      </c>
      <c r="N234" s="168" t="str">
        <f ca="1">IF($D234&lt;&gt;"Serviço","",
         IF(AUTOEVENTO="Manual",
                IF($A234=0,"&lt;-- defina o número do agrupador",
                       OFFSET(EVENTOS!$D$15,$A234-$A$15,0)),
                OFFSET($F$15,$A234,0)))</f>
        <v>LOUÇAS E ACESSÓRIOS</v>
      </c>
      <c r="O234" s="169"/>
      <c r="Q234" s="169"/>
      <c r="R234" s="170"/>
      <c r="S234" s="170"/>
      <c r="T234" s="170"/>
      <c r="U234" s="170"/>
      <c r="V234" s="170"/>
      <c r="W234" s="170"/>
      <c r="X234" s="170"/>
      <c r="Y234" s="170"/>
      <c r="Z234" s="171"/>
      <c r="AB234" s="454">
        <f ca="1">IF(AND($D234="Serviço",AB$12&lt;&gt;0,$H234&gt;0,OR(AUTOEVENTO&lt;&gt;"manual",$M234&lt;&gt;$A$15)),
        IF(Import.TipoArredondamento&lt;&gt;"TransfereGOV",
              ROUND(OFFSET($P234,0,AB$13),15-13*ORÇAMENTO!$AF$7)/$H234*OFFSET(ORÇAMENTO!$X$15,ROW(AB234)-ROW(AB$15),0),
              ROUND(ROUND(OFFSET($P234,0,AB$13),15-13*ORÇAMENTO!$AF$7)*OFFSET(ORÇAMENTO!$W$15,ROW(AB234)-ROW(AB$15),0),15-13*ORÇAMENTO!$AF$11)),
         0)</f>
        <v>0</v>
      </c>
      <c r="AC234" s="454">
        <f ca="1">IF(AND($D234="Serviço",AC$12&lt;&gt;0,$H234&gt;0,OR(AUTOEVENTO&lt;&gt;"manual",$M234&lt;&gt;$A$15)),
        IF(Import.TipoArredondamento&lt;&gt;"TransfereGOV",
              ROUND(OFFSET($P234,0,AC$13),15-13*ORÇAMENTO!$AF$7)/$H234*OFFSET(ORÇAMENTO!$X$15,ROW(AC234)-ROW(AC$15),0),
              ROUND(ROUND(OFFSET($P234,0,AC$13),15-13*ORÇAMENTO!$AF$7)*OFFSET(ORÇAMENTO!$W$15,ROW(AC234)-ROW(AC$15),0),15-13*ORÇAMENTO!$AF$11)),
         0)</f>
        <v>0</v>
      </c>
      <c r="AD234" s="454">
        <f ca="1">IF(AND($D234="Serviço",AD$12&lt;&gt;0,$H234&gt;0,OR(AUTOEVENTO&lt;&gt;"manual",$M234&lt;&gt;$A$15)),
        IF(Import.TipoArredondamento&lt;&gt;"TransfereGOV",
              ROUND(OFFSET($P234,0,AD$13),15-13*ORÇAMENTO!$AF$7)/$H234*OFFSET(ORÇAMENTO!$X$15,ROW(AD234)-ROW(AD$15),0),
              ROUND(ROUND(OFFSET($P234,0,AD$13),15-13*ORÇAMENTO!$AF$7)*OFFSET(ORÇAMENTO!$W$15,ROW(AD234)-ROW(AD$15),0),15-13*ORÇAMENTO!$AF$11)),
         0)</f>
        <v>0</v>
      </c>
      <c r="AE234" s="454">
        <f ca="1">IF(AND($D234="Serviço",AE$12&lt;&gt;0,$H234&gt;0,OR(AUTOEVENTO&lt;&gt;"manual",$M234&lt;&gt;$A$15)),
        IF(Import.TipoArredondamento&lt;&gt;"TransfereGOV",
              ROUND(OFFSET($P234,0,AE$13),15-13*ORÇAMENTO!$AF$7)/$H234*OFFSET(ORÇAMENTO!$X$15,ROW(AE234)-ROW(AE$15),0),
              ROUND(ROUND(OFFSET($P234,0,AE$13),15-13*ORÇAMENTO!$AF$7)*OFFSET(ORÇAMENTO!$W$15,ROW(AE234)-ROW(AE$15),0),15-13*ORÇAMENTO!$AF$11)),
         0)</f>
        <v>0</v>
      </c>
      <c r="AF234" s="454">
        <f ca="1">IF(AND($D234="Serviço",AF$12&lt;&gt;0,$H234&gt;0,OR(AUTOEVENTO&lt;&gt;"manual",$M234&lt;&gt;$A$15)),
        IF(Import.TipoArredondamento&lt;&gt;"TransfereGOV",
              ROUND(OFFSET($P234,0,AF$13),15-13*ORÇAMENTO!$AF$7)/$H234*OFFSET(ORÇAMENTO!$X$15,ROW(AF234)-ROW(AF$15),0),
              ROUND(ROUND(OFFSET($P234,0,AF$13),15-13*ORÇAMENTO!$AF$7)*OFFSET(ORÇAMENTO!$W$15,ROW(AF234)-ROW(AF$15),0),15-13*ORÇAMENTO!$AF$11)),
         0)</f>
        <v>0</v>
      </c>
      <c r="AG234" s="454">
        <f ca="1">IF(AND($D234="Serviço",AG$12&lt;&gt;0,$H234&gt;0,OR(AUTOEVENTO&lt;&gt;"manual",$M234&lt;&gt;$A$15)),
        IF(Import.TipoArredondamento&lt;&gt;"TransfereGOV",
              ROUND(OFFSET($P234,0,AG$13),15-13*ORÇAMENTO!$AF$7)/$H234*OFFSET(ORÇAMENTO!$X$15,ROW(AG234)-ROW(AG$15),0),
              ROUND(ROUND(OFFSET($P234,0,AG$13),15-13*ORÇAMENTO!$AF$7)*OFFSET(ORÇAMENTO!$W$15,ROW(AG234)-ROW(AG$15),0),15-13*ORÇAMENTO!$AF$11)),
         0)</f>
        <v>0</v>
      </c>
      <c r="AH234" s="454">
        <f ca="1">IF(AND($D234="Serviço",AH$12&lt;&gt;0,$H234&gt;0,OR(AUTOEVENTO&lt;&gt;"manual",$M234&lt;&gt;$A$15)),
        IF(Import.TipoArredondamento&lt;&gt;"TransfereGOV",
              ROUND(OFFSET($P234,0,AH$13),15-13*ORÇAMENTO!$AF$7)/$H234*OFFSET(ORÇAMENTO!$X$15,ROW(AH234)-ROW(AH$15),0),
              ROUND(ROUND(OFFSET($P234,0,AH$13),15-13*ORÇAMENTO!$AF$7)*OFFSET(ORÇAMENTO!$W$15,ROW(AH234)-ROW(AH$15),0),15-13*ORÇAMENTO!$AF$11)),
         0)</f>
        <v>0</v>
      </c>
      <c r="AI234" s="454">
        <f ca="1">IF(AND($D234="Serviço",AI$12&lt;&gt;0,$H234&gt;0,OR(AUTOEVENTO&lt;&gt;"manual",$M234&lt;&gt;$A$15)),
        IF(Import.TipoArredondamento&lt;&gt;"TransfereGOV",
              ROUND(OFFSET($P234,0,AI$13),15-13*ORÇAMENTO!$AF$7)/$H234*OFFSET(ORÇAMENTO!$X$15,ROW(AI234)-ROW(AI$15),0),
              ROUND(ROUND(OFFSET($P234,0,AI$13),15-13*ORÇAMENTO!$AF$7)*OFFSET(ORÇAMENTO!$W$15,ROW(AI234)-ROW(AI$15),0),15-13*ORÇAMENTO!$AF$11)),
         0)</f>
        <v>0</v>
      </c>
      <c r="AJ234" s="454">
        <f ca="1">IF(AND($D234="Serviço",AJ$12&lt;&gt;0,$H234&gt;0,OR(AUTOEVENTO&lt;&gt;"manual",$M234&lt;&gt;$A$15)),
        IF(Import.TipoArredondamento&lt;&gt;"TransfereGOV",
              ROUND(OFFSET($P234,0,AJ$13),15-13*ORÇAMENTO!$AF$7)/$H234*OFFSET(ORÇAMENTO!$X$15,ROW(AJ234)-ROW(AJ$15),0),
              ROUND(ROUND(OFFSET($P234,0,AJ$13),15-13*ORÇAMENTO!$AF$7)*OFFSET(ORÇAMENTO!$W$15,ROW(AJ234)-ROW(AJ$15),0),15-13*ORÇAMENTO!$AF$11)),
         0)</f>
        <v>0</v>
      </c>
      <c r="AK234" s="454">
        <f ca="1">IF(AND($D234="Serviço",AK$12&lt;&gt;0,$H234&gt;0,OR(AUTOEVENTO&lt;&gt;"manual",$M234&lt;&gt;$A$15)),
        IF(Import.TipoArredondamento&lt;&gt;"TransfereGOV",
              ROUND(OFFSET($P234,0,AK$13),15-13*ORÇAMENTO!$AF$7)/$H234*OFFSET(ORÇAMENTO!$X$15,ROW(AK234)-ROW(AK$15),0),
              ROUND(ROUND(OFFSET($P234,0,AK$13),15-13*ORÇAMENTO!$AF$7)*OFFSET(ORÇAMENTO!$W$15,ROW(AK234)-ROW(AK$15),0),15-13*ORÇAMENTO!$AF$11)),
         0)</f>
        <v>0</v>
      </c>
      <c r="AM234" s="172">
        <f ca="1">IF(OR($D234&lt;&gt;"Serviço",AND(AUTOEVENTO="Manual",$M234=$A$15)),0,
         IF(OFFSET(CRONOPLE!$F$15,$M234-$A$15,AM$13)="",10^12,OFFSET(CRONOPLE!$F$15,$M234-$A$15,AM$13)))</f>
        <v>1000000000000</v>
      </c>
      <c r="AN234" s="172">
        <f ca="1">IF(OR($D234&lt;&gt;"Serviço",AND(AUTOEVENTO="Manual",$M234=$A$15)),0,
         IF(OFFSET(CRONOPLE!$F$15,$M234-$A$15,AN$13)="",10^12,OFFSET(CRONOPLE!$F$15,$M234-$A$15,AN$13)))</f>
        <v>1000000000000</v>
      </c>
      <c r="AO234" s="172">
        <f ca="1">IF(OR($D234&lt;&gt;"Serviço",AND(AUTOEVENTO="Manual",$M234=$A$15)),0,
         IF(OFFSET(CRONOPLE!$F$15,$M234-$A$15,AO$13)="",10^12,OFFSET(CRONOPLE!$F$15,$M234-$A$15,AO$13)))</f>
        <v>1000000000000</v>
      </c>
      <c r="AP234" s="172">
        <f ca="1">IF(OR($D234&lt;&gt;"Serviço",AND(AUTOEVENTO="Manual",$M234=$A$15)),0,
         IF(OFFSET(CRONOPLE!$F$15,$M234-$A$15,AP$13)="",10^12,OFFSET(CRONOPLE!$F$15,$M234-$A$15,AP$13)))</f>
        <v>1000000000000</v>
      </c>
      <c r="AQ234" s="172">
        <f ca="1">IF(OR($D234&lt;&gt;"Serviço",AND(AUTOEVENTO="Manual",$M234=$A$15)),0,
         IF(OFFSET(CRONOPLE!$F$15,$M234-$A$15,AQ$13)="",10^12,OFFSET(CRONOPLE!$F$15,$M234-$A$15,AQ$13)))</f>
        <v>1000000000000</v>
      </c>
      <c r="AR234" s="172">
        <f ca="1">IF(OR($D234&lt;&gt;"Serviço",AND(AUTOEVENTO="Manual",$M234=$A$15)),0,
         IF(OFFSET(CRONOPLE!$F$15,$M234-$A$15,AR$13)="",10^12,OFFSET(CRONOPLE!$F$15,$M234-$A$15,AR$13)))</f>
        <v>1000000000000</v>
      </c>
      <c r="AS234" s="172">
        <f ca="1">IF(OR($D234&lt;&gt;"Serviço",AND(AUTOEVENTO="Manual",$M234=$A$15)),0,
         IF(OFFSET(CRONOPLE!$F$15,$M234-$A$15,AS$13)="",10^12,OFFSET(CRONOPLE!$F$15,$M234-$A$15,AS$13)))</f>
        <v>1000000000000</v>
      </c>
      <c r="AT234" s="172">
        <f ca="1">IF(OR($D234&lt;&gt;"Serviço",AND(AUTOEVENTO="Manual",$M234=$A$15)),0,
         IF(OFFSET(CRONOPLE!$F$15,$M234-$A$15,AT$13)="",10^12,OFFSET(CRONOPLE!$F$15,$M234-$A$15,AT$13)))</f>
        <v>1000000000000</v>
      </c>
      <c r="AU234" s="172">
        <f ca="1">IF(OR($D234&lt;&gt;"Serviço",AND(AUTOEVENTO="Manual",$M234=$A$15)),0,
         IF(OFFSET(CRONOPLE!$F$15,$M234-$A$15,AU$13)="",10^12,OFFSET(CRONOPLE!$F$15,$M234-$A$15,AU$13)))</f>
        <v>1000000000000</v>
      </c>
      <c r="AV234" s="172">
        <f ca="1">IF(OR($D234&lt;&gt;"Serviço",AND(AUTOEVENTO="Manual",$M234=$A$15)),0,
         IF(OFFSET(CRONOPLE!$F$15,$M234-$A$15,AV$13)="",10^12,OFFSET(CRONOPLE!$F$15,$M234-$A$15,AV$13)))</f>
        <v>1000000000000</v>
      </c>
      <c r="AX234" s="173">
        <f ca="1">IF(OR($D234&lt;&gt;"Serviço",AND(AUTOEVENTO="Manual",$M234=$A$15),$M234&gt;(ROW(PLE.lastrow)-ROW(PLE.firstrow))),0,
           IF(OFFSET(PLE!$G$15,$M234-$A$15,AX$13)="",10^12,OFFSET(PLE!$G$15,$M234-$A$15,AX$13)))</f>
        <v>1000000000000</v>
      </c>
      <c r="AY234" s="173">
        <f ca="1">IF(OR($D234&lt;&gt;"Serviço",AND(AUTOEVENTO="Manual",$M234=$A$15),$M234&gt;(ROW(PLE.lastrow)-ROW(PLE.firstrow))),0,
           IF(OFFSET(PLE!$G$15,$M234-$A$15,AY$13)="",10^12,OFFSET(PLE!$G$15,$M234-$A$15,AY$13)))</f>
        <v>1000000000000</v>
      </c>
      <c r="AZ234" s="173">
        <f ca="1">IF(OR($D234&lt;&gt;"Serviço",AND(AUTOEVENTO="Manual",$M234=$A$15),$M234&gt;(ROW(PLE.lastrow)-ROW(PLE.firstrow))),0,
           IF(OFFSET(PLE!$G$15,$M234-$A$15,AZ$13)="",10^12,OFFSET(PLE!$G$15,$M234-$A$15,AZ$13)))</f>
        <v>1000000000000</v>
      </c>
      <c r="BA234" s="173">
        <f ca="1">IF(OR($D234&lt;&gt;"Serviço",AND(AUTOEVENTO="Manual",$M234=$A$15),$M234&gt;(ROW(PLE.lastrow)-ROW(PLE.firstrow))),0,
           IF(OFFSET(PLE!$G$15,$M234-$A$15,BA$13)="",10^12,OFFSET(PLE!$G$15,$M234-$A$15,BA$13)))</f>
        <v>1000000000000</v>
      </c>
      <c r="BB234" s="173">
        <f ca="1">IF(OR($D234&lt;&gt;"Serviço",AND(AUTOEVENTO="Manual",$M234=$A$15),$M234&gt;(ROW(PLE.lastrow)-ROW(PLE.firstrow))),0,
           IF(OFFSET(PLE!$G$15,$M234-$A$15,BB$13)="",10^12,OFFSET(PLE!$G$15,$M234-$A$15,BB$13)))</f>
        <v>1000000000000</v>
      </c>
      <c r="BC234" s="173">
        <f ca="1">IF(OR($D234&lt;&gt;"Serviço",AND(AUTOEVENTO="Manual",$M234=$A$15),$M234&gt;(ROW(PLE.lastrow)-ROW(PLE.firstrow))),0,
           IF(OFFSET(PLE!$G$15,$M234-$A$15,BC$13)="",10^12,OFFSET(PLE!$G$15,$M234-$A$15,BC$13)))</f>
        <v>1000000000000</v>
      </c>
      <c r="BD234" s="173">
        <f ca="1">IF(OR($D234&lt;&gt;"Serviço",AND(AUTOEVENTO="Manual",$M234=$A$15),$M234&gt;(ROW(PLE.lastrow)-ROW(PLE.firstrow))),0,
           IF(OFFSET(PLE!$G$15,$M234-$A$15,BD$13)="",10^12,OFFSET(PLE!$G$15,$M234-$A$15,BD$13)))</f>
        <v>1000000000000</v>
      </c>
      <c r="BE234" s="173">
        <f ca="1">IF(OR($D234&lt;&gt;"Serviço",AND(AUTOEVENTO="Manual",$M234=$A$15),$M234&gt;(ROW(PLE.lastrow)-ROW(PLE.firstrow))),0,
           IF(OFFSET(PLE!$G$15,$M234-$A$15,BE$13)="",10^12,OFFSET(PLE!$G$15,$M234-$A$15,BE$13)))</f>
        <v>1000000000000</v>
      </c>
      <c r="BF234" s="173">
        <f ca="1">IF(OR($D234&lt;&gt;"Serviço",AND(AUTOEVENTO="Manual",$M234=$A$15),$M234&gt;(ROW(PLE.lastrow)-ROW(PLE.firstrow))),0,
           IF(OFFSET(PLE!$G$15,$M234-$A$15,BF$13)="",10^12,OFFSET(PLE!$G$15,$M234-$A$15,BF$13)))</f>
        <v>1000000000000</v>
      </c>
      <c r="BG234" s="173">
        <f ca="1">IF(OR($D234&lt;&gt;"Serviço",AND(AUTOEVENTO="Manual",$M234=$A$15),$M234&gt;(ROW(PLE.lastrow)-ROW(PLE.firstrow))),0,
           IF(OFFSET(PLE!$G$15,$M234-$A$15,BG$13)="",10^12,OFFSET(PLE!$G$15,$M234-$A$15,BG$13)))</f>
        <v>1000000000000</v>
      </c>
    </row>
    <row r="235" spans="1:59" ht="25.5" x14ac:dyDescent="0.2">
      <c r="A235" s="7" t="str">
        <f t="shared" ca="1" si="11"/>
        <v>210</v>
      </c>
      <c r="B235" s="7" t="str">
        <f ca="1">OFFSET(ORÇAMENTO!C$15,ROW(B235)-ROW(B$15),0)</f>
        <v>S</v>
      </c>
      <c r="C235" s="7" t="str">
        <f ca="1">OFFSET(ORÇAMENTO!L$15,ROW(C235)-ROW(C$15),0)</f>
        <v/>
      </c>
      <c r="D235" s="117" t="str">
        <f ca="1">OFFSET(ORÇAMENTO!N$15,ROW(D235)-ROW(D$15),0)</f>
        <v>Serviço</v>
      </c>
      <c r="E235" s="118" t="str">
        <f ca="1">OFFSET(ORÇAMENTO!O$15,ROW(E235)-ROW(E$15),0)</f>
        <v>-</v>
      </c>
      <c r="F235" s="164" t="str">
        <f ca="1">OFFSET(ORÇAMENTO!R$15,ROW(F235)-ROW(F$15),0)</f>
        <v>SIFÃO DO TIPO FLEXÍVEL EM PVC 1  X 1.1/2  - FORNECIMENTO E INSTALAÇÃO. AF_01/2020</v>
      </c>
      <c r="G235" s="165" t="str">
        <f ca="1">IF($D235&lt;&gt;"Serviço","",OFFSET(ORÇAMENTO!S$15,ROW(G235)-ROW(G$15),0))</f>
        <v>UN</v>
      </c>
      <c r="H235" s="123">
        <f ca="1">IF($D235&lt;&gt;"Serviço",0,IF(ACOMPANHAMENTO="BM",ROUND(OFFSET(ORÇAMENTO!AJ$15,ROW(H235)-ROW(H$15),0),15-13*ORÇAMENTO!$AF$7),SUMPRODUCT(($Q$1:$AA$1=1)*ROUND($Q235:$AA235,15-13*ORÇAMENTO!$AF$7))))</f>
        <v>35</v>
      </c>
      <c r="I235" s="469"/>
      <c r="J235" s="577" t="str" cm="1">
        <f t="array" aca="1" ref="J235" ca="1">IF(B235&lt;&gt;"S","",IF(AND(ACOMPANHAMENTO="PLE",AUTOEVENTO="Manual",OR(H235&gt;0,ORÇAMENTO!AC235="QUANT."),OR(K235="",M235=0,N235="")),"►",IF(AND(ACOMPANHAMENTO="PLE",ORÇAMENTO!AC235="QUANT."),"►►",IF(AND(COUNTIF($P$11:$AA$11,"▼")=0,H235&gt;0,I235=""),"◄",""))))</f>
        <v>◄</v>
      </c>
      <c r="K235" s="626"/>
      <c r="L235" s="166" t="s">
        <v>765</v>
      </c>
      <c r="M235" s="167">
        <f ca="1">IF($D235&lt;&gt;"Serviço","",
          IF(AUTOEVENTO="manual",$A235,
                IF(ISERROR(MATCH($A235,$A$15:OFFSET($A235,-1,0),0)),MAX($M$15:OFFSET(M235,-1,0))+1,
                      INDEX($M$15:OFFSET(M235,-1,0),MATCH($A235,$A$15:OFFSET($A235,-1,0),0)))))</f>
        <v>13</v>
      </c>
      <c r="N235" s="168" t="str">
        <f ca="1">IF($D235&lt;&gt;"Serviço","",
         IF(AUTOEVENTO="Manual",
                IF($A235=0,"&lt;-- defina o número do agrupador",
                       OFFSET(EVENTOS!$D$15,$A235-$A$15,0)),
                OFFSET($F$15,$A235,0)))</f>
        <v>LOUÇAS E ACESSÓRIOS</v>
      </c>
      <c r="O235" s="169"/>
      <c r="Q235" s="169"/>
      <c r="R235" s="170"/>
      <c r="S235" s="170"/>
      <c r="T235" s="170"/>
      <c r="U235" s="170"/>
      <c r="V235" s="170"/>
      <c r="W235" s="170"/>
      <c r="X235" s="170"/>
      <c r="Y235" s="170"/>
      <c r="Z235" s="171"/>
      <c r="AB235" s="454">
        <f ca="1">IF(AND($D235="Serviço",AB$12&lt;&gt;0,$H235&gt;0,OR(AUTOEVENTO&lt;&gt;"manual",$M235&lt;&gt;$A$15)),
        IF(Import.TipoArredondamento&lt;&gt;"TransfereGOV",
              ROUND(OFFSET($P235,0,AB$13),15-13*ORÇAMENTO!$AF$7)/$H235*OFFSET(ORÇAMENTO!$X$15,ROW(AB235)-ROW(AB$15),0),
              ROUND(ROUND(OFFSET($P235,0,AB$13),15-13*ORÇAMENTO!$AF$7)*OFFSET(ORÇAMENTO!$W$15,ROW(AB235)-ROW(AB$15),0),15-13*ORÇAMENTO!$AF$11)),
         0)</f>
        <v>0</v>
      </c>
      <c r="AC235" s="454">
        <f ca="1">IF(AND($D235="Serviço",AC$12&lt;&gt;0,$H235&gt;0,OR(AUTOEVENTO&lt;&gt;"manual",$M235&lt;&gt;$A$15)),
        IF(Import.TipoArredondamento&lt;&gt;"TransfereGOV",
              ROUND(OFFSET($P235,0,AC$13),15-13*ORÇAMENTO!$AF$7)/$H235*OFFSET(ORÇAMENTO!$X$15,ROW(AC235)-ROW(AC$15),0),
              ROUND(ROUND(OFFSET($P235,0,AC$13),15-13*ORÇAMENTO!$AF$7)*OFFSET(ORÇAMENTO!$W$15,ROW(AC235)-ROW(AC$15),0),15-13*ORÇAMENTO!$AF$11)),
         0)</f>
        <v>0</v>
      </c>
      <c r="AD235" s="454">
        <f ca="1">IF(AND($D235="Serviço",AD$12&lt;&gt;0,$H235&gt;0,OR(AUTOEVENTO&lt;&gt;"manual",$M235&lt;&gt;$A$15)),
        IF(Import.TipoArredondamento&lt;&gt;"TransfereGOV",
              ROUND(OFFSET($P235,0,AD$13),15-13*ORÇAMENTO!$AF$7)/$H235*OFFSET(ORÇAMENTO!$X$15,ROW(AD235)-ROW(AD$15),0),
              ROUND(ROUND(OFFSET($P235,0,AD$13),15-13*ORÇAMENTO!$AF$7)*OFFSET(ORÇAMENTO!$W$15,ROW(AD235)-ROW(AD$15),0),15-13*ORÇAMENTO!$AF$11)),
         0)</f>
        <v>0</v>
      </c>
      <c r="AE235" s="454">
        <f ca="1">IF(AND($D235="Serviço",AE$12&lt;&gt;0,$H235&gt;0,OR(AUTOEVENTO&lt;&gt;"manual",$M235&lt;&gt;$A$15)),
        IF(Import.TipoArredondamento&lt;&gt;"TransfereGOV",
              ROUND(OFFSET($P235,0,AE$13),15-13*ORÇAMENTO!$AF$7)/$H235*OFFSET(ORÇAMENTO!$X$15,ROW(AE235)-ROW(AE$15),0),
              ROUND(ROUND(OFFSET($P235,0,AE$13),15-13*ORÇAMENTO!$AF$7)*OFFSET(ORÇAMENTO!$W$15,ROW(AE235)-ROW(AE$15),0),15-13*ORÇAMENTO!$AF$11)),
         0)</f>
        <v>0</v>
      </c>
      <c r="AF235" s="454">
        <f ca="1">IF(AND($D235="Serviço",AF$12&lt;&gt;0,$H235&gt;0,OR(AUTOEVENTO&lt;&gt;"manual",$M235&lt;&gt;$A$15)),
        IF(Import.TipoArredondamento&lt;&gt;"TransfereGOV",
              ROUND(OFFSET($P235,0,AF$13),15-13*ORÇAMENTO!$AF$7)/$H235*OFFSET(ORÇAMENTO!$X$15,ROW(AF235)-ROW(AF$15),0),
              ROUND(ROUND(OFFSET($P235,0,AF$13),15-13*ORÇAMENTO!$AF$7)*OFFSET(ORÇAMENTO!$W$15,ROW(AF235)-ROW(AF$15),0),15-13*ORÇAMENTO!$AF$11)),
         0)</f>
        <v>0</v>
      </c>
      <c r="AG235" s="454">
        <f ca="1">IF(AND($D235="Serviço",AG$12&lt;&gt;0,$H235&gt;0,OR(AUTOEVENTO&lt;&gt;"manual",$M235&lt;&gt;$A$15)),
        IF(Import.TipoArredondamento&lt;&gt;"TransfereGOV",
              ROUND(OFFSET($P235,0,AG$13),15-13*ORÇAMENTO!$AF$7)/$H235*OFFSET(ORÇAMENTO!$X$15,ROW(AG235)-ROW(AG$15),0),
              ROUND(ROUND(OFFSET($P235,0,AG$13),15-13*ORÇAMENTO!$AF$7)*OFFSET(ORÇAMENTO!$W$15,ROW(AG235)-ROW(AG$15),0),15-13*ORÇAMENTO!$AF$11)),
         0)</f>
        <v>0</v>
      </c>
      <c r="AH235" s="454">
        <f ca="1">IF(AND($D235="Serviço",AH$12&lt;&gt;0,$H235&gt;0,OR(AUTOEVENTO&lt;&gt;"manual",$M235&lt;&gt;$A$15)),
        IF(Import.TipoArredondamento&lt;&gt;"TransfereGOV",
              ROUND(OFFSET($P235,0,AH$13),15-13*ORÇAMENTO!$AF$7)/$H235*OFFSET(ORÇAMENTO!$X$15,ROW(AH235)-ROW(AH$15),0),
              ROUND(ROUND(OFFSET($P235,0,AH$13),15-13*ORÇAMENTO!$AF$7)*OFFSET(ORÇAMENTO!$W$15,ROW(AH235)-ROW(AH$15),0),15-13*ORÇAMENTO!$AF$11)),
         0)</f>
        <v>0</v>
      </c>
      <c r="AI235" s="454">
        <f ca="1">IF(AND($D235="Serviço",AI$12&lt;&gt;0,$H235&gt;0,OR(AUTOEVENTO&lt;&gt;"manual",$M235&lt;&gt;$A$15)),
        IF(Import.TipoArredondamento&lt;&gt;"TransfereGOV",
              ROUND(OFFSET($P235,0,AI$13),15-13*ORÇAMENTO!$AF$7)/$H235*OFFSET(ORÇAMENTO!$X$15,ROW(AI235)-ROW(AI$15),0),
              ROUND(ROUND(OFFSET($P235,0,AI$13),15-13*ORÇAMENTO!$AF$7)*OFFSET(ORÇAMENTO!$W$15,ROW(AI235)-ROW(AI$15),0),15-13*ORÇAMENTO!$AF$11)),
         0)</f>
        <v>0</v>
      </c>
      <c r="AJ235" s="454">
        <f ca="1">IF(AND($D235="Serviço",AJ$12&lt;&gt;0,$H235&gt;0,OR(AUTOEVENTO&lt;&gt;"manual",$M235&lt;&gt;$A$15)),
        IF(Import.TipoArredondamento&lt;&gt;"TransfereGOV",
              ROUND(OFFSET($P235,0,AJ$13),15-13*ORÇAMENTO!$AF$7)/$H235*OFFSET(ORÇAMENTO!$X$15,ROW(AJ235)-ROW(AJ$15),0),
              ROUND(ROUND(OFFSET($P235,0,AJ$13),15-13*ORÇAMENTO!$AF$7)*OFFSET(ORÇAMENTO!$W$15,ROW(AJ235)-ROW(AJ$15),0),15-13*ORÇAMENTO!$AF$11)),
         0)</f>
        <v>0</v>
      </c>
      <c r="AK235" s="454">
        <f ca="1">IF(AND($D235="Serviço",AK$12&lt;&gt;0,$H235&gt;0,OR(AUTOEVENTO&lt;&gt;"manual",$M235&lt;&gt;$A$15)),
        IF(Import.TipoArredondamento&lt;&gt;"TransfereGOV",
              ROUND(OFFSET($P235,0,AK$13),15-13*ORÇAMENTO!$AF$7)/$H235*OFFSET(ORÇAMENTO!$X$15,ROW(AK235)-ROW(AK$15),0),
              ROUND(ROUND(OFFSET($P235,0,AK$13),15-13*ORÇAMENTO!$AF$7)*OFFSET(ORÇAMENTO!$W$15,ROW(AK235)-ROW(AK$15),0),15-13*ORÇAMENTO!$AF$11)),
         0)</f>
        <v>0</v>
      </c>
      <c r="AM235" s="172">
        <f ca="1">IF(OR($D235&lt;&gt;"Serviço",AND(AUTOEVENTO="Manual",$M235=$A$15)),0,
         IF(OFFSET(CRONOPLE!$F$15,$M235-$A$15,AM$13)="",10^12,OFFSET(CRONOPLE!$F$15,$M235-$A$15,AM$13)))</f>
        <v>1000000000000</v>
      </c>
      <c r="AN235" s="172">
        <f ca="1">IF(OR($D235&lt;&gt;"Serviço",AND(AUTOEVENTO="Manual",$M235=$A$15)),0,
         IF(OFFSET(CRONOPLE!$F$15,$M235-$A$15,AN$13)="",10^12,OFFSET(CRONOPLE!$F$15,$M235-$A$15,AN$13)))</f>
        <v>1000000000000</v>
      </c>
      <c r="AO235" s="172">
        <f ca="1">IF(OR($D235&lt;&gt;"Serviço",AND(AUTOEVENTO="Manual",$M235=$A$15)),0,
         IF(OFFSET(CRONOPLE!$F$15,$M235-$A$15,AO$13)="",10^12,OFFSET(CRONOPLE!$F$15,$M235-$A$15,AO$13)))</f>
        <v>1000000000000</v>
      </c>
      <c r="AP235" s="172">
        <f ca="1">IF(OR($D235&lt;&gt;"Serviço",AND(AUTOEVENTO="Manual",$M235=$A$15)),0,
         IF(OFFSET(CRONOPLE!$F$15,$M235-$A$15,AP$13)="",10^12,OFFSET(CRONOPLE!$F$15,$M235-$A$15,AP$13)))</f>
        <v>1000000000000</v>
      </c>
      <c r="AQ235" s="172">
        <f ca="1">IF(OR($D235&lt;&gt;"Serviço",AND(AUTOEVENTO="Manual",$M235=$A$15)),0,
         IF(OFFSET(CRONOPLE!$F$15,$M235-$A$15,AQ$13)="",10^12,OFFSET(CRONOPLE!$F$15,$M235-$A$15,AQ$13)))</f>
        <v>1000000000000</v>
      </c>
      <c r="AR235" s="172">
        <f ca="1">IF(OR($D235&lt;&gt;"Serviço",AND(AUTOEVENTO="Manual",$M235=$A$15)),0,
         IF(OFFSET(CRONOPLE!$F$15,$M235-$A$15,AR$13)="",10^12,OFFSET(CRONOPLE!$F$15,$M235-$A$15,AR$13)))</f>
        <v>1000000000000</v>
      </c>
      <c r="AS235" s="172">
        <f ca="1">IF(OR($D235&lt;&gt;"Serviço",AND(AUTOEVENTO="Manual",$M235=$A$15)),0,
         IF(OFFSET(CRONOPLE!$F$15,$M235-$A$15,AS$13)="",10^12,OFFSET(CRONOPLE!$F$15,$M235-$A$15,AS$13)))</f>
        <v>1000000000000</v>
      </c>
      <c r="AT235" s="172">
        <f ca="1">IF(OR($D235&lt;&gt;"Serviço",AND(AUTOEVENTO="Manual",$M235=$A$15)),0,
         IF(OFFSET(CRONOPLE!$F$15,$M235-$A$15,AT$13)="",10^12,OFFSET(CRONOPLE!$F$15,$M235-$A$15,AT$13)))</f>
        <v>1000000000000</v>
      </c>
      <c r="AU235" s="172">
        <f ca="1">IF(OR($D235&lt;&gt;"Serviço",AND(AUTOEVENTO="Manual",$M235=$A$15)),0,
         IF(OFFSET(CRONOPLE!$F$15,$M235-$A$15,AU$13)="",10^12,OFFSET(CRONOPLE!$F$15,$M235-$A$15,AU$13)))</f>
        <v>1000000000000</v>
      </c>
      <c r="AV235" s="172">
        <f ca="1">IF(OR($D235&lt;&gt;"Serviço",AND(AUTOEVENTO="Manual",$M235=$A$15)),0,
         IF(OFFSET(CRONOPLE!$F$15,$M235-$A$15,AV$13)="",10^12,OFFSET(CRONOPLE!$F$15,$M235-$A$15,AV$13)))</f>
        <v>1000000000000</v>
      </c>
      <c r="AX235" s="173">
        <f ca="1">IF(OR($D235&lt;&gt;"Serviço",AND(AUTOEVENTO="Manual",$M235=$A$15),$M235&gt;(ROW(PLE.lastrow)-ROW(PLE.firstrow))),0,
           IF(OFFSET(PLE!$G$15,$M235-$A$15,AX$13)="",10^12,OFFSET(PLE!$G$15,$M235-$A$15,AX$13)))</f>
        <v>1000000000000</v>
      </c>
      <c r="AY235" s="173">
        <f ca="1">IF(OR($D235&lt;&gt;"Serviço",AND(AUTOEVENTO="Manual",$M235=$A$15),$M235&gt;(ROW(PLE.lastrow)-ROW(PLE.firstrow))),0,
           IF(OFFSET(PLE!$G$15,$M235-$A$15,AY$13)="",10^12,OFFSET(PLE!$G$15,$M235-$A$15,AY$13)))</f>
        <v>1000000000000</v>
      </c>
      <c r="AZ235" s="173">
        <f ca="1">IF(OR($D235&lt;&gt;"Serviço",AND(AUTOEVENTO="Manual",$M235=$A$15),$M235&gt;(ROW(PLE.lastrow)-ROW(PLE.firstrow))),0,
           IF(OFFSET(PLE!$G$15,$M235-$A$15,AZ$13)="",10^12,OFFSET(PLE!$G$15,$M235-$A$15,AZ$13)))</f>
        <v>1000000000000</v>
      </c>
      <c r="BA235" s="173">
        <f ca="1">IF(OR($D235&lt;&gt;"Serviço",AND(AUTOEVENTO="Manual",$M235=$A$15),$M235&gt;(ROW(PLE.lastrow)-ROW(PLE.firstrow))),0,
           IF(OFFSET(PLE!$G$15,$M235-$A$15,BA$13)="",10^12,OFFSET(PLE!$G$15,$M235-$A$15,BA$13)))</f>
        <v>1000000000000</v>
      </c>
      <c r="BB235" s="173">
        <f ca="1">IF(OR($D235&lt;&gt;"Serviço",AND(AUTOEVENTO="Manual",$M235=$A$15),$M235&gt;(ROW(PLE.lastrow)-ROW(PLE.firstrow))),0,
           IF(OFFSET(PLE!$G$15,$M235-$A$15,BB$13)="",10^12,OFFSET(PLE!$G$15,$M235-$A$15,BB$13)))</f>
        <v>1000000000000</v>
      </c>
      <c r="BC235" s="173">
        <f ca="1">IF(OR($D235&lt;&gt;"Serviço",AND(AUTOEVENTO="Manual",$M235=$A$15),$M235&gt;(ROW(PLE.lastrow)-ROW(PLE.firstrow))),0,
           IF(OFFSET(PLE!$G$15,$M235-$A$15,BC$13)="",10^12,OFFSET(PLE!$G$15,$M235-$A$15,BC$13)))</f>
        <v>1000000000000</v>
      </c>
      <c r="BD235" s="173">
        <f ca="1">IF(OR($D235&lt;&gt;"Serviço",AND(AUTOEVENTO="Manual",$M235=$A$15),$M235&gt;(ROW(PLE.lastrow)-ROW(PLE.firstrow))),0,
           IF(OFFSET(PLE!$G$15,$M235-$A$15,BD$13)="",10^12,OFFSET(PLE!$G$15,$M235-$A$15,BD$13)))</f>
        <v>1000000000000</v>
      </c>
      <c r="BE235" s="173">
        <f ca="1">IF(OR($D235&lt;&gt;"Serviço",AND(AUTOEVENTO="Manual",$M235=$A$15),$M235&gt;(ROW(PLE.lastrow)-ROW(PLE.firstrow))),0,
           IF(OFFSET(PLE!$G$15,$M235-$A$15,BE$13)="",10^12,OFFSET(PLE!$G$15,$M235-$A$15,BE$13)))</f>
        <v>1000000000000</v>
      </c>
      <c r="BF235" s="173">
        <f ca="1">IF(OR($D235&lt;&gt;"Serviço",AND(AUTOEVENTO="Manual",$M235=$A$15),$M235&gt;(ROW(PLE.lastrow)-ROW(PLE.firstrow))),0,
           IF(OFFSET(PLE!$G$15,$M235-$A$15,BF$13)="",10^12,OFFSET(PLE!$G$15,$M235-$A$15,BF$13)))</f>
        <v>1000000000000</v>
      </c>
      <c r="BG235" s="173">
        <f ca="1">IF(OR($D235&lt;&gt;"Serviço",AND(AUTOEVENTO="Manual",$M235=$A$15),$M235&gt;(ROW(PLE.lastrow)-ROW(PLE.firstrow))),0,
           IF(OFFSET(PLE!$G$15,$M235-$A$15,BG$13)="",10^12,OFFSET(PLE!$G$15,$M235-$A$15,BG$13)))</f>
        <v>1000000000000</v>
      </c>
    </row>
    <row r="236" spans="1:59" ht="25.5" x14ac:dyDescent="0.2">
      <c r="A236" s="7" t="str">
        <f t="shared" ca="1" si="11"/>
        <v>210</v>
      </c>
      <c r="B236" s="7" t="str">
        <f ca="1">OFFSET(ORÇAMENTO!C$15,ROW(B236)-ROW(B$15),0)</f>
        <v>S</v>
      </c>
      <c r="C236" s="7" t="str">
        <f ca="1">OFFSET(ORÇAMENTO!L$15,ROW(C236)-ROW(C$15),0)</f>
        <v/>
      </c>
      <c r="D236" s="117" t="str">
        <f ca="1">OFFSET(ORÇAMENTO!N$15,ROW(D236)-ROW(D$15),0)</f>
        <v>Serviço</v>
      </c>
      <c r="E236" s="118" t="str">
        <f ca="1">OFFSET(ORÇAMENTO!O$15,ROW(E236)-ROW(E$15),0)</f>
        <v>-</v>
      </c>
      <c r="F236" s="164" t="str">
        <f ca="1">OFFSET(ORÇAMENTO!R$15,ROW(F236)-ROW(F$15),0)</f>
        <v>ENGATE FLEXÍVEL EM PLÁSTICO BRANCO, 1/2" X 30CM - FORNECIMENTO E INSTALAÇÃO. AF_01/2020</v>
      </c>
      <c r="G236" s="165" t="str">
        <f ca="1">IF($D236&lt;&gt;"Serviço","",OFFSET(ORÇAMENTO!S$15,ROW(G236)-ROW(G$15),0))</f>
        <v>UN</v>
      </c>
      <c r="H236" s="123">
        <f ca="1">IF($D236&lt;&gt;"Serviço",0,IF(ACOMPANHAMENTO="BM",ROUND(OFFSET(ORÇAMENTO!AJ$15,ROW(H236)-ROW(H$15),0),15-13*ORÇAMENTO!$AF$7),SUMPRODUCT(($Q$1:$AA$1=1)*ROUND($Q236:$AA236,15-13*ORÇAMENTO!$AF$7))))</f>
        <v>35</v>
      </c>
      <c r="I236" s="469"/>
      <c r="J236" s="577" t="str" cm="1">
        <f t="array" aca="1" ref="J236" ca="1">IF(B236&lt;&gt;"S","",IF(AND(ACOMPANHAMENTO="PLE",AUTOEVENTO="Manual",OR(H236&gt;0,ORÇAMENTO!AC236="QUANT."),OR(K236="",M236=0,N236="")),"►",IF(AND(ACOMPANHAMENTO="PLE",ORÇAMENTO!AC236="QUANT."),"►►",IF(AND(COUNTIF($P$11:$AA$11,"▼")=0,H236&gt;0,I236=""),"◄",""))))</f>
        <v>◄</v>
      </c>
      <c r="K236" s="626"/>
      <c r="L236" s="166" t="s">
        <v>765</v>
      </c>
      <c r="M236" s="167">
        <f ca="1">IF($D236&lt;&gt;"Serviço","",
          IF(AUTOEVENTO="manual",$A236,
                IF(ISERROR(MATCH($A236,$A$15:OFFSET($A236,-1,0),0)),MAX($M$15:OFFSET(M236,-1,0))+1,
                      INDEX($M$15:OFFSET(M236,-1,0),MATCH($A236,$A$15:OFFSET($A236,-1,0),0)))))</f>
        <v>13</v>
      </c>
      <c r="N236" s="168" t="str">
        <f ca="1">IF($D236&lt;&gt;"Serviço","",
         IF(AUTOEVENTO="Manual",
                IF($A236=0,"&lt;-- defina o número do agrupador",
                       OFFSET(EVENTOS!$D$15,$A236-$A$15,0)),
                OFFSET($F$15,$A236,0)))</f>
        <v>LOUÇAS E ACESSÓRIOS</v>
      </c>
      <c r="O236" s="169"/>
      <c r="Q236" s="169"/>
      <c r="R236" s="170"/>
      <c r="S236" s="170"/>
      <c r="T236" s="170"/>
      <c r="U236" s="170"/>
      <c r="V236" s="170"/>
      <c r="W236" s="170"/>
      <c r="X236" s="170"/>
      <c r="Y236" s="170"/>
      <c r="Z236" s="171"/>
      <c r="AB236" s="454">
        <f ca="1">IF(AND($D236="Serviço",AB$12&lt;&gt;0,$H236&gt;0,OR(AUTOEVENTO&lt;&gt;"manual",$M236&lt;&gt;$A$15)),
        IF(Import.TipoArredondamento&lt;&gt;"TransfereGOV",
              ROUND(OFFSET($P236,0,AB$13),15-13*ORÇAMENTO!$AF$7)/$H236*OFFSET(ORÇAMENTO!$X$15,ROW(AB236)-ROW(AB$15),0),
              ROUND(ROUND(OFFSET($P236,0,AB$13),15-13*ORÇAMENTO!$AF$7)*OFFSET(ORÇAMENTO!$W$15,ROW(AB236)-ROW(AB$15),0),15-13*ORÇAMENTO!$AF$11)),
         0)</f>
        <v>0</v>
      </c>
      <c r="AC236" s="454">
        <f ca="1">IF(AND($D236="Serviço",AC$12&lt;&gt;0,$H236&gt;0,OR(AUTOEVENTO&lt;&gt;"manual",$M236&lt;&gt;$A$15)),
        IF(Import.TipoArredondamento&lt;&gt;"TransfereGOV",
              ROUND(OFFSET($P236,0,AC$13),15-13*ORÇAMENTO!$AF$7)/$H236*OFFSET(ORÇAMENTO!$X$15,ROW(AC236)-ROW(AC$15),0),
              ROUND(ROUND(OFFSET($P236,0,AC$13),15-13*ORÇAMENTO!$AF$7)*OFFSET(ORÇAMENTO!$W$15,ROW(AC236)-ROW(AC$15),0),15-13*ORÇAMENTO!$AF$11)),
         0)</f>
        <v>0</v>
      </c>
      <c r="AD236" s="454">
        <f ca="1">IF(AND($D236="Serviço",AD$12&lt;&gt;0,$H236&gt;0,OR(AUTOEVENTO&lt;&gt;"manual",$M236&lt;&gt;$A$15)),
        IF(Import.TipoArredondamento&lt;&gt;"TransfereGOV",
              ROUND(OFFSET($P236,0,AD$13),15-13*ORÇAMENTO!$AF$7)/$H236*OFFSET(ORÇAMENTO!$X$15,ROW(AD236)-ROW(AD$15),0),
              ROUND(ROUND(OFFSET($P236,0,AD$13),15-13*ORÇAMENTO!$AF$7)*OFFSET(ORÇAMENTO!$W$15,ROW(AD236)-ROW(AD$15),0),15-13*ORÇAMENTO!$AF$11)),
         0)</f>
        <v>0</v>
      </c>
      <c r="AE236" s="454">
        <f ca="1">IF(AND($D236="Serviço",AE$12&lt;&gt;0,$H236&gt;0,OR(AUTOEVENTO&lt;&gt;"manual",$M236&lt;&gt;$A$15)),
        IF(Import.TipoArredondamento&lt;&gt;"TransfereGOV",
              ROUND(OFFSET($P236,0,AE$13),15-13*ORÇAMENTO!$AF$7)/$H236*OFFSET(ORÇAMENTO!$X$15,ROW(AE236)-ROW(AE$15),0),
              ROUND(ROUND(OFFSET($P236,0,AE$13),15-13*ORÇAMENTO!$AF$7)*OFFSET(ORÇAMENTO!$W$15,ROW(AE236)-ROW(AE$15),0),15-13*ORÇAMENTO!$AF$11)),
         0)</f>
        <v>0</v>
      </c>
      <c r="AF236" s="454">
        <f ca="1">IF(AND($D236="Serviço",AF$12&lt;&gt;0,$H236&gt;0,OR(AUTOEVENTO&lt;&gt;"manual",$M236&lt;&gt;$A$15)),
        IF(Import.TipoArredondamento&lt;&gt;"TransfereGOV",
              ROUND(OFFSET($P236,0,AF$13),15-13*ORÇAMENTO!$AF$7)/$H236*OFFSET(ORÇAMENTO!$X$15,ROW(AF236)-ROW(AF$15),0),
              ROUND(ROUND(OFFSET($P236,0,AF$13),15-13*ORÇAMENTO!$AF$7)*OFFSET(ORÇAMENTO!$W$15,ROW(AF236)-ROW(AF$15),0),15-13*ORÇAMENTO!$AF$11)),
         0)</f>
        <v>0</v>
      </c>
      <c r="AG236" s="454">
        <f ca="1">IF(AND($D236="Serviço",AG$12&lt;&gt;0,$H236&gt;0,OR(AUTOEVENTO&lt;&gt;"manual",$M236&lt;&gt;$A$15)),
        IF(Import.TipoArredondamento&lt;&gt;"TransfereGOV",
              ROUND(OFFSET($P236,0,AG$13),15-13*ORÇAMENTO!$AF$7)/$H236*OFFSET(ORÇAMENTO!$X$15,ROW(AG236)-ROW(AG$15),0),
              ROUND(ROUND(OFFSET($P236,0,AG$13),15-13*ORÇAMENTO!$AF$7)*OFFSET(ORÇAMENTO!$W$15,ROW(AG236)-ROW(AG$15),0),15-13*ORÇAMENTO!$AF$11)),
         0)</f>
        <v>0</v>
      </c>
      <c r="AH236" s="454">
        <f ca="1">IF(AND($D236="Serviço",AH$12&lt;&gt;0,$H236&gt;0,OR(AUTOEVENTO&lt;&gt;"manual",$M236&lt;&gt;$A$15)),
        IF(Import.TipoArredondamento&lt;&gt;"TransfereGOV",
              ROUND(OFFSET($P236,0,AH$13),15-13*ORÇAMENTO!$AF$7)/$H236*OFFSET(ORÇAMENTO!$X$15,ROW(AH236)-ROW(AH$15),0),
              ROUND(ROUND(OFFSET($P236,0,AH$13),15-13*ORÇAMENTO!$AF$7)*OFFSET(ORÇAMENTO!$W$15,ROW(AH236)-ROW(AH$15),0),15-13*ORÇAMENTO!$AF$11)),
         0)</f>
        <v>0</v>
      </c>
      <c r="AI236" s="454">
        <f ca="1">IF(AND($D236="Serviço",AI$12&lt;&gt;0,$H236&gt;0,OR(AUTOEVENTO&lt;&gt;"manual",$M236&lt;&gt;$A$15)),
        IF(Import.TipoArredondamento&lt;&gt;"TransfereGOV",
              ROUND(OFFSET($P236,0,AI$13),15-13*ORÇAMENTO!$AF$7)/$H236*OFFSET(ORÇAMENTO!$X$15,ROW(AI236)-ROW(AI$15),0),
              ROUND(ROUND(OFFSET($P236,0,AI$13),15-13*ORÇAMENTO!$AF$7)*OFFSET(ORÇAMENTO!$W$15,ROW(AI236)-ROW(AI$15),0),15-13*ORÇAMENTO!$AF$11)),
         0)</f>
        <v>0</v>
      </c>
      <c r="AJ236" s="454">
        <f ca="1">IF(AND($D236="Serviço",AJ$12&lt;&gt;0,$H236&gt;0,OR(AUTOEVENTO&lt;&gt;"manual",$M236&lt;&gt;$A$15)),
        IF(Import.TipoArredondamento&lt;&gt;"TransfereGOV",
              ROUND(OFFSET($P236,0,AJ$13),15-13*ORÇAMENTO!$AF$7)/$H236*OFFSET(ORÇAMENTO!$X$15,ROW(AJ236)-ROW(AJ$15),0),
              ROUND(ROUND(OFFSET($P236,0,AJ$13),15-13*ORÇAMENTO!$AF$7)*OFFSET(ORÇAMENTO!$W$15,ROW(AJ236)-ROW(AJ$15),0),15-13*ORÇAMENTO!$AF$11)),
         0)</f>
        <v>0</v>
      </c>
      <c r="AK236" s="454">
        <f ca="1">IF(AND($D236="Serviço",AK$12&lt;&gt;0,$H236&gt;0,OR(AUTOEVENTO&lt;&gt;"manual",$M236&lt;&gt;$A$15)),
        IF(Import.TipoArredondamento&lt;&gt;"TransfereGOV",
              ROUND(OFFSET($P236,0,AK$13),15-13*ORÇAMENTO!$AF$7)/$H236*OFFSET(ORÇAMENTO!$X$15,ROW(AK236)-ROW(AK$15),0),
              ROUND(ROUND(OFFSET($P236,0,AK$13),15-13*ORÇAMENTO!$AF$7)*OFFSET(ORÇAMENTO!$W$15,ROW(AK236)-ROW(AK$15),0),15-13*ORÇAMENTO!$AF$11)),
         0)</f>
        <v>0</v>
      </c>
      <c r="AM236" s="172">
        <f ca="1">IF(OR($D236&lt;&gt;"Serviço",AND(AUTOEVENTO="Manual",$M236=$A$15)),0,
         IF(OFFSET(CRONOPLE!$F$15,$M236-$A$15,AM$13)="",10^12,OFFSET(CRONOPLE!$F$15,$M236-$A$15,AM$13)))</f>
        <v>1000000000000</v>
      </c>
      <c r="AN236" s="172">
        <f ca="1">IF(OR($D236&lt;&gt;"Serviço",AND(AUTOEVENTO="Manual",$M236=$A$15)),0,
         IF(OFFSET(CRONOPLE!$F$15,$M236-$A$15,AN$13)="",10^12,OFFSET(CRONOPLE!$F$15,$M236-$A$15,AN$13)))</f>
        <v>1000000000000</v>
      </c>
      <c r="AO236" s="172">
        <f ca="1">IF(OR($D236&lt;&gt;"Serviço",AND(AUTOEVENTO="Manual",$M236=$A$15)),0,
         IF(OFFSET(CRONOPLE!$F$15,$M236-$A$15,AO$13)="",10^12,OFFSET(CRONOPLE!$F$15,$M236-$A$15,AO$13)))</f>
        <v>1000000000000</v>
      </c>
      <c r="AP236" s="172">
        <f ca="1">IF(OR($D236&lt;&gt;"Serviço",AND(AUTOEVENTO="Manual",$M236=$A$15)),0,
         IF(OFFSET(CRONOPLE!$F$15,$M236-$A$15,AP$13)="",10^12,OFFSET(CRONOPLE!$F$15,$M236-$A$15,AP$13)))</f>
        <v>1000000000000</v>
      </c>
      <c r="AQ236" s="172">
        <f ca="1">IF(OR($D236&lt;&gt;"Serviço",AND(AUTOEVENTO="Manual",$M236=$A$15)),0,
         IF(OFFSET(CRONOPLE!$F$15,$M236-$A$15,AQ$13)="",10^12,OFFSET(CRONOPLE!$F$15,$M236-$A$15,AQ$13)))</f>
        <v>1000000000000</v>
      </c>
      <c r="AR236" s="172">
        <f ca="1">IF(OR($D236&lt;&gt;"Serviço",AND(AUTOEVENTO="Manual",$M236=$A$15)),0,
         IF(OFFSET(CRONOPLE!$F$15,$M236-$A$15,AR$13)="",10^12,OFFSET(CRONOPLE!$F$15,$M236-$A$15,AR$13)))</f>
        <v>1000000000000</v>
      </c>
      <c r="AS236" s="172">
        <f ca="1">IF(OR($D236&lt;&gt;"Serviço",AND(AUTOEVENTO="Manual",$M236=$A$15)),0,
         IF(OFFSET(CRONOPLE!$F$15,$M236-$A$15,AS$13)="",10^12,OFFSET(CRONOPLE!$F$15,$M236-$A$15,AS$13)))</f>
        <v>1000000000000</v>
      </c>
      <c r="AT236" s="172">
        <f ca="1">IF(OR($D236&lt;&gt;"Serviço",AND(AUTOEVENTO="Manual",$M236=$A$15)),0,
         IF(OFFSET(CRONOPLE!$F$15,$M236-$A$15,AT$13)="",10^12,OFFSET(CRONOPLE!$F$15,$M236-$A$15,AT$13)))</f>
        <v>1000000000000</v>
      </c>
      <c r="AU236" s="172">
        <f ca="1">IF(OR($D236&lt;&gt;"Serviço",AND(AUTOEVENTO="Manual",$M236=$A$15)),0,
         IF(OFFSET(CRONOPLE!$F$15,$M236-$A$15,AU$13)="",10^12,OFFSET(CRONOPLE!$F$15,$M236-$A$15,AU$13)))</f>
        <v>1000000000000</v>
      </c>
      <c r="AV236" s="172">
        <f ca="1">IF(OR($D236&lt;&gt;"Serviço",AND(AUTOEVENTO="Manual",$M236=$A$15)),0,
         IF(OFFSET(CRONOPLE!$F$15,$M236-$A$15,AV$13)="",10^12,OFFSET(CRONOPLE!$F$15,$M236-$A$15,AV$13)))</f>
        <v>1000000000000</v>
      </c>
      <c r="AX236" s="173">
        <f ca="1">IF(OR($D236&lt;&gt;"Serviço",AND(AUTOEVENTO="Manual",$M236=$A$15),$M236&gt;(ROW(PLE.lastrow)-ROW(PLE.firstrow))),0,
           IF(OFFSET(PLE!$G$15,$M236-$A$15,AX$13)="",10^12,OFFSET(PLE!$G$15,$M236-$A$15,AX$13)))</f>
        <v>1000000000000</v>
      </c>
      <c r="AY236" s="173">
        <f ca="1">IF(OR($D236&lt;&gt;"Serviço",AND(AUTOEVENTO="Manual",$M236=$A$15),$M236&gt;(ROW(PLE.lastrow)-ROW(PLE.firstrow))),0,
           IF(OFFSET(PLE!$G$15,$M236-$A$15,AY$13)="",10^12,OFFSET(PLE!$G$15,$M236-$A$15,AY$13)))</f>
        <v>1000000000000</v>
      </c>
      <c r="AZ236" s="173">
        <f ca="1">IF(OR($D236&lt;&gt;"Serviço",AND(AUTOEVENTO="Manual",$M236=$A$15),$M236&gt;(ROW(PLE.lastrow)-ROW(PLE.firstrow))),0,
           IF(OFFSET(PLE!$G$15,$M236-$A$15,AZ$13)="",10^12,OFFSET(PLE!$G$15,$M236-$A$15,AZ$13)))</f>
        <v>1000000000000</v>
      </c>
      <c r="BA236" s="173">
        <f ca="1">IF(OR($D236&lt;&gt;"Serviço",AND(AUTOEVENTO="Manual",$M236=$A$15),$M236&gt;(ROW(PLE.lastrow)-ROW(PLE.firstrow))),0,
           IF(OFFSET(PLE!$G$15,$M236-$A$15,BA$13)="",10^12,OFFSET(PLE!$G$15,$M236-$A$15,BA$13)))</f>
        <v>1000000000000</v>
      </c>
      <c r="BB236" s="173">
        <f ca="1">IF(OR($D236&lt;&gt;"Serviço",AND(AUTOEVENTO="Manual",$M236=$A$15),$M236&gt;(ROW(PLE.lastrow)-ROW(PLE.firstrow))),0,
           IF(OFFSET(PLE!$G$15,$M236-$A$15,BB$13)="",10^12,OFFSET(PLE!$G$15,$M236-$A$15,BB$13)))</f>
        <v>1000000000000</v>
      </c>
      <c r="BC236" s="173">
        <f ca="1">IF(OR($D236&lt;&gt;"Serviço",AND(AUTOEVENTO="Manual",$M236=$A$15),$M236&gt;(ROW(PLE.lastrow)-ROW(PLE.firstrow))),0,
           IF(OFFSET(PLE!$G$15,$M236-$A$15,BC$13)="",10^12,OFFSET(PLE!$G$15,$M236-$A$15,BC$13)))</f>
        <v>1000000000000</v>
      </c>
      <c r="BD236" s="173">
        <f ca="1">IF(OR($D236&lt;&gt;"Serviço",AND(AUTOEVENTO="Manual",$M236=$A$15),$M236&gt;(ROW(PLE.lastrow)-ROW(PLE.firstrow))),0,
           IF(OFFSET(PLE!$G$15,$M236-$A$15,BD$13)="",10^12,OFFSET(PLE!$G$15,$M236-$A$15,BD$13)))</f>
        <v>1000000000000</v>
      </c>
      <c r="BE236" s="173">
        <f ca="1">IF(OR($D236&lt;&gt;"Serviço",AND(AUTOEVENTO="Manual",$M236=$A$15),$M236&gt;(ROW(PLE.lastrow)-ROW(PLE.firstrow))),0,
           IF(OFFSET(PLE!$G$15,$M236-$A$15,BE$13)="",10^12,OFFSET(PLE!$G$15,$M236-$A$15,BE$13)))</f>
        <v>1000000000000</v>
      </c>
      <c r="BF236" s="173">
        <f ca="1">IF(OR($D236&lt;&gt;"Serviço",AND(AUTOEVENTO="Manual",$M236=$A$15),$M236&gt;(ROW(PLE.lastrow)-ROW(PLE.firstrow))),0,
           IF(OFFSET(PLE!$G$15,$M236-$A$15,BF$13)="",10^12,OFFSET(PLE!$G$15,$M236-$A$15,BF$13)))</f>
        <v>1000000000000</v>
      </c>
      <c r="BG236" s="173">
        <f ca="1">IF(OR($D236&lt;&gt;"Serviço",AND(AUTOEVENTO="Manual",$M236=$A$15),$M236&gt;(ROW(PLE.lastrow)-ROW(PLE.firstrow))),0,
           IF(OFFSET(PLE!$G$15,$M236-$A$15,BG$13)="",10^12,OFFSET(PLE!$G$15,$M236-$A$15,BG$13)))</f>
        <v>1000000000000</v>
      </c>
    </row>
    <row r="237" spans="1:59" ht="38.25" x14ac:dyDescent="0.2">
      <c r="A237" s="7" t="str">
        <f t="shared" ca="1" si="11"/>
        <v>210</v>
      </c>
      <c r="B237" s="7" t="str">
        <f ca="1">OFFSET(ORÇAMENTO!C$15,ROW(B237)-ROW(B$15),0)</f>
        <v>S</v>
      </c>
      <c r="C237" s="7" t="str">
        <f ca="1">OFFSET(ORÇAMENTO!L$15,ROW(C237)-ROW(C$15),0)</f>
        <v/>
      </c>
      <c r="D237" s="117" t="str">
        <f ca="1">OFFSET(ORÇAMENTO!N$15,ROW(D237)-ROW(D$15),0)</f>
        <v>Serviço</v>
      </c>
      <c r="E237" s="118" t="str">
        <f ca="1">OFFSET(ORÇAMENTO!O$15,ROW(E237)-ROW(E$15),0)</f>
        <v>-</v>
      </c>
      <c r="F237" s="164" t="str">
        <f ca="1">OFFSET(ORÇAMENTO!R$15,ROW(F237)-ROW(F$15),0)</f>
        <v>LAVATÓRIO LOUÇA BRANCA SUSPENSO, 29,5 X 39CM OU EQUIVALENTE, PADRÃO POPULAR - FORNECIMENTO E INSTALAÇÃO. AF_01/2020</v>
      </c>
      <c r="G237" s="165" t="str">
        <f ca="1">IF($D237&lt;&gt;"Serviço","",OFFSET(ORÇAMENTO!S$15,ROW(G237)-ROW(G$15),0))</f>
        <v>UN</v>
      </c>
      <c r="H237" s="123">
        <f ca="1">IF($D237&lt;&gt;"Serviço",0,IF(ACOMPANHAMENTO="BM",ROUND(OFFSET(ORÇAMENTO!AJ$15,ROW(H237)-ROW(H$15),0),15-13*ORÇAMENTO!$AF$7),SUMPRODUCT(($Q$1:$AA$1=1)*ROUND($Q237:$AA237,15-13*ORÇAMENTO!$AF$7))))</f>
        <v>35</v>
      </c>
      <c r="I237" s="469"/>
      <c r="J237" s="577" t="str" cm="1">
        <f t="array" aca="1" ref="J237" ca="1">IF(B237&lt;&gt;"S","",IF(AND(ACOMPANHAMENTO="PLE",AUTOEVENTO="Manual",OR(H237&gt;0,ORÇAMENTO!AC237="QUANT."),OR(K237="",M237=0,N237="")),"►",IF(AND(ACOMPANHAMENTO="PLE",ORÇAMENTO!AC237="QUANT."),"►►",IF(AND(COUNTIF($P$11:$AA$11,"▼")=0,H237&gt;0,I237=""),"◄",""))))</f>
        <v>◄</v>
      </c>
      <c r="K237" s="626"/>
      <c r="L237" s="166" t="s">
        <v>765</v>
      </c>
      <c r="M237" s="167">
        <f ca="1">IF($D237&lt;&gt;"Serviço","",
          IF(AUTOEVENTO="manual",$A237,
                IF(ISERROR(MATCH($A237,$A$15:OFFSET($A237,-1,0),0)),MAX($M$15:OFFSET(M237,-1,0))+1,
                      INDEX($M$15:OFFSET(M237,-1,0),MATCH($A237,$A$15:OFFSET($A237,-1,0),0)))))</f>
        <v>13</v>
      </c>
      <c r="N237" s="168" t="str">
        <f ca="1">IF($D237&lt;&gt;"Serviço","",
         IF(AUTOEVENTO="Manual",
                IF($A237=0,"&lt;-- defina o número do agrupador",
                       OFFSET(EVENTOS!$D$15,$A237-$A$15,0)),
                OFFSET($F$15,$A237,0)))</f>
        <v>LOUÇAS E ACESSÓRIOS</v>
      </c>
      <c r="O237" s="169"/>
      <c r="Q237" s="169"/>
      <c r="R237" s="170"/>
      <c r="S237" s="170"/>
      <c r="T237" s="170"/>
      <c r="U237" s="170"/>
      <c r="V237" s="170"/>
      <c r="W237" s="170"/>
      <c r="X237" s="170"/>
      <c r="Y237" s="170"/>
      <c r="Z237" s="171"/>
      <c r="AB237" s="454">
        <f ca="1">IF(AND($D237="Serviço",AB$12&lt;&gt;0,$H237&gt;0,OR(AUTOEVENTO&lt;&gt;"manual",$M237&lt;&gt;$A$15)),
        IF(Import.TipoArredondamento&lt;&gt;"TransfereGOV",
              ROUND(OFFSET($P237,0,AB$13),15-13*ORÇAMENTO!$AF$7)/$H237*OFFSET(ORÇAMENTO!$X$15,ROW(AB237)-ROW(AB$15),0),
              ROUND(ROUND(OFFSET($P237,0,AB$13),15-13*ORÇAMENTO!$AF$7)*OFFSET(ORÇAMENTO!$W$15,ROW(AB237)-ROW(AB$15),0),15-13*ORÇAMENTO!$AF$11)),
         0)</f>
        <v>0</v>
      </c>
      <c r="AC237" s="454">
        <f ca="1">IF(AND($D237="Serviço",AC$12&lt;&gt;0,$H237&gt;0,OR(AUTOEVENTO&lt;&gt;"manual",$M237&lt;&gt;$A$15)),
        IF(Import.TipoArredondamento&lt;&gt;"TransfereGOV",
              ROUND(OFFSET($P237,0,AC$13),15-13*ORÇAMENTO!$AF$7)/$H237*OFFSET(ORÇAMENTO!$X$15,ROW(AC237)-ROW(AC$15),0),
              ROUND(ROUND(OFFSET($P237,0,AC$13),15-13*ORÇAMENTO!$AF$7)*OFFSET(ORÇAMENTO!$W$15,ROW(AC237)-ROW(AC$15),0),15-13*ORÇAMENTO!$AF$11)),
         0)</f>
        <v>0</v>
      </c>
      <c r="AD237" s="454">
        <f ca="1">IF(AND($D237="Serviço",AD$12&lt;&gt;0,$H237&gt;0,OR(AUTOEVENTO&lt;&gt;"manual",$M237&lt;&gt;$A$15)),
        IF(Import.TipoArredondamento&lt;&gt;"TransfereGOV",
              ROUND(OFFSET($P237,0,AD$13),15-13*ORÇAMENTO!$AF$7)/$H237*OFFSET(ORÇAMENTO!$X$15,ROW(AD237)-ROW(AD$15),0),
              ROUND(ROUND(OFFSET($P237,0,AD$13),15-13*ORÇAMENTO!$AF$7)*OFFSET(ORÇAMENTO!$W$15,ROW(AD237)-ROW(AD$15),0),15-13*ORÇAMENTO!$AF$11)),
         0)</f>
        <v>0</v>
      </c>
      <c r="AE237" s="454">
        <f ca="1">IF(AND($D237="Serviço",AE$12&lt;&gt;0,$H237&gt;0,OR(AUTOEVENTO&lt;&gt;"manual",$M237&lt;&gt;$A$15)),
        IF(Import.TipoArredondamento&lt;&gt;"TransfereGOV",
              ROUND(OFFSET($P237,0,AE$13),15-13*ORÇAMENTO!$AF$7)/$H237*OFFSET(ORÇAMENTO!$X$15,ROW(AE237)-ROW(AE$15),0),
              ROUND(ROUND(OFFSET($P237,0,AE$13),15-13*ORÇAMENTO!$AF$7)*OFFSET(ORÇAMENTO!$W$15,ROW(AE237)-ROW(AE$15),0),15-13*ORÇAMENTO!$AF$11)),
         0)</f>
        <v>0</v>
      </c>
      <c r="AF237" s="454">
        <f ca="1">IF(AND($D237="Serviço",AF$12&lt;&gt;0,$H237&gt;0,OR(AUTOEVENTO&lt;&gt;"manual",$M237&lt;&gt;$A$15)),
        IF(Import.TipoArredondamento&lt;&gt;"TransfereGOV",
              ROUND(OFFSET($P237,0,AF$13),15-13*ORÇAMENTO!$AF$7)/$H237*OFFSET(ORÇAMENTO!$X$15,ROW(AF237)-ROW(AF$15),0),
              ROUND(ROUND(OFFSET($P237,0,AF$13),15-13*ORÇAMENTO!$AF$7)*OFFSET(ORÇAMENTO!$W$15,ROW(AF237)-ROW(AF$15),0),15-13*ORÇAMENTO!$AF$11)),
         0)</f>
        <v>0</v>
      </c>
      <c r="AG237" s="454">
        <f ca="1">IF(AND($D237="Serviço",AG$12&lt;&gt;0,$H237&gt;0,OR(AUTOEVENTO&lt;&gt;"manual",$M237&lt;&gt;$A$15)),
        IF(Import.TipoArredondamento&lt;&gt;"TransfereGOV",
              ROUND(OFFSET($P237,0,AG$13),15-13*ORÇAMENTO!$AF$7)/$H237*OFFSET(ORÇAMENTO!$X$15,ROW(AG237)-ROW(AG$15),0),
              ROUND(ROUND(OFFSET($P237,0,AG$13),15-13*ORÇAMENTO!$AF$7)*OFFSET(ORÇAMENTO!$W$15,ROW(AG237)-ROW(AG$15),0),15-13*ORÇAMENTO!$AF$11)),
         0)</f>
        <v>0</v>
      </c>
      <c r="AH237" s="454">
        <f ca="1">IF(AND($D237="Serviço",AH$12&lt;&gt;0,$H237&gt;0,OR(AUTOEVENTO&lt;&gt;"manual",$M237&lt;&gt;$A$15)),
        IF(Import.TipoArredondamento&lt;&gt;"TransfereGOV",
              ROUND(OFFSET($P237,0,AH$13),15-13*ORÇAMENTO!$AF$7)/$H237*OFFSET(ORÇAMENTO!$X$15,ROW(AH237)-ROW(AH$15),0),
              ROUND(ROUND(OFFSET($P237,0,AH$13),15-13*ORÇAMENTO!$AF$7)*OFFSET(ORÇAMENTO!$W$15,ROW(AH237)-ROW(AH$15),0),15-13*ORÇAMENTO!$AF$11)),
         0)</f>
        <v>0</v>
      </c>
      <c r="AI237" s="454">
        <f ca="1">IF(AND($D237="Serviço",AI$12&lt;&gt;0,$H237&gt;0,OR(AUTOEVENTO&lt;&gt;"manual",$M237&lt;&gt;$A$15)),
        IF(Import.TipoArredondamento&lt;&gt;"TransfereGOV",
              ROUND(OFFSET($P237,0,AI$13),15-13*ORÇAMENTO!$AF$7)/$H237*OFFSET(ORÇAMENTO!$X$15,ROW(AI237)-ROW(AI$15),0),
              ROUND(ROUND(OFFSET($P237,0,AI$13),15-13*ORÇAMENTO!$AF$7)*OFFSET(ORÇAMENTO!$W$15,ROW(AI237)-ROW(AI$15),0),15-13*ORÇAMENTO!$AF$11)),
         0)</f>
        <v>0</v>
      </c>
      <c r="AJ237" s="454">
        <f ca="1">IF(AND($D237="Serviço",AJ$12&lt;&gt;0,$H237&gt;0,OR(AUTOEVENTO&lt;&gt;"manual",$M237&lt;&gt;$A$15)),
        IF(Import.TipoArredondamento&lt;&gt;"TransfereGOV",
              ROUND(OFFSET($P237,0,AJ$13),15-13*ORÇAMENTO!$AF$7)/$H237*OFFSET(ORÇAMENTO!$X$15,ROW(AJ237)-ROW(AJ$15),0),
              ROUND(ROUND(OFFSET($P237,0,AJ$13),15-13*ORÇAMENTO!$AF$7)*OFFSET(ORÇAMENTO!$W$15,ROW(AJ237)-ROW(AJ$15),0),15-13*ORÇAMENTO!$AF$11)),
         0)</f>
        <v>0</v>
      </c>
      <c r="AK237" s="454">
        <f ca="1">IF(AND($D237="Serviço",AK$12&lt;&gt;0,$H237&gt;0,OR(AUTOEVENTO&lt;&gt;"manual",$M237&lt;&gt;$A$15)),
        IF(Import.TipoArredondamento&lt;&gt;"TransfereGOV",
              ROUND(OFFSET($P237,0,AK$13),15-13*ORÇAMENTO!$AF$7)/$H237*OFFSET(ORÇAMENTO!$X$15,ROW(AK237)-ROW(AK$15),0),
              ROUND(ROUND(OFFSET($P237,0,AK$13),15-13*ORÇAMENTO!$AF$7)*OFFSET(ORÇAMENTO!$W$15,ROW(AK237)-ROW(AK$15),0),15-13*ORÇAMENTO!$AF$11)),
         0)</f>
        <v>0</v>
      </c>
      <c r="AM237" s="172">
        <f ca="1">IF(OR($D237&lt;&gt;"Serviço",AND(AUTOEVENTO="Manual",$M237=$A$15)),0,
         IF(OFFSET(CRONOPLE!$F$15,$M237-$A$15,AM$13)="",10^12,OFFSET(CRONOPLE!$F$15,$M237-$A$15,AM$13)))</f>
        <v>1000000000000</v>
      </c>
      <c r="AN237" s="172">
        <f ca="1">IF(OR($D237&lt;&gt;"Serviço",AND(AUTOEVENTO="Manual",$M237=$A$15)),0,
         IF(OFFSET(CRONOPLE!$F$15,$M237-$A$15,AN$13)="",10^12,OFFSET(CRONOPLE!$F$15,$M237-$A$15,AN$13)))</f>
        <v>1000000000000</v>
      </c>
      <c r="AO237" s="172">
        <f ca="1">IF(OR($D237&lt;&gt;"Serviço",AND(AUTOEVENTO="Manual",$M237=$A$15)),0,
         IF(OFFSET(CRONOPLE!$F$15,$M237-$A$15,AO$13)="",10^12,OFFSET(CRONOPLE!$F$15,$M237-$A$15,AO$13)))</f>
        <v>1000000000000</v>
      </c>
      <c r="AP237" s="172">
        <f ca="1">IF(OR($D237&lt;&gt;"Serviço",AND(AUTOEVENTO="Manual",$M237=$A$15)),0,
         IF(OFFSET(CRONOPLE!$F$15,$M237-$A$15,AP$13)="",10^12,OFFSET(CRONOPLE!$F$15,$M237-$A$15,AP$13)))</f>
        <v>1000000000000</v>
      </c>
      <c r="AQ237" s="172">
        <f ca="1">IF(OR($D237&lt;&gt;"Serviço",AND(AUTOEVENTO="Manual",$M237=$A$15)),0,
         IF(OFFSET(CRONOPLE!$F$15,$M237-$A$15,AQ$13)="",10^12,OFFSET(CRONOPLE!$F$15,$M237-$A$15,AQ$13)))</f>
        <v>1000000000000</v>
      </c>
      <c r="AR237" s="172">
        <f ca="1">IF(OR($D237&lt;&gt;"Serviço",AND(AUTOEVENTO="Manual",$M237=$A$15)),0,
         IF(OFFSET(CRONOPLE!$F$15,$M237-$A$15,AR$13)="",10^12,OFFSET(CRONOPLE!$F$15,$M237-$A$15,AR$13)))</f>
        <v>1000000000000</v>
      </c>
      <c r="AS237" s="172">
        <f ca="1">IF(OR($D237&lt;&gt;"Serviço",AND(AUTOEVENTO="Manual",$M237=$A$15)),0,
         IF(OFFSET(CRONOPLE!$F$15,$M237-$A$15,AS$13)="",10^12,OFFSET(CRONOPLE!$F$15,$M237-$A$15,AS$13)))</f>
        <v>1000000000000</v>
      </c>
      <c r="AT237" s="172">
        <f ca="1">IF(OR($D237&lt;&gt;"Serviço",AND(AUTOEVENTO="Manual",$M237=$A$15)),0,
         IF(OFFSET(CRONOPLE!$F$15,$M237-$A$15,AT$13)="",10^12,OFFSET(CRONOPLE!$F$15,$M237-$A$15,AT$13)))</f>
        <v>1000000000000</v>
      </c>
      <c r="AU237" s="172">
        <f ca="1">IF(OR($D237&lt;&gt;"Serviço",AND(AUTOEVENTO="Manual",$M237=$A$15)),0,
         IF(OFFSET(CRONOPLE!$F$15,$M237-$A$15,AU$13)="",10^12,OFFSET(CRONOPLE!$F$15,$M237-$A$15,AU$13)))</f>
        <v>1000000000000</v>
      </c>
      <c r="AV237" s="172">
        <f ca="1">IF(OR($D237&lt;&gt;"Serviço",AND(AUTOEVENTO="Manual",$M237=$A$15)),0,
         IF(OFFSET(CRONOPLE!$F$15,$M237-$A$15,AV$13)="",10^12,OFFSET(CRONOPLE!$F$15,$M237-$A$15,AV$13)))</f>
        <v>1000000000000</v>
      </c>
      <c r="AX237" s="173">
        <f ca="1">IF(OR($D237&lt;&gt;"Serviço",AND(AUTOEVENTO="Manual",$M237=$A$15),$M237&gt;(ROW(PLE.lastrow)-ROW(PLE.firstrow))),0,
           IF(OFFSET(PLE!$G$15,$M237-$A$15,AX$13)="",10^12,OFFSET(PLE!$G$15,$M237-$A$15,AX$13)))</f>
        <v>1000000000000</v>
      </c>
      <c r="AY237" s="173">
        <f ca="1">IF(OR($D237&lt;&gt;"Serviço",AND(AUTOEVENTO="Manual",$M237=$A$15),$M237&gt;(ROW(PLE.lastrow)-ROW(PLE.firstrow))),0,
           IF(OFFSET(PLE!$G$15,$M237-$A$15,AY$13)="",10^12,OFFSET(PLE!$G$15,$M237-$A$15,AY$13)))</f>
        <v>1000000000000</v>
      </c>
      <c r="AZ237" s="173">
        <f ca="1">IF(OR($D237&lt;&gt;"Serviço",AND(AUTOEVENTO="Manual",$M237=$A$15),$M237&gt;(ROW(PLE.lastrow)-ROW(PLE.firstrow))),0,
           IF(OFFSET(PLE!$G$15,$M237-$A$15,AZ$13)="",10^12,OFFSET(PLE!$G$15,$M237-$A$15,AZ$13)))</f>
        <v>1000000000000</v>
      </c>
      <c r="BA237" s="173">
        <f ca="1">IF(OR($D237&lt;&gt;"Serviço",AND(AUTOEVENTO="Manual",$M237=$A$15),$M237&gt;(ROW(PLE.lastrow)-ROW(PLE.firstrow))),0,
           IF(OFFSET(PLE!$G$15,$M237-$A$15,BA$13)="",10^12,OFFSET(PLE!$G$15,$M237-$A$15,BA$13)))</f>
        <v>1000000000000</v>
      </c>
      <c r="BB237" s="173">
        <f ca="1">IF(OR($D237&lt;&gt;"Serviço",AND(AUTOEVENTO="Manual",$M237=$A$15),$M237&gt;(ROW(PLE.lastrow)-ROW(PLE.firstrow))),0,
           IF(OFFSET(PLE!$G$15,$M237-$A$15,BB$13)="",10^12,OFFSET(PLE!$G$15,$M237-$A$15,BB$13)))</f>
        <v>1000000000000</v>
      </c>
      <c r="BC237" s="173">
        <f ca="1">IF(OR($D237&lt;&gt;"Serviço",AND(AUTOEVENTO="Manual",$M237=$A$15),$M237&gt;(ROW(PLE.lastrow)-ROW(PLE.firstrow))),0,
           IF(OFFSET(PLE!$G$15,$M237-$A$15,BC$13)="",10^12,OFFSET(PLE!$G$15,$M237-$A$15,BC$13)))</f>
        <v>1000000000000</v>
      </c>
      <c r="BD237" s="173">
        <f ca="1">IF(OR($D237&lt;&gt;"Serviço",AND(AUTOEVENTO="Manual",$M237=$A$15),$M237&gt;(ROW(PLE.lastrow)-ROW(PLE.firstrow))),0,
           IF(OFFSET(PLE!$G$15,$M237-$A$15,BD$13)="",10^12,OFFSET(PLE!$G$15,$M237-$A$15,BD$13)))</f>
        <v>1000000000000</v>
      </c>
      <c r="BE237" s="173">
        <f ca="1">IF(OR($D237&lt;&gt;"Serviço",AND(AUTOEVENTO="Manual",$M237=$A$15),$M237&gt;(ROW(PLE.lastrow)-ROW(PLE.firstrow))),0,
           IF(OFFSET(PLE!$G$15,$M237-$A$15,BE$13)="",10^12,OFFSET(PLE!$G$15,$M237-$A$15,BE$13)))</f>
        <v>1000000000000</v>
      </c>
      <c r="BF237" s="173">
        <f ca="1">IF(OR($D237&lt;&gt;"Serviço",AND(AUTOEVENTO="Manual",$M237=$A$15),$M237&gt;(ROW(PLE.lastrow)-ROW(PLE.firstrow))),0,
           IF(OFFSET(PLE!$G$15,$M237-$A$15,BF$13)="",10^12,OFFSET(PLE!$G$15,$M237-$A$15,BF$13)))</f>
        <v>1000000000000</v>
      </c>
      <c r="BG237" s="173">
        <f ca="1">IF(OR($D237&lt;&gt;"Serviço",AND(AUTOEVENTO="Manual",$M237=$A$15),$M237&gt;(ROW(PLE.lastrow)-ROW(PLE.firstrow))),0,
           IF(OFFSET(PLE!$G$15,$M237-$A$15,BG$13)="",10^12,OFFSET(PLE!$G$15,$M237-$A$15,BG$13)))</f>
        <v>1000000000000</v>
      </c>
    </row>
    <row r="238" spans="1:59" ht="25.5" x14ac:dyDescent="0.2">
      <c r="A238" s="7" t="str">
        <f t="shared" ca="1" si="11"/>
        <v>210</v>
      </c>
      <c r="B238" s="7" t="str">
        <f ca="1">OFFSET(ORÇAMENTO!C$15,ROW(B238)-ROW(B$15),0)</f>
        <v>S</v>
      </c>
      <c r="C238" s="7" t="str">
        <f ca="1">OFFSET(ORÇAMENTO!L$15,ROW(C238)-ROW(C$15),0)</f>
        <v/>
      </c>
      <c r="D238" s="117" t="str">
        <f ca="1">OFFSET(ORÇAMENTO!N$15,ROW(D238)-ROW(D$15),0)</f>
        <v>Serviço</v>
      </c>
      <c r="E238" s="118" t="str">
        <f ca="1">OFFSET(ORÇAMENTO!O$15,ROW(E238)-ROW(E$15),0)</f>
        <v>-</v>
      </c>
      <c r="F238" s="164" t="str">
        <f ca="1">OFFSET(ORÇAMENTO!R$15,ROW(F238)-ROW(F$15),0)</f>
        <v>PAPELEIRA DE PAREDE EM PLÁSTICO TIPO DISPENSER PARA PAPEL HIGIÊNICO ROLÃO, INCLUSO FIXAÇÃO</v>
      </c>
      <c r="G238" s="165" t="str">
        <f ca="1">IF($D238&lt;&gt;"Serviço","",OFFSET(ORÇAMENTO!S$15,ROW(G238)-ROW(G$15),0))</f>
        <v xml:space="preserve">UN    </v>
      </c>
      <c r="H238" s="123">
        <f ca="1">IF($D238&lt;&gt;"Serviço",0,IF(ACOMPANHAMENTO="BM",ROUND(OFFSET(ORÇAMENTO!AJ$15,ROW(H238)-ROW(H$15),0),15-13*ORÇAMENTO!$AF$7),SUMPRODUCT(($Q$1:$AA$1=1)*ROUND($Q238:$AA238,15-13*ORÇAMENTO!$AF$7))))</f>
        <v>27</v>
      </c>
      <c r="I238" s="469"/>
      <c r="J238" s="577" t="str" cm="1">
        <f t="array" aca="1" ref="J238" ca="1">IF(B238&lt;&gt;"S","",IF(AND(ACOMPANHAMENTO="PLE",AUTOEVENTO="Manual",OR(H238&gt;0,ORÇAMENTO!AC238="QUANT."),OR(K238="",M238=0,N238="")),"►",IF(AND(ACOMPANHAMENTO="PLE",ORÇAMENTO!AC238="QUANT."),"►►",IF(AND(COUNTIF($P$11:$AA$11,"▼")=0,H238&gt;0,I238=""),"◄",""))))</f>
        <v>◄</v>
      </c>
      <c r="K238" s="626"/>
      <c r="L238" s="166" t="s">
        <v>765</v>
      </c>
      <c r="M238" s="167">
        <f ca="1">IF($D238&lt;&gt;"Serviço","",
          IF(AUTOEVENTO="manual",$A238,
                IF(ISERROR(MATCH($A238,$A$15:OFFSET($A238,-1,0),0)),MAX($M$15:OFFSET(M238,-1,0))+1,
                      INDEX($M$15:OFFSET(M238,-1,0),MATCH($A238,$A$15:OFFSET($A238,-1,0),0)))))</f>
        <v>13</v>
      </c>
      <c r="N238" s="168" t="str">
        <f ca="1">IF($D238&lt;&gt;"Serviço","",
         IF(AUTOEVENTO="Manual",
                IF($A238=0,"&lt;-- defina o número do agrupador",
                       OFFSET(EVENTOS!$D$15,$A238-$A$15,0)),
                OFFSET($F$15,$A238,0)))</f>
        <v>LOUÇAS E ACESSÓRIOS</v>
      </c>
      <c r="O238" s="169"/>
      <c r="Q238" s="169"/>
      <c r="R238" s="170"/>
      <c r="S238" s="170"/>
      <c r="T238" s="170"/>
      <c r="U238" s="170"/>
      <c r="V238" s="170"/>
      <c r="W238" s="170"/>
      <c r="X238" s="170"/>
      <c r="Y238" s="170"/>
      <c r="Z238" s="171"/>
      <c r="AB238" s="454">
        <f ca="1">IF(AND($D238="Serviço",AB$12&lt;&gt;0,$H238&gt;0,OR(AUTOEVENTO&lt;&gt;"manual",$M238&lt;&gt;$A$15)),
        IF(Import.TipoArredondamento&lt;&gt;"TransfereGOV",
              ROUND(OFFSET($P238,0,AB$13),15-13*ORÇAMENTO!$AF$7)/$H238*OFFSET(ORÇAMENTO!$X$15,ROW(AB238)-ROW(AB$15),0),
              ROUND(ROUND(OFFSET($P238,0,AB$13),15-13*ORÇAMENTO!$AF$7)*OFFSET(ORÇAMENTO!$W$15,ROW(AB238)-ROW(AB$15),0),15-13*ORÇAMENTO!$AF$11)),
         0)</f>
        <v>0</v>
      </c>
      <c r="AC238" s="454">
        <f ca="1">IF(AND($D238="Serviço",AC$12&lt;&gt;0,$H238&gt;0,OR(AUTOEVENTO&lt;&gt;"manual",$M238&lt;&gt;$A$15)),
        IF(Import.TipoArredondamento&lt;&gt;"TransfereGOV",
              ROUND(OFFSET($P238,0,AC$13),15-13*ORÇAMENTO!$AF$7)/$H238*OFFSET(ORÇAMENTO!$X$15,ROW(AC238)-ROW(AC$15),0),
              ROUND(ROUND(OFFSET($P238,0,AC$13),15-13*ORÇAMENTO!$AF$7)*OFFSET(ORÇAMENTO!$W$15,ROW(AC238)-ROW(AC$15),0),15-13*ORÇAMENTO!$AF$11)),
         0)</f>
        <v>0</v>
      </c>
      <c r="AD238" s="454">
        <f ca="1">IF(AND($D238="Serviço",AD$12&lt;&gt;0,$H238&gt;0,OR(AUTOEVENTO&lt;&gt;"manual",$M238&lt;&gt;$A$15)),
        IF(Import.TipoArredondamento&lt;&gt;"TransfereGOV",
              ROUND(OFFSET($P238,0,AD$13),15-13*ORÇAMENTO!$AF$7)/$H238*OFFSET(ORÇAMENTO!$X$15,ROW(AD238)-ROW(AD$15),0),
              ROUND(ROUND(OFFSET($P238,0,AD$13),15-13*ORÇAMENTO!$AF$7)*OFFSET(ORÇAMENTO!$W$15,ROW(AD238)-ROW(AD$15),0),15-13*ORÇAMENTO!$AF$11)),
         0)</f>
        <v>0</v>
      </c>
      <c r="AE238" s="454">
        <f ca="1">IF(AND($D238="Serviço",AE$12&lt;&gt;0,$H238&gt;0,OR(AUTOEVENTO&lt;&gt;"manual",$M238&lt;&gt;$A$15)),
        IF(Import.TipoArredondamento&lt;&gt;"TransfereGOV",
              ROUND(OFFSET($P238,0,AE$13),15-13*ORÇAMENTO!$AF$7)/$H238*OFFSET(ORÇAMENTO!$X$15,ROW(AE238)-ROW(AE$15),0),
              ROUND(ROUND(OFFSET($P238,0,AE$13),15-13*ORÇAMENTO!$AF$7)*OFFSET(ORÇAMENTO!$W$15,ROW(AE238)-ROW(AE$15),0),15-13*ORÇAMENTO!$AF$11)),
         0)</f>
        <v>0</v>
      </c>
      <c r="AF238" s="454">
        <f ca="1">IF(AND($D238="Serviço",AF$12&lt;&gt;0,$H238&gt;0,OR(AUTOEVENTO&lt;&gt;"manual",$M238&lt;&gt;$A$15)),
        IF(Import.TipoArredondamento&lt;&gt;"TransfereGOV",
              ROUND(OFFSET($P238,0,AF$13),15-13*ORÇAMENTO!$AF$7)/$H238*OFFSET(ORÇAMENTO!$X$15,ROW(AF238)-ROW(AF$15),0),
              ROUND(ROUND(OFFSET($P238,0,AF$13),15-13*ORÇAMENTO!$AF$7)*OFFSET(ORÇAMENTO!$W$15,ROW(AF238)-ROW(AF$15),0),15-13*ORÇAMENTO!$AF$11)),
         0)</f>
        <v>0</v>
      </c>
      <c r="AG238" s="454">
        <f ca="1">IF(AND($D238="Serviço",AG$12&lt;&gt;0,$H238&gt;0,OR(AUTOEVENTO&lt;&gt;"manual",$M238&lt;&gt;$A$15)),
        IF(Import.TipoArredondamento&lt;&gt;"TransfereGOV",
              ROUND(OFFSET($P238,0,AG$13),15-13*ORÇAMENTO!$AF$7)/$H238*OFFSET(ORÇAMENTO!$X$15,ROW(AG238)-ROW(AG$15),0),
              ROUND(ROUND(OFFSET($P238,0,AG$13),15-13*ORÇAMENTO!$AF$7)*OFFSET(ORÇAMENTO!$W$15,ROW(AG238)-ROW(AG$15),0),15-13*ORÇAMENTO!$AF$11)),
         0)</f>
        <v>0</v>
      </c>
      <c r="AH238" s="454">
        <f ca="1">IF(AND($D238="Serviço",AH$12&lt;&gt;0,$H238&gt;0,OR(AUTOEVENTO&lt;&gt;"manual",$M238&lt;&gt;$A$15)),
        IF(Import.TipoArredondamento&lt;&gt;"TransfereGOV",
              ROUND(OFFSET($P238,0,AH$13),15-13*ORÇAMENTO!$AF$7)/$H238*OFFSET(ORÇAMENTO!$X$15,ROW(AH238)-ROW(AH$15),0),
              ROUND(ROUND(OFFSET($P238,0,AH$13),15-13*ORÇAMENTO!$AF$7)*OFFSET(ORÇAMENTO!$W$15,ROW(AH238)-ROW(AH$15),0),15-13*ORÇAMENTO!$AF$11)),
         0)</f>
        <v>0</v>
      </c>
      <c r="AI238" s="454">
        <f ca="1">IF(AND($D238="Serviço",AI$12&lt;&gt;0,$H238&gt;0,OR(AUTOEVENTO&lt;&gt;"manual",$M238&lt;&gt;$A$15)),
        IF(Import.TipoArredondamento&lt;&gt;"TransfereGOV",
              ROUND(OFFSET($P238,0,AI$13),15-13*ORÇAMENTO!$AF$7)/$H238*OFFSET(ORÇAMENTO!$X$15,ROW(AI238)-ROW(AI$15),0),
              ROUND(ROUND(OFFSET($P238,0,AI$13),15-13*ORÇAMENTO!$AF$7)*OFFSET(ORÇAMENTO!$W$15,ROW(AI238)-ROW(AI$15),0),15-13*ORÇAMENTO!$AF$11)),
         0)</f>
        <v>0</v>
      </c>
      <c r="AJ238" s="454">
        <f ca="1">IF(AND($D238="Serviço",AJ$12&lt;&gt;0,$H238&gt;0,OR(AUTOEVENTO&lt;&gt;"manual",$M238&lt;&gt;$A$15)),
        IF(Import.TipoArredondamento&lt;&gt;"TransfereGOV",
              ROUND(OFFSET($P238,0,AJ$13),15-13*ORÇAMENTO!$AF$7)/$H238*OFFSET(ORÇAMENTO!$X$15,ROW(AJ238)-ROW(AJ$15),0),
              ROUND(ROUND(OFFSET($P238,0,AJ$13),15-13*ORÇAMENTO!$AF$7)*OFFSET(ORÇAMENTO!$W$15,ROW(AJ238)-ROW(AJ$15),0),15-13*ORÇAMENTO!$AF$11)),
         0)</f>
        <v>0</v>
      </c>
      <c r="AK238" s="454">
        <f ca="1">IF(AND($D238="Serviço",AK$12&lt;&gt;0,$H238&gt;0,OR(AUTOEVENTO&lt;&gt;"manual",$M238&lt;&gt;$A$15)),
        IF(Import.TipoArredondamento&lt;&gt;"TransfereGOV",
              ROUND(OFFSET($P238,0,AK$13),15-13*ORÇAMENTO!$AF$7)/$H238*OFFSET(ORÇAMENTO!$X$15,ROW(AK238)-ROW(AK$15),0),
              ROUND(ROUND(OFFSET($P238,0,AK$13),15-13*ORÇAMENTO!$AF$7)*OFFSET(ORÇAMENTO!$W$15,ROW(AK238)-ROW(AK$15),0),15-13*ORÇAMENTO!$AF$11)),
         0)</f>
        <v>0</v>
      </c>
      <c r="AM238" s="172">
        <f ca="1">IF(OR($D238&lt;&gt;"Serviço",AND(AUTOEVENTO="Manual",$M238=$A$15)),0,
         IF(OFFSET(CRONOPLE!$F$15,$M238-$A$15,AM$13)="",10^12,OFFSET(CRONOPLE!$F$15,$M238-$A$15,AM$13)))</f>
        <v>1000000000000</v>
      </c>
      <c r="AN238" s="172">
        <f ca="1">IF(OR($D238&lt;&gt;"Serviço",AND(AUTOEVENTO="Manual",$M238=$A$15)),0,
         IF(OFFSET(CRONOPLE!$F$15,$M238-$A$15,AN$13)="",10^12,OFFSET(CRONOPLE!$F$15,$M238-$A$15,AN$13)))</f>
        <v>1000000000000</v>
      </c>
      <c r="AO238" s="172">
        <f ca="1">IF(OR($D238&lt;&gt;"Serviço",AND(AUTOEVENTO="Manual",$M238=$A$15)),0,
         IF(OFFSET(CRONOPLE!$F$15,$M238-$A$15,AO$13)="",10^12,OFFSET(CRONOPLE!$F$15,$M238-$A$15,AO$13)))</f>
        <v>1000000000000</v>
      </c>
      <c r="AP238" s="172">
        <f ca="1">IF(OR($D238&lt;&gt;"Serviço",AND(AUTOEVENTO="Manual",$M238=$A$15)),0,
         IF(OFFSET(CRONOPLE!$F$15,$M238-$A$15,AP$13)="",10^12,OFFSET(CRONOPLE!$F$15,$M238-$A$15,AP$13)))</f>
        <v>1000000000000</v>
      </c>
      <c r="AQ238" s="172">
        <f ca="1">IF(OR($D238&lt;&gt;"Serviço",AND(AUTOEVENTO="Manual",$M238=$A$15)),0,
         IF(OFFSET(CRONOPLE!$F$15,$M238-$A$15,AQ$13)="",10^12,OFFSET(CRONOPLE!$F$15,$M238-$A$15,AQ$13)))</f>
        <v>1000000000000</v>
      </c>
      <c r="AR238" s="172">
        <f ca="1">IF(OR($D238&lt;&gt;"Serviço",AND(AUTOEVENTO="Manual",$M238=$A$15)),0,
         IF(OFFSET(CRONOPLE!$F$15,$M238-$A$15,AR$13)="",10^12,OFFSET(CRONOPLE!$F$15,$M238-$A$15,AR$13)))</f>
        <v>1000000000000</v>
      </c>
      <c r="AS238" s="172">
        <f ca="1">IF(OR($D238&lt;&gt;"Serviço",AND(AUTOEVENTO="Manual",$M238=$A$15)),0,
         IF(OFFSET(CRONOPLE!$F$15,$M238-$A$15,AS$13)="",10^12,OFFSET(CRONOPLE!$F$15,$M238-$A$15,AS$13)))</f>
        <v>1000000000000</v>
      </c>
      <c r="AT238" s="172">
        <f ca="1">IF(OR($D238&lt;&gt;"Serviço",AND(AUTOEVENTO="Manual",$M238=$A$15)),0,
         IF(OFFSET(CRONOPLE!$F$15,$M238-$A$15,AT$13)="",10^12,OFFSET(CRONOPLE!$F$15,$M238-$A$15,AT$13)))</f>
        <v>1000000000000</v>
      </c>
      <c r="AU238" s="172">
        <f ca="1">IF(OR($D238&lt;&gt;"Serviço",AND(AUTOEVENTO="Manual",$M238=$A$15)),0,
         IF(OFFSET(CRONOPLE!$F$15,$M238-$A$15,AU$13)="",10^12,OFFSET(CRONOPLE!$F$15,$M238-$A$15,AU$13)))</f>
        <v>1000000000000</v>
      </c>
      <c r="AV238" s="172">
        <f ca="1">IF(OR($D238&lt;&gt;"Serviço",AND(AUTOEVENTO="Manual",$M238=$A$15)),0,
         IF(OFFSET(CRONOPLE!$F$15,$M238-$A$15,AV$13)="",10^12,OFFSET(CRONOPLE!$F$15,$M238-$A$15,AV$13)))</f>
        <v>1000000000000</v>
      </c>
      <c r="AX238" s="173">
        <f ca="1">IF(OR($D238&lt;&gt;"Serviço",AND(AUTOEVENTO="Manual",$M238=$A$15),$M238&gt;(ROW(PLE.lastrow)-ROW(PLE.firstrow))),0,
           IF(OFFSET(PLE!$G$15,$M238-$A$15,AX$13)="",10^12,OFFSET(PLE!$G$15,$M238-$A$15,AX$13)))</f>
        <v>1000000000000</v>
      </c>
      <c r="AY238" s="173">
        <f ca="1">IF(OR($D238&lt;&gt;"Serviço",AND(AUTOEVENTO="Manual",$M238=$A$15),$M238&gt;(ROW(PLE.lastrow)-ROW(PLE.firstrow))),0,
           IF(OFFSET(PLE!$G$15,$M238-$A$15,AY$13)="",10^12,OFFSET(PLE!$G$15,$M238-$A$15,AY$13)))</f>
        <v>1000000000000</v>
      </c>
      <c r="AZ238" s="173">
        <f ca="1">IF(OR($D238&lt;&gt;"Serviço",AND(AUTOEVENTO="Manual",$M238=$A$15),$M238&gt;(ROW(PLE.lastrow)-ROW(PLE.firstrow))),0,
           IF(OFFSET(PLE!$G$15,$M238-$A$15,AZ$13)="",10^12,OFFSET(PLE!$G$15,$M238-$A$15,AZ$13)))</f>
        <v>1000000000000</v>
      </c>
      <c r="BA238" s="173">
        <f ca="1">IF(OR($D238&lt;&gt;"Serviço",AND(AUTOEVENTO="Manual",$M238=$A$15),$M238&gt;(ROW(PLE.lastrow)-ROW(PLE.firstrow))),0,
           IF(OFFSET(PLE!$G$15,$M238-$A$15,BA$13)="",10^12,OFFSET(PLE!$G$15,$M238-$A$15,BA$13)))</f>
        <v>1000000000000</v>
      </c>
      <c r="BB238" s="173">
        <f ca="1">IF(OR($D238&lt;&gt;"Serviço",AND(AUTOEVENTO="Manual",$M238=$A$15),$M238&gt;(ROW(PLE.lastrow)-ROW(PLE.firstrow))),0,
           IF(OFFSET(PLE!$G$15,$M238-$A$15,BB$13)="",10^12,OFFSET(PLE!$G$15,$M238-$A$15,BB$13)))</f>
        <v>1000000000000</v>
      </c>
      <c r="BC238" s="173">
        <f ca="1">IF(OR($D238&lt;&gt;"Serviço",AND(AUTOEVENTO="Manual",$M238=$A$15),$M238&gt;(ROW(PLE.lastrow)-ROW(PLE.firstrow))),0,
           IF(OFFSET(PLE!$G$15,$M238-$A$15,BC$13)="",10^12,OFFSET(PLE!$G$15,$M238-$A$15,BC$13)))</f>
        <v>1000000000000</v>
      </c>
      <c r="BD238" s="173">
        <f ca="1">IF(OR($D238&lt;&gt;"Serviço",AND(AUTOEVENTO="Manual",$M238=$A$15),$M238&gt;(ROW(PLE.lastrow)-ROW(PLE.firstrow))),0,
           IF(OFFSET(PLE!$G$15,$M238-$A$15,BD$13)="",10^12,OFFSET(PLE!$G$15,$M238-$A$15,BD$13)))</f>
        <v>1000000000000</v>
      </c>
      <c r="BE238" s="173">
        <f ca="1">IF(OR($D238&lt;&gt;"Serviço",AND(AUTOEVENTO="Manual",$M238=$A$15),$M238&gt;(ROW(PLE.lastrow)-ROW(PLE.firstrow))),0,
           IF(OFFSET(PLE!$G$15,$M238-$A$15,BE$13)="",10^12,OFFSET(PLE!$G$15,$M238-$A$15,BE$13)))</f>
        <v>1000000000000</v>
      </c>
      <c r="BF238" s="173">
        <f ca="1">IF(OR($D238&lt;&gt;"Serviço",AND(AUTOEVENTO="Manual",$M238=$A$15),$M238&gt;(ROW(PLE.lastrow)-ROW(PLE.firstrow))),0,
           IF(OFFSET(PLE!$G$15,$M238-$A$15,BF$13)="",10^12,OFFSET(PLE!$G$15,$M238-$A$15,BF$13)))</f>
        <v>1000000000000</v>
      </c>
      <c r="BG238" s="173">
        <f ca="1">IF(OR($D238&lt;&gt;"Serviço",AND(AUTOEVENTO="Manual",$M238=$A$15),$M238&gt;(ROW(PLE.lastrow)-ROW(PLE.firstrow))),0,
           IF(OFFSET(PLE!$G$15,$M238-$A$15,BG$13)="",10^12,OFFSET(PLE!$G$15,$M238-$A$15,BG$13)))</f>
        <v>1000000000000</v>
      </c>
    </row>
    <row r="239" spans="1:59" ht="25.5" x14ac:dyDescent="0.2">
      <c r="A239" s="7" t="str">
        <f t="shared" ca="1" si="11"/>
        <v>210</v>
      </c>
      <c r="B239" s="7" t="str">
        <f ca="1">OFFSET(ORÇAMENTO!C$15,ROW(B239)-ROW(B$15),0)</f>
        <v>S</v>
      </c>
      <c r="C239" s="7" t="str">
        <f ca="1">OFFSET(ORÇAMENTO!L$15,ROW(C239)-ROW(C$15),0)</f>
        <v/>
      </c>
      <c r="D239" s="117" t="str">
        <f ca="1">OFFSET(ORÇAMENTO!N$15,ROW(D239)-ROW(D$15),0)</f>
        <v>Serviço</v>
      </c>
      <c r="E239" s="118" t="str">
        <f ca="1">OFFSET(ORÇAMENTO!O$15,ROW(E239)-ROW(E$15),0)</f>
        <v>-</v>
      </c>
      <c r="F239" s="164" t="str">
        <f ca="1">OFFSET(ORÇAMENTO!R$15,ROW(F239)-ROW(F$15),0)</f>
        <v xml:space="preserve">TOALHEIRO PLASTICO TIPO DISPENSER PARA PAPEL TOALHA INTERFOLHADO - INCLUSO FIXAÇÃO                                                                                                                                                                        </v>
      </c>
      <c r="G239" s="165" t="str">
        <f ca="1">IF($D239&lt;&gt;"Serviço","",OFFSET(ORÇAMENTO!S$15,ROW(G239)-ROW(G$15),0))</f>
        <v xml:space="preserve">UN    </v>
      </c>
      <c r="H239" s="123">
        <f ca="1">IF($D239&lt;&gt;"Serviço",0,IF(ACOMPANHAMENTO="BM",ROUND(OFFSET(ORÇAMENTO!AJ$15,ROW(H239)-ROW(H$15),0),15-13*ORÇAMENTO!$AF$7),SUMPRODUCT(($Q$1:$AA$1=1)*ROUND($Q239:$AA239,15-13*ORÇAMENTO!$AF$7))))</f>
        <v>35</v>
      </c>
      <c r="I239" s="469"/>
      <c r="J239" s="577" t="str" cm="1">
        <f t="array" aca="1" ref="J239" ca="1">IF(B239&lt;&gt;"S","",IF(AND(ACOMPANHAMENTO="PLE",AUTOEVENTO="Manual",OR(H239&gt;0,ORÇAMENTO!AC239="QUANT."),OR(K239="",M239=0,N239="")),"►",IF(AND(ACOMPANHAMENTO="PLE",ORÇAMENTO!AC239="QUANT."),"►►",IF(AND(COUNTIF($P$11:$AA$11,"▼")=0,H239&gt;0,I239=""),"◄",""))))</f>
        <v>◄</v>
      </c>
      <c r="K239" s="626"/>
      <c r="L239" s="166" t="s">
        <v>765</v>
      </c>
      <c r="M239" s="167">
        <f ca="1">IF($D239&lt;&gt;"Serviço","",
          IF(AUTOEVENTO="manual",$A239,
                IF(ISERROR(MATCH($A239,$A$15:OFFSET($A239,-1,0),0)),MAX($M$15:OFFSET(M239,-1,0))+1,
                      INDEX($M$15:OFFSET(M239,-1,0),MATCH($A239,$A$15:OFFSET($A239,-1,0),0)))))</f>
        <v>13</v>
      </c>
      <c r="N239" s="168" t="str">
        <f ca="1">IF($D239&lt;&gt;"Serviço","",
         IF(AUTOEVENTO="Manual",
                IF($A239=0,"&lt;-- defina o número do agrupador",
                       OFFSET(EVENTOS!$D$15,$A239-$A$15,0)),
                OFFSET($F$15,$A239,0)))</f>
        <v>LOUÇAS E ACESSÓRIOS</v>
      </c>
      <c r="O239" s="169"/>
      <c r="Q239" s="169"/>
      <c r="R239" s="170"/>
      <c r="S239" s="170"/>
      <c r="T239" s="170"/>
      <c r="U239" s="170"/>
      <c r="V239" s="170"/>
      <c r="W239" s="170"/>
      <c r="X239" s="170"/>
      <c r="Y239" s="170"/>
      <c r="Z239" s="171"/>
      <c r="AB239" s="454">
        <f ca="1">IF(AND($D239="Serviço",AB$12&lt;&gt;0,$H239&gt;0,OR(AUTOEVENTO&lt;&gt;"manual",$M239&lt;&gt;$A$15)),
        IF(Import.TipoArredondamento&lt;&gt;"TransfereGOV",
              ROUND(OFFSET($P239,0,AB$13),15-13*ORÇAMENTO!$AF$7)/$H239*OFFSET(ORÇAMENTO!$X$15,ROW(AB239)-ROW(AB$15),0),
              ROUND(ROUND(OFFSET($P239,0,AB$13),15-13*ORÇAMENTO!$AF$7)*OFFSET(ORÇAMENTO!$W$15,ROW(AB239)-ROW(AB$15),0),15-13*ORÇAMENTO!$AF$11)),
         0)</f>
        <v>0</v>
      </c>
      <c r="AC239" s="454">
        <f ca="1">IF(AND($D239="Serviço",AC$12&lt;&gt;0,$H239&gt;0,OR(AUTOEVENTO&lt;&gt;"manual",$M239&lt;&gt;$A$15)),
        IF(Import.TipoArredondamento&lt;&gt;"TransfereGOV",
              ROUND(OFFSET($P239,0,AC$13),15-13*ORÇAMENTO!$AF$7)/$H239*OFFSET(ORÇAMENTO!$X$15,ROW(AC239)-ROW(AC$15),0),
              ROUND(ROUND(OFFSET($P239,0,AC$13),15-13*ORÇAMENTO!$AF$7)*OFFSET(ORÇAMENTO!$W$15,ROW(AC239)-ROW(AC$15),0),15-13*ORÇAMENTO!$AF$11)),
         0)</f>
        <v>0</v>
      </c>
      <c r="AD239" s="454">
        <f ca="1">IF(AND($D239="Serviço",AD$12&lt;&gt;0,$H239&gt;0,OR(AUTOEVENTO&lt;&gt;"manual",$M239&lt;&gt;$A$15)),
        IF(Import.TipoArredondamento&lt;&gt;"TransfereGOV",
              ROUND(OFFSET($P239,0,AD$13),15-13*ORÇAMENTO!$AF$7)/$H239*OFFSET(ORÇAMENTO!$X$15,ROW(AD239)-ROW(AD$15),0),
              ROUND(ROUND(OFFSET($P239,0,AD$13),15-13*ORÇAMENTO!$AF$7)*OFFSET(ORÇAMENTO!$W$15,ROW(AD239)-ROW(AD$15),0),15-13*ORÇAMENTO!$AF$11)),
         0)</f>
        <v>0</v>
      </c>
      <c r="AE239" s="454">
        <f ca="1">IF(AND($D239="Serviço",AE$12&lt;&gt;0,$H239&gt;0,OR(AUTOEVENTO&lt;&gt;"manual",$M239&lt;&gt;$A$15)),
        IF(Import.TipoArredondamento&lt;&gt;"TransfereGOV",
              ROUND(OFFSET($P239,0,AE$13),15-13*ORÇAMENTO!$AF$7)/$H239*OFFSET(ORÇAMENTO!$X$15,ROW(AE239)-ROW(AE$15),0),
              ROUND(ROUND(OFFSET($P239,0,AE$13),15-13*ORÇAMENTO!$AF$7)*OFFSET(ORÇAMENTO!$W$15,ROW(AE239)-ROW(AE$15),0),15-13*ORÇAMENTO!$AF$11)),
         0)</f>
        <v>0</v>
      </c>
      <c r="AF239" s="454">
        <f ca="1">IF(AND($D239="Serviço",AF$12&lt;&gt;0,$H239&gt;0,OR(AUTOEVENTO&lt;&gt;"manual",$M239&lt;&gt;$A$15)),
        IF(Import.TipoArredondamento&lt;&gt;"TransfereGOV",
              ROUND(OFFSET($P239,0,AF$13),15-13*ORÇAMENTO!$AF$7)/$H239*OFFSET(ORÇAMENTO!$X$15,ROW(AF239)-ROW(AF$15),0),
              ROUND(ROUND(OFFSET($P239,0,AF$13),15-13*ORÇAMENTO!$AF$7)*OFFSET(ORÇAMENTO!$W$15,ROW(AF239)-ROW(AF$15),0),15-13*ORÇAMENTO!$AF$11)),
         0)</f>
        <v>0</v>
      </c>
      <c r="AG239" s="454">
        <f ca="1">IF(AND($D239="Serviço",AG$12&lt;&gt;0,$H239&gt;0,OR(AUTOEVENTO&lt;&gt;"manual",$M239&lt;&gt;$A$15)),
        IF(Import.TipoArredondamento&lt;&gt;"TransfereGOV",
              ROUND(OFFSET($P239,0,AG$13),15-13*ORÇAMENTO!$AF$7)/$H239*OFFSET(ORÇAMENTO!$X$15,ROW(AG239)-ROW(AG$15),0),
              ROUND(ROUND(OFFSET($P239,0,AG$13),15-13*ORÇAMENTO!$AF$7)*OFFSET(ORÇAMENTO!$W$15,ROW(AG239)-ROW(AG$15),0),15-13*ORÇAMENTO!$AF$11)),
         0)</f>
        <v>0</v>
      </c>
      <c r="AH239" s="454">
        <f ca="1">IF(AND($D239="Serviço",AH$12&lt;&gt;0,$H239&gt;0,OR(AUTOEVENTO&lt;&gt;"manual",$M239&lt;&gt;$A$15)),
        IF(Import.TipoArredondamento&lt;&gt;"TransfereGOV",
              ROUND(OFFSET($P239,0,AH$13),15-13*ORÇAMENTO!$AF$7)/$H239*OFFSET(ORÇAMENTO!$X$15,ROW(AH239)-ROW(AH$15),0),
              ROUND(ROUND(OFFSET($P239,0,AH$13),15-13*ORÇAMENTO!$AF$7)*OFFSET(ORÇAMENTO!$W$15,ROW(AH239)-ROW(AH$15),0),15-13*ORÇAMENTO!$AF$11)),
         0)</f>
        <v>0</v>
      </c>
      <c r="AI239" s="454">
        <f ca="1">IF(AND($D239="Serviço",AI$12&lt;&gt;0,$H239&gt;0,OR(AUTOEVENTO&lt;&gt;"manual",$M239&lt;&gt;$A$15)),
        IF(Import.TipoArredondamento&lt;&gt;"TransfereGOV",
              ROUND(OFFSET($P239,0,AI$13),15-13*ORÇAMENTO!$AF$7)/$H239*OFFSET(ORÇAMENTO!$X$15,ROW(AI239)-ROW(AI$15),0),
              ROUND(ROUND(OFFSET($P239,0,AI$13),15-13*ORÇAMENTO!$AF$7)*OFFSET(ORÇAMENTO!$W$15,ROW(AI239)-ROW(AI$15),0),15-13*ORÇAMENTO!$AF$11)),
         0)</f>
        <v>0</v>
      </c>
      <c r="AJ239" s="454">
        <f ca="1">IF(AND($D239="Serviço",AJ$12&lt;&gt;0,$H239&gt;0,OR(AUTOEVENTO&lt;&gt;"manual",$M239&lt;&gt;$A$15)),
        IF(Import.TipoArredondamento&lt;&gt;"TransfereGOV",
              ROUND(OFFSET($P239,0,AJ$13),15-13*ORÇAMENTO!$AF$7)/$H239*OFFSET(ORÇAMENTO!$X$15,ROW(AJ239)-ROW(AJ$15),0),
              ROUND(ROUND(OFFSET($P239,0,AJ$13),15-13*ORÇAMENTO!$AF$7)*OFFSET(ORÇAMENTO!$W$15,ROW(AJ239)-ROW(AJ$15),0),15-13*ORÇAMENTO!$AF$11)),
         0)</f>
        <v>0</v>
      </c>
      <c r="AK239" s="454">
        <f ca="1">IF(AND($D239="Serviço",AK$12&lt;&gt;0,$H239&gt;0,OR(AUTOEVENTO&lt;&gt;"manual",$M239&lt;&gt;$A$15)),
        IF(Import.TipoArredondamento&lt;&gt;"TransfereGOV",
              ROUND(OFFSET($P239,0,AK$13),15-13*ORÇAMENTO!$AF$7)/$H239*OFFSET(ORÇAMENTO!$X$15,ROW(AK239)-ROW(AK$15),0),
              ROUND(ROUND(OFFSET($P239,0,AK$13),15-13*ORÇAMENTO!$AF$7)*OFFSET(ORÇAMENTO!$W$15,ROW(AK239)-ROW(AK$15),0),15-13*ORÇAMENTO!$AF$11)),
         0)</f>
        <v>0</v>
      </c>
      <c r="AM239" s="172">
        <f ca="1">IF(OR($D239&lt;&gt;"Serviço",AND(AUTOEVENTO="Manual",$M239=$A$15)),0,
         IF(OFFSET(CRONOPLE!$F$15,$M239-$A$15,AM$13)="",10^12,OFFSET(CRONOPLE!$F$15,$M239-$A$15,AM$13)))</f>
        <v>1000000000000</v>
      </c>
      <c r="AN239" s="172">
        <f ca="1">IF(OR($D239&lt;&gt;"Serviço",AND(AUTOEVENTO="Manual",$M239=$A$15)),0,
         IF(OFFSET(CRONOPLE!$F$15,$M239-$A$15,AN$13)="",10^12,OFFSET(CRONOPLE!$F$15,$M239-$A$15,AN$13)))</f>
        <v>1000000000000</v>
      </c>
      <c r="AO239" s="172">
        <f ca="1">IF(OR($D239&lt;&gt;"Serviço",AND(AUTOEVENTO="Manual",$M239=$A$15)),0,
         IF(OFFSET(CRONOPLE!$F$15,$M239-$A$15,AO$13)="",10^12,OFFSET(CRONOPLE!$F$15,$M239-$A$15,AO$13)))</f>
        <v>1000000000000</v>
      </c>
      <c r="AP239" s="172">
        <f ca="1">IF(OR($D239&lt;&gt;"Serviço",AND(AUTOEVENTO="Manual",$M239=$A$15)),0,
         IF(OFFSET(CRONOPLE!$F$15,$M239-$A$15,AP$13)="",10^12,OFFSET(CRONOPLE!$F$15,$M239-$A$15,AP$13)))</f>
        <v>1000000000000</v>
      </c>
      <c r="AQ239" s="172">
        <f ca="1">IF(OR($D239&lt;&gt;"Serviço",AND(AUTOEVENTO="Manual",$M239=$A$15)),0,
         IF(OFFSET(CRONOPLE!$F$15,$M239-$A$15,AQ$13)="",10^12,OFFSET(CRONOPLE!$F$15,$M239-$A$15,AQ$13)))</f>
        <v>1000000000000</v>
      </c>
      <c r="AR239" s="172">
        <f ca="1">IF(OR($D239&lt;&gt;"Serviço",AND(AUTOEVENTO="Manual",$M239=$A$15)),0,
         IF(OFFSET(CRONOPLE!$F$15,$M239-$A$15,AR$13)="",10^12,OFFSET(CRONOPLE!$F$15,$M239-$A$15,AR$13)))</f>
        <v>1000000000000</v>
      </c>
      <c r="AS239" s="172">
        <f ca="1">IF(OR($D239&lt;&gt;"Serviço",AND(AUTOEVENTO="Manual",$M239=$A$15)),0,
         IF(OFFSET(CRONOPLE!$F$15,$M239-$A$15,AS$13)="",10^12,OFFSET(CRONOPLE!$F$15,$M239-$A$15,AS$13)))</f>
        <v>1000000000000</v>
      </c>
      <c r="AT239" s="172">
        <f ca="1">IF(OR($D239&lt;&gt;"Serviço",AND(AUTOEVENTO="Manual",$M239=$A$15)),0,
         IF(OFFSET(CRONOPLE!$F$15,$M239-$A$15,AT$13)="",10^12,OFFSET(CRONOPLE!$F$15,$M239-$A$15,AT$13)))</f>
        <v>1000000000000</v>
      </c>
      <c r="AU239" s="172">
        <f ca="1">IF(OR($D239&lt;&gt;"Serviço",AND(AUTOEVENTO="Manual",$M239=$A$15)),0,
         IF(OFFSET(CRONOPLE!$F$15,$M239-$A$15,AU$13)="",10^12,OFFSET(CRONOPLE!$F$15,$M239-$A$15,AU$13)))</f>
        <v>1000000000000</v>
      </c>
      <c r="AV239" s="172">
        <f ca="1">IF(OR($D239&lt;&gt;"Serviço",AND(AUTOEVENTO="Manual",$M239=$A$15)),0,
         IF(OFFSET(CRONOPLE!$F$15,$M239-$A$15,AV$13)="",10^12,OFFSET(CRONOPLE!$F$15,$M239-$A$15,AV$13)))</f>
        <v>1000000000000</v>
      </c>
      <c r="AX239" s="173">
        <f ca="1">IF(OR($D239&lt;&gt;"Serviço",AND(AUTOEVENTO="Manual",$M239=$A$15),$M239&gt;(ROW(PLE.lastrow)-ROW(PLE.firstrow))),0,
           IF(OFFSET(PLE!$G$15,$M239-$A$15,AX$13)="",10^12,OFFSET(PLE!$G$15,$M239-$A$15,AX$13)))</f>
        <v>1000000000000</v>
      </c>
      <c r="AY239" s="173">
        <f ca="1">IF(OR($D239&lt;&gt;"Serviço",AND(AUTOEVENTO="Manual",$M239=$A$15),$M239&gt;(ROW(PLE.lastrow)-ROW(PLE.firstrow))),0,
           IF(OFFSET(PLE!$G$15,$M239-$A$15,AY$13)="",10^12,OFFSET(PLE!$G$15,$M239-$A$15,AY$13)))</f>
        <v>1000000000000</v>
      </c>
      <c r="AZ239" s="173">
        <f ca="1">IF(OR($D239&lt;&gt;"Serviço",AND(AUTOEVENTO="Manual",$M239=$A$15),$M239&gt;(ROW(PLE.lastrow)-ROW(PLE.firstrow))),0,
           IF(OFFSET(PLE!$G$15,$M239-$A$15,AZ$13)="",10^12,OFFSET(PLE!$G$15,$M239-$A$15,AZ$13)))</f>
        <v>1000000000000</v>
      </c>
      <c r="BA239" s="173">
        <f ca="1">IF(OR($D239&lt;&gt;"Serviço",AND(AUTOEVENTO="Manual",$M239=$A$15),$M239&gt;(ROW(PLE.lastrow)-ROW(PLE.firstrow))),0,
           IF(OFFSET(PLE!$G$15,$M239-$A$15,BA$13)="",10^12,OFFSET(PLE!$G$15,$M239-$A$15,BA$13)))</f>
        <v>1000000000000</v>
      </c>
      <c r="BB239" s="173">
        <f ca="1">IF(OR($D239&lt;&gt;"Serviço",AND(AUTOEVENTO="Manual",$M239=$A$15),$M239&gt;(ROW(PLE.lastrow)-ROW(PLE.firstrow))),0,
           IF(OFFSET(PLE!$G$15,$M239-$A$15,BB$13)="",10^12,OFFSET(PLE!$G$15,$M239-$A$15,BB$13)))</f>
        <v>1000000000000</v>
      </c>
      <c r="BC239" s="173">
        <f ca="1">IF(OR($D239&lt;&gt;"Serviço",AND(AUTOEVENTO="Manual",$M239=$A$15),$M239&gt;(ROW(PLE.lastrow)-ROW(PLE.firstrow))),0,
           IF(OFFSET(PLE!$G$15,$M239-$A$15,BC$13)="",10^12,OFFSET(PLE!$G$15,$M239-$A$15,BC$13)))</f>
        <v>1000000000000</v>
      </c>
      <c r="BD239" s="173">
        <f ca="1">IF(OR($D239&lt;&gt;"Serviço",AND(AUTOEVENTO="Manual",$M239=$A$15),$M239&gt;(ROW(PLE.lastrow)-ROW(PLE.firstrow))),0,
           IF(OFFSET(PLE!$G$15,$M239-$A$15,BD$13)="",10^12,OFFSET(PLE!$G$15,$M239-$A$15,BD$13)))</f>
        <v>1000000000000</v>
      </c>
      <c r="BE239" s="173">
        <f ca="1">IF(OR($D239&lt;&gt;"Serviço",AND(AUTOEVENTO="Manual",$M239=$A$15),$M239&gt;(ROW(PLE.lastrow)-ROW(PLE.firstrow))),0,
           IF(OFFSET(PLE!$G$15,$M239-$A$15,BE$13)="",10^12,OFFSET(PLE!$G$15,$M239-$A$15,BE$13)))</f>
        <v>1000000000000</v>
      </c>
      <c r="BF239" s="173">
        <f ca="1">IF(OR($D239&lt;&gt;"Serviço",AND(AUTOEVENTO="Manual",$M239=$A$15),$M239&gt;(ROW(PLE.lastrow)-ROW(PLE.firstrow))),0,
           IF(OFFSET(PLE!$G$15,$M239-$A$15,BF$13)="",10^12,OFFSET(PLE!$G$15,$M239-$A$15,BF$13)))</f>
        <v>1000000000000</v>
      </c>
      <c r="BG239" s="173">
        <f ca="1">IF(OR($D239&lt;&gt;"Serviço",AND(AUTOEVENTO="Manual",$M239=$A$15),$M239&gt;(ROW(PLE.lastrow)-ROW(PLE.firstrow))),0,
           IF(OFFSET(PLE!$G$15,$M239-$A$15,BG$13)="",10^12,OFFSET(PLE!$G$15,$M239-$A$15,BG$13)))</f>
        <v>1000000000000</v>
      </c>
    </row>
    <row r="240" spans="1:59" ht="38.25" x14ac:dyDescent="0.2">
      <c r="A240" s="7" t="str">
        <f t="shared" ca="1" si="11"/>
        <v>210</v>
      </c>
      <c r="B240" s="7" t="str">
        <f ca="1">OFFSET(ORÇAMENTO!C$15,ROW(B240)-ROW(B$15),0)</f>
        <v>S</v>
      </c>
      <c r="C240" s="7" t="str">
        <f ca="1">OFFSET(ORÇAMENTO!L$15,ROW(C240)-ROW(C$15),0)</f>
        <v/>
      </c>
      <c r="D240" s="117" t="str">
        <f ca="1">OFFSET(ORÇAMENTO!N$15,ROW(D240)-ROW(D$15),0)</f>
        <v>Serviço</v>
      </c>
      <c r="E240" s="118" t="str">
        <f ca="1">OFFSET(ORÇAMENTO!O$15,ROW(E240)-ROW(E$15),0)</f>
        <v>-</v>
      </c>
      <c r="F240" s="164" t="str">
        <f ca="1">OFFSET(ORÇAMENTO!R$15,ROW(F240)-ROW(F$15),0)</f>
        <v>SABONETEIRA PLASTICA TIPO DISPENSER PARA SABONETE LIQUIDO COM RESERVATORIO 800 A 1500 ML, INCLUSO FIXAÇÃO. AF_01/2020</v>
      </c>
      <c r="G240" s="165" t="str">
        <f ca="1">IF($D240&lt;&gt;"Serviço","",OFFSET(ORÇAMENTO!S$15,ROW(G240)-ROW(G$15),0))</f>
        <v>UN</v>
      </c>
      <c r="H240" s="123">
        <f ca="1">IF($D240&lt;&gt;"Serviço",0,IF(ACOMPANHAMENTO="BM",ROUND(OFFSET(ORÇAMENTO!AJ$15,ROW(H240)-ROW(H$15),0),15-13*ORÇAMENTO!$AF$7),SUMPRODUCT(($Q$1:$AA$1=1)*ROUND($Q240:$AA240,15-13*ORÇAMENTO!$AF$7))))</f>
        <v>34</v>
      </c>
      <c r="I240" s="469"/>
      <c r="J240" s="577" t="str" cm="1">
        <f t="array" aca="1" ref="J240" ca="1">IF(B240&lt;&gt;"S","",IF(AND(ACOMPANHAMENTO="PLE",AUTOEVENTO="Manual",OR(H240&gt;0,ORÇAMENTO!AC240="QUANT."),OR(K240="",M240=0,N240="")),"►",IF(AND(ACOMPANHAMENTO="PLE",ORÇAMENTO!AC240="QUANT."),"►►",IF(AND(COUNTIF($P$11:$AA$11,"▼")=0,H240&gt;0,I240=""),"◄",""))))</f>
        <v>◄</v>
      </c>
      <c r="K240" s="626"/>
      <c r="L240" s="166" t="s">
        <v>765</v>
      </c>
      <c r="M240" s="167">
        <f ca="1">IF($D240&lt;&gt;"Serviço","",
          IF(AUTOEVENTO="manual",$A240,
                IF(ISERROR(MATCH($A240,$A$15:OFFSET($A240,-1,0),0)),MAX($M$15:OFFSET(M240,-1,0))+1,
                      INDEX($M$15:OFFSET(M240,-1,0),MATCH($A240,$A$15:OFFSET($A240,-1,0),0)))))</f>
        <v>13</v>
      </c>
      <c r="N240" s="168" t="str">
        <f ca="1">IF($D240&lt;&gt;"Serviço","",
         IF(AUTOEVENTO="Manual",
                IF($A240=0,"&lt;-- defina o número do agrupador",
                       OFFSET(EVENTOS!$D$15,$A240-$A$15,0)),
                OFFSET($F$15,$A240,0)))</f>
        <v>LOUÇAS E ACESSÓRIOS</v>
      </c>
      <c r="O240" s="169"/>
      <c r="Q240" s="169"/>
      <c r="R240" s="170"/>
      <c r="S240" s="170"/>
      <c r="T240" s="170"/>
      <c r="U240" s="170"/>
      <c r="V240" s="170"/>
      <c r="W240" s="170"/>
      <c r="X240" s="170"/>
      <c r="Y240" s="170"/>
      <c r="Z240" s="171"/>
      <c r="AB240" s="454">
        <f ca="1">IF(AND($D240="Serviço",AB$12&lt;&gt;0,$H240&gt;0,OR(AUTOEVENTO&lt;&gt;"manual",$M240&lt;&gt;$A$15)),
        IF(Import.TipoArredondamento&lt;&gt;"TransfereGOV",
              ROUND(OFFSET($P240,0,AB$13),15-13*ORÇAMENTO!$AF$7)/$H240*OFFSET(ORÇAMENTO!$X$15,ROW(AB240)-ROW(AB$15),0),
              ROUND(ROUND(OFFSET($P240,0,AB$13),15-13*ORÇAMENTO!$AF$7)*OFFSET(ORÇAMENTO!$W$15,ROW(AB240)-ROW(AB$15),0),15-13*ORÇAMENTO!$AF$11)),
         0)</f>
        <v>0</v>
      </c>
      <c r="AC240" s="454">
        <f ca="1">IF(AND($D240="Serviço",AC$12&lt;&gt;0,$H240&gt;0,OR(AUTOEVENTO&lt;&gt;"manual",$M240&lt;&gt;$A$15)),
        IF(Import.TipoArredondamento&lt;&gt;"TransfereGOV",
              ROUND(OFFSET($P240,0,AC$13),15-13*ORÇAMENTO!$AF$7)/$H240*OFFSET(ORÇAMENTO!$X$15,ROW(AC240)-ROW(AC$15),0),
              ROUND(ROUND(OFFSET($P240,0,AC$13),15-13*ORÇAMENTO!$AF$7)*OFFSET(ORÇAMENTO!$W$15,ROW(AC240)-ROW(AC$15),0),15-13*ORÇAMENTO!$AF$11)),
         0)</f>
        <v>0</v>
      </c>
      <c r="AD240" s="454">
        <f ca="1">IF(AND($D240="Serviço",AD$12&lt;&gt;0,$H240&gt;0,OR(AUTOEVENTO&lt;&gt;"manual",$M240&lt;&gt;$A$15)),
        IF(Import.TipoArredondamento&lt;&gt;"TransfereGOV",
              ROUND(OFFSET($P240,0,AD$13),15-13*ORÇAMENTO!$AF$7)/$H240*OFFSET(ORÇAMENTO!$X$15,ROW(AD240)-ROW(AD$15),0),
              ROUND(ROUND(OFFSET($P240,0,AD$13),15-13*ORÇAMENTO!$AF$7)*OFFSET(ORÇAMENTO!$W$15,ROW(AD240)-ROW(AD$15),0),15-13*ORÇAMENTO!$AF$11)),
         0)</f>
        <v>0</v>
      </c>
      <c r="AE240" s="454">
        <f ca="1">IF(AND($D240="Serviço",AE$12&lt;&gt;0,$H240&gt;0,OR(AUTOEVENTO&lt;&gt;"manual",$M240&lt;&gt;$A$15)),
        IF(Import.TipoArredondamento&lt;&gt;"TransfereGOV",
              ROUND(OFFSET($P240,0,AE$13),15-13*ORÇAMENTO!$AF$7)/$H240*OFFSET(ORÇAMENTO!$X$15,ROW(AE240)-ROW(AE$15),0),
              ROUND(ROUND(OFFSET($P240,0,AE$13),15-13*ORÇAMENTO!$AF$7)*OFFSET(ORÇAMENTO!$W$15,ROW(AE240)-ROW(AE$15),0),15-13*ORÇAMENTO!$AF$11)),
         0)</f>
        <v>0</v>
      </c>
      <c r="AF240" s="454">
        <f ca="1">IF(AND($D240="Serviço",AF$12&lt;&gt;0,$H240&gt;0,OR(AUTOEVENTO&lt;&gt;"manual",$M240&lt;&gt;$A$15)),
        IF(Import.TipoArredondamento&lt;&gt;"TransfereGOV",
              ROUND(OFFSET($P240,0,AF$13),15-13*ORÇAMENTO!$AF$7)/$H240*OFFSET(ORÇAMENTO!$X$15,ROW(AF240)-ROW(AF$15),0),
              ROUND(ROUND(OFFSET($P240,0,AF$13),15-13*ORÇAMENTO!$AF$7)*OFFSET(ORÇAMENTO!$W$15,ROW(AF240)-ROW(AF$15),0),15-13*ORÇAMENTO!$AF$11)),
         0)</f>
        <v>0</v>
      </c>
      <c r="AG240" s="454">
        <f ca="1">IF(AND($D240="Serviço",AG$12&lt;&gt;0,$H240&gt;0,OR(AUTOEVENTO&lt;&gt;"manual",$M240&lt;&gt;$A$15)),
        IF(Import.TipoArredondamento&lt;&gt;"TransfereGOV",
              ROUND(OFFSET($P240,0,AG$13),15-13*ORÇAMENTO!$AF$7)/$H240*OFFSET(ORÇAMENTO!$X$15,ROW(AG240)-ROW(AG$15),0),
              ROUND(ROUND(OFFSET($P240,0,AG$13),15-13*ORÇAMENTO!$AF$7)*OFFSET(ORÇAMENTO!$W$15,ROW(AG240)-ROW(AG$15),0),15-13*ORÇAMENTO!$AF$11)),
         0)</f>
        <v>0</v>
      </c>
      <c r="AH240" s="454">
        <f ca="1">IF(AND($D240="Serviço",AH$12&lt;&gt;0,$H240&gt;0,OR(AUTOEVENTO&lt;&gt;"manual",$M240&lt;&gt;$A$15)),
        IF(Import.TipoArredondamento&lt;&gt;"TransfereGOV",
              ROUND(OFFSET($P240,0,AH$13),15-13*ORÇAMENTO!$AF$7)/$H240*OFFSET(ORÇAMENTO!$X$15,ROW(AH240)-ROW(AH$15),0),
              ROUND(ROUND(OFFSET($P240,0,AH$13),15-13*ORÇAMENTO!$AF$7)*OFFSET(ORÇAMENTO!$W$15,ROW(AH240)-ROW(AH$15),0),15-13*ORÇAMENTO!$AF$11)),
         0)</f>
        <v>0</v>
      </c>
      <c r="AI240" s="454">
        <f ca="1">IF(AND($D240="Serviço",AI$12&lt;&gt;0,$H240&gt;0,OR(AUTOEVENTO&lt;&gt;"manual",$M240&lt;&gt;$A$15)),
        IF(Import.TipoArredondamento&lt;&gt;"TransfereGOV",
              ROUND(OFFSET($P240,0,AI$13),15-13*ORÇAMENTO!$AF$7)/$H240*OFFSET(ORÇAMENTO!$X$15,ROW(AI240)-ROW(AI$15),0),
              ROUND(ROUND(OFFSET($P240,0,AI$13),15-13*ORÇAMENTO!$AF$7)*OFFSET(ORÇAMENTO!$W$15,ROW(AI240)-ROW(AI$15),0),15-13*ORÇAMENTO!$AF$11)),
         0)</f>
        <v>0</v>
      </c>
      <c r="AJ240" s="454">
        <f ca="1">IF(AND($D240="Serviço",AJ$12&lt;&gt;0,$H240&gt;0,OR(AUTOEVENTO&lt;&gt;"manual",$M240&lt;&gt;$A$15)),
        IF(Import.TipoArredondamento&lt;&gt;"TransfereGOV",
              ROUND(OFFSET($P240,0,AJ$13),15-13*ORÇAMENTO!$AF$7)/$H240*OFFSET(ORÇAMENTO!$X$15,ROW(AJ240)-ROW(AJ$15),0),
              ROUND(ROUND(OFFSET($P240,0,AJ$13),15-13*ORÇAMENTO!$AF$7)*OFFSET(ORÇAMENTO!$W$15,ROW(AJ240)-ROW(AJ$15),0),15-13*ORÇAMENTO!$AF$11)),
         0)</f>
        <v>0</v>
      </c>
      <c r="AK240" s="454">
        <f ca="1">IF(AND($D240="Serviço",AK$12&lt;&gt;0,$H240&gt;0,OR(AUTOEVENTO&lt;&gt;"manual",$M240&lt;&gt;$A$15)),
        IF(Import.TipoArredondamento&lt;&gt;"TransfereGOV",
              ROUND(OFFSET($P240,0,AK$13),15-13*ORÇAMENTO!$AF$7)/$H240*OFFSET(ORÇAMENTO!$X$15,ROW(AK240)-ROW(AK$15),0),
              ROUND(ROUND(OFFSET($P240,0,AK$13),15-13*ORÇAMENTO!$AF$7)*OFFSET(ORÇAMENTO!$W$15,ROW(AK240)-ROW(AK$15),0),15-13*ORÇAMENTO!$AF$11)),
         0)</f>
        <v>0</v>
      </c>
      <c r="AM240" s="172">
        <f ca="1">IF(OR($D240&lt;&gt;"Serviço",AND(AUTOEVENTO="Manual",$M240=$A$15)),0,
         IF(OFFSET(CRONOPLE!$F$15,$M240-$A$15,AM$13)="",10^12,OFFSET(CRONOPLE!$F$15,$M240-$A$15,AM$13)))</f>
        <v>1000000000000</v>
      </c>
      <c r="AN240" s="172">
        <f ca="1">IF(OR($D240&lt;&gt;"Serviço",AND(AUTOEVENTO="Manual",$M240=$A$15)),0,
         IF(OFFSET(CRONOPLE!$F$15,$M240-$A$15,AN$13)="",10^12,OFFSET(CRONOPLE!$F$15,$M240-$A$15,AN$13)))</f>
        <v>1000000000000</v>
      </c>
      <c r="AO240" s="172">
        <f ca="1">IF(OR($D240&lt;&gt;"Serviço",AND(AUTOEVENTO="Manual",$M240=$A$15)),0,
         IF(OFFSET(CRONOPLE!$F$15,$M240-$A$15,AO$13)="",10^12,OFFSET(CRONOPLE!$F$15,$M240-$A$15,AO$13)))</f>
        <v>1000000000000</v>
      </c>
      <c r="AP240" s="172">
        <f ca="1">IF(OR($D240&lt;&gt;"Serviço",AND(AUTOEVENTO="Manual",$M240=$A$15)),0,
         IF(OFFSET(CRONOPLE!$F$15,$M240-$A$15,AP$13)="",10^12,OFFSET(CRONOPLE!$F$15,$M240-$A$15,AP$13)))</f>
        <v>1000000000000</v>
      </c>
      <c r="AQ240" s="172">
        <f ca="1">IF(OR($D240&lt;&gt;"Serviço",AND(AUTOEVENTO="Manual",$M240=$A$15)),0,
         IF(OFFSET(CRONOPLE!$F$15,$M240-$A$15,AQ$13)="",10^12,OFFSET(CRONOPLE!$F$15,$M240-$A$15,AQ$13)))</f>
        <v>1000000000000</v>
      </c>
      <c r="AR240" s="172">
        <f ca="1">IF(OR($D240&lt;&gt;"Serviço",AND(AUTOEVENTO="Manual",$M240=$A$15)),0,
         IF(OFFSET(CRONOPLE!$F$15,$M240-$A$15,AR$13)="",10^12,OFFSET(CRONOPLE!$F$15,$M240-$A$15,AR$13)))</f>
        <v>1000000000000</v>
      </c>
      <c r="AS240" s="172">
        <f ca="1">IF(OR($D240&lt;&gt;"Serviço",AND(AUTOEVENTO="Manual",$M240=$A$15)),0,
         IF(OFFSET(CRONOPLE!$F$15,$M240-$A$15,AS$13)="",10^12,OFFSET(CRONOPLE!$F$15,$M240-$A$15,AS$13)))</f>
        <v>1000000000000</v>
      </c>
      <c r="AT240" s="172">
        <f ca="1">IF(OR($D240&lt;&gt;"Serviço",AND(AUTOEVENTO="Manual",$M240=$A$15)),0,
         IF(OFFSET(CRONOPLE!$F$15,$M240-$A$15,AT$13)="",10^12,OFFSET(CRONOPLE!$F$15,$M240-$A$15,AT$13)))</f>
        <v>1000000000000</v>
      </c>
      <c r="AU240" s="172">
        <f ca="1">IF(OR($D240&lt;&gt;"Serviço",AND(AUTOEVENTO="Manual",$M240=$A$15)),0,
         IF(OFFSET(CRONOPLE!$F$15,$M240-$A$15,AU$13)="",10^12,OFFSET(CRONOPLE!$F$15,$M240-$A$15,AU$13)))</f>
        <v>1000000000000</v>
      </c>
      <c r="AV240" s="172">
        <f ca="1">IF(OR($D240&lt;&gt;"Serviço",AND(AUTOEVENTO="Manual",$M240=$A$15)),0,
         IF(OFFSET(CRONOPLE!$F$15,$M240-$A$15,AV$13)="",10^12,OFFSET(CRONOPLE!$F$15,$M240-$A$15,AV$13)))</f>
        <v>1000000000000</v>
      </c>
      <c r="AX240" s="173">
        <f ca="1">IF(OR($D240&lt;&gt;"Serviço",AND(AUTOEVENTO="Manual",$M240=$A$15),$M240&gt;(ROW(PLE.lastrow)-ROW(PLE.firstrow))),0,
           IF(OFFSET(PLE!$G$15,$M240-$A$15,AX$13)="",10^12,OFFSET(PLE!$G$15,$M240-$A$15,AX$13)))</f>
        <v>1000000000000</v>
      </c>
      <c r="AY240" s="173">
        <f ca="1">IF(OR($D240&lt;&gt;"Serviço",AND(AUTOEVENTO="Manual",$M240=$A$15),$M240&gt;(ROW(PLE.lastrow)-ROW(PLE.firstrow))),0,
           IF(OFFSET(PLE!$G$15,$M240-$A$15,AY$13)="",10^12,OFFSET(PLE!$G$15,$M240-$A$15,AY$13)))</f>
        <v>1000000000000</v>
      </c>
      <c r="AZ240" s="173">
        <f ca="1">IF(OR($D240&lt;&gt;"Serviço",AND(AUTOEVENTO="Manual",$M240=$A$15),$M240&gt;(ROW(PLE.lastrow)-ROW(PLE.firstrow))),0,
           IF(OFFSET(PLE!$G$15,$M240-$A$15,AZ$13)="",10^12,OFFSET(PLE!$G$15,$M240-$A$15,AZ$13)))</f>
        <v>1000000000000</v>
      </c>
      <c r="BA240" s="173">
        <f ca="1">IF(OR($D240&lt;&gt;"Serviço",AND(AUTOEVENTO="Manual",$M240=$A$15),$M240&gt;(ROW(PLE.lastrow)-ROW(PLE.firstrow))),0,
           IF(OFFSET(PLE!$G$15,$M240-$A$15,BA$13)="",10^12,OFFSET(PLE!$G$15,$M240-$A$15,BA$13)))</f>
        <v>1000000000000</v>
      </c>
      <c r="BB240" s="173">
        <f ca="1">IF(OR($D240&lt;&gt;"Serviço",AND(AUTOEVENTO="Manual",$M240=$A$15),$M240&gt;(ROW(PLE.lastrow)-ROW(PLE.firstrow))),0,
           IF(OFFSET(PLE!$G$15,$M240-$A$15,BB$13)="",10^12,OFFSET(PLE!$G$15,$M240-$A$15,BB$13)))</f>
        <v>1000000000000</v>
      </c>
      <c r="BC240" s="173">
        <f ca="1">IF(OR($D240&lt;&gt;"Serviço",AND(AUTOEVENTO="Manual",$M240=$A$15),$M240&gt;(ROW(PLE.lastrow)-ROW(PLE.firstrow))),0,
           IF(OFFSET(PLE!$G$15,$M240-$A$15,BC$13)="",10^12,OFFSET(PLE!$G$15,$M240-$A$15,BC$13)))</f>
        <v>1000000000000</v>
      </c>
      <c r="BD240" s="173">
        <f ca="1">IF(OR($D240&lt;&gt;"Serviço",AND(AUTOEVENTO="Manual",$M240=$A$15),$M240&gt;(ROW(PLE.lastrow)-ROW(PLE.firstrow))),0,
           IF(OFFSET(PLE!$G$15,$M240-$A$15,BD$13)="",10^12,OFFSET(PLE!$G$15,$M240-$A$15,BD$13)))</f>
        <v>1000000000000</v>
      </c>
      <c r="BE240" s="173">
        <f ca="1">IF(OR($D240&lt;&gt;"Serviço",AND(AUTOEVENTO="Manual",$M240=$A$15),$M240&gt;(ROW(PLE.lastrow)-ROW(PLE.firstrow))),0,
           IF(OFFSET(PLE!$G$15,$M240-$A$15,BE$13)="",10^12,OFFSET(PLE!$G$15,$M240-$A$15,BE$13)))</f>
        <v>1000000000000</v>
      </c>
      <c r="BF240" s="173">
        <f ca="1">IF(OR($D240&lt;&gt;"Serviço",AND(AUTOEVENTO="Manual",$M240=$A$15),$M240&gt;(ROW(PLE.lastrow)-ROW(PLE.firstrow))),0,
           IF(OFFSET(PLE!$G$15,$M240-$A$15,BF$13)="",10^12,OFFSET(PLE!$G$15,$M240-$A$15,BF$13)))</f>
        <v>1000000000000</v>
      </c>
      <c r="BG240" s="173">
        <f ca="1">IF(OR($D240&lt;&gt;"Serviço",AND(AUTOEVENTO="Manual",$M240=$A$15),$M240&gt;(ROW(PLE.lastrow)-ROW(PLE.firstrow))),0,
           IF(OFFSET(PLE!$G$15,$M240-$A$15,BG$13)="",10^12,OFFSET(PLE!$G$15,$M240-$A$15,BG$13)))</f>
        <v>1000000000000</v>
      </c>
    </row>
    <row r="241" spans="1:59" ht="25.5" x14ac:dyDescent="0.2">
      <c r="A241" s="7" t="str">
        <f t="shared" ca="1" si="11"/>
        <v>210</v>
      </c>
      <c r="B241" s="7" t="str">
        <f ca="1">OFFSET(ORÇAMENTO!C$15,ROW(B241)-ROW(B$15),0)</f>
        <v>S</v>
      </c>
      <c r="C241" s="7" t="str">
        <f ca="1">OFFSET(ORÇAMENTO!L$15,ROW(C241)-ROW(C$15),0)</f>
        <v/>
      </c>
      <c r="D241" s="117" t="str">
        <f ca="1">OFFSET(ORÇAMENTO!N$15,ROW(D241)-ROW(D$15),0)</f>
        <v>Serviço</v>
      </c>
      <c r="E241" s="118" t="str">
        <f ca="1">OFFSET(ORÇAMENTO!O$15,ROW(E241)-ROW(E$15),0)</f>
        <v>-</v>
      </c>
      <c r="F241" s="164" t="str">
        <f ca="1">OFFSET(ORÇAMENTO!R$15,ROW(F241)-ROW(F$15),0)</f>
        <v>BARRA DE APOIO RETA, EM ALUMINIO, COMPRIMENTO 80 CM,  FIXADA NA PAREDE - FORNECIMENTO E INSTALAÇÃO. AF_01/2020</v>
      </c>
      <c r="G241" s="165" t="str">
        <f ca="1">IF($D241&lt;&gt;"Serviço","",OFFSET(ORÇAMENTO!S$15,ROW(G241)-ROW(G$15),0))</f>
        <v>UN</v>
      </c>
      <c r="H241" s="123">
        <f ca="1">IF($D241&lt;&gt;"Serviço",0,IF(ACOMPANHAMENTO="BM",ROUND(OFFSET(ORÇAMENTO!AJ$15,ROW(H241)-ROW(H$15),0),15-13*ORÇAMENTO!$AF$7),SUMPRODUCT(($Q$1:$AA$1=1)*ROUND($Q241:$AA241,15-13*ORÇAMENTO!$AF$7))))</f>
        <v>12</v>
      </c>
      <c r="I241" s="469"/>
      <c r="J241" s="577" t="str" cm="1">
        <f t="array" aca="1" ref="J241" ca="1">IF(B241&lt;&gt;"S","",IF(AND(ACOMPANHAMENTO="PLE",AUTOEVENTO="Manual",OR(H241&gt;0,ORÇAMENTO!AC241="QUANT."),OR(K241="",M241=0,N241="")),"►",IF(AND(ACOMPANHAMENTO="PLE",ORÇAMENTO!AC241="QUANT."),"►►",IF(AND(COUNTIF($P$11:$AA$11,"▼")=0,H241&gt;0,I241=""),"◄",""))))</f>
        <v>◄</v>
      </c>
      <c r="K241" s="626"/>
      <c r="L241" s="166" t="s">
        <v>765</v>
      </c>
      <c r="M241" s="167">
        <f ca="1">IF($D241&lt;&gt;"Serviço","",
          IF(AUTOEVENTO="manual",$A241,
                IF(ISERROR(MATCH($A241,$A$15:OFFSET($A241,-1,0),0)),MAX($M$15:OFFSET(M241,-1,0))+1,
                      INDEX($M$15:OFFSET(M241,-1,0),MATCH($A241,$A$15:OFFSET($A241,-1,0),0)))))</f>
        <v>13</v>
      </c>
      <c r="N241" s="168" t="str">
        <f ca="1">IF($D241&lt;&gt;"Serviço","",
         IF(AUTOEVENTO="Manual",
                IF($A241=0,"&lt;-- defina o número do agrupador",
                       OFFSET(EVENTOS!$D$15,$A241-$A$15,0)),
                OFFSET($F$15,$A241,0)))</f>
        <v>LOUÇAS E ACESSÓRIOS</v>
      </c>
      <c r="O241" s="169"/>
      <c r="Q241" s="169"/>
      <c r="R241" s="170"/>
      <c r="S241" s="170"/>
      <c r="T241" s="170"/>
      <c r="U241" s="170"/>
      <c r="V241" s="170"/>
      <c r="W241" s="170"/>
      <c r="X241" s="170"/>
      <c r="Y241" s="170"/>
      <c r="Z241" s="171"/>
      <c r="AB241" s="454">
        <f ca="1">IF(AND($D241="Serviço",AB$12&lt;&gt;0,$H241&gt;0,OR(AUTOEVENTO&lt;&gt;"manual",$M241&lt;&gt;$A$15)),
        IF(Import.TipoArredondamento&lt;&gt;"TransfereGOV",
              ROUND(OFFSET($P241,0,AB$13),15-13*ORÇAMENTO!$AF$7)/$H241*OFFSET(ORÇAMENTO!$X$15,ROW(AB241)-ROW(AB$15),0),
              ROUND(ROUND(OFFSET($P241,0,AB$13),15-13*ORÇAMENTO!$AF$7)*OFFSET(ORÇAMENTO!$W$15,ROW(AB241)-ROW(AB$15),0),15-13*ORÇAMENTO!$AF$11)),
         0)</f>
        <v>0</v>
      </c>
      <c r="AC241" s="454">
        <f ca="1">IF(AND($D241="Serviço",AC$12&lt;&gt;0,$H241&gt;0,OR(AUTOEVENTO&lt;&gt;"manual",$M241&lt;&gt;$A$15)),
        IF(Import.TipoArredondamento&lt;&gt;"TransfereGOV",
              ROUND(OFFSET($P241,0,AC$13),15-13*ORÇAMENTO!$AF$7)/$H241*OFFSET(ORÇAMENTO!$X$15,ROW(AC241)-ROW(AC$15),0),
              ROUND(ROUND(OFFSET($P241,0,AC$13),15-13*ORÇAMENTO!$AF$7)*OFFSET(ORÇAMENTO!$W$15,ROW(AC241)-ROW(AC$15),0),15-13*ORÇAMENTO!$AF$11)),
         0)</f>
        <v>0</v>
      </c>
      <c r="AD241" s="454">
        <f ca="1">IF(AND($D241="Serviço",AD$12&lt;&gt;0,$H241&gt;0,OR(AUTOEVENTO&lt;&gt;"manual",$M241&lt;&gt;$A$15)),
        IF(Import.TipoArredondamento&lt;&gt;"TransfereGOV",
              ROUND(OFFSET($P241,0,AD$13),15-13*ORÇAMENTO!$AF$7)/$H241*OFFSET(ORÇAMENTO!$X$15,ROW(AD241)-ROW(AD$15),0),
              ROUND(ROUND(OFFSET($P241,0,AD$13),15-13*ORÇAMENTO!$AF$7)*OFFSET(ORÇAMENTO!$W$15,ROW(AD241)-ROW(AD$15),0),15-13*ORÇAMENTO!$AF$11)),
         0)</f>
        <v>0</v>
      </c>
      <c r="AE241" s="454">
        <f ca="1">IF(AND($D241="Serviço",AE$12&lt;&gt;0,$H241&gt;0,OR(AUTOEVENTO&lt;&gt;"manual",$M241&lt;&gt;$A$15)),
        IF(Import.TipoArredondamento&lt;&gt;"TransfereGOV",
              ROUND(OFFSET($P241,0,AE$13),15-13*ORÇAMENTO!$AF$7)/$H241*OFFSET(ORÇAMENTO!$X$15,ROW(AE241)-ROW(AE$15),0),
              ROUND(ROUND(OFFSET($P241,0,AE$13),15-13*ORÇAMENTO!$AF$7)*OFFSET(ORÇAMENTO!$W$15,ROW(AE241)-ROW(AE$15),0),15-13*ORÇAMENTO!$AF$11)),
         0)</f>
        <v>0</v>
      </c>
      <c r="AF241" s="454">
        <f ca="1">IF(AND($D241="Serviço",AF$12&lt;&gt;0,$H241&gt;0,OR(AUTOEVENTO&lt;&gt;"manual",$M241&lt;&gt;$A$15)),
        IF(Import.TipoArredondamento&lt;&gt;"TransfereGOV",
              ROUND(OFFSET($P241,0,AF$13),15-13*ORÇAMENTO!$AF$7)/$H241*OFFSET(ORÇAMENTO!$X$15,ROW(AF241)-ROW(AF$15),0),
              ROUND(ROUND(OFFSET($P241,0,AF$13),15-13*ORÇAMENTO!$AF$7)*OFFSET(ORÇAMENTO!$W$15,ROW(AF241)-ROW(AF$15),0),15-13*ORÇAMENTO!$AF$11)),
         0)</f>
        <v>0</v>
      </c>
      <c r="AG241" s="454">
        <f ca="1">IF(AND($D241="Serviço",AG$12&lt;&gt;0,$H241&gt;0,OR(AUTOEVENTO&lt;&gt;"manual",$M241&lt;&gt;$A$15)),
        IF(Import.TipoArredondamento&lt;&gt;"TransfereGOV",
              ROUND(OFFSET($P241,0,AG$13),15-13*ORÇAMENTO!$AF$7)/$H241*OFFSET(ORÇAMENTO!$X$15,ROW(AG241)-ROW(AG$15),0),
              ROUND(ROUND(OFFSET($P241,0,AG$13),15-13*ORÇAMENTO!$AF$7)*OFFSET(ORÇAMENTO!$W$15,ROW(AG241)-ROW(AG$15),0),15-13*ORÇAMENTO!$AF$11)),
         0)</f>
        <v>0</v>
      </c>
      <c r="AH241" s="454">
        <f ca="1">IF(AND($D241="Serviço",AH$12&lt;&gt;0,$H241&gt;0,OR(AUTOEVENTO&lt;&gt;"manual",$M241&lt;&gt;$A$15)),
        IF(Import.TipoArredondamento&lt;&gt;"TransfereGOV",
              ROUND(OFFSET($P241,0,AH$13),15-13*ORÇAMENTO!$AF$7)/$H241*OFFSET(ORÇAMENTO!$X$15,ROW(AH241)-ROW(AH$15),0),
              ROUND(ROUND(OFFSET($P241,0,AH$13),15-13*ORÇAMENTO!$AF$7)*OFFSET(ORÇAMENTO!$W$15,ROW(AH241)-ROW(AH$15),0),15-13*ORÇAMENTO!$AF$11)),
         0)</f>
        <v>0</v>
      </c>
      <c r="AI241" s="454">
        <f ca="1">IF(AND($D241="Serviço",AI$12&lt;&gt;0,$H241&gt;0,OR(AUTOEVENTO&lt;&gt;"manual",$M241&lt;&gt;$A$15)),
        IF(Import.TipoArredondamento&lt;&gt;"TransfereGOV",
              ROUND(OFFSET($P241,0,AI$13),15-13*ORÇAMENTO!$AF$7)/$H241*OFFSET(ORÇAMENTO!$X$15,ROW(AI241)-ROW(AI$15),0),
              ROUND(ROUND(OFFSET($P241,0,AI$13),15-13*ORÇAMENTO!$AF$7)*OFFSET(ORÇAMENTO!$W$15,ROW(AI241)-ROW(AI$15),0),15-13*ORÇAMENTO!$AF$11)),
         0)</f>
        <v>0</v>
      </c>
      <c r="AJ241" s="454">
        <f ca="1">IF(AND($D241="Serviço",AJ$12&lt;&gt;0,$H241&gt;0,OR(AUTOEVENTO&lt;&gt;"manual",$M241&lt;&gt;$A$15)),
        IF(Import.TipoArredondamento&lt;&gt;"TransfereGOV",
              ROUND(OFFSET($P241,0,AJ$13),15-13*ORÇAMENTO!$AF$7)/$H241*OFFSET(ORÇAMENTO!$X$15,ROW(AJ241)-ROW(AJ$15),0),
              ROUND(ROUND(OFFSET($P241,0,AJ$13),15-13*ORÇAMENTO!$AF$7)*OFFSET(ORÇAMENTO!$W$15,ROW(AJ241)-ROW(AJ$15),0),15-13*ORÇAMENTO!$AF$11)),
         0)</f>
        <v>0</v>
      </c>
      <c r="AK241" s="454">
        <f ca="1">IF(AND($D241="Serviço",AK$12&lt;&gt;0,$H241&gt;0,OR(AUTOEVENTO&lt;&gt;"manual",$M241&lt;&gt;$A$15)),
        IF(Import.TipoArredondamento&lt;&gt;"TransfereGOV",
              ROUND(OFFSET($P241,0,AK$13),15-13*ORÇAMENTO!$AF$7)/$H241*OFFSET(ORÇAMENTO!$X$15,ROW(AK241)-ROW(AK$15),0),
              ROUND(ROUND(OFFSET($P241,0,AK$13),15-13*ORÇAMENTO!$AF$7)*OFFSET(ORÇAMENTO!$W$15,ROW(AK241)-ROW(AK$15),0),15-13*ORÇAMENTO!$AF$11)),
         0)</f>
        <v>0</v>
      </c>
      <c r="AM241" s="172">
        <f ca="1">IF(OR($D241&lt;&gt;"Serviço",AND(AUTOEVENTO="Manual",$M241=$A$15)),0,
         IF(OFFSET(CRONOPLE!$F$15,$M241-$A$15,AM$13)="",10^12,OFFSET(CRONOPLE!$F$15,$M241-$A$15,AM$13)))</f>
        <v>1000000000000</v>
      </c>
      <c r="AN241" s="172">
        <f ca="1">IF(OR($D241&lt;&gt;"Serviço",AND(AUTOEVENTO="Manual",$M241=$A$15)),0,
         IF(OFFSET(CRONOPLE!$F$15,$M241-$A$15,AN$13)="",10^12,OFFSET(CRONOPLE!$F$15,$M241-$A$15,AN$13)))</f>
        <v>1000000000000</v>
      </c>
      <c r="AO241" s="172">
        <f ca="1">IF(OR($D241&lt;&gt;"Serviço",AND(AUTOEVENTO="Manual",$M241=$A$15)),0,
         IF(OFFSET(CRONOPLE!$F$15,$M241-$A$15,AO$13)="",10^12,OFFSET(CRONOPLE!$F$15,$M241-$A$15,AO$13)))</f>
        <v>1000000000000</v>
      </c>
      <c r="AP241" s="172">
        <f ca="1">IF(OR($D241&lt;&gt;"Serviço",AND(AUTOEVENTO="Manual",$M241=$A$15)),0,
         IF(OFFSET(CRONOPLE!$F$15,$M241-$A$15,AP$13)="",10^12,OFFSET(CRONOPLE!$F$15,$M241-$A$15,AP$13)))</f>
        <v>1000000000000</v>
      </c>
      <c r="AQ241" s="172">
        <f ca="1">IF(OR($D241&lt;&gt;"Serviço",AND(AUTOEVENTO="Manual",$M241=$A$15)),0,
         IF(OFFSET(CRONOPLE!$F$15,$M241-$A$15,AQ$13)="",10^12,OFFSET(CRONOPLE!$F$15,$M241-$A$15,AQ$13)))</f>
        <v>1000000000000</v>
      </c>
      <c r="AR241" s="172">
        <f ca="1">IF(OR($D241&lt;&gt;"Serviço",AND(AUTOEVENTO="Manual",$M241=$A$15)),0,
         IF(OFFSET(CRONOPLE!$F$15,$M241-$A$15,AR$13)="",10^12,OFFSET(CRONOPLE!$F$15,$M241-$A$15,AR$13)))</f>
        <v>1000000000000</v>
      </c>
      <c r="AS241" s="172">
        <f ca="1">IF(OR($D241&lt;&gt;"Serviço",AND(AUTOEVENTO="Manual",$M241=$A$15)),0,
         IF(OFFSET(CRONOPLE!$F$15,$M241-$A$15,AS$13)="",10^12,OFFSET(CRONOPLE!$F$15,$M241-$A$15,AS$13)))</f>
        <v>1000000000000</v>
      </c>
      <c r="AT241" s="172">
        <f ca="1">IF(OR($D241&lt;&gt;"Serviço",AND(AUTOEVENTO="Manual",$M241=$A$15)),0,
         IF(OFFSET(CRONOPLE!$F$15,$M241-$A$15,AT$13)="",10^12,OFFSET(CRONOPLE!$F$15,$M241-$A$15,AT$13)))</f>
        <v>1000000000000</v>
      </c>
      <c r="AU241" s="172">
        <f ca="1">IF(OR($D241&lt;&gt;"Serviço",AND(AUTOEVENTO="Manual",$M241=$A$15)),0,
         IF(OFFSET(CRONOPLE!$F$15,$M241-$A$15,AU$13)="",10^12,OFFSET(CRONOPLE!$F$15,$M241-$A$15,AU$13)))</f>
        <v>1000000000000</v>
      </c>
      <c r="AV241" s="172">
        <f ca="1">IF(OR($D241&lt;&gt;"Serviço",AND(AUTOEVENTO="Manual",$M241=$A$15)),0,
         IF(OFFSET(CRONOPLE!$F$15,$M241-$A$15,AV$13)="",10^12,OFFSET(CRONOPLE!$F$15,$M241-$A$15,AV$13)))</f>
        <v>1000000000000</v>
      </c>
      <c r="AX241" s="173">
        <f ca="1">IF(OR($D241&lt;&gt;"Serviço",AND(AUTOEVENTO="Manual",$M241=$A$15),$M241&gt;(ROW(PLE.lastrow)-ROW(PLE.firstrow))),0,
           IF(OFFSET(PLE!$G$15,$M241-$A$15,AX$13)="",10^12,OFFSET(PLE!$G$15,$M241-$A$15,AX$13)))</f>
        <v>1000000000000</v>
      </c>
      <c r="AY241" s="173">
        <f ca="1">IF(OR($D241&lt;&gt;"Serviço",AND(AUTOEVENTO="Manual",$M241=$A$15),$M241&gt;(ROW(PLE.lastrow)-ROW(PLE.firstrow))),0,
           IF(OFFSET(PLE!$G$15,$M241-$A$15,AY$13)="",10^12,OFFSET(PLE!$G$15,$M241-$A$15,AY$13)))</f>
        <v>1000000000000</v>
      </c>
      <c r="AZ241" s="173">
        <f ca="1">IF(OR($D241&lt;&gt;"Serviço",AND(AUTOEVENTO="Manual",$M241=$A$15),$M241&gt;(ROW(PLE.lastrow)-ROW(PLE.firstrow))),0,
           IF(OFFSET(PLE!$G$15,$M241-$A$15,AZ$13)="",10^12,OFFSET(PLE!$G$15,$M241-$A$15,AZ$13)))</f>
        <v>1000000000000</v>
      </c>
      <c r="BA241" s="173">
        <f ca="1">IF(OR($D241&lt;&gt;"Serviço",AND(AUTOEVENTO="Manual",$M241=$A$15),$M241&gt;(ROW(PLE.lastrow)-ROW(PLE.firstrow))),0,
           IF(OFFSET(PLE!$G$15,$M241-$A$15,BA$13)="",10^12,OFFSET(PLE!$G$15,$M241-$A$15,BA$13)))</f>
        <v>1000000000000</v>
      </c>
      <c r="BB241" s="173">
        <f ca="1">IF(OR($D241&lt;&gt;"Serviço",AND(AUTOEVENTO="Manual",$M241=$A$15),$M241&gt;(ROW(PLE.lastrow)-ROW(PLE.firstrow))),0,
           IF(OFFSET(PLE!$G$15,$M241-$A$15,BB$13)="",10^12,OFFSET(PLE!$G$15,$M241-$A$15,BB$13)))</f>
        <v>1000000000000</v>
      </c>
      <c r="BC241" s="173">
        <f ca="1">IF(OR($D241&lt;&gt;"Serviço",AND(AUTOEVENTO="Manual",$M241=$A$15),$M241&gt;(ROW(PLE.lastrow)-ROW(PLE.firstrow))),0,
           IF(OFFSET(PLE!$G$15,$M241-$A$15,BC$13)="",10^12,OFFSET(PLE!$G$15,$M241-$A$15,BC$13)))</f>
        <v>1000000000000</v>
      </c>
      <c r="BD241" s="173">
        <f ca="1">IF(OR($D241&lt;&gt;"Serviço",AND(AUTOEVENTO="Manual",$M241=$A$15),$M241&gt;(ROW(PLE.lastrow)-ROW(PLE.firstrow))),0,
           IF(OFFSET(PLE!$G$15,$M241-$A$15,BD$13)="",10^12,OFFSET(PLE!$G$15,$M241-$A$15,BD$13)))</f>
        <v>1000000000000</v>
      </c>
      <c r="BE241" s="173">
        <f ca="1">IF(OR($D241&lt;&gt;"Serviço",AND(AUTOEVENTO="Manual",$M241=$A$15),$M241&gt;(ROW(PLE.lastrow)-ROW(PLE.firstrow))),0,
           IF(OFFSET(PLE!$G$15,$M241-$A$15,BE$13)="",10^12,OFFSET(PLE!$G$15,$M241-$A$15,BE$13)))</f>
        <v>1000000000000</v>
      </c>
      <c r="BF241" s="173">
        <f ca="1">IF(OR($D241&lt;&gt;"Serviço",AND(AUTOEVENTO="Manual",$M241=$A$15),$M241&gt;(ROW(PLE.lastrow)-ROW(PLE.firstrow))),0,
           IF(OFFSET(PLE!$G$15,$M241-$A$15,BF$13)="",10^12,OFFSET(PLE!$G$15,$M241-$A$15,BF$13)))</f>
        <v>1000000000000</v>
      </c>
      <c r="BG241" s="173">
        <f ca="1">IF(OR($D241&lt;&gt;"Serviço",AND(AUTOEVENTO="Manual",$M241=$A$15),$M241&gt;(ROW(PLE.lastrow)-ROW(PLE.firstrow))),0,
           IF(OFFSET(PLE!$G$15,$M241-$A$15,BG$13)="",10^12,OFFSET(PLE!$G$15,$M241-$A$15,BG$13)))</f>
        <v>1000000000000</v>
      </c>
    </row>
    <row r="242" spans="1:59" ht="25.5" x14ac:dyDescent="0.2">
      <c r="A242" s="7" t="str">
        <f t="shared" ca="1" si="11"/>
        <v>210</v>
      </c>
      <c r="B242" s="7" t="str">
        <f ca="1">OFFSET(ORÇAMENTO!C$15,ROW(B242)-ROW(B$15),0)</f>
        <v>S</v>
      </c>
      <c r="C242" s="7" t="str">
        <f ca="1">OFFSET(ORÇAMENTO!L$15,ROW(C242)-ROW(C$15),0)</f>
        <v/>
      </c>
      <c r="D242" s="117" t="str">
        <f ca="1">OFFSET(ORÇAMENTO!N$15,ROW(D242)-ROW(D$15),0)</f>
        <v>Serviço</v>
      </c>
      <c r="E242" s="118" t="str">
        <f ca="1">OFFSET(ORÇAMENTO!O$15,ROW(E242)-ROW(E$15),0)</f>
        <v>-</v>
      </c>
      <c r="F242" s="164" t="str">
        <f ca="1">OFFSET(ORÇAMENTO!R$15,ROW(F242)-ROW(F$15),0)</f>
        <v>BARRA DE APOIO RETA, EM ALUMINIO, COMPRIMENTO 70 CM,  FIXADA NA PAREDE - FORNECIMENTO E INSTALAÇÃO. AF_01/2020</v>
      </c>
      <c r="G242" s="165" t="str">
        <f ca="1">IF($D242&lt;&gt;"Serviço","",OFFSET(ORÇAMENTO!S$15,ROW(G242)-ROW(G$15),0))</f>
        <v>UN</v>
      </c>
      <c r="H242" s="123">
        <f ca="1">IF($D242&lt;&gt;"Serviço",0,IF(ACOMPANHAMENTO="BM",ROUND(OFFSET(ORÇAMENTO!AJ$15,ROW(H242)-ROW(H$15),0),15-13*ORÇAMENTO!$AF$7),SUMPRODUCT(($Q$1:$AA$1=1)*ROUND($Q242:$AA242,15-13*ORÇAMENTO!$AF$7))))</f>
        <v>6</v>
      </c>
      <c r="I242" s="469"/>
      <c r="J242" s="577" t="str" cm="1">
        <f t="array" aca="1" ref="J242" ca="1">IF(B242&lt;&gt;"S","",IF(AND(ACOMPANHAMENTO="PLE",AUTOEVENTO="Manual",OR(H242&gt;0,ORÇAMENTO!AC242="QUANT."),OR(K242="",M242=0,N242="")),"►",IF(AND(ACOMPANHAMENTO="PLE",ORÇAMENTO!AC242="QUANT."),"►►",IF(AND(COUNTIF($P$11:$AA$11,"▼")=0,H242&gt;0,I242=""),"◄",""))))</f>
        <v>◄</v>
      </c>
      <c r="K242" s="626"/>
      <c r="L242" s="166" t="s">
        <v>765</v>
      </c>
      <c r="M242" s="167">
        <f ca="1">IF($D242&lt;&gt;"Serviço","",
          IF(AUTOEVENTO="manual",$A242,
                IF(ISERROR(MATCH($A242,$A$15:OFFSET($A242,-1,0),0)),MAX($M$15:OFFSET(M242,-1,0))+1,
                      INDEX($M$15:OFFSET(M242,-1,0),MATCH($A242,$A$15:OFFSET($A242,-1,0),0)))))</f>
        <v>13</v>
      </c>
      <c r="N242" s="168" t="str">
        <f ca="1">IF($D242&lt;&gt;"Serviço","",
         IF(AUTOEVENTO="Manual",
                IF($A242=0,"&lt;-- defina o número do agrupador",
                       OFFSET(EVENTOS!$D$15,$A242-$A$15,0)),
                OFFSET($F$15,$A242,0)))</f>
        <v>LOUÇAS E ACESSÓRIOS</v>
      </c>
      <c r="O242" s="169"/>
      <c r="Q242" s="169"/>
      <c r="R242" s="170"/>
      <c r="S242" s="170"/>
      <c r="T242" s="170"/>
      <c r="U242" s="170"/>
      <c r="V242" s="170"/>
      <c r="W242" s="170"/>
      <c r="X242" s="170"/>
      <c r="Y242" s="170"/>
      <c r="Z242" s="171"/>
      <c r="AB242" s="454">
        <f ca="1">IF(AND($D242="Serviço",AB$12&lt;&gt;0,$H242&gt;0,OR(AUTOEVENTO&lt;&gt;"manual",$M242&lt;&gt;$A$15)),
        IF(Import.TipoArredondamento&lt;&gt;"TransfereGOV",
              ROUND(OFFSET($P242,0,AB$13),15-13*ORÇAMENTO!$AF$7)/$H242*OFFSET(ORÇAMENTO!$X$15,ROW(AB242)-ROW(AB$15),0),
              ROUND(ROUND(OFFSET($P242,0,AB$13),15-13*ORÇAMENTO!$AF$7)*OFFSET(ORÇAMENTO!$W$15,ROW(AB242)-ROW(AB$15),0),15-13*ORÇAMENTO!$AF$11)),
         0)</f>
        <v>0</v>
      </c>
      <c r="AC242" s="454">
        <f ca="1">IF(AND($D242="Serviço",AC$12&lt;&gt;0,$H242&gt;0,OR(AUTOEVENTO&lt;&gt;"manual",$M242&lt;&gt;$A$15)),
        IF(Import.TipoArredondamento&lt;&gt;"TransfereGOV",
              ROUND(OFFSET($P242,0,AC$13),15-13*ORÇAMENTO!$AF$7)/$H242*OFFSET(ORÇAMENTO!$X$15,ROW(AC242)-ROW(AC$15),0),
              ROUND(ROUND(OFFSET($P242,0,AC$13),15-13*ORÇAMENTO!$AF$7)*OFFSET(ORÇAMENTO!$W$15,ROW(AC242)-ROW(AC$15),0),15-13*ORÇAMENTO!$AF$11)),
         0)</f>
        <v>0</v>
      </c>
      <c r="AD242" s="454">
        <f ca="1">IF(AND($D242="Serviço",AD$12&lt;&gt;0,$H242&gt;0,OR(AUTOEVENTO&lt;&gt;"manual",$M242&lt;&gt;$A$15)),
        IF(Import.TipoArredondamento&lt;&gt;"TransfereGOV",
              ROUND(OFFSET($P242,0,AD$13),15-13*ORÇAMENTO!$AF$7)/$H242*OFFSET(ORÇAMENTO!$X$15,ROW(AD242)-ROW(AD$15),0),
              ROUND(ROUND(OFFSET($P242,0,AD$13),15-13*ORÇAMENTO!$AF$7)*OFFSET(ORÇAMENTO!$W$15,ROW(AD242)-ROW(AD$15),0),15-13*ORÇAMENTO!$AF$11)),
         0)</f>
        <v>0</v>
      </c>
      <c r="AE242" s="454">
        <f ca="1">IF(AND($D242="Serviço",AE$12&lt;&gt;0,$H242&gt;0,OR(AUTOEVENTO&lt;&gt;"manual",$M242&lt;&gt;$A$15)),
        IF(Import.TipoArredondamento&lt;&gt;"TransfereGOV",
              ROUND(OFFSET($P242,0,AE$13),15-13*ORÇAMENTO!$AF$7)/$H242*OFFSET(ORÇAMENTO!$X$15,ROW(AE242)-ROW(AE$15),0),
              ROUND(ROUND(OFFSET($P242,0,AE$13),15-13*ORÇAMENTO!$AF$7)*OFFSET(ORÇAMENTO!$W$15,ROW(AE242)-ROW(AE$15),0),15-13*ORÇAMENTO!$AF$11)),
         0)</f>
        <v>0</v>
      </c>
      <c r="AF242" s="454">
        <f ca="1">IF(AND($D242="Serviço",AF$12&lt;&gt;0,$H242&gt;0,OR(AUTOEVENTO&lt;&gt;"manual",$M242&lt;&gt;$A$15)),
        IF(Import.TipoArredondamento&lt;&gt;"TransfereGOV",
              ROUND(OFFSET($P242,0,AF$13),15-13*ORÇAMENTO!$AF$7)/$H242*OFFSET(ORÇAMENTO!$X$15,ROW(AF242)-ROW(AF$15),0),
              ROUND(ROUND(OFFSET($P242,0,AF$13),15-13*ORÇAMENTO!$AF$7)*OFFSET(ORÇAMENTO!$W$15,ROW(AF242)-ROW(AF$15),0),15-13*ORÇAMENTO!$AF$11)),
         0)</f>
        <v>0</v>
      </c>
      <c r="AG242" s="454">
        <f ca="1">IF(AND($D242="Serviço",AG$12&lt;&gt;0,$H242&gt;0,OR(AUTOEVENTO&lt;&gt;"manual",$M242&lt;&gt;$A$15)),
        IF(Import.TipoArredondamento&lt;&gt;"TransfereGOV",
              ROUND(OFFSET($P242,0,AG$13),15-13*ORÇAMENTO!$AF$7)/$H242*OFFSET(ORÇAMENTO!$X$15,ROW(AG242)-ROW(AG$15),0),
              ROUND(ROUND(OFFSET($P242,0,AG$13),15-13*ORÇAMENTO!$AF$7)*OFFSET(ORÇAMENTO!$W$15,ROW(AG242)-ROW(AG$15),0),15-13*ORÇAMENTO!$AF$11)),
         0)</f>
        <v>0</v>
      </c>
      <c r="AH242" s="454">
        <f ca="1">IF(AND($D242="Serviço",AH$12&lt;&gt;0,$H242&gt;0,OR(AUTOEVENTO&lt;&gt;"manual",$M242&lt;&gt;$A$15)),
        IF(Import.TipoArredondamento&lt;&gt;"TransfereGOV",
              ROUND(OFFSET($P242,0,AH$13),15-13*ORÇAMENTO!$AF$7)/$H242*OFFSET(ORÇAMENTO!$X$15,ROW(AH242)-ROW(AH$15),0),
              ROUND(ROUND(OFFSET($P242,0,AH$13),15-13*ORÇAMENTO!$AF$7)*OFFSET(ORÇAMENTO!$W$15,ROW(AH242)-ROW(AH$15),0),15-13*ORÇAMENTO!$AF$11)),
         0)</f>
        <v>0</v>
      </c>
      <c r="AI242" s="454">
        <f ca="1">IF(AND($D242="Serviço",AI$12&lt;&gt;0,$H242&gt;0,OR(AUTOEVENTO&lt;&gt;"manual",$M242&lt;&gt;$A$15)),
        IF(Import.TipoArredondamento&lt;&gt;"TransfereGOV",
              ROUND(OFFSET($P242,0,AI$13),15-13*ORÇAMENTO!$AF$7)/$H242*OFFSET(ORÇAMENTO!$X$15,ROW(AI242)-ROW(AI$15),0),
              ROUND(ROUND(OFFSET($P242,0,AI$13),15-13*ORÇAMENTO!$AF$7)*OFFSET(ORÇAMENTO!$W$15,ROW(AI242)-ROW(AI$15),0),15-13*ORÇAMENTO!$AF$11)),
         0)</f>
        <v>0</v>
      </c>
      <c r="AJ242" s="454">
        <f ca="1">IF(AND($D242="Serviço",AJ$12&lt;&gt;0,$H242&gt;0,OR(AUTOEVENTO&lt;&gt;"manual",$M242&lt;&gt;$A$15)),
        IF(Import.TipoArredondamento&lt;&gt;"TransfereGOV",
              ROUND(OFFSET($P242,0,AJ$13),15-13*ORÇAMENTO!$AF$7)/$H242*OFFSET(ORÇAMENTO!$X$15,ROW(AJ242)-ROW(AJ$15),0),
              ROUND(ROUND(OFFSET($P242,0,AJ$13),15-13*ORÇAMENTO!$AF$7)*OFFSET(ORÇAMENTO!$W$15,ROW(AJ242)-ROW(AJ$15),0),15-13*ORÇAMENTO!$AF$11)),
         0)</f>
        <v>0</v>
      </c>
      <c r="AK242" s="454">
        <f ca="1">IF(AND($D242="Serviço",AK$12&lt;&gt;0,$H242&gt;0,OR(AUTOEVENTO&lt;&gt;"manual",$M242&lt;&gt;$A$15)),
        IF(Import.TipoArredondamento&lt;&gt;"TransfereGOV",
              ROUND(OFFSET($P242,0,AK$13),15-13*ORÇAMENTO!$AF$7)/$H242*OFFSET(ORÇAMENTO!$X$15,ROW(AK242)-ROW(AK$15),0),
              ROUND(ROUND(OFFSET($P242,0,AK$13),15-13*ORÇAMENTO!$AF$7)*OFFSET(ORÇAMENTO!$W$15,ROW(AK242)-ROW(AK$15),0),15-13*ORÇAMENTO!$AF$11)),
         0)</f>
        <v>0</v>
      </c>
      <c r="AM242" s="172">
        <f ca="1">IF(OR($D242&lt;&gt;"Serviço",AND(AUTOEVENTO="Manual",$M242=$A$15)),0,
         IF(OFFSET(CRONOPLE!$F$15,$M242-$A$15,AM$13)="",10^12,OFFSET(CRONOPLE!$F$15,$M242-$A$15,AM$13)))</f>
        <v>1000000000000</v>
      </c>
      <c r="AN242" s="172">
        <f ca="1">IF(OR($D242&lt;&gt;"Serviço",AND(AUTOEVENTO="Manual",$M242=$A$15)),0,
         IF(OFFSET(CRONOPLE!$F$15,$M242-$A$15,AN$13)="",10^12,OFFSET(CRONOPLE!$F$15,$M242-$A$15,AN$13)))</f>
        <v>1000000000000</v>
      </c>
      <c r="AO242" s="172">
        <f ca="1">IF(OR($D242&lt;&gt;"Serviço",AND(AUTOEVENTO="Manual",$M242=$A$15)),0,
         IF(OFFSET(CRONOPLE!$F$15,$M242-$A$15,AO$13)="",10^12,OFFSET(CRONOPLE!$F$15,$M242-$A$15,AO$13)))</f>
        <v>1000000000000</v>
      </c>
      <c r="AP242" s="172">
        <f ca="1">IF(OR($D242&lt;&gt;"Serviço",AND(AUTOEVENTO="Manual",$M242=$A$15)),0,
         IF(OFFSET(CRONOPLE!$F$15,$M242-$A$15,AP$13)="",10^12,OFFSET(CRONOPLE!$F$15,$M242-$A$15,AP$13)))</f>
        <v>1000000000000</v>
      </c>
      <c r="AQ242" s="172">
        <f ca="1">IF(OR($D242&lt;&gt;"Serviço",AND(AUTOEVENTO="Manual",$M242=$A$15)),0,
         IF(OFFSET(CRONOPLE!$F$15,$M242-$A$15,AQ$13)="",10^12,OFFSET(CRONOPLE!$F$15,$M242-$A$15,AQ$13)))</f>
        <v>1000000000000</v>
      </c>
      <c r="AR242" s="172">
        <f ca="1">IF(OR($D242&lt;&gt;"Serviço",AND(AUTOEVENTO="Manual",$M242=$A$15)),0,
         IF(OFFSET(CRONOPLE!$F$15,$M242-$A$15,AR$13)="",10^12,OFFSET(CRONOPLE!$F$15,$M242-$A$15,AR$13)))</f>
        <v>1000000000000</v>
      </c>
      <c r="AS242" s="172">
        <f ca="1">IF(OR($D242&lt;&gt;"Serviço",AND(AUTOEVENTO="Manual",$M242=$A$15)),0,
         IF(OFFSET(CRONOPLE!$F$15,$M242-$A$15,AS$13)="",10^12,OFFSET(CRONOPLE!$F$15,$M242-$A$15,AS$13)))</f>
        <v>1000000000000</v>
      </c>
      <c r="AT242" s="172">
        <f ca="1">IF(OR($D242&lt;&gt;"Serviço",AND(AUTOEVENTO="Manual",$M242=$A$15)),0,
         IF(OFFSET(CRONOPLE!$F$15,$M242-$A$15,AT$13)="",10^12,OFFSET(CRONOPLE!$F$15,$M242-$A$15,AT$13)))</f>
        <v>1000000000000</v>
      </c>
      <c r="AU242" s="172">
        <f ca="1">IF(OR($D242&lt;&gt;"Serviço",AND(AUTOEVENTO="Manual",$M242=$A$15)),0,
         IF(OFFSET(CRONOPLE!$F$15,$M242-$A$15,AU$13)="",10^12,OFFSET(CRONOPLE!$F$15,$M242-$A$15,AU$13)))</f>
        <v>1000000000000</v>
      </c>
      <c r="AV242" s="172">
        <f ca="1">IF(OR($D242&lt;&gt;"Serviço",AND(AUTOEVENTO="Manual",$M242=$A$15)),0,
         IF(OFFSET(CRONOPLE!$F$15,$M242-$A$15,AV$13)="",10^12,OFFSET(CRONOPLE!$F$15,$M242-$A$15,AV$13)))</f>
        <v>1000000000000</v>
      </c>
      <c r="AX242" s="173">
        <f ca="1">IF(OR($D242&lt;&gt;"Serviço",AND(AUTOEVENTO="Manual",$M242=$A$15),$M242&gt;(ROW(PLE.lastrow)-ROW(PLE.firstrow))),0,
           IF(OFFSET(PLE!$G$15,$M242-$A$15,AX$13)="",10^12,OFFSET(PLE!$G$15,$M242-$A$15,AX$13)))</f>
        <v>1000000000000</v>
      </c>
      <c r="AY242" s="173">
        <f ca="1">IF(OR($D242&lt;&gt;"Serviço",AND(AUTOEVENTO="Manual",$M242=$A$15),$M242&gt;(ROW(PLE.lastrow)-ROW(PLE.firstrow))),0,
           IF(OFFSET(PLE!$G$15,$M242-$A$15,AY$13)="",10^12,OFFSET(PLE!$G$15,$M242-$A$15,AY$13)))</f>
        <v>1000000000000</v>
      </c>
      <c r="AZ242" s="173">
        <f ca="1">IF(OR($D242&lt;&gt;"Serviço",AND(AUTOEVENTO="Manual",$M242=$A$15),$M242&gt;(ROW(PLE.lastrow)-ROW(PLE.firstrow))),0,
           IF(OFFSET(PLE!$G$15,$M242-$A$15,AZ$13)="",10^12,OFFSET(PLE!$G$15,$M242-$A$15,AZ$13)))</f>
        <v>1000000000000</v>
      </c>
      <c r="BA242" s="173">
        <f ca="1">IF(OR($D242&lt;&gt;"Serviço",AND(AUTOEVENTO="Manual",$M242=$A$15),$M242&gt;(ROW(PLE.lastrow)-ROW(PLE.firstrow))),0,
           IF(OFFSET(PLE!$G$15,$M242-$A$15,BA$13)="",10^12,OFFSET(PLE!$G$15,$M242-$A$15,BA$13)))</f>
        <v>1000000000000</v>
      </c>
      <c r="BB242" s="173">
        <f ca="1">IF(OR($D242&lt;&gt;"Serviço",AND(AUTOEVENTO="Manual",$M242=$A$15),$M242&gt;(ROW(PLE.lastrow)-ROW(PLE.firstrow))),0,
           IF(OFFSET(PLE!$G$15,$M242-$A$15,BB$13)="",10^12,OFFSET(PLE!$G$15,$M242-$A$15,BB$13)))</f>
        <v>1000000000000</v>
      </c>
      <c r="BC242" s="173">
        <f ca="1">IF(OR($D242&lt;&gt;"Serviço",AND(AUTOEVENTO="Manual",$M242=$A$15),$M242&gt;(ROW(PLE.lastrow)-ROW(PLE.firstrow))),0,
           IF(OFFSET(PLE!$G$15,$M242-$A$15,BC$13)="",10^12,OFFSET(PLE!$G$15,$M242-$A$15,BC$13)))</f>
        <v>1000000000000</v>
      </c>
      <c r="BD242" s="173">
        <f ca="1">IF(OR($D242&lt;&gt;"Serviço",AND(AUTOEVENTO="Manual",$M242=$A$15),$M242&gt;(ROW(PLE.lastrow)-ROW(PLE.firstrow))),0,
           IF(OFFSET(PLE!$G$15,$M242-$A$15,BD$13)="",10^12,OFFSET(PLE!$G$15,$M242-$A$15,BD$13)))</f>
        <v>1000000000000</v>
      </c>
      <c r="BE242" s="173">
        <f ca="1">IF(OR($D242&lt;&gt;"Serviço",AND(AUTOEVENTO="Manual",$M242=$A$15),$M242&gt;(ROW(PLE.lastrow)-ROW(PLE.firstrow))),0,
           IF(OFFSET(PLE!$G$15,$M242-$A$15,BE$13)="",10^12,OFFSET(PLE!$G$15,$M242-$A$15,BE$13)))</f>
        <v>1000000000000</v>
      </c>
      <c r="BF242" s="173">
        <f ca="1">IF(OR($D242&lt;&gt;"Serviço",AND(AUTOEVENTO="Manual",$M242=$A$15),$M242&gt;(ROW(PLE.lastrow)-ROW(PLE.firstrow))),0,
           IF(OFFSET(PLE!$G$15,$M242-$A$15,BF$13)="",10^12,OFFSET(PLE!$G$15,$M242-$A$15,BF$13)))</f>
        <v>1000000000000</v>
      </c>
      <c r="BG242" s="173">
        <f ca="1">IF(OR($D242&lt;&gt;"Serviço",AND(AUTOEVENTO="Manual",$M242=$A$15),$M242&gt;(ROW(PLE.lastrow)-ROW(PLE.firstrow))),0,
           IF(OFFSET(PLE!$G$15,$M242-$A$15,BG$13)="",10^12,OFFSET(PLE!$G$15,$M242-$A$15,BG$13)))</f>
        <v>1000000000000</v>
      </c>
    </row>
    <row r="243" spans="1:59" ht="25.5" x14ac:dyDescent="0.2">
      <c r="A243" s="7" t="str">
        <f t="shared" ca="1" si="11"/>
        <v>210</v>
      </c>
      <c r="B243" s="7" t="str">
        <f ca="1">OFFSET(ORÇAMENTO!C$15,ROW(B243)-ROW(B$15),0)</f>
        <v>S</v>
      </c>
      <c r="C243" s="7" t="str">
        <f ca="1">OFFSET(ORÇAMENTO!L$15,ROW(C243)-ROW(C$15),0)</f>
        <v/>
      </c>
      <c r="D243" s="117" t="str">
        <f ca="1">OFFSET(ORÇAMENTO!N$15,ROW(D243)-ROW(D$15),0)</f>
        <v>Serviço</v>
      </c>
      <c r="E243" s="118" t="str">
        <f ca="1">OFFSET(ORÇAMENTO!O$15,ROW(E243)-ROW(E$15),0)</f>
        <v>-</v>
      </c>
      <c r="F243" s="164" t="str">
        <f ca="1">OFFSET(ORÇAMENTO!R$15,ROW(F243)-ROW(F$15),0)</f>
        <v>BARRA DE APOIO RETA, EM ALUMINIO, COMPRIMENTO 40 CM,  FIXADA NA PAREDE - FORNECIMENTO E INSTALAÇÃO</v>
      </c>
      <c r="G243" s="165" t="str">
        <f ca="1">IF($D243&lt;&gt;"Serviço","",OFFSET(ORÇAMENTO!S$15,ROW(G243)-ROW(G$15),0))</f>
        <v xml:space="preserve">UN    </v>
      </c>
      <c r="H243" s="123">
        <f ca="1">IF($D243&lt;&gt;"Serviço",0,IF(ACOMPANHAMENTO="BM",ROUND(OFFSET(ORÇAMENTO!AJ$15,ROW(H243)-ROW(H$15),0),15-13*ORÇAMENTO!$AF$7),SUMPRODUCT(($Q$1:$AA$1=1)*ROUND($Q243:$AA243,15-13*ORÇAMENTO!$AF$7))))</f>
        <v>12</v>
      </c>
      <c r="I243" s="469"/>
      <c r="J243" s="577" t="str" cm="1">
        <f t="array" aca="1" ref="J243" ca="1">IF(B243&lt;&gt;"S","",IF(AND(ACOMPANHAMENTO="PLE",AUTOEVENTO="Manual",OR(H243&gt;0,ORÇAMENTO!AC243="QUANT."),OR(K243="",M243=0,N243="")),"►",IF(AND(ACOMPANHAMENTO="PLE",ORÇAMENTO!AC243="QUANT."),"►►",IF(AND(COUNTIF($P$11:$AA$11,"▼")=0,H243&gt;0,I243=""),"◄",""))))</f>
        <v>◄</v>
      </c>
      <c r="K243" s="626"/>
      <c r="L243" s="166" t="s">
        <v>765</v>
      </c>
      <c r="M243" s="167">
        <f ca="1">IF($D243&lt;&gt;"Serviço","",
          IF(AUTOEVENTO="manual",$A243,
                IF(ISERROR(MATCH($A243,$A$15:OFFSET($A243,-1,0),0)),MAX($M$15:OFFSET(M243,-1,0))+1,
                      INDEX($M$15:OFFSET(M243,-1,0),MATCH($A243,$A$15:OFFSET($A243,-1,0),0)))))</f>
        <v>13</v>
      </c>
      <c r="N243" s="168" t="str">
        <f ca="1">IF($D243&lt;&gt;"Serviço","",
         IF(AUTOEVENTO="Manual",
                IF($A243=0,"&lt;-- defina o número do agrupador",
                       OFFSET(EVENTOS!$D$15,$A243-$A$15,0)),
                OFFSET($F$15,$A243,0)))</f>
        <v>LOUÇAS E ACESSÓRIOS</v>
      </c>
      <c r="O243" s="169"/>
      <c r="Q243" s="169"/>
      <c r="R243" s="170"/>
      <c r="S243" s="170"/>
      <c r="T243" s="170"/>
      <c r="U243" s="170"/>
      <c r="V243" s="170"/>
      <c r="W243" s="170"/>
      <c r="X243" s="170"/>
      <c r="Y243" s="170"/>
      <c r="Z243" s="171"/>
      <c r="AB243" s="454">
        <f ca="1">IF(AND($D243="Serviço",AB$12&lt;&gt;0,$H243&gt;0,OR(AUTOEVENTO&lt;&gt;"manual",$M243&lt;&gt;$A$15)),
        IF(Import.TipoArredondamento&lt;&gt;"TransfereGOV",
              ROUND(OFFSET($P243,0,AB$13),15-13*ORÇAMENTO!$AF$7)/$H243*OFFSET(ORÇAMENTO!$X$15,ROW(AB243)-ROW(AB$15),0),
              ROUND(ROUND(OFFSET($P243,0,AB$13),15-13*ORÇAMENTO!$AF$7)*OFFSET(ORÇAMENTO!$W$15,ROW(AB243)-ROW(AB$15),0),15-13*ORÇAMENTO!$AF$11)),
         0)</f>
        <v>0</v>
      </c>
      <c r="AC243" s="454">
        <f ca="1">IF(AND($D243="Serviço",AC$12&lt;&gt;0,$H243&gt;0,OR(AUTOEVENTO&lt;&gt;"manual",$M243&lt;&gt;$A$15)),
        IF(Import.TipoArredondamento&lt;&gt;"TransfereGOV",
              ROUND(OFFSET($P243,0,AC$13),15-13*ORÇAMENTO!$AF$7)/$H243*OFFSET(ORÇAMENTO!$X$15,ROW(AC243)-ROW(AC$15),0),
              ROUND(ROUND(OFFSET($P243,0,AC$13),15-13*ORÇAMENTO!$AF$7)*OFFSET(ORÇAMENTO!$W$15,ROW(AC243)-ROW(AC$15),0),15-13*ORÇAMENTO!$AF$11)),
         0)</f>
        <v>0</v>
      </c>
      <c r="AD243" s="454">
        <f ca="1">IF(AND($D243="Serviço",AD$12&lt;&gt;0,$H243&gt;0,OR(AUTOEVENTO&lt;&gt;"manual",$M243&lt;&gt;$A$15)),
        IF(Import.TipoArredondamento&lt;&gt;"TransfereGOV",
              ROUND(OFFSET($P243,0,AD$13),15-13*ORÇAMENTO!$AF$7)/$H243*OFFSET(ORÇAMENTO!$X$15,ROW(AD243)-ROW(AD$15),0),
              ROUND(ROUND(OFFSET($P243,0,AD$13),15-13*ORÇAMENTO!$AF$7)*OFFSET(ORÇAMENTO!$W$15,ROW(AD243)-ROW(AD$15),0),15-13*ORÇAMENTO!$AF$11)),
         0)</f>
        <v>0</v>
      </c>
      <c r="AE243" s="454">
        <f ca="1">IF(AND($D243="Serviço",AE$12&lt;&gt;0,$H243&gt;0,OR(AUTOEVENTO&lt;&gt;"manual",$M243&lt;&gt;$A$15)),
        IF(Import.TipoArredondamento&lt;&gt;"TransfereGOV",
              ROUND(OFFSET($P243,0,AE$13),15-13*ORÇAMENTO!$AF$7)/$H243*OFFSET(ORÇAMENTO!$X$15,ROW(AE243)-ROW(AE$15),0),
              ROUND(ROUND(OFFSET($P243,0,AE$13),15-13*ORÇAMENTO!$AF$7)*OFFSET(ORÇAMENTO!$W$15,ROW(AE243)-ROW(AE$15),0),15-13*ORÇAMENTO!$AF$11)),
         0)</f>
        <v>0</v>
      </c>
      <c r="AF243" s="454">
        <f ca="1">IF(AND($D243="Serviço",AF$12&lt;&gt;0,$H243&gt;0,OR(AUTOEVENTO&lt;&gt;"manual",$M243&lt;&gt;$A$15)),
        IF(Import.TipoArredondamento&lt;&gt;"TransfereGOV",
              ROUND(OFFSET($P243,0,AF$13),15-13*ORÇAMENTO!$AF$7)/$H243*OFFSET(ORÇAMENTO!$X$15,ROW(AF243)-ROW(AF$15),0),
              ROUND(ROUND(OFFSET($P243,0,AF$13),15-13*ORÇAMENTO!$AF$7)*OFFSET(ORÇAMENTO!$W$15,ROW(AF243)-ROW(AF$15),0),15-13*ORÇAMENTO!$AF$11)),
         0)</f>
        <v>0</v>
      </c>
      <c r="AG243" s="454">
        <f ca="1">IF(AND($D243="Serviço",AG$12&lt;&gt;0,$H243&gt;0,OR(AUTOEVENTO&lt;&gt;"manual",$M243&lt;&gt;$A$15)),
        IF(Import.TipoArredondamento&lt;&gt;"TransfereGOV",
              ROUND(OFFSET($P243,0,AG$13),15-13*ORÇAMENTO!$AF$7)/$H243*OFFSET(ORÇAMENTO!$X$15,ROW(AG243)-ROW(AG$15),0),
              ROUND(ROUND(OFFSET($P243,0,AG$13),15-13*ORÇAMENTO!$AF$7)*OFFSET(ORÇAMENTO!$W$15,ROW(AG243)-ROW(AG$15),0),15-13*ORÇAMENTO!$AF$11)),
         0)</f>
        <v>0</v>
      </c>
      <c r="AH243" s="454">
        <f ca="1">IF(AND($D243="Serviço",AH$12&lt;&gt;0,$H243&gt;0,OR(AUTOEVENTO&lt;&gt;"manual",$M243&lt;&gt;$A$15)),
        IF(Import.TipoArredondamento&lt;&gt;"TransfereGOV",
              ROUND(OFFSET($P243,0,AH$13),15-13*ORÇAMENTO!$AF$7)/$H243*OFFSET(ORÇAMENTO!$X$15,ROW(AH243)-ROW(AH$15),0),
              ROUND(ROUND(OFFSET($P243,0,AH$13),15-13*ORÇAMENTO!$AF$7)*OFFSET(ORÇAMENTO!$W$15,ROW(AH243)-ROW(AH$15),0),15-13*ORÇAMENTO!$AF$11)),
         0)</f>
        <v>0</v>
      </c>
      <c r="AI243" s="454">
        <f ca="1">IF(AND($D243="Serviço",AI$12&lt;&gt;0,$H243&gt;0,OR(AUTOEVENTO&lt;&gt;"manual",$M243&lt;&gt;$A$15)),
        IF(Import.TipoArredondamento&lt;&gt;"TransfereGOV",
              ROUND(OFFSET($P243,0,AI$13),15-13*ORÇAMENTO!$AF$7)/$H243*OFFSET(ORÇAMENTO!$X$15,ROW(AI243)-ROW(AI$15),0),
              ROUND(ROUND(OFFSET($P243,0,AI$13),15-13*ORÇAMENTO!$AF$7)*OFFSET(ORÇAMENTO!$W$15,ROW(AI243)-ROW(AI$15),0),15-13*ORÇAMENTO!$AF$11)),
         0)</f>
        <v>0</v>
      </c>
      <c r="AJ243" s="454">
        <f ca="1">IF(AND($D243="Serviço",AJ$12&lt;&gt;0,$H243&gt;0,OR(AUTOEVENTO&lt;&gt;"manual",$M243&lt;&gt;$A$15)),
        IF(Import.TipoArredondamento&lt;&gt;"TransfereGOV",
              ROUND(OFFSET($P243,0,AJ$13),15-13*ORÇAMENTO!$AF$7)/$H243*OFFSET(ORÇAMENTO!$X$15,ROW(AJ243)-ROW(AJ$15),0),
              ROUND(ROUND(OFFSET($P243,0,AJ$13),15-13*ORÇAMENTO!$AF$7)*OFFSET(ORÇAMENTO!$W$15,ROW(AJ243)-ROW(AJ$15),0),15-13*ORÇAMENTO!$AF$11)),
         0)</f>
        <v>0</v>
      </c>
      <c r="AK243" s="454">
        <f ca="1">IF(AND($D243="Serviço",AK$12&lt;&gt;0,$H243&gt;0,OR(AUTOEVENTO&lt;&gt;"manual",$M243&lt;&gt;$A$15)),
        IF(Import.TipoArredondamento&lt;&gt;"TransfereGOV",
              ROUND(OFFSET($P243,0,AK$13),15-13*ORÇAMENTO!$AF$7)/$H243*OFFSET(ORÇAMENTO!$X$15,ROW(AK243)-ROW(AK$15),0),
              ROUND(ROUND(OFFSET($P243,0,AK$13),15-13*ORÇAMENTO!$AF$7)*OFFSET(ORÇAMENTO!$W$15,ROW(AK243)-ROW(AK$15),0),15-13*ORÇAMENTO!$AF$11)),
         0)</f>
        <v>0</v>
      </c>
      <c r="AM243" s="172">
        <f ca="1">IF(OR($D243&lt;&gt;"Serviço",AND(AUTOEVENTO="Manual",$M243=$A$15)),0,
         IF(OFFSET(CRONOPLE!$F$15,$M243-$A$15,AM$13)="",10^12,OFFSET(CRONOPLE!$F$15,$M243-$A$15,AM$13)))</f>
        <v>1000000000000</v>
      </c>
      <c r="AN243" s="172">
        <f ca="1">IF(OR($D243&lt;&gt;"Serviço",AND(AUTOEVENTO="Manual",$M243=$A$15)),0,
         IF(OFFSET(CRONOPLE!$F$15,$M243-$A$15,AN$13)="",10^12,OFFSET(CRONOPLE!$F$15,$M243-$A$15,AN$13)))</f>
        <v>1000000000000</v>
      </c>
      <c r="AO243" s="172">
        <f ca="1">IF(OR($D243&lt;&gt;"Serviço",AND(AUTOEVENTO="Manual",$M243=$A$15)),0,
         IF(OFFSET(CRONOPLE!$F$15,$M243-$A$15,AO$13)="",10^12,OFFSET(CRONOPLE!$F$15,$M243-$A$15,AO$13)))</f>
        <v>1000000000000</v>
      </c>
      <c r="AP243" s="172">
        <f ca="1">IF(OR($D243&lt;&gt;"Serviço",AND(AUTOEVENTO="Manual",$M243=$A$15)),0,
         IF(OFFSET(CRONOPLE!$F$15,$M243-$A$15,AP$13)="",10^12,OFFSET(CRONOPLE!$F$15,$M243-$A$15,AP$13)))</f>
        <v>1000000000000</v>
      </c>
      <c r="AQ243" s="172">
        <f ca="1">IF(OR($D243&lt;&gt;"Serviço",AND(AUTOEVENTO="Manual",$M243=$A$15)),0,
         IF(OFFSET(CRONOPLE!$F$15,$M243-$A$15,AQ$13)="",10^12,OFFSET(CRONOPLE!$F$15,$M243-$A$15,AQ$13)))</f>
        <v>1000000000000</v>
      </c>
      <c r="AR243" s="172">
        <f ca="1">IF(OR($D243&lt;&gt;"Serviço",AND(AUTOEVENTO="Manual",$M243=$A$15)),0,
         IF(OFFSET(CRONOPLE!$F$15,$M243-$A$15,AR$13)="",10^12,OFFSET(CRONOPLE!$F$15,$M243-$A$15,AR$13)))</f>
        <v>1000000000000</v>
      </c>
      <c r="AS243" s="172">
        <f ca="1">IF(OR($D243&lt;&gt;"Serviço",AND(AUTOEVENTO="Manual",$M243=$A$15)),0,
         IF(OFFSET(CRONOPLE!$F$15,$M243-$A$15,AS$13)="",10^12,OFFSET(CRONOPLE!$F$15,$M243-$A$15,AS$13)))</f>
        <v>1000000000000</v>
      </c>
      <c r="AT243" s="172">
        <f ca="1">IF(OR($D243&lt;&gt;"Serviço",AND(AUTOEVENTO="Manual",$M243=$A$15)),0,
         IF(OFFSET(CRONOPLE!$F$15,$M243-$A$15,AT$13)="",10^12,OFFSET(CRONOPLE!$F$15,$M243-$A$15,AT$13)))</f>
        <v>1000000000000</v>
      </c>
      <c r="AU243" s="172">
        <f ca="1">IF(OR($D243&lt;&gt;"Serviço",AND(AUTOEVENTO="Manual",$M243=$A$15)),0,
         IF(OFFSET(CRONOPLE!$F$15,$M243-$A$15,AU$13)="",10^12,OFFSET(CRONOPLE!$F$15,$M243-$A$15,AU$13)))</f>
        <v>1000000000000</v>
      </c>
      <c r="AV243" s="172">
        <f ca="1">IF(OR($D243&lt;&gt;"Serviço",AND(AUTOEVENTO="Manual",$M243=$A$15)),0,
         IF(OFFSET(CRONOPLE!$F$15,$M243-$A$15,AV$13)="",10^12,OFFSET(CRONOPLE!$F$15,$M243-$A$15,AV$13)))</f>
        <v>1000000000000</v>
      </c>
      <c r="AX243" s="173">
        <f ca="1">IF(OR($D243&lt;&gt;"Serviço",AND(AUTOEVENTO="Manual",$M243=$A$15),$M243&gt;(ROW(PLE.lastrow)-ROW(PLE.firstrow))),0,
           IF(OFFSET(PLE!$G$15,$M243-$A$15,AX$13)="",10^12,OFFSET(PLE!$G$15,$M243-$A$15,AX$13)))</f>
        <v>1000000000000</v>
      </c>
      <c r="AY243" s="173">
        <f ca="1">IF(OR($D243&lt;&gt;"Serviço",AND(AUTOEVENTO="Manual",$M243=$A$15),$M243&gt;(ROW(PLE.lastrow)-ROW(PLE.firstrow))),0,
           IF(OFFSET(PLE!$G$15,$M243-$A$15,AY$13)="",10^12,OFFSET(PLE!$G$15,$M243-$A$15,AY$13)))</f>
        <v>1000000000000</v>
      </c>
      <c r="AZ243" s="173">
        <f ca="1">IF(OR($D243&lt;&gt;"Serviço",AND(AUTOEVENTO="Manual",$M243=$A$15),$M243&gt;(ROW(PLE.lastrow)-ROW(PLE.firstrow))),0,
           IF(OFFSET(PLE!$G$15,$M243-$A$15,AZ$13)="",10^12,OFFSET(PLE!$G$15,$M243-$A$15,AZ$13)))</f>
        <v>1000000000000</v>
      </c>
      <c r="BA243" s="173">
        <f ca="1">IF(OR($D243&lt;&gt;"Serviço",AND(AUTOEVENTO="Manual",$M243=$A$15),$M243&gt;(ROW(PLE.lastrow)-ROW(PLE.firstrow))),0,
           IF(OFFSET(PLE!$G$15,$M243-$A$15,BA$13)="",10^12,OFFSET(PLE!$G$15,$M243-$A$15,BA$13)))</f>
        <v>1000000000000</v>
      </c>
      <c r="BB243" s="173">
        <f ca="1">IF(OR($D243&lt;&gt;"Serviço",AND(AUTOEVENTO="Manual",$M243=$A$15),$M243&gt;(ROW(PLE.lastrow)-ROW(PLE.firstrow))),0,
           IF(OFFSET(PLE!$G$15,$M243-$A$15,BB$13)="",10^12,OFFSET(PLE!$G$15,$M243-$A$15,BB$13)))</f>
        <v>1000000000000</v>
      </c>
      <c r="BC243" s="173">
        <f ca="1">IF(OR($D243&lt;&gt;"Serviço",AND(AUTOEVENTO="Manual",$M243=$A$15),$M243&gt;(ROW(PLE.lastrow)-ROW(PLE.firstrow))),0,
           IF(OFFSET(PLE!$G$15,$M243-$A$15,BC$13)="",10^12,OFFSET(PLE!$G$15,$M243-$A$15,BC$13)))</f>
        <v>1000000000000</v>
      </c>
      <c r="BD243" s="173">
        <f ca="1">IF(OR($D243&lt;&gt;"Serviço",AND(AUTOEVENTO="Manual",$M243=$A$15),$M243&gt;(ROW(PLE.lastrow)-ROW(PLE.firstrow))),0,
           IF(OFFSET(PLE!$G$15,$M243-$A$15,BD$13)="",10^12,OFFSET(PLE!$G$15,$M243-$A$15,BD$13)))</f>
        <v>1000000000000</v>
      </c>
      <c r="BE243" s="173">
        <f ca="1">IF(OR($D243&lt;&gt;"Serviço",AND(AUTOEVENTO="Manual",$M243=$A$15),$M243&gt;(ROW(PLE.lastrow)-ROW(PLE.firstrow))),0,
           IF(OFFSET(PLE!$G$15,$M243-$A$15,BE$13)="",10^12,OFFSET(PLE!$G$15,$M243-$A$15,BE$13)))</f>
        <v>1000000000000</v>
      </c>
      <c r="BF243" s="173">
        <f ca="1">IF(OR($D243&lt;&gt;"Serviço",AND(AUTOEVENTO="Manual",$M243=$A$15),$M243&gt;(ROW(PLE.lastrow)-ROW(PLE.firstrow))),0,
           IF(OFFSET(PLE!$G$15,$M243-$A$15,BF$13)="",10^12,OFFSET(PLE!$G$15,$M243-$A$15,BF$13)))</f>
        <v>1000000000000</v>
      </c>
      <c r="BG243" s="173">
        <f ca="1">IF(OR($D243&lt;&gt;"Serviço",AND(AUTOEVENTO="Manual",$M243=$A$15),$M243&gt;(ROW(PLE.lastrow)-ROW(PLE.firstrow))),0,
           IF(OFFSET(PLE!$G$15,$M243-$A$15,BG$13)="",10^12,OFFSET(PLE!$G$15,$M243-$A$15,BG$13)))</f>
        <v>1000000000000</v>
      </c>
    </row>
    <row r="244" spans="1:59" ht="25.5" x14ac:dyDescent="0.2">
      <c r="A244" s="7" t="str">
        <f t="shared" ca="1" si="11"/>
        <v>210</v>
      </c>
      <c r="B244" s="7" t="str">
        <f ca="1">OFFSET(ORÇAMENTO!C$15,ROW(B244)-ROW(B$15),0)</f>
        <v>S</v>
      </c>
      <c r="C244" s="7" t="str">
        <f ca="1">OFFSET(ORÇAMENTO!L$15,ROW(C244)-ROW(C$15),0)</f>
        <v/>
      </c>
      <c r="D244" s="117" t="str">
        <f ca="1">OFFSET(ORÇAMENTO!N$15,ROW(D244)-ROW(D$15),0)</f>
        <v>Serviço</v>
      </c>
      <c r="E244" s="118" t="str">
        <f ca="1">OFFSET(ORÇAMENTO!O$15,ROW(E244)-ROW(E$15),0)</f>
        <v>-</v>
      </c>
      <c r="F244" s="164" t="str">
        <f ca="1">OFFSET(ORÇAMENTO!R$15,ROW(F244)-ROW(F$15),0)</f>
        <v>BARRA DE APOIO EM "L", EM ALUMÍNIO 70 X 70 CM, FIXADA NA PAREDE - FORNECIMENTO E INSTALACAO.</v>
      </c>
      <c r="G244" s="165" t="str">
        <f ca="1">IF($D244&lt;&gt;"Serviço","",OFFSET(ORÇAMENTO!S$15,ROW(G244)-ROW(G$15),0))</f>
        <v xml:space="preserve">UN    </v>
      </c>
      <c r="H244" s="123">
        <f ca="1">IF($D244&lt;&gt;"Serviço",0,IF(ACOMPANHAMENTO="BM",ROUND(OFFSET(ORÇAMENTO!AJ$15,ROW(H244)-ROW(H$15),0),15-13*ORÇAMENTO!$AF$7),SUMPRODUCT(($Q$1:$AA$1=1)*ROUND($Q244:$AA244,15-13*ORÇAMENTO!$AF$7))))</f>
        <v>2</v>
      </c>
      <c r="I244" s="469"/>
      <c r="J244" s="577" t="str" cm="1">
        <f t="array" aca="1" ref="J244" ca="1">IF(B244&lt;&gt;"S","",IF(AND(ACOMPANHAMENTO="PLE",AUTOEVENTO="Manual",OR(H244&gt;0,ORÇAMENTO!AC244="QUANT."),OR(K244="",M244=0,N244="")),"►",IF(AND(ACOMPANHAMENTO="PLE",ORÇAMENTO!AC244="QUANT."),"►►",IF(AND(COUNTIF($P$11:$AA$11,"▼")=0,H244&gt;0,I244=""),"◄",""))))</f>
        <v>◄</v>
      </c>
      <c r="K244" s="626"/>
      <c r="L244" s="166" t="s">
        <v>765</v>
      </c>
      <c r="M244" s="167">
        <f ca="1">IF($D244&lt;&gt;"Serviço","",
          IF(AUTOEVENTO="manual",$A244,
                IF(ISERROR(MATCH($A244,$A$15:OFFSET($A244,-1,0),0)),MAX($M$15:OFFSET(M244,-1,0))+1,
                      INDEX($M$15:OFFSET(M244,-1,0),MATCH($A244,$A$15:OFFSET($A244,-1,0),0)))))</f>
        <v>13</v>
      </c>
      <c r="N244" s="168" t="str">
        <f ca="1">IF($D244&lt;&gt;"Serviço","",
         IF(AUTOEVENTO="Manual",
                IF($A244=0,"&lt;-- defina o número do agrupador",
                       OFFSET(EVENTOS!$D$15,$A244-$A$15,0)),
                OFFSET($F$15,$A244,0)))</f>
        <v>LOUÇAS E ACESSÓRIOS</v>
      </c>
      <c r="O244" s="169"/>
      <c r="Q244" s="169"/>
      <c r="R244" s="170"/>
      <c r="S244" s="170"/>
      <c r="T244" s="170"/>
      <c r="U244" s="170"/>
      <c r="V244" s="170"/>
      <c r="W244" s="170"/>
      <c r="X244" s="170"/>
      <c r="Y244" s="170"/>
      <c r="Z244" s="171"/>
      <c r="AB244" s="454">
        <f ca="1">IF(AND($D244="Serviço",AB$12&lt;&gt;0,$H244&gt;0,OR(AUTOEVENTO&lt;&gt;"manual",$M244&lt;&gt;$A$15)),
        IF(Import.TipoArredondamento&lt;&gt;"TransfereGOV",
              ROUND(OFFSET($P244,0,AB$13),15-13*ORÇAMENTO!$AF$7)/$H244*OFFSET(ORÇAMENTO!$X$15,ROW(AB244)-ROW(AB$15),0),
              ROUND(ROUND(OFFSET($P244,0,AB$13),15-13*ORÇAMENTO!$AF$7)*OFFSET(ORÇAMENTO!$W$15,ROW(AB244)-ROW(AB$15),0),15-13*ORÇAMENTO!$AF$11)),
         0)</f>
        <v>0</v>
      </c>
      <c r="AC244" s="454">
        <f ca="1">IF(AND($D244="Serviço",AC$12&lt;&gt;0,$H244&gt;0,OR(AUTOEVENTO&lt;&gt;"manual",$M244&lt;&gt;$A$15)),
        IF(Import.TipoArredondamento&lt;&gt;"TransfereGOV",
              ROUND(OFFSET($P244,0,AC$13),15-13*ORÇAMENTO!$AF$7)/$H244*OFFSET(ORÇAMENTO!$X$15,ROW(AC244)-ROW(AC$15),0),
              ROUND(ROUND(OFFSET($P244,0,AC$13),15-13*ORÇAMENTO!$AF$7)*OFFSET(ORÇAMENTO!$W$15,ROW(AC244)-ROW(AC$15),0),15-13*ORÇAMENTO!$AF$11)),
         0)</f>
        <v>0</v>
      </c>
      <c r="AD244" s="454">
        <f ca="1">IF(AND($D244="Serviço",AD$12&lt;&gt;0,$H244&gt;0,OR(AUTOEVENTO&lt;&gt;"manual",$M244&lt;&gt;$A$15)),
        IF(Import.TipoArredondamento&lt;&gt;"TransfereGOV",
              ROUND(OFFSET($P244,0,AD$13),15-13*ORÇAMENTO!$AF$7)/$H244*OFFSET(ORÇAMENTO!$X$15,ROW(AD244)-ROW(AD$15),0),
              ROUND(ROUND(OFFSET($P244,0,AD$13),15-13*ORÇAMENTO!$AF$7)*OFFSET(ORÇAMENTO!$W$15,ROW(AD244)-ROW(AD$15),0),15-13*ORÇAMENTO!$AF$11)),
         0)</f>
        <v>0</v>
      </c>
      <c r="AE244" s="454">
        <f ca="1">IF(AND($D244="Serviço",AE$12&lt;&gt;0,$H244&gt;0,OR(AUTOEVENTO&lt;&gt;"manual",$M244&lt;&gt;$A$15)),
        IF(Import.TipoArredondamento&lt;&gt;"TransfereGOV",
              ROUND(OFFSET($P244,0,AE$13),15-13*ORÇAMENTO!$AF$7)/$H244*OFFSET(ORÇAMENTO!$X$15,ROW(AE244)-ROW(AE$15),0),
              ROUND(ROUND(OFFSET($P244,0,AE$13),15-13*ORÇAMENTO!$AF$7)*OFFSET(ORÇAMENTO!$W$15,ROW(AE244)-ROW(AE$15),0),15-13*ORÇAMENTO!$AF$11)),
         0)</f>
        <v>0</v>
      </c>
      <c r="AF244" s="454">
        <f ca="1">IF(AND($D244="Serviço",AF$12&lt;&gt;0,$H244&gt;0,OR(AUTOEVENTO&lt;&gt;"manual",$M244&lt;&gt;$A$15)),
        IF(Import.TipoArredondamento&lt;&gt;"TransfereGOV",
              ROUND(OFFSET($P244,0,AF$13),15-13*ORÇAMENTO!$AF$7)/$H244*OFFSET(ORÇAMENTO!$X$15,ROW(AF244)-ROW(AF$15),0),
              ROUND(ROUND(OFFSET($P244,0,AF$13),15-13*ORÇAMENTO!$AF$7)*OFFSET(ORÇAMENTO!$W$15,ROW(AF244)-ROW(AF$15),0),15-13*ORÇAMENTO!$AF$11)),
         0)</f>
        <v>0</v>
      </c>
      <c r="AG244" s="454">
        <f ca="1">IF(AND($D244="Serviço",AG$12&lt;&gt;0,$H244&gt;0,OR(AUTOEVENTO&lt;&gt;"manual",$M244&lt;&gt;$A$15)),
        IF(Import.TipoArredondamento&lt;&gt;"TransfereGOV",
              ROUND(OFFSET($P244,0,AG$13),15-13*ORÇAMENTO!$AF$7)/$H244*OFFSET(ORÇAMENTO!$X$15,ROW(AG244)-ROW(AG$15),0),
              ROUND(ROUND(OFFSET($P244,0,AG$13),15-13*ORÇAMENTO!$AF$7)*OFFSET(ORÇAMENTO!$W$15,ROW(AG244)-ROW(AG$15),0),15-13*ORÇAMENTO!$AF$11)),
         0)</f>
        <v>0</v>
      </c>
      <c r="AH244" s="454">
        <f ca="1">IF(AND($D244="Serviço",AH$12&lt;&gt;0,$H244&gt;0,OR(AUTOEVENTO&lt;&gt;"manual",$M244&lt;&gt;$A$15)),
        IF(Import.TipoArredondamento&lt;&gt;"TransfereGOV",
              ROUND(OFFSET($P244,0,AH$13),15-13*ORÇAMENTO!$AF$7)/$H244*OFFSET(ORÇAMENTO!$X$15,ROW(AH244)-ROW(AH$15),0),
              ROUND(ROUND(OFFSET($P244,0,AH$13),15-13*ORÇAMENTO!$AF$7)*OFFSET(ORÇAMENTO!$W$15,ROW(AH244)-ROW(AH$15),0),15-13*ORÇAMENTO!$AF$11)),
         0)</f>
        <v>0</v>
      </c>
      <c r="AI244" s="454">
        <f ca="1">IF(AND($D244="Serviço",AI$12&lt;&gt;0,$H244&gt;0,OR(AUTOEVENTO&lt;&gt;"manual",$M244&lt;&gt;$A$15)),
        IF(Import.TipoArredondamento&lt;&gt;"TransfereGOV",
              ROUND(OFFSET($P244,0,AI$13),15-13*ORÇAMENTO!$AF$7)/$H244*OFFSET(ORÇAMENTO!$X$15,ROW(AI244)-ROW(AI$15),0),
              ROUND(ROUND(OFFSET($P244,0,AI$13),15-13*ORÇAMENTO!$AF$7)*OFFSET(ORÇAMENTO!$W$15,ROW(AI244)-ROW(AI$15),0),15-13*ORÇAMENTO!$AF$11)),
         0)</f>
        <v>0</v>
      </c>
      <c r="AJ244" s="454">
        <f ca="1">IF(AND($D244="Serviço",AJ$12&lt;&gt;0,$H244&gt;0,OR(AUTOEVENTO&lt;&gt;"manual",$M244&lt;&gt;$A$15)),
        IF(Import.TipoArredondamento&lt;&gt;"TransfereGOV",
              ROUND(OFFSET($P244,0,AJ$13),15-13*ORÇAMENTO!$AF$7)/$H244*OFFSET(ORÇAMENTO!$X$15,ROW(AJ244)-ROW(AJ$15),0),
              ROUND(ROUND(OFFSET($P244,0,AJ$13),15-13*ORÇAMENTO!$AF$7)*OFFSET(ORÇAMENTO!$W$15,ROW(AJ244)-ROW(AJ$15),0),15-13*ORÇAMENTO!$AF$11)),
         0)</f>
        <v>0</v>
      </c>
      <c r="AK244" s="454">
        <f ca="1">IF(AND($D244="Serviço",AK$12&lt;&gt;0,$H244&gt;0,OR(AUTOEVENTO&lt;&gt;"manual",$M244&lt;&gt;$A$15)),
        IF(Import.TipoArredondamento&lt;&gt;"TransfereGOV",
              ROUND(OFFSET($P244,0,AK$13),15-13*ORÇAMENTO!$AF$7)/$H244*OFFSET(ORÇAMENTO!$X$15,ROW(AK244)-ROW(AK$15),0),
              ROUND(ROUND(OFFSET($P244,0,AK$13),15-13*ORÇAMENTO!$AF$7)*OFFSET(ORÇAMENTO!$W$15,ROW(AK244)-ROW(AK$15),0),15-13*ORÇAMENTO!$AF$11)),
         0)</f>
        <v>0</v>
      </c>
      <c r="AM244" s="172">
        <f ca="1">IF(OR($D244&lt;&gt;"Serviço",AND(AUTOEVENTO="Manual",$M244=$A$15)),0,
         IF(OFFSET(CRONOPLE!$F$15,$M244-$A$15,AM$13)="",10^12,OFFSET(CRONOPLE!$F$15,$M244-$A$15,AM$13)))</f>
        <v>1000000000000</v>
      </c>
      <c r="AN244" s="172">
        <f ca="1">IF(OR($D244&lt;&gt;"Serviço",AND(AUTOEVENTO="Manual",$M244=$A$15)),0,
         IF(OFFSET(CRONOPLE!$F$15,$M244-$A$15,AN$13)="",10^12,OFFSET(CRONOPLE!$F$15,$M244-$A$15,AN$13)))</f>
        <v>1000000000000</v>
      </c>
      <c r="AO244" s="172">
        <f ca="1">IF(OR($D244&lt;&gt;"Serviço",AND(AUTOEVENTO="Manual",$M244=$A$15)),0,
         IF(OFFSET(CRONOPLE!$F$15,$M244-$A$15,AO$13)="",10^12,OFFSET(CRONOPLE!$F$15,$M244-$A$15,AO$13)))</f>
        <v>1000000000000</v>
      </c>
      <c r="AP244" s="172">
        <f ca="1">IF(OR($D244&lt;&gt;"Serviço",AND(AUTOEVENTO="Manual",$M244=$A$15)),0,
         IF(OFFSET(CRONOPLE!$F$15,$M244-$A$15,AP$13)="",10^12,OFFSET(CRONOPLE!$F$15,$M244-$A$15,AP$13)))</f>
        <v>1000000000000</v>
      </c>
      <c r="AQ244" s="172">
        <f ca="1">IF(OR($D244&lt;&gt;"Serviço",AND(AUTOEVENTO="Manual",$M244=$A$15)),0,
         IF(OFFSET(CRONOPLE!$F$15,$M244-$A$15,AQ$13)="",10^12,OFFSET(CRONOPLE!$F$15,$M244-$A$15,AQ$13)))</f>
        <v>1000000000000</v>
      </c>
      <c r="AR244" s="172">
        <f ca="1">IF(OR($D244&lt;&gt;"Serviço",AND(AUTOEVENTO="Manual",$M244=$A$15)),0,
         IF(OFFSET(CRONOPLE!$F$15,$M244-$A$15,AR$13)="",10^12,OFFSET(CRONOPLE!$F$15,$M244-$A$15,AR$13)))</f>
        <v>1000000000000</v>
      </c>
      <c r="AS244" s="172">
        <f ca="1">IF(OR($D244&lt;&gt;"Serviço",AND(AUTOEVENTO="Manual",$M244=$A$15)),0,
         IF(OFFSET(CRONOPLE!$F$15,$M244-$A$15,AS$13)="",10^12,OFFSET(CRONOPLE!$F$15,$M244-$A$15,AS$13)))</f>
        <v>1000000000000</v>
      </c>
      <c r="AT244" s="172">
        <f ca="1">IF(OR($D244&lt;&gt;"Serviço",AND(AUTOEVENTO="Manual",$M244=$A$15)),0,
         IF(OFFSET(CRONOPLE!$F$15,$M244-$A$15,AT$13)="",10^12,OFFSET(CRONOPLE!$F$15,$M244-$A$15,AT$13)))</f>
        <v>1000000000000</v>
      </c>
      <c r="AU244" s="172">
        <f ca="1">IF(OR($D244&lt;&gt;"Serviço",AND(AUTOEVENTO="Manual",$M244=$A$15)),0,
         IF(OFFSET(CRONOPLE!$F$15,$M244-$A$15,AU$13)="",10^12,OFFSET(CRONOPLE!$F$15,$M244-$A$15,AU$13)))</f>
        <v>1000000000000</v>
      </c>
      <c r="AV244" s="172">
        <f ca="1">IF(OR($D244&lt;&gt;"Serviço",AND(AUTOEVENTO="Manual",$M244=$A$15)),0,
         IF(OFFSET(CRONOPLE!$F$15,$M244-$A$15,AV$13)="",10^12,OFFSET(CRONOPLE!$F$15,$M244-$A$15,AV$13)))</f>
        <v>1000000000000</v>
      </c>
      <c r="AX244" s="173">
        <f ca="1">IF(OR($D244&lt;&gt;"Serviço",AND(AUTOEVENTO="Manual",$M244=$A$15),$M244&gt;(ROW(PLE.lastrow)-ROW(PLE.firstrow))),0,
           IF(OFFSET(PLE!$G$15,$M244-$A$15,AX$13)="",10^12,OFFSET(PLE!$G$15,$M244-$A$15,AX$13)))</f>
        <v>1000000000000</v>
      </c>
      <c r="AY244" s="173">
        <f ca="1">IF(OR($D244&lt;&gt;"Serviço",AND(AUTOEVENTO="Manual",$M244=$A$15),$M244&gt;(ROW(PLE.lastrow)-ROW(PLE.firstrow))),0,
           IF(OFFSET(PLE!$G$15,$M244-$A$15,AY$13)="",10^12,OFFSET(PLE!$G$15,$M244-$A$15,AY$13)))</f>
        <v>1000000000000</v>
      </c>
      <c r="AZ244" s="173">
        <f ca="1">IF(OR($D244&lt;&gt;"Serviço",AND(AUTOEVENTO="Manual",$M244=$A$15),$M244&gt;(ROW(PLE.lastrow)-ROW(PLE.firstrow))),0,
           IF(OFFSET(PLE!$G$15,$M244-$A$15,AZ$13)="",10^12,OFFSET(PLE!$G$15,$M244-$A$15,AZ$13)))</f>
        <v>1000000000000</v>
      </c>
      <c r="BA244" s="173">
        <f ca="1">IF(OR($D244&lt;&gt;"Serviço",AND(AUTOEVENTO="Manual",$M244=$A$15),$M244&gt;(ROW(PLE.lastrow)-ROW(PLE.firstrow))),0,
           IF(OFFSET(PLE!$G$15,$M244-$A$15,BA$13)="",10^12,OFFSET(PLE!$G$15,$M244-$A$15,BA$13)))</f>
        <v>1000000000000</v>
      </c>
      <c r="BB244" s="173">
        <f ca="1">IF(OR($D244&lt;&gt;"Serviço",AND(AUTOEVENTO="Manual",$M244=$A$15),$M244&gt;(ROW(PLE.lastrow)-ROW(PLE.firstrow))),0,
           IF(OFFSET(PLE!$G$15,$M244-$A$15,BB$13)="",10^12,OFFSET(PLE!$G$15,$M244-$A$15,BB$13)))</f>
        <v>1000000000000</v>
      </c>
      <c r="BC244" s="173">
        <f ca="1">IF(OR($D244&lt;&gt;"Serviço",AND(AUTOEVENTO="Manual",$M244=$A$15),$M244&gt;(ROW(PLE.lastrow)-ROW(PLE.firstrow))),0,
           IF(OFFSET(PLE!$G$15,$M244-$A$15,BC$13)="",10^12,OFFSET(PLE!$G$15,$M244-$A$15,BC$13)))</f>
        <v>1000000000000</v>
      </c>
      <c r="BD244" s="173">
        <f ca="1">IF(OR($D244&lt;&gt;"Serviço",AND(AUTOEVENTO="Manual",$M244=$A$15),$M244&gt;(ROW(PLE.lastrow)-ROW(PLE.firstrow))),0,
           IF(OFFSET(PLE!$G$15,$M244-$A$15,BD$13)="",10^12,OFFSET(PLE!$G$15,$M244-$A$15,BD$13)))</f>
        <v>1000000000000</v>
      </c>
      <c r="BE244" s="173">
        <f ca="1">IF(OR($D244&lt;&gt;"Serviço",AND(AUTOEVENTO="Manual",$M244=$A$15),$M244&gt;(ROW(PLE.lastrow)-ROW(PLE.firstrow))),0,
           IF(OFFSET(PLE!$G$15,$M244-$A$15,BE$13)="",10^12,OFFSET(PLE!$G$15,$M244-$A$15,BE$13)))</f>
        <v>1000000000000</v>
      </c>
      <c r="BF244" s="173">
        <f ca="1">IF(OR($D244&lt;&gt;"Serviço",AND(AUTOEVENTO="Manual",$M244=$A$15),$M244&gt;(ROW(PLE.lastrow)-ROW(PLE.firstrow))),0,
           IF(OFFSET(PLE!$G$15,$M244-$A$15,BF$13)="",10^12,OFFSET(PLE!$G$15,$M244-$A$15,BF$13)))</f>
        <v>1000000000000</v>
      </c>
      <c r="BG244" s="173">
        <f ca="1">IF(OR($D244&lt;&gt;"Serviço",AND(AUTOEVENTO="Manual",$M244=$A$15),$M244&gt;(ROW(PLE.lastrow)-ROW(PLE.firstrow))),0,
           IF(OFFSET(PLE!$G$15,$M244-$A$15,BG$13)="",10^12,OFFSET(PLE!$G$15,$M244-$A$15,BG$13)))</f>
        <v>1000000000000</v>
      </c>
    </row>
    <row r="245" spans="1:59" ht="25.5" x14ac:dyDescent="0.2">
      <c r="A245" s="7" t="str">
        <f t="shared" ca="1" si="11"/>
        <v>210</v>
      </c>
      <c r="B245" s="7" t="str">
        <f ca="1">OFFSET(ORÇAMENTO!C$15,ROW(B245)-ROW(B$15),0)</f>
        <v>S</v>
      </c>
      <c r="C245" s="7" t="str">
        <f ca="1">OFFSET(ORÇAMENTO!L$15,ROW(C245)-ROW(C$15),0)</f>
        <v/>
      </c>
      <c r="D245" s="117" t="str">
        <f ca="1">OFFSET(ORÇAMENTO!N$15,ROW(D245)-ROW(D$15),0)</f>
        <v>Serviço</v>
      </c>
      <c r="E245" s="118" t="str">
        <f ca="1">OFFSET(ORÇAMENTO!O$15,ROW(E245)-ROW(E$15),0)</f>
        <v>-</v>
      </c>
      <c r="F245" s="164" t="str">
        <f ca="1">OFFSET(ORÇAMENTO!R$15,ROW(F245)-ROW(F$15),0)</f>
        <v>PUXADOR PARA PCD, FIXADO NA PORTA - FORNECIMENTO E INSTALAÇÃO. AF_01/2020</v>
      </c>
      <c r="G245" s="165" t="str">
        <f ca="1">IF($D245&lt;&gt;"Serviço","",OFFSET(ORÇAMENTO!S$15,ROW(G245)-ROW(G$15),0))</f>
        <v>UN</v>
      </c>
      <c r="H245" s="123">
        <f ca="1">IF($D245&lt;&gt;"Serviço",0,IF(ACOMPANHAMENTO="BM",ROUND(OFFSET(ORÇAMENTO!AJ$15,ROW(H245)-ROW(H$15),0),15-13*ORÇAMENTO!$AF$7),SUMPRODUCT(($Q$1:$AA$1=1)*ROUND($Q245:$AA245,15-13*ORÇAMENTO!$AF$7))))</f>
        <v>6</v>
      </c>
      <c r="I245" s="469"/>
      <c r="J245" s="577" t="str" cm="1">
        <f t="array" aca="1" ref="J245" ca="1">IF(B245&lt;&gt;"S","",IF(AND(ACOMPANHAMENTO="PLE",AUTOEVENTO="Manual",OR(H245&gt;0,ORÇAMENTO!AC245="QUANT."),OR(K245="",M245=0,N245="")),"►",IF(AND(ACOMPANHAMENTO="PLE",ORÇAMENTO!AC245="QUANT."),"►►",IF(AND(COUNTIF($P$11:$AA$11,"▼")=0,H245&gt;0,I245=""),"◄",""))))</f>
        <v>◄</v>
      </c>
      <c r="K245" s="626"/>
      <c r="L245" s="166" t="s">
        <v>765</v>
      </c>
      <c r="M245" s="167">
        <f ca="1">IF($D245&lt;&gt;"Serviço","",
          IF(AUTOEVENTO="manual",$A245,
                IF(ISERROR(MATCH($A245,$A$15:OFFSET($A245,-1,0),0)),MAX($M$15:OFFSET(M245,-1,0))+1,
                      INDEX($M$15:OFFSET(M245,-1,0),MATCH($A245,$A$15:OFFSET($A245,-1,0),0)))))</f>
        <v>13</v>
      </c>
      <c r="N245" s="168" t="str">
        <f ca="1">IF($D245&lt;&gt;"Serviço","",
         IF(AUTOEVENTO="Manual",
                IF($A245=0,"&lt;-- defina o número do agrupador",
                       OFFSET(EVENTOS!$D$15,$A245-$A$15,0)),
                OFFSET($F$15,$A245,0)))</f>
        <v>LOUÇAS E ACESSÓRIOS</v>
      </c>
      <c r="O245" s="169"/>
      <c r="Q245" s="169"/>
      <c r="R245" s="170"/>
      <c r="S245" s="170"/>
      <c r="T245" s="170"/>
      <c r="U245" s="170"/>
      <c r="V245" s="170"/>
      <c r="W245" s="170"/>
      <c r="X245" s="170"/>
      <c r="Y245" s="170"/>
      <c r="Z245" s="171"/>
      <c r="AB245" s="454">
        <f ca="1">IF(AND($D245="Serviço",AB$12&lt;&gt;0,$H245&gt;0,OR(AUTOEVENTO&lt;&gt;"manual",$M245&lt;&gt;$A$15)),
        IF(Import.TipoArredondamento&lt;&gt;"TransfereGOV",
              ROUND(OFFSET($P245,0,AB$13),15-13*ORÇAMENTO!$AF$7)/$H245*OFFSET(ORÇAMENTO!$X$15,ROW(AB245)-ROW(AB$15),0),
              ROUND(ROUND(OFFSET($P245,0,AB$13),15-13*ORÇAMENTO!$AF$7)*OFFSET(ORÇAMENTO!$W$15,ROW(AB245)-ROW(AB$15),0),15-13*ORÇAMENTO!$AF$11)),
         0)</f>
        <v>0</v>
      </c>
      <c r="AC245" s="454">
        <f ca="1">IF(AND($D245="Serviço",AC$12&lt;&gt;0,$H245&gt;0,OR(AUTOEVENTO&lt;&gt;"manual",$M245&lt;&gt;$A$15)),
        IF(Import.TipoArredondamento&lt;&gt;"TransfereGOV",
              ROUND(OFFSET($P245,0,AC$13),15-13*ORÇAMENTO!$AF$7)/$H245*OFFSET(ORÇAMENTO!$X$15,ROW(AC245)-ROW(AC$15),0),
              ROUND(ROUND(OFFSET($P245,0,AC$13),15-13*ORÇAMENTO!$AF$7)*OFFSET(ORÇAMENTO!$W$15,ROW(AC245)-ROW(AC$15),0),15-13*ORÇAMENTO!$AF$11)),
         0)</f>
        <v>0</v>
      </c>
      <c r="AD245" s="454">
        <f ca="1">IF(AND($D245="Serviço",AD$12&lt;&gt;0,$H245&gt;0,OR(AUTOEVENTO&lt;&gt;"manual",$M245&lt;&gt;$A$15)),
        IF(Import.TipoArredondamento&lt;&gt;"TransfereGOV",
              ROUND(OFFSET($P245,0,AD$13),15-13*ORÇAMENTO!$AF$7)/$H245*OFFSET(ORÇAMENTO!$X$15,ROW(AD245)-ROW(AD$15),0),
              ROUND(ROUND(OFFSET($P245,0,AD$13),15-13*ORÇAMENTO!$AF$7)*OFFSET(ORÇAMENTO!$W$15,ROW(AD245)-ROW(AD$15),0),15-13*ORÇAMENTO!$AF$11)),
         0)</f>
        <v>0</v>
      </c>
      <c r="AE245" s="454">
        <f ca="1">IF(AND($D245="Serviço",AE$12&lt;&gt;0,$H245&gt;0,OR(AUTOEVENTO&lt;&gt;"manual",$M245&lt;&gt;$A$15)),
        IF(Import.TipoArredondamento&lt;&gt;"TransfereGOV",
              ROUND(OFFSET($P245,0,AE$13),15-13*ORÇAMENTO!$AF$7)/$H245*OFFSET(ORÇAMENTO!$X$15,ROW(AE245)-ROW(AE$15),0),
              ROUND(ROUND(OFFSET($P245,0,AE$13),15-13*ORÇAMENTO!$AF$7)*OFFSET(ORÇAMENTO!$W$15,ROW(AE245)-ROW(AE$15),0),15-13*ORÇAMENTO!$AF$11)),
         0)</f>
        <v>0</v>
      </c>
      <c r="AF245" s="454">
        <f ca="1">IF(AND($D245="Serviço",AF$12&lt;&gt;0,$H245&gt;0,OR(AUTOEVENTO&lt;&gt;"manual",$M245&lt;&gt;$A$15)),
        IF(Import.TipoArredondamento&lt;&gt;"TransfereGOV",
              ROUND(OFFSET($P245,0,AF$13),15-13*ORÇAMENTO!$AF$7)/$H245*OFFSET(ORÇAMENTO!$X$15,ROW(AF245)-ROW(AF$15),0),
              ROUND(ROUND(OFFSET($P245,0,AF$13),15-13*ORÇAMENTO!$AF$7)*OFFSET(ORÇAMENTO!$W$15,ROW(AF245)-ROW(AF$15),0),15-13*ORÇAMENTO!$AF$11)),
         0)</f>
        <v>0</v>
      </c>
      <c r="AG245" s="454">
        <f ca="1">IF(AND($D245="Serviço",AG$12&lt;&gt;0,$H245&gt;0,OR(AUTOEVENTO&lt;&gt;"manual",$M245&lt;&gt;$A$15)),
        IF(Import.TipoArredondamento&lt;&gt;"TransfereGOV",
              ROUND(OFFSET($P245,0,AG$13),15-13*ORÇAMENTO!$AF$7)/$H245*OFFSET(ORÇAMENTO!$X$15,ROW(AG245)-ROW(AG$15),0),
              ROUND(ROUND(OFFSET($P245,0,AG$13),15-13*ORÇAMENTO!$AF$7)*OFFSET(ORÇAMENTO!$W$15,ROW(AG245)-ROW(AG$15),0),15-13*ORÇAMENTO!$AF$11)),
         0)</f>
        <v>0</v>
      </c>
      <c r="AH245" s="454">
        <f ca="1">IF(AND($D245="Serviço",AH$12&lt;&gt;0,$H245&gt;0,OR(AUTOEVENTO&lt;&gt;"manual",$M245&lt;&gt;$A$15)),
        IF(Import.TipoArredondamento&lt;&gt;"TransfereGOV",
              ROUND(OFFSET($P245,0,AH$13),15-13*ORÇAMENTO!$AF$7)/$H245*OFFSET(ORÇAMENTO!$X$15,ROW(AH245)-ROW(AH$15),0),
              ROUND(ROUND(OFFSET($P245,0,AH$13),15-13*ORÇAMENTO!$AF$7)*OFFSET(ORÇAMENTO!$W$15,ROW(AH245)-ROW(AH$15),0),15-13*ORÇAMENTO!$AF$11)),
         0)</f>
        <v>0</v>
      </c>
      <c r="AI245" s="454">
        <f ca="1">IF(AND($D245="Serviço",AI$12&lt;&gt;0,$H245&gt;0,OR(AUTOEVENTO&lt;&gt;"manual",$M245&lt;&gt;$A$15)),
        IF(Import.TipoArredondamento&lt;&gt;"TransfereGOV",
              ROUND(OFFSET($P245,0,AI$13),15-13*ORÇAMENTO!$AF$7)/$H245*OFFSET(ORÇAMENTO!$X$15,ROW(AI245)-ROW(AI$15),0),
              ROUND(ROUND(OFFSET($P245,0,AI$13),15-13*ORÇAMENTO!$AF$7)*OFFSET(ORÇAMENTO!$W$15,ROW(AI245)-ROW(AI$15),0),15-13*ORÇAMENTO!$AF$11)),
         0)</f>
        <v>0</v>
      </c>
      <c r="AJ245" s="454">
        <f ca="1">IF(AND($D245="Serviço",AJ$12&lt;&gt;0,$H245&gt;0,OR(AUTOEVENTO&lt;&gt;"manual",$M245&lt;&gt;$A$15)),
        IF(Import.TipoArredondamento&lt;&gt;"TransfereGOV",
              ROUND(OFFSET($P245,0,AJ$13),15-13*ORÇAMENTO!$AF$7)/$H245*OFFSET(ORÇAMENTO!$X$15,ROW(AJ245)-ROW(AJ$15),0),
              ROUND(ROUND(OFFSET($P245,0,AJ$13),15-13*ORÇAMENTO!$AF$7)*OFFSET(ORÇAMENTO!$W$15,ROW(AJ245)-ROW(AJ$15),0),15-13*ORÇAMENTO!$AF$11)),
         0)</f>
        <v>0</v>
      </c>
      <c r="AK245" s="454">
        <f ca="1">IF(AND($D245="Serviço",AK$12&lt;&gt;0,$H245&gt;0,OR(AUTOEVENTO&lt;&gt;"manual",$M245&lt;&gt;$A$15)),
        IF(Import.TipoArredondamento&lt;&gt;"TransfereGOV",
              ROUND(OFFSET($P245,0,AK$13),15-13*ORÇAMENTO!$AF$7)/$H245*OFFSET(ORÇAMENTO!$X$15,ROW(AK245)-ROW(AK$15),0),
              ROUND(ROUND(OFFSET($P245,0,AK$13),15-13*ORÇAMENTO!$AF$7)*OFFSET(ORÇAMENTO!$W$15,ROW(AK245)-ROW(AK$15),0),15-13*ORÇAMENTO!$AF$11)),
         0)</f>
        <v>0</v>
      </c>
      <c r="AM245" s="172">
        <f ca="1">IF(OR($D245&lt;&gt;"Serviço",AND(AUTOEVENTO="Manual",$M245=$A$15)),0,
         IF(OFFSET(CRONOPLE!$F$15,$M245-$A$15,AM$13)="",10^12,OFFSET(CRONOPLE!$F$15,$M245-$A$15,AM$13)))</f>
        <v>1000000000000</v>
      </c>
      <c r="AN245" s="172">
        <f ca="1">IF(OR($D245&lt;&gt;"Serviço",AND(AUTOEVENTO="Manual",$M245=$A$15)),0,
         IF(OFFSET(CRONOPLE!$F$15,$M245-$A$15,AN$13)="",10^12,OFFSET(CRONOPLE!$F$15,$M245-$A$15,AN$13)))</f>
        <v>1000000000000</v>
      </c>
      <c r="AO245" s="172">
        <f ca="1">IF(OR($D245&lt;&gt;"Serviço",AND(AUTOEVENTO="Manual",$M245=$A$15)),0,
         IF(OFFSET(CRONOPLE!$F$15,$M245-$A$15,AO$13)="",10^12,OFFSET(CRONOPLE!$F$15,$M245-$A$15,AO$13)))</f>
        <v>1000000000000</v>
      </c>
      <c r="AP245" s="172">
        <f ca="1">IF(OR($D245&lt;&gt;"Serviço",AND(AUTOEVENTO="Manual",$M245=$A$15)),0,
         IF(OFFSET(CRONOPLE!$F$15,$M245-$A$15,AP$13)="",10^12,OFFSET(CRONOPLE!$F$15,$M245-$A$15,AP$13)))</f>
        <v>1000000000000</v>
      </c>
      <c r="AQ245" s="172">
        <f ca="1">IF(OR($D245&lt;&gt;"Serviço",AND(AUTOEVENTO="Manual",$M245=$A$15)),0,
         IF(OFFSET(CRONOPLE!$F$15,$M245-$A$15,AQ$13)="",10^12,OFFSET(CRONOPLE!$F$15,$M245-$A$15,AQ$13)))</f>
        <v>1000000000000</v>
      </c>
      <c r="AR245" s="172">
        <f ca="1">IF(OR($D245&lt;&gt;"Serviço",AND(AUTOEVENTO="Manual",$M245=$A$15)),0,
         IF(OFFSET(CRONOPLE!$F$15,$M245-$A$15,AR$13)="",10^12,OFFSET(CRONOPLE!$F$15,$M245-$A$15,AR$13)))</f>
        <v>1000000000000</v>
      </c>
      <c r="AS245" s="172">
        <f ca="1">IF(OR($D245&lt;&gt;"Serviço",AND(AUTOEVENTO="Manual",$M245=$A$15)),0,
         IF(OFFSET(CRONOPLE!$F$15,$M245-$A$15,AS$13)="",10^12,OFFSET(CRONOPLE!$F$15,$M245-$A$15,AS$13)))</f>
        <v>1000000000000</v>
      </c>
      <c r="AT245" s="172">
        <f ca="1">IF(OR($D245&lt;&gt;"Serviço",AND(AUTOEVENTO="Manual",$M245=$A$15)),0,
         IF(OFFSET(CRONOPLE!$F$15,$M245-$A$15,AT$13)="",10^12,OFFSET(CRONOPLE!$F$15,$M245-$A$15,AT$13)))</f>
        <v>1000000000000</v>
      </c>
      <c r="AU245" s="172">
        <f ca="1">IF(OR($D245&lt;&gt;"Serviço",AND(AUTOEVENTO="Manual",$M245=$A$15)),0,
         IF(OFFSET(CRONOPLE!$F$15,$M245-$A$15,AU$13)="",10^12,OFFSET(CRONOPLE!$F$15,$M245-$A$15,AU$13)))</f>
        <v>1000000000000</v>
      </c>
      <c r="AV245" s="172">
        <f ca="1">IF(OR($D245&lt;&gt;"Serviço",AND(AUTOEVENTO="Manual",$M245=$A$15)),0,
         IF(OFFSET(CRONOPLE!$F$15,$M245-$A$15,AV$13)="",10^12,OFFSET(CRONOPLE!$F$15,$M245-$A$15,AV$13)))</f>
        <v>1000000000000</v>
      </c>
      <c r="AX245" s="173">
        <f ca="1">IF(OR($D245&lt;&gt;"Serviço",AND(AUTOEVENTO="Manual",$M245=$A$15),$M245&gt;(ROW(PLE.lastrow)-ROW(PLE.firstrow))),0,
           IF(OFFSET(PLE!$G$15,$M245-$A$15,AX$13)="",10^12,OFFSET(PLE!$G$15,$M245-$A$15,AX$13)))</f>
        <v>1000000000000</v>
      </c>
      <c r="AY245" s="173">
        <f ca="1">IF(OR($D245&lt;&gt;"Serviço",AND(AUTOEVENTO="Manual",$M245=$A$15),$M245&gt;(ROW(PLE.lastrow)-ROW(PLE.firstrow))),0,
           IF(OFFSET(PLE!$G$15,$M245-$A$15,AY$13)="",10^12,OFFSET(PLE!$G$15,$M245-$A$15,AY$13)))</f>
        <v>1000000000000</v>
      </c>
      <c r="AZ245" s="173">
        <f ca="1">IF(OR($D245&lt;&gt;"Serviço",AND(AUTOEVENTO="Manual",$M245=$A$15),$M245&gt;(ROW(PLE.lastrow)-ROW(PLE.firstrow))),0,
           IF(OFFSET(PLE!$G$15,$M245-$A$15,AZ$13)="",10^12,OFFSET(PLE!$G$15,$M245-$A$15,AZ$13)))</f>
        <v>1000000000000</v>
      </c>
      <c r="BA245" s="173">
        <f ca="1">IF(OR($D245&lt;&gt;"Serviço",AND(AUTOEVENTO="Manual",$M245=$A$15),$M245&gt;(ROW(PLE.lastrow)-ROW(PLE.firstrow))),0,
           IF(OFFSET(PLE!$G$15,$M245-$A$15,BA$13)="",10^12,OFFSET(PLE!$G$15,$M245-$A$15,BA$13)))</f>
        <v>1000000000000</v>
      </c>
      <c r="BB245" s="173">
        <f ca="1">IF(OR($D245&lt;&gt;"Serviço",AND(AUTOEVENTO="Manual",$M245=$A$15),$M245&gt;(ROW(PLE.lastrow)-ROW(PLE.firstrow))),0,
           IF(OFFSET(PLE!$G$15,$M245-$A$15,BB$13)="",10^12,OFFSET(PLE!$G$15,$M245-$A$15,BB$13)))</f>
        <v>1000000000000</v>
      </c>
      <c r="BC245" s="173">
        <f ca="1">IF(OR($D245&lt;&gt;"Serviço",AND(AUTOEVENTO="Manual",$M245=$A$15),$M245&gt;(ROW(PLE.lastrow)-ROW(PLE.firstrow))),0,
           IF(OFFSET(PLE!$G$15,$M245-$A$15,BC$13)="",10^12,OFFSET(PLE!$G$15,$M245-$A$15,BC$13)))</f>
        <v>1000000000000</v>
      </c>
      <c r="BD245" s="173">
        <f ca="1">IF(OR($D245&lt;&gt;"Serviço",AND(AUTOEVENTO="Manual",$M245=$A$15),$M245&gt;(ROW(PLE.lastrow)-ROW(PLE.firstrow))),0,
           IF(OFFSET(PLE!$G$15,$M245-$A$15,BD$13)="",10^12,OFFSET(PLE!$G$15,$M245-$A$15,BD$13)))</f>
        <v>1000000000000</v>
      </c>
      <c r="BE245" s="173">
        <f ca="1">IF(OR($D245&lt;&gt;"Serviço",AND(AUTOEVENTO="Manual",$M245=$A$15),$M245&gt;(ROW(PLE.lastrow)-ROW(PLE.firstrow))),0,
           IF(OFFSET(PLE!$G$15,$M245-$A$15,BE$13)="",10^12,OFFSET(PLE!$G$15,$M245-$A$15,BE$13)))</f>
        <v>1000000000000</v>
      </c>
      <c r="BF245" s="173">
        <f ca="1">IF(OR($D245&lt;&gt;"Serviço",AND(AUTOEVENTO="Manual",$M245=$A$15),$M245&gt;(ROW(PLE.lastrow)-ROW(PLE.firstrow))),0,
           IF(OFFSET(PLE!$G$15,$M245-$A$15,BF$13)="",10^12,OFFSET(PLE!$G$15,$M245-$A$15,BF$13)))</f>
        <v>1000000000000</v>
      </c>
      <c r="BG245" s="173">
        <f ca="1">IF(OR($D245&lt;&gt;"Serviço",AND(AUTOEVENTO="Manual",$M245=$A$15),$M245&gt;(ROW(PLE.lastrow)-ROW(PLE.firstrow))),0,
           IF(OFFSET(PLE!$G$15,$M245-$A$15,BG$13)="",10^12,OFFSET(PLE!$G$15,$M245-$A$15,BG$13)))</f>
        <v>1000000000000</v>
      </c>
    </row>
    <row r="246" spans="1:59" ht="25.5" x14ac:dyDescent="0.2">
      <c r="A246" s="7" t="str">
        <f t="shared" ca="1" si="11"/>
        <v>210</v>
      </c>
      <c r="B246" s="7" t="str">
        <f ca="1">OFFSET(ORÇAMENTO!C$15,ROW(B246)-ROW(B$15),0)</f>
        <v>S</v>
      </c>
      <c r="C246" s="7" t="str">
        <f ca="1">OFFSET(ORÇAMENTO!L$15,ROW(C246)-ROW(C$15),0)</f>
        <v/>
      </c>
      <c r="D246" s="117" t="str">
        <f ca="1">OFFSET(ORÇAMENTO!N$15,ROW(D246)-ROW(D$15),0)</f>
        <v>Serviço</v>
      </c>
      <c r="E246" s="118" t="str">
        <f ca="1">OFFSET(ORÇAMENTO!O$15,ROW(E246)-ROW(E$15),0)</f>
        <v>-</v>
      </c>
      <c r="F246" s="164" t="str">
        <f ca="1">OFFSET(ORÇAMENTO!R$15,ROW(F246)-ROW(F$15),0)</f>
        <v>BANCO ARTICULADO, EM ACO INOX, PARA PCD, FIXADO NA PAREDE - FORNECIMENTO E INSTALAÇÃO. AF_01/2020</v>
      </c>
      <c r="G246" s="165" t="str">
        <f ca="1">IF($D246&lt;&gt;"Serviço","",OFFSET(ORÇAMENTO!S$15,ROW(G246)-ROW(G$15),0))</f>
        <v>UN</v>
      </c>
      <c r="H246" s="123">
        <f ca="1">IF($D246&lt;&gt;"Serviço",0,IF(ACOMPANHAMENTO="BM",ROUND(OFFSET(ORÇAMENTO!AJ$15,ROW(H246)-ROW(H$15),0),15-13*ORÇAMENTO!$AF$7),SUMPRODUCT(($Q$1:$AA$1=1)*ROUND($Q246:$AA246,15-13*ORÇAMENTO!$AF$7))))</f>
        <v>2</v>
      </c>
      <c r="I246" s="469"/>
      <c r="J246" s="577" t="str" cm="1">
        <f t="array" aca="1" ref="J246" ca="1">IF(B246&lt;&gt;"S","",IF(AND(ACOMPANHAMENTO="PLE",AUTOEVENTO="Manual",OR(H246&gt;0,ORÇAMENTO!AC246="QUANT."),OR(K246="",M246=0,N246="")),"►",IF(AND(ACOMPANHAMENTO="PLE",ORÇAMENTO!AC246="QUANT."),"►►",IF(AND(COUNTIF($P$11:$AA$11,"▼")=0,H246&gt;0,I246=""),"◄",""))))</f>
        <v>◄</v>
      </c>
      <c r="K246" s="626"/>
      <c r="L246" s="166" t="s">
        <v>765</v>
      </c>
      <c r="M246" s="167">
        <f ca="1">IF($D246&lt;&gt;"Serviço","",
          IF(AUTOEVENTO="manual",$A246,
                IF(ISERROR(MATCH($A246,$A$15:OFFSET($A246,-1,0),0)),MAX($M$15:OFFSET(M246,-1,0))+1,
                      INDEX($M$15:OFFSET(M246,-1,0),MATCH($A246,$A$15:OFFSET($A246,-1,0),0)))))</f>
        <v>13</v>
      </c>
      <c r="N246" s="168" t="str">
        <f ca="1">IF($D246&lt;&gt;"Serviço","",
         IF(AUTOEVENTO="Manual",
                IF($A246=0,"&lt;-- defina o número do agrupador",
                       OFFSET(EVENTOS!$D$15,$A246-$A$15,0)),
                OFFSET($F$15,$A246,0)))</f>
        <v>LOUÇAS E ACESSÓRIOS</v>
      </c>
      <c r="O246" s="169"/>
      <c r="Q246" s="169"/>
      <c r="R246" s="170"/>
      <c r="S246" s="170"/>
      <c r="T246" s="170"/>
      <c r="U246" s="170"/>
      <c r="V246" s="170"/>
      <c r="W246" s="170"/>
      <c r="X246" s="170"/>
      <c r="Y246" s="170"/>
      <c r="Z246" s="171"/>
      <c r="AB246" s="454">
        <f ca="1">IF(AND($D246="Serviço",AB$12&lt;&gt;0,$H246&gt;0,OR(AUTOEVENTO&lt;&gt;"manual",$M246&lt;&gt;$A$15)),
        IF(Import.TipoArredondamento&lt;&gt;"TransfereGOV",
              ROUND(OFFSET($P246,0,AB$13),15-13*ORÇAMENTO!$AF$7)/$H246*OFFSET(ORÇAMENTO!$X$15,ROW(AB246)-ROW(AB$15),0),
              ROUND(ROUND(OFFSET($P246,0,AB$13),15-13*ORÇAMENTO!$AF$7)*OFFSET(ORÇAMENTO!$W$15,ROW(AB246)-ROW(AB$15),0),15-13*ORÇAMENTO!$AF$11)),
         0)</f>
        <v>0</v>
      </c>
      <c r="AC246" s="454">
        <f ca="1">IF(AND($D246="Serviço",AC$12&lt;&gt;0,$H246&gt;0,OR(AUTOEVENTO&lt;&gt;"manual",$M246&lt;&gt;$A$15)),
        IF(Import.TipoArredondamento&lt;&gt;"TransfereGOV",
              ROUND(OFFSET($P246,0,AC$13),15-13*ORÇAMENTO!$AF$7)/$H246*OFFSET(ORÇAMENTO!$X$15,ROW(AC246)-ROW(AC$15),0),
              ROUND(ROUND(OFFSET($P246,0,AC$13),15-13*ORÇAMENTO!$AF$7)*OFFSET(ORÇAMENTO!$W$15,ROW(AC246)-ROW(AC$15),0),15-13*ORÇAMENTO!$AF$11)),
         0)</f>
        <v>0</v>
      </c>
      <c r="AD246" s="454">
        <f ca="1">IF(AND($D246="Serviço",AD$12&lt;&gt;0,$H246&gt;0,OR(AUTOEVENTO&lt;&gt;"manual",$M246&lt;&gt;$A$15)),
        IF(Import.TipoArredondamento&lt;&gt;"TransfereGOV",
              ROUND(OFFSET($P246,0,AD$13),15-13*ORÇAMENTO!$AF$7)/$H246*OFFSET(ORÇAMENTO!$X$15,ROW(AD246)-ROW(AD$15),0),
              ROUND(ROUND(OFFSET($P246,0,AD$13),15-13*ORÇAMENTO!$AF$7)*OFFSET(ORÇAMENTO!$W$15,ROW(AD246)-ROW(AD$15),0),15-13*ORÇAMENTO!$AF$11)),
         0)</f>
        <v>0</v>
      </c>
      <c r="AE246" s="454">
        <f ca="1">IF(AND($D246="Serviço",AE$12&lt;&gt;0,$H246&gt;0,OR(AUTOEVENTO&lt;&gt;"manual",$M246&lt;&gt;$A$15)),
        IF(Import.TipoArredondamento&lt;&gt;"TransfereGOV",
              ROUND(OFFSET($P246,0,AE$13),15-13*ORÇAMENTO!$AF$7)/$H246*OFFSET(ORÇAMENTO!$X$15,ROW(AE246)-ROW(AE$15),0),
              ROUND(ROUND(OFFSET($P246,0,AE$13),15-13*ORÇAMENTO!$AF$7)*OFFSET(ORÇAMENTO!$W$15,ROW(AE246)-ROW(AE$15),0),15-13*ORÇAMENTO!$AF$11)),
         0)</f>
        <v>0</v>
      </c>
      <c r="AF246" s="454">
        <f ca="1">IF(AND($D246="Serviço",AF$12&lt;&gt;0,$H246&gt;0,OR(AUTOEVENTO&lt;&gt;"manual",$M246&lt;&gt;$A$15)),
        IF(Import.TipoArredondamento&lt;&gt;"TransfereGOV",
              ROUND(OFFSET($P246,0,AF$13),15-13*ORÇAMENTO!$AF$7)/$H246*OFFSET(ORÇAMENTO!$X$15,ROW(AF246)-ROW(AF$15),0),
              ROUND(ROUND(OFFSET($P246,0,AF$13),15-13*ORÇAMENTO!$AF$7)*OFFSET(ORÇAMENTO!$W$15,ROW(AF246)-ROW(AF$15),0),15-13*ORÇAMENTO!$AF$11)),
         0)</f>
        <v>0</v>
      </c>
      <c r="AG246" s="454">
        <f ca="1">IF(AND($D246="Serviço",AG$12&lt;&gt;0,$H246&gt;0,OR(AUTOEVENTO&lt;&gt;"manual",$M246&lt;&gt;$A$15)),
        IF(Import.TipoArredondamento&lt;&gt;"TransfereGOV",
              ROUND(OFFSET($P246,0,AG$13),15-13*ORÇAMENTO!$AF$7)/$H246*OFFSET(ORÇAMENTO!$X$15,ROW(AG246)-ROW(AG$15),0),
              ROUND(ROUND(OFFSET($P246,0,AG$13),15-13*ORÇAMENTO!$AF$7)*OFFSET(ORÇAMENTO!$W$15,ROW(AG246)-ROW(AG$15),0),15-13*ORÇAMENTO!$AF$11)),
         0)</f>
        <v>0</v>
      </c>
      <c r="AH246" s="454">
        <f ca="1">IF(AND($D246="Serviço",AH$12&lt;&gt;0,$H246&gt;0,OR(AUTOEVENTO&lt;&gt;"manual",$M246&lt;&gt;$A$15)),
        IF(Import.TipoArredondamento&lt;&gt;"TransfereGOV",
              ROUND(OFFSET($P246,0,AH$13),15-13*ORÇAMENTO!$AF$7)/$H246*OFFSET(ORÇAMENTO!$X$15,ROW(AH246)-ROW(AH$15),0),
              ROUND(ROUND(OFFSET($P246,0,AH$13),15-13*ORÇAMENTO!$AF$7)*OFFSET(ORÇAMENTO!$W$15,ROW(AH246)-ROW(AH$15),0),15-13*ORÇAMENTO!$AF$11)),
         0)</f>
        <v>0</v>
      </c>
      <c r="AI246" s="454">
        <f ca="1">IF(AND($D246="Serviço",AI$12&lt;&gt;0,$H246&gt;0,OR(AUTOEVENTO&lt;&gt;"manual",$M246&lt;&gt;$A$15)),
        IF(Import.TipoArredondamento&lt;&gt;"TransfereGOV",
              ROUND(OFFSET($P246,0,AI$13),15-13*ORÇAMENTO!$AF$7)/$H246*OFFSET(ORÇAMENTO!$X$15,ROW(AI246)-ROW(AI$15),0),
              ROUND(ROUND(OFFSET($P246,0,AI$13),15-13*ORÇAMENTO!$AF$7)*OFFSET(ORÇAMENTO!$W$15,ROW(AI246)-ROW(AI$15),0),15-13*ORÇAMENTO!$AF$11)),
         0)</f>
        <v>0</v>
      </c>
      <c r="AJ246" s="454">
        <f ca="1">IF(AND($D246="Serviço",AJ$12&lt;&gt;0,$H246&gt;0,OR(AUTOEVENTO&lt;&gt;"manual",$M246&lt;&gt;$A$15)),
        IF(Import.TipoArredondamento&lt;&gt;"TransfereGOV",
              ROUND(OFFSET($P246,0,AJ$13),15-13*ORÇAMENTO!$AF$7)/$H246*OFFSET(ORÇAMENTO!$X$15,ROW(AJ246)-ROW(AJ$15),0),
              ROUND(ROUND(OFFSET($P246,0,AJ$13),15-13*ORÇAMENTO!$AF$7)*OFFSET(ORÇAMENTO!$W$15,ROW(AJ246)-ROW(AJ$15),0),15-13*ORÇAMENTO!$AF$11)),
         0)</f>
        <v>0</v>
      </c>
      <c r="AK246" s="454">
        <f ca="1">IF(AND($D246="Serviço",AK$12&lt;&gt;0,$H246&gt;0,OR(AUTOEVENTO&lt;&gt;"manual",$M246&lt;&gt;$A$15)),
        IF(Import.TipoArredondamento&lt;&gt;"TransfereGOV",
              ROUND(OFFSET($P246,0,AK$13),15-13*ORÇAMENTO!$AF$7)/$H246*OFFSET(ORÇAMENTO!$X$15,ROW(AK246)-ROW(AK$15),0),
              ROUND(ROUND(OFFSET($P246,0,AK$13),15-13*ORÇAMENTO!$AF$7)*OFFSET(ORÇAMENTO!$W$15,ROW(AK246)-ROW(AK$15),0),15-13*ORÇAMENTO!$AF$11)),
         0)</f>
        <v>0</v>
      </c>
      <c r="AM246" s="172">
        <f ca="1">IF(OR($D246&lt;&gt;"Serviço",AND(AUTOEVENTO="Manual",$M246=$A$15)),0,
         IF(OFFSET(CRONOPLE!$F$15,$M246-$A$15,AM$13)="",10^12,OFFSET(CRONOPLE!$F$15,$M246-$A$15,AM$13)))</f>
        <v>1000000000000</v>
      </c>
      <c r="AN246" s="172">
        <f ca="1">IF(OR($D246&lt;&gt;"Serviço",AND(AUTOEVENTO="Manual",$M246=$A$15)),0,
         IF(OFFSET(CRONOPLE!$F$15,$M246-$A$15,AN$13)="",10^12,OFFSET(CRONOPLE!$F$15,$M246-$A$15,AN$13)))</f>
        <v>1000000000000</v>
      </c>
      <c r="AO246" s="172">
        <f ca="1">IF(OR($D246&lt;&gt;"Serviço",AND(AUTOEVENTO="Manual",$M246=$A$15)),0,
         IF(OFFSET(CRONOPLE!$F$15,$M246-$A$15,AO$13)="",10^12,OFFSET(CRONOPLE!$F$15,$M246-$A$15,AO$13)))</f>
        <v>1000000000000</v>
      </c>
      <c r="AP246" s="172">
        <f ca="1">IF(OR($D246&lt;&gt;"Serviço",AND(AUTOEVENTO="Manual",$M246=$A$15)),0,
         IF(OFFSET(CRONOPLE!$F$15,$M246-$A$15,AP$13)="",10^12,OFFSET(CRONOPLE!$F$15,$M246-$A$15,AP$13)))</f>
        <v>1000000000000</v>
      </c>
      <c r="AQ246" s="172">
        <f ca="1">IF(OR($D246&lt;&gt;"Serviço",AND(AUTOEVENTO="Manual",$M246=$A$15)),0,
         IF(OFFSET(CRONOPLE!$F$15,$M246-$A$15,AQ$13)="",10^12,OFFSET(CRONOPLE!$F$15,$M246-$A$15,AQ$13)))</f>
        <v>1000000000000</v>
      </c>
      <c r="AR246" s="172">
        <f ca="1">IF(OR($D246&lt;&gt;"Serviço",AND(AUTOEVENTO="Manual",$M246=$A$15)),0,
         IF(OFFSET(CRONOPLE!$F$15,$M246-$A$15,AR$13)="",10^12,OFFSET(CRONOPLE!$F$15,$M246-$A$15,AR$13)))</f>
        <v>1000000000000</v>
      </c>
      <c r="AS246" s="172">
        <f ca="1">IF(OR($D246&lt;&gt;"Serviço",AND(AUTOEVENTO="Manual",$M246=$A$15)),0,
         IF(OFFSET(CRONOPLE!$F$15,$M246-$A$15,AS$13)="",10^12,OFFSET(CRONOPLE!$F$15,$M246-$A$15,AS$13)))</f>
        <v>1000000000000</v>
      </c>
      <c r="AT246" s="172">
        <f ca="1">IF(OR($D246&lt;&gt;"Serviço",AND(AUTOEVENTO="Manual",$M246=$A$15)),0,
         IF(OFFSET(CRONOPLE!$F$15,$M246-$A$15,AT$13)="",10^12,OFFSET(CRONOPLE!$F$15,$M246-$A$15,AT$13)))</f>
        <v>1000000000000</v>
      </c>
      <c r="AU246" s="172">
        <f ca="1">IF(OR($D246&lt;&gt;"Serviço",AND(AUTOEVENTO="Manual",$M246=$A$15)),0,
         IF(OFFSET(CRONOPLE!$F$15,$M246-$A$15,AU$13)="",10^12,OFFSET(CRONOPLE!$F$15,$M246-$A$15,AU$13)))</f>
        <v>1000000000000</v>
      </c>
      <c r="AV246" s="172">
        <f ca="1">IF(OR($D246&lt;&gt;"Serviço",AND(AUTOEVENTO="Manual",$M246=$A$15)),0,
         IF(OFFSET(CRONOPLE!$F$15,$M246-$A$15,AV$13)="",10^12,OFFSET(CRONOPLE!$F$15,$M246-$A$15,AV$13)))</f>
        <v>1000000000000</v>
      </c>
      <c r="AX246" s="173">
        <f ca="1">IF(OR($D246&lt;&gt;"Serviço",AND(AUTOEVENTO="Manual",$M246=$A$15),$M246&gt;(ROW(PLE.lastrow)-ROW(PLE.firstrow))),0,
           IF(OFFSET(PLE!$G$15,$M246-$A$15,AX$13)="",10^12,OFFSET(PLE!$G$15,$M246-$A$15,AX$13)))</f>
        <v>1000000000000</v>
      </c>
      <c r="AY246" s="173">
        <f ca="1">IF(OR($D246&lt;&gt;"Serviço",AND(AUTOEVENTO="Manual",$M246=$A$15),$M246&gt;(ROW(PLE.lastrow)-ROW(PLE.firstrow))),0,
           IF(OFFSET(PLE!$G$15,$M246-$A$15,AY$13)="",10^12,OFFSET(PLE!$G$15,$M246-$A$15,AY$13)))</f>
        <v>1000000000000</v>
      </c>
      <c r="AZ246" s="173">
        <f ca="1">IF(OR($D246&lt;&gt;"Serviço",AND(AUTOEVENTO="Manual",$M246=$A$15),$M246&gt;(ROW(PLE.lastrow)-ROW(PLE.firstrow))),0,
           IF(OFFSET(PLE!$G$15,$M246-$A$15,AZ$13)="",10^12,OFFSET(PLE!$G$15,$M246-$A$15,AZ$13)))</f>
        <v>1000000000000</v>
      </c>
      <c r="BA246" s="173">
        <f ca="1">IF(OR($D246&lt;&gt;"Serviço",AND(AUTOEVENTO="Manual",$M246=$A$15),$M246&gt;(ROW(PLE.lastrow)-ROW(PLE.firstrow))),0,
           IF(OFFSET(PLE!$G$15,$M246-$A$15,BA$13)="",10^12,OFFSET(PLE!$G$15,$M246-$A$15,BA$13)))</f>
        <v>1000000000000</v>
      </c>
      <c r="BB246" s="173">
        <f ca="1">IF(OR($D246&lt;&gt;"Serviço",AND(AUTOEVENTO="Manual",$M246=$A$15),$M246&gt;(ROW(PLE.lastrow)-ROW(PLE.firstrow))),0,
           IF(OFFSET(PLE!$G$15,$M246-$A$15,BB$13)="",10^12,OFFSET(PLE!$G$15,$M246-$A$15,BB$13)))</f>
        <v>1000000000000</v>
      </c>
      <c r="BC246" s="173">
        <f ca="1">IF(OR($D246&lt;&gt;"Serviço",AND(AUTOEVENTO="Manual",$M246=$A$15),$M246&gt;(ROW(PLE.lastrow)-ROW(PLE.firstrow))),0,
           IF(OFFSET(PLE!$G$15,$M246-$A$15,BC$13)="",10^12,OFFSET(PLE!$G$15,$M246-$A$15,BC$13)))</f>
        <v>1000000000000</v>
      </c>
      <c r="BD246" s="173">
        <f ca="1">IF(OR($D246&lt;&gt;"Serviço",AND(AUTOEVENTO="Manual",$M246=$A$15),$M246&gt;(ROW(PLE.lastrow)-ROW(PLE.firstrow))),0,
           IF(OFFSET(PLE!$G$15,$M246-$A$15,BD$13)="",10^12,OFFSET(PLE!$G$15,$M246-$A$15,BD$13)))</f>
        <v>1000000000000</v>
      </c>
      <c r="BE246" s="173">
        <f ca="1">IF(OR($D246&lt;&gt;"Serviço",AND(AUTOEVENTO="Manual",$M246=$A$15),$M246&gt;(ROW(PLE.lastrow)-ROW(PLE.firstrow))),0,
           IF(OFFSET(PLE!$G$15,$M246-$A$15,BE$13)="",10^12,OFFSET(PLE!$G$15,$M246-$A$15,BE$13)))</f>
        <v>1000000000000</v>
      </c>
      <c r="BF246" s="173">
        <f ca="1">IF(OR($D246&lt;&gt;"Serviço",AND(AUTOEVENTO="Manual",$M246=$A$15),$M246&gt;(ROW(PLE.lastrow)-ROW(PLE.firstrow))),0,
           IF(OFFSET(PLE!$G$15,$M246-$A$15,BF$13)="",10^12,OFFSET(PLE!$G$15,$M246-$A$15,BF$13)))</f>
        <v>1000000000000</v>
      </c>
      <c r="BG246" s="173">
        <f ca="1">IF(OR($D246&lt;&gt;"Serviço",AND(AUTOEVENTO="Manual",$M246=$A$15),$M246&gt;(ROW(PLE.lastrow)-ROW(PLE.firstrow))),0,
           IF(OFFSET(PLE!$G$15,$M246-$A$15,BG$13)="",10^12,OFFSET(PLE!$G$15,$M246-$A$15,BG$13)))</f>
        <v>1000000000000</v>
      </c>
    </row>
    <row r="247" spans="1:59" ht="12.75" x14ac:dyDescent="0.2">
      <c r="A247" s="7" t="str">
        <f t="shared" ca="1" si="11"/>
        <v>232.</v>
      </c>
      <c r="B247" s="7">
        <f ca="1">OFFSET(ORÇAMENTO!C$15,ROW(B247)-ROW(B$15),0)</f>
        <v>2</v>
      </c>
      <c r="C247" s="7" t="str">
        <f ca="1">OFFSET(ORÇAMENTO!L$15,ROW(C247)-ROW(C$15),0)</f>
        <v>F</v>
      </c>
      <c r="D247" s="117" t="str">
        <f ca="1">OFFSET(ORÇAMENTO!N$15,ROW(D247)-ROW(D$15),0)</f>
        <v>Nível 2</v>
      </c>
      <c r="E247" s="118" t="str">
        <f ca="1">OFFSET(ORÇAMENTO!O$15,ROW(E247)-ROW(E$15),0)</f>
        <v>1.14.</v>
      </c>
      <c r="F247" s="164" t="str">
        <f ca="1">OFFSET(ORÇAMENTO!R$15,ROW(F247)-ROW(F$15),0)</f>
        <v>ESQUADRIAS E VIDROS</v>
      </c>
      <c r="G247" s="165" t="str">
        <f ca="1">IF($D247&lt;&gt;"Serviço","",OFFSET(ORÇAMENTO!S$15,ROW(G247)-ROW(G$15),0))</f>
        <v/>
      </c>
      <c r="H247" s="123">
        <f ca="1">IF($D247&lt;&gt;"Serviço",0,IF(ACOMPANHAMENTO="BM",ROUND(OFFSET(ORÇAMENTO!AJ$15,ROW(H247)-ROW(H$15),0),15-13*ORÇAMENTO!$AF$7),SUMPRODUCT(($Q$1:$AA$1=1)*ROUND($Q247:$AA247,15-13*ORÇAMENTO!$AF$7))))</f>
        <v>0</v>
      </c>
      <c r="I247" s="469"/>
      <c r="J247" s="577" t="str" cm="1">
        <f t="array" aca="1" ref="J247" ca="1">IF(B247&lt;&gt;"S","",IF(AND(ACOMPANHAMENTO="PLE",AUTOEVENTO="Manual",OR(H247&gt;0,ORÇAMENTO!AC247="QUANT."),OR(K247="",M247=0,N247="")),"►",IF(AND(ACOMPANHAMENTO="PLE",ORÇAMENTO!AC247="QUANT."),"►►",IF(AND(COUNTIF($P$11:$AA$11,"▼")=0,H247&gt;0,I247=""),"◄",""))))</f>
        <v/>
      </c>
      <c r="K247" s="626"/>
      <c r="L247" s="166" t="s">
        <v>765</v>
      </c>
      <c r="M247" s="167" t="str">
        <f ca="1">IF($D247&lt;&gt;"Serviço","",
          IF(AUTOEVENTO="manual",$A247,
                IF(ISERROR(MATCH($A247,$A$15:OFFSET($A247,-1,0),0)),MAX($M$15:OFFSET(M247,-1,0))+1,
                      INDEX($M$15:OFFSET(M247,-1,0),MATCH($A247,$A$15:OFFSET($A247,-1,0),0)))))</f>
        <v/>
      </c>
      <c r="N247" s="168" t="str">
        <f ca="1">IF($D247&lt;&gt;"Serviço","",
         IF(AUTOEVENTO="Manual",
                IF($A247=0,"&lt;-- defina o número do agrupador",
                       OFFSET(EVENTOS!$D$15,$A247-$A$15,0)),
                OFFSET($F$15,$A247,0)))</f>
        <v/>
      </c>
      <c r="O247" s="169"/>
      <c r="Q247" s="169"/>
      <c r="R247" s="170"/>
      <c r="S247" s="170"/>
      <c r="T247" s="170"/>
      <c r="U247" s="170"/>
      <c r="V247" s="170"/>
      <c r="W247" s="170"/>
      <c r="X247" s="170"/>
      <c r="Y247" s="170"/>
      <c r="Z247" s="171"/>
      <c r="AB247" s="454">
        <f ca="1">IF(AND($D247="Serviço",AB$12&lt;&gt;0,$H247&gt;0,OR(AUTOEVENTO&lt;&gt;"manual",$M247&lt;&gt;$A$15)),
        IF(Import.TipoArredondamento&lt;&gt;"TransfereGOV",
              ROUND(OFFSET($P247,0,AB$13),15-13*ORÇAMENTO!$AF$7)/$H247*OFFSET(ORÇAMENTO!$X$15,ROW(AB247)-ROW(AB$15),0),
              ROUND(ROUND(OFFSET($P247,0,AB$13),15-13*ORÇAMENTO!$AF$7)*OFFSET(ORÇAMENTO!$W$15,ROW(AB247)-ROW(AB$15),0),15-13*ORÇAMENTO!$AF$11)),
         0)</f>
        <v>0</v>
      </c>
      <c r="AC247" s="454">
        <f ca="1">IF(AND($D247="Serviço",AC$12&lt;&gt;0,$H247&gt;0,OR(AUTOEVENTO&lt;&gt;"manual",$M247&lt;&gt;$A$15)),
        IF(Import.TipoArredondamento&lt;&gt;"TransfereGOV",
              ROUND(OFFSET($P247,0,AC$13),15-13*ORÇAMENTO!$AF$7)/$H247*OFFSET(ORÇAMENTO!$X$15,ROW(AC247)-ROW(AC$15),0),
              ROUND(ROUND(OFFSET($P247,0,AC$13),15-13*ORÇAMENTO!$AF$7)*OFFSET(ORÇAMENTO!$W$15,ROW(AC247)-ROW(AC$15),0),15-13*ORÇAMENTO!$AF$11)),
         0)</f>
        <v>0</v>
      </c>
      <c r="AD247" s="454">
        <f ca="1">IF(AND($D247="Serviço",AD$12&lt;&gt;0,$H247&gt;0,OR(AUTOEVENTO&lt;&gt;"manual",$M247&lt;&gt;$A$15)),
        IF(Import.TipoArredondamento&lt;&gt;"TransfereGOV",
              ROUND(OFFSET($P247,0,AD$13),15-13*ORÇAMENTO!$AF$7)/$H247*OFFSET(ORÇAMENTO!$X$15,ROW(AD247)-ROW(AD$15),0),
              ROUND(ROUND(OFFSET($P247,0,AD$13),15-13*ORÇAMENTO!$AF$7)*OFFSET(ORÇAMENTO!$W$15,ROW(AD247)-ROW(AD$15),0),15-13*ORÇAMENTO!$AF$11)),
         0)</f>
        <v>0</v>
      </c>
      <c r="AE247" s="454">
        <f ca="1">IF(AND($D247="Serviço",AE$12&lt;&gt;0,$H247&gt;0,OR(AUTOEVENTO&lt;&gt;"manual",$M247&lt;&gt;$A$15)),
        IF(Import.TipoArredondamento&lt;&gt;"TransfereGOV",
              ROUND(OFFSET($P247,0,AE$13),15-13*ORÇAMENTO!$AF$7)/$H247*OFFSET(ORÇAMENTO!$X$15,ROW(AE247)-ROW(AE$15),0),
              ROUND(ROUND(OFFSET($P247,0,AE$13),15-13*ORÇAMENTO!$AF$7)*OFFSET(ORÇAMENTO!$W$15,ROW(AE247)-ROW(AE$15),0),15-13*ORÇAMENTO!$AF$11)),
         0)</f>
        <v>0</v>
      </c>
      <c r="AF247" s="454">
        <f ca="1">IF(AND($D247="Serviço",AF$12&lt;&gt;0,$H247&gt;0,OR(AUTOEVENTO&lt;&gt;"manual",$M247&lt;&gt;$A$15)),
        IF(Import.TipoArredondamento&lt;&gt;"TransfereGOV",
              ROUND(OFFSET($P247,0,AF$13),15-13*ORÇAMENTO!$AF$7)/$H247*OFFSET(ORÇAMENTO!$X$15,ROW(AF247)-ROW(AF$15),0),
              ROUND(ROUND(OFFSET($P247,0,AF$13),15-13*ORÇAMENTO!$AF$7)*OFFSET(ORÇAMENTO!$W$15,ROW(AF247)-ROW(AF$15),0),15-13*ORÇAMENTO!$AF$11)),
         0)</f>
        <v>0</v>
      </c>
      <c r="AG247" s="454">
        <f ca="1">IF(AND($D247="Serviço",AG$12&lt;&gt;0,$H247&gt;0,OR(AUTOEVENTO&lt;&gt;"manual",$M247&lt;&gt;$A$15)),
        IF(Import.TipoArredondamento&lt;&gt;"TransfereGOV",
              ROUND(OFFSET($P247,0,AG$13),15-13*ORÇAMENTO!$AF$7)/$H247*OFFSET(ORÇAMENTO!$X$15,ROW(AG247)-ROW(AG$15),0),
              ROUND(ROUND(OFFSET($P247,0,AG$13),15-13*ORÇAMENTO!$AF$7)*OFFSET(ORÇAMENTO!$W$15,ROW(AG247)-ROW(AG$15),0),15-13*ORÇAMENTO!$AF$11)),
         0)</f>
        <v>0</v>
      </c>
      <c r="AH247" s="454">
        <f ca="1">IF(AND($D247="Serviço",AH$12&lt;&gt;0,$H247&gt;0,OR(AUTOEVENTO&lt;&gt;"manual",$M247&lt;&gt;$A$15)),
        IF(Import.TipoArredondamento&lt;&gt;"TransfereGOV",
              ROUND(OFFSET($P247,0,AH$13),15-13*ORÇAMENTO!$AF$7)/$H247*OFFSET(ORÇAMENTO!$X$15,ROW(AH247)-ROW(AH$15),0),
              ROUND(ROUND(OFFSET($P247,0,AH$13),15-13*ORÇAMENTO!$AF$7)*OFFSET(ORÇAMENTO!$W$15,ROW(AH247)-ROW(AH$15),0),15-13*ORÇAMENTO!$AF$11)),
         0)</f>
        <v>0</v>
      </c>
      <c r="AI247" s="454">
        <f ca="1">IF(AND($D247="Serviço",AI$12&lt;&gt;0,$H247&gt;0,OR(AUTOEVENTO&lt;&gt;"manual",$M247&lt;&gt;$A$15)),
        IF(Import.TipoArredondamento&lt;&gt;"TransfereGOV",
              ROUND(OFFSET($P247,0,AI$13),15-13*ORÇAMENTO!$AF$7)/$H247*OFFSET(ORÇAMENTO!$X$15,ROW(AI247)-ROW(AI$15),0),
              ROUND(ROUND(OFFSET($P247,0,AI$13),15-13*ORÇAMENTO!$AF$7)*OFFSET(ORÇAMENTO!$W$15,ROW(AI247)-ROW(AI$15),0),15-13*ORÇAMENTO!$AF$11)),
         0)</f>
        <v>0</v>
      </c>
      <c r="AJ247" s="454">
        <f ca="1">IF(AND($D247="Serviço",AJ$12&lt;&gt;0,$H247&gt;0,OR(AUTOEVENTO&lt;&gt;"manual",$M247&lt;&gt;$A$15)),
        IF(Import.TipoArredondamento&lt;&gt;"TransfereGOV",
              ROUND(OFFSET($P247,0,AJ$13),15-13*ORÇAMENTO!$AF$7)/$H247*OFFSET(ORÇAMENTO!$X$15,ROW(AJ247)-ROW(AJ$15),0),
              ROUND(ROUND(OFFSET($P247,0,AJ$13),15-13*ORÇAMENTO!$AF$7)*OFFSET(ORÇAMENTO!$W$15,ROW(AJ247)-ROW(AJ$15),0),15-13*ORÇAMENTO!$AF$11)),
         0)</f>
        <v>0</v>
      </c>
      <c r="AK247" s="454">
        <f ca="1">IF(AND($D247="Serviço",AK$12&lt;&gt;0,$H247&gt;0,OR(AUTOEVENTO&lt;&gt;"manual",$M247&lt;&gt;$A$15)),
        IF(Import.TipoArredondamento&lt;&gt;"TransfereGOV",
              ROUND(OFFSET($P247,0,AK$13),15-13*ORÇAMENTO!$AF$7)/$H247*OFFSET(ORÇAMENTO!$X$15,ROW(AK247)-ROW(AK$15),0),
              ROUND(ROUND(OFFSET($P247,0,AK$13),15-13*ORÇAMENTO!$AF$7)*OFFSET(ORÇAMENTO!$W$15,ROW(AK247)-ROW(AK$15),0),15-13*ORÇAMENTO!$AF$11)),
         0)</f>
        <v>0</v>
      </c>
      <c r="AM247" s="172">
        <f ca="1">IF(OR($D247&lt;&gt;"Serviço",AND(AUTOEVENTO="Manual",$M247=$A$15)),0,
         IF(OFFSET(CRONOPLE!$F$15,$M247-$A$15,AM$13)="",10^12,OFFSET(CRONOPLE!$F$15,$M247-$A$15,AM$13)))</f>
        <v>0</v>
      </c>
      <c r="AN247" s="172">
        <f ca="1">IF(OR($D247&lt;&gt;"Serviço",AND(AUTOEVENTO="Manual",$M247=$A$15)),0,
         IF(OFFSET(CRONOPLE!$F$15,$M247-$A$15,AN$13)="",10^12,OFFSET(CRONOPLE!$F$15,$M247-$A$15,AN$13)))</f>
        <v>0</v>
      </c>
      <c r="AO247" s="172">
        <f ca="1">IF(OR($D247&lt;&gt;"Serviço",AND(AUTOEVENTO="Manual",$M247=$A$15)),0,
         IF(OFFSET(CRONOPLE!$F$15,$M247-$A$15,AO$13)="",10^12,OFFSET(CRONOPLE!$F$15,$M247-$A$15,AO$13)))</f>
        <v>0</v>
      </c>
      <c r="AP247" s="172">
        <f ca="1">IF(OR($D247&lt;&gt;"Serviço",AND(AUTOEVENTO="Manual",$M247=$A$15)),0,
         IF(OFFSET(CRONOPLE!$F$15,$M247-$A$15,AP$13)="",10^12,OFFSET(CRONOPLE!$F$15,$M247-$A$15,AP$13)))</f>
        <v>0</v>
      </c>
      <c r="AQ247" s="172">
        <f ca="1">IF(OR($D247&lt;&gt;"Serviço",AND(AUTOEVENTO="Manual",$M247=$A$15)),0,
         IF(OFFSET(CRONOPLE!$F$15,$M247-$A$15,AQ$13)="",10^12,OFFSET(CRONOPLE!$F$15,$M247-$A$15,AQ$13)))</f>
        <v>0</v>
      </c>
      <c r="AR247" s="172">
        <f ca="1">IF(OR($D247&lt;&gt;"Serviço",AND(AUTOEVENTO="Manual",$M247=$A$15)),0,
         IF(OFFSET(CRONOPLE!$F$15,$M247-$A$15,AR$13)="",10^12,OFFSET(CRONOPLE!$F$15,$M247-$A$15,AR$13)))</f>
        <v>0</v>
      </c>
      <c r="AS247" s="172">
        <f ca="1">IF(OR($D247&lt;&gt;"Serviço",AND(AUTOEVENTO="Manual",$M247=$A$15)),0,
         IF(OFFSET(CRONOPLE!$F$15,$M247-$A$15,AS$13)="",10^12,OFFSET(CRONOPLE!$F$15,$M247-$A$15,AS$13)))</f>
        <v>0</v>
      </c>
      <c r="AT247" s="172">
        <f ca="1">IF(OR($D247&lt;&gt;"Serviço",AND(AUTOEVENTO="Manual",$M247=$A$15)),0,
         IF(OFFSET(CRONOPLE!$F$15,$M247-$A$15,AT$13)="",10^12,OFFSET(CRONOPLE!$F$15,$M247-$A$15,AT$13)))</f>
        <v>0</v>
      </c>
      <c r="AU247" s="172">
        <f ca="1">IF(OR($D247&lt;&gt;"Serviço",AND(AUTOEVENTO="Manual",$M247=$A$15)),0,
         IF(OFFSET(CRONOPLE!$F$15,$M247-$A$15,AU$13)="",10^12,OFFSET(CRONOPLE!$F$15,$M247-$A$15,AU$13)))</f>
        <v>0</v>
      </c>
      <c r="AV247" s="172">
        <f ca="1">IF(OR($D247&lt;&gt;"Serviço",AND(AUTOEVENTO="Manual",$M247=$A$15)),0,
         IF(OFFSET(CRONOPLE!$F$15,$M247-$A$15,AV$13)="",10^12,OFFSET(CRONOPLE!$F$15,$M247-$A$15,AV$13)))</f>
        <v>0</v>
      </c>
      <c r="AX247" s="173">
        <f ca="1">IF(OR($D247&lt;&gt;"Serviço",AND(AUTOEVENTO="Manual",$M247=$A$15),$M247&gt;(ROW(PLE.lastrow)-ROW(PLE.firstrow))),0,
           IF(OFFSET(PLE!$G$15,$M247-$A$15,AX$13)="",10^12,OFFSET(PLE!$G$15,$M247-$A$15,AX$13)))</f>
        <v>0</v>
      </c>
      <c r="AY247" s="173">
        <f ca="1">IF(OR($D247&lt;&gt;"Serviço",AND(AUTOEVENTO="Manual",$M247=$A$15),$M247&gt;(ROW(PLE.lastrow)-ROW(PLE.firstrow))),0,
           IF(OFFSET(PLE!$G$15,$M247-$A$15,AY$13)="",10^12,OFFSET(PLE!$G$15,$M247-$A$15,AY$13)))</f>
        <v>0</v>
      </c>
      <c r="AZ247" s="173">
        <f ca="1">IF(OR($D247&lt;&gt;"Serviço",AND(AUTOEVENTO="Manual",$M247=$A$15),$M247&gt;(ROW(PLE.lastrow)-ROW(PLE.firstrow))),0,
           IF(OFFSET(PLE!$G$15,$M247-$A$15,AZ$13)="",10^12,OFFSET(PLE!$G$15,$M247-$A$15,AZ$13)))</f>
        <v>0</v>
      </c>
      <c r="BA247" s="173">
        <f ca="1">IF(OR($D247&lt;&gt;"Serviço",AND(AUTOEVENTO="Manual",$M247=$A$15),$M247&gt;(ROW(PLE.lastrow)-ROW(PLE.firstrow))),0,
           IF(OFFSET(PLE!$G$15,$M247-$A$15,BA$13)="",10^12,OFFSET(PLE!$G$15,$M247-$A$15,BA$13)))</f>
        <v>0</v>
      </c>
      <c r="BB247" s="173">
        <f ca="1">IF(OR($D247&lt;&gt;"Serviço",AND(AUTOEVENTO="Manual",$M247=$A$15),$M247&gt;(ROW(PLE.lastrow)-ROW(PLE.firstrow))),0,
           IF(OFFSET(PLE!$G$15,$M247-$A$15,BB$13)="",10^12,OFFSET(PLE!$G$15,$M247-$A$15,BB$13)))</f>
        <v>0</v>
      </c>
      <c r="BC247" s="173">
        <f ca="1">IF(OR($D247&lt;&gt;"Serviço",AND(AUTOEVENTO="Manual",$M247=$A$15),$M247&gt;(ROW(PLE.lastrow)-ROW(PLE.firstrow))),0,
           IF(OFFSET(PLE!$G$15,$M247-$A$15,BC$13)="",10^12,OFFSET(PLE!$G$15,$M247-$A$15,BC$13)))</f>
        <v>0</v>
      </c>
      <c r="BD247" s="173">
        <f ca="1">IF(OR($D247&lt;&gt;"Serviço",AND(AUTOEVENTO="Manual",$M247=$A$15),$M247&gt;(ROW(PLE.lastrow)-ROW(PLE.firstrow))),0,
           IF(OFFSET(PLE!$G$15,$M247-$A$15,BD$13)="",10^12,OFFSET(PLE!$G$15,$M247-$A$15,BD$13)))</f>
        <v>0</v>
      </c>
      <c r="BE247" s="173">
        <f ca="1">IF(OR($D247&lt;&gt;"Serviço",AND(AUTOEVENTO="Manual",$M247=$A$15),$M247&gt;(ROW(PLE.lastrow)-ROW(PLE.firstrow))),0,
           IF(OFFSET(PLE!$G$15,$M247-$A$15,BE$13)="",10^12,OFFSET(PLE!$G$15,$M247-$A$15,BE$13)))</f>
        <v>0</v>
      </c>
      <c r="BF247" s="173">
        <f ca="1">IF(OR($D247&lt;&gt;"Serviço",AND(AUTOEVENTO="Manual",$M247=$A$15),$M247&gt;(ROW(PLE.lastrow)-ROW(PLE.firstrow))),0,
           IF(OFFSET(PLE!$G$15,$M247-$A$15,BF$13)="",10^12,OFFSET(PLE!$G$15,$M247-$A$15,BF$13)))</f>
        <v>0</v>
      </c>
      <c r="BG247" s="173">
        <f ca="1">IF(OR($D247&lt;&gt;"Serviço",AND(AUTOEVENTO="Manual",$M247=$A$15),$M247&gt;(ROW(PLE.lastrow)-ROW(PLE.firstrow))),0,
           IF(OFFSET(PLE!$G$15,$M247-$A$15,BG$13)="",10^12,OFFSET(PLE!$G$15,$M247-$A$15,BG$13)))</f>
        <v>0</v>
      </c>
    </row>
    <row r="248" spans="1:59" ht="38.25" x14ac:dyDescent="0.2">
      <c r="A248" s="7" t="str">
        <f t="shared" ca="1" si="11"/>
        <v>232</v>
      </c>
      <c r="B248" s="7" t="str">
        <f ca="1">OFFSET(ORÇAMENTO!C$15,ROW(B248)-ROW(B$15),0)</f>
        <v>S</v>
      </c>
      <c r="C248" s="7" t="str">
        <f ca="1">OFFSET(ORÇAMENTO!L$15,ROW(C248)-ROW(C$15),0)</f>
        <v/>
      </c>
      <c r="D248" s="117" t="str">
        <f ca="1">OFFSET(ORÇAMENTO!N$15,ROW(D248)-ROW(D$15),0)</f>
        <v>Serviço</v>
      </c>
      <c r="E248" s="118" t="str">
        <f ca="1">OFFSET(ORÇAMENTO!O$15,ROW(E248)-ROW(E$15),0)</f>
        <v>-</v>
      </c>
      <c r="F248" s="164" t="str">
        <f ca="1">OFFSET(ORÇAMENTO!R$15,ROW(F248)-ROW(F$15),0)</f>
        <v>PORTA DE ALUMÍNIO DE ABRIR COM LAMBRI, COM GUARNIÇÃO, FIXAÇÃO COM PARAFUSOS - FORNECIMENTO E INSTALAÇÃO. AF_12/2019. LINHA SUPREMA</v>
      </c>
      <c r="G248" s="165" t="str">
        <f ca="1">IF($D248&lt;&gt;"Serviço","",OFFSET(ORÇAMENTO!S$15,ROW(G248)-ROW(G$15),0))</f>
        <v>M2</v>
      </c>
      <c r="H248" s="123">
        <f ca="1">IF($D248&lt;&gt;"Serviço",0,IF(ACOMPANHAMENTO="BM",ROUND(OFFSET(ORÇAMENTO!AJ$15,ROW(H248)-ROW(H$15),0),15-13*ORÇAMENTO!$AF$7),SUMPRODUCT(($Q$1:$AA$1=1)*ROUND($Q248:$AA248,15-13*ORÇAMENTO!$AF$7))))</f>
        <v>113.98</v>
      </c>
      <c r="I248" s="469"/>
      <c r="J248" s="577" t="str" cm="1">
        <f t="array" aca="1" ref="J248" ca="1">IF(B248&lt;&gt;"S","",IF(AND(ACOMPANHAMENTO="PLE",AUTOEVENTO="Manual",OR(H248&gt;0,ORÇAMENTO!AC248="QUANT."),OR(K248="",M248=0,N248="")),"►",IF(AND(ACOMPANHAMENTO="PLE",ORÇAMENTO!AC248="QUANT."),"►►",IF(AND(COUNTIF($P$11:$AA$11,"▼")=0,H248&gt;0,I248=""),"◄",""))))</f>
        <v>◄</v>
      </c>
      <c r="K248" s="626"/>
      <c r="L248" s="166" t="s">
        <v>765</v>
      </c>
      <c r="M248" s="167">
        <f ca="1">IF($D248&lt;&gt;"Serviço","",
          IF(AUTOEVENTO="manual",$A248,
                IF(ISERROR(MATCH($A248,$A$15:OFFSET($A248,-1,0),0)),MAX($M$15:OFFSET(M248,-1,0))+1,
                      INDEX($M$15:OFFSET(M248,-1,0),MATCH($A248,$A$15:OFFSET($A248,-1,0),0)))))</f>
        <v>14</v>
      </c>
      <c r="N248" s="168" t="str">
        <f ca="1">IF($D248&lt;&gt;"Serviço","",
         IF(AUTOEVENTO="Manual",
                IF($A248=0,"&lt;-- defina o número do agrupador",
                       OFFSET(EVENTOS!$D$15,$A248-$A$15,0)),
                OFFSET($F$15,$A248,0)))</f>
        <v>ESQUADRIAS E VIDROS</v>
      </c>
      <c r="O248" s="169"/>
      <c r="Q248" s="169"/>
      <c r="R248" s="170"/>
      <c r="S248" s="170"/>
      <c r="T248" s="170"/>
      <c r="U248" s="170"/>
      <c r="V248" s="170"/>
      <c r="W248" s="170"/>
      <c r="X248" s="170"/>
      <c r="Y248" s="170"/>
      <c r="Z248" s="171"/>
      <c r="AB248" s="454">
        <f ca="1">IF(AND($D248="Serviço",AB$12&lt;&gt;0,$H248&gt;0,OR(AUTOEVENTO&lt;&gt;"manual",$M248&lt;&gt;$A$15)),
        IF(Import.TipoArredondamento&lt;&gt;"TransfereGOV",
              ROUND(OFFSET($P248,0,AB$13),15-13*ORÇAMENTO!$AF$7)/$H248*OFFSET(ORÇAMENTO!$X$15,ROW(AB248)-ROW(AB$15),0),
              ROUND(ROUND(OFFSET($P248,0,AB$13),15-13*ORÇAMENTO!$AF$7)*OFFSET(ORÇAMENTO!$W$15,ROW(AB248)-ROW(AB$15),0),15-13*ORÇAMENTO!$AF$11)),
         0)</f>
        <v>0</v>
      </c>
      <c r="AC248" s="454">
        <f ca="1">IF(AND($D248="Serviço",AC$12&lt;&gt;0,$H248&gt;0,OR(AUTOEVENTO&lt;&gt;"manual",$M248&lt;&gt;$A$15)),
        IF(Import.TipoArredondamento&lt;&gt;"TransfereGOV",
              ROUND(OFFSET($P248,0,AC$13),15-13*ORÇAMENTO!$AF$7)/$H248*OFFSET(ORÇAMENTO!$X$15,ROW(AC248)-ROW(AC$15),0),
              ROUND(ROUND(OFFSET($P248,0,AC$13),15-13*ORÇAMENTO!$AF$7)*OFFSET(ORÇAMENTO!$W$15,ROW(AC248)-ROW(AC$15),0),15-13*ORÇAMENTO!$AF$11)),
         0)</f>
        <v>0</v>
      </c>
      <c r="AD248" s="454">
        <f ca="1">IF(AND($D248="Serviço",AD$12&lt;&gt;0,$H248&gt;0,OR(AUTOEVENTO&lt;&gt;"manual",$M248&lt;&gt;$A$15)),
        IF(Import.TipoArredondamento&lt;&gt;"TransfereGOV",
              ROUND(OFFSET($P248,0,AD$13),15-13*ORÇAMENTO!$AF$7)/$H248*OFFSET(ORÇAMENTO!$X$15,ROW(AD248)-ROW(AD$15),0),
              ROUND(ROUND(OFFSET($P248,0,AD$13),15-13*ORÇAMENTO!$AF$7)*OFFSET(ORÇAMENTO!$W$15,ROW(AD248)-ROW(AD$15),0),15-13*ORÇAMENTO!$AF$11)),
         0)</f>
        <v>0</v>
      </c>
      <c r="AE248" s="454">
        <f ca="1">IF(AND($D248="Serviço",AE$12&lt;&gt;0,$H248&gt;0,OR(AUTOEVENTO&lt;&gt;"manual",$M248&lt;&gt;$A$15)),
        IF(Import.TipoArredondamento&lt;&gt;"TransfereGOV",
              ROUND(OFFSET($P248,0,AE$13),15-13*ORÇAMENTO!$AF$7)/$H248*OFFSET(ORÇAMENTO!$X$15,ROW(AE248)-ROW(AE$15),0),
              ROUND(ROUND(OFFSET($P248,0,AE$13),15-13*ORÇAMENTO!$AF$7)*OFFSET(ORÇAMENTO!$W$15,ROW(AE248)-ROW(AE$15),0),15-13*ORÇAMENTO!$AF$11)),
         0)</f>
        <v>0</v>
      </c>
      <c r="AF248" s="454">
        <f ca="1">IF(AND($D248="Serviço",AF$12&lt;&gt;0,$H248&gt;0,OR(AUTOEVENTO&lt;&gt;"manual",$M248&lt;&gt;$A$15)),
        IF(Import.TipoArredondamento&lt;&gt;"TransfereGOV",
              ROUND(OFFSET($P248,0,AF$13),15-13*ORÇAMENTO!$AF$7)/$H248*OFFSET(ORÇAMENTO!$X$15,ROW(AF248)-ROW(AF$15),0),
              ROUND(ROUND(OFFSET($P248,0,AF$13),15-13*ORÇAMENTO!$AF$7)*OFFSET(ORÇAMENTO!$W$15,ROW(AF248)-ROW(AF$15),0),15-13*ORÇAMENTO!$AF$11)),
         0)</f>
        <v>0</v>
      </c>
      <c r="AG248" s="454">
        <f ca="1">IF(AND($D248="Serviço",AG$12&lt;&gt;0,$H248&gt;0,OR(AUTOEVENTO&lt;&gt;"manual",$M248&lt;&gt;$A$15)),
        IF(Import.TipoArredondamento&lt;&gt;"TransfereGOV",
              ROUND(OFFSET($P248,0,AG$13),15-13*ORÇAMENTO!$AF$7)/$H248*OFFSET(ORÇAMENTO!$X$15,ROW(AG248)-ROW(AG$15),0),
              ROUND(ROUND(OFFSET($P248,0,AG$13),15-13*ORÇAMENTO!$AF$7)*OFFSET(ORÇAMENTO!$W$15,ROW(AG248)-ROW(AG$15),0),15-13*ORÇAMENTO!$AF$11)),
         0)</f>
        <v>0</v>
      </c>
      <c r="AH248" s="454">
        <f ca="1">IF(AND($D248="Serviço",AH$12&lt;&gt;0,$H248&gt;0,OR(AUTOEVENTO&lt;&gt;"manual",$M248&lt;&gt;$A$15)),
        IF(Import.TipoArredondamento&lt;&gt;"TransfereGOV",
              ROUND(OFFSET($P248,0,AH$13),15-13*ORÇAMENTO!$AF$7)/$H248*OFFSET(ORÇAMENTO!$X$15,ROW(AH248)-ROW(AH$15),0),
              ROUND(ROUND(OFFSET($P248,0,AH$13),15-13*ORÇAMENTO!$AF$7)*OFFSET(ORÇAMENTO!$W$15,ROW(AH248)-ROW(AH$15),0),15-13*ORÇAMENTO!$AF$11)),
         0)</f>
        <v>0</v>
      </c>
      <c r="AI248" s="454">
        <f ca="1">IF(AND($D248="Serviço",AI$12&lt;&gt;0,$H248&gt;0,OR(AUTOEVENTO&lt;&gt;"manual",$M248&lt;&gt;$A$15)),
        IF(Import.TipoArredondamento&lt;&gt;"TransfereGOV",
              ROUND(OFFSET($P248,0,AI$13),15-13*ORÇAMENTO!$AF$7)/$H248*OFFSET(ORÇAMENTO!$X$15,ROW(AI248)-ROW(AI$15),0),
              ROUND(ROUND(OFFSET($P248,0,AI$13),15-13*ORÇAMENTO!$AF$7)*OFFSET(ORÇAMENTO!$W$15,ROW(AI248)-ROW(AI$15),0),15-13*ORÇAMENTO!$AF$11)),
         0)</f>
        <v>0</v>
      </c>
      <c r="AJ248" s="454">
        <f ca="1">IF(AND($D248="Serviço",AJ$12&lt;&gt;0,$H248&gt;0,OR(AUTOEVENTO&lt;&gt;"manual",$M248&lt;&gt;$A$15)),
        IF(Import.TipoArredondamento&lt;&gt;"TransfereGOV",
              ROUND(OFFSET($P248,0,AJ$13),15-13*ORÇAMENTO!$AF$7)/$H248*OFFSET(ORÇAMENTO!$X$15,ROW(AJ248)-ROW(AJ$15),0),
              ROUND(ROUND(OFFSET($P248,0,AJ$13),15-13*ORÇAMENTO!$AF$7)*OFFSET(ORÇAMENTO!$W$15,ROW(AJ248)-ROW(AJ$15),0),15-13*ORÇAMENTO!$AF$11)),
         0)</f>
        <v>0</v>
      </c>
      <c r="AK248" s="454">
        <f ca="1">IF(AND($D248="Serviço",AK$12&lt;&gt;0,$H248&gt;0,OR(AUTOEVENTO&lt;&gt;"manual",$M248&lt;&gt;$A$15)),
        IF(Import.TipoArredondamento&lt;&gt;"TransfereGOV",
              ROUND(OFFSET($P248,0,AK$13),15-13*ORÇAMENTO!$AF$7)/$H248*OFFSET(ORÇAMENTO!$X$15,ROW(AK248)-ROW(AK$15),0),
              ROUND(ROUND(OFFSET($P248,0,AK$13),15-13*ORÇAMENTO!$AF$7)*OFFSET(ORÇAMENTO!$W$15,ROW(AK248)-ROW(AK$15),0),15-13*ORÇAMENTO!$AF$11)),
         0)</f>
        <v>0</v>
      </c>
      <c r="AM248" s="172">
        <f ca="1">IF(OR($D248&lt;&gt;"Serviço",AND(AUTOEVENTO="Manual",$M248=$A$15)),0,
         IF(OFFSET(CRONOPLE!$F$15,$M248-$A$15,AM$13)="",10^12,OFFSET(CRONOPLE!$F$15,$M248-$A$15,AM$13)))</f>
        <v>1000000000000</v>
      </c>
      <c r="AN248" s="172">
        <f ca="1">IF(OR($D248&lt;&gt;"Serviço",AND(AUTOEVENTO="Manual",$M248=$A$15)),0,
         IF(OFFSET(CRONOPLE!$F$15,$M248-$A$15,AN$13)="",10^12,OFFSET(CRONOPLE!$F$15,$M248-$A$15,AN$13)))</f>
        <v>1000000000000</v>
      </c>
      <c r="AO248" s="172">
        <f ca="1">IF(OR($D248&lt;&gt;"Serviço",AND(AUTOEVENTO="Manual",$M248=$A$15)),0,
         IF(OFFSET(CRONOPLE!$F$15,$M248-$A$15,AO$13)="",10^12,OFFSET(CRONOPLE!$F$15,$M248-$A$15,AO$13)))</f>
        <v>1000000000000</v>
      </c>
      <c r="AP248" s="172">
        <f ca="1">IF(OR($D248&lt;&gt;"Serviço",AND(AUTOEVENTO="Manual",$M248=$A$15)),0,
         IF(OFFSET(CRONOPLE!$F$15,$M248-$A$15,AP$13)="",10^12,OFFSET(CRONOPLE!$F$15,$M248-$A$15,AP$13)))</f>
        <v>1000000000000</v>
      </c>
      <c r="AQ248" s="172">
        <f ca="1">IF(OR($D248&lt;&gt;"Serviço",AND(AUTOEVENTO="Manual",$M248=$A$15)),0,
         IF(OFFSET(CRONOPLE!$F$15,$M248-$A$15,AQ$13)="",10^12,OFFSET(CRONOPLE!$F$15,$M248-$A$15,AQ$13)))</f>
        <v>1000000000000</v>
      </c>
      <c r="AR248" s="172">
        <f ca="1">IF(OR($D248&lt;&gt;"Serviço",AND(AUTOEVENTO="Manual",$M248=$A$15)),0,
         IF(OFFSET(CRONOPLE!$F$15,$M248-$A$15,AR$13)="",10^12,OFFSET(CRONOPLE!$F$15,$M248-$A$15,AR$13)))</f>
        <v>1000000000000</v>
      </c>
      <c r="AS248" s="172">
        <f ca="1">IF(OR($D248&lt;&gt;"Serviço",AND(AUTOEVENTO="Manual",$M248=$A$15)),0,
         IF(OFFSET(CRONOPLE!$F$15,$M248-$A$15,AS$13)="",10^12,OFFSET(CRONOPLE!$F$15,$M248-$A$15,AS$13)))</f>
        <v>1000000000000</v>
      </c>
      <c r="AT248" s="172">
        <f ca="1">IF(OR($D248&lt;&gt;"Serviço",AND(AUTOEVENTO="Manual",$M248=$A$15)),0,
         IF(OFFSET(CRONOPLE!$F$15,$M248-$A$15,AT$13)="",10^12,OFFSET(CRONOPLE!$F$15,$M248-$A$15,AT$13)))</f>
        <v>1000000000000</v>
      </c>
      <c r="AU248" s="172">
        <f ca="1">IF(OR($D248&lt;&gt;"Serviço",AND(AUTOEVENTO="Manual",$M248=$A$15)),0,
         IF(OFFSET(CRONOPLE!$F$15,$M248-$A$15,AU$13)="",10^12,OFFSET(CRONOPLE!$F$15,$M248-$A$15,AU$13)))</f>
        <v>1000000000000</v>
      </c>
      <c r="AV248" s="172">
        <f ca="1">IF(OR($D248&lt;&gt;"Serviço",AND(AUTOEVENTO="Manual",$M248=$A$15)),0,
         IF(OFFSET(CRONOPLE!$F$15,$M248-$A$15,AV$13)="",10^12,OFFSET(CRONOPLE!$F$15,$M248-$A$15,AV$13)))</f>
        <v>1000000000000</v>
      </c>
      <c r="AX248" s="173">
        <f ca="1">IF(OR($D248&lt;&gt;"Serviço",AND(AUTOEVENTO="Manual",$M248=$A$15),$M248&gt;(ROW(PLE.lastrow)-ROW(PLE.firstrow))),0,
           IF(OFFSET(PLE!$G$15,$M248-$A$15,AX$13)="",10^12,OFFSET(PLE!$G$15,$M248-$A$15,AX$13)))</f>
        <v>1000000000000</v>
      </c>
      <c r="AY248" s="173">
        <f ca="1">IF(OR($D248&lt;&gt;"Serviço",AND(AUTOEVENTO="Manual",$M248=$A$15),$M248&gt;(ROW(PLE.lastrow)-ROW(PLE.firstrow))),0,
           IF(OFFSET(PLE!$G$15,$M248-$A$15,AY$13)="",10^12,OFFSET(PLE!$G$15,$M248-$A$15,AY$13)))</f>
        <v>1000000000000</v>
      </c>
      <c r="AZ248" s="173">
        <f ca="1">IF(OR($D248&lt;&gt;"Serviço",AND(AUTOEVENTO="Manual",$M248=$A$15),$M248&gt;(ROW(PLE.lastrow)-ROW(PLE.firstrow))),0,
           IF(OFFSET(PLE!$G$15,$M248-$A$15,AZ$13)="",10^12,OFFSET(PLE!$G$15,$M248-$A$15,AZ$13)))</f>
        <v>1000000000000</v>
      </c>
      <c r="BA248" s="173">
        <f ca="1">IF(OR($D248&lt;&gt;"Serviço",AND(AUTOEVENTO="Manual",$M248=$A$15),$M248&gt;(ROW(PLE.lastrow)-ROW(PLE.firstrow))),0,
           IF(OFFSET(PLE!$G$15,$M248-$A$15,BA$13)="",10^12,OFFSET(PLE!$G$15,$M248-$A$15,BA$13)))</f>
        <v>1000000000000</v>
      </c>
      <c r="BB248" s="173">
        <f ca="1">IF(OR($D248&lt;&gt;"Serviço",AND(AUTOEVENTO="Manual",$M248=$A$15),$M248&gt;(ROW(PLE.lastrow)-ROW(PLE.firstrow))),0,
           IF(OFFSET(PLE!$G$15,$M248-$A$15,BB$13)="",10^12,OFFSET(PLE!$G$15,$M248-$A$15,BB$13)))</f>
        <v>1000000000000</v>
      </c>
      <c r="BC248" s="173">
        <f ca="1">IF(OR($D248&lt;&gt;"Serviço",AND(AUTOEVENTO="Manual",$M248=$A$15),$M248&gt;(ROW(PLE.lastrow)-ROW(PLE.firstrow))),0,
           IF(OFFSET(PLE!$G$15,$M248-$A$15,BC$13)="",10^12,OFFSET(PLE!$G$15,$M248-$A$15,BC$13)))</f>
        <v>1000000000000</v>
      </c>
      <c r="BD248" s="173">
        <f ca="1">IF(OR($D248&lt;&gt;"Serviço",AND(AUTOEVENTO="Manual",$M248=$A$15),$M248&gt;(ROW(PLE.lastrow)-ROW(PLE.firstrow))),0,
           IF(OFFSET(PLE!$G$15,$M248-$A$15,BD$13)="",10^12,OFFSET(PLE!$G$15,$M248-$A$15,BD$13)))</f>
        <v>1000000000000</v>
      </c>
      <c r="BE248" s="173">
        <f ca="1">IF(OR($D248&lt;&gt;"Serviço",AND(AUTOEVENTO="Manual",$M248=$A$15),$M248&gt;(ROW(PLE.lastrow)-ROW(PLE.firstrow))),0,
           IF(OFFSET(PLE!$G$15,$M248-$A$15,BE$13)="",10^12,OFFSET(PLE!$G$15,$M248-$A$15,BE$13)))</f>
        <v>1000000000000</v>
      </c>
      <c r="BF248" s="173">
        <f ca="1">IF(OR($D248&lt;&gt;"Serviço",AND(AUTOEVENTO="Manual",$M248=$A$15),$M248&gt;(ROW(PLE.lastrow)-ROW(PLE.firstrow))),0,
           IF(OFFSET(PLE!$G$15,$M248-$A$15,BF$13)="",10^12,OFFSET(PLE!$G$15,$M248-$A$15,BF$13)))</f>
        <v>1000000000000</v>
      </c>
      <c r="BG248" s="173">
        <f ca="1">IF(OR($D248&lt;&gt;"Serviço",AND(AUTOEVENTO="Manual",$M248=$A$15),$M248&gt;(ROW(PLE.lastrow)-ROW(PLE.firstrow))),0,
           IF(OFFSET(PLE!$G$15,$M248-$A$15,BG$13)="",10^12,OFFSET(PLE!$G$15,$M248-$A$15,BG$13)))</f>
        <v>1000000000000</v>
      </c>
    </row>
    <row r="249" spans="1:59" ht="51" x14ac:dyDescent="0.2">
      <c r="A249" s="7" t="str">
        <f t="shared" ca="1" si="11"/>
        <v>232</v>
      </c>
      <c r="B249" s="7" t="str">
        <f ca="1">OFFSET(ORÇAMENTO!C$15,ROW(B249)-ROW(B$15),0)</f>
        <v>S</v>
      </c>
      <c r="C249" s="7" t="str">
        <f ca="1">OFFSET(ORÇAMENTO!L$15,ROW(C249)-ROW(C$15),0)</f>
        <v/>
      </c>
      <c r="D249" s="117" t="str">
        <f ca="1">OFFSET(ORÇAMENTO!N$15,ROW(D249)-ROW(D$15),0)</f>
        <v>Serviço</v>
      </c>
      <c r="E249" s="118" t="str">
        <f ca="1">OFFSET(ORÇAMENTO!O$15,ROW(E249)-ROW(E$15),0)</f>
        <v>-</v>
      </c>
      <c r="F249" s="164" t="str">
        <f ca="1">OFFSET(ORÇAMENTO!R$15,ROW(F249)-ROW(F$15),0)</f>
        <v>JANELA DE ALUMÍNIO DE CORRER COM 4 FOLHAS PARA VIDROS, COM VIDROS, BATENTE E FERRAGENS, EXCLUSIVE ACABAMENTO, ALIZAR E CONTRAMARCO, FIXAÇÃO COM PARAFUSO. FORNECIMENTO E INSTALAÇÃO. AF_11/2024. LINHA SUPREMA</v>
      </c>
      <c r="G249" s="165" t="str">
        <f ca="1">IF($D249&lt;&gt;"Serviço","",OFFSET(ORÇAMENTO!S$15,ROW(G249)-ROW(G$15),0))</f>
        <v>M2</v>
      </c>
      <c r="H249" s="123">
        <f ca="1">IF($D249&lt;&gt;"Serviço",0,IF(ACOMPANHAMENTO="BM",ROUND(OFFSET(ORÇAMENTO!AJ$15,ROW(H249)-ROW(H$15),0),15-13*ORÇAMENTO!$AF$7),SUMPRODUCT(($Q$1:$AA$1=1)*ROUND($Q249:$AA249,15-13*ORÇAMENTO!$AF$7))))</f>
        <v>129.38</v>
      </c>
      <c r="I249" s="469"/>
      <c r="J249" s="577" t="str" cm="1">
        <f t="array" aca="1" ref="J249" ca="1">IF(B249&lt;&gt;"S","",IF(AND(ACOMPANHAMENTO="PLE",AUTOEVENTO="Manual",OR(H249&gt;0,ORÇAMENTO!AC249="QUANT."),OR(K249="",M249=0,N249="")),"►",IF(AND(ACOMPANHAMENTO="PLE",ORÇAMENTO!AC249="QUANT."),"►►",IF(AND(COUNTIF($P$11:$AA$11,"▼")=0,H249&gt;0,I249=""),"◄",""))))</f>
        <v>◄</v>
      </c>
      <c r="K249" s="626"/>
      <c r="L249" s="166" t="s">
        <v>765</v>
      </c>
      <c r="M249" s="167">
        <f ca="1">IF($D249&lt;&gt;"Serviço","",
          IF(AUTOEVENTO="manual",$A249,
                IF(ISERROR(MATCH($A249,$A$15:OFFSET($A249,-1,0),0)),MAX($M$15:OFFSET(M249,-1,0))+1,
                      INDEX($M$15:OFFSET(M249,-1,0),MATCH($A249,$A$15:OFFSET($A249,-1,0),0)))))</f>
        <v>14</v>
      </c>
      <c r="N249" s="168" t="str">
        <f ca="1">IF($D249&lt;&gt;"Serviço","",
         IF(AUTOEVENTO="Manual",
                IF($A249=0,"&lt;-- defina o número do agrupador",
                       OFFSET(EVENTOS!$D$15,$A249-$A$15,0)),
                OFFSET($F$15,$A249,0)))</f>
        <v>ESQUADRIAS E VIDROS</v>
      </c>
      <c r="O249" s="169"/>
      <c r="Q249" s="169"/>
      <c r="R249" s="170"/>
      <c r="S249" s="170"/>
      <c r="T249" s="170"/>
      <c r="U249" s="170"/>
      <c r="V249" s="170"/>
      <c r="W249" s="170"/>
      <c r="X249" s="170"/>
      <c r="Y249" s="170"/>
      <c r="Z249" s="171"/>
      <c r="AB249" s="454">
        <f ca="1">IF(AND($D249="Serviço",AB$12&lt;&gt;0,$H249&gt;0,OR(AUTOEVENTO&lt;&gt;"manual",$M249&lt;&gt;$A$15)),
        IF(Import.TipoArredondamento&lt;&gt;"TransfereGOV",
              ROUND(OFFSET($P249,0,AB$13),15-13*ORÇAMENTO!$AF$7)/$H249*OFFSET(ORÇAMENTO!$X$15,ROW(AB249)-ROW(AB$15),0),
              ROUND(ROUND(OFFSET($P249,0,AB$13),15-13*ORÇAMENTO!$AF$7)*OFFSET(ORÇAMENTO!$W$15,ROW(AB249)-ROW(AB$15),0),15-13*ORÇAMENTO!$AF$11)),
         0)</f>
        <v>0</v>
      </c>
      <c r="AC249" s="454">
        <f ca="1">IF(AND($D249="Serviço",AC$12&lt;&gt;0,$H249&gt;0,OR(AUTOEVENTO&lt;&gt;"manual",$M249&lt;&gt;$A$15)),
        IF(Import.TipoArredondamento&lt;&gt;"TransfereGOV",
              ROUND(OFFSET($P249,0,AC$13),15-13*ORÇAMENTO!$AF$7)/$H249*OFFSET(ORÇAMENTO!$X$15,ROW(AC249)-ROW(AC$15),0),
              ROUND(ROUND(OFFSET($P249,0,AC$13),15-13*ORÇAMENTO!$AF$7)*OFFSET(ORÇAMENTO!$W$15,ROW(AC249)-ROW(AC$15),0),15-13*ORÇAMENTO!$AF$11)),
         0)</f>
        <v>0</v>
      </c>
      <c r="AD249" s="454">
        <f ca="1">IF(AND($D249="Serviço",AD$12&lt;&gt;0,$H249&gt;0,OR(AUTOEVENTO&lt;&gt;"manual",$M249&lt;&gt;$A$15)),
        IF(Import.TipoArredondamento&lt;&gt;"TransfereGOV",
              ROUND(OFFSET($P249,0,AD$13),15-13*ORÇAMENTO!$AF$7)/$H249*OFFSET(ORÇAMENTO!$X$15,ROW(AD249)-ROW(AD$15),0),
              ROUND(ROUND(OFFSET($P249,0,AD$13),15-13*ORÇAMENTO!$AF$7)*OFFSET(ORÇAMENTO!$W$15,ROW(AD249)-ROW(AD$15),0),15-13*ORÇAMENTO!$AF$11)),
         0)</f>
        <v>0</v>
      </c>
      <c r="AE249" s="454">
        <f ca="1">IF(AND($D249="Serviço",AE$12&lt;&gt;0,$H249&gt;0,OR(AUTOEVENTO&lt;&gt;"manual",$M249&lt;&gt;$A$15)),
        IF(Import.TipoArredondamento&lt;&gt;"TransfereGOV",
              ROUND(OFFSET($P249,0,AE$13),15-13*ORÇAMENTO!$AF$7)/$H249*OFFSET(ORÇAMENTO!$X$15,ROW(AE249)-ROW(AE$15),0),
              ROUND(ROUND(OFFSET($P249,0,AE$13),15-13*ORÇAMENTO!$AF$7)*OFFSET(ORÇAMENTO!$W$15,ROW(AE249)-ROW(AE$15),0),15-13*ORÇAMENTO!$AF$11)),
         0)</f>
        <v>0</v>
      </c>
      <c r="AF249" s="454">
        <f ca="1">IF(AND($D249="Serviço",AF$12&lt;&gt;0,$H249&gt;0,OR(AUTOEVENTO&lt;&gt;"manual",$M249&lt;&gt;$A$15)),
        IF(Import.TipoArredondamento&lt;&gt;"TransfereGOV",
              ROUND(OFFSET($P249,0,AF$13),15-13*ORÇAMENTO!$AF$7)/$H249*OFFSET(ORÇAMENTO!$X$15,ROW(AF249)-ROW(AF$15),0),
              ROUND(ROUND(OFFSET($P249,0,AF$13),15-13*ORÇAMENTO!$AF$7)*OFFSET(ORÇAMENTO!$W$15,ROW(AF249)-ROW(AF$15),0),15-13*ORÇAMENTO!$AF$11)),
         0)</f>
        <v>0</v>
      </c>
      <c r="AG249" s="454">
        <f ca="1">IF(AND($D249="Serviço",AG$12&lt;&gt;0,$H249&gt;0,OR(AUTOEVENTO&lt;&gt;"manual",$M249&lt;&gt;$A$15)),
        IF(Import.TipoArredondamento&lt;&gt;"TransfereGOV",
              ROUND(OFFSET($P249,0,AG$13),15-13*ORÇAMENTO!$AF$7)/$H249*OFFSET(ORÇAMENTO!$X$15,ROW(AG249)-ROW(AG$15),0),
              ROUND(ROUND(OFFSET($P249,0,AG$13),15-13*ORÇAMENTO!$AF$7)*OFFSET(ORÇAMENTO!$W$15,ROW(AG249)-ROW(AG$15),0),15-13*ORÇAMENTO!$AF$11)),
         0)</f>
        <v>0</v>
      </c>
      <c r="AH249" s="454">
        <f ca="1">IF(AND($D249="Serviço",AH$12&lt;&gt;0,$H249&gt;0,OR(AUTOEVENTO&lt;&gt;"manual",$M249&lt;&gt;$A$15)),
        IF(Import.TipoArredondamento&lt;&gt;"TransfereGOV",
              ROUND(OFFSET($P249,0,AH$13),15-13*ORÇAMENTO!$AF$7)/$H249*OFFSET(ORÇAMENTO!$X$15,ROW(AH249)-ROW(AH$15),0),
              ROUND(ROUND(OFFSET($P249,0,AH$13),15-13*ORÇAMENTO!$AF$7)*OFFSET(ORÇAMENTO!$W$15,ROW(AH249)-ROW(AH$15),0),15-13*ORÇAMENTO!$AF$11)),
         0)</f>
        <v>0</v>
      </c>
      <c r="AI249" s="454">
        <f ca="1">IF(AND($D249="Serviço",AI$12&lt;&gt;0,$H249&gt;0,OR(AUTOEVENTO&lt;&gt;"manual",$M249&lt;&gt;$A$15)),
        IF(Import.TipoArredondamento&lt;&gt;"TransfereGOV",
              ROUND(OFFSET($P249,0,AI$13),15-13*ORÇAMENTO!$AF$7)/$H249*OFFSET(ORÇAMENTO!$X$15,ROW(AI249)-ROW(AI$15),0),
              ROUND(ROUND(OFFSET($P249,0,AI$13),15-13*ORÇAMENTO!$AF$7)*OFFSET(ORÇAMENTO!$W$15,ROW(AI249)-ROW(AI$15),0),15-13*ORÇAMENTO!$AF$11)),
         0)</f>
        <v>0</v>
      </c>
      <c r="AJ249" s="454">
        <f ca="1">IF(AND($D249="Serviço",AJ$12&lt;&gt;0,$H249&gt;0,OR(AUTOEVENTO&lt;&gt;"manual",$M249&lt;&gt;$A$15)),
        IF(Import.TipoArredondamento&lt;&gt;"TransfereGOV",
              ROUND(OFFSET($P249,0,AJ$13),15-13*ORÇAMENTO!$AF$7)/$H249*OFFSET(ORÇAMENTO!$X$15,ROW(AJ249)-ROW(AJ$15),0),
              ROUND(ROUND(OFFSET($P249,0,AJ$13),15-13*ORÇAMENTO!$AF$7)*OFFSET(ORÇAMENTO!$W$15,ROW(AJ249)-ROW(AJ$15),0),15-13*ORÇAMENTO!$AF$11)),
         0)</f>
        <v>0</v>
      </c>
      <c r="AK249" s="454">
        <f ca="1">IF(AND($D249="Serviço",AK$12&lt;&gt;0,$H249&gt;0,OR(AUTOEVENTO&lt;&gt;"manual",$M249&lt;&gt;$A$15)),
        IF(Import.TipoArredondamento&lt;&gt;"TransfereGOV",
              ROUND(OFFSET($P249,0,AK$13),15-13*ORÇAMENTO!$AF$7)/$H249*OFFSET(ORÇAMENTO!$X$15,ROW(AK249)-ROW(AK$15),0),
              ROUND(ROUND(OFFSET($P249,0,AK$13),15-13*ORÇAMENTO!$AF$7)*OFFSET(ORÇAMENTO!$W$15,ROW(AK249)-ROW(AK$15),0),15-13*ORÇAMENTO!$AF$11)),
         0)</f>
        <v>0</v>
      </c>
      <c r="AM249" s="172">
        <f ca="1">IF(OR($D249&lt;&gt;"Serviço",AND(AUTOEVENTO="Manual",$M249=$A$15)),0,
         IF(OFFSET(CRONOPLE!$F$15,$M249-$A$15,AM$13)="",10^12,OFFSET(CRONOPLE!$F$15,$M249-$A$15,AM$13)))</f>
        <v>1000000000000</v>
      </c>
      <c r="AN249" s="172">
        <f ca="1">IF(OR($D249&lt;&gt;"Serviço",AND(AUTOEVENTO="Manual",$M249=$A$15)),0,
         IF(OFFSET(CRONOPLE!$F$15,$M249-$A$15,AN$13)="",10^12,OFFSET(CRONOPLE!$F$15,$M249-$A$15,AN$13)))</f>
        <v>1000000000000</v>
      </c>
      <c r="AO249" s="172">
        <f ca="1">IF(OR($D249&lt;&gt;"Serviço",AND(AUTOEVENTO="Manual",$M249=$A$15)),0,
         IF(OFFSET(CRONOPLE!$F$15,$M249-$A$15,AO$13)="",10^12,OFFSET(CRONOPLE!$F$15,$M249-$A$15,AO$13)))</f>
        <v>1000000000000</v>
      </c>
      <c r="AP249" s="172">
        <f ca="1">IF(OR($D249&lt;&gt;"Serviço",AND(AUTOEVENTO="Manual",$M249=$A$15)),0,
         IF(OFFSET(CRONOPLE!$F$15,$M249-$A$15,AP$13)="",10^12,OFFSET(CRONOPLE!$F$15,$M249-$A$15,AP$13)))</f>
        <v>1000000000000</v>
      </c>
      <c r="AQ249" s="172">
        <f ca="1">IF(OR($D249&lt;&gt;"Serviço",AND(AUTOEVENTO="Manual",$M249=$A$15)),0,
         IF(OFFSET(CRONOPLE!$F$15,$M249-$A$15,AQ$13)="",10^12,OFFSET(CRONOPLE!$F$15,$M249-$A$15,AQ$13)))</f>
        <v>1000000000000</v>
      </c>
      <c r="AR249" s="172">
        <f ca="1">IF(OR($D249&lt;&gt;"Serviço",AND(AUTOEVENTO="Manual",$M249=$A$15)),0,
         IF(OFFSET(CRONOPLE!$F$15,$M249-$A$15,AR$13)="",10^12,OFFSET(CRONOPLE!$F$15,$M249-$A$15,AR$13)))</f>
        <v>1000000000000</v>
      </c>
      <c r="AS249" s="172">
        <f ca="1">IF(OR($D249&lt;&gt;"Serviço",AND(AUTOEVENTO="Manual",$M249=$A$15)),0,
         IF(OFFSET(CRONOPLE!$F$15,$M249-$A$15,AS$13)="",10^12,OFFSET(CRONOPLE!$F$15,$M249-$A$15,AS$13)))</f>
        <v>1000000000000</v>
      </c>
      <c r="AT249" s="172">
        <f ca="1">IF(OR($D249&lt;&gt;"Serviço",AND(AUTOEVENTO="Manual",$M249=$A$15)),0,
         IF(OFFSET(CRONOPLE!$F$15,$M249-$A$15,AT$13)="",10^12,OFFSET(CRONOPLE!$F$15,$M249-$A$15,AT$13)))</f>
        <v>1000000000000</v>
      </c>
      <c r="AU249" s="172">
        <f ca="1">IF(OR($D249&lt;&gt;"Serviço",AND(AUTOEVENTO="Manual",$M249=$A$15)),0,
         IF(OFFSET(CRONOPLE!$F$15,$M249-$A$15,AU$13)="",10^12,OFFSET(CRONOPLE!$F$15,$M249-$A$15,AU$13)))</f>
        <v>1000000000000</v>
      </c>
      <c r="AV249" s="172">
        <f ca="1">IF(OR($D249&lt;&gt;"Serviço",AND(AUTOEVENTO="Manual",$M249=$A$15)),0,
         IF(OFFSET(CRONOPLE!$F$15,$M249-$A$15,AV$13)="",10^12,OFFSET(CRONOPLE!$F$15,$M249-$A$15,AV$13)))</f>
        <v>1000000000000</v>
      </c>
      <c r="AX249" s="173">
        <f ca="1">IF(OR($D249&lt;&gt;"Serviço",AND(AUTOEVENTO="Manual",$M249=$A$15),$M249&gt;(ROW(PLE.lastrow)-ROW(PLE.firstrow))),0,
           IF(OFFSET(PLE!$G$15,$M249-$A$15,AX$13)="",10^12,OFFSET(PLE!$G$15,$M249-$A$15,AX$13)))</f>
        <v>1000000000000</v>
      </c>
      <c r="AY249" s="173">
        <f ca="1">IF(OR($D249&lt;&gt;"Serviço",AND(AUTOEVENTO="Manual",$M249=$A$15),$M249&gt;(ROW(PLE.lastrow)-ROW(PLE.firstrow))),0,
           IF(OFFSET(PLE!$G$15,$M249-$A$15,AY$13)="",10^12,OFFSET(PLE!$G$15,$M249-$A$15,AY$13)))</f>
        <v>1000000000000</v>
      </c>
      <c r="AZ249" s="173">
        <f ca="1">IF(OR($D249&lt;&gt;"Serviço",AND(AUTOEVENTO="Manual",$M249=$A$15),$M249&gt;(ROW(PLE.lastrow)-ROW(PLE.firstrow))),0,
           IF(OFFSET(PLE!$G$15,$M249-$A$15,AZ$13)="",10^12,OFFSET(PLE!$G$15,$M249-$A$15,AZ$13)))</f>
        <v>1000000000000</v>
      </c>
      <c r="BA249" s="173">
        <f ca="1">IF(OR($D249&lt;&gt;"Serviço",AND(AUTOEVENTO="Manual",$M249=$A$15),$M249&gt;(ROW(PLE.lastrow)-ROW(PLE.firstrow))),0,
           IF(OFFSET(PLE!$G$15,$M249-$A$15,BA$13)="",10^12,OFFSET(PLE!$G$15,$M249-$A$15,BA$13)))</f>
        <v>1000000000000</v>
      </c>
      <c r="BB249" s="173">
        <f ca="1">IF(OR($D249&lt;&gt;"Serviço",AND(AUTOEVENTO="Manual",$M249=$A$15),$M249&gt;(ROW(PLE.lastrow)-ROW(PLE.firstrow))),0,
           IF(OFFSET(PLE!$G$15,$M249-$A$15,BB$13)="",10^12,OFFSET(PLE!$G$15,$M249-$A$15,BB$13)))</f>
        <v>1000000000000</v>
      </c>
      <c r="BC249" s="173">
        <f ca="1">IF(OR($D249&lt;&gt;"Serviço",AND(AUTOEVENTO="Manual",$M249=$A$15),$M249&gt;(ROW(PLE.lastrow)-ROW(PLE.firstrow))),0,
           IF(OFFSET(PLE!$G$15,$M249-$A$15,BC$13)="",10^12,OFFSET(PLE!$G$15,$M249-$A$15,BC$13)))</f>
        <v>1000000000000</v>
      </c>
      <c r="BD249" s="173">
        <f ca="1">IF(OR($D249&lt;&gt;"Serviço",AND(AUTOEVENTO="Manual",$M249=$A$15),$M249&gt;(ROW(PLE.lastrow)-ROW(PLE.firstrow))),0,
           IF(OFFSET(PLE!$G$15,$M249-$A$15,BD$13)="",10^12,OFFSET(PLE!$G$15,$M249-$A$15,BD$13)))</f>
        <v>1000000000000</v>
      </c>
      <c r="BE249" s="173">
        <f ca="1">IF(OR($D249&lt;&gt;"Serviço",AND(AUTOEVENTO="Manual",$M249=$A$15),$M249&gt;(ROW(PLE.lastrow)-ROW(PLE.firstrow))),0,
           IF(OFFSET(PLE!$G$15,$M249-$A$15,BE$13)="",10^12,OFFSET(PLE!$G$15,$M249-$A$15,BE$13)))</f>
        <v>1000000000000</v>
      </c>
      <c r="BF249" s="173">
        <f ca="1">IF(OR($D249&lt;&gt;"Serviço",AND(AUTOEVENTO="Manual",$M249=$A$15),$M249&gt;(ROW(PLE.lastrow)-ROW(PLE.firstrow))),0,
           IF(OFFSET(PLE!$G$15,$M249-$A$15,BF$13)="",10^12,OFFSET(PLE!$G$15,$M249-$A$15,BF$13)))</f>
        <v>1000000000000</v>
      </c>
      <c r="BG249" s="173">
        <f ca="1">IF(OR($D249&lt;&gt;"Serviço",AND(AUTOEVENTO="Manual",$M249=$A$15),$M249&gt;(ROW(PLE.lastrow)-ROW(PLE.firstrow))),0,
           IF(OFFSET(PLE!$G$15,$M249-$A$15,BG$13)="",10^12,OFFSET(PLE!$G$15,$M249-$A$15,BG$13)))</f>
        <v>1000000000000</v>
      </c>
    </row>
    <row r="250" spans="1:59" ht="51" x14ac:dyDescent="0.2">
      <c r="A250" s="7" t="str">
        <f t="shared" ca="1" si="11"/>
        <v>232</v>
      </c>
      <c r="B250" s="7" t="str">
        <f ca="1">OFFSET(ORÇAMENTO!C$15,ROW(B250)-ROW(B$15),0)</f>
        <v>S</v>
      </c>
      <c r="C250" s="7" t="str">
        <f ca="1">OFFSET(ORÇAMENTO!L$15,ROW(C250)-ROW(C$15),0)</f>
        <v/>
      </c>
      <c r="D250" s="117" t="str">
        <f ca="1">OFFSET(ORÇAMENTO!N$15,ROW(D250)-ROW(D$15),0)</f>
        <v>Serviço</v>
      </c>
      <c r="E250" s="118" t="str">
        <f ca="1">OFFSET(ORÇAMENTO!O$15,ROW(E250)-ROW(E$15),0)</f>
        <v>-</v>
      </c>
      <c r="F250" s="164" t="str">
        <f ca="1">OFFSET(ORÇAMENTO!R$15,ROW(F250)-ROW(F$15),0)</f>
        <v>JANELA DE ALUMÍNIO TIPO MAXIM-AR, COM VIDROS, BATENTE E FERRAGENS, EXCLUSIVE ALIZAR, ACABAMENTO E CONTRAMARCO, FIXAÇÃO COM PARAFUSO. FORNECIMENTO E INSTALAÇÃO. AF_11/2024. LINHA SUPREMA</v>
      </c>
      <c r="G250" s="165" t="str">
        <f ca="1">IF($D250&lt;&gt;"Serviço","",OFFSET(ORÇAMENTO!S$15,ROW(G250)-ROW(G$15),0))</f>
        <v>M2</v>
      </c>
      <c r="H250" s="123">
        <f ca="1">IF($D250&lt;&gt;"Serviço",0,IF(ACOMPANHAMENTO="BM",ROUND(OFFSET(ORÇAMENTO!AJ$15,ROW(H250)-ROW(H$15),0),15-13*ORÇAMENTO!$AF$7),SUMPRODUCT(($Q$1:$AA$1=1)*ROUND($Q250:$AA250,15-13*ORÇAMENTO!$AF$7))))</f>
        <v>28.09</v>
      </c>
      <c r="I250" s="469"/>
      <c r="J250" s="577" t="str" cm="1">
        <f t="array" aca="1" ref="J250" ca="1">IF(B250&lt;&gt;"S","",IF(AND(ACOMPANHAMENTO="PLE",AUTOEVENTO="Manual",OR(H250&gt;0,ORÇAMENTO!AC250="QUANT."),OR(K250="",M250=0,N250="")),"►",IF(AND(ACOMPANHAMENTO="PLE",ORÇAMENTO!AC250="QUANT."),"►►",IF(AND(COUNTIF($P$11:$AA$11,"▼")=0,H250&gt;0,I250=""),"◄",""))))</f>
        <v>◄</v>
      </c>
      <c r="K250" s="626"/>
      <c r="L250" s="166" t="s">
        <v>765</v>
      </c>
      <c r="M250" s="167">
        <f ca="1">IF($D250&lt;&gt;"Serviço","",
          IF(AUTOEVENTO="manual",$A250,
                IF(ISERROR(MATCH($A250,$A$15:OFFSET($A250,-1,0),0)),MAX($M$15:OFFSET(M250,-1,0))+1,
                      INDEX($M$15:OFFSET(M250,-1,0),MATCH($A250,$A$15:OFFSET($A250,-1,0),0)))))</f>
        <v>14</v>
      </c>
      <c r="N250" s="168" t="str">
        <f ca="1">IF($D250&lt;&gt;"Serviço","",
         IF(AUTOEVENTO="Manual",
                IF($A250=0,"&lt;-- defina o número do agrupador",
                       OFFSET(EVENTOS!$D$15,$A250-$A$15,0)),
                OFFSET($F$15,$A250,0)))</f>
        <v>ESQUADRIAS E VIDROS</v>
      </c>
      <c r="O250" s="169"/>
      <c r="Q250" s="169"/>
      <c r="R250" s="170"/>
      <c r="S250" s="170"/>
      <c r="T250" s="170"/>
      <c r="U250" s="170"/>
      <c r="V250" s="170"/>
      <c r="W250" s="170"/>
      <c r="X250" s="170"/>
      <c r="Y250" s="170"/>
      <c r="Z250" s="171"/>
      <c r="AB250" s="454">
        <f ca="1">IF(AND($D250="Serviço",AB$12&lt;&gt;0,$H250&gt;0,OR(AUTOEVENTO&lt;&gt;"manual",$M250&lt;&gt;$A$15)),
        IF(Import.TipoArredondamento&lt;&gt;"TransfereGOV",
              ROUND(OFFSET($P250,0,AB$13),15-13*ORÇAMENTO!$AF$7)/$H250*OFFSET(ORÇAMENTO!$X$15,ROW(AB250)-ROW(AB$15),0),
              ROUND(ROUND(OFFSET($P250,0,AB$13),15-13*ORÇAMENTO!$AF$7)*OFFSET(ORÇAMENTO!$W$15,ROW(AB250)-ROW(AB$15),0),15-13*ORÇAMENTO!$AF$11)),
         0)</f>
        <v>0</v>
      </c>
      <c r="AC250" s="454">
        <f ca="1">IF(AND($D250="Serviço",AC$12&lt;&gt;0,$H250&gt;0,OR(AUTOEVENTO&lt;&gt;"manual",$M250&lt;&gt;$A$15)),
        IF(Import.TipoArredondamento&lt;&gt;"TransfereGOV",
              ROUND(OFFSET($P250,0,AC$13),15-13*ORÇAMENTO!$AF$7)/$H250*OFFSET(ORÇAMENTO!$X$15,ROW(AC250)-ROW(AC$15),0),
              ROUND(ROUND(OFFSET($P250,0,AC$13),15-13*ORÇAMENTO!$AF$7)*OFFSET(ORÇAMENTO!$W$15,ROW(AC250)-ROW(AC$15),0),15-13*ORÇAMENTO!$AF$11)),
         0)</f>
        <v>0</v>
      </c>
      <c r="AD250" s="454">
        <f ca="1">IF(AND($D250="Serviço",AD$12&lt;&gt;0,$H250&gt;0,OR(AUTOEVENTO&lt;&gt;"manual",$M250&lt;&gt;$A$15)),
        IF(Import.TipoArredondamento&lt;&gt;"TransfereGOV",
              ROUND(OFFSET($P250,0,AD$13),15-13*ORÇAMENTO!$AF$7)/$H250*OFFSET(ORÇAMENTO!$X$15,ROW(AD250)-ROW(AD$15),0),
              ROUND(ROUND(OFFSET($P250,0,AD$13),15-13*ORÇAMENTO!$AF$7)*OFFSET(ORÇAMENTO!$W$15,ROW(AD250)-ROW(AD$15),0),15-13*ORÇAMENTO!$AF$11)),
         0)</f>
        <v>0</v>
      </c>
      <c r="AE250" s="454">
        <f ca="1">IF(AND($D250="Serviço",AE$12&lt;&gt;0,$H250&gt;0,OR(AUTOEVENTO&lt;&gt;"manual",$M250&lt;&gt;$A$15)),
        IF(Import.TipoArredondamento&lt;&gt;"TransfereGOV",
              ROUND(OFFSET($P250,0,AE$13),15-13*ORÇAMENTO!$AF$7)/$H250*OFFSET(ORÇAMENTO!$X$15,ROW(AE250)-ROW(AE$15),0),
              ROUND(ROUND(OFFSET($P250,0,AE$13),15-13*ORÇAMENTO!$AF$7)*OFFSET(ORÇAMENTO!$W$15,ROW(AE250)-ROW(AE$15),0),15-13*ORÇAMENTO!$AF$11)),
         0)</f>
        <v>0</v>
      </c>
      <c r="AF250" s="454">
        <f ca="1">IF(AND($D250="Serviço",AF$12&lt;&gt;0,$H250&gt;0,OR(AUTOEVENTO&lt;&gt;"manual",$M250&lt;&gt;$A$15)),
        IF(Import.TipoArredondamento&lt;&gt;"TransfereGOV",
              ROUND(OFFSET($P250,0,AF$13),15-13*ORÇAMENTO!$AF$7)/$H250*OFFSET(ORÇAMENTO!$X$15,ROW(AF250)-ROW(AF$15),0),
              ROUND(ROUND(OFFSET($P250,0,AF$13),15-13*ORÇAMENTO!$AF$7)*OFFSET(ORÇAMENTO!$W$15,ROW(AF250)-ROW(AF$15),0),15-13*ORÇAMENTO!$AF$11)),
         0)</f>
        <v>0</v>
      </c>
      <c r="AG250" s="454">
        <f ca="1">IF(AND($D250="Serviço",AG$12&lt;&gt;0,$H250&gt;0,OR(AUTOEVENTO&lt;&gt;"manual",$M250&lt;&gt;$A$15)),
        IF(Import.TipoArredondamento&lt;&gt;"TransfereGOV",
              ROUND(OFFSET($P250,0,AG$13),15-13*ORÇAMENTO!$AF$7)/$H250*OFFSET(ORÇAMENTO!$X$15,ROW(AG250)-ROW(AG$15),0),
              ROUND(ROUND(OFFSET($P250,0,AG$13),15-13*ORÇAMENTO!$AF$7)*OFFSET(ORÇAMENTO!$W$15,ROW(AG250)-ROW(AG$15),0),15-13*ORÇAMENTO!$AF$11)),
         0)</f>
        <v>0</v>
      </c>
      <c r="AH250" s="454">
        <f ca="1">IF(AND($D250="Serviço",AH$12&lt;&gt;0,$H250&gt;0,OR(AUTOEVENTO&lt;&gt;"manual",$M250&lt;&gt;$A$15)),
        IF(Import.TipoArredondamento&lt;&gt;"TransfereGOV",
              ROUND(OFFSET($P250,0,AH$13),15-13*ORÇAMENTO!$AF$7)/$H250*OFFSET(ORÇAMENTO!$X$15,ROW(AH250)-ROW(AH$15),0),
              ROUND(ROUND(OFFSET($P250,0,AH$13),15-13*ORÇAMENTO!$AF$7)*OFFSET(ORÇAMENTO!$W$15,ROW(AH250)-ROW(AH$15),0),15-13*ORÇAMENTO!$AF$11)),
         0)</f>
        <v>0</v>
      </c>
      <c r="AI250" s="454">
        <f ca="1">IF(AND($D250="Serviço",AI$12&lt;&gt;0,$H250&gt;0,OR(AUTOEVENTO&lt;&gt;"manual",$M250&lt;&gt;$A$15)),
        IF(Import.TipoArredondamento&lt;&gt;"TransfereGOV",
              ROUND(OFFSET($P250,0,AI$13),15-13*ORÇAMENTO!$AF$7)/$H250*OFFSET(ORÇAMENTO!$X$15,ROW(AI250)-ROW(AI$15),0),
              ROUND(ROUND(OFFSET($P250,0,AI$13),15-13*ORÇAMENTO!$AF$7)*OFFSET(ORÇAMENTO!$W$15,ROW(AI250)-ROW(AI$15),0),15-13*ORÇAMENTO!$AF$11)),
         0)</f>
        <v>0</v>
      </c>
      <c r="AJ250" s="454">
        <f ca="1">IF(AND($D250="Serviço",AJ$12&lt;&gt;0,$H250&gt;0,OR(AUTOEVENTO&lt;&gt;"manual",$M250&lt;&gt;$A$15)),
        IF(Import.TipoArredondamento&lt;&gt;"TransfereGOV",
              ROUND(OFFSET($P250,0,AJ$13),15-13*ORÇAMENTO!$AF$7)/$H250*OFFSET(ORÇAMENTO!$X$15,ROW(AJ250)-ROW(AJ$15),0),
              ROUND(ROUND(OFFSET($P250,0,AJ$13),15-13*ORÇAMENTO!$AF$7)*OFFSET(ORÇAMENTO!$W$15,ROW(AJ250)-ROW(AJ$15),0),15-13*ORÇAMENTO!$AF$11)),
         0)</f>
        <v>0</v>
      </c>
      <c r="AK250" s="454">
        <f ca="1">IF(AND($D250="Serviço",AK$12&lt;&gt;0,$H250&gt;0,OR(AUTOEVENTO&lt;&gt;"manual",$M250&lt;&gt;$A$15)),
        IF(Import.TipoArredondamento&lt;&gt;"TransfereGOV",
              ROUND(OFFSET($P250,0,AK$13),15-13*ORÇAMENTO!$AF$7)/$H250*OFFSET(ORÇAMENTO!$X$15,ROW(AK250)-ROW(AK$15),0),
              ROUND(ROUND(OFFSET($P250,0,AK$13),15-13*ORÇAMENTO!$AF$7)*OFFSET(ORÇAMENTO!$W$15,ROW(AK250)-ROW(AK$15),0),15-13*ORÇAMENTO!$AF$11)),
         0)</f>
        <v>0</v>
      </c>
      <c r="AM250" s="172">
        <f ca="1">IF(OR($D250&lt;&gt;"Serviço",AND(AUTOEVENTO="Manual",$M250=$A$15)),0,
         IF(OFFSET(CRONOPLE!$F$15,$M250-$A$15,AM$13)="",10^12,OFFSET(CRONOPLE!$F$15,$M250-$A$15,AM$13)))</f>
        <v>1000000000000</v>
      </c>
      <c r="AN250" s="172">
        <f ca="1">IF(OR($D250&lt;&gt;"Serviço",AND(AUTOEVENTO="Manual",$M250=$A$15)),0,
         IF(OFFSET(CRONOPLE!$F$15,$M250-$A$15,AN$13)="",10^12,OFFSET(CRONOPLE!$F$15,$M250-$A$15,AN$13)))</f>
        <v>1000000000000</v>
      </c>
      <c r="AO250" s="172">
        <f ca="1">IF(OR($D250&lt;&gt;"Serviço",AND(AUTOEVENTO="Manual",$M250=$A$15)),0,
         IF(OFFSET(CRONOPLE!$F$15,$M250-$A$15,AO$13)="",10^12,OFFSET(CRONOPLE!$F$15,$M250-$A$15,AO$13)))</f>
        <v>1000000000000</v>
      </c>
      <c r="AP250" s="172">
        <f ca="1">IF(OR($D250&lt;&gt;"Serviço",AND(AUTOEVENTO="Manual",$M250=$A$15)),0,
         IF(OFFSET(CRONOPLE!$F$15,$M250-$A$15,AP$13)="",10^12,OFFSET(CRONOPLE!$F$15,$M250-$A$15,AP$13)))</f>
        <v>1000000000000</v>
      </c>
      <c r="AQ250" s="172">
        <f ca="1">IF(OR($D250&lt;&gt;"Serviço",AND(AUTOEVENTO="Manual",$M250=$A$15)),0,
         IF(OFFSET(CRONOPLE!$F$15,$M250-$A$15,AQ$13)="",10^12,OFFSET(CRONOPLE!$F$15,$M250-$A$15,AQ$13)))</f>
        <v>1000000000000</v>
      </c>
      <c r="AR250" s="172">
        <f ca="1">IF(OR($D250&lt;&gt;"Serviço",AND(AUTOEVENTO="Manual",$M250=$A$15)),0,
         IF(OFFSET(CRONOPLE!$F$15,$M250-$A$15,AR$13)="",10^12,OFFSET(CRONOPLE!$F$15,$M250-$A$15,AR$13)))</f>
        <v>1000000000000</v>
      </c>
      <c r="AS250" s="172">
        <f ca="1">IF(OR($D250&lt;&gt;"Serviço",AND(AUTOEVENTO="Manual",$M250=$A$15)),0,
         IF(OFFSET(CRONOPLE!$F$15,$M250-$A$15,AS$13)="",10^12,OFFSET(CRONOPLE!$F$15,$M250-$A$15,AS$13)))</f>
        <v>1000000000000</v>
      </c>
      <c r="AT250" s="172">
        <f ca="1">IF(OR($D250&lt;&gt;"Serviço",AND(AUTOEVENTO="Manual",$M250=$A$15)),0,
         IF(OFFSET(CRONOPLE!$F$15,$M250-$A$15,AT$13)="",10^12,OFFSET(CRONOPLE!$F$15,$M250-$A$15,AT$13)))</f>
        <v>1000000000000</v>
      </c>
      <c r="AU250" s="172">
        <f ca="1">IF(OR($D250&lt;&gt;"Serviço",AND(AUTOEVENTO="Manual",$M250=$A$15)),0,
         IF(OFFSET(CRONOPLE!$F$15,$M250-$A$15,AU$13)="",10^12,OFFSET(CRONOPLE!$F$15,$M250-$A$15,AU$13)))</f>
        <v>1000000000000</v>
      </c>
      <c r="AV250" s="172">
        <f ca="1">IF(OR($D250&lt;&gt;"Serviço",AND(AUTOEVENTO="Manual",$M250=$A$15)),0,
         IF(OFFSET(CRONOPLE!$F$15,$M250-$A$15,AV$13)="",10^12,OFFSET(CRONOPLE!$F$15,$M250-$A$15,AV$13)))</f>
        <v>1000000000000</v>
      </c>
      <c r="AX250" s="173">
        <f ca="1">IF(OR($D250&lt;&gt;"Serviço",AND(AUTOEVENTO="Manual",$M250=$A$15),$M250&gt;(ROW(PLE.lastrow)-ROW(PLE.firstrow))),0,
           IF(OFFSET(PLE!$G$15,$M250-$A$15,AX$13)="",10^12,OFFSET(PLE!$G$15,$M250-$A$15,AX$13)))</f>
        <v>1000000000000</v>
      </c>
      <c r="AY250" s="173">
        <f ca="1">IF(OR($D250&lt;&gt;"Serviço",AND(AUTOEVENTO="Manual",$M250=$A$15),$M250&gt;(ROW(PLE.lastrow)-ROW(PLE.firstrow))),0,
           IF(OFFSET(PLE!$G$15,$M250-$A$15,AY$13)="",10^12,OFFSET(PLE!$G$15,$M250-$A$15,AY$13)))</f>
        <v>1000000000000</v>
      </c>
      <c r="AZ250" s="173">
        <f ca="1">IF(OR($D250&lt;&gt;"Serviço",AND(AUTOEVENTO="Manual",$M250=$A$15),$M250&gt;(ROW(PLE.lastrow)-ROW(PLE.firstrow))),0,
           IF(OFFSET(PLE!$G$15,$M250-$A$15,AZ$13)="",10^12,OFFSET(PLE!$G$15,$M250-$A$15,AZ$13)))</f>
        <v>1000000000000</v>
      </c>
      <c r="BA250" s="173">
        <f ca="1">IF(OR($D250&lt;&gt;"Serviço",AND(AUTOEVENTO="Manual",$M250=$A$15),$M250&gt;(ROW(PLE.lastrow)-ROW(PLE.firstrow))),0,
           IF(OFFSET(PLE!$G$15,$M250-$A$15,BA$13)="",10^12,OFFSET(PLE!$G$15,$M250-$A$15,BA$13)))</f>
        <v>1000000000000</v>
      </c>
      <c r="BB250" s="173">
        <f ca="1">IF(OR($D250&lt;&gt;"Serviço",AND(AUTOEVENTO="Manual",$M250=$A$15),$M250&gt;(ROW(PLE.lastrow)-ROW(PLE.firstrow))),0,
           IF(OFFSET(PLE!$G$15,$M250-$A$15,BB$13)="",10^12,OFFSET(PLE!$G$15,$M250-$A$15,BB$13)))</f>
        <v>1000000000000</v>
      </c>
      <c r="BC250" s="173">
        <f ca="1">IF(OR($D250&lt;&gt;"Serviço",AND(AUTOEVENTO="Manual",$M250=$A$15),$M250&gt;(ROW(PLE.lastrow)-ROW(PLE.firstrow))),0,
           IF(OFFSET(PLE!$G$15,$M250-$A$15,BC$13)="",10^12,OFFSET(PLE!$G$15,$M250-$A$15,BC$13)))</f>
        <v>1000000000000</v>
      </c>
      <c r="BD250" s="173">
        <f ca="1">IF(OR($D250&lt;&gt;"Serviço",AND(AUTOEVENTO="Manual",$M250=$A$15),$M250&gt;(ROW(PLE.lastrow)-ROW(PLE.firstrow))),0,
           IF(OFFSET(PLE!$G$15,$M250-$A$15,BD$13)="",10^12,OFFSET(PLE!$G$15,$M250-$A$15,BD$13)))</f>
        <v>1000000000000</v>
      </c>
      <c r="BE250" s="173">
        <f ca="1">IF(OR($D250&lt;&gt;"Serviço",AND(AUTOEVENTO="Manual",$M250=$A$15),$M250&gt;(ROW(PLE.lastrow)-ROW(PLE.firstrow))),0,
           IF(OFFSET(PLE!$G$15,$M250-$A$15,BE$13)="",10^12,OFFSET(PLE!$G$15,$M250-$A$15,BE$13)))</f>
        <v>1000000000000</v>
      </c>
      <c r="BF250" s="173">
        <f ca="1">IF(OR($D250&lt;&gt;"Serviço",AND(AUTOEVENTO="Manual",$M250=$A$15),$M250&gt;(ROW(PLE.lastrow)-ROW(PLE.firstrow))),0,
           IF(OFFSET(PLE!$G$15,$M250-$A$15,BF$13)="",10^12,OFFSET(PLE!$G$15,$M250-$A$15,BF$13)))</f>
        <v>1000000000000</v>
      </c>
      <c r="BG250" s="173">
        <f ca="1">IF(OR($D250&lt;&gt;"Serviço",AND(AUTOEVENTO="Manual",$M250=$A$15),$M250&gt;(ROW(PLE.lastrow)-ROW(PLE.firstrow))),0,
           IF(OFFSET(PLE!$G$15,$M250-$A$15,BG$13)="",10^12,OFFSET(PLE!$G$15,$M250-$A$15,BG$13)))</f>
        <v>1000000000000</v>
      </c>
    </row>
    <row r="251" spans="1:59" ht="38.25" x14ac:dyDescent="0.2">
      <c r="A251" s="7" t="str">
        <f t="shared" ca="1" si="11"/>
        <v>232</v>
      </c>
      <c r="B251" s="7" t="str">
        <f ca="1">OFFSET(ORÇAMENTO!C$15,ROW(B251)-ROW(B$15),0)</f>
        <v>S</v>
      </c>
      <c r="C251" s="7" t="str">
        <f ca="1">OFFSET(ORÇAMENTO!L$15,ROW(C251)-ROW(C$15),0)</f>
        <v/>
      </c>
      <c r="D251" s="117" t="str">
        <f ca="1">OFFSET(ORÇAMENTO!N$15,ROW(D251)-ROW(D$15),0)</f>
        <v>Serviço</v>
      </c>
      <c r="E251" s="118" t="str">
        <f ca="1">OFFSET(ORÇAMENTO!O$15,ROW(E251)-ROW(E$15),0)</f>
        <v>-</v>
      </c>
      <c r="F251" s="164" t="str">
        <f ca="1">OFFSET(ORÇAMENTO!R$15,ROW(F251)-ROW(F$15),0)</f>
        <v>PORTA DE CORRER DE ALUMÍNIO, COM DUAS FOLHAS PARA VIDRO, INCLUSO VIDRO LISO INCOLOR, FECHADURA E PUXADOR, SEM ALIZAR. AF_12/2019. LINHA SUPREMA</v>
      </c>
      <c r="G251" s="165" t="str">
        <f ca="1">IF($D251&lt;&gt;"Serviço","",OFFSET(ORÇAMENTO!S$15,ROW(G251)-ROW(G$15),0))</f>
        <v>M2</v>
      </c>
      <c r="H251" s="123">
        <f ca="1">IF($D251&lt;&gt;"Serviço",0,IF(ACOMPANHAMENTO="BM",ROUND(OFFSET(ORÇAMENTO!AJ$15,ROW(H251)-ROW(H$15),0),15-13*ORÇAMENTO!$AF$7),SUMPRODUCT(($Q$1:$AA$1=1)*ROUND($Q251:$AA251,15-13*ORÇAMENTO!$AF$7))))</f>
        <v>17.75</v>
      </c>
      <c r="I251" s="469"/>
      <c r="J251" s="577" t="str" cm="1">
        <f t="array" aca="1" ref="J251" ca="1">IF(B251&lt;&gt;"S","",IF(AND(ACOMPANHAMENTO="PLE",AUTOEVENTO="Manual",OR(H251&gt;0,ORÇAMENTO!AC251="QUANT."),OR(K251="",M251=0,N251="")),"►",IF(AND(ACOMPANHAMENTO="PLE",ORÇAMENTO!AC251="QUANT."),"►►",IF(AND(COUNTIF($P$11:$AA$11,"▼")=0,H251&gt;0,I251=""),"◄",""))))</f>
        <v>◄</v>
      </c>
      <c r="K251" s="626"/>
      <c r="L251" s="166" t="s">
        <v>765</v>
      </c>
      <c r="M251" s="167">
        <f ca="1">IF($D251&lt;&gt;"Serviço","",
          IF(AUTOEVENTO="manual",$A251,
                IF(ISERROR(MATCH($A251,$A$15:OFFSET($A251,-1,0),0)),MAX($M$15:OFFSET(M251,-1,0))+1,
                      INDEX($M$15:OFFSET(M251,-1,0),MATCH($A251,$A$15:OFFSET($A251,-1,0),0)))))</f>
        <v>14</v>
      </c>
      <c r="N251" s="168" t="str">
        <f ca="1">IF($D251&lt;&gt;"Serviço","",
         IF(AUTOEVENTO="Manual",
                IF($A251=0,"&lt;-- defina o número do agrupador",
                       OFFSET(EVENTOS!$D$15,$A251-$A$15,0)),
                OFFSET($F$15,$A251,0)))</f>
        <v>ESQUADRIAS E VIDROS</v>
      </c>
      <c r="O251" s="169"/>
      <c r="Q251" s="169"/>
      <c r="R251" s="170"/>
      <c r="S251" s="170"/>
      <c r="T251" s="170"/>
      <c r="U251" s="170"/>
      <c r="V251" s="170"/>
      <c r="W251" s="170"/>
      <c r="X251" s="170"/>
      <c r="Y251" s="170"/>
      <c r="Z251" s="171"/>
      <c r="AB251" s="454">
        <f ca="1">IF(AND($D251="Serviço",AB$12&lt;&gt;0,$H251&gt;0,OR(AUTOEVENTO&lt;&gt;"manual",$M251&lt;&gt;$A$15)),
        IF(Import.TipoArredondamento&lt;&gt;"TransfereGOV",
              ROUND(OFFSET($P251,0,AB$13),15-13*ORÇAMENTO!$AF$7)/$H251*OFFSET(ORÇAMENTO!$X$15,ROW(AB251)-ROW(AB$15),0),
              ROUND(ROUND(OFFSET($P251,0,AB$13),15-13*ORÇAMENTO!$AF$7)*OFFSET(ORÇAMENTO!$W$15,ROW(AB251)-ROW(AB$15),0),15-13*ORÇAMENTO!$AF$11)),
         0)</f>
        <v>0</v>
      </c>
      <c r="AC251" s="454">
        <f ca="1">IF(AND($D251="Serviço",AC$12&lt;&gt;0,$H251&gt;0,OR(AUTOEVENTO&lt;&gt;"manual",$M251&lt;&gt;$A$15)),
        IF(Import.TipoArredondamento&lt;&gt;"TransfereGOV",
              ROUND(OFFSET($P251,0,AC$13),15-13*ORÇAMENTO!$AF$7)/$H251*OFFSET(ORÇAMENTO!$X$15,ROW(AC251)-ROW(AC$15),0),
              ROUND(ROUND(OFFSET($P251,0,AC$13),15-13*ORÇAMENTO!$AF$7)*OFFSET(ORÇAMENTO!$W$15,ROW(AC251)-ROW(AC$15),0),15-13*ORÇAMENTO!$AF$11)),
         0)</f>
        <v>0</v>
      </c>
      <c r="AD251" s="454">
        <f ca="1">IF(AND($D251="Serviço",AD$12&lt;&gt;0,$H251&gt;0,OR(AUTOEVENTO&lt;&gt;"manual",$M251&lt;&gt;$A$15)),
        IF(Import.TipoArredondamento&lt;&gt;"TransfereGOV",
              ROUND(OFFSET($P251,0,AD$13),15-13*ORÇAMENTO!$AF$7)/$H251*OFFSET(ORÇAMENTO!$X$15,ROW(AD251)-ROW(AD$15),0),
              ROUND(ROUND(OFFSET($P251,0,AD$13),15-13*ORÇAMENTO!$AF$7)*OFFSET(ORÇAMENTO!$W$15,ROW(AD251)-ROW(AD$15),0),15-13*ORÇAMENTO!$AF$11)),
         0)</f>
        <v>0</v>
      </c>
      <c r="AE251" s="454">
        <f ca="1">IF(AND($D251="Serviço",AE$12&lt;&gt;0,$H251&gt;0,OR(AUTOEVENTO&lt;&gt;"manual",$M251&lt;&gt;$A$15)),
        IF(Import.TipoArredondamento&lt;&gt;"TransfereGOV",
              ROUND(OFFSET($P251,0,AE$13),15-13*ORÇAMENTO!$AF$7)/$H251*OFFSET(ORÇAMENTO!$X$15,ROW(AE251)-ROW(AE$15),0),
              ROUND(ROUND(OFFSET($P251,0,AE$13),15-13*ORÇAMENTO!$AF$7)*OFFSET(ORÇAMENTO!$W$15,ROW(AE251)-ROW(AE$15),0),15-13*ORÇAMENTO!$AF$11)),
         0)</f>
        <v>0</v>
      </c>
      <c r="AF251" s="454">
        <f ca="1">IF(AND($D251="Serviço",AF$12&lt;&gt;0,$H251&gt;0,OR(AUTOEVENTO&lt;&gt;"manual",$M251&lt;&gt;$A$15)),
        IF(Import.TipoArredondamento&lt;&gt;"TransfereGOV",
              ROUND(OFFSET($P251,0,AF$13),15-13*ORÇAMENTO!$AF$7)/$H251*OFFSET(ORÇAMENTO!$X$15,ROW(AF251)-ROW(AF$15),0),
              ROUND(ROUND(OFFSET($P251,0,AF$13),15-13*ORÇAMENTO!$AF$7)*OFFSET(ORÇAMENTO!$W$15,ROW(AF251)-ROW(AF$15),0),15-13*ORÇAMENTO!$AF$11)),
         0)</f>
        <v>0</v>
      </c>
      <c r="AG251" s="454">
        <f ca="1">IF(AND($D251="Serviço",AG$12&lt;&gt;0,$H251&gt;0,OR(AUTOEVENTO&lt;&gt;"manual",$M251&lt;&gt;$A$15)),
        IF(Import.TipoArredondamento&lt;&gt;"TransfereGOV",
              ROUND(OFFSET($P251,0,AG$13),15-13*ORÇAMENTO!$AF$7)/$H251*OFFSET(ORÇAMENTO!$X$15,ROW(AG251)-ROW(AG$15),0),
              ROUND(ROUND(OFFSET($P251,0,AG$13),15-13*ORÇAMENTO!$AF$7)*OFFSET(ORÇAMENTO!$W$15,ROW(AG251)-ROW(AG$15),0),15-13*ORÇAMENTO!$AF$11)),
         0)</f>
        <v>0</v>
      </c>
      <c r="AH251" s="454">
        <f ca="1">IF(AND($D251="Serviço",AH$12&lt;&gt;0,$H251&gt;0,OR(AUTOEVENTO&lt;&gt;"manual",$M251&lt;&gt;$A$15)),
        IF(Import.TipoArredondamento&lt;&gt;"TransfereGOV",
              ROUND(OFFSET($P251,0,AH$13),15-13*ORÇAMENTO!$AF$7)/$H251*OFFSET(ORÇAMENTO!$X$15,ROW(AH251)-ROW(AH$15),0),
              ROUND(ROUND(OFFSET($P251,0,AH$13),15-13*ORÇAMENTO!$AF$7)*OFFSET(ORÇAMENTO!$W$15,ROW(AH251)-ROW(AH$15),0),15-13*ORÇAMENTO!$AF$11)),
         0)</f>
        <v>0</v>
      </c>
      <c r="AI251" s="454">
        <f ca="1">IF(AND($D251="Serviço",AI$12&lt;&gt;0,$H251&gt;0,OR(AUTOEVENTO&lt;&gt;"manual",$M251&lt;&gt;$A$15)),
        IF(Import.TipoArredondamento&lt;&gt;"TransfereGOV",
              ROUND(OFFSET($P251,0,AI$13),15-13*ORÇAMENTO!$AF$7)/$H251*OFFSET(ORÇAMENTO!$X$15,ROW(AI251)-ROW(AI$15),0),
              ROUND(ROUND(OFFSET($P251,0,AI$13),15-13*ORÇAMENTO!$AF$7)*OFFSET(ORÇAMENTO!$W$15,ROW(AI251)-ROW(AI$15),0),15-13*ORÇAMENTO!$AF$11)),
         0)</f>
        <v>0</v>
      </c>
      <c r="AJ251" s="454">
        <f ca="1">IF(AND($D251="Serviço",AJ$12&lt;&gt;0,$H251&gt;0,OR(AUTOEVENTO&lt;&gt;"manual",$M251&lt;&gt;$A$15)),
        IF(Import.TipoArredondamento&lt;&gt;"TransfereGOV",
              ROUND(OFFSET($P251,0,AJ$13),15-13*ORÇAMENTO!$AF$7)/$H251*OFFSET(ORÇAMENTO!$X$15,ROW(AJ251)-ROW(AJ$15),0),
              ROUND(ROUND(OFFSET($P251,0,AJ$13),15-13*ORÇAMENTO!$AF$7)*OFFSET(ORÇAMENTO!$W$15,ROW(AJ251)-ROW(AJ$15),0),15-13*ORÇAMENTO!$AF$11)),
         0)</f>
        <v>0</v>
      </c>
      <c r="AK251" s="454">
        <f ca="1">IF(AND($D251="Serviço",AK$12&lt;&gt;0,$H251&gt;0,OR(AUTOEVENTO&lt;&gt;"manual",$M251&lt;&gt;$A$15)),
        IF(Import.TipoArredondamento&lt;&gt;"TransfereGOV",
              ROUND(OFFSET($P251,0,AK$13),15-13*ORÇAMENTO!$AF$7)/$H251*OFFSET(ORÇAMENTO!$X$15,ROW(AK251)-ROW(AK$15),0),
              ROUND(ROUND(OFFSET($P251,0,AK$13),15-13*ORÇAMENTO!$AF$7)*OFFSET(ORÇAMENTO!$W$15,ROW(AK251)-ROW(AK$15),0),15-13*ORÇAMENTO!$AF$11)),
         0)</f>
        <v>0</v>
      </c>
      <c r="AM251" s="172">
        <f ca="1">IF(OR($D251&lt;&gt;"Serviço",AND(AUTOEVENTO="Manual",$M251=$A$15)),0,
         IF(OFFSET(CRONOPLE!$F$15,$M251-$A$15,AM$13)="",10^12,OFFSET(CRONOPLE!$F$15,$M251-$A$15,AM$13)))</f>
        <v>1000000000000</v>
      </c>
      <c r="AN251" s="172">
        <f ca="1">IF(OR($D251&lt;&gt;"Serviço",AND(AUTOEVENTO="Manual",$M251=$A$15)),0,
         IF(OFFSET(CRONOPLE!$F$15,$M251-$A$15,AN$13)="",10^12,OFFSET(CRONOPLE!$F$15,$M251-$A$15,AN$13)))</f>
        <v>1000000000000</v>
      </c>
      <c r="AO251" s="172">
        <f ca="1">IF(OR($D251&lt;&gt;"Serviço",AND(AUTOEVENTO="Manual",$M251=$A$15)),0,
         IF(OFFSET(CRONOPLE!$F$15,$M251-$A$15,AO$13)="",10^12,OFFSET(CRONOPLE!$F$15,$M251-$A$15,AO$13)))</f>
        <v>1000000000000</v>
      </c>
      <c r="AP251" s="172">
        <f ca="1">IF(OR($D251&lt;&gt;"Serviço",AND(AUTOEVENTO="Manual",$M251=$A$15)),0,
         IF(OFFSET(CRONOPLE!$F$15,$M251-$A$15,AP$13)="",10^12,OFFSET(CRONOPLE!$F$15,$M251-$A$15,AP$13)))</f>
        <v>1000000000000</v>
      </c>
      <c r="AQ251" s="172">
        <f ca="1">IF(OR($D251&lt;&gt;"Serviço",AND(AUTOEVENTO="Manual",$M251=$A$15)),0,
         IF(OFFSET(CRONOPLE!$F$15,$M251-$A$15,AQ$13)="",10^12,OFFSET(CRONOPLE!$F$15,$M251-$A$15,AQ$13)))</f>
        <v>1000000000000</v>
      </c>
      <c r="AR251" s="172">
        <f ca="1">IF(OR($D251&lt;&gt;"Serviço",AND(AUTOEVENTO="Manual",$M251=$A$15)),0,
         IF(OFFSET(CRONOPLE!$F$15,$M251-$A$15,AR$13)="",10^12,OFFSET(CRONOPLE!$F$15,$M251-$A$15,AR$13)))</f>
        <v>1000000000000</v>
      </c>
      <c r="AS251" s="172">
        <f ca="1">IF(OR($D251&lt;&gt;"Serviço",AND(AUTOEVENTO="Manual",$M251=$A$15)),0,
         IF(OFFSET(CRONOPLE!$F$15,$M251-$A$15,AS$13)="",10^12,OFFSET(CRONOPLE!$F$15,$M251-$A$15,AS$13)))</f>
        <v>1000000000000</v>
      </c>
      <c r="AT251" s="172">
        <f ca="1">IF(OR($D251&lt;&gt;"Serviço",AND(AUTOEVENTO="Manual",$M251=$A$15)),0,
         IF(OFFSET(CRONOPLE!$F$15,$M251-$A$15,AT$13)="",10^12,OFFSET(CRONOPLE!$F$15,$M251-$A$15,AT$13)))</f>
        <v>1000000000000</v>
      </c>
      <c r="AU251" s="172">
        <f ca="1">IF(OR($D251&lt;&gt;"Serviço",AND(AUTOEVENTO="Manual",$M251=$A$15)),0,
         IF(OFFSET(CRONOPLE!$F$15,$M251-$A$15,AU$13)="",10^12,OFFSET(CRONOPLE!$F$15,$M251-$A$15,AU$13)))</f>
        <v>1000000000000</v>
      </c>
      <c r="AV251" s="172">
        <f ca="1">IF(OR($D251&lt;&gt;"Serviço",AND(AUTOEVENTO="Manual",$M251=$A$15)),0,
         IF(OFFSET(CRONOPLE!$F$15,$M251-$A$15,AV$13)="",10^12,OFFSET(CRONOPLE!$F$15,$M251-$A$15,AV$13)))</f>
        <v>1000000000000</v>
      </c>
      <c r="AX251" s="173">
        <f ca="1">IF(OR($D251&lt;&gt;"Serviço",AND(AUTOEVENTO="Manual",$M251=$A$15),$M251&gt;(ROW(PLE.lastrow)-ROW(PLE.firstrow))),0,
           IF(OFFSET(PLE!$G$15,$M251-$A$15,AX$13)="",10^12,OFFSET(PLE!$G$15,$M251-$A$15,AX$13)))</f>
        <v>1000000000000</v>
      </c>
      <c r="AY251" s="173">
        <f ca="1">IF(OR($D251&lt;&gt;"Serviço",AND(AUTOEVENTO="Manual",$M251=$A$15),$M251&gt;(ROW(PLE.lastrow)-ROW(PLE.firstrow))),0,
           IF(OFFSET(PLE!$G$15,$M251-$A$15,AY$13)="",10^12,OFFSET(PLE!$G$15,$M251-$A$15,AY$13)))</f>
        <v>1000000000000</v>
      </c>
      <c r="AZ251" s="173">
        <f ca="1">IF(OR($D251&lt;&gt;"Serviço",AND(AUTOEVENTO="Manual",$M251=$A$15),$M251&gt;(ROW(PLE.lastrow)-ROW(PLE.firstrow))),0,
           IF(OFFSET(PLE!$G$15,$M251-$A$15,AZ$13)="",10^12,OFFSET(PLE!$G$15,$M251-$A$15,AZ$13)))</f>
        <v>1000000000000</v>
      </c>
      <c r="BA251" s="173">
        <f ca="1">IF(OR($D251&lt;&gt;"Serviço",AND(AUTOEVENTO="Manual",$M251=$A$15),$M251&gt;(ROW(PLE.lastrow)-ROW(PLE.firstrow))),0,
           IF(OFFSET(PLE!$G$15,$M251-$A$15,BA$13)="",10^12,OFFSET(PLE!$G$15,$M251-$A$15,BA$13)))</f>
        <v>1000000000000</v>
      </c>
      <c r="BB251" s="173">
        <f ca="1">IF(OR($D251&lt;&gt;"Serviço",AND(AUTOEVENTO="Manual",$M251=$A$15),$M251&gt;(ROW(PLE.lastrow)-ROW(PLE.firstrow))),0,
           IF(OFFSET(PLE!$G$15,$M251-$A$15,BB$13)="",10^12,OFFSET(PLE!$G$15,$M251-$A$15,BB$13)))</f>
        <v>1000000000000</v>
      </c>
      <c r="BC251" s="173">
        <f ca="1">IF(OR($D251&lt;&gt;"Serviço",AND(AUTOEVENTO="Manual",$M251=$A$15),$M251&gt;(ROW(PLE.lastrow)-ROW(PLE.firstrow))),0,
           IF(OFFSET(PLE!$G$15,$M251-$A$15,BC$13)="",10^12,OFFSET(PLE!$G$15,$M251-$A$15,BC$13)))</f>
        <v>1000000000000</v>
      </c>
      <c r="BD251" s="173">
        <f ca="1">IF(OR($D251&lt;&gt;"Serviço",AND(AUTOEVENTO="Manual",$M251=$A$15),$M251&gt;(ROW(PLE.lastrow)-ROW(PLE.firstrow))),0,
           IF(OFFSET(PLE!$G$15,$M251-$A$15,BD$13)="",10^12,OFFSET(PLE!$G$15,$M251-$A$15,BD$13)))</f>
        <v>1000000000000</v>
      </c>
      <c r="BE251" s="173">
        <f ca="1">IF(OR($D251&lt;&gt;"Serviço",AND(AUTOEVENTO="Manual",$M251=$A$15),$M251&gt;(ROW(PLE.lastrow)-ROW(PLE.firstrow))),0,
           IF(OFFSET(PLE!$G$15,$M251-$A$15,BE$13)="",10^12,OFFSET(PLE!$G$15,$M251-$A$15,BE$13)))</f>
        <v>1000000000000</v>
      </c>
      <c r="BF251" s="173">
        <f ca="1">IF(OR($D251&lt;&gt;"Serviço",AND(AUTOEVENTO="Manual",$M251=$A$15),$M251&gt;(ROW(PLE.lastrow)-ROW(PLE.firstrow))),0,
           IF(OFFSET(PLE!$G$15,$M251-$A$15,BF$13)="",10^12,OFFSET(PLE!$G$15,$M251-$A$15,BF$13)))</f>
        <v>1000000000000</v>
      </c>
      <c r="BG251" s="173">
        <f ca="1">IF(OR($D251&lt;&gt;"Serviço",AND(AUTOEVENTO="Manual",$M251=$A$15),$M251&gt;(ROW(PLE.lastrow)-ROW(PLE.firstrow))),0,
           IF(OFFSET(PLE!$G$15,$M251-$A$15,BG$13)="",10^12,OFFSET(PLE!$G$15,$M251-$A$15,BG$13)))</f>
        <v>1000000000000</v>
      </c>
    </row>
    <row r="252" spans="1:59" ht="12.75" x14ac:dyDescent="0.2">
      <c r="A252" s="7" t="str">
        <f t="shared" ca="1" si="11"/>
        <v>232</v>
      </c>
      <c r="B252" s="7" t="str">
        <f ca="1">OFFSET(ORÇAMENTO!C$15,ROW(B252)-ROW(B$15),0)</f>
        <v>S</v>
      </c>
      <c r="C252" s="7" t="str">
        <f ca="1">OFFSET(ORÇAMENTO!L$15,ROW(C252)-ROW(C$15),0)</f>
        <v/>
      </c>
      <c r="D252" s="117" t="str">
        <f ca="1">OFFSET(ORÇAMENTO!N$15,ROW(D252)-ROW(D$15),0)</f>
        <v>Serviço</v>
      </c>
      <c r="E252" s="118" t="str">
        <f ca="1">OFFSET(ORÇAMENTO!O$15,ROW(E252)-ROW(E$15),0)</f>
        <v>-</v>
      </c>
      <c r="F252" s="164" t="str">
        <f ca="1">OFFSET(ORÇAMENTO!R$15,ROW(F252)-ROW(F$15),0)</f>
        <v xml:space="preserve">PELÍCULA DE PROTEÇÃO SOLAR - FORNECIMENTO E INSTALAÇÃO </v>
      </c>
      <c r="G252" s="165" t="str">
        <f ca="1">IF($D252&lt;&gt;"Serviço","",OFFSET(ORÇAMENTO!S$15,ROW(G252)-ROW(G$15),0))</f>
        <v>M2</v>
      </c>
      <c r="H252" s="123">
        <f ca="1">IF($D252&lt;&gt;"Serviço",0,IF(ACOMPANHAMENTO="BM",ROUND(OFFSET(ORÇAMENTO!AJ$15,ROW(H252)-ROW(H$15),0),15-13*ORÇAMENTO!$AF$7),SUMPRODUCT(($Q$1:$AA$1=1)*ROUND($Q252:$AA252,15-13*ORÇAMENTO!$AF$7))))</f>
        <v>157.47</v>
      </c>
      <c r="I252" s="469"/>
      <c r="J252" s="577" t="str" cm="1">
        <f t="array" aca="1" ref="J252" ca="1">IF(B252&lt;&gt;"S","",IF(AND(ACOMPANHAMENTO="PLE",AUTOEVENTO="Manual",OR(H252&gt;0,ORÇAMENTO!AC252="QUANT."),OR(K252="",M252=0,N252="")),"►",IF(AND(ACOMPANHAMENTO="PLE",ORÇAMENTO!AC252="QUANT."),"►►",IF(AND(COUNTIF($P$11:$AA$11,"▼")=0,H252&gt;0,I252=""),"◄",""))))</f>
        <v>◄</v>
      </c>
      <c r="K252" s="626"/>
      <c r="L252" s="166" t="s">
        <v>765</v>
      </c>
      <c r="M252" s="167">
        <f ca="1">IF($D252&lt;&gt;"Serviço","",
          IF(AUTOEVENTO="manual",$A252,
                IF(ISERROR(MATCH($A252,$A$15:OFFSET($A252,-1,0),0)),MAX($M$15:OFFSET(M252,-1,0))+1,
                      INDEX($M$15:OFFSET(M252,-1,0),MATCH($A252,$A$15:OFFSET($A252,-1,0),0)))))</f>
        <v>14</v>
      </c>
      <c r="N252" s="168" t="str">
        <f ca="1">IF($D252&lt;&gt;"Serviço","",
         IF(AUTOEVENTO="Manual",
                IF($A252=0,"&lt;-- defina o número do agrupador",
                       OFFSET(EVENTOS!$D$15,$A252-$A$15,0)),
                OFFSET($F$15,$A252,0)))</f>
        <v>ESQUADRIAS E VIDROS</v>
      </c>
      <c r="O252" s="169"/>
      <c r="Q252" s="169"/>
      <c r="R252" s="170"/>
      <c r="S252" s="170"/>
      <c r="T252" s="170"/>
      <c r="U252" s="170"/>
      <c r="V252" s="170"/>
      <c r="W252" s="170"/>
      <c r="X252" s="170"/>
      <c r="Y252" s="170"/>
      <c r="Z252" s="171"/>
      <c r="AB252" s="454">
        <f ca="1">IF(AND($D252="Serviço",AB$12&lt;&gt;0,$H252&gt;0,OR(AUTOEVENTO&lt;&gt;"manual",$M252&lt;&gt;$A$15)),
        IF(Import.TipoArredondamento&lt;&gt;"TransfereGOV",
              ROUND(OFFSET($P252,0,AB$13),15-13*ORÇAMENTO!$AF$7)/$H252*OFFSET(ORÇAMENTO!$X$15,ROW(AB252)-ROW(AB$15),0),
              ROUND(ROUND(OFFSET($P252,0,AB$13),15-13*ORÇAMENTO!$AF$7)*OFFSET(ORÇAMENTO!$W$15,ROW(AB252)-ROW(AB$15),0),15-13*ORÇAMENTO!$AF$11)),
         0)</f>
        <v>0</v>
      </c>
      <c r="AC252" s="454">
        <f ca="1">IF(AND($D252="Serviço",AC$12&lt;&gt;0,$H252&gt;0,OR(AUTOEVENTO&lt;&gt;"manual",$M252&lt;&gt;$A$15)),
        IF(Import.TipoArredondamento&lt;&gt;"TransfereGOV",
              ROUND(OFFSET($P252,0,AC$13),15-13*ORÇAMENTO!$AF$7)/$H252*OFFSET(ORÇAMENTO!$X$15,ROW(AC252)-ROW(AC$15),0),
              ROUND(ROUND(OFFSET($P252,0,AC$13),15-13*ORÇAMENTO!$AF$7)*OFFSET(ORÇAMENTO!$W$15,ROW(AC252)-ROW(AC$15),0),15-13*ORÇAMENTO!$AF$11)),
         0)</f>
        <v>0</v>
      </c>
      <c r="AD252" s="454">
        <f ca="1">IF(AND($D252="Serviço",AD$12&lt;&gt;0,$H252&gt;0,OR(AUTOEVENTO&lt;&gt;"manual",$M252&lt;&gt;$A$15)),
        IF(Import.TipoArredondamento&lt;&gt;"TransfereGOV",
              ROUND(OFFSET($P252,0,AD$13),15-13*ORÇAMENTO!$AF$7)/$H252*OFFSET(ORÇAMENTO!$X$15,ROW(AD252)-ROW(AD$15),0),
              ROUND(ROUND(OFFSET($P252,0,AD$13),15-13*ORÇAMENTO!$AF$7)*OFFSET(ORÇAMENTO!$W$15,ROW(AD252)-ROW(AD$15),0),15-13*ORÇAMENTO!$AF$11)),
         0)</f>
        <v>0</v>
      </c>
      <c r="AE252" s="454">
        <f ca="1">IF(AND($D252="Serviço",AE$12&lt;&gt;0,$H252&gt;0,OR(AUTOEVENTO&lt;&gt;"manual",$M252&lt;&gt;$A$15)),
        IF(Import.TipoArredondamento&lt;&gt;"TransfereGOV",
              ROUND(OFFSET($P252,0,AE$13),15-13*ORÇAMENTO!$AF$7)/$H252*OFFSET(ORÇAMENTO!$X$15,ROW(AE252)-ROW(AE$15),0),
              ROUND(ROUND(OFFSET($P252,0,AE$13),15-13*ORÇAMENTO!$AF$7)*OFFSET(ORÇAMENTO!$W$15,ROW(AE252)-ROW(AE$15),0),15-13*ORÇAMENTO!$AF$11)),
         0)</f>
        <v>0</v>
      </c>
      <c r="AF252" s="454">
        <f ca="1">IF(AND($D252="Serviço",AF$12&lt;&gt;0,$H252&gt;0,OR(AUTOEVENTO&lt;&gt;"manual",$M252&lt;&gt;$A$15)),
        IF(Import.TipoArredondamento&lt;&gt;"TransfereGOV",
              ROUND(OFFSET($P252,0,AF$13),15-13*ORÇAMENTO!$AF$7)/$H252*OFFSET(ORÇAMENTO!$X$15,ROW(AF252)-ROW(AF$15),0),
              ROUND(ROUND(OFFSET($P252,0,AF$13),15-13*ORÇAMENTO!$AF$7)*OFFSET(ORÇAMENTO!$W$15,ROW(AF252)-ROW(AF$15),0),15-13*ORÇAMENTO!$AF$11)),
         0)</f>
        <v>0</v>
      </c>
      <c r="AG252" s="454">
        <f ca="1">IF(AND($D252="Serviço",AG$12&lt;&gt;0,$H252&gt;0,OR(AUTOEVENTO&lt;&gt;"manual",$M252&lt;&gt;$A$15)),
        IF(Import.TipoArredondamento&lt;&gt;"TransfereGOV",
              ROUND(OFFSET($P252,0,AG$13),15-13*ORÇAMENTO!$AF$7)/$H252*OFFSET(ORÇAMENTO!$X$15,ROW(AG252)-ROW(AG$15),0),
              ROUND(ROUND(OFFSET($P252,0,AG$13),15-13*ORÇAMENTO!$AF$7)*OFFSET(ORÇAMENTO!$W$15,ROW(AG252)-ROW(AG$15),0),15-13*ORÇAMENTO!$AF$11)),
         0)</f>
        <v>0</v>
      </c>
      <c r="AH252" s="454">
        <f ca="1">IF(AND($D252="Serviço",AH$12&lt;&gt;0,$H252&gt;0,OR(AUTOEVENTO&lt;&gt;"manual",$M252&lt;&gt;$A$15)),
        IF(Import.TipoArredondamento&lt;&gt;"TransfereGOV",
              ROUND(OFFSET($P252,0,AH$13),15-13*ORÇAMENTO!$AF$7)/$H252*OFFSET(ORÇAMENTO!$X$15,ROW(AH252)-ROW(AH$15),0),
              ROUND(ROUND(OFFSET($P252,0,AH$13),15-13*ORÇAMENTO!$AF$7)*OFFSET(ORÇAMENTO!$W$15,ROW(AH252)-ROW(AH$15),0),15-13*ORÇAMENTO!$AF$11)),
         0)</f>
        <v>0</v>
      </c>
      <c r="AI252" s="454">
        <f ca="1">IF(AND($D252="Serviço",AI$12&lt;&gt;0,$H252&gt;0,OR(AUTOEVENTO&lt;&gt;"manual",$M252&lt;&gt;$A$15)),
        IF(Import.TipoArredondamento&lt;&gt;"TransfereGOV",
              ROUND(OFFSET($P252,0,AI$13),15-13*ORÇAMENTO!$AF$7)/$H252*OFFSET(ORÇAMENTO!$X$15,ROW(AI252)-ROW(AI$15),0),
              ROUND(ROUND(OFFSET($P252,0,AI$13),15-13*ORÇAMENTO!$AF$7)*OFFSET(ORÇAMENTO!$W$15,ROW(AI252)-ROW(AI$15),0),15-13*ORÇAMENTO!$AF$11)),
         0)</f>
        <v>0</v>
      </c>
      <c r="AJ252" s="454">
        <f ca="1">IF(AND($D252="Serviço",AJ$12&lt;&gt;0,$H252&gt;0,OR(AUTOEVENTO&lt;&gt;"manual",$M252&lt;&gt;$A$15)),
        IF(Import.TipoArredondamento&lt;&gt;"TransfereGOV",
              ROUND(OFFSET($P252,0,AJ$13),15-13*ORÇAMENTO!$AF$7)/$H252*OFFSET(ORÇAMENTO!$X$15,ROW(AJ252)-ROW(AJ$15),0),
              ROUND(ROUND(OFFSET($P252,0,AJ$13),15-13*ORÇAMENTO!$AF$7)*OFFSET(ORÇAMENTO!$W$15,ROW(AJ252)-ROW(AJ$15),0),15-13*ORÇAMENTO!$AF$11)),
         0)</f>
        <v>0</v>
      </c>
      <c r="AK252" s="454">
        <f ca="1">IF(AND($D252="Serviço",AK$12&lt;&gt;0,$H252&gt;0,OR(AUTOEVENTO&lt;&gt;"manual",$M252&lt;&gt;$A$15)),
        IF(Import.TipoArredondamento&lt;&gt;"TransfereGOV",
              ROUND(OFFSET($P252,0,AK$13),15-13*ORÇAMENTO!$AF$7)/$H252*OFFSET(ORÇAMENTO!$X$15,ROW(AK252)-ROW(AK$15),0),
              ROUND(ROUND(OFFSET($P252,0,AK$13),15-13*ORÇAMENTO!$AF$7)*OFFSET(ORÇAMENTO!$W$15,ROW(AK252)-ROW(AK$15),0),15-13*ORÇAMENTO!$AF$11)),
         0)</f>
        <v>0</v>
      </c>
      <c r="AM252" s="172">
        <f ca="1">IF(OR($D252&lt;&gt;"Serviço",AND(AUTOEVENTO="Manual",$M252=$A$15)),0,
         IF(OFFSET(CRONOPLE!$F$15,$M252-$A$15,AM$13)="",10^12,OFFSET(CRONOPLE!$F$15,$M252-$A$15,AM$13)))</f>
        <v>1000000000000</v>
      </c>
      <c r="AN252" s="172">
        <f ca="1">IF(OR($D252&lt;&gt;"Serviço",AND(AUTOEVENTO="Manual",$M252=$A$15)),0,
         IF(OFFSET(CRONOPLE!$F$15,$M252-$A$15,AN$13)="",10^12,OFFSET(CRONOPLE!$F$15,$M252-$A$15,AN$13)))</f>
        <v>1000000000000</v>
      </c>
      <c r="AO252" s="172">
        <f ca="1">IF(OR($D252&lt;&gt;"Serviço",AND(AUTOEVENTO="Manual",$M252=$A$15)),0,
         IF(OFFSET(CRONOPLE!$F$15,$M252-$A$15,AO$13)="",10^12,OFFSET(CRONOPLE!$F$15,$M252-$A$15,AO$13)))</f>
        <v>1000000000000</v>
      </c>
      <c r="AP252" s="172">
        <f ca="1">IF(OR($D252&lt;&gt;"Serviço",AND(AUTOEVENTO="Manual",$M252=$A$15)),0,
         IF(OFFSET(CRONOPLE!$F$15,$M252-$A$15,AP$13)="",10^12,OFFSET(CRONOPLE!$F$15,$M252-$A$15,AP$13)))</f>
        <v>1000000000000</v>
      </c>
      <c r="AQ252" s="172">
        <f ca="1">IF(OR($D252&lt;&gt;"Serviço",AND(AUTOEVENTO="Manual",$M252=$A$15)),0,
         IF(OFFSET(CRONOPLE!$F$15,$M252-$A$15,AQ$13)="",10^12,OFFSET(CRONOPLE!$F$15,$M252-$A$15,AQ$13)))</f>
        <v>1000000000000</v>
      </c>
      <c r="AR252" s="172">
        <f ca="1">IF(OR($D252&lt;&gt;"Serviço",AND(AUTOEVENTO="Manual",$M252=$A$15)),0,
         IF(OFFSET(CRONOPLE!$F$15,$M252-$A$15,AR$13)="",10^12,OFFSET(CRONOPLE!$F$15,$M252-$A$15,AR$13)))</f>
        <v>1000000000000</v>
      </c>
      <c r="AS252" s="172">
        <f ca="1">IF(OR($D252&lt;&gt;"Serviço",AND(AUTOEVENTO="Manual",$M252=$A$15)),0,
         IF(OFFSET(CRONOPLE!$F$15,$M252-$A$15,AS$13)="",10^12,OFFSET(CRONOPLE!$F$15,$M252-$A$15,AS$13)))</f>
        <v>1000000000000</v>
      </c>
      <c r="AT252" s="172">
        <f ca="1">IF(OR($D252&lt;&gt;"Serviço",AND(AUTOEVENTO="Manual",$M252=$A$15)),0,
         IF(OFFSET(CRONOPLE!$F$15,$M252-$A$15,AT$13)="",10^12,OFFSET(CRONOPLE!$F$15,$M252-$A$15,AT$13)))</f>
        <v>1000000000000</v>
      </c>
      <c r="AU252" s="172">
        <f ca="1">IF(OR($D252&lt;&gt;"Serviço",AND(AUTOEVENTO="Manual",$M252=$A$15)),0,
         IF(OFFSET(CRONOPLE!$F$15,$M252-$A$15,AU$13)="",10^12,OFFSET(CRONOPLE!$F$15,$M252-$A$15,AU$13)))</f>
        <v>1000000000000</v>
      </c>
      <c r="AV252" s="172">
        <f ca="1">IF(OR($D252&lt;&gt;"Serviço",AND(AUTOEVENTO="Manual",$M252=$A$15)),0,
         IF(OFFSET(CRONOPLE!$F$15,$M252-$A$15,AV$13)="",10^12,OFFSET(CRONOPLE!$F$15,$M252-$A$15,AV$13)))</f>
        <v>1000000000000</v>
      </c>
      <c r="AX252" s="173">
        <f ca="1">IF(OR($D252&lt;&gt;"Serviço",AND(AUTOEVENTO="Manual",$M252=$A$15),$M252&gt;(ROW(PLE.lastrow)-ROW(PLE.firstrow))),0,
           IF(OFFSET(PLE!$G$15,$M252-$A$15,AX$13)="",10^12,OFFSET(PLE!$G$15,$M252-$A$15,AX$13)))</f>
        <v>1000000000000</v>
      </c>
      <c r="AY252" s="173">
        <f ca="1">IF(OR($D252&lt;&gt;"Serviço",AND(AUTOEVENTO="Manual",$M252=$A$15),$M252&gt;(ROW(PLE.lastrow)-ROW(PLE.firstrow))),0,
           IF(OFFSET(PLE!$G$15,$M252-$A$15,AY$13)="",10^12,OFFSET(PLE!$G$15,$M252-$A$15,AY$13)))</f>
        <v>1000000000000</v>
      </c>
      <c r="AZ252" s="173">
        <f ca="1">IF(OR($D252&lt;&gt;"Serviço",AND(AUTOEVENTO="Manual",$M252=$A$15),$M252&gt;(ROW(PLE.lastrow)-ROW(PLE.firstrow))),0,
           IF(OFFSET(PLE!$G$15,$M252-$A$15,AZ$13)="",10^12,OFFSET(PLE!$G$15,$M252-$A$15,AZ$13)))</f>
        <v>1000000000000</v>
      </c>
      <c r="BA252" s="173">
        <f ca="1">IF(OR($D252&lt;&gt;"Serviço",AND(AUTOEVENTO="Manual",$M252=$A$15),$M252&gt;(ROW(PLE.lastrow)-ROW(PLE.firstrow))),0,
           IF(OFFSET(PLE!$G$15,$M252-$A$15,BA$13)="",10^12,OFFSET(PLE!$G$15,$M252-$A$15,BA$13)))</f>
        <v>1000000000000</v>
      </c>
      <c r="BB252" s="173">
        <f ca="1">IF(OR($D252&lt;&gt;"Serviço",AND(AUTOEVENTO="Manual",$M252=$A$15),$M252&gt;(ROW(PLE.lastrow)-ROW(PLE.firstrow))),0,
           IF(OFFSET(PLE!$G$15,$M252-$A$15,BB$13)="",10^12,OFFSET(PLE!$G$15,$M252-$A$15,BB$13)))</f>
        <v>1000000000000</v>
      </c>
      <c r="BC252" s="173">
        <f ca="1">IF(OR($D252&lt;&gt;"Serviço",AND(AUTOEVENTO="Manual",$M252=$A$15),$M252&gt;(ROW(PLE.lastrow)-ROW(PLE.firstrow))),0,
           IF(OFFSET(PLE!$G$15,$M252-$A$15,BC$13)="",10^12,OFFSET(PLE!$G$15,$M252-$A$15,BC$13)))</f>
        <v>1000000000000</v>
      </c>
      <c r="BD252" s="173">
        <f ca="1">IF(OR($D252&lt;&gt;"Serviço",AND(AUTOEVENTO="Manual",$M252=$A$15),$M252&gt;(ROW(PLE.lastrow)-ROW(PLE.firstrow))),0,
           IF(OFFSET(PLE!$G$15,$M252-$A$15,BD$13)="",10^12,OFFSET(PLE!$G$15,$M252-$A$15,BD$13)))</f>
        <v>1000000000000</v>
      </c>
      <c r="BE252" s="173">
        <f ca="1">IF(OR($D252&lt;&gt;"Serviço",AND(AUTOEVENTO="Manual",$M252=$A$15),$M252&gt;(ROW(PLE.lastrow)-ROW(PLE.firstrow))),0,
           IF(OFFSET(PLE!$G$15,$M252-$A$15,BE$13)="",10^12,OFFSET(PLE!$G$15,$M252-$A$15,BE$13)))</f>
        <v>1000000000000</v>
      </c>
      <c r="BF252" s="173">
        <f ca="1">IF(OR($D252&lt;&gt;"Serviço",AND(AUTOEVENTO="Manual",$M252=$A$15),$M252&gt;(ROW(PLE.lastrow)-ROW(PLE.firstrow))),0,
           IF(OFFSET(PLE!$G$15,$M252-$A$15,BF$13)="",10^12,OFFSET(PLE!$G$15,$M252-$A$15,BF$13)))</f>
        <v>1000000000000</v>
      </c>
      <c r="BG252" s="173">
        <f ca="1">IF(OR($D252&lt;&gt;"Serviço",AND(AUTOEVENTO="Manual",$M252=$A$15),$M252&gt;(ROW(PLE.lastrow)-ROW(PLE.firstrow))),0,
           IF(OFFSET(PLE!$G$15,$M252-$A$15,BG$13)="",10^12,OFFSET(PLE!$G$15,$M252-$A$15,BG$13)))</f>
        <v>1000000000000</v>
      </c>
    </row>
    <row r="253" spans="1:59" ht="12.75" x14ac:dyDescent="0.2">
      <c r="A253" s="7" t="str">
        <f ca="1">IF(AUTOEVENTO="Manual",IF(K253&lt;&gt;"",MIN(VALUE(LEFT(K253,FIND(".",K253)-1)),COUNTA(EVENTOS.Lista)),0),IF(OR($B253&gt;AUTOEVENTO,$B253="S",$B253=0),SUBSTITUTE(OFFSET($A253,-1,0),IF($D253="Serviço",".",""),""),ROW(A253)-ROW($A$15)&amp;"."))</f>
        <v>232</v>
      </c>
      <c r="B253" s="7" t="str">
        <f ca="1">OFFSET(ORÇAMENTO!C$15,ROW(B253)-ROW(B$15),0)</f>
        <v>S</v>
      </c>
      <c r="C253" s="7" t="str">
        <f ca="1">OFFSET(ORÇAMENTO!L$15,ROW(C253)-ROW(C$15),0)</f>
        <v/>
      </c>
      <c r="D253" s="117" t="str">
        <f ca="1">OFFSET(ORÇAMENTO!N$15,ROW(D253)-ROW(D$15),0)</f>
        <v>Serviço</v>
      </c>
      <c r="E253" s="118" t="str">
        <f ca="1">OFFSET(ORÇAMENTO!O$15,ROW(E253)-ROW(E$15),0)</f>
        <v>-</v>
      </c>
      <c r="F253" s="164" t="str">
        <f ca="1">OFFSET(ORÇAMENTO!R$15,ROW(F253)-ROW(F$15),0)</f>
        <v>(abra o arquivo 'Referência 12-2024.xlsm)</v>
      </c>
      <c r="G253" s="165" t="str">
        <f ca="1">IF($D253&lt;&gt;"Serviço","",OFFSET(ORÇAMENTO!S$15,ROW(G253)-ROW(G$15),0))</f>
        <v>-</v>
      </c>
      <c r="H253" s="123">
        <f ca="1">IF($D253&lt;&gt;"Serviço",0,IF(ACOMPANHAMENTO="BM",ROUND(OFFSET(ORÇAMENTO!AJ$15,ROW(H253)-ROW(H$15),0),15-13*ORÇAMENTO!$AF$7),SUMPRODUCT(($Q$1:$AA$1=1)*ROUND($Q253:$AA253,15-13*ORÇAMENTO!$AF$7))))</f>
        <v>468.4</v>
      </c>
      <c r="I253" s="469"/>
      <c r="J253" s="577" t="str" cm="1">
        <f t="array" aca="1" ref="J253" ca="1">IF(B253&lt;&gt;"S","",IF(AND(ACOMPANHAMENTO="PLE",AUTOEVENTO="Manual",OR(H253&gt;0,ORÇAMENTO!AC253="QUANT."),OR(K253="",M253=0,N253="")),"►",IF(AND(ACOMPANHAMENTO="PLE",ORÇAMENTO!AC253="QUANT."),"►►",IF(AND(COUNTIF($P$11:$AA$11,"▼")=0,H253&gt;0,I253=""),"◄",""))))</f>
        <v>◄</v>
      </c>
      <c r="K253" s="626"/>
      <c r="L253" s="166" t="s">
        <v>765</v>
      </c>
      <c r="M253" s="167">
        <f ca="1">IF($D253&lt;&gt;"Serviço","",
          IF(AUTOEVENTO="manual",$A253,
                IF(ISERROR(MATCH($A253,$A$15:OFFSET($A253,-1,0),0)),MAX($M$15:OFFSET(M253,-1,0))+1,
                      INDEX($M$15:OFFSET(M253,-1,0),MATCH($A253,$A$15:OFFSET($A253,-1,0),0)))))</f>
        <v>14</v>
      </c>
      <c r="N253" s="168" t="str">
        <f ca="1">IF($D253&lt;&gt;"Serviço","",
         IF(AUTOEVENTO="Manual",
                IF($A253=0,"&lt;-- defina o número do agrupador",
                       OFFSET(EVENTOS!$D$15,$A253-$A$15,0)),
                OFFSET($F$15,$A253,0)))</f>
        <v>ESQUADRIAS E VIDROS</v>
      </c>
      <c r="O253" s="169"/>
      <c r="Q253" s="169"/>
      <c r="R253" s="170"/>
      <c r="S253" s="170"/>
      <c r="T253" s="170"/>
      <c r="U253" s="170"/>
      <c r="V253" s="170"/>
      <c r="W253" s="170"/>
      <c r="X253" s="170"/>
      <c r="Y253" s="170"/>
      <c r="Z253" s="171"/>
      <c r="AB253" s="454">
        <f ca="1">IF(AND($D253="Serviço",AB$12&lt;&gt;0,$H253&gt;0,OR(AUTOEVENTO&lt;&gt;"manual",$M253&lt;&gt;$A$15)),
        IF(Import.TipoArredondamento&lt;&gt;"TransfereGOV",
              ROUND(OFFSET($P253,0,AB$13),15-13*ORÇAMENTO!$AF$7)/$H253*OFFSET(ORÇAMENTO!$X$15,ROW(AB253)-ROW(AB$15),0),
              ROUND(ROUND(OFFSET($P253,0,AB$13),15-13*ORÇAMENTO!$AF$7)*OFFSET(ORÇAMENTO!$W$15,ROW(AB253)-ROW(AB$15),0),15-13*ORÇAMENTO!$AF$11)),
         0)</f>
        <v>0</v>
      </c>
      <c r="AC253" s="454">
        <f ca="1">IF(AND($D253="Serviço",AC$12&lt;&gt;0,$H253&gt;0,OR(AUTOEVENTO&lt;&gt;"manual",$M253&lt;&gt;$A$15)),
        IF(Import.TipoArredondamento&lt;&gt;"TransfereGOV",
              ROUND(OFFSET($P253,0,AC$13),15-13*ORÇAMENTO!$AF$7)/$H253*OFFSET(ORÇAMENTO!$X$15,ROW(AC253)-ROW(AC$15),0),
              ROUND(ROUND(OFFSET($P253,0,AC$13),15-13*ORÇAMENTO!$AF$7)*OFFSET(ORÇAMENTO!$W$15,ROW(AC253)-ROW(AC$15),0),15-13*ORÇAMENTO!$AF$11)),
         0)</f>
        <v>0</v>
      </c>
      <c r="AD253" s="454">
        <f ca="1">IF(AND($D253="Serviço",AD$12&lt;&gt;0,$H253&gt;0,OR(AUTOEVENTO&lt;&gt;"manual",$M253&lt;&gt;$A$15)),
        IF(Import.TipoArredondamento&lt;&gt;"TransfereGOV",
              ROUND(OFFSET($P253,0,AD$13),15-13*ORÇAMENTO!$AF$7)/$H253*OFFSET(ORÇAMENTO!$X$15,ROW(AD253)-ROW(AD$15),0),
              ROUND(ROUND(OFFSET($P253,0,AD$13),15-13*ORÇAMENTO!$AF$7)*OFFSET(ORÇAMENTO!$W$15,ROW(AD253)-ROW(AD$15),0),15-13*ORÇAMENTO!$AF$11)),
         0)</f>
        <v>0</v>
      </c>
      <c r="AE253" s="454">
        <f ca="1">IF(AND($D253="Serviço",AE$12&lt;&gt;0,$H253&gt;0,OR(AUTOEVENTO&lt;&gt;"manual",$M253&lt;&gt;$A$15)),
        IF(Import.TipoArredondamento&lt;&gt;"TransfereGOV",
              ROUND(OFFSET($P253,0,AE$13),15-13*ORÇAMENTO!$AF$7)/$H253*OFFSET(ORÇAMENTO!$X$15,ROW(AE253)-ROW(AE$15),0),
              ROUND(ROUND(OFFSET($P253,0,AE$13),15-13*ORÇAMENTO!$AF$7)*OFFSET(ORÇAMENTO!$W$15,ROW(AE253)-ROW(AE$15),0),15-13*ORÇAMENTO!$AF$11)),
         0)</f>
        <v>0</v>
      </c>
      <c r="AF253" s="454">
        <f ca="1">IF(AND($D253="Serviço",AF$12&lt;&gt;0,$H253&gt;0,OR(AUTOEVENTO&lt;&gt;"manual",$M253&lt;&gt;$A$15)),
        IF(Import.TipoArredondamento&lt;&gt;"TransfereGOV",
              ROUND(OFFSET($P253,0,AF$13),15-13*ORÇAMENTO!$AF$7)/$H253*OFFSET(ORÇAMENTO!$X$15,ROW(AF253)-ROW(AF$15),0),
              ROUND(ROUND(OFFSET($P253,0,AF$13),15-13*ORÇAMENTO!$AF$7)*OFFSET(ORÇAMENTO!$W$15,ROW(AF253)-ROW(AF$15),0),15-13*ORÇAMENTO!$AF$11)),
         0)</f>
        <v>0</v>
      </c>
      <c r="AG253" s="454">
        <f ca="1">IF(AND($D253="Serviço",AG$12&lt;&gt;0,$H253&gt;0,OR(AUTOEVENTO&lt;&gt;"manual",$M253&lt;&gt;$A$15)),
        IF(Import.TipoArredondamento&lt;&gt;"TransfereGOV",
              ROUND(OFFSET($P253,0,AG$13),15-13*ORÇAMENTO!$AF$7)/$H253*OFFSET(ORÇAMENTO!$X$15,ROW(AG253)-ROW(AG$15),0),
              ROUND(ROUND(OFFSET($P253,0,AG$13),15-13*ORÇAMENTO!$AF$7)*OFFSET(ORÇAMENTO!$W$15,ROW(AG253)-ROW(AG$15),0),15-13*ORÇAMENTO!$AF$11)),
         0)</f>
        <v>0</v>
      </c>
      <c r="AH253" s="454">
        <f ca="1">IF(AND($D253="Serviço",AH$12&lt;&gt;0,$H253&gt;0,OR(AUTOEVENTO&lt;&gt;"manual",$M253&lt;&gt;$A$15)),
        IF(Import.TipoArredondamento&lt;&gt;"TransfereGOV",
              ROUND(OFFSET($P253,0,AH$13),15-13*ORÇAMENTO!$AF$7)/$H253*OFFSET(ORÇAMENTO!$X$15,ROW(AH253)-ROW(AH$15),0),
              ROUND(ROUND(OFFSET($P253,0,AH$13),15-13*ORÇAMENTO!$AF$7)*OFFSET(ORÇAMENTO!$W$15,ROW(AH253)-ROW(AH$15),0),15-13*ORÇAMENTO!$AF$11)),
         0)</f>
        <v>0</v>
      </c>
      <c r="AI253" s="454">
        <f ca="1">IF(AND($D253="Serviço",AI$12&lt;&gt;0,$H253&gt;0,OR(AUTOEVENTO&lt;&gt;"manual",$M253&lt;&gt;$A$15)),
        IF(Import.TipoArredondamento&lt;&gt;"TransfereGOV",
              ROUND(OFFSET($P253,0,AI$13),15-13*ORÇAMENTO!$AF$7)/$H253*OFFSET(ORÇAMENTO!$X$15,ROW(AI253)-ROW(AI$15),0),
              ROUND(ROUND(OFFSET($P253,0,AI$13),15-13*ORÇAMENTO!$AF$7)*OFFSET(ORÇAMENTO!$W$15,ROW(AI253)-ROW(AI$15),0),15-13*ORÇAMENTO!$AF$11)),
         0)</f>
        <v>0</v>
      </c>
      <c r="AJ253" s="454">
        <f ca="1">IF(AND($D253="Serviço",AJ$12&lt;&gt;0,$H253&gt;0,OR(AUTOEVENTO&lt;&gt;"manual",$M253&lt;&gt;$A$15)),
        IF(Import.TipoArredondamento&lt;&gt;"TransfereGOV",
              ROUND(OFFSET($P253,0,AJ$13),15-13*ORÇAMENTO!$AF$7)/$H253*OFFSET(ORÇAMENTO!$X$15,ROW(AJ253)-ROW(AJ$15),0),
              ROUND(ROUND(OFFSET($P253,0,AJ$13),15-13*ORÇAMENTO!$AF$7)*OFFSET(ORÇAMENTO!$W$15,ROW(AJ253)-ROW(AJ$15),0),15-13*ORÇAMENTO!$AF$11)),
         0)</f>
        <v>0</v>
      </c>
      <c r="AK253" s="454">
        <f ca="1">IF(AND($D253="Serviço",AK$12&lt;&gt;0,$H253&gt;0,OR(AUTOEVENTO&lt;&gt;"manual",$M253&lt;&gt;$A$15)),
        IF(Import.TipoArredondamento&lt;&gt;"TransfereGOV",
              ROUND(OFFSET($P253,0,AK$13),15-13*ORÇAMENTO!$AF$7)/$H253*OFFSET(ORÇAMENTO!$X$15,ROW(AK253)-ROW(AK$15),0),
              ROUND(ROUND(OFFSET($P253,0,AK$13),15-13*ORÇAMENTO!$AF$7)*OFFSET(ORÇAMENTO!$W$15,ROW(AK253)-ROW(AK$15),0),15-13*ORÇAMENTO!$AF$11)),
         0)</f>
        <v>0</v>
      </c>
      <c r="AM253" s="172">
        <f ca="1">IF(OR($D253&lt;&gt;"Serviço",AND(AUTOEVENTO="Manual",$M253=$A$15)),0,
         IF(OFFSET(CRONOPLE!$F$15,$M253-$A$15,AM$13)="",10^12,OFFSET(CRONOPLE!$F$15,$M253-$A$15,AM$13)))</f>
        <v>1000000000000</v>
      </c>
      <c r="AN253" s="172">
        <f ca="1">IF(OR($D253&lt;&gt;"Serviço",AND(AUTOEVENTO="Manual",$M253=$A$15)),0,
         IF(OFFSET(CRONOPLE!$F$15,$M253-$A$15,AN$13)="",10^12,OFFSET(CRONOPLE!$F$15,$M253-$A$15,AN$13)))</f>
        <v>1000000000000</v>
      </c>
      <c r="AO253" s="172">
        <f ca="1">IF(OR($D253&lt;&gt;"Serviço",AND(AUTOEVENTO="Manual",$M253=$A$15)),0,
         IF(OFFSET(CRONOPLE!$F$15,$M253-$A$15,AO$13)="",10^12,OFFSET(CRONOPLE!$F$15,$M253-$A$15,AO$13)))</f>
        <v>1000000000000</v>
      </c>
      <c r="AP253" s="172">
        <f ca="1">IF(OR($D253&lt;&gt;"Serviço",AND(AUTOEVENTO="Manual",$M253=$A$15)),0,
         IF(OFFSET(CRONOPLE!$F$15,$M253-$A$15,AP$13)="",10^12,OFFSET(CRONOPLE!$F$15,$M253-$A$15,AP$13)))</f>
        <v>1000000000000</v>
      </c>
      <c r="AQ253" s="172">
        <f ca="1">IF(OR($D253&lt;&gt;"Serviço",AND(AUTOEVENTO="Manual",$M253=$A$15)),0,
         IF(OFFSET(CRONOPLE!$F$15,$M253-$A$15,AQ$13)="",10^12,OFFSET(CRONOPLE!$F$15,$M253-$A$15,AQ$13)))</f>
        <v>1000000000000</v>
      </c>
      <c r="AR253" s="172">
        <f ca="1">IF(OR($D253&lt;&gt;"Serviço",AND(AUTOEVENTO="Manual",$M253=$A$15)),0,
         IF(OFFSET(CRONOPLE!$F$15,$M253-$A$15,AR$13)="",10^12,OFFSET(CRONOPLE!$F$15,$M253-$A$15,AR$13)))</f>
        <v>1000000000000</v>
      </c>
      <c r="AS253" s="172">
        <f ca="1">IF(OR($D253&lt;&gt;"Serviço",AND(AUTOEVENTO="Manual",$M253=$A$15)),0,
         IF(OFFSET(CRONOPLE!$F$15,$M253-$A$15,AS$13)="",10^12,OFFSET(CRONOPLE!$F$15,$M253-$A$15,AS$13)))</f>
        <v>1000000000000</v>
      </c>
      <c r="AT253" s="172">
        <f ca="1">IF(OR($D253&lt;&gt;"Serviço",AND(AUTOEVENTO="Manual",$M253=$A$15)),0,
         IF(OFFSET(CRONOPLE!$F$15,$M253-$A$15,AT$13)="",10^12,OFFSET(CRONOPLE!$F$15,$M253-$A$15,AT$13)))</f>
        <v>1000000000000</v>
      </c>
      <c r="AU253" s="172">
        <f ca="1">IF(OR($D253&lt;&gt;"Serviço",AND(AUTOEVENTO="Manual",$M253=$A$15)),0,
         IF(OFFSET(CRONOPLE!$F$15,$M253-$A$15,AU$13)="",10^12,OFFSET(CRONOPLE!$F$15,$M253-$A$15,AU$13)))</f>
        <v>1000000000000</v>
      </c>
      <c r="AV253" s="172">
        <f ca="1">IF(OR($D253&lt;&gt;"Serviço",AND(AUTOEVENTO="Manual",$M253=$A$15)),0,
         IF(OFFSET(CRONOPLE!$F$15,$M253-$A$15,AV$13)="",10^12,OFFSET(CRONOPLE!$F$15,$M253-$A$15,AV$13)))</f>
        <v>1000000000000</v>
      </c>
      <c r="AX253" s="173">
        <f ca="1">IF(OR($D253&lt;&gt;"Serviço",AND(AUTOEVENTO="Manual",$M253=$A$15),$M253&gt;(ROW(PLE.lastrow)-ROW(PLE.firstrow))),0,
           IF(OFFSET(PLE!$G$15,$M253-$A$15,AX$13)="",10^12,OFFSET(PLE!$G$15,$M253-$A$15,AX$13)))</f>
        <v>1000000000000</v>
      </c>
      <c r="AY253" s="173">
        <f ca="1">IF(OR($D253&lt;&gt;"Serviço",AND(AUTOEVENTO="Manual",$M253=$A$15),$M253&gt;(ROW(PLE.lastrow)-ROW(PLE.firstrow))),0,
           IF(OFFSET(PLE!$G$15,$M253-$A$15,AY$13)="",10^12,OFFSET(PLE!$G$15,$M253-$A$15,AY$13)))</f>
        <v>1000000000000</v>
      </c>
      <c r="AZ253" s="173">
        <f ca="1">IF(OR($D253&lt;&gt;"Serviço",AND(AUTOEVENTO="Manual",$M253=$A$15),$M253&gt;(ROW(PLE.lastrow)-ROW(PLE.firstrow))),0,
           IF(OFFSET(PLE!$G$15,$M253-$A$15,AZ$13)="",10^12,OFFSET(PLE!$G$15,$M253-$A$15,AZ$13)))</f>
        <v>1000000000000</v>
      </c>
      <c r="BA253" s="173">
        <f ca="1">IF(OR($D253&lt;&gt;"Serviço",AND(AUTOEVENTO="Manual",$M253=$A$15),$M253&gt;(ROW(PLE.lastrow)-ROW(PLE.firstrow))),0,
           IF(OFFSET(PLE!$G$15,$M253-$A$15,BA$13)="",10^12,OFFSET(PLE!$G$15,$M253-$A$15,BA$13)))</f>
        <v>1000000000000</v>
      </c>
      <c r="BB253" s="173">
        <f ca="1">IF(OR($D253&lt;&gt;"Serviço",AND(AUTOEVENTO="Manual",$M253=$A$15),$M253&gt;(ROW(PLE.lastrow)-ROW(PLE.firstrow))),0,
           IF(OFFSET(PLE!$G$15,$M253-$A$15,BB$13)="",10^12,OFFSET(PLE!$G$15,$M253-$A$15,BB$13)))</f>
        <v>1000000000000</v>
      </c>
      <c r="BC253" s="173">
        <f ca="1">IF(OR($D253&lt;&gt;"Serviço",AND(AUTOEVENTO="Manual",$M253=$A$15),$M253&gt;(ROW(PLE.lastrow)-ROW(PLE.firstrow))),0,
           IF(OFFSET(PLE!$G$15,$M253-$A$15,BC$13)="",10^12,OFFSET(PLE!$G$15,$M253-$A$15,BC$13)))</f>
        <v>1000000000000</v>
      </c>
      <c r="BD253" s="173">
        <f ca="1">IF(OR($D253&lt;&gt;"Serviço",AND(AUTOEVENTO="Manual",$M253=$A$15),$M253&gt;(ROW(PLE.lastrow)-ROW(PLE.firstrow))),0,
           IF(OFFSET(PLE!$G$15,$M253-$A$15,BD$13)="",10^12,OFFSET(PLE!$G$15,$M253-$A$15,BD$13)))</f>
        <v>1000000000000</v>
      </c>
      <c r="BE253" s="173">
        <f ca="1">IF(OR($D253&lt;&gt;"Serviço",AND(AUTOEVENTO="Manual",$M253=$A$15),$M253&gt;(ROW(PLE.lastrow)-ROW(PLE.firstrow))),0,
           IF(OFFSET(PLE!$G$15,$M253-$A$15,BE$13)="",10^12,OFFSET(PLE!$G$15,$M253-$A$15,BE$13)))</f>
        <v>1000000000000</v>
      </c>
      <c r="BF253" s="173">
        <f ca="1">IF(OR($D253&lt;&gt;"Serviço",AND(AUTOEVENTO="Manual",$M253=$A$15),$M253&gt;(ROW(PLE.lastrow)-ROW(PLE.firstrow))),0,
           IF(OFFSET(PLE!$G$15,$M253-$A$15,BF$13)="",10^12,OFFSET(PLE!$G$15,$M253-$A$15,BF$13)))</f>
        <v>1000000000000</v>
      </c>
      <c r="BG253" s="173">
        <f ca="1">IF(OR($D253&lt;&gt;"Serviço",AND(AUTOEVENTO="Manual",$M253=$A$15),$M253&gt;(ROW(PLE.lastrow)-ROW(PLE.firstrow))),0,
           IF(OFFSET(PLE!$G$15,$M253-$A$15,BG$13)="",10^12,OFFSET(PLE!$G$15,$M253-$A$15,BG$13)))</f>
        <v>1000000000000</v>
      </c>
    </row>
    <row r="254" spans="1:59" ht="12.75" x14ac:dyDescent="0.2">
      <c r="A254" s="7" t="str">
        <f t="shared" ca="1" si="11"/>
        <v>239.</v>
      </c>
      <c r="B254" s="7">
        <f ca="1">OFFSET(ORÇAMENTO!C$15,ROW(B254)-ROW(B$15),0)</f>
        <v>2</v>
      </c>
      <c r="C254" s="7" t="str">
        <f ca="1">OFFSET(ORÇAMENTO!L$15,ROW(C254)-ROW(C$15),0)</f>
        <v>F</v>
      </c>
      <c r="D254" s="117" t="str">
        <f ca="1">OFFSET(ORÇAMENTO!N$15,ROW(D254)-ROW(D$15),0)</f>
        <v>Nível 2</v>
      </c>
      <c r="E254" s="118" t="str">
        <f ca="1">OFFSET(ORÇAMENTO!O$15,ROW(E254)-ROW(E$15),0)</f>
        <v>1.15.</v>
      </c>
      <c r="F254" s="164" t="str">
        <f ca="1">OFFSET(ORÇAMENTO!R$15,ROW(F254)-ROW(F$15),0)</f>
        <v>INSTALAÇÕES PLUVIAIS</v>
      </c>
      <c r="G254" s="165" t="str">
        <f ca="1">IF($D254&lt;&gt;"Serviço","",OFFSET(ORÇAMENTO!S$15,ROW(G254)-ROW(G$15),0))</f>
        <v/>
      </c>
      <c r="H254" s="123">
        <f ca="1">IF($D254&lt;&gt;"Serviço",0,IF(ACOMPANHAMENTO="BM",ROUND(OFFSET(ORÇAMENTO!AJ$15,ROW(H254)-ROW(H$15),0),15-13*ORÇAMENTO!$AF$7),SUMPRODUCT(($Q$1:$AA$1=1)*ROUND($Q254:$AA254,15-13*ORÇAMENTO!$AF$7))))</f>
        <v>0</v>
      </c>
      <c r="I254" s="469"/>
      <c r="J254" s="577" t="str" cm="1">
        <f t="array" aca="1" ref="J254" ca="1">IF(B254&lt;&gt;"S","",IF(AND(ACOMPANHAMENTO="PLE",AUTOEVENTO="Manual",OR(H254&gt;0,ORÇAMENTO!AC254="QUANT."),OR(K254="",M254=0,N254="")),"►",IF(AND(ACOMPANHAMENTO="PLE",ORÇAMENTO!AC254="QUANT."),"►►",IF(AND(COUNTIF($P$11:$AA$11,"▼")=0,H254&gt;0,I254=""),"◄",""))))</f>
        <v/>
      </c>
      <c r="K254" s="626"/>
      <c r="L254" s="166" t="s">
        <v>765</v>
      </c>
      <c r="M254" s="167" t="str">
        <f ca="1">IF($D254&lt;&gt;"Serviço","",
          IF(AUTOEVENTO="manual",$A254,
                IF(ISERROR(MATCH($A254,$A$15:OFFSET($A254,-1,0),0)),MAX($M$15:OFFSET(M254,-1,0))+1,
                      INDEX($M$15:OFFSET(M254,-1,0),MATCH($A254,$A$15:OFFSET($A254,-1,0),0)))))</f>
        <v/>
      </c>
      <c r="N254" s="168" t="str">
        <f ca="1">IF($D254&lt;&gt;"Serviço","",
         IF(AUTOEVENTO="Manual",
                IF($A254=0,"&lt;-- defina o número do agrupador",
                       OFFSET(EVENTOS!$D$15,$A254-$A$15,0)),
                OFFSET($F$15,$A254,0)))</f>
        <v/>
      </c>
      <c r="O254" s="169"/>
      <c r="Q254" s="169"/>
      <c r="R254" s="170"/>
      <c r="S254" s="170"/>
      <c r="T254" s="170"/>
      <c r="U254" s="170"/>
      <c r="V254" s="170"/>
      <c r="W254" s="170"/>
      <c r="X254" s="170"/>
      <c r="Y254" s="170"/>
      <c r="Z254" s="171"/>
      <c r="AB254" s="454">
        <f ca="1">IF(AND($D254="Serviço",AB$12&lt;&gt;0,$H254&gt;0,OR(AUTOEVENTO&lt;&gt;"manual",$M254&lt;&gt;$A$15)),
        IF(Import.TipoArredondamento&lt;&gt;"TransfereGOV",
              ROUND(OFFSET($P254,0,AB$13),15-13*ORÇAMENTO!$AF$7)/$H254*OFFSET(ORÇAMENTO!$X$15,ROW(AB254)-ROW(AB$15),0),
              ROUND(ROUND(OFFSET($P254,0,AB$13),15-13*ORÇAMENTO!$AF$7)*OFFSET(ORÇAMENTO!$W$15,ROW(AB254)-ROW(AB$15),0),15-13*ORÇAMENTO!$AF$11)),
         0)</f>
        <v>0</v>
      </c>
      <c r="AC254" s="454">
        <f ca="1">IF(AND($D254="Serviço",AC$12&lt;&gt;0,$H254&gt;0,OR(AUTOEVENTO&lt;&gt;"manual",$M254&lt;&gt;$A$15)),
        IF(Import.TipoArredondamento&lt;&gt;"TransfereGOV",
              ROUND(OFFSET($P254,0,AC$13),15-13*ORÇAMENTO!$AF$7)/$H254*OFFSET(ORÇAMENTO!$X$15,ROW(AC254)-ROW(AC$15),0),
              ROUND(ROUND(OFFSET($P254,0,AC$13),15-13*ORÇAMENTO!$AF$7)*OFFSET(ORÇAMENTO!$W$15,ROW(AC254)-ROW(AC$15),0),15-13*ORÇAMENTO!$AF$11)),
         0)</f>
        <v>0</v>
      </c>
      <c r="AD254" s="454">
        <f ca="1">IF(AND($D254="Serviço",AD$12&lt;&gt;0,$H254&gt;0,OR(AUTOEVENTO&lt;&gt;"manual",$M254&lt;&gt;$A$15)),
        IF(Import.TipoArredondamento&lt;&gt;"TransfereGOV",
              ROUND(OFFSET($P254,0,AD$13),15-13*ORÇAMENTO!$AF$7)/$H254*OFFSET(ORÇAMENTO!$X$15,ROW(AD254)-ROW(AD$15),0),
              ROUND(ROUND(OFFSET($P254,0,AD$13),15-13*ORÇAMENTO!$AF$7)*OFFSET(ORÇAMENTO!$W$15,ROW(AD254)-ROW(AD$15),0),15-13*ORÇAMENTO!$AF$11)),
         0)</f>
        <v>0</v>
      </c>
      <c r="AE254" s="454">
        <f ca="1">IF(AND($D254="Serviço",AE$12&lt;&gt;0,$H254&gt;0,OR(AUTOEVENTO&lt;&gt;"manual",$M254&lt;&gt;$A$15)),
        IF(Import.TipoArredondamento&lt;&gt;"TransfereGOV",
              ROUND(OFFSET($P254,0,AE$13),15-13*ORÇAMENTO!$AF$7)/$H254*OFFSET(ORÇAMENTO!$X$15,ROW(AE254)-ROW(AE$15),0),
              ROUND(ROUND(OFFSET($P254,0,AE$13),15-13*ORÇAMENTO!$AF$7)*OFFSET(ORÇAMENTO!$W$15,ROW(AE254)-ROW(AE$15),0),15-13*ORÇAMENTO!$AF$11)),
         0)</f>
        <v>0</v>
      </c>
      <c r="AF254" s="454">
        <f ca="1">IF(AND($D254="Serviço",AF$12&lt;&gt;0,$H254&gt;0,OR(AUTOEVENTO&lt;&gt;"manual",$M254&lt;&gt;$A$15)),
        IF(Import.TipoArredondamento&lt;&gt;"TransfereGOV",
              ROUND(OFFSET($P254,0,AF$13),15-13*ORÇAMENTO!$AF$7)/$H254*OFFSET(ORÇAMENTO!$X$15,ROW(AF254)-ROW(AF$15),0),
              ROUND(ROUND(OFFSET($P254,0,AF$13),15-13*ORÇAMENTO!$AF$7)*OFFSET(ORÇAMENTO!$W$15,ROW(AF254)-ROW(AF$15),0),15-13*ORÇAMENTO!$AF$11)),
         0)</f>
        <v>0</v>
      </c>
      <c r="AG254" s="454">
        <f ca="1">IF(AND($D254="Serviço",AG$12&lt;&gt;0,$H254&gt;0,OR(AUTOEVENTO&lt;&gt;"manual",$M254&lt;&gt;$A$15)),
        IF(Import.TipoArredondamento&lt;&gt;"TransfereGOV",
              ROUND(OFFSET($P254,0,AG$13),15-13*ORÇAMENTO!$AF$7)/$H254*OFFSET(ORÇAMENTO!$X$15,ROW(AG254)-ROW(AG$15),0),
              ROUND(ROUND(OFFSET($P254,0,AG$13),15-13*ORÇAMENTO!$AF$7)*OFFSET(ORÇAMENTO!$W$15,ROW(AG254)-ROW(AG$15),0),15-13*ORÇAMENTO!$AF$11)),
         0)</f>
        <v>0</v>
      </c>
      <c r="AH254" s="454">
        <f ca="1">IF(AND($D254="Serviço",AH$12&lt;&gt;0,$H254&gt;0,OR(AUTOEVENTO&lt;&gt;"manual",$M254&lt;&gt;$A$15)),
        IF(Import.TipoArredondamento&lt;&gt;"TransfereGOV",
              ROUND(OFFSET($P254,0,AH$13),15-13*ORÇAMENTO!$AF$7)/$H254*OFFSET(ORÇAMENTO!$X$15,ROW(AH254)-ROW(AH$15),0),
              ROUND(ROUND(OFFSET($P254,0,AH$13),15-13*ORÇAMENTO!$AF$7)*OFFSET(ORÇAMENTO!$W$15,ROW(AH254)-ROW(AH$15),0),15-13*ORÇAMENTO!$AF$11)),
         0)</f>
        <v>0</v>
      </c>
      <c r="AI254" s="454">
        <f ca="1">IF(AND($D254="Serviço",AI$12&lt;&gt;0,$H254&gt;0,OR(AUTOEVENTO&lt;&gt;"manual",$M254&lt;&gt;$A$15)),
        IF(Import.TipoArredondamento&lt;&gt;"TransfereGOV",
              ROUND(OFFSET($P254,0,AI$13),15-13*ORÇAMENTO!$AF$7)/$H254*OFFSET(ORÇAMENTO!$X$15,ROW(AI254)-ROW(AI$15),0),
              ROUND(ROUND(OFFSET($P254,0,AI$13),15-13*ORÇAMENTO!$AF$7)*OFFSET(ORÇAMENTO!$W$15,ROW(AI254)-ROW(AI$15),0),15-13*ORÇAMENTO!$AF$11)),
         0)</f>
        <v>0</v>
      </c>
      <c r="AJ254" s="454">
        <f ca="1">IF(AND($D254="Serviço",AJ$12&lt;&gt;0,$H254&gt;0,OR(AUTOEVENTO&lt;&gt;"manual",$M254&lt;&gt;$A$15)),
        IF(Import.TipoArredondamento&lt;&gt;"TransfereGOV",
              ROUND(OFFSET($P254,0,AJ$13),15-13*ORÇAMENTO!$AF$7)/$H254*OFFSET(ORÇAMENTO!$X$15,ROW(AJ254)-ROW(AJ$15),0),
              ROUND(ROUND(OFFSET($P254,0,AJ$13),15-13*ORÇAMENTO!$AF$7)*OFFSET(ORÇAMENTO!$W$15,ROW(AJ254)-ROW(AJ$15),0),15-13*ORÇAMENTO!$AF$11)),
         0)</f>
        <v>0</v>
      </c>
      <c r="AK254" s="454">
        <f ca="1">IF(AND($D254="Serviço",AK$12&lt;&gt;0,$H254&gt;0,OR(AUTOEVENTO&lt;&gt;"manual",$M254&lt;&gt;$A$15)),
        IF(Import.TipoArredondamento&lt;&gt;"TransfereGOV",
              ROUND(OFFSET($P254,0,AK$13),15-13*ORÇAMENTO!$AF$7)/$H254*OFFSET(ORÇAMENTO!$X$15,ROW(AK254)-ROW(AK$15),0),
              ROUND(ROUND(OFFSET($P254,0,AK$13),15-13*ORÇAMENTO!$AF$7)*OFFSET(ORÇAMENTO!$W$15,ROW(AK254)-ROW(AK$15),0),15-13*ORÇAMENTO!$AF$11)),
         0)</f>
        <v>0</v>
      </c>
      <c r="AM254" s="172">
        <f ca="1">IF(OR($D254&lt;&gt;"Serviço",AND(AUTOEVENTO="Manual",$M254=$A$15)),0,
         IF(OFFSET(CRONOPLE!$F$15,$M254-$A$15,AM$13)="",10^12,OFFSET(CRONOPLE!$F$15,$M254-$A$15,AM$13)))</f>
        <v>0</v>
      </c>
      <c r="AN254" s="172">
        <f ca="1">IF(OR($D254&lt;&gt;"Serviço",AND(AUTOEVENTO="Manual",$M254=$A$15)),0,
         IF(OFFSET(CRONOPLE!$F$15,$M254-$A$15,AN$13)="",10^12,OFFSET(CRONOPLE!$F$15,$M254-$A$15,AN$13)))</f>
        <v>0</v>
      </c>
      <c r="AO254" s="172">
        <f ca="1">IF(OR($D254&lt;&gt;"Serviço",AND(AUTOEVENTO="Manual",$M254=$A$15)),0,
         IF(OFFSET(CRONOPLE!$F$15,$M254-$A$15,AO$13)="",10^12,OFFSET(CRONOPLE!$F$15,$M254-$A$15,AO$13)))</f>
        <v>0</v>
      </c>
      <c r="AP254" s="172">
        <f ca="1">IF(OR($D254&lt;&gt;"Serviço",AND(AUTOEVENTO="Manual",$M254=$A$15)),0,
         IF(OFFSET(CRONOPLE!$F$15,$M254-$A$15,AP$13)="",10^12,OFFSET(CRONOPLE!$F$15,$M254-$A$15,AP$13)))</f>
        <v>0</v>
      </c>
      <c r="AQ254" s="172">
        <f ca="1">IF(OR($D254&lt;&gt;"Serviço",AND(AUTOEVENTO="Manual",$M254=$A$15)),0,
         IF(OFFSET(CRONOPLE!$F$15,$M254-$A$15,AQ$13)="",10^12,OFFSET(CRONOPLE!$F$15,$M254-$A$15,AQ$13)))</f>
        <v>0</v>
      </c>
      <c r="AR254" s="172">
        <f ca="1">IF(OR($D254&lt;&gt;"Serviço",AND(AUTOEVENTO="Manual",$M254=$A$15)),0,
         IF(OFFSET(CRONOPLE!$F$15,$M254-$A$15,AR$13)="",10^12,OFFSET(CRONOPLE!$F$15,$M254-$A$15,AR$13)))</f>
        <v>0</v>
      </c>
      <c r="AS254" s="172">
        <f ca="1">IF(OR($D254&lt;&gt;"Serviço",AND(AUTOEVENTO="Manual",$M254=$A$15)),0,
         IF(OFFSET(CRONOPLE!$F$15,$M254-$A$15,AS$13)="",10^12,OFFSET(CRONOPLE!$F$15,$M254-$A$15,AS$13)))</f>
        <v>0</v>
      </c>
      <c r="AT254" s="172">
        <f ca="1">IF(OR($D254&lt;&gt;"Serviço",AND(AUTOEVENTO="Manual",$M254=$A$15)),0,
         IF(OFFSET(CRONOPLE!$F$15,$M254-$A$15,AT$13)="",10^12,OFFSET(CRONOPLE!$F$15,$M254-$A$15,AT$13)))</f>
        <v>0</v>
      </c>
      <c r="AU254" s="172">
        <f ca="1">IF(OR($D254&lt;&gt;"Serviço",AND(AUTOEVENTO="Manual",$M254=$A$15)),0,
         IF(OFFSET(CRONOPLE!$F$15,$M254-$A$15,AU$13)="",10^12,OFFSET(CRONOPLE!$F$15,$M254-$A$15,AU$13)))</f>
        <v>0</v>
      </c>
      <c r="AV254" s="172">
        <f ca="1">IF(OR($D254&lt;&gt;"Serviço",AND(AUTOEVENTO="Manual",$M254=$A$15)),0,
         IF(OFFSET(CRONOPLE!$F$15,$M254-$A$15,AV$13)="",10^12,OFFSET(CRONOPLE!$F$15,$M254-$A$15,AV$13)))</f>
        <v>0</v>
      </c>
      <c r="AX254" s="173">
        <f ca="1">IF(OR($D254&lt;&gt;"Serviço",AND(AUTOEVENTO="Manual",$M254=$A$15),$M254&gt;(ROW(PLE.lastrow)-ROW(PLE.firstrow))),0,
           IF(OFFSET(PLE!$G$15,$M254-$A$15,AX$13)="",10^12,OFFSET(PLE!$G$15,$M254-$A$15,AX$13)))</f>
        <v>0</v>
      </c>
      <c r="AY254" s="173">
        <f ca="1">IF(OR($D254&lt;&gt;"Serviço",AND(AUTOEVENTO="Manual",$M254=$A$15),$M254&gt;(ROW(PLE.lastrow)-ROW(PLE.firstrow))),0,
           IF(OFFSET(PLE!$G$15,$M254-$A$15,AY$13)="",10^12,OFFSET(PLE!$G$15,$M254-$A$15,AY$13)))</f>
        <v>0</v>
      </c>
      <c r="AZ254" s="173">
        <f ca="1">IF(OR($D254&lt;&gt;"Serviço",AND(AUTOEVENTO="Manual",$M254=$A$15),$M254&gt;(ROW(PLE.lastrow)-ROW(PLE.firstrow))),0,
           IF(OFFSET(PLE!$G$15,$M254-$A$15,AZ$13)="",10^12,OFFSET(PLE!$G$15,$M254-$A$15,AZ$13)))</f>
        <v>0</v>
      </c>
      <c r="BA254" s="173">
        <f ca="1">IF(OR($D254&lt;&gt;"Serviço",AND(AUTOEVENTO="Manual",$M254=$A$15),$M254&gt;(ROW(PLE.lastrow)-ROW(PLE.firstrow))),0,
           IF(OFFSET(PLE!$G$15,$M254-$A$15,BA$13)="",10^12,OFFSET(PLE!$G$15,$M254-$A$15,BA$13)))</f>
        <v>0</v>
      </c>
      <c r="BB254" s="173">
        <f ca="1">IF(OR($D254&lt;&gt;"Serviço",AND(AUTOEVENTO="Manual",$M254=$A$15),$M254&gt;(ROW(PLE.lastrow)-ROW(PLE.firstrow))),0,
           IF(OFFSET(PLE!$G$15,$M254-$A$15,BB$13)="",10^12,OFFSET(PLE!$G$15,$M254-$A$15,BB$13)))</f>
        <v>0</v>
      </c>
      <c r="BC254" s="173">
        <f ca="1">IF(OR($D254&lt;&gt;"Serviço",AND(AUTOEVENTO="Manual",$M254=$A$15),$M254&gt;(ROW(PLE.lastrow)-ROW(PLE.firstrow))),0,
           IF(OFFSET(PLE!$G$15,$M254-$A$15,BC$13)="",10^12,OFFSET(PLE!$G$15,$M254-$A$15,BC$13)))</f>
        <v>0</v>
      </c>
      <c r="BD254" s="173">
        <f ca="1">IF(OR($D254&lt;&gt;"Serviço",AND(AUTOEVENTO="Manual",$M254=$A$15),$M254&gt;(ROW(PLE.lastrow)-ROW(PLE.firstrow))),0,
           IF(OFFSET(PLE!$G$15,$M254-$A$15,BD$13)="",10^12,OFFSET(PLE!$G$15,$M254-$A$15,BD$13)))</f>
        <v>0</v>
      </c>
      <c r="BE254" s="173">
        <f ca="1">IF(OR($D254&lt;&gt;"Serviço",AND(AUTOEVENTO="Manual",$M254=$A$15),$M254&gt;(ROW(PLE.lastrow)-ROW(PLE.firstrow))),0,
           IF(OFFSET(PLE!$G$15,$M254-$A$15,BE$13)="",10^12,OFFSET(PLE!$G$15,$M254-$A$15,BE$13)))</f>
        <v>0</v>
      </c>
      <c r="BF254" s="173">
        <f ca="1">IF(OR($D254&lt;&gt;"Serviço",AND(AUTOEVENTO="Manual",$M254=$A$15),$M254&gt;(ROW(PLE.lastrow)-ROW(PLE.firstrow))),0,
           IF(OFFSET(PLE!$G$15,$M254-$A$15,BF$13)="",10^12,OFFSET(PLE!$G$15,$M254-$A$15,BF$13)))</f>
        <v>0</v>
      </c>
      <c r="BG254" s="173">
        <f ca="1">IF(OR($D254&lt;&gt;"Serviço",AND(AUTOEVENTO="Manual",$M254=$A$15),$M254&gt;(ROW(PLE.lastrow)-ROW(PLE.firstrow))),0,
           IF(OFFSET(PLE!$G$15,$M254-$A$15,BG$13)="",10^12,OFFSET(PLE!$G$15,$M254-$A$15,BG$13)))</f>
        <v>0</v>
      </c>
    </row>
    <row r="255" spans="1:59" ht="25.5" x14ac:dyDescent="0.2">
      <c r="A255" s="7" t="str">
        <f t="shared" ca="1" si="11"/>
        <v>239</v>
      </c>
      <c r="B255" s="7" t="str">
        <f ca="1">OFFSET(ORÇAMENTO!C$15,ROW(B255)-ROW(B$15),0)</f>
        <v>S</v>
      </c>
      <c r="C255" s="7" t="str">
        <f ca="1">OFFSET(ORÇAMENTO!L$15,ROW(C255)-ROW(C$15),0)</f>
        <v/>
      </c>
      <c r="D255" s="117" t="str">
        <f ca="1">OFFSET(ORÇAMENTO!N$15,ROW(D255)-ROW(D$15),0)</f>
        <v>Serviço</v>
      </c>
      <c r="E255" s="118" t="str">
        <f ca="1">OFFSET(ORÇAMENTO!O$15,ROW(E255)-ROW(E$15),0)</f>
        <v>-</v>
      </c>
      <c r="F255" s="164" t="str">
        <f ca="1">OFFSET(ORÇAMENTO!R$15,ROW(F255)-ROW(F$15),0)</f>
        <v xml:space="preserve">CAIXA DE PASSAGEM PVC 25 CM - PLUVIAL - FORNECIMENTO E INSTALAÇÃO </v>
      </c>
      <c r="G255" s="165" t="str">
        <f ca="1">IF($D255&lt;&gt;"Serviço","",OFFSET(ORÇAMENTO!S$15,ROW(G255)-ROW(G$15),0))</f>
        <v>UN</v>
      </c>
      <c r="H255" s="123">
        <f ca="1">IF($D255&lt;&gt;"Serviço",0,IF(ACOMPANHAMENTO="BM",ROUND(OFFSET(ORÇAMENTO!AJ$15,ROW(H255)-ROW(H$15),0),15-13*ORÇAMENTO!$AF$7),SUMPRODUCT(($Q$1:$AA$1=1)*ROUND($Q255:$AA255,15-13*ORÇAMENTO!$AF$7))))</f>
        <v>19</v>
      </c>
      <c r="I255" s="469"/>
      <c r="J255" s="577" t="str" cm="1">
        <f t="array" aca="1" ref="J255" ca="1">IF(B255&lt;&gt;"S","",IF(AND(ACOMPANHAMENTO="PLE",AUTOEVENTO="Manual",OR(H255&gt;0,ORÇAMENTO!AC255="QUANT."),OR(K255="",M255=0,N255="")),"►",IF(AND(ACOMPANHAMENTO="PLE",ORÇAMENTO!AC255="QUANT."),"►►",IF(AND(COUNTIF($P$11:$AA$11,"▼")=0,H255&gt;0,I255=""),"◄",""))))</f>
        <v>◄</v>
      </c>
      <c r="K255" s="626"/>
      <c r="L255" s="166" t="s">
        <v>765</v>
      </c>
      <c r="M255" s="167">
        <f ca="1">IF($D255&lt;&gt;"Serviço","",
          IF(AUTOEVENTO="manual",$A255,
                IF(ISERROR(MATCH($A255,$A$15:OFFSET($A255,-1,0),0)),MAX($M$15:OFFSET(M255,-1,0))+1,
                      INDEX($M$15:OFFSET(M255,-1,0),MATCH($A255,$A$15:OFFSET($A255,-1,0),0)))))</f>
        <v>15</v>
      </c>
      <c r="N255" s="168" t="str">
        <f ca="1">IF($D255&lt;&gt;"Serviço","",
         IF(AUTOEVENTO="Manual",
                IF($A255=0,"&lt;-- defina o número do agrupador",
                       OFFSET(EVENTOS!$D$15,$A255-$A$15,0)),
                OFFSET($F$15,$A255,0)))</f>
        <v>INSTALAÇÕES PLUVIAIS</v>
      </c>
      <c r="O255" s="169"/>
      <c r="Q255" s="169"/>
      <c r="R255" s="170"/>
      <c r="S255" s="170"/>
      <c r="T255" s="170"/>
      <c r="U255" s="170"/>
      <c r="V255" s="170"/>
      <c r="W255" s="170"/>
      <c r="X255" s="170"/>
      <c r="Y255" s="170"/>
      <c r="Z255" s="171"/>
      <c r="AB255" s="454">
        <f ca="1">IF(AND($D255="Serviço",AB$12&lt;&gt;0,$H255&gt;0,OR(AUTOEVENTO&lt;&gt;"manual",$M255&lt;&gt;$A$15)),
        IF(Import.TipoArredondamento&lt;&gt;"TransfereGOV",
              ROUND(OFFSET($P255,0,AB$13),15-13*ORÇAMENTO!$AF$7)/$H255*OFFSET(ORÇAMENTO!$X$15,ROW(AB255)-ROW(AB$15),0),
              ROUND(ROUND(OFFSET($P255,0,AB$13),15-13*ORÇAMENTO!$AF$7)*OFFSET(ORÇAMENTO!$W$15,ROW(AB255)-ROW(AB$15),0),15-13*ORÇAMENTO!$AF$11)),
         0)</f>
        <v>0</v>
      </c>
      <c r="AC255" s="454">
        <f ca="1">IF(AND($D255="Serviço",AC$12&lt;&gt;0,$H255&gt;0,OR(AUTOEVENTO&lt;&gt;"manual",$M255&lt;&gt;$A$15)),
        IF(Import.TipoArredondamento&lt;&gt;"TransfereGOV",
              ROUND(OFFSET($P255,0,AC$13),15-13*ORÇAMENTO!$AF$7)/$H255*OFFSET(ORÇAMENTO!$X$15,ROW(AC255)-ROW(AC$15),0),
              ROUND(ROUND(OFFSET($P255,0,AC$13),15-13*ORÇAMENTO!$AF$7)*OFFSET(ORÇAMENTO!$W$15,ROW(AC255)-ROW(AC$15),0),15-13*ORÇAMENTO!$AF$11)),
         0)</f>
        <v>0</v>
      </c>
      <c r="AD255" s="454">
        <f ca="1">IF(AND($D255="Serviço",AD$12&lt;&gt;0,$H255&gt;0,OR(AUTOEVENTO&lt;&gt;"manual",$M255&lt;&gt;$A$15)),
        IF(Import.TipoArredondamento&lt;&gt;"TransfereGOV",
              ROUND(OFFSET($P255,0,AD$13),15-13*ORÇAMENTO!$AF$7)/$H255*OFFSET(ORÇAMENTO!$X$15,ROW(AD255)-ROW(AD$15),0),
              ROUND(ROUND(OFFSET($P255,0,AD$13),15-13*ORÇAMENTO!$AF$7)*OFFSET(ORÇAMENTO!$W$15,ROW(AD255)-ROW(AD$15),0),15-13*ORÇAMENTO!$AF$11)),
         0)</f>
        <v>0</v>
      </c>
      <c r="AE255" s="454">
        <f ca="1">IF(AND($D255="Serviço",AE$12&lt;&gt;0,$H255&gt;0,OR(AUTOEVENTO&lt;&gt;"manual",$M255&lt;&gt;$A$15)),
        IF(Import.TipoArredondamento&lt;&gt;"TransfereGOV",
              ROUND(OFFSET($P255,0,AE$13),15-13*ORÇAMENTO!$AF$7)/$H255*OFFSET(ORÇAMENTO!$X$15,ROW(AE255)-ROW(AE$15),0),
              ROUND(ROUND(OFFSET($P255,0,AE$13),15-13*ORÇAMENTO!$AF$7)*OFFSET(ORÇAMENTO!$W$15,ROW(AE255)-ROW(AE$15),0),15-13*ORÇAMENTO!$AF$11)),
         0)</f>
        <v>0</v>
      </c>
      <c r="AF255" s="454">
        <f ca="1">IF(AND($D255="Serviço",AF$12&lt;&gt;0,$H255&gt;0,OR(AUTOEVENTO&lt;&gt;"manual",$M255&lt;&gt;$A$15)),
        IF(Import.TipoArredondamento&lt;&gt;"TransfereGOV",
              ROUND(OFFSET($P255,0,AF$13),15-13*ORÇAMENTO!$AF$7)/$H255*OFFSET(ORÇAMENTO!$X$15,ROW(AF255)-ROW(AF$15),0),
              ROUND(ROUND(OFFSET($P255,0,AF$13),15-13*ORÇAMENTO!$AF$7)*OFFSET(ORÇAMENTO!$W$15,ROW(AF255)-ROW(AF$15),0),15-13*ORÇAMENTO!$AF$11)),
         0)</f>
        <v>0</v>
      </c>
      <c r="AG255" s="454">
        <f ca="1">IF(AND($D255="Serviço",AG$12&lt;&gt;0,$H255&gt;0,OR(AUTOEVENTO&lt;&gt;"manual",$M255&lt;&gt;$A$15)),
        IF(Import.TipoArredondamento&lt;&gt;"TransfereGOV",
              ROUND(OFFSET($P255,0,AG$13),15-13*ORÇAMENTO!$AF$7)/$H255*OFFSET(ORÇAMENTO!$X$15,ROW(AG255)-ROW(AG$15),0),
              ROUND(ROUND(OFFSET($P255,0,AG$13),15-13*ORÇAMENTO!$AF$7)*OFFSET(ORÇAMENTO!$W$15,ROW(AG255)-ROW(AG$15),0),15-13*ORÇAMENTO!$AF$11)),
         0)</f>
        <v>0</v>
      </c>
      <c r="AH255" s="454">
        <f ca="1">IF(AND($D255="Serviço",AH$12&lt;&gt;0,$H255&gt;0,OR(AUTOEVENTO&lt;&gt;"manual",$M255&lt;&gt;$A$15)),
        IF(Import.TipoArredondamento&lt;&gt;"TransfereGOV",
              ROUND(OFFSET($P255,0,AH$13),15-13*ORÇAMENTO!$AF$7)/$H255*OFFSET(ORÇAMENTO!$X$15,ROW(AH255)-ROW(AH$15),0),
              ROUND(ROUND(OFFSET($P255,0,AH$13),15-13*ORÇAMENTO!$AF$7)*OFFSET(ORÇAMENTO!$W$15,ROW(AH255)-ROW(AH$15),0),15-13*ORÇAMENTO!$AF$11)),
         0)</f>
        <v>0</v>
      </c>
      <c r="AI255" s="454">
        <f ca="1">IF(AND($D255="Serviço",AI$12&lt;&gt;0,$H255&gt;0,OR(AUTOEVENTO&lt;&gt;"manual",$M255&lt;&gt;$A$15)),
        IF(Import.TipoArredondamento&lt;&gt;"TransfereGOV",
              ROUND(OFFSET($P255,0,AI$13),15-13*ORÇAMENTO!$AF$7)/$H255*OFFSET(ORÇAMENTO!$X$15,ROW(AI255)-ROW(AI$15),0),
              ROUND(ROUND(OFFSET($P255,0,AI$13),15-13*ORÇAMENTO!$AF$7)*OFFSET(ORÇAMENTO!$W$15,ROW(AI255)-ROW(AI$15),0),15-13*ORÇAMENTO!$AF$11)),
         0)</f>
        <v>0</v>
      </c>
      <c r="AJ255" s="454">
        <f ca="1">IF(AND($D255="Serviço",AJ$12&lt;&gt;0,$H255&gt;0,OR(AUTOEVENTO&lt;&gt;"manual",$M255&lt;&gt;$A$15)),
        IF(Import.TipoArredondamento&lt;&gt;"TransfereGOV",
              ROUND(OFFSET($P255,0,AJ$13),15-13*ORÇAMENTO!$AF$7)/$H255*OFFSET(ORÇAMENTO!$X$15,ROW(AJ255)-ROW(AJ$15),0),
              ROUND(ROUND(OFFSET($P255,0,AJ$13),15-13*ORÇAMENTO!$AF$7)*OFFSET(ORÇAMENTO!$W$15,ROW(AJ255)-ROW(AJ$15),0),15-13*ORÇAMENTO!$AF$11)),
         0)</f>
        <v>0</v>
      </c>
      <c r="AK255" s="454">
        <f ca="1">IF(AND($D255="Serviço",AK$12&lt;&gt;0,$H255&gt;0,OR(AUTOEVENTO&lt;&gt;"manual",$M255&lt;&gt;$A$15)),
        IF(Import.TipoArredondamento&lt;&gt;"TransfereGOV",
              ROUND(OFFSET($P255,0,AK$13),15-13*ORÇAMENTO!$AF$7)/$H255*OFFSET(ORÇAMENTO!$X$15,ROW(AK255)-ROW(AK$15),0),
              ROUND(ROUND(OFFSET($P255,0,AK$13),15-13*ORÇAMENTO!$AF$7)*OFFSET(ORÇAMENTO!$W$15,ROW(AK255)-ROW(AK$15),0),15-13*ORÇAMENTO!$AF$11)),
         0)</f>
        <v>0</v>
      </c>
      <c r="AM255" s="172">
        <f ca="1">IF(OR($D255&lt;&gt;"Serviço",AND(AUTOEVENTO="Manual",$M255=$A$15)),0,
         IF(OFFSET(CRONOPLE!$F$15,$M255-$A$15,AM$13)="",10^12,OFFSET(CRONOPLE!$F$15,$M255-$A$15,AM$13)))</f>
        <v>1000000000000</v>
      </c>
      <c r="AN255" s="172">
        <f ca="1">IF(OR($D255&lt;&gt;"Serviço",AND(AUTOEVENTO="Manual",$M255=$A$15)),0,
         IF(OFFSET(CRONOPLE!$F$15,$M255-$A$15,AN$13)="",10^12,OFFSET(CRONOPLE!$F$15,$M255-$A$15,AN$13)))</f>
        <v>1000000000000</v>
      </c>
      <c r="AO255" s="172">
        <f ca="1">IF(OR($D255&lt;&gt;"Serviço",AND(AUTOEVENTO="Manual",$M255=$A$15)),0,
         IF(OFFSET(CRONOPLE!$F$15,$M255-$A$15,AO$13)="",10^12,OFFSET(CRONOPLE!$F$15,$M255-$A$15,AO$13)))</f>
        <v>1000000000000</v>
      </c>
      <c r="AP255" s="172">
        <f ca="1">IF(OR($D255&lt;&gt;"Serviço",AND(AUTOEVENTO="Manual",$M255=$A$15)),0,
         IF(OFFSET(CRONOPLE!$F$15,$M255-$A$15,AP$13)="",10^12,OFFSET(CRONOPLE!$F$15,$M255-$A$15,AP$13)))</f>
        <v>1000000000000</v>
      </c>
      <c r="AQ255" s="172">
        <f ca="1">IF(OR($D255&lt;&gt;"Serviço",AND(AUTOEVENTO="Manual",$M255=$A$15)),0,
         IF(OFFSET(CRONOPLE!$F$15,$M255-$A$15,AQ$13)="",10^12,OFFSET(CRONOPLE!$F$15,$M255-$A$15,AQ$13)))</f>
        <v>1000000000000</v>
      </c>
      <c r="AR255" s="172">
        <f ca="1">IF(OR($D255&lt;&gt;"Serviço",AND(AUTOEVENTO="Manual",$M255=$A$15)),0,
         IF(OFFSET(CRONOPLE!$F$15,$M255-$A$15,AR$13)="",10^12,OFFSET(CRONOPLE!$F$15,$M255-$A$15,AR$13)))</f>
        <v>1000000000000</v>
      </c>
      <c r="AS255" s="172">
        <f ca="1">IF(OR($D255&lt;&gt;"Serviço",AND(AUTOEVENTO="Manual",$M255=$A$15)),0,
         IF(OFFSET(CRONOPLE!$F$15,$M255-$A$15,AS$13)="",10^12,OFFSET(CRONOPLE!$F$15,$M255-$A$15,AS$13)))</f>
        <v>1000000000000</v>
      </c>
      <c r="AT255" s="172">
        <f ca="1">IF(OR($D255&lt;&gt;"Serviço",AND(AUTOEVENTO="Manual",$M255=$A$15)),0,
         IF(OFFSET(CRONOPLE!$F$15,$M255-$A$15,AT$13)="",10^12,OFFSET(CRONOPLE!$F$15,$M255-$A$15,AT$13)))</f>
        <v>1000000000000</v>
      </c>
      <c r="AU255" s="172">
        <f ca="1">IF(OR($D255&lt;&gt;"Serviço",AND(AUTOEVENTO="Manual",$M255=$A$15)),0,
         IF(OFFSET(CRONOPLE!$F$15,$M255-$A$15,AU$13)="",10^12,OFFSET(CRONOPLE!$F$15,$M255-$A$15,AU$13)))</f>
        <v>1000000000000</v>
      </c>
      <c r="AV255" s="172">
        <f ca="1">IF(OR($D255&lt;&gt;"Serviço",AND(AUTOEVENTO="Manual",$M255=$A$15)),0,
         IF(OFFSET(CRONOPLE!$F$15,$M255-$A$15,AV$13)="",10^12,OFFSET(CRONOPLE!$F$15,$M255-$A$15,AV$13)))</f>
        <v>1000000000000</v>
      </c>
      <c r="AX255" s="173">
        <f ca="1">IF(OR($D255&lt;&gt;"Serviço",AND(AUTOEVENTO="Manual",$M255=$A$15),$M255&gt;(ROW(PLE.lastrow)-ROW(PLE.firstrow))),0,
           IF(OFFSET(PLE!$G$15,$M255-$A$15,AX$13)="",10^12,OFFSET(PLE!$G$15,$M255-$A$15,AX$13)))</f>
        <v>1000000000000</v>
      </c>
      <c r="AY255" s="173">
        <f ca="1">IF(OR($D255&lt;&gt;"Serviço",AND(AUTOEVENTO="Manual",$M255=$A$15),$M255&gt;(ROW(PLE.lastrow)-ROW(PLE.firstrow))),0,
           IF(OFFSET(PLE!$G$15,$M255-$A$15,AY$13)="",10^12,OFFSET(PLE!$G$15,$M255-$A$15,AY$13)))</f>
        <v>1000000000000</v>
      </c>
      <c r="AZ255" s="173">
        <f ca="1">IF(OR($D255&lt;&gt;"Serviço",AND(AUTOEVENTO="Manual",$M255=$A$15),$M255&gt;(ROW(PLE.lastrow)-ROW(PLE.firstrow))),0,
           IF(OFFSET(PLE!$G$15,$M255-$A$15,AZ$13)="",10^12,OFFSET(PLE!$G$15,$M255-$A$15,AZ$13)))</f>
        <v>1000000000000</v>
      </c>
      <c r="BA255" s="173">
        <f ca="1">IF(OR($D255&lt;&gt;"Serviço",AND(AUTOEVENTO="Manual",$M255=$A$15),$M255&gt;(ROW(PLE.lastrow)-ROW(PLE.firstrow))),0,
           IF(OFFSET(PLE!$G$15,$M255-$A$15,BA$13)="",10^12,OFFSET(PLE!$G$15,$M255-$A$15,BA$13)))</f>
        <v>1000000000000</v>
      </c>
      <c r="BB255" s="173">
        <f ca="1">IF(OR($D255&lt;&gt;"Serviço",AND(AUTOEVENTO="Manual",$M255=$A$15),$M255&gt;(ROW(PLE.lastrow)-ROW(PLE.firstrow))),0,
           IF(OFFSET(PLE!$G$15,$M255-$A$15,BB$13)="",10^12,OFFSET(PLE!$G$15,$M255-$A$15,BB$13)))</f>
        <v>1000000000000</v>
      </c>
      <c r="BC255" s="173">
        <f ca="1">IF(OR($D255&lt;&gt;"Serviço",AND(AUTOEVENTO="Manual",$M255=$A$15),$M255&gt;(ROW(PLE.lastrow)-ROW(PLE.firstrow))),0,
           IF(OFFSET(PLE!$G$15,$M255-$A$15,BC$13)="",10^12,OFFSET(PLE!$G$15,$M255-$A$15,BC$13)))</f>
        <v>1000000000000</v>
      </c>
      <c r="BD255" s="173">
        <f ca="1">IF(OR($D255&lt;&gt;"Serviço",AND(AUTOEVENTO="Manual",$M255=$A$15),$M255&gt;(ROW(PLE.lastrow)-ROW(PLE.firstrow))),0,
           IF(OFFSET(PLE!$G$15,$M255-$A$15,BD$13)="",10^12,OFFSET(PLE!$G$15,$M255-$A$15,BD$13)))</f>
        <v>1000000000000</v>
      </c>
      <c r="BE255" s="173">
        <f ca="1">IF(OR($D255&lt;&gt;"Serviço",AND(AUTOEVENTO="Manual",$M255=$A$15),$M255&gt;(ROW(PLE.lastrow)-ROW(PLE.firstrow))),0,
           IF(OFFSET(PLE!$G$15,$M255-$A$15,BE$13)="",10^12,OFFSET(PLE!$G$15,$M255-$A$15,BE$13)))</f>
        <v>1000000000000</v>
      </c>
      <c r="BF255" s="173">
        <f ca="1">IF(OR($D255&lt;&gt;"Serviço",AND(AUTOEVENTO="Manual",$M255=$A$15),$M255&gt;(ROW(PLE.lastrow)-ROW(PLE.firstrow))),0,
           IF(OFFSET(PLE!$G$15,$M255-$A$15,BF$13)="",10^12,OFFSET(PLE!$G$15,$M255-$A$15,BF$13)))</f>
        <v>1000000000000</v>
      </c>
      <c r="BG255" s="173">
        <f ca="1">IF(OR($D255&lt;&gt;"Serviço",AND(AUTOEVENTO="Manual",$M255=$A$15),$M255&gt;(ROW(PLE.lastrow)-ROW(PLE.firstrow))),0,
           IF(OFFSET(PLE!$G$15,$M255-$A$15,BG$13)="",10^12,OFFSET(PLE!$G$15,$M255-$A$15,BG$13)))</f>
        <v>1000000000000</v>
      </c>
    </row>
    <row r="256" spans="1:59" ht="38.25" x14ac:dyDescent="0.2">
      <c r="A256" s="7" t="str">
        <f t="shared" ca="1" si="11"/>
        <v>239</v>
      </c>
      <c r="B256" s="7" t="str">
        <f ca="1">OFFSET(ORÇAMENTO!C$15,ROW(B256)-ROW(B$15),0)</f>
        <v>S</v>
      </c>
      <c r="C256" s="7" t="str">
        <f ca="1">OFFSET(ORÇAMENTO!L$15,ROW(C256)-ROW(C$15),0)</f>
        <v/>
      </c>
      <c r="D256" s="117" t="str">
        <f ca="1">OFFSET(ORÇAMENTO!N$15,ROW(D256)-ROW(D$15),0)</f>
        <v>Serviço</v>
      </c>
      <c r="E256" s="118" t="str">
        <f ca="1">OFFSET(ORÇAMENTO!O$15,ROW(E256)-ROW(E$15),0)</f>
        <v>-</v>
      </c>
      <c r="F256" s="164" t="str">
        <f ca="1">OFFSET(ORÇAMENTO!R$15,ROW(F256)-ROW(F$15),0)</f>
        <v>CAP, PVC, SERIE R, ÁGUA PLUVIAL, DN 100 MM, JUNTA ELÁSTICA, FORNECIDO E INSTALADO EM RAMAL DE ENCAMINHAMENTO. AF_06/2022</v>
      </c>
      <c r="G256" s="165" t="str">
        <f ca="1">IF($D256&lt;&gt;"Serviço","",OFFSET(ORÇAMENTO!S$15,ROW(G256)-ROW(G$15),0))</f>
        <v>UN</v>
      </c>
      <c r="H256" s="123">
        <f ca="1">IF($D256&lt;&gt;"Serviço",0,IF(ACOMPANHAMENTO="BM",ROUND(OFFSET(ORÇAMENTO!AJ$15,ROW(H256)-ROW(H$15),0),15-13*ORÇAMENTO!$AF$7),SUMPRODUCT(($Q$1:$AA$1=1)*ROUND($Q256:$AA256,15-13*ORÇAMENTO!$AF$7))))</f>
        <v>2</v>
      </c>
      <c r="I256" s="469"/>
      <c r="J256" s="577" t="str" cm="1">
        <f t="array" aca="1" ref="J256" ca="1">IF(B256&lt;&gt;"S","",IF(AND(ACOMPANHAMENTO="PLE",AUTOEVENTO="Manual",OR(H256&gt;0,ORÇAMENTO!AC256="QUANT."),OR(K256="",M256=0,N256="")),"►",IF(AND(ACOMPANHAMENTO="PLE",ORÇAMENTO!AC256="QUANT."),"►►",IF(AND(COUNTIF($P$11:$AA$11,"▼")=0,H256&gt;0,I256=""),"◄",""))))</f>
        <v>◄</v>
      </c>
      <c r="K256" s="626"/>
      <c r="L256" s="166" t="s">
        <v>765</v>
      </c>
      <c r="M256" s="167">
        <f ca="1">IF($D256&lt;&gt;"Serviço","",
          IF(AUTOEVENTO="manual",$A256,
                IF(ISERROR(MATCH($A256,$A$15:OFFSET($A256,-1,0),0)),MAX($M$15:OFFSET(M256,-1,0))+1,
                      INDEX($M$15:OFFSET(M256,-1,0),MATCH($A256,$A$15:OFFSET($A256,-1,0),0)))))</f>
        <v>15</v>
      </c>
      <c r="N256" s="168" t="str">
        <f ca="1">IF($D256&lt;&gt;"Serviço","",
         IF(AUTOEVENTO="Manual",
                IF($A256=0,"&lt;-- defina o número do agrupador",
                       OFFSET(EVENTOS!$D$15,$A256-$A$15,0)),
                OFFSET($F$15,$A256,0)))</f>
        <v>INSTALAÇÕES PLUVIAIS</v>
      </c>
      <c r="O256" s="169"/>
      <c r="Q256" s="169"/>
      <c r="R256" s="170"/>
      <c r="S256" s="170"/>
      <c r="T256" s="170"/>
      <c r="U256" s="170"/>
      <c r="V256" s="170"/>
      <c r="W256" s="170"/>
      <c r="X256" s="170"/>
      <c r="Y256" s="170"/>
      <c r="Z256" s="171"/>
      <c r="AB256" s="454">
        <f ca="1">IF(AND($D256="Serviço",AB$12&lt;&gt;0,$H256&gt;0,OR(AUTOEVENTO&lt;&gt;"manual",$M256&lt;&gt;$A$15)),
        IF(Import.TipoArredondamento&lt;&gt;"TransfereGOV",
              ROUND(OFFSET($P256,0,AB$13),15-13*ORÇAMENTO!$AF$7)/$H256*OFFSET(ORÇAMENTO!$X$15,ROW(AB256)-ROW(AB$15),0),
              ROUND(ROUND(OFFSET($P256,0,AB$13),15-13*ORÇAMENTO!$AF$7)*OFFSET(ORÇAMENTO!$W$15,ROW(AB256)-ROW(AB$15),0),15-13*ORÇAMENTO!$AF$11)),
         0)</f>
        <v>0</v>
      </c>
      <c r="AC256" s="454">
        <f ca="1">IF(AND($D256="Serviço",AC$12&lt;&gt;0,$H256&gt;0,OR(AUTOEVENTO&lt;&gt;"manual",$M256&lt;&gt;$A$15)),
        IF(Import.TipoArredondamento&lt;&gt;"TransfereGOV",
              ROUND(OFFSET($P256,0,AC$13),15-13*ORÇAMENTO!$AF$7)/$H256*OFFSET(ORÇAMENTO!$X$15,ROW(AC256)-ROW(AC$15),0),
              ROUND(ROUND(OFFSET($P256,0,AC$13),15-13*ORÇAMENTO!$AF$7)*OFFSET(ORÇAMENTO!$W$15,ROW(AC256)-ROW(AC$15),0),15-13*ORÇAMENTO!$AF$11)),
         0)</f>
        <v>0</v>
      </c>
      <c r="AD256" s="454">
        <f ca="1">IF(AND($D256="Serviço",AD$12&lt;&gt;0,$H256&gt;0,OR(AUTOEVENTO&lt;&gt;"manual",$M256&lt;&gt;$A$15)),
        IF(Import.TipoArredondamento&lt;&gt;"TransfereGOV",
              ROUND(OFFSET($P256,0,AD$13),15-13*ORÇAMENTO!$AF$7)/$H256*OFFSET(ORÇAMENTO!$X$15,ROW(AD256)-ROW(AD$15),0),
              ROUND(ROUND(OFFSET($P256,0,AD$13),15-13*ORÇAMENTO!$AF$7)*OFFSET(ORÇAMENTO!$W$15,ROW(AD256)-ROW(AD$15),0),15-13*ORÇAMENTO!$AF$11)),
         0)</f>
        <v>0</v>
      </c>
      <c r="AE256" s="454">
        <f ca="1">IF(AND($D256="Serviço",AE$12&lt;&gt;0,$H256&gt;0,OR(AUTOEVENTO&lt;&gt;"manual",$M256&lt;&gt;$A$15)),
        IF(Import.TipoArredondamento&lt;&gt;"TransfereGOV",
              ROUND(OFFSET($P256,0,AE$13),15-13*ORÇAMENTO!$AF$7)/$H256*OFFSET(ORÇAMENTO!$X$15,ROW(AE256)-ROW(AE$15),0),
              ROUND(ROUND(OFFSET($P256,0,AE$13),15-13*ORÇAMENTO!$AF$7)*OFFSET(ORÇAMENTO!$W$15,ROW(AE256)-ROW(AE$15),0),15-13*ORÇAMENTO!$AF$11)),
         0)</f>
        <v>0</v>
      </c>
      <c r="AF256" s="454">
        <f ca="1">IF(AND($D256="Serviço",AF$12&lt;&gt;0,$H256&gt;0,OR(AUTOEVENTO&lt;&gt;"manual",$M256&lt;&gt;$A$15)),
        IF(Import.TipoArredondamento&lt;&gt;"TransfereGOV",
              ROUND(OFFSET($P256,0,AF$13),15-13*ORÇAMENTO!$AF$7)/$H256*OFFSET(ORÇAMENTO!$X$15,ROW(AF256)-ROW(AF$15),0),
              ROUND(ROUND(OFFSET($P256,0,AF$13),15-13*ORÇAMENTO!$AF$7)*OFFSET(ORÇAMENTO!$W$15,ROW(AF256)-ROW(AF$15),0),15-13*ORÇAMENTO!$AF$11)),
         0)</f>
        <v>0</v>
      </c>
      <c r="AG256" s="454">
        <f ca="1">IF(AND($D256="Serviço",AG$12&lt;&gt;0,$H256&gt;0,OR(AUTOEVENTO&lt;&gt;"manual",$M256&lt;&gt;$A$15)),
        IF(Import.TipoArredondamento&lt;&gt;"TransfereGOV",
              ROUND(OFFSET($P256,0,AG$13),15-13*ORÇAMENTO!$AF$7)/$H256*OFFSET(ORÇAMENTO!$X$15,ROW(AG256)-ROW(AG$15),0),
              ROUND(ROUND(OFFSET($P256,0,AG$13),15-13*ORÇAMENTO!$AF$7)*OFFSET(ORÇAMENTO!$W$15,ROW(AG256)-ROW(AG$15),0),15-13*ORÇAMENTO!$AF$11)),
         0)</f>
        <v>0</v>
      </c>
      <c r="AH256" s="454">
        <f ca="1">IF(AND($D256="Serviço",AH$12&lt;&gt;0,$H256&gt;0,OR(AUTOEVENTO&lt;&gt;"manual",$M256&lt;&gt;$A$15)),
        IF(Import.TipoArredondamento&lt;&gt;"TransfereGOV",
              ROUND(OFFSET($P256,0,AH$13),15-13*ORÇAMENTO!$AF$7)/$H256*OFFSET(ORÇAMENTO!$X$15,ROW(AH256)-ROW(AH$15),0),
              ROUND(ROUND(OFFSET($P256,0,AH$13),15-13*ORÇAMENTO!$AF$7)*OFFSET(ORÇAMENTO!$W$15,ROW(AH256)-ROW(AH$15),0),15-13*ORÇAMENTO!$AF$11)),
         0)</f>
        <v>0</v>
      </c>
      <c r="AI256" s="454">
        <f ca="1">IF(AND($D256="Serviço",AI$12&lt;&gt;0,$H256&gt;0,OR(AUTOEVENTO&lt;&gt;"manual",$M256&lt;&gt;$A$15)),
        IF(Import.TipoArredondamento&lt;&gt;"TransfereGOV",
              ROUND(OFFSET($P256,0,AI$13),15-13*ORÇAMENTO!$AF$7)/$H256*OFFSET(ORÇAMENTO!$X$15,ROW(AI256)-ROW(AI$15),0),
              ROUND(ROUND(OFFSET($P256,0,AI$13),15-13*ORÇAMENTO!$AF$7)*OFFSET(ORÇAMENTO!$W$15,ROW(AI256)-ROW(AI$15),0),15-13*ORÇAMENTO!$AF$11)),
         0)</f>
        <v>0</v>
      </c>
      <c r="AJ256" s="454">
        <f ca="1">IF(AND($D256="Serviço",AJ$12&lt;&gt;0,$H256&gt;0,OR(AUTOEVENTO&lt;&gt;"manual",$M256&lt;&gt;$A$15)),
        IF(Import.TipoArredondamento&lt;&gt;"TransfereGOV",
              ROUND(OFFSET($P256,0,AJ$13),15-13*ORÇAMENTO!$AF$7)/$H256*OFFSET(ORÇAMENTO!$X$15,ROW(AJ256)-ROW(AJ$15),0),
              ROUND(ROUND(OFFSET($P256,0,AJ$13),15-13*ORÇAMENTO!$AF$7)*OFFSET(ORÇAMENTO!$W$15,ROW(AJ256)-ROW(AJ$15),0),15-13*ORÇAMENTO!$AF$11)),
         0)</f>
        <v>0</v>
      </c>
      <c r="AK256" s="454">
        <f ca="1">IF(AND($D256="Serviço",AK$12&lt;&gt;0,$H256&gt;0,OR(AUTOEVENTO&lt;&gt;"manual",$M256&lt;&gt;$A$15)),
        IF(Import.TipoArredondamento&lt;&gt;"TransfereGOV",
              ROUND(OFFSET($P256,0,AK$13),15-13*ORÇAMENTO!$AF$7)/$H256*OFFSET(ORÇAMENTO!$X$15,ROW(AK256)-ROW(AK$15),0),
              ROUND(ROUND(OFFSET($P256,0,AK$13),15-13*ORÇAMENTO!$AF$7)*OFFSET(ORÇAMENTO!$W$15,ROW(AK256)-ROW(AK$15),0),15-13*ORÇAMENTO!$AF$11)),
         0)</f>
        <v>0</v>
      </c>
      <c r="AM256" s="172">
        <f ca="1">IF(OR($D256&lt;&gt;"Serviço",AND(AUTOEVENTO="Manual",$M256=$A$15)),0,
         IF(OFFSET(CRONOPLE!$F$15,$M256-$A$15,AM$13)="",10^12,OFFSET(CRONOPLE!$F$15,$M256-$A$15,AM$13)))</f>
        <v>1000000000000</v>
      </c>
      <c r="AN256" s="172">
        <f ca="1">IF(OR($D256&lt;&gt;"Serviço",AND(AUTOEVENTO="Manual",$M256=$A$15)),0,
         IF(OFFSET(CRONOPLE!$F$15,$M256-$A$15,AN$13)="",10^12,OFFSET(CRONOPLE!$F$15,$M256-$A$15,AN$13)))</f>
        <v>1000000000000</v>
      </c>
      <c r="AO256" s="172">
        <f ca="1">IF(OR($D256&lt;&gt;"Serviço",AND(AUTOEVENTO="Manual",$M256=$A$15)),0,
         IF(OFFSET(CRONOPLE!$F$15,$M256-$A$15,AO$13)="",10^12,OFFSET(CRONOPLE!$F$15,$M256-$A$15,AO$13)))</f>
        <v>1000000000000</v>
      </c>
      <c r="AP256" s="172">
        <f ca="1">IF(OR($D256&lt;&gt;"Serviço",AND(AUTOEVENTO="Manual",$M256=$A$15)),0,
         IF(OFFSET(CRONOPLE!$F$15,$M256-$A$15,AP$13)="",10^12,OFFSET(CRONOPLE!$F$15,$M256-$A$15,AP$13)))</f>
        <v>1000000000000</v>
      </c>
      <c r="AQ256" s="172">
        <f ca="1">IF(OR($D256&lt;&gt;"Serviço",AND(AUTOEVENTO="Manual",$M256=$A$15)),0,
         IF(OFFSET(CRONOPLE!$F$15,$M256-$A$15,AQ$13)="",10^12,OFFSET(CRONOPLE!$F$15,$M256-$A$15,AQ$13)))</f>
        <v>1000000000000</v>
      </c>
      <c r="AR256" s="172">
        <f ca="1">IF(OR($D256&lt;&gt;"Serviço",AND(AUTOEVENTO="Manual",$M256=$A$15)),0,
         IF(OFFSET(CRONOPLE!$F$15,$M256-$A$15,AR$13)="",10^12,OFFSET(CRONOPLE!$F$15,$M256-$A$15,AR$13)))</f>
        <v>1000000000000</v>
      </c>
      <c r="AS256" s="172">
        <f ca="1">IF(OR($D256&lt;&gt;"Serviço",AND(AUTOEVENTO="Manual",$M256=$A$15)),0,
         IF(OFFSET(CRONOPLE!$F$15,$M256-$A$15,AS$13)="",10^12,OFFSET(CRONOPLE!$F$15,$M256-$A$15,AS$13)))</f>
        <v>1000000000000</v>
      </c>
      <c r="AT256" s="172">
        <f ca="1">IF(OR($D256&lt;&gt;"Serviço",AND(AUTOEVENTO="Manual",$M256=$A$15)),0,
         IF(OFFSET(CRONOPLE!$F$15,$M256-$A$15,AT$13)="",10^12,OFFSET(CRONOPLE!$F$15,$M256-$A$15,AT$13)))</f>
        <v>1000000000000</v>
      </c>
      <c r="AU256" s="172">
        <f ca="1">IF(OR($D256&lt;&gt;"Serviço",AND(AUTOEVENTO="Manual",$M256=$A$15)),0,
         IF(OFFSET(CRONOPLE!$F$15,$M256-$A$15,AU$13)="",10^12,OFFSET(CRONOPLE!$F$15,$M256-$A$15,AU$13)))</f>
        <v>1000000000000</v>
      </c>
      <c r="AV256" s="172">
        <f ca="1">IF(OR($D256&lt;&gt;"Serviço",AND(AUTOEVENTO="Manual",$M256=$A$15)),0,
         IF(OFFSET(CRONOPLE!$F$15,$M256-$A$15,AV$13)="",10^12,OFFSET(CRONOPLE!$F$15,$M256-$A$15,AV$13)))</f>
        <v>1000000000000</v>
      </c>
      <c r="AX256" s="173">
        <f ca="1">IF(OR($D256&lt;&gt;"Serviço",AND(AUTOEVENTO="Manual",$M256=$A$15),$M256&gt;(ROW(PLE.lastrow)-ROW(PLE.firstrow))),0,
           IF(OFFSET(PLE!$G$15,$M256-$A$15,AX$13)="",10^12,OFFSET(PLE!$G$15,$M256-$A$15,AX$13)))</f>
        <v>1000000000000</v>
      </c>
      <c r="AY256" s="173">
        <f ca="1">IF(OR($D256&lt;&gt;"Serviço",AND(AUTOEVENTO="Manual",$M256=$A$15),$M256&gt;(ROW(PLE.lastrow)-ROW(PLE.firstrow))),0,
           IF(OFFSET(PLE!$G$15,$M256-$A$15,AY$13)="",10^12,OFFSET(PLE!$G$15,$M256-$A$15,AY$13)))</f>
        <v>1000000000000</v>
      </c>
      <c r="AZ256" s="173">
        <f ca="1">IF(OR($D256&lt;&gt;"Serviço",AND(AUTOEVENTO="Manual",$M256=$A$15),$M256&gt;(ROW(PLE.lastrow)-ROW(PLE.firstrow))),0,
           IF(OFFSET(PLE!$G$15,$M256-$A$15,AZ$13)="",10^12,OFFSET(PLE!$G$15,$M256-$A$15,AZ$13)))</f>
        <v>1000000000000</v>
      </c>
      <c r="BA256" s="173">
        <f ca="1">IF(OR($D256&lt;&gt;"Serviço",AND(AUTOEVENTO="Manual",$M256=$A$15),$M256&gt;(ROW(PLE.lastrow)-ROW(PLE.firstrow))),0,
           IF(OFFSET(PLE!$G$15,$M256-$A$15,BA$13)="",10^12,OFFSET(PLE!$G$15,$M256-$A$15,BA$13)))</f>
        <v>1000000000000</v>
      </c>
      <c r="BB256" s="173">
        <f ca="1">IF(OR($D256&lt;&gt;"Serviço",AND(AUTOEVENTO="Manual",$M256=$A$15),$M256&gt;(ROW(PLE.lastrow)-ROW(PLE.firstrow))),0,
           IF(OFFSET(PLE!$G$15,$M256-$A$15,BB$13)="",10^12,OFFSET(PLE!$G$15,$M256-$A$15,BB$13)))</f>
        <v>1000000000000</v>
      </c>
      <c r="BC256" s="173">
        <f ca="1">IF(OR($D256&lt;&gt;"Serviço",AND(AUTOEVENTO="Manual",$M256=$A$15),$M256&gt;(ROW(PLE.lastrow)-ROW(PLE.firstrow))),0,
           IF(OFFSET(PLE!$G$15,$M256-$A$15,BC$13)="",10^12,OFFSET(PLE!$G$15,$M256-$A$15,BC$13)))</f>
        <v>1000000000000</v>
      </c>
      <c r="BD256" s="173">
        <f ca="1">IF(OR($D256&lt;&gt;"Serviço",AND(AUTOEVENTO="Manual",$M256=$A$15),$M256&gt;(ROW(PLE.lastrow)-ROW(PLE.firstrow))),0,
           IF(OFFSET(PLE!$G$15,$M256-$A$15,BD$13)="",10^12,OFFSET(PLE!$G$15,$M256-$A$15,BD$13)))</f>
        <v>1000000000000</v>
      </c>
      <c r="BE256" s="173">
        <f ca="1">IF(OR($D256&lt;&gt;"Serviço",AND(AUTOEVENTO="Manual",$M256=$A$15),$M256&gt;(ROW(PLE.lastrow)-ROW(PLE.firstrow))),0,
           IF(OFFSET(PLE!$G$15,$M256-$A$15,BE$13)="",10^12,OFFSET(PLE!$G$15,$M256-$A$15,BE$13)))</f>
        <v>1000000000000</v>
      </c>
      <c r="BF256" s="173">
        <f ca="1">IF(OR($D256&lt;&gt;"Serviço",AND(AUTOEVENTO="Manual",$M256=$A$15),$M256&gt;(ROW(PLE.lastrow)-ROW(PLE.firstrow))),0,
           IF(OFFSET(PLE!$G$15,$M256-$A$15,BF$13)="",10^12,OFFSET(PLE!$G$15,$M256-$A$15,BF$13)))</f>
        <v>1000000000000</v>
      </c>
      <c r="BG256" s="173">
        <f ca="1">IF(OR($D256&lt;&gt;"Serviço",AND(AUTOEVENTO="Manual",$M256=$A$15),$M256&gt;(ROW(PLE.lastrow)-ROW(PLE.firstrow))),0,
           IF(OFFSET(PLE!$G$15,$M256-$A$15,BG$13)="",10^12,OFFSET(PLE!$G$15,$M256-$A$15,BG$13)))</f>
        <v>1000000000000</v>
      </c>
    </row>
    <row r="257" spans="1:59" ht="38.25" x14ac:dyDescent="0.2">
      <c r="A257" s="7" t="str">
        <f t="shared" ca="1" si="11"/>
        <v>239</v>
      </c>
      <c r="B257" s="7" t="str">
        <f ca="1">OFFSET(ORÇAMENTO!C$15,ROW(B257)-ROW(B$15),0)</f>
        <v>S</v>
      </c>
      <c r="C257" s="7" t="str">
        <f ca="1">OFFSET(ORÇAMENTO!L$15,ROW(C257)-ROW(C$15),0)</f>
        <v/>
      </c>
      <c r="D257" s="117" t="str">
        <f ca="1">OFFSET(ORÇAMENTO!N$15,ROW(D257)-ROW(D$15),0)</f>
        <v>Serviço</v>
      </c>
      <c r="E257" s="118" t="str">
        <f ca="1">OFFSET(ORÇAMENTO!O$15,ROW(E257)-ROW(E$15),0)</f>
        <v>-</v>
      </c>
      <c r="F257" s="164" t="str">
        <f ca="1">OFFSET(ORÇAMENTO!R$15,ROW(F257)-ROW(F$15),0)</f>
        <v>JOELHO 45 GRAUS, PVC, SERIE R, ÁGUA PLUVIAL, DN 100 MM, JUNTA ELÁSTICA, FORNECIDO E INSTALADO EM RAMAL DE ENCAMINHAMENTO. AF_06/2022</v>
      </c>
      <c r="G257" s="165" t="str">
        <f ca="1">IF($D257&lt;&gt;"Serviço","",OFFSET(ORÇAMENTO!S$15,ROW(G257)-ROW(G$15),0))</f>
        <v>UN</v>
      </c>
      <c r="H257" s="123">
        <f ca="1">IF($D257&lt;&gt;"Serviço",0,IF(ACOMPANHAMENTO="BM",ROUND(OFFSET(ORÇAMENTO!AJ$15,ROW(H257)-ROW(H$15),0),15-13*ORÇAMENTO!$AF$7),SUMPRODUCT(($Q$1:$AA$1=1)*ROUND($Q257:$AA257,15-13*ORÇAMENTO!$AF$7))))</f>
        <v>3</v>
      </c>
      <c r="I257" s="469"/>
      <c r="J257" s="577" t="str" cm="1">
        <f t="array" aca="1" ref="J257" ca="1">IF(B257&lt;&gt;"S","",IF(AND(ACOMPANHAMENTO="PLE",AUTOEVENTO="Manual",OR(H257&gt;0,ORÇAMENTO!AC257="QUANT."),OR(K257="",M257=0,N257="")),"►",IF(AND(ACOMPANHAMENTO="PLE",ORÇAMENTO!AC257="QUANT."),"►►",IF(AND(COUNTIF($P$11:$AA$11,"▼")=0,H257&gt;0,I257=""),"◄",""))))</f>
        <v>◄</v>
      </c>
      <c r="K257" s="626"/>
      <c r="L257" s="166" t="s">
        <v>765</v>
      </c>
      <c r="M257" s="167">
        <f ca="1">IF($D257&lt;&gt;"Serviço","",
          IF(AUTOEVENTO="manual",$A257,
                IF(ISERROR(MATCH($A257,$A$15:OFFSET($A257,-1,0),0)),MAX($M$15:OFFSET(M257,-1,0))+1,
                      INDEX($M$15:OFFSET(M257,-1,0),MATCH($A257,$A$15:OFFSET($A257,-1,0),0)))))</f>
        <v>15</v>
      </c>
      <c r="N257" s="168" t="str">
        <f ca="1">IF($D257&lt;&gt;"Serviço","",
         IF(AUTOEVENTO="Manual",
                IF($A257=0,"&lt;-- defina o número do agrupador",
                       OFFSET(EVENTOS!$D$15,$A257-$A$15,0)),
                OFFSET($F$15,$A257,0)))</f>
        <v>INSTALAÇÕES PLUVIAIS</v>
      </c>
      <c r="O257" s="169"/>
      <c r="Q257" s="169"/>
      <c r="R257" s="170"/>
      <c r="S257" s="170"/>
      <c r="T257" s="170"/>
      <c r="U257" s="170"/>
      <c r="V257" s="170"/>
      <c r="W257" s="170"/>
      <c r="X257" s="170"/>
      <c r="Y257" s="170"/>
      <c r="Z257" s="171"/>
      <c r="AB257" s="454">
        <f ca="1">IF(AND($D257="Serviço",AB$12&lt;&gt;0,$H257&gt;0,OR(AUTOEVENTO&lt;&gt;"manual",$M257&lt;&gt;$A$15)),
        IF(Import.TipoArredondamento&lt;&gt;"TransfereGOV",
              ROUND(OFFSET($P257,0,AB$13),15-13*ORÇAMENTO!$AF$7)/$H257*OFFSET(ORÇAMENTO!$X$15,ROW(AB257)-ROW(AB$15),0),
              ROUND(ROUND(OFFSET($P257,0,AB$13),15-13*ORÇAMENTO!$AF$7)*OFFSET(ORÇAMENTO!$W$15,ROW(AB257)-ROW(AB$15),0),15-13*ORÇAMENTO!$AF$11)),
         0)</f>
        <v>0</v>
      </c>
      <c r="AC257" s="454">
        <f ca="1">IF(AND($D257="Serviço",AC$12&lt;&gt;0,$H257&gt;0,OR(AUTOEVENTO&lt;&gt;"manual",$M257&lt;&gt;$A$15)),
        IF(Import.TipoArredondamento&lt;&gt;"TransfereGOV",
              ROUND(OFFSET($P257,0,AC$13),15-13*ORÇAMENTO!$AF$7)/$H257*OFFSET(ORÇAMENTO!$X$15,ROW(AC257)-ROW(AC$15),0),
              ROUND(ROUND(OFFSET($P257,0,AC$13),15-13*ORÇAMENTO!$AF$7)*OFFSET(ORÇAMENTO!$W$15,ROW(AC257)-ROW(AC$15),0),15-13*ORÇAMENTO!$AF$11)),
         0)</f>
        <v>0</v>
      </c>
      <c r="AD257" s="454">
        <f ca="1">IF(AND($D257="Serviço",AD$12&lt;&gt;0,$H257&gt;0,OR(AUTOEVENTO&lt;&gt;"manual",$M257&lt;&gt;$A$15)),
        IF(Import.TipoArredondamento&lt;&gt;"TransfereGOV",
              ROUND(OFFSET($P257,0,AD$13),15-13*ORÇAMENTO!$AF$7)/$H257*OFFSET(ORÇAMENTO!$X$15,ROW(AD257)-ROW(AD$15),0),
              ROUND(ROUND(OFFSET($P257,0,AD$13),15-13*ORÇAMENTO!$AF$7)*OFFSET(ORÇAMENTO!$W$15,ROW(AD257)-ROW(AD$15),0),15-13*ORÇAMENTO!$AF$11)),
         0)</f>
        <v>0</v>
      </c>
      <c r="AE257" s="454">
        <f ca="1">IF(AND($D257="Serviço",AE$12&lt;&gt;0,$H257&gt;0,OR(AUTOEVENTO&lt;&gt;"manual",$M257&lt;&gt;$A$15)),
        IF(Import.TipoArredondamento&lt;&gt;"TransfereGOV",
              ROUND(OFFSET($P257,0,AE$13),15-13*ORÇAMENTO!$AF$7)/$H257*OFFSET(ORÇAMENTO!$X$15,ROW(AE257)-ROW(AE$15),0),
              ROUND(ROUND(OFFSET($P257,0,AE$13),15-13*ORÇAMENTO!$AF$7)*OFFSET(ORÇAMENTO!$W$15,ROW(AE257)-ROW(AE$15),0),15-13*ORÇAMENTO!$AF$11)),
         0)</f>
        <v>0</v>
      </c>
      <c r="AF257" s="454">
        <f ca="1">IF(AND($D257="Serviço",AF$12&lt;&gt;0,$H257&gt;0,OR(AUTOEVENTO&lt;&gt;"manual",$M257&lt;&gt;$A$15)),
        IF(Import.TipoArredondamento&lt;&gt;"TransfereGOV",
              ROUND(OFFSET($P257,0,AF$13),15-13*ORÇAMENTO!$AF$7)/$H257*OFFSET(ORÇAMENTO!$X$15,ROW(AF257)-ROW(AF$15),0),
              ROUND(ROUND(OFFSET($P257,0,AF$13),15-13*ORÇAMENTO!$AF$7)*OFFSET(ORÇAMENTO!$W$15,ROW(AF257)-ROW(AF$15),0),15-13*ORÇAMENTO!$AF$11)),
         0)</f>
        <v>0</v>
      </c>
      <c r="AG257" s="454">
        <f ca="1">IF(AND($D257="Serviço",AG$12&lt;&gt;0,$H257&gt;0,OR(AUTOEVENTO&lt;&gt;"manual",$M257&lt;&gt;$A$15)),
        IF(Import.TipoArredondamento&lt;&gt;"TransfereGOV",
              ROUND(OFFSET($P257,0,AG$13),15-13*ORÇAMENTO!$AF$7)/$H257*OFFSET(ORÇAMENTO!$X$15,ROW(AG257)-ROW(AG$15),0),
              ROUND(ROUND(OFFSET($P257,0,AG$13),15-13*ORÇAMENTO!$AF$7)*OFFSET(ORÇAMENTO!$W$15,ROW(AG257)-ROW(AG$15),0),15-13*ORÇAMENTO!$AF$11)),
         0)</f>
        <v>0</v>
      </c>
      <c r="AH257" s="454">
        <f ca="1">IF(AND($D257="Serviço",AH$12&lt;&gt;0,$H257&gt;0,OR(AUTOEVENTO&lt;&gt;"manual",$M257&lt;&gt;$A$15)),
        IF(Import.TipoArredondamento&lt;&gt;"TransfereGOV",
              ROUND(OFFSET($P257,0,AH$13),15-13*ORÇAMENTO!$AF$7)/$H257*OFFSET(ORÇAMENTO!$X$15,ROW(AH257)-ROW(AH$15),0),
              ROUND(ROUND(OFFSET($P257,0,AH$13),15-13*ORÇAMENTO!$AF$7)*OFFSET(ORÇAMENTO!$W$15,ROW(AH257)-ROW(AH$15),0),15-13*ORÇAMENTO!$AF$11)),
         0)</f>
        <v>0</v>
      </c>
      <c r="AI257" s="454">
        <f ca="1">IF(AND($D257="Serviço",AI$12&lt;&gt;0,$H257&gt;0,OR(AUTOEVENTO&lt;&gt;"manual",$M257&lt;&gt;$A$15)),
        IF(Import.TipoArredondamento&lt;&gt;"TransfereGOV",
              ROUND(OFFSET($P257,0,AI$13),15-13*ORÇAMENTO!$AF$7)/$H257*OFFSET(ORÇAMENTO!$X$15,ROW(AI257)-ROW(AI$15),0),
              ROUND(ROUND(OFFSET($P257,0,AI$13),15-13*ORÇAMENTO!$AF$7)*OFFSET(ORÇAMENTO!$W$15,ROW(AI257)-ROW(AI$15),0),15-13*ORÇAMENTO!$AF$11)),
         0)</f>
        <v>0</v>
      </c>
      <c r="AJ257" s="454">
        <f ca="1">IF(AND($D257="Serviço",AJ$12&lt;&gt;0,$H257&gt;0,OR(AUTOEVENTO&lt;&gt;"manual",$M257&lt;&gt;$A$15)),
        IF(Import.TipoArredondamento&lt;&gt;"TransfereGOV",
              ROUND(OFFSET($P257,0,AJ$13),15-13*ORÇAMENTO!$AF$7)/$H257*OFFSET(ORÇAMENTO!$X$15,ROW(AJ257)-ROW(AJ$15),0),
              ROUND(ROUND(OFFSET($P257,0,AJ$13),15-13*ORÇAMENTO!$AF$7)*OFFSET(ORÇAMENTO!$W$15,ROW(AJ257)-ROW(AJ$15),0),15-13*ORÇAMENTO!$AF$11)),
         0)</f>
        <v>0</v>
      </c>
      <c r="AK257" s="454">
        <f ca="1">IF(AND($D257="Serviço",AK$12&lt;&gt;0,$H257&gt;0,OR(AUTOEVENTO&lt;&gt;"manual",$M257&lt;&gt;$A$15)),
        IF(Import.TipoArredondamento&lt;&gt;"TransfereGOV",
              ROUND(OFFSET($P257,0,AK$13),15-13*ORÇAMENTO!$AF$7)/$H257*OFFSET(ORÇAMENTO!$X$15,ROW(AK257)-ROW(AK$15),0),
              ROUND(ROUND(OFFSET($P257,0,AK$13),15-13*ORÇAMENTO!$AF$7)*OFFSET(ORÇAMENTO!$W$15,ROW(AK257)-ROW(AK$15),0),15-13*ORÇAMENTO!$AF$11)),
         0)</f>
        <v>0</v>
      </c>
      <c r="AM257" s="172">
        <f ca="1">IF(OR($D257&lt;&gt;"Serviço",AND(AUTOEVENTO="Manual",$M257=$A$15)),0,
         IF(OFFSET(CRONOPLE!$F$15,$M257-$A$15,AM$13)="",10^12,OFFSET(CRONOPLE!$F$15,$M257-$A$15,AM$13)))</f>
        <v>1000000000000</v>
      </c>
      <c r="AN257" s="172">
        <f ca="1">IF(OR($D257&lt;&gt;"Serviço",AND(AUTOEVENTO="Manual",$M257=$A$15)),0,
         IF(OFFSET(CRONOPLE!$F$15,$M257-$A$15,AN$13)="",10^12,OFFSET(CRONOPLE!$F$15,$M257-$A$15,AN$13)))</f>
        <v>1000000000000</v>
      </c>
      <c r="AO257" s="172">
        <f ca="1">IF(OR($D257&lt;&gt;"Serviço",AND(AUTOEVENTO="Manual",$M257=$A$15)),0,
         IF(OFFSET(CRONOPLE!$F$15,$M257-$A$15,AO$13)="",10^12,OFFSET(CRONOPLE!$F$15,$M257-$A$15,AO$13)))</f>
        <v>1000000000000</v>
      </c>
      <c r="AP257" s="172">
        <f ca="1">IF(OR($D257&lt;&gt;"Serviço",AND(AUTOEVENTO="Manual",$M257=$A$15)),0,
         IF(OFFSET(CRONOPLE!$F$15,$M257-$A$15,AP$13)="",10^12,OFFSET(CRONOPLE!$F$15,$M257-$A$15,AP$13)))</f>
        <v>1000000000000</v>
      </c>
      <c r="AQ257" s="172">
        <f ca="1">IF(OR($D257&lt;&gt;"Serviço",AND(AUTOEVENTO="Manual",$M257=$A$15)),0,
         IF(OFFSET(CRONOPLE!$F$15,$M257-$A$15,AQ$13)="",10^12,OFFSET(CRONOPLE!$F$15,$M257-$A$15,AQ$13)))</f>
        <v>1000000000000</v>
      </c>
      <c r="AR257" s="172">
        <f ca="1">IF(OR($D257&lt;&gt;"Serviço",AND(AUTOEVENTO="Manual",$M257=$A$15)),0,
         IF(OFFSET(CRONOPLE!$F$15,$M257-$A$15,AR$13)="",10^12,OFFSET(CRONOPLE!$F$15,$M257-$A$15,AR$13)))</f>
        <v>1000000000000</v>
      </c>
      <c r="AS257" s="172">
        <f ca="1">IF(OR($D257&lt;&gt;"Serviço",AND(AUTOEVENTO="Manual",$M257=$A$15)),0,
         IF(OFFSET(CRONOPLE!$F$15,$M257-$A$15,AS$13)="",10^12,OFFSET(CRONOPLE!$F$15,$M257-$A$15,AS$13)))</f>
        <v>1000000000000</v>
      </c>
      <c r="AT257" s="172">
        <f ca="1">IF(OR($D257&lt;&gt;"Serviço",AND(AUTOEVENTO="Manual",$M257=$A$15)),0,
         IF(OFFSET(CRONOPLE!$F$15,$M257-$A$15,AT$13)="",10^12,OFFSET(CRONOPLE!$F$15,$M257-$A$15,AT$13)))</f>
        <v>1000000000000</v>
      </c>
      <c r="AU257" s="172">
        <f ca="1">IF(OR($D257&lt;&gt;"Serviço",AND(AUTOEVENTO="Manual",$M257=$A$15)),0,
         IF(OFFSET(CRONOPLE!$F$15,$M257-$A$15,AU$13)="",10^12,OFFSET(CRONOPLE!$F$15,$M257-$A$15,AU$13)))</f>
        <v>1000000000000</v>
      </c>
      <c r="AV257" s="172">
        <f ca="1">IF(OR($D257&lt;&gt;"Serviço",AND(AUTOEVENTO="Manual",$M257=$A$15)),0,
         IF(OFFSET(CRONOPLE!$F$15,$M257-$A$15,AV$13)="",10^12,OFFSET(CRONOPLE!$F$15,$M257-$A$15,AV$13)))</f>
        <v>1000000000000</v>
      </c>
      <c r="AX257" s="173">
        <f ca="1">IF(OR($D257&lt;&gt;"Serviço",AND(AUTOEVENTO="Manual",$M257=$A$15),$M257&gt;(ROW(PLE.lastrow)-ROW(PLE.firstrow))),0,
           IF(OFFSET(PLE!$G$15,$M257-$A$15,AX$13)="",10^12,OFFSET(PLE!$G$15,$M257-$A$15,AX$13)))</f>
        <v>1000000000000</v>
      </c>
      <c r="AY257" s="173">
        <f ca="1">IF(OR($D257&lt;&gt;"Serviço",AND(AUTOEVENTO="Manual",$M257=$A$15),$M257&gt;(ROW(PLE.lastrow)-ROW(PLE.firstrow))),0,
           IF(OFFSET(PLE!$G$15,$M257-$A$15,AY$13)="",10^12,OFFSET(PLE!$G$15,$M257-$A$15,AY$13)))</f>
        <v>1000000000000</v>
      </c>
      <c r="AZ257" s="173">
        <f ca="1">IF(OR($D257&lt;&gt;"Serviço",AND(AUTOEVENTO="Manual",$M257=$A$15),$M257&gt;(ROW(PLE.lastrow)-ROW(PLE.firstrow))),0,
           IF(OFFSET(PLE!$G$15,$M257-$A$15,AZ$13)="",10^12,OFFSET(PLE!$G$15,$M257-$A$15,AZ$13)))</f>
        <v>1000000000000</v>
      </c>
      <c r="BA257" s="173">
        <f ca="1">IF(OR($D257&lt;&gt;"Serviço",AND(AUTOEVENTO="Manual",$M257=$A$15),$M257&gt;(ROW(PLE.lastrow)-ROW(PLE.firstrow))),0,
           IF(OFFSET(PLE!$G$15,$M257-$A$15,BA$13)="",10^12,OFFSET(PLE!$G$15,$M257-$A$15,BA$13)))</f>
        <v>1000000000000</v>
      </c>
      <c r="BB257" s="173">
        <f ca="1">IF(OR($D257&lt;&gt;"Serviço",AND(AUTOEVENTO="Manual",$M257=$A$15),$M257&gt;(ROW(PLE.lastrow)-ROW(PLE.firstrow))),0,
           IF(OFFSET(PLE!$G$15,$M257-$A$15,BB$13)="",10^12,OFFSET(PLE!$G$15,$M257-$A$15,BB$13)))</f>
        <v>1000000000000</v>
      </c>
      <c r="BC257" s="173">
        <f ca="1">IF(OR($D257&lt;&gt;"Serviço",AND(AUTOEVENTO="Manual",$M257=$A$15),$M257&gt;(ROW(PLE.lastrow)-ROW(PLE.firstrow))),0,
           IF(OFFSET(PLE!$G$15,$M257-$A$15,BC$13)="",10^12,OFFSET(PLE!$G$15,$M257-$A$15,BC$13)))</f>
        <v>1000000000000</v>
      </c>
      <c r="BD257" s="173">
        <f ca="1">IF(OR($D257&lt;&gt;"Serviço",AND(AUTOEVENTO="Manual",$M257=$A$15),$M257&gt;(ROW(PLE.lastrow)-ROW(PLE.firstrow))),0,
           IF(OFFSET(PLE!$G$15,$M257-$A$15,BD$13)="",10^12,OFFSET(PLE!$G$15,$M257-$A$15,BD$13)))</f>
        <v>1000000000000</v>
      </c>
      <c r="BE257" s="173">
        <f ca="1">IF(OR($D257&lt;&gt;"Serviço",AND(AUTOEVENTO="Manual",$M257=$A$15),$M257&gt;(ROW(PLE.lastrow)-ROW(PLE.firstrow))),0,
           IF(OFFSET(PLE!$G$15,$M257-$A$15,BE$13)="",10^12,OFFSET(PLE!$G$15,$M257-$A$15,BE$13)))</f>
        <v>1000000000000</v>
      </c>
      <c r="BF257" s="173">
        <f ca="1">IF(OR($D257&lt;&gt;"Serviço",AND(AUTOEVENTO="Manual",$M257=$A$15),$M257&gt;(ROW(PLE.lastrow)-ROW(PLE.firstrow))),0,
           IF(OFFSET(PLE!$G$15,$M257-$A$15,BF$13)="",10^12,OFFSET(PLE!$G$15,$M257-$A$15,BF$13)))</f>
        <v>1000000000000</v>
      </c>
      <c r="BG257" s="173">
        <f ca="1">IF(OR($D257&lt;&gt;"Serviço",AND(AUTOEVENTO="Manual",$M257=$A$15),$M257&gt;(ROW(PLE.lastrow)-ROW(PLE.firstrow))),0,
           IF(OFFSET(PLE!$G$15,$M257-$A$15,BG$13)="",10^12,OFFSET(PLE!$G$15,$M257-$A$15,BG$13)))</f>
        <v>1000000000000</v>
      </c>
    </row>
    <row r="258" spans="1:59" ht="38.25" x14ac:dyDescent="0.2">
      <c r="A258" s="7" t="str">
        <f t="shared" ca="1" si="11"/>
        <v>239</v>
      </c>
      <c r="B258" s="7" t="str">
        <f ca="1">OFFSET(ORÇAMENTO!C$15,ROW(B258)-ROW(B$15),0)</f>
        <v>S</v>
      </c>
      <c r="C258" s="7" t="str">
        <f ca="1">OFFSET(ORÇAMENTO!L$15,ROW(C258)-ROW(C$15),0)</f>
        <v/>
      </c>
      <c r="D258" s="117" t="str">
        <f ca="1">OFFSET(ORÇAMENTO!N$15,ROW(D258)-ROW(D$15),0)</f>
        <v>Serviço</v>
      </c>
      <c r="E258" s="118" t="str">
        <f ca="1">OFFSET(ORÇAMENTO!O$15,ROW(E258)-ROW(E$15),0)</f>
        <v>-</v>
      </c>
      <c r="F258" s="164" t="str">
        <f ca="1">OFFSET(ORÇAMENTO!R$15,ROW(F258)-ROW(F$15),0)</f>
        <v>JOELHO 45 GRAUS, PVC, SERIE R, ÁGUA PLUVIAL, DN 75 MM, JUNTA ELÁSTICA, FORNECIDO E INSTALADO EM RAMAL DE ENCAMINHAMENTO. AF_06/2022</v>
      </c>
      <c r="G258" s="165" t="str">
        <f ca="1">IF($D258&lt;&gt;"Serviço","",OFFSET(ORÇAMENTO!S$15,ROW(G258)-ROW(G$15),0))</f>
        <v>UN</v>
      </c>
      <c r="H258" s="123">
        <f ca="1">IF($D258&lt;&gt;"Serviço",0,IF(ACOMPANHAMENTO="BM",ROUND(OFFSET(ORÇAMENTO!AJ$15,ROW(H258)-ROW(H$15),0),15-13*ORÇAMENTO!$AF$7),SUMPRODUCT(($Q$1:$AA$1=1)*ROUND($Q258:$AA258,15-13*ORÇAMENTO!$AF$7))))</f>
        <v>54</v>
      </c>
      <c r="I258" s="469"/>
      <c r="J258" s="577" t="str" cm="1">
        <f t="array" aca="1" ref="J258" ca="1">IF(B258&lt;&gt;"S","",IF(AND(ACOMPANHAMENTO="PLE",AUTOEVENTO="Manual",OR(H258&gt;0,ORÇAMENTO!AC258="QUANT."),OR(K258="",M258=0,N258="")),"►",IF(AND(ACOMPANHAMENTO="PLE",ORÇAMENTO!AC258="QUANT."),"►►",IF(AND(COUNTIF($P$11:$AA$11,"▼")=0,H258&gt;0,I258=""),"◄",""))))</f>
        <v>◄</v>
      </c>
      <c r="K258" s="626"/>
      <c r="L258" s="166" t="s">
        <v>765</v>
      </c>
      <c r="M258" s="167">
        <f ca="1">IF($D258&lt;&gt;"Serviço","",
          IF(AUTOEVENTO="manual",$A258,
                IF(ISERROR(MATCH($A258,$A$15:OFFSET($A258,-1,0),0)),MAX($M$15:OFFSET(M258,-1,0))+1,
                      INDEX($M$15:OFFSET(M258,-1,0),MATCH($A258,$A$15:OFFSET($A258,-1,0),0)))))</f>
        <v>15</v>
      </c>
      <c r="N258" s="168" t="str">
        <f ca="1">IF($D258&lt;&gt;"Serviço","",
         IF(AUTOEVENTO="Manual",
                IF($A258=0,"&lt;-- defina o número do agrupador",
                       OFFSET(EVENTOS!$D$15,$A258-$A$15,0)),
                OFFSET($F$15,$A258,0)))</f>
        <v>INSTALAÇÕES PLUVIAIS</v>
      </c>
      <c r="O258" s="169"/>
      <c r="Q258" s="169"/>
      <c r="R258" s="170"/>
      <c r="S258" s="170"/>
      <c r="T258" s="170"/>
      <c r="U258" s="170"/>
      <c r="V258" s="170"/>
      <c r="W258" s="170"/>
      <c r="X258" s="170"/>
      <c r="Y258" s="170"/>
      <c r="Z258" s="171"/>
      <c r="AB258" s="454">
        <f ca="1">IF(AND($D258="Serviço",AB$12&lt;&gt;0,$H258&gt;0,OR(AUTOEVENTO&lt;&gt;"manual",$M258&lt;&gt;$A$15)),
        IF(Import.TipoArredondamento&lt;&gt;"TransfereGOV",
              ROUND(OFFSET($P258,0,AB$13),15-13*ORÇAMENTO!$AF$7)/$H258*OFFSET(ORÇAMENTO!$X$15,ROW(AB258)-ROW(AB$15),0),
              ROUND(ROUND(OFFSET($P258,0,AB$13),15-13*ORÇAMENTO!$AF$7)*OFFSET(ORÇAMENTO!$W$15,ROW(AB258)-ROW(AB$15),0),15-13*ORÇAMENTO!$AF$11)),
         0)</f>
        <v>0</v>
      </c>
      <c r="AC258" s="454">
        <f ca="1">IF(AND($D258="Serviço",AC$12&lt;&gt;0,$H258&gt;0,OR(AUTOEVENTO&lt;&gt;"manual",$M258&lt;&gt;$A$15)),
        IF(Import.TipoArredondamento&lt;&gt;"TransfereGOV",
              ROUND(OFFSET($P258,0,AC$13),15-13*ORÇAMENTO!$AF$7)/$H258*OFFSET(ORÇAMENTO!$X$15,ROW(AC258)-ROW(AC$15),0),
              ROUND(ROUND(OFFSET($P258,0,AC$13),15-13*ORÇAMENTO!$AF$7)*OFFSET(ORÇAMENTO!$W$15,ROW(AC258)-ROW(AC$15),0),15-13*ORÇAMENTO!$AF$11)),
         0)</f>
        <v>0</v>
      </c>
      <c r="AD258" s="454">
        <f ca="1">IF(AND($D258="Serviço",AD$12&lt;&gt;0,$H258&gt;0,OR(AUTOEVENTO&lt;&gt;"manual",$M258&lt;&gt;$A$15)),
        IF(Import.TipoArredondamento&lt;&gt;"TransfereGOV",
              ROUND(OFFSET($P258,0,AD$13),15-13*ORÇAMENTO!$AF$7)/$H258*OFFSET(ORÇAMENTO!$X$15,ROW(AD258)-ROW(AD$15),0),
              ROUND(ROUND(OFFSET($P258,0,AD$13),15-13*ORÇAMENTO!$AF$7)*OFFSET(ORÇAMENTO!$W$15,ROW(AD258)-ROW(AD$15),0),15-13*ORÇAMENTO!$AF$11)),
         0)</f>
        <v>0</v>
      </c>
      <c r="AE258" s="454">
        <f ca="1">IF(AND($D258="Serviço",AE$12&lt;&gt;0,$H258&gt;0,OR(AUTOEVENTO&lt;&gt;"manual",$M258&lt;&gt;$A$15)),
        IF(Import.TipoArredondamento&lt;&gt;"TransfereGOV",
              ROUND(OFFSET($P258,0,AE$13),15-13*ORÇAMENTO!$AF$7)/$H258*OFFSET(ORÇAMENTO!$X$15,ROW(AE258)-ROW(AE$15),0),
              ROUND(ROUND(OFFSET($P258,0,AE$13),15-13*ORÇAMENTO!$AF$7)*OFFSET(ORÇAMENTO!$W$15,ROW(AE258)-ROW(AE$15),0),15-13*ORÇAMENTO!$AF$11)),
         0)</f>
        <v>0</v>
      </c>
      <c r="AF258" s="454">
        <f ca="1">IF(AND($D258="Serviço",AF$12&lt;&gt;0,$H258&gt;0,OR(AUTOEVENTO&lt;&gt;"manual",$M258&lt;&gt;$A$15)),
        IF(Import.TipoArredondamento&lt;&gt;"TransfereGOV",
              ROUND(OFFSET($P258,0,AF$13),15-13*ORÇAMENTO!$AF$7)/$H258*OFFSET(ORÇAMENTO!$X$15,ROW(AF258)-ROW(AF$15),0),
              ROUND(ROUND(OFFSET($P258,0,AF$13),15-13*ORÇAMENTO!$AF$7)*OFFSET(ORÇAMENTO!$W$15,ROW(AF258)-ROW(AF$15),0),15-13*ORÇAMENTO!$AF$11)),
         0)</f>
        <v>0</v>
      </c>
      <c r="AG258" s="454">
        <f ca="1">IF(AND($D258="Serviço",AG$12&lt;&gt;0,$H258&gt;0,OR(AUTOEVENTO&lt;&gt;"manual",$M258&lt;&gt;$A$15)),
        IF(Import.TipoArredondamento&lt;&gt;"TransfereGOV",
              ROUND(OFFSET($P258,0,AG$13),15-13*ORÇAMENTO!$AF$7)/$H258*OFFSET(ORÇAMENTO!$X$15,ROW(AG258)-ROW(AG$15),0),
              ROUND(ROUND(OFFSET($P258,0,AG$13),15-13*ORÇAMENTO!$AF$7)*OFFSET(ORÇAMENTO!$W$15,ROW(AG258)-ROW(AG$15),0),15-13*ORÇAMENTO!$AF$11)),
         0)</f>
        <v>0</v>
      </c>
      <c r="AH258" s="454">
        <f ca="1">IF(AND($D258="Serviço",AH$12&lt;&gt;0,$H258&gt;0,OR(AUTOEVENTO&lt;&gt;"manual",$M258&lt;&gt;$A$15)),
        IF(Import.TipoArredondamento&lt;&gt;"TransfereGOV",
              ROUND(OFFSET($P258,0,AH$13),15-13*ORÇAMENTO!$AF$7)/$H258*OFFSET(ORÇAMENTO!$X$15,ROW(AH258)-ROW(AH$15),0),
              ROUND(ROUND(OFFSET($P258,0,AH$13),15-13*ORÇAMENTO!$AF$7)*OFFSET(ORÇAMENTO!$W$15,ROW(AH258)-ROW(AH$15),0),15-13*ORÇAMENTO!$AF$11)),
         0)</f>
        <v>0</v>
      </c>
      <c r="AI258" s="454">
        <f ca="1">IF(AND($D258="Serviço",AI$12&lt;&gt;0,$H258&gt;0,OR(AUTOEVENTO&lt;&gt;"manual",$M258&lt;&gt;$A$15)),
        IF(Import.TipoArredondamento&lt;&gt;"TransfereGOV",
              ROUND(OFFSET($P258,0,AI$13),15-13*ORÇAMENTO!$AF$7)/$H258*OFFSET(ORÇAMENTO!$X$15,ROW(AI258)-ROW(AI$15),0),
              ROUND(ROUND(OFFSET($P258,0,AI$13),15-13*ORÇAMENTO!$AF$7)*OFFSET(ORÇAMENTO!$W$15,ROW(AI258)-ROW(AI$15),0),15-13*ORÇAMENTO!$AF$11)),
         0)</f>
        <v>0</v>
      </c>
      <c r="AJ258" s="454">
        <f ca="1">IF(AND($D258="Serviço",AJ$12&lt;&gt;0,$H258&gt;0,OR(AUTOEVENTO&lt;&gt;"manual",$M258&lt;&gt;$A$15)),
        IF(Import.TipoArredondamento&lt;&gt;"TransfereGOV",
              ROUND(OFFSET($P258,0,AJ$13),15-13*ORÇAMENTO!$AF$7)/$H258*OFFSET(ORÇAMENTO!$X$15,ROW(AJ258)-ROW(AJ$15),0),
              ROUND(ROUND(OFFSET($P258,0,AJ$13),15-13*ORÇAMENTO!$AF$7)*OFFSET(ORÇAMENTO!$W$15,ROW(AJ258)-ROW(AJ$15),0),15-13*ORÇAMENTO!$AF$11)),
         0)</f>
        <v>0</v>
      </c>
      <c r="AK258" s="454">
        <f ca="1">IF(AND($D258="Serviço",AK$12&lt;&gt;0,$H258&gt;0,OR(AUTOEVENTO&lt;&gt;"manual",$M258&lt;&gt;$A$15)),
        IF(Import.TipoArredondamento&lt;&gt;"TransfereGOV",
              ROUND(OFFSET($P258,0,AK$13),15-13*ORÇAMENTO!$AF$7)/$H258*OFFSET(ORÇAMENTO!$X$15,ROW(AK258)-ROW(AK$15),0),
              ROUND(ROUND(OFFSET($P258,0,AK$13),15-13*ORÇAMENTO!$AF$7)*OFFSET(ORÇAMENTO!$W$15,ROW(AK258)-ROW(AK$15),0),15-13*ORÇAMENTO!$AF$11)),
         0)</f>
        <v>0</v>
      </c>
      <c r="AM258" s="172">
        <f ca="1">IF(OR($D258&lt;&gt;"Serviço",AND(AUTOEVENTO="Manual",$M258=$A$15)),0,
         IF(OFFSET(CRONOPLE!$F$15,$M258-$A$15,AM$13)="",10^12,OFFSET(CRONOPLE!$F$15,$M258-$A$15,AM$13)))</f>
        <v>1000000000000</v>
      </c>
      <c r="AN258" s="172">
        <f ca="1">IF(OR($D258&lt;&gt;"Serviço",AND(AUTOEVENTO="Manual",$M258=$A$15)),0,
         IF(OFFSET(CRONOPLE!$F$15,$M258-$A$15,AN$13)="",10^12,OFFSET(CRONOPLE!$F$15,$M258-$A$15,AN$13)))</f>
        <v>1000000000000</v>
      </c>
      <c r="AO258" s="172">
        <f ca="1">IF(OR($D258&lt;&gt;"Serviço",AND(AUTOEVENTO="Manual",$M258=$A$15)),0,
         IF(OFFSET(CRONOPLE!$F$15,$M258-$A$15,AO$13)="",10^12,OFFSET(CRONOPLE!$F$15,$M258-$A$15,AO$13)))</f>
        <v>1000000000000</v>
      </c>
      <c r="AP258" s="172">
        <f ca="1">IF(OR($D258&lt;&gt;"Serviço",AND(AUTOEVENTO="Manual",$M258=$A$15)),0,
         IF(OFFSET(CRONOPLE!$F$15,$M258-$A$15,AP$13)="",10^12,OFFSET(CRONOPLE!$F$15,$M258-$A$15,AP$13)))</f>
        <v>1000000000000</v>
      </c>
      <c r="AQ258" s="172">
        <f ca="1">IF(OR($D258&lt;&gt;"Serviço",AND(AUTOEVENTO="Manual",$M258=$A$15)),0,
         IF(OFFSET(CRONOPLE!$F$15,$M258-$A$15,AQ$13)="",10^12,OFFSET(CRONOPLE!$F$15,$M258-$A$15,AQ$13)))</f>
        <v>1000000000000</v>
      </c>
      <c r="AR258" s="172">
        <f ca="1">IF(OR($D258&lt;&gt;"Serviço",AND(AUTOEVENTO="Manual",$M258=$A$15)),0,
         IF(OFFSET(CRONOPLE!$F$15,$M258-$A$15,AR$13)="",10^12,OFFSET(CRONOPLE!$F$15,$M258-$A$15,AR$13)))</f>
        <v>1000000000000</v>
      </c>
      <c r="AS258" s="172">
        <f ca="1">IF(OR($D258&lt;&gt;"Serviço",AND(AUTOEVENTO="Manual",$M258=$A$15)),0,
         IF(OFFSET(CRONOPLE!$F$15,$M258-$A$15,AS$13)="",10^12,OFFSET(CRONOPLE!$F$15,$M258-$A$15,AS$13)))</f>
        <v>1000000000000</v>
      </c>
      <c r="AT258" s="172">
        <f ca="1">IF(OR($D258&lt;&gt;"Serviço",AND(AUTOEVENTO="Manual",$M258=$A$15)),0,
         IF(OFFSET(CRONOPLE!$F$15,$M258-$A$15,AT$13)="",10^12,OFFSET(CRONOPLE!$F$15,$M258-$A$15,AT$13)))</f>
        <v>1000000000000</v>
      </c>
      <c r="AU258" s="172">
        <f ca="1">IF(OR($D258&lt;&gt;"Serviço",AND(AUTOEVENTO="Manual",$M258=$A$15)),0,
         IF(OFFSET(CRONOPLE!$F$15,$M258-$A$15,AU$13)="",10^12,OFFSET(CRONOPLE!$F$15,$M258-$A$15,AU$13)))</f>
        <v>1000000000000</v>
      </c>
      <c r="AV258" s="172">
        <f ca="1">IF(OR($D258&lt;&gt;"Serviço",AND(AUTOEVENTO="Manual",$M258=$A$15)),0,
         IF(OFFSET(CRONOPLE!$F$15,$M258-$A$15,AV$13)="",10^12,OFFSET(CRONOPLE!$F$15,$M258-$A$15,AV$13)))</f>
        <v>1000000000000</v>
      </c>
      <c r="AX258" s="173">
        <f ca="1">IF(OR($D258&lt;&gt;"Serviço",AND(AUTOEVENTO="Manual",$M258=$A$15),$M258&gt;(ROW(PLE.lastrow)-ROW(PLE.firstrow))),0,
           IF(OFFSET(PLE!$G$15,$M258-$A$15,AX$13)="",10^12,OFFSET(PLE!$G$15,$M258-$A$15,AX$13)))</f>
        <v>1000000000000</v>
      </c>
      <c r="AY258" s="173">
        <f ca="1">IF(OR($D258&lt;&gt;"Serviço",AND(AUTOEVENTO="Manual",$M258=$A$15),$M258&gt;(ROW(PLE.lastrow)-ROW(PLE.firstrow))),0,
           IF(OFFSET(PLE!$G$15,$M258-$A$15,AY$13)="",10^12,OFFSET(PLE!$G$15,$M258-$A$15,AY$13)))</f>
        <v>1000000000000</v>
      </c>
      <c r="AZ258" s="173">
        <f ca="1">IF(OR($D258&lt;&gt;"Serviço",AND(AUTOEVENTO="Manual",$M258=$A$15),$M258&gt;(ROW(PLE.lastrow)-ROW(PLE.firstrow))),0,
           IF(OFFSET(PLE!$G$15,$M258-$A$15,AZ$13)="",10^12,OFFSET(PLE!$G$15,$M258-$A$15,AZ$13)))</f>
        <v>1000000000000</v>
      </c>
      <c r="BA258" s="173">
        <f ca="1">IF(OR($D258&lt;&gt;"Serviço",AND(AUTOEVENTO="Manual",$M258=$A$15),$M258&gt;(ROW(PLE.lastrow)-ROW(PLE.firstrow))),0,
           IF(OFFSET(PLE!$G$15,$M258-$A$15,BA$13)="",10^12,OFFSET(PLE!$G$15,$M258-$A$15,BA$13)))</f>
        <v>1000000000000</v>
      </c>
      <c r="BB258" s="173">
        <f ca="1">IF(OR($D258&lt;&gt;"Serviço",AND(AUTOEVENTO="Manual",$M258=$A$15),$M258&gt;(ROW(PLE.lastrow)-ROW(PLE.firstrow))),0,
           IF(OFFSET(PLE!$G$15,$M258-$A$15,BB$13)="",10^12,OFFSET(PLE!$G$15,$M258-$A$15,BB$13)))</f>
        <v>1000000000000</v>
      </c>
      <c r="BC258" s="173">
        <f ca="1">IF(OR($D258&lt;&gt;"Serviço",AND(AUTOEVENTO="Manual",$M258=$A$15),$M258&gt;(ROW(PLE.lastrow)-ROW(PLE.firstrow))),0,
           IF(OFFSET(PLE!$G$15,$M258-$A$15,BC$13)="",10^12,OFFSET(PLE!$G$15,$M258-$A$15,BC$13)))</f>
        <v>1000000000000</v>
      </c>
      <c r="BD258" s="173">
        <f ca="1">IF(OR($D258&lt;&gt;"Serviço",AND(AUTOEVENTO="Manual",$M258=$A$15),$M258&gt;(ROW(PLE.lastrow)-ROW(PLE.firstrow))),0,
           IF(OFFSET(PLE!$G$15,$M258-$A$15,BD$13)="",10^12,OFFSET(PLE!$G$15,$M258-$A$15,BD$13)))</f>
        <v>1000000000000</v>
      </c>
      <c r="BE258" s="173">
        <f ca="1">IF(OR($D258&lt;&gt;"Serviço",AND(AUTOEVENTO="Manual",$M258=$A$15),$M258&gt;(ROW(PLE.lastrow)-ROW(PLE.firstrow))),0,
           IF(OFFSET(PLE!$G$15,$M258-$A$15,BE$13)="",10^12,OFFSET(PLE!$G$15,$M258-$A$15,BE$13)))</f>
        <v>1000000000000</v>
      </c>
      <c r="BF258" s="173">
        <f ca="1">IF(OR($D258&lt;&gt;"Serviço",AND(AUTOEVENTO="Manual",$M258=$A$15),$M258&gt;(ROW(PLE.lastrow)-ROW(PLE.firstrow))),0,
           IF(OFFSET(PLE!$G$15,$M258-$A$15,BF$13)="",10^12,OFFSET(PLE!$G$15,$M258-$A$15,BF$13)))</f>
        <v>1000000000000</v>
      </c>
      <c r="BG258" s="173">
        <f ca="1">IF(OR($D258&lt;&gt;"Serviço",AND(AUTOEVENTO="Manual",$M258=$A$15),$M258&gt;(ROW(PLE.lastrow)-ROW(PLE.firstrow))),0,
           IF(OFFSET(PLE!$G$15,$M258-$A$15,BG$13)="",10^12,OFFSET(PLE!$G$15,$M258-$A$15,BG$13)))</f>
        <v>1000000000000</v>
      </c>
    </row>
    <row r="259" spans="1:59" ht="38.25" x14ac:dyDescent="0.2">
      <c r="A259" s="7" t="str">
        <f t="shared" ca="1" si="11"/>
        <v>239</v>
      </c>
      <c r="B259" s="7" t="str">
        <f ca="1">OFFSET(ORÇAMENTO!C$15,ROW(B259)-ROW(B$15),0)</f>
        <v>S</v>
      </c>
      <c r="C259" s="7" t="str">
        <f ca="1">OFFSET(ORÇAMENTO!L$15,ROW(C259)-ROW(C$15),0)</f>
        <v/>
      </c>
      <c r="D259" s="117" t="str">
        <f ca="1">OFFSET(ORÇAMENTO!N$15,ROW(D259)-ROW(D$15),0)</f>
        <v>Serviço</v>
      </c>
      <c r="E259" s="118" t="str">
        <f ca="1">OFFSET(ORÇAMENTO!O$15,ROW(E259)-ROW(E$15),0)</f>
        <v>-</v>
      </c>
      <c r="F259" s="164" t="str">
        <f ca="1">OFFSET(ORÇAMENTO!R$15,ROW(F259)-ROW(F$15),0)</f>
        <v>JOELHO 90 GRAUS, PVC, SERIE R, ÁGUA PLUVIAL, DN 100 MM, JUNTA ELÁSTICA, FORNECIDO E INSTALADO EM RAMAL DE ENCAMINHAMENTO. AF_06/2022</v>
      </c>
      <c r="G259" s="165" t="str">
        <f ca="1">IF($D259&lt;&gt;"Serviço","",OFFSET(ORÇAMENTO!S$15,ROW(G259)-ROW(G$15),0))</f>
        <v>UN</v>
      </c>
      <c r="H259" s="123">
        <f ca="1">IF($D259&lt;&gt;"Serviço",0,IF(ACOMPANHAMENTO="BM",ROUND(OFFSET(ORÇAMENTO!AJ$15,ROW(H259)-ROW(H$15),0),15-13*ORÇAMENTO!$AF$7),SUMPRODUCT(($Q$1:$AA$1=1)*ROUND($Q259:$AA259,15-13*ORÇAMENTO!$AF$7))))</f>
        <v>5</v>
      </c>
      <c r="I259" s="469"/>
      <c r="J259" s="577" t="str" cm="1">
        <f t="array" aca="1" ref="J259" ca="1">IF(B259&lt;&gt;"S","",IF(AND(ACOMPANHAMENTO="PLE",AUTOEVENTO="Manual",OR(H259&gt;0,ORÇAMENTO!AC259="QUANT."),OR(K259="",M259=0,N259="")),"►",IF(AND(ACOMPANHAMENTO="PLE",ORÇAMENTO!AC259="QUANT."),"►►",IF(AND(COUNTIF($P$11:$AA$11,"▼")=0,H259&gt;0,I259=""),"◄",""))))</f>
        <v>◄</v>
      </c>
      <c r="K259" s="626"/>
      <c r="L259" s="166" t="s">
        <v>765</v>
      </c>
      <c r="M259" s="167">
        <f ca="1">IF($D259&lt;&gt;"Serviço","",
          IF(AUTOEVENTO="manual",$A259,
                IF(ISERROR(MATCH($A259,$A$15:OFFSET($A259,-1,0),0)),MAX($M$15:OFFSET(M259,-1,0))+1,
                      INDEX($M$15:OFFSET(M259,-1,0),MATCH($A259,$A$15:OFFSET($A259,-1,0),0)))))</f>
        <v>15</v>
      </c>
      <c r="N259" s="168" t="str">
        <f ca="1">IF($D259&lt;&gt;"Serviço","",
         IF(AUTOEVENTO="Manual",
                IF($A259=0,"&lt;-- defina o número do agrupador",
                       OFFSET(EVENTOS!$D$15,$A259-$A$15,0)),
                OFFSET($F$15,$A259,0)))</f>
        <v>INSTALAÇÕES PLUVIAIS</v>
      </c>
      <c r="O259" s="169"/>
      <c r="Q259" s="169"/>
      <c r="R259" s="170"/>
      <c r="S259" s="170"/>
      <c r="T259" s="170"/>
      <c r="U259" s="170"/>
      <c r="V259" s="170"/>
      <c r="W259" s="170"/>
      <c r="X259" s="170"/>
      <c r="Y259" s="170"/>
      <c r="Z259" s="171"/>
      <c r="AB259" s="454">
        <f ca="1">IF(AND($D259="Serviço",AB$12&lt;&gt;0,$H259&gt;0,OR(AUTOEVENTO&lt;&gt;"manual",$M259&lt;&gt;$A$15)),
        IF(Import.TipoArredondamento&lt;&gt;"TransfereGOV",
              ROUND(OFFSET($P259,0,AB$13),15-13*ORÇAMENTO!$AF$7)/$H259*OFFSET(ORÇAMENTO!$X$15,ROW(AB259)-ROW(AB$15),0),
              ROUND(ROUND(OFFSET($P259,0,AB$13),15-13*ORÇAMENTO!$AF$7)*OFFSET(ORÇAMENTO!$W$15,ROW(AB259)-ROW(AB$15),0),15-13*ORÇAMENTO!$AF$11)),
         0)</f>
        <v>0</v>
      </c>
      <c r="AC259" s="454">
        <f ca="1">IF(AND($D259="Serviço",AC$12&lt;&gt;0,$H259&gt;0,OR(AUTOEVENTO&lt;&gt;"manual",$M259&lt;&gt;$A$15)),
        IF(Import.TipoArredondamento&lt;&gt;"TransfereGOV",
              ROUND(OFFSET($P259,0,AC$13),15-13*ORÇAMENTO!$AF$7)/$H259*OFFSET(ORÇAMENTO!$X$15,ROW(AC259)-ROW(AC$15),0),
              ROUND(ROUND(OFFSET($P259,0,AC$13),15-13*ORÇAMENTO!$AF$7)*OFFSET(ORÇAMENTO!$W$15,ROW(AC259)-ROW(AC$15),0),15-13*ORÇAMENTO!$AF$11)),
         0)</f>
        <v>0</v>
      </c>
      <c r="AD259" s="454">
        <f ca="1">IF(AND($D259="Serviço",AD$12&lt;&gt;0,$H259&gt;0,OR(AUTOEVENTO&lt;&gt;"manual",$M259&lt;&gt;$A$15)),
        IF(Import.TipoArredondamento&lt;&gt;"TransfereGOV",
              ROUND(OFFSET($P259,0,AD$13),15-13*ORÇAMENTO!$AF$7)/$H259*OFFSET(ORÇAMENTO!$X$15,ROW(AD259)-ROW(AD$15),0),
              ROUND(ROUND(OFFSET($P259,0,AD$13),15-13*ORÇAMENTO!$AF$7)*OFFSET(ORÇAMENTO!$W$15,ROW(AD259)-ROW(AD$15),0),15-13*ORÇAMENTO!$AF$11)),
         0)</f>
        <v>0</v>
      </c>
      <c r="AE259" s="454">
        <f ca="1">IF(AND($D259="Serviço",AE$12&lt;&gt;0,$H259&gt;0,OR(AUTOEVENTO&lt;&gt;"manual",$M259&lt;&gt;$A$15)),
        IF(Import.TipoArredondamento&lt;&gt;"TransfereGOV",
              ROUND(OFFSET($P259,0,AE$13),15-13*ORÇAMENTO!$AF$7)/$H259*OFFSET(ORÇAMENTO!$X$15,ROW(AE259)-ROW(AE$15),0),
              ROUND(ROUND(OFFSET($P259,0,AE$13),15-13*ORÇAMENTO!$AF$7)*OFFSET(ORÇAMENTO!$W$15,ROW(AE259)-ROW(AE$15),0),15-13*ORÇAMENTO!$AF$11)),
         0)</f>
        <v>0</v>
      </c>
      <c r="AF259" s="454">
        <f ca="1">IF(AND($D259="Serviço",AF$12&lt;&gt;0,$H259&gt;0,OR(AUTOEVENTO&lt;&gt;"manual",$M259&lt;&gt;$A$15)),
        IF(Import.TipoArredondamento&lt;&gt;"TransfereGOV",
              ROUND(OFFSET($P259,0,AF$13),15-13*ORÇAMENTO!$AF$7)/$H259*OFFSET(ORÇAMENTO!$X$15,ROW(AF259)-ROW(AF$15),0),
              ROUND(ROUND(OFFSET($P259,0,AF$13),15-13*ORÇAMENTO!$AF$7)*OFFSET(ORÇAMENTO!$W$15,ROW(AF259)-ROW(AF$15),0),15-13*ORÇAMENTO!$AF$11)),
         0)</f>
        <v>0</v>
      </c>
      <c r="AG259" s="454">
        <f ca="1">IF(AND($D259="Serviço",AG$12&lt;&gt;0,$H259&gt;0,OR(AUTOEVENTO&lt;&gt;"manual",$M259&lt;&gt;$A$15)),
        IF(Import.TipoArredondamento&lt;&gt;"TransfereGOV",
              ROUND(OFFSET($P259,0,AG$13),15-13*ORÇAMENTO!$AF$7)/$H259*OFFSET(ORÇAMENTO!$X$15,ROW(AG259)-ROW(AG$15),0),
              ROUND(ROUND(OFFSET($P259,0,AG$13),15-13*ORÇAMENTO!$AF$7)*OFFSET(ORÇAMENTO!$W$15,ROW(AG259)-ROW(AG$15),0),15-13*ORÇAMENTO!$AF$11)),
         0)</f>
        <v>0</v>
      </c>
      <c r="AH259" s="454">
        <f ca="1">IF(AND($D259="Serviço",AH$12&lt;&gt;0,$H259&gt;0,OR(AUTOEVENTO&lt;&gt;"manual",$M259&lt;&gt;$A$15)),
        IF(Import.TipoArredondamento&lt;&gt;"TransfereGOV",
              ROUND(OFFSET($P259,0,AH$13),15-13*ORÇAMENTO!$AF$7)/$H259*OFFSET(ORÇAMENTO!$X$15,ROW(AH259)-ROW(AH$15),0),
              ROUND(ROUND(OFFSET($P259,0,AH$13),15-13*ORÇAMENTO!$AF$7)*OFFSET(ORÇAMENTO!$W$15,ROW(AH259)-ROW(AH$15),0),15-13*ORÇAMENTO!$AF$11)),
         0)</f>
        <v>0</v>
      </c>
      <c r="AI259" s="454">
        <f ca="1">IF(AND($D259="Serviço",AI$12&lt;&gt;0,$H259&gt;0,OR(AUTOEVENTO&lt;&gt;"manual",$M259&lt;&gt;$A$15)),
        IF(Import.TipoArredondamento&lt;&gt;"TransfereGOV",
              ROUND(OFFSET($P259,0,AI$13),15-13*ORÇAMENTO!$AF$7)/$H259*OFFSET(ORÇAMENTO!$X$15,ROW(AI259)-ROW(AI$15),0),
              ROUND(ROUND(OFFSET($P259,0,AI$13),15-13*ORÇAMENTO!$AF$7)*OFFSET(ORÇAMENTO!$W$15,ROW(AI259)-ROW(AI$15),0),15-13*ORÇAMENTO!$AF$11)),
         0)</f>
        <v>0</v>
      </c>
      <c r="AJ259" s="454">
        <f ca="1">IF(AND($D259="Serviço",AJ$12&lt;&gt;0,$H259&gt;0,OR(AUTOEVENTO&lt;&gt;"manual",$M259&lt;&gt;$A$15)),
        IF(Import.TipoArredondamento&lt;&gt;"TransfereGOV",
              ROUND(OFFSET($P259,0,AJ$13),15-13*ORÇAMENTO!$AF$7)/$H259*OFFSET(ORÇAMENTO!$X$15,ROW(AJ259)-ROW(AJ$15),0),
              ROUND(ROUND(OFFSET($P259,0,AJ$13),15-13*ORÇAMENTO!$AF$7)*OFFSET(ORÇAMENTO!$W$15,ROW(AJ259)-ROW(AJ$15),0),15-13*ORÇAMENTO!$AF$11)),
         0)</f>
        <v>0</v>
      </c>
      <c r="AK259" s="454">
        <f ca="1">IF(AND($D259="Serviço",AK$12&lt;&gt;0,$H259&gt;0,OR(AUTOEVENTO&lt;&gt;"manual",$M259&lt;&gt;$A$15)),
        IF(Import.TipoArredondamento&lt;&gt;"TransfereGOV",
              ROUND(OFFSET($P259,0,AK$13),15-13*ORÇAMENTO!$AF$7)/$H259*OFFSET(ORÇAMENTO!$X$15,ROW(AK259)-ROW(AK$15),0),
              ROUND(ROUND(OFFSET($P259,0,AK$13),15-13*ORÇAMENTO!$AF$7)*OFFSET(ORÇAMENTO!$W$15,ROW(AK259)-ROW(AK$15),0),15-13*ORÇAMENTO!$AF$11)),
         0)</f>
        <v>0</v>
      </c>
      <c r="AM259" s="172">
        <f ca="1">IF(OR($D259&lt;&gt;"Serviço",AND(AUTOEVENTO="Manual",$M259=$A$15)),0,
         IF(OFFSET(CRONOPLE!$F$15,$M259-$A$15,AM$13)="",10^12,OFFSET(CRONOPLE!$F$15,$M259-$A$15,AM$13)))</f>
        <v>1000000000000</v>
      </c>
      <c r="AN259" s="172">
        <f ca="1">IF(OR($D259&lt;&gt;"Serviço",AND(AUTOEVENTO="Manual",$M259=$A$15)),0,
         IF(OFFSET(CRONOPLE!$F$15,$M259-$A$15,AN$13)="",10^12,OFFSET(CRONOPLE!$F$15,$M259-$A$15,AN$13)))</f>
        <v>1000000000000</v>
      </c>
      <c r="AO259" s="172">
        <f ca="1">IF(OR($D259&lt;&gt;"Serviço",AND(AUTOEVENTO="Manual",$M259=$A$15)),0,
         IF(OFFSET(CRONOPLE!$F$15,$M259-$A$15,AO$13)="",10^12,OFFSET(CRONOPLE!$F$15,$M259-$A$15,AO$13)))</f>
        <v>1000000000000</v>
      </c>
      <c r="AP259" s="172">
        <f ca="1">IF(OR($D259&lt;&gt;"Serviço",AND(AUTOEVENTO="Manual",$M259=$A$15)),0,
         IF(OFFSET(CRONOPLE!$F$15,$M259-$A$15,AP$13)="",10^12,OFFSET(CRONOPLE!$F$15,$M259-$A$15,AP$13)))</f>
        <v>1000000000000</v>
      </c>
      <c r="AQ259" s="172">
        <f ca="1">IF(OR($D259&lt;&gt;"Serviço",AND(AUTOEVENTO="Manual",$M259=$A$15)),0,
         IF(OFFSET(CRONOPLE!$F$15,$M259-$A$15,AQ$13)="",10^12,OFFSET(CRONOPLE!$F$15,$M259-$A$15,AQ$13)))</f>
        <v>1000000000000</v>
      </c>
      <c r="AR259" s="172">
        <f ca="1">IF(OR($D259&lt;&gt;"Serviço",AND(AUTOEVENTO="Manual",$M259=$A$15)),0,
         IF(OFFSET(CRONOPLE!$F$15,$M259-$A$15,AR$13)="",10^12,OFFSET(CRONOPLE!$F$15,$M259-$A$15,AR$13)))</f>
        <v>1000000000000</v>
      </c>
      <c r="AS259" s="172">
        <f ca="1">IF(OR($D259&lt;&gt;"Serviço",AND(AUTOEVENTO="Manual",$M259=$A$15)),0,
         IF(OFFSET(CRONOPLE!$F$15,$M259-$A$15,AS$13)="",10^12,OFFSET(CRONOPLE!$F$15,$M259-$A$15,AS$13)))</f>
        <v>1000000000000</v>
      </c>
      <c r="AT259" s="172">
        <f ca="1">IF(OR($D259&lt;&gt;"Serviço",AND(AUTOEVENTO="Manual",$M259=$A$15)),0,
         IF(OFFSET(CRONOPLE!$F$15,$M259-$A$15,AT$13)="",10^12,OFFSET(CRONOPLE!$F$15,$M259-$A$15,AT$13)))</f>
        <v>1000000000000</v>
      </c>
      <c r="AU259" s="172">
        <f ca="1">IF(OR($D259&lt;&gt;"Serviço",AND(AUTOEVENTO="Manual",$M259=$A$15)),0,
         IF(OFFSET(CRONOPLE!$F$15,$M259-$A$15,AU$13)="",10^12,OFFSET(CRONOPLE!$F$15,$M259-$A$15,AU$13)))</f>
        <v>1000000000000</v>
      </c>
      <c r="AV259" s="172">
        <f ca="1">IF(OR($D259&lt;&gt;"Serviço",AND(AUTOEVENTO="Manual",$M259=$A$15)),0,
         IF(OFFSET(CRONOPLE!$F$15,$M259-$A$15,AV$13)="",10^12,OFFSET(CRONOPLE!$F$15,$M259-$A$15,AV$13)))</f>
        <v>1000000000000</v>
      </c>
      <c r="AX259" s="173">
        <f ca="1">IF(OR($D259&lt;&gt;"Serviço",AND(AUTOEVENTO="Manual",$M259=$A$15),$M259&gt;(ROW(PLE.lastrow)-ROW(PLE.firstrow))),0,
           IF(OFFSET(PLE!$G$15,$M259-$A$15,AX$13)="",10^12,OFFSET(PLE!$G$15,$M259-$A$15,AX$13)))</f>
        <v>1000000000000</v>
      </c>
      <c r="AY259" s="173">
        <f ca="1">IF(OR($D259&lt;&gt;"Serviço",AND(AUTOEVENTO="Manual",$M259=$A$15),$M259&gt;(ROW(PLE.lastrow)-ROW(PLE.firstrow))),0,
           IF(OFFSET(PLE!$G$15,$M259-$A$15,AY$13)="",10^12,OFFSET(PLE!$G$15,$M259-$A$15,AY$13)))</f>
        <v>1000000000000</v>
      </c>
      <c r="AZ259" s="173">
        <f ca="1">IF(OR($D259&lt;&gt;"Serviço",AND(AUTOEVENTO="Manual",$M259=$A$15),$M259&gt;(ROW(PLE.lastrow)-ROW(PLE.firstrow))),0,
           IF(OFFSET(PLE!$G$15,$M259-$A$15,AZ$13)="",10^12,OFFSET(PLE!$G$15,$M259-$A$15,AZ$13)))</f>
        <v>1000000000000</v>
      </c>
      <c r="BA259" s="173">
        <f ca="1">IF(OR($D259&lt;&gt;"Serviço",AND(AUTOEVENTO="Manual",$M259=$A$15),$M259&gt;(ROW(PLE.lastrow)-ROW(PLE.firstrow))),0,
           IF(OFFSET(PLE!$G$15,$M259-$A$15,BA$13)="",10^12,OFFSET(PLE!$G$15,$M259-$A$15,BA$13)))</f>
        <v>1000000000000</v>
      </c>
      <c r="BB259" s="173">
        <f ca="1">IF(OR($D259&lt;&gt;"Serviço",AND(AUTOEVENTO="Manual",$M259=$A$15),$M259&gt;(ROW(PLE.lastrow)-ROW(PLE.firstrow))),0,
           IF(OFFSET(PLE!$G$15,$M259-$A$15,BB$13)="",10^12,OFFSET(PLE!$G$15,$M259-$A$15,BB$13)))</f>
        <v>1000000000000</v>
      </c>
      <c r="BC259" s="173">
        <f ca="1">IF(OR($D259&lt;&gt;"Serviço",AND(AUTOEVENTO="Manual",$M259=$A$15),$M259&gt;(ROW(PLE.lastrow)-ROW(PLE.firstrow))),0,
           IF(OFFSET(PLE!$G$15,$M259-$A$15,BC$13)="",10^12,OFFSET(PLE!$G$15,$M259-$A$15,BC$13)))</f>
        <v>1000000000000</v>
      </c>
      <c r="BD259" s="173">
        <f ca="1">IF(OR($D259&lt;&gt;"Serviço",AND(AUTOEVENTO="Manual",$M259=$A$15),$M259&gt;(ROW(PLE.lastrow)-ROW(PLE.firstrow))),0,
           IF(OFFSET(PLE!$G$15,$M259-$A$15,BD$13)="",10^12,OFFSET(PLE!$G$15,$M259-$A$15,BD$13)))</f>
        <v>1000000000000</v>
      </c>
      <c r="BE259" s="173">
        <f ca="1">IF(OR($D259&lt;&gt;"Serviço",AND(AUTOEVENTO="Manual",$M259=$A$15),$M259&gt;(ROW(PLE.lastrow)-ROW(PLE.firstrow))),0,
           IF(OFFSET(PLE!$G$15,$M259-$A$15,BE$13)="",10^12,OFFSET(PLE!$G$15,$M259-$A$15,BE$13)))</f>
        <v>1000000000000</v>
      </c>
      <c r="BF259" s="173">
        <f ca="1">IF(OR($D259&lt;&gt;"Serviço",AND(AUTOEVENTO="Manual",$M259=$A$15),$M259&gt;(ROW(PLE.lastrow)-ROW(PLE.firstrow))),0,
           IF(OFFSET(PLE!$G$15,$M259-$A$15,BF$13)="",10^12,OFFSET(PLE!$G$15,$M259-$A$15,BF$13)))</f>
        <v>1000000000000</v>
      </c>
      <c r="BG259" s="173">
        <f ca="1">IF(OR($D259&lt;&gt;"Serviço",AND(AUTOEVENTO="Manual",$M259=$A$15),$M259&gt;(ROW(PLE.lastrow)-ROW(PLE.firstrow))),0,
           IF(OFFSET(PLE!$G$15,$M259-$A$15,BG$13)="",10^12,OFFSET(PLE!$G$15,$M259-$A$15,BG$13)))</f>
        <v>1000000000000</v>
      </c>
    </row>
    <row r="260" spans="1:59" ht="38.25" x14ac:dyDescent="0.2">
      <c r="A260" s="7" t="str">
        <f t="shared" ca="1" si="11"/>
        <v>239</v>
      </c>
      <c r="B260" s="7" t="str">
        <f ca="1">OFFSET(ORÇAMENTO!C$15,ROW(B260)-ROW(B$15),0)</f>
        <v>S</v>
      </c>
      <c r="C260" s="7" t="str">
        <f ca="1">OFFSET(ORÇAMENTO!L$15,ROW(C260)-ROW(C$15),0)</f>
        <v/>
      </c>
      <c r="D260" s="117" t="str">
        <f ca="1">OFFSET(ORÇAMENTO!N$15,ROW(D260)-ROW(D$15),0)</f>
        <v>Serviço</v>
      </c>
      <c r="E260" s="118" t="str">
        <f ca="1">OFFSET(ORÇAMENTO!O$15,ROW(E260)-ROW(E$15),0)</f>
        <v>-</v>
      </c>
      <c r="F260" s="164" t="str">
        <f ca="1">OFFSET(ORÇAMENTO!R$15,ROW(F260)-ROW(F$15),0)</f>
        <v>JOELHO 90 GRAUS, PVC, SERIE R, ÁGUA PLUVIAL, DN 75 MM, JUNTA ELÁSTICA, FORNECIDO E INSTALADO EM RAMAL DE ENCAMINHAMENTO. AF_06/2022</v>
      </c>
      <c r="G260" s="165" t="str">
        <f ca="1">IF($D260&lt;&gt;"Serviço","",OFFSET(ORÇAMENTO!S$15,ROW(G260)-ROW(G$15),0))</f>
        <v>UN</v>
      </c>
      <c r="H260" s="123">
        <f ca="1">IF($D260&lt;&gt;"Serviço",0,IF(ACOMPANHAMENTO="BM",ROUND(OFFSET(ORÇAMENTO!AJ$15,ROW(H260)-ROW(H$15),0),15-13*ORÇAMENTO!$AF$7),SUMPRODUCT(($Q$1:$AA$1=1)*ROUND($Q260:$AA260,15-13*ORÇAMENTO!$AF$7))))</f>
        <v>75</v>
      </c>
      <c r="I260" s="469"/>
      <c r="J260" s="577" t="str" cm="1">
        <f t="array" aca="1" ref="J260" ca="1">IF(B260&lt;&gt;"S","",IF(AND(ACOMPANHAMENTO="PLE",AUTOEVENTO="Manual",OR(H260&gt;0,ORÇAMENTO!AC260="QUANT."),OR(K260="",M260=0,N260="")),"►",IF(AND(ACOMPANHAMENTO="PLE",ORÇAMENTO!AC260="QUANT."),"►►",IF(AND(COUNTIF($P$11:$AA$11,"▼")=0,H260&gt;0,I260=""),"◄",""))))</f>
        <v>◄</v>
      </c>
      <c r="K260" s="626"/>
      <c r="L260" s="166" t="s">
        <v>765</v>
      </c>
      <c r="M260" s="167">
        <f ca="1">IF($D260&lt;&gt;"Serviço","",
          IF(AUTOEVENTO="manual",$A260,
                IF(ISERROR(MATCH($A260,$A$15:OFFSET($A260,-1,0),0)),MAX($M$15:OFFSET(M260,-1,0))+1,
                      INDEX($M$15:OFFSET(M260,-1,0),MATCH($A260,$A$15:OFFSET($A260,-1,0),0)))))</f>
        <v>15</v>
      </c>
      <c r="N260" s="168" t="str">
        <f ca="1">IF($D260&lt;&gt;"Serviço","",
         IF(AUTOEVENTO="Manual",
                IF($A260=0,"&lt;-- defina o número do agrupador",
                       OFFSET(EVENTOS!$D$15,$A260-$A$15,0)),
                OFFSET($F$15,$A260,0)))</f>
        <v>INSTALAÇÕES PLUVIAIS</v>
      </c>
      <c r="O260" s="169"/>
      <c r="Q260" s="169"/>
      <c r="R260" s="170"/>
      <c r="S260" s="170"/>
      <c r="T260" s="170"/>
      <c r="U260" s="170"/>
      <c r="V260" s="170"/>
      <c r="W260" s="170"/>
      <c r="X260" s="170"/>
      <c r="Y260" s="170"/>
      <c r="Z260" s="171"/>
      <c r="AB260" s="454">
        <f ca="1">IF(AND($D260="Serviço",AB$12&lt;&gt;0,$H260&gt;0,OR(AUTOEVENTO&lt;&gt;"manual",$M260&lt;&gt;$A$15)),
        IF(Import.TipoArredondamento&lt;&gt;"TransfereGOV",
              ROUND(OFFSET($P260,0,AB$13),15-13*ORÇAMENTO!$AF$7)/$H260*OFFSET(ORÇAMENTO!$X$15,ROW(AB260)-ROW(AB$15),0),
              ROUND(ROUND(OFFSET($P260,0,AB$13),15-13*ORÇAMENTO!$AF$7)*OFFSET(ORÇAMENTO!$W$15,ROW(AB260)-ROW(AB$15),0),15-13*ORÇAMENTO!$AF$11)),
         0)</f>
        <v>0</v>
      </c>
      <c r="AC260" s="454">
        <f ca="1">IF(AND($D260="Serviço",AC$12&lt;&gt;0,$H260&gt;0,OR(AUTOEVENTO&lt;&gt;"manual",$M260&lt;&gt;$A$15)),
        IF(Import.TipoArredondamento&lt;&gt;"TransfereGOV",
              ROUND(OFFSET($P260,0,AC$13),15-13*ORÇAMENTO!$AF$7)/$H260*OFFSET(ORÇAMENTO!$X$15,ROW(AC260)-ROW(AC$15),0),
              ROUND(ROUND(OFFSET($P260,0,AC$13),15-13*ORÇAMENTO!$AF$7)*OFFSET(ORÇAMENTO!$W$15,ROW(AC260)-ROW(AC$15),0),15-13*ORÇAMENTO!$AF$11)),
         0)</f>
        <v>0</v>
      </c>
      <c r="AD260" s="454">
        <f ca="1">IF(AND($D260="Serviço",AD$12&lt;&gt;0,$H260&gt;0,OR(AUTOEVENTO&lt;&gt;"manual",$M260&lt;&gt;$A$15)),
        IF(Import.TipoArredondamento&lt;&gt;"TransfereGOV",
              ROUND(OFFSET($P260,0,AD$13),15-13*ORÇAMENTO!$AF$7)/$H260*OFFSET(ORÇAMENTO!$X$15,ROW(AD260)-ROW(AD$15),0),
              ROUND(ROUND(OFFSET($P260,0,AD$13),15-13*ORÇAMENTO!$AF$7)*OFFSET(ORÇAMENTO!$W$15,ROW(AD260)-ROW(AD$15),0),15-13*ORÇAMENTO!$AF$11)),
         0)</f>
        <v>0</v>
      </c>
      <c r="AE260" s="454">
        <f ca="1">IF(AND($D260="Serviço",AE$12&lt;&gt;0,$H260&gt;0,OR(AUTOEVENTO&lt;&gt;"manual",$M260&lt;&gt;$A$15)),
        IF(Import.TipoArredondamento&lt;&gt;"TransfereGOV",
              ROUND(OFFSET($P260,0,AE$13),15-13*ORÇAMENTO!$AF$7)/$H260*OFFSET(ORÇAMENTO!$X$15,ROW(AE260)-ROW(AE$15),0),
              ROUND(ROUND(OFFSET($P260,0,AE$13),15-13*ORÇAMENTO!$AF$7)*OFFSET(ORÇAMENTO!$W$15,ROW(AE260)-ROW(AE$15),0),15-13*ORÇAMENTO!$AF$11)),
         0)</f>
        <v>0</v>
      </c>
      <c r="AF260" s="454">
        <f ca="1">IF(AND($D260="Serviço",AF$12&lt;&gt;0,$H260&gt;0,OR(AUTOEVENTO&lt;&gt;"manual",$M260&lt;&gt;$A$15)),
        IF(Import.TipoArredondamento&lt;&gt;"TransfereGOV",
              ROUND(OFFSET($P260,0,AF$13),15-13*ORÇAMENTO!$AF$7)/$H260*OFFSET(ORÇAMENTO!$X$15,ROW(AF260)-ROW(AF$15),0),
              ROUND(ROUND(OFFSET($P260,0,AF$13),15-13*ORÇAMENTO!$AF$7)*OFFSET(ORÇAMENTO!$W$15,ROW(AF260)-ROW(AF$15),0),15-13*ORÇAMENTO!$AF$11)),
         0)</f>
        <v>0</v>
      </c>
      <c r="AG260" s="454">
        <f ca="1">IF(AND($D260="Serviço",AG$12&lt;&gt;0,$H260&gt;0,OR(AUTOEVENTO&lt;&gt;"manual",$M260&lt;&gt;$A$15)),
        IF(Import.TipoArredondamento&lt;&gt;"TransfereGOV",
              ROUND(OFFSET($P260,0,AG$13),15-13*ORÇAMENTO!$AF$7)/$H260*OFFSET(ORÇAMENTO!$X$15,ROW(AG260)-ROW(AG$15),0),
              ROUND(ROUND(OFFSET($P260,0,AG$13),15-13*ORÇAMENTO!$AF$7)*OFFSET(ORÇAMENTO!$W$15,ROW(AG260)-ROW(AG$15),0),15-13*ORÇAMENTO!$AF$11)),
         0)</f>
        <v>0</v>
      </c>
      <c r="AH260" s="454">
        <f ca="1">IF(AND($D260="Serviço",AH$12&lt;&gt;0,$H260&gt;0,OR(AUTOEVENTO&lt;&gt;"manual",$M260&lt;&gt;$A$15)),
        IF(Import.TipoArredondamento&lt;&gt;"TransfereGOV",
              ROUND(OFFSET($P260,0,AH$13),15-13*ORÇAMENTO!$AF$7)/$H260*OFFSET(ORÇAMENTO!$X$15,ROW(AH260)-ROW(AH$15),0),
              ROUND(ROUND(OFFSET($P260,0,AH$13),15-13*ORÇAMENTO!$AF$7)*OFFSET(ORÇAMENTO!$W$15,ROW(AH260)-ROW(AH$15),0),15-13*ORÇAMENTO!$AF$11)),
         0)</f>
        <v>0</v>
      </c>
      <c r="AI260" s="454">
        <f ca="1">IF(AND($D260="Serviço",AI$12&lt;&gt;0,$H260&gt;0,OR(AUTOEVENTO&lt;&gt;"manual",$M260&lt;&gt;$A$15)),
        IF(Import.TipoArredondamento&lt;&gt;"TransfereGOV",
              ROUND(OFFSET($P260,0,AI$13),15-13*ORÇAMENTO!$AF$7)/$H260*OFFSET(ORÇAMENTO!$X$15,ROW(AI260)-ROW(AI$15),0),
              ROUND(ROUND(OFFSET($P260,0,AI$13),15-13*ORÇAMENTO!$AF$7)*OFFSET(ORÇAMENTO!$W$15,ROW(AI260)-ROW(AI$15),0),15-13*ORÇAMENTO!$AF$11)),
         0)</f>
        <v>0</v>
      </c>
      <c r="AJ260" s="454">
        <f ca="1">IF(AND($D260="Serviço",AJ$12&lt;&gt;0,$H260&gt;0,OR(AUTOEVENTO&lt;&gt;"manual",$M260&lt;&gt;$A$15)),
        IF(Import.TipoArredondamento&lt;&gt;"TransfereGOV",
              ROUND(OFFSET($P260,0,AJ$13),15-13*ORÇAMENTO!$AF$7)/$H260*OFFSET(ORÇAMENTO!$X$15,ROW(AJ260)-ROW(AJ$15),0),
              ROUND(ROUND(OFFSET($P260,0,AJ$13),15-13*ORÇAMENTO!$AF$7)*OFFSET(ORÇAMENTO!$W$15,ROW(AJ260)-ROW(AJ$15),0),15-13*ORÇAMENTO!$AF$11)),
         0)</f>
        <v>0</v>
      </c>
      <c r="AK260" s="454">
        <f ca="1">IF(AND($D260="Serviço",AK$12&lt;&gt;0,$H260&gt;0,OR(AUTOEVENTO&lt;&gt;"manual",$M260&lt;&gt;$A$15)),
        IF(Import.TipoArredondamento&lt;&gt;"TransfereGOV",
              ROUND(OFFSET($P260,0,AK$13),15-13*ORÇAMENTO!$AF$7)/$H260*OFFSET(ORÇAMENTO!$X$15,ROW(AK260)-ROW(AK$15),0),
              ROUND(ROUND(OFFSET($P260,0,AK$13),15-13*ORÇAMENTO!$AF$7)*OFFSET(ORÇAMENTO!$W$15,ROW(AK260)-ROW(AK$15),0),15-13*ORÇAMENTO!$AF$11)),
         0)</f>
        <v>0</v>
      </c>
      <c r="AM260" s="172">
        <f ca="1">IF(OR($D260&lt;&gt;"Serviço",AND(AUTOEVENTO="Manual",$M260=$A$15)),0,
         IF(OFFSET(CRONOPLE!$F$15,$M260-$A$15,AM$13)="",10^12,OFFSET(CRONOPLE!$F$15,$M260-$A$15,AM$13)))</f>
        <v>1000000000000</v>
      </c>
      <c r="AN260" s="172">
        <f ca="1">IF(OR($D260&lt;&gt;"Serviço",AND(AUTOEVENTO="Manual",$M260=$A$15)),0,
         IF(OFFSET(CRONOPLE!$F$15,$M260-$A$15,AN$13)="",10^12,OFFSET(CRONOPLE!$F$15,$M260-$A$15,AN$13)))</f>
        <v>1000000000000</v>
      </c>
      <c r="AO260" s="172">
        <f ca="1">IF(OR($D260&lt;&gt;"Serviço",AND(AUTOEVENTO="Manual",$M260=$A$15)),0,
         IF(OFFSET(CRONOPLE!$F$15,$M260-$A$15,AO$13)="",10^12,OFFSET(CRONOPLE!$F$15,$M260-$A$15,AO$13)))</f>
        <v>1000000000000</v>
      </c>
      <c r="AP260" s="172">
        <f ca="1">IF(OR($D260&lt;&gt;"Serviço",AND(AUTOEVENTO="Manual",$M260=$A$15)),0,
         IF(OFFSET(CRONOPLE!$F$15,$M260-$A$15,AP$13)="",10^12,OFFSET(CRONOPLE!$F$15,$M260-$A$15,AP$13)))</f>
        <v>1000000000000</v>
      </c>
      <c r="AQ260" s="172">
        <f ca="1">IF(OR($D260&lt;&gt;"Serviço",AND(AUTOEVENTO="Manual",$M260=$A$15)),0,
         IF(OFFSET(CRONOPLE!$F$15,$M260-$A$15,AQ$13)="",10^12,OFFSET(CRONOPLE!$F$15,$M260-$A$15,AQ$13)))</f>
        <v>1000000000000</v>
      </c>
      <c r="AR260" s="172">
        <f ca="1">IF(OR($D260&lt;&gt;"Serviço",AND(AUTOEVENTO="Manual",$M260=$A$15)),0,
         IF(OFFSET(CRONOPLE!$F$15,$M260-$A$15,AR$13)="",10^12,OFFSET(CRONOPLE!$F$15,$M260-$A$15,AR$13)))</f>
        <v>1000000000000</v>
      </c>
      <c r="AS260" s="172">
        <f ca="1">IF(OR($D260&lt;&gt;"Serviço",AND(AUTOEVENTO="Manual",$M260=$A$15)),0,
         IF(OFFSET(CRONOPLE!$F$15,$M260-$A$15,AS$13)="",10^12,OFFSET(CRONOPLE!$F$15,$M260-$A$15,AS$13)))</f>
        <v>1000000000000</v>
      </c>
      <c r="AT260" s="172">
        <f ca="1">IF(OR($D260&lt;&gt;"Serviço",AND(AUTOEVENTO="Manual",$M260=$A$15)),0,
         IF(OFFSET(CRONOPLE!$F$15,$M260-$A$15,AT$13)="",10^12,OFFSET(CRONOPLE!$F$15,$M260-$A$15,AT$13)))</f>
        <v>1000000000000</v>
      </c>
      <c r="AU260" s="172">
        <f ca="1">IF(OR($D260&lt;&gt;"Serviço",AND(AUTOEVENTO="Manual",$M260=$A$15)),0,
         IF(OFFSET(CRONOPLE!$F$15,$M260-$A$15,AU$13)="",10^12,OFFSET(CRONOPLE!$F$15,$M260-$A$15,AU$13)))</f>
        <v>1000000000000</v>
      </c>
      <c r="AV260" s="172">
        <f ca="1">IF(OR($D260&lt;&gt;"Serviço",AND(AUTOEVENTO="Manual",$M260=$A$15)),0,
         IF(OFFSET(CRONOPLE!$F$15,$M260-$A$15,AV$13)="",10^12,OFFSET(CRONOPLE!$F$15,$M260-$A$15,AV$13)))</f>
        <v>1000000000000</v>
      </c>
      <c r="AX260" s="173">
        <f ca="1">IF(OR($D260&lt;&gt;"Serviço",AND(AUTOEVENTO="Manual",$M260=$A$15),$M260&gt;(ROW(PLE.lastrow)-ROW(PLE.firstrow))),0,
           IF(OFFSET(PLE!$G$15,$M260-$A$15,AX$13)="",10^12,OFFSET(PLE!$G$15,$M260-$A$15,AX$13)))</f>
        <v>1000000000000</v>
      </c>
      <c r="AY260" s="173">
        <f ca="1">IF(OR($D260&lt;&gt;"Serviço",AND(AUTOEVENTO="Manual",$M260=$A$15),$M260&gt;(ROW(PLE.lastrow)-ROW(PLE.firstrow))),0,
           IF(OFFSET(PLE!$G$15,$M260-$A$15,AY$13)="",10^12,OFFSET(PLE!$G$15,$M260-$A$15,AY$13)))</f>
        <v>1000000000000</v>
      </c>
      <c r="AZ260" s="173">
        <f ca="1">IF(OR($D260&lt;&gt;"Serviço",AND(AUTOEVENTO="Manual",$M260=$A$15),$M260&gt;(ROW(PLE.lastrow)-ROW(PLE.firstrow))),0,
           IF(OFFSET(PLE!$G$15,$M260-$A$15,AZ$13)="",10^12,OFFSET(PLE!$G$15,$M260-$A$15,AZ$13)))</f>
        <v>1000000000000</v>
      </c>
      <c r="BA260" s="173">
        <f ca="1">IF(OR($D260&lt;&gt;"Serviço",AND(AUTOEVENTO="Manual",$M260=$A$15),$M260&gt;(ROW(PLE.lastrow)-ROW(PLE.firstrow))),0,
           IF(OFFSET(PLE!$G$15,$M260-$A$15,BA$13)="",10^12,OFFSET(PLE!$G$15,$M260-$A$15,BA$13)))</f>
        <v>1000000000000</v>
      </c>
      <c r="BB260" s="173">
        <f ca="1">IF(OR($D260&lt;&gt;"Serviço",AND(AUTOEVENTO="Manual",$M260=$A$15),$M260&gt;(ROW(PLE.lastrow)-ROW(PLE.firstrow))),0,
           IF(OFFSET(PLE!$G$15,$M260-$A$15,BB$13)="",10^12,OFFSET(PLE!$G$15,$M260-$A$15,BB$13)))</f>
        <v>1000000000000</v>
      </c>
      <c r="BC260" s="173">
        <f ca="1">IF(OR($D260&lt;&gt;"Serviço",AND(AUTOEVENTO="Manual",$M260=$A$15),$M260&gt;(ROW(PLE.lastrow)-ROW(PLE.firstrow))),0,
           IF(OFFSET(PLE!$G$15,$M260-$A$15,BC$13)="",10^12,OFFSET(PLE!$G$15,$M260-$A$15,BC$13)))</f>
        <v>1000000000000</v>
      </c>
      <c r="BD260" s="173">
        <f ca="1">IF(OR($D260&lt;&gt;"Serviço",AND(AUTOEVENTO="Manual",$M260=$A$15),$M260&gt;(ROW(PLE.lastrow)-ROW(PLE.firstrow))),0,
           IF(OFFSET(PLE!$G$15,$M260-$A$15,BD$13)="",10^12,OFFSET(PLE!$G$15,$M260-$A$15,BD$13)))</f>
        <v>1000000000000</v>
      </c>
      <c r="BE260" s="173">
        <f ca="1">IF(OR($D260&lt;&gt;"Serviço",AND(AUTOEVENTO="Manual",$M260=$A$15),$M260&gt;(ROW(PLE.lastrow)-ROW(PLE.firstrow))),0,
           IF(OFFSET(PLE!$G$15,$M260-$A$15,BE$13)="",10^12,OFFSET(PLE!$G$15,$M260-$A$15,BE$13)))</f>
        <v>1000000000000</v>
      </c>
      <c r="BF260" s="173">
        <f ca="1">IF(OR($D260&lt;&gt;"Serviço",AND(AUTOEVENTO="Manual",$M260=$A$15),$M260&gt;(ROW(PLE.lastrow)-ROW(PLE.firstrow))),0,
           IF(OFFSET(PLE!$G$15,$M260-$A$15,BF$13)="",10^12,OFFSET(PLE!$G$15,$M260-$A$15,BF$13)))</f>
        <v>1000000000000</v>
      </c>
      <c r="BG260" s="173">
        <f ca="1">IF(OR($D260&lt;&gt;"Serviço",AND(AUTOEVENTO="Manual",$M260=$A$15),$M260&gt;(ROW(PLE.lastrow)-ROW(PLE.firstrow))),0,
           IF(OFFSET(PLE!$G$15,$M260-$A$15,BG$13)="",10^12,OFFSET(PLE!$G$15,$M260-$A$15,BG$13)))</f>
        <v>1000000000000</v>
      </c>
    </row>
    <row r="261" spans="1:59" ht="38.25" x14ac:dyDescent="0.2">
      <c r="A261" s="7" t="str">
        <f t="shared" ca="1" si="11"/>
        <v>239</v>
      </c>
      <c r="B261" s="7" t="str">
        <f ca="1">OFFSET(ORÇAMENTO!C$15,ROW(B261)-ROW(B$15),0)</f>
        <v>S</v>
      </c>
      <c r="C261" s="7" t="str">
        <f ca="1">OFFSET(ORÇAMENTO!L$15,ROW(C261)-ROW(C$15),0)</f>
        <v/>
      </c>
      <c r="D261" s="117" t="str">
        <f ca="1">OFFSET(ORÇAMENTO!N$15,ROW(D261)-ROW(D$15),0)</f>
        <v>Serviço</v>
      </c>
      <c r="E261" s="118" t="str">
        <f ca="1">OFFSET(ORÇAMENTO!O$15,ROW(E261)-ROW(E$15),0)</f>
        <v>-</v>
      </c>
      <c r="F261" s="164" t="str">
        <f ca="1">OFFSET(ORÇAMENTO!R$15,ROW(F261)-ROW(F$15),0)</f>
        <v>JUNÇÃO SIMPLES, PVC, SERIE R, ÁGUA PLUVIAL, DN 100 X 75 MM, JUNTA ELÁSTICA, FORNECIDO E INSTALADO EM RAMAL DE ENCAMINHAMENTO. AF_06/2022</v>
      </c>
      <c r="G261" s="165" t="str">
        <f ca="1">IF($D261&lt;&gt;"Serviço","",OFFSET(ORÇAMENTO!S$15,ROW(G261)-ROW(G$15),0))</f>
        <v>UN</v>
      </c>
      <c r="H261" s="123">
        <f ca="1">IF($D261&lt;&gt;"Serviço",0,IF(ACOMPANHAMENTO="BM",ROUND(OFFSET(ORÇAMENTO!AJ$15,ROW(H261)-ROW(H$15),0),15-13*ORÇAMENTO!$AF$7),SUMPRODUCT(($Q$1:$AA$1=1)*ROUND($Q261:$AA261,15-13*ORÇAMENTO!$AF$7))))</f>
        <v>8</v>
      </c>
      <c r="I261" s="469"/>
      <c r="J261" s="577" t="str" cm="1">
        <f t="array" aca="1" ref="J261" ca="1">IF(B261&lt;&gt;"S","",IF(AND(ACOMPANHAMENTO="PLE",AUTOEVENTO="Manual",OR(H261&gt;0,ORÇAMENTO!AC261="QUANT."),OR(K261="",M261=0,N261="")),"►",IF(AND(ACOMPANHAMENTO="PLE",ORÇAMENTO!AC261="QUANT."),"►►",IF(AND(COUNTIF($P$11:$AA$11,"▼")=0,H261&gt;0,I261=""),"◄",""))))</f>
        <v>◄</v>
      </c>
      <c r="K261" s="626"/>
      <c r="L261" s="166" t="s">
        <v>765</v>
      </c>
      <c r="M261" s="167">
        <f ca="1">IF($D261&lt;&gt;"Serviço","",
          IF(AUTOEVENTO="manual",$A261,
                IF(ISERROR(MATCH($A261,$A$15:OFFSET($A261,-1,0),0)),MAX($M$15:OFFSET(M261,-1,0))+1,
                      INDEX($M$15:OFFSET(M261,-1,0),MATCH($A261,$A$15:OFFSET($A261,-1,0),0)))))</f>
        <v>15</v>
      </c>
      <c r="N261" s="168" t="str">
        <f ca="1">IF($D261&lt;&gt;"Serviço","",
         IF(AUTOEVENTO="Manual",
                IF($A261=0,"&lt;-- defina o número do agrupador",
                       OFFSET(EVENTOS!$D$15,$A261-$A$15,0)),
                OFFSET($F$15,$A261,0)))</f>
        <v>INSTALAÇÕES PLUVIAIS</v>
      </c>
      <c r="O261" s="169"/>
      <c r="Q261" s="169"/>
      <c r="R261" s="170"/>
      <c r="S261" s="170"/>
      <c r="T261" s="170"/>
      <c r="U261" s="170"/>
      <c r="V261" s="170"/>
      <c r="W261" s="170"/>
      <c r="X261" s="170"/>
      <c r="Y261" s="170"/>
      <c r="Z261" s="171"/>
      <c r="AB261" s="454">
        <f ca="1">IF(AND($D261="Serviço",AB$12&lt;&gt;0,$H261&gt;0,OR(AUTOEVENTO&lt;&gt;"manual",$M261&lt;&gt;$A$15)),
        IF(Import.TipoArredondamento&lt;&gt;"TransfereGOV",
              ROUND(OFFSET($P261,0,AB$13),15-13*ORÇAMENTO!$AF$7)/$H261*OFFSET(ORÇAMENTO!$X$15,ROW(AB261)-ROW(AB$15),0),
              ROUND(ROUND(OFFSET($P261,0,AB$13),15-13*ORÇAMENTO!$AF$7)*OFFSET(ORÇAMENTO!$W$15,ROW(AB261)-ROW(AB$15),0),15-13*ORÇAMENTO!$AF$11)),
         0)</f>
        <v>0</v>
      </c>
      <c r="AC261" s="454">
        <f ca="1">IF(AND($D261="Serviço",AC$12&lt;&gt;0,$H261&gt;0,OR(AUTOEVENTO&lt;&gt;"manual",$M261&lt;&gt;$A$15)),
        IF(Import.TipoArredondamento&lt;&gt;"TransfereGOV",
              ROUND(OFFSET($P261,0,AC$13),15-13*ORÇAMENTO!$AF$7)/$H261*OFFSET(ORÇAMENTO!$X$15,ROW(AC261)-ROW(AC$15),0),
              ROUND(ROUND(OFFSET($P261,0,AC$13),15-13*ORÇAMENTO!$AF$7)*OFFSET(ORÇAMENTO!$W$15,ROW(AC261)-ROW(AC$15),0),15-13*ORÇAMENTO!$AF$11)),
         0)</f>
        <v>0</v>
      </c>
      <c r="AD261" s="454">
        <f ca="1">IF(AND($D261="Serviço",AD$12&lt;&gt;0,$H261&gt;0,OR(AUTOEVENTO&lt;&gt;"manual",$M261&lt;&gt;$A$15)),
        IF(Import.TipoArredondamento&lt;&gt;"TransfereGOV",
              ROUND(OFFSET($P261,0,AD$13),15-13*ORÇAMENTO!$AF$7)/$H261*OFFSET(ORÇAMENTO!$X$15,ROW(AD261)-ROW(AD$15),0),
              ROUND(ROUND(OFFSET($P261,0,AD$13),15-13*ORÇAMENTO!$AF$7)*OFFSET(ORÇAMENTO!$W$15,ROW(AD261)-ROW(AD$15),0),15-13*ORÇAMENTO!$AF$11)),
         0)</f>
        <v>0</v>
      </c>
      <c r="AE261" s="454">
        <f ca="1">IF(AND($D261="Serviço",AE$12&lt;&gt;0,$H261&gt;0,OR(AUTOEVENTO&lt;&gt;"manual",$M261&lt;&gt;$A$15)),
        IF(Import.TipoArredondamento&lt;&gt;"TransfereGOV",
              ROUND(OFFSET($P261,0,AE$13),15-13*ORÇAMENTO!$AF$7)/$H261*OFFSET(ORÇAMENTO!$X$15,ROW(AE261)-ROW(AE$15),0),
              ROUND(ROUND(OFFSET($P261,0,AE$13),15-13*ORÇAMENTO!$AF$7)*OFFSET(ORÇAMENTO!$W$15,ROW(AE261)-ROW(AE$15),0),15-13*ORÇAMENTO!$AF$11)),
         0)</f>
        <v>0</v>
      </c>
      <c r="AF261" s="454">
        <f ca="1">IF(AND($D261="Serviço",AF$12&lt;&gt;0,$H261&gt;0,OR(AUTOEVENTO&lt;&gt;"manual",$M261&lt;&gt;$A$15)),
        IF(Import.TipoArredondamento&lt;&gt;"TransfereGOV",
              ROUND(OFFSET($P261,0,AF$13),15-13*ORÇAMENTO!$AF$7)/$H261*OFFSET(ORÇAMENTO!$X$15,ROW(AF261)-ROW(AF$15),0),
              ROUND(ROUND(OFFSET($P261,0,AF$13),15-13*ORÇAMENTO!$AF$7)*OFFSET(ORÇAMENTO!$W$15,ROW(AF261)-ROW(AF$15),0),15-13*ORÇAMENTO!$AF$11)),
         0)</f>
        <v>0</v>
      </c>
      <c r="AG261" s="454">
        <f ca="1">IF(AND($D261="Serviço",AG$12&lt;&gt;0,$H261&gt;0,OR(AUTOEVENTO&lt;&gt;"manual",$M261&lt;&gt;$A$15)),
        IF(Import.TipoArredondamento&lt;&gt;"TransfereGOV",
              ROUND(OFFSET($P261,0,AG$13),15-13*ORÇAMENTO!$AF$7)/$H261*OFFSET(ORÇAMENTO!$X$15,ROW(AG261)-ROW(AG$15),0),
              ROUND(ROUND(OFFSET($P261,0,AG$13),15-13*ORÇAMENTO!$AF$7)*OFFSET(ORÇAMENTO!$W$15,ROW(AG261)-ROW(AG$15),0),15-13*ORÇAMENTO!$AF$11)),
         0)</f>
        <v>0</v>
      </c>
      <c r="AH261" s="454">
        <f ca="1">IF(AND($D261="Serviço",AH$12&lt;&gt;0,$H261&gt;0,OR(AUTOEVENTO&lt;&gt;"manual",$M261&lt;&gt;$A$15)),
        IF(Import.TipoArredondamento&lt;&gt;"TransfereGOV",
              ROUND(OFFSET($P261,0,AH$13),15-13*ORÇAMENTO!$AF$7)/$H261*OFFSET(ORÇAMENTO!$X$15,ROW(AH261)-ROW(AH$15),0),
              ROUND(ROUND(OFFSET($P261,0,AH$13),15-13*ORÇAMENTO!$AF$7)*OFFSET(ORÇAMENTO!$W$15,ROW(AH261)-ROW(AH$15),0),15-13*ORÇAMENTO!$AF$11)),
         0)</f>
        <v>0</v>
      </c>
      <c r="AI261" s="454">
        <f ca="1">IF(AND($D261="Serviço",AI$12&lt;&gt;0,$H261&gt;0,OR(AUTOEVENTO&lt;&gt;"manual",$M261&lt;&gt;$A$15)),
        IF(Import.TipoArredondamento&lt;&gt;"TransfereGOV",
              ROUND(OFFSET($P261,0,AI$13),15-13*ORÇAMENTO!$AF$7)/$H261*OFFSET(ORÇAMENTO!$X$15,ROW(AI261)-ROW(AI$15),0),
              ROUND(ROUND(OFFSET($P261,0,AI$13),15-13*ORÇAMENTO!$AF$7)*OFFSET(ORÇAMENTO!$W$15,ROW(AI261)-ROW(AI$15),0),15-13*ORÇAMENTO!$AF$11)),
         0)</f>
        <v>0</v>
      </c>
      <c r="AJ261" s="454">
        <f ca="1">IF(AND($D261="Serviço",AJ$12&lt;&gt;0,$H261&gt;0,OR(AUTOEVENTO&lt;&gt;"manual",$M261&lt;&gt;$A$15)),
        IF(Import.TipoArredondamento&lt;&gt;"TransfereGOV",
              ROUND(OFFSET($P261,0,AJ$13),15-13*ORÇAMENTO!$AF$7)/$H261*OFFSET(ORÇAMENTO!$X$15,ROW(AJ261)-ROW(AJ$15),0),
              ROUND(ROUND(OFFSET($P261,0,AJ$13),15-13*ORÇAMENTO!$AF$7)*OFFSET(ORÇAMENTO!$W$15,ROW(AJ261)-ROW(AJ$15),0),15-13*ORÇAMENTO!$AF$11)),
         0)</f>
        <v>0</v>
      </c>
      <c r="AK261" s="454">
        <f ca="1">IF(AND($D261="Serviço",AK$12&lt;&gt;0,$H261&gt;0,OR(AUTOEVENTO&lt;&gt;"manual",$M261&lt;&gt;$A$15)),
        IF(Import.TipoArredondamento&lt;&gt;"TransfereGOV",
              ROUND(OFFSET($P261,0,AK$13),15-13*ORÇAMENTO!$AF$7)/$H261*OFFSET(ORÇAMENTO!$X$15,ROW(AK261)-ROW(AK$15),0),
              ROUND(ROUND(OFFSET($P261,0,AK$13),15-13*ORÇAMENTO!$AF$7)*OFFSET(ORÇAMENTO!$W$15,ROW(AK261)-ROW(AK$15),0),15-13*ORÇAMENTO!$AF$11)),
         0)</f>
        <v>0</v>
      </c>
      <c r="AM261" s="172">
        <f ca="1">IF(OR($D261&lt;&gt;"Serviço",AND(AUTOEVENTO="Manual",$M261=$A$15)),0,
         IF(OFFSET(CRONOPLE!$F$15,$M261-$A$15,AM$13)="",10^12,OFFSET(CRONOPLE!$F$15,$M261-$A$15,AM$13)))</f>
        <v>1000000000000</v>
      </c>
      <c r="AN261" s="172">
        <f ca="1">IF(OR($D261&lt;&gt;"Serviço",AND(AUTOEVENTO="Manual",$M261=$A$15)),0,
         IF(OFFSET(CRONOPLE!$F$15,$M261-$A$15,AN$13)="",10^12,OFFSET(CRONOPLE!$F$15,$M261-$A$15,AN$13)))</f>
        <v>1000000000000</v>
      </c>
      <c r="AO261" s="172">
        <f ca="1">IF(OR($D261&lt;&gt;"Serviço",AND(AUTOEVENTO="Manual",$M261=$A$15)),0,
         IF(OFFSET(CRONOPLE!$F$15,$M261-$A$15,AO$13)="",10^12,OFFSET(CRONOPLE!$F$15,$M261-$A$15,AO$13)))</f>
        <v>1000000000000</v>
      </c>
      <c r="AP261" s="172">
        <f ca="1">IF(OR($D261&lt;&gt;"Serviço",AND(AUTOEVENTO="Manual",$M261=$A$15)),0,
         IF(OFFSET(CRONOPLE!$F$15,$M261-$A$15,AP$13)="",10^12,OFFSET(CRONOPLE!$F$15,$M261-$A$15,AP$13)))</f>
        <v>1000000000000</v>
      </c>
      <c r="AQ261" s="172">
        <f ca="1">IF(OR($D261&lt;&gt;"Serviço",AND(AUTOEVENTO="Manual",$M261=$A$15)),0,
         IF(OFFSET(CRONOPLE!$F$15,$M261-$A$15,AQ$13)="",10^12,OFFSET(CRONOPLE!$F$15,$M261-$A$15,AQ$13)))</f>
        <v>1000000000000</v>
      </c>
      <c r="AR261" s="172">
        <f ca="1">IF(OR($D261&lt;&gt;"Serviço",AND(AUTOEVENTO="Manual",$M261=$A$15)),0,
         IF(OFFSET(CRONOPLE!$F$15,$M261-$A$15,AR$13)="",10^12,OFFSET(CRONOPLE!$F$15,$M261-$A$15,AR$13)))</f>
        <v>1000000000000</v>
      </c>
      <c r="AS261" s="172">
        <f ca="1">IF(OR($D261&lt;&gt;"Serviço",AND(AUTOEVENTO="Manual",$M261=$A$15)),0,
         IF(OFFSET(CRONOPLE!$F$15,$M261-$A$15,AS$13)="",10^12,OFFSET(CRONOPLE!$F$15,$M261-$A$15,AS$13)))</f>
        <v>1000000000000</v>
      </c>
      <c r="AT261" s="172">
        <f ca="1">IF(OR($D261&lt;&gt;"Serviço",AND(AUTOEVENTO="Manual",$M261=$A$15)),0,
         IF(OFFSET(CRONOPLE!$F$15,$M261-$A$15,AT$13)="",10^12,OFFSET(CRONOPLE!$F$15,$M261-$A$15,AT$13)))</f>
        <v>1000000000000</v>
      </c>
      <c r="AU261" s="172">
        <f ca="1">IF(OR($D261&lt;&gt;"Serviço",AND(AUTOEVENTO="Manual",$M261=$A$15)),0,
         IF(OFFSET(CRONOPLE!$F$15,$M261-$A$15,AU$13)="",10^12,OFFSET(CRONOPLE!$F$15,$M261-$A$15,AU$13)))</f>
        <v>1000000000000</v>
      </c>
      <c r="AV261" s="172">
        <f ca="1">IF(OR($D261&lt;&gt;"Serviço",AND(AUTOEVENTO="Manual",$M261=$A$15)),0,
         IF(OFFSET(CRONOPLE!$F$15,$M261-$A$15,AV$13)="",10^12,OFFSET(CRONOPLE!$F$15,$M261-$A$15,AV$13)))</f>
        <v>1000000000000</v>
      </c>
      <c r="AX261" s="173">
        <f ca="1">IF(OR($D261&lt;&gt;"Serviço",AND(AUTOEVENTO="Manual",$M261=$A$15),$M261&gt;(ROW(PLE.lastrow)-ROW(PLE.firstrow))),0,
           IF(OFFSET(PLE!$G$15,$M261-$A$15,AX$13)="",10^12,OFFSET(PLE!$G$15,$M261-$A$15,AX$13)))</f>
        <v>1000000000000</v>
      </c>
      <c r="AY261" s="173">
        <f ca="1">IF(OR($D261&lt;&gt;"Serviço",AND(AUTOEVENTO="Manual",$M261=$A$15),$M261&gt;(ROW(PLE.lastrow)-ROW(PLE.firstrow))),0,
           IF(OFFSET(PLE!$G$15,$M261-$A$15,AY$13)="",10^12,OFFSET(PLE!$G$15,$M261-$A$15,AY$13)))</f>
        <v>1000000000000</v>
      </c>
      <c r="AZ261" s="173">
        <f ca="1">IF(OR($D261&lt;&gt;"Serviço",AND(AUTOEVENTO="Manual",$M261=$A$15),$M261&gt;(ROW(PLE.lastrow)-ROW(PLE.firstrow))),0,
           IF(OFFSET(PLE!$G$15,$M261-$A$15,AZ$13)="",10^12,OFFSET(PLE!$G$15,$M261-$A$15,AZ$13)))</f>
        <v>1000000000000</v>
      </c>
      <c r="BA261" s="173">
        <f ca="1">IF(OR($D261&lt;&gt;"Serviço",AND(AUTOEVENTO="Manual",$M261=$A$15),$M261&gt;(ROW(PLE.lastrow)-ROW(PLE.firstrow))),0,
           IF(OFFSET(PLE!$G$15,$M261-$A$15,BA$13)="",10^12,OFFSET(PLE!$G$15,$M261-$A$15,BA$13)))</f>
        <v>1000000000000</v>
      </c>
      <c r="BB261" s="173">
        <f ca="1">IF(OR($D261&lt;&gt;"Serviço",AND(AUTOEVENTO="Manual",$M261=$A$15),$M261&gt;(ROW(PLE.lastrow)-ROW(PLE.firstrow))),0,
           IF(OFFSET(PLE!$G$15,$M261-$A$15,BB$13)="",10^12,OFFSET(PLE!$G$15,$M261-$A$15,BB$13)))</f>
        <v>1000000000000</v>
      </c>
      <c r="BC261" s="173">
        <f ca="1">IF(OR($D261&lt;&gt;"Serviço",AND(AUTOEVENTO="Manual",$M261=$A$15),$M261&gt;(ROW(PLE.lastrow)-ROW(PLE.firstrow))),0,
           IF(OFFSET(PLE!$G$15,$M261-$A$15,BC$13)="",10^12,OFFSET(PLE!$G$15,$M261-$A$15,BC$13)))</f>
        <v>1000000000000</v>
      </c>
      <c r="BD261" s="173">
        <f ca="1">IF(OR($D261&lt;&gt;"Serviço",AND(AUTOEVENTO="Manual",$M261=$A$15),$M261&gt;(ROW(PLE.lastrow)-ROW(PLE.firstrow))),0,
           IF(OFFSET(PLE!$G$15,$M261-$A$15,BD$13)="",10^12,OFFSET(PLE!$G$15,$M261-$A$15,BD$13)))</f>
        <v>1000000000000</v>
      </c>
      <c r="BE261" s="173">
        <f ca="1">IF(OR($D261&lt;&gt;"Serviço",AND(AUTOEVENTO="Manual",$M261=$A$15),$M261&gt;(ROW(PLE.lastrow)-ROW(PLE.firstrow))),0,
           IF(OFFSET(PLE!$G$15,$M261-$A$15,BE$13)="",10^12,OFFSET(PLE!$G$15,$M261-$A$15,BE$13)))</f>
        <v>1000000000000</v>
      </c>
      <c r="BF261" s="173">
        <f ca="1">IF(OR($D261&lt;&gt;"Serviço",AND(AUTOEVENTO="Manual",$M261=$A$15),$M261&gt;(ROW(PLE.lastrow)-ROW(PLE.firstrow))),0,
           IF(OFFSET(PLE!$G$15,$M261-$A$15,BF$13)="",10^12,OFFSET(PLE!$G$15,$M261-$A$15,BF$13)))</f>
        <v>1000000000000</v>
      </c>
      <c r="BG261" s="173">
        <f ca="1">IF(OR($D261&lt;&gt;"Serviço",AND(AUTOEVENTO="Manual",$M261=$A$15),$M261&gt;(ROW(PLE.lastrow)-ROW(PLE.firstrow))),0,
           IF(OFFSET(PLE!$G$15,$M261-$A$15,BG$13)="",10^12,OFFSET(PLE!$G$15,$M261-$A$15,BG$13)))</f>
        <v>1000000000000</v>
      </c>
    </row>
    <row r="262" spans="1:59" ht="38.25" x14ac:dyDescent="0.2">
      <c r="A262" s="7" t="str">
        <f t="shared" ca="1" si="11"/>
        <v>239</v>
      </c>
      <c r="B262" s="7" t="str">
        <f ca="1">OFFSET(ORÇAMENTO!C$15,ROW(B262)-ROW(B$15),0)</f>
        <v>S</v>
      </c>
      <c r="C262" s="7" t="str">
        <f ca="1">OFFSET(ORÇAMENTO!L$15,ROW(C262)-ROW(C$15),0)</f>
        <v/>
      </c>
      <c r="D262" s="117" t="str">
        <f ca="1">OFFSET(ORÇAMENTO!N$15,ROW(D262)-ROW(D$15),0)</f>
        <v>Serviço</v>
      </c>
      <c r="E262" s="118" t="str">
        <f ca="1">OFFSET(ORÇAMENTO!O$15,ROW(E262)-ROW(E$15),0)</f>
        <v>-</v>
      </c>
      <c r="F262" s="164" t="str">
        <f ca="1">OFFSET(ORÇAMENTO!R$15,ROW(F262)-ROW(F$15),0)</f>
        <v>JUNÇÃO SIMPLES, PVC, SERIE R, ÁGUA PLUVIAL, DN 150 X 100 MM, JUNTA ELÁSTICA, FORNECIDO E INSTALADO EM CONDUTORES VERTICAIS DE ÁGUAS PLUVIAIS. AF_06/2022</v>
      </c>
      <c r="G262" s="165" t="str">
        <f ca="1">IF($D262&lt;&gt;"Serviço","",OFFSET(ORÇAMENTO!S$15,ROW(G262)-ROW(G$15),0))</f>
        <v>UN</v>
      </c>
      <c r="H262" s="123">
        <f ca="1">IF($D262&lt;&gt;"Serviço",0,IF(ACOMPANHAMENTO="BM",ROUND(OFFSET(ORÇAMENTO!AJ$15,ROW(H262)-ROW(H$15),0),15-13*ORÇAMENTO!$AF$7),SUMPRODUCT(($Q$1:$AA$1=1)*ROUND($Q262:$AA262,15-13*ORÇAMENTO!$AF$7))))</f>
        <v>18</v>
      </c>
      <c r="I262" s="469"/>
      <c r="J262" s="577" t="str" cm="1">
        <f t="array" aca="1" ref="J262" ca="1">IF(B262&lt;&gt;"S","",IF(AND(ACOMPANHAMENTO="PLE",AUTOEVENTO="Manual",OR(H262&gt;0,ORÇAMENTO!AC262="QUANT."),OR(K262="",M262=0,N262="")),"►",IF(AND(ACOMPANHAMENTO="PLE",ORÇAMENTO!AC262="QUANT."),"►►",IF(AND(COUNTIF($P$11:$AA$11,"▼")=0,H262&gt;0,I262=""),"◄",""))))</f>
        <v>◄</v>
      </c>
      <c r="K262" s="626"/>
      <c r="L262" s="166" t="s">
        <v>765</v>
      </c>
      <c r="M262" s="167">
        <f ca="1">IF($D262&lt;&gt;"Serviço","",
          IF(AUTOEVENTO="manual",$A262,
                IF(ISERROR(MATCH($A262,$A$15:OFFSET($A262,-1,0),0)),MAX($M$15:OFFSET(M262,-1,0))+1,
                      INDEX($M$15:OFFSET(M262,-1,0),MATCH($A262,$A$15:OFFSET($A262,-1,0),0)))))</f>
        <v>15</v>
      </c>
      <c r="N262" s="168" t="str">
        <f ca="1">IF($D262&lt;&gt;"Serviço","",
         IF(AUTOEVENTO="Manual",
                IF($A262=0,"&lt;-- defina o número do agrupador",
                       OFFSET(EVENTOS!$D$15,$A262-$A$15,0)),
                OFFSET($F$15,$A262,0)))</f>
        <v>INSTALAÇÕES PLUVIAIS</v>
      </c>
      <c r="O262" s="169"/>
      <c r="Q262" s="169"/>
      <c r="R262" s="170"/>
      <c r="S262" s="170"/>
      <c r="T262" s="170"/>
      <c r="U262" s="170"/>
      <c r="V262" s="170"/>
      <c r="W262" s="170"/>
      <c r="X262" s="170"/>
      <c r="Y262" s="170"/>
      <c r="Z262" s="171"/>
      <c r="AB262" s="454">
        <f ca="1">IF(AND($D262="Serviço",AB$12&lt;&gt;0,$H262&gt;0,OR(AUTOEVENTO&lt;&gt;"manual",$M262&lt;&gt;$A$15)),
        IF(Import.TipoArredondamento&lt;&gt;"TransfereGOV",
              ROUND(OFFSET($P262,0,AB$13),15-13*ORÇAMENTO!$AF$7)/$H262*OFFSET(ORÇAMENTO!$X$15,ROW(AB262)-ROW(AB$15),0),
              ROUND(ROUND(OFFSET($P262,0,AB$13),15-13*ORÇAMENTO!$AF$7)*OFFSET(ORÇAMENTO!$W$15,ROW(AB262)-ROW(AB$15),0),15-13*ORÇAMENTO!$AF$11)),
         0)</f>
        <v>0</v>
      </c>
      <c r="AC262" s="454">
        <f ca="1">IF(AND($D262="Serviço",AC$12&lt;&gt;0,$H262&gt;0,OR(AUTOEVENTO&lt;&gt;"manual",$M262&lt;&gt;$A$15)),
        IF(Import.TipoArredondamento&lt;&gt;"TransfereGOV",
              ROUND(OFFSET($P262,0,AC$13),15-13*ORÇAMENTO!$AF$7)/$H262*OFFSET(ORÇAMENTO!$X$15,ROW(AC262)-ROW(AC$15),0),
              ROUND(ROUND(OFFSET($P262,0,AC$13),15-13*ORÇAMENTO!$AF$7)*OFFSET(ORÇAMENTO!$W$15,ROW(AC262)-ROW(AC$15),0),15-13*ORÇAMENTO!$AF$11)),
         0)</f>
        <v>0</v>
      </c>
      <c r="AD262" s="454">
        <f ca="1">IF(AND($D262="Serviço",AD$12&lt;&gt;0,$H262&gt;0,OR(AUTOEVENTO&lt;&gt;"manual",$M262&lt;&gt;$A$15)),
        IF(Import.TipoArredondamento&lt;&gt;"TransfereGOV",
              ROUND(OFFSET($P262,0,AD$13),15-13*ORÇAMENTO!$AF$7)/$H262*OFFSET(ORÇAMENTO!$X$15,ROW(AD262)-ROW(AD$15),0),
              ROUND(ROUND(OFFSET($P262,0,AD$13),15-13*ORÇAMENTO!$AF$7)*OFFSET(ORÇAMENTO!$W$15,ROW(AD262)-ROW(AD$15),0),15-13*ORÇAMENTO!$AF$11)),
         0)</f>
        <v>0</v>
      </c>
      <c r="AE262" s="454">
        <f ca="1">IF(AND($D262="Serviço",AE$12&lt;&gt;0,$H262&gt;0,OR(AUTOEVENTO&lt;&gt;"manual",$M262&lt;&gt;$A$15)),
        IF(Import.TipoArredondamento&lt;&gt;"TransfereGOV",
              ROUND(OFFSET($P262,0,AE$13),15-13*ORÇAMENTO!$AF$7)/$H262*OFFSET(ORÇAMENTO!$X$15,ROW(AE262)-ROW(AE$15),0),
              ROUND(ROUND(OFFSET($P262,0,AE$13),15-13*ORÇAMENTO!$AF$7)*OFFSET(ORÇAMENTO!$W$15,ROW(AE262)-ROW(AE$15),0),15-13*ORÇAMENTO!$AF$11)),
         0)</f>
        <v>0</v>
      </c>
      <c r="AF262" s="454">
        <f ca="1">IF(AND($D262="Serviço",AF$12&lt;&gt;0,$H262&gt;0,OR(AUTOEVENTO&lt;&gt;"manual",$M262&lt;&gt;$A$15)),
        IF(Import.TipoArredondamento&lt;&gt;"TransfereGOV",
              ROUND(OFFSET($P262,0,AF$13),15-13*ORÇAMENTO!$AF$7)/$H262*OFFSET(ORÇAMENTO!$X$15,ROW(AF262)-ROW(AF$15),0),
              ROUND(ROUND(OFFSET($P262,0,AF$13),15-13*ORÇAMENTO!$AF$7)*OFFSET(ORÇAMENTO!$W$15,ROW(AF262)-ROW(AF$15),0),15-13*ORÇAMENTO!$AF$11)),
         0)</f>
        <v>0</v>
      </c>
      <c r="AG262" s="454">
        <f ca="1">IF(AND($D262="Serviço",AG$12&lt;&gt;0,$H262&gt;0,OR(AUTOEVENTO&lt;&gt;"manual",$M262&lt;&gt;$A$15)),
        IF(Import.TipoArredondamento&lt;&gt;"TransfereGOV",
              ROUND(OFFSET($P262,0,AG$13),15-13*ORÇAMENTO!$AF$7)/$H262*OFFSET(ORÇAMENTO!$X$15,ROW(AG262)-ROW(AG$15),0),
              ROUND(ROUND(OFFSET($P262,0,AG$13),15-13*ORÇAMENTO!$AF$7)*OFFSET(ORÇAMENTO!$W$15,ROW(AG262)-ROW(AG$15),0),15-13*ORÇAMENTO!$AF$11)),
         0)</f>
        <v>0</v>
      </c>
      <c r="AH262" s="454">
        <f ca="1">IF(AND($D262="Serviço",AH$12&lt;&gt;0,$H262&gt;0,OR(AUTOEVENTO&lt;&gt;"manual",$M262&lt;&gt;$A$15)),
        IF(Import.TipoArredondamento&lt;&gt;"TransfereGOV",
              ROUND(OFFSET($P262,0,AH$13),15-13*ORÇAMENTO!$AF$7)/$H262*OFFSET(ORÇAMENTO!$X$15,ROW(AH262)-ROW(AH$15),0),
              ROUND(ROUND(OFFSET($P262,0,AH$13),15-13*ORÇAMENTO!$AF$7)*OFFSET(ORÇAMENTO!$W$15,ROW(AH262)-ROW(AH$15),0),15-13*ORÇAMENTO!$AF$11)),
         0)</f>
        <v>0</v>
      </c>
      <c r="AI262" s="454">
        <f ca="1">IF(AND($D262="Serviço",AI$12&lt;&gt;0,$H262&gt;0,OR(AUTOEVENTO&lt;&gt;"manual",$M262&lt;&gt;$A$15)),
        IF(Import.TipoArredondamento&lt;&gt;"TransfereGOV",
              ROUND(OFFSET($P262,0,AI$13),15-13*ORÇAMENTO!$AF$7)/$H262*OFFSET(ORÇAMENTO!$X$15,ROW(AI262)-ROW(AI$15),0),
              ROUND(ROUND(OFFSET($P262,0,AI$13),15-13*ORÇAMENTO!$AF$7)*OFFSET(ORÇAMENTO!$W$15,ROW(AI262)-ROW(AI$15),0),15-13*ORÇAMENTO!$AF$11)),
         0)</f>
        <v>0</v>
      </c>
      <c r="AJ262" s="454">
        <f ca="1">IF(AND($D262="Serviço",AJ$12&lt;&gt;0,$H262&gt;0,OR(AUTOEVENTO&lt;&gt;"manual",$M262&lt;&gt;$A$15)),
        IF(Import.TipoArredondamento&lt;&gt;"TransfereGOV",
              ROUND(OFFSET($P262,0,AJ$13),15-13*ORÇAMENTO!$AF$7)/$H262*OFFSET(ORÇAMENTO!$X$15,ROW(AJ262)-ROW(AJ$15),0),
              ROUND(ROUND(OFFSET($P262,0,AJ$13),15-13*ORÇAMENTO!$AF$7)*OFFSET(ORÇAMENTO!$W$15,ROW(AJ262)-ROW(AJ$15),0),15-13*ORÇAMENTO!$AF$11)),
         0)</f>
        <v>0</v>
      </c>
      <c r="AK262" s="454">
        <f ca="1">IF(AND($D262="Serviço",AK$12&lt;&gt;0,$H262&gt;0,OR(AUTOEVENTO&lt;&gt;"manual",$M262&lt;&gt;$A$15)),
        IF(Import.TipoArredondamento&lt;&gt;"TransfereGOV",
              ROUND(OFFSET($P262,0,AK$13),15-13*ORÇAMENTO!$AF$7)/$H262*OFFSET(ORÇAMENTO!$X$15,ROW(AK262)-ROW(AK$15),0),
              ROUND(ROUND(OFFSET($P262,0,AK$13),15-13*ORÇAMENTO!$AF$7)*OFFSET(ORÇAMENTO!$W$15,ROW(AK262)-ROW(AK$15),0),15-13*ORÇAMENTO!$AF$11)),
         0)</f>
        <v>0</v>
      </c>
      <c r="AM262" s="172">
        <f ca="1">IF(OR($D262&lt;&gt;"Serviço",AND(AUTOEVENTO="Manual",$M262=$A$15)),0,
         IF(OFFSET(CRONOPLE!$F$15,$M262-$A$15,AM$13)="",10^12,OFFSET(CRONOPLE!$F$15,$M262-$A$15,AM$13)))</f>
        <v>1000000000000</v>
      </c>
      <c r="AN262" s="172">
        <f ca="1">IF(OR($D262&lt;&gt;"Serviço",AND(AUTOEVENTO="Manual",$M262=$A$15)),0,
         IF(OFFSET(CRONOPLE!$F$15,$M262-$A$15,AN$13)="",10^12,OFFSET(CRONOPLE!$F$15,$M262-$A$15,AN$13)))</f>
        <v>1000000000000</v>
      </c>
      <c r="AO262" s="172">
        <f ca="1">IF(OR($D262&lt;&gt;"Serviço",AND(AUTOEVENTO="Manual",$M262=$A$15)),0,
         IF(OFFSET(CRONOPLE!$F$15,$M262-$A$15,AO$13)="",10^12,OFFSET(CRONOPLE!$F$15,$M262-$A$15,AO$13)))</f>
        <v>1000000000000</v>
      </c>
      <c r="AP262" s="172">
        <f ca="1">IF(OR($D262&lt;&gt;"Serviço",AND(AUTOEVENTO="Manual",$M262=$A$15)),0,
         IF(OFFSET(CRONOPLE!$F$15,$M262-$A$15,AP$13)="",10^12,OFFSET(CRONOPLE!$F$15,$M262-$A$15,AP$13)))</f>
        <v>1000000000000</v>
      </c>
      <c r="AQ262" s="172">
        <f ca="1">IF(OR($D262&lt;&gt;"Serviço",AND(AUTOEVENTO="Manual",$M262=$A$15)),0,
         IF(OFFSET(CRONOPLE!$F$15,$M262-$A$15,AQ$13)="",10^12,OFFSET(CRONOPLE!$F$15,$M262-$A$15,AQ$13)))</f>
        <v>1000000000000</v>
      </c>
      <c r="AR262" s="172">
        <f ca="1">IF(OR($D262&lt;&gt;"Serviço",AND(AUTOEVENTO="Manual",$M262=$A$15)),0,
         IF(OFFSET(CRONOPLE!$F$15,$M262-$A$15,AR$13)="",10^12,OFFSET(CRONOPLE!$F$15,$M262-$A$15,AR$13)))</f>
        <v>1000000000000</v>
      </c>
      <c r="AS262" s="172">
        <f ca="1">IF(OR($D262&lt;&gt;"Serviço",AND(AUTOEVENTO="Manual",$M262=$A$15)),0,
         IF(OFFSET(CRONOPLE!$F$15,$M262-$A$15,AS$13)="",10^12,OFFSET(CRONOPLE!$F$15,$M262-$A$15,AS$13)))</f>
        <v>1000000000000</v>
      </c>
      <c r="AT262" s="172">
        <f ca="1">IF(OR($D262&lt;&gt;"Serviço",AND(AUTOEVENTO="Manual",$M262=$A$15)),0,
         IF(OFFSET(CRONOPLE!$F$15,$M262-$A$15,AT$13)="",10^12,OFFSET(CRONOPLE!$F$15,$M262-$A$15,AT$13)))</f>
        <v>1000000000000</v>
      </c>
      <c r="AU262" s="172">
        <f ca="1">IF(OR($D262&lt;&gt;"Serviço",AND(AUTOEVENTO="Manual",$M262=$A$15)),0,
         IF(OFFSET(CRONOPLE!$F$15,$M262-$A$15,AU$13)="",10^12,OFFSET(CRONOPLE!$F$15,$M262-$A$15,AU$13)))</f>
        <v>1000000000000</v>
      </c>
      <c r="AV262" s="172">
        <f ca="1">IF(OR($D262&lt;&gt;"Serviço",AND(AUTOEVENTO="Manual",$M262=$A$15)),0,
         IF(OFFSET(CRONOPLE!$F$15,$M262-$A$15,AV$13)="",10^12,OFFSET(CRONOPLE!$F$15,$M262-$A$15,AV$13)))</f>
        <v>1000000000000</v>
      </c>
      <c r="AX262" s="173">
        <f ca="1">IF(OR($D262&lt;&gt;"Serviço",AND(AUTOEVENTO="Manual",$M262=$A$15),$M262&gt;(ROW(PLE.lastrow)-ROW(PLE.firstrow))),0,
           IF(OFFSET(PLE!$G$15,$M262-$A$15,AX$13)="",10^12,OFFSET(PLE!$G$15,$M262-$A$15,AX$13)))</f>
        <v>1000000000000</v>
      </c>
      <c r="AY262" s="173">
        <f ca="1">IF(OR($D262&lt;&gt;"Serviço",AND(AUTOEVENTO="Manual",$M262=$A$15),$M262&gt;(ROW(PLE.lastrow)-ROW(PLE.firstrow))),0,
           IF(OFFSET(PLE!$G$15,$M262-$A$15,AY$13)="",10^12,OFFSET(PLE!$G$15,$M262-$A$15,AY$13)))</f>
        <v>1000000000000</v>
      </c>
      <c r="AZ262" s="173">
        <f ca="1">IF(OR($D262&lt;&gt;"Serviço",AND(AUTOEVENTO="Manual",$M262=$A$15),$M262&gt;(ROW(PLE.lastrow)-ROW(PLE.firstrow))),0,
           IF(OFFSET(PLE!$G$15,$M262-$A$15,AZ$13)="",10^12,OFFSET(PLE!$G$15,$M262-$A$15,AZ$13)))</f>
        <v>1000000000000</v>
      </c>
      <c r="BA262" s="173">
        <f ca="1">IF(OR($D262&lt;&gt;"Serviço",AND(AUTOEVENTO="Manual",$M262=$A$15),$M262&gt;(ROW(PLE.lastrow)-ROW(PLE.firstrow))),0,
           IF(OFFSET(PLE!$G$15,$M262-$A$15,BA$13)="",10^12,OFFSET(PLE!$G$15,$M262-$A$15,BA$13)))</f>
        <v>1000000000000</v>
      </c>
      <c r="BB262" s="173">
        <f ca="1">IF(OR($D262&lt;&gt;"Serviço",AND(AUTOEVENTO="Manual",$M262=$A$15),$M262&gt;(ROW(PLE.lastrow)-ROW(PLE.firstrow))),0,
           IF(OFFSET(PLE!$G$15,$M262-$A$15,BB$13)="",10^12,OFFSET(PLE!$G$15,$M262-$A$15,BB$13)))</f>
        <v>1000000000000</v>
      </c>
      <c r="BC262" s="173">
        <f ca="1">IF(OR($D262&lt;&gt;"Serviço",AND(AUTOEVENTO="Manual",$M262=$A$15),$M262&gt;(ROW(PLE.lastrow)-ROW(PLE.firstrow))),0,
           IF(OFFSET(PLE!$G$15,$M262-$A$15,BC$13)="",10^12,OFFSET(PLE!$G$15,$M262-$A$15,BC$13)))</f>
        <v>1000000000000</v>
      </c>
      <c r="BD262" s="173">
        <f ca="1">IF(OR($D262&lt;&gt;"Serviço",AND(AUTOEVENTO="Manual",$M262=$A$15),$M262&gt;(ROW(PLE.lastrow)-ROW(PLE.firstrow))),0,
           IF(OFFSET(PLE!$G$15,$M262-$A$15,BD$13)="",10^12,OFFSET(PLE!$G$15,$M262-$A$15,BD$13)))</f>
        <v>1000000000000</v>
      </c>
      <c r="BE262" s="173">
        <f ca="1">IF(OR($D262&lt;&gt;"Serviço",AND(AUTOEVENTO="Manual",$M262=$A$15),$M262&gt;(ROW(PLE.lastrow)-ROW(PLE.firstrow))),0,
           IF(OFFSET(PLE!$G$15,$M262-$A$15,BE$13)="",10^12,OFFSET(PLE!$G$15,$M262-$A$15,BE$13)))</f>
        <v>1000000000000</v>
      </c>
      <c r="BF262" s="173">
        <f ca="1">IF(OR($D262&lt;&gt;"Serviço",AND(AUTOEVENTO="Manual",$M262=$A$15),$M262&gt;(ROW(PLE.lastrow)-ROW(PLE.firstrow))),0,
           IF(OFFSET(PLE!$G$15,$M262-$A$15,BF$13)="",10^12,OFFSET(PLE!$G$15,$M262-$A$15,BF$13)))</f>
        <v>1000000000000</v>
      </c>
      <c r="BG262" s="173">
        <f ca="1">IF(OR($D262&lt;&gt;"Serviço",AND(AUTOEVENTO="Manual",$M262=$A$15),$M262&gt;(ROW(PLE.lastrow)-ROW(PLE.firstrow))),0,
           IF(OFFSET(PLE!$G$15,$M262-$A$15,BG$13)="",10^12,OFFSET(PLE!$G$15,$M262-$A$15,BG$13)))</f>
        <v>1000000000000</v>
      </c>
    </row>
    <row r="263" spans="1:59" ht="38.25" x14ac:dyDescent="0.2">
      <c r="A263" s="7" t="str">
        <f t="shared" ca="1" si="11"/>
        <v>239</v>
      </c>
      <c r="B263" s="7" t="str">
        <f ca="1">OFFSET(ORÇAMENTO!C$15,ROW(B263)-ROW(B$15),0)</f>
        <v>S</v>
      </c>
      <c r="C263" s="7" t="str">
        <f ca="1">OFFSET(ORÇAMENTO!L$15,ROW(C263)-ROW(C$15),0)</f>
        <v/>
      </c>
      <c r="D263" s="117" t="str">
        <f ca="1">OFFSET(ORÇAMENTO!N$15,ROW(D263)-ROW(D$15),0)</f>
        <v>Serviço</v>
      </c>
      <c r="E263" s="118" t="str">
        <f ca="1">OFFSET(ORÇAMENTO!O$15,ROW(E263)-ROW(E$15),0)</f>
        <v>-</v>
      </c>
      <c r="F263" s="164" t="str">
        <f ca="1">OFFSET(ORÇAMENTO!R$15,ROW(F263)-ROW(F$15),0)</f>
        <v>JUNÇÃO SIMPLES, PVC, SERIE R, ÁGUA PLUVIAL, DN 75 X 75 MM, JUNTA ELÁSTICA, FORNECIDO E INSTALADO EM RAMAL DE ENCAMINHAMENTO. AF_06/2022</v>
      </c>
      <c r="G263" s="165" t="str">
        <f ca="1">IF($D263&lt;&gt;"Serviço","",OFFSET(ORÇAMENTO!S$15,ROW(G263)-ROW(G$15),0))</f>
        <v>UN</v>
      </c>
      <c r="H263" s="123">
        <f ca="1">IF($D263&lt;&gt;"Serviço",0,IF(ACOMPANHAMENTO="BM",ROUND(OFFSET(ORÇAMENTO!AJ$15,ROW(H263)-ROW(H$15),0),15-13*ORÇAMENTO!$AF$7),SUMPRODUCT(($Q$1:$AA$1=1)*ROUND($Q263:$AA263,15-13*ORÇAMENTO!$AF$7))))</f>
        <v>9</v>
      </c>
      <c r="I263" s="469"/>
      <c r="J263" s="577" t="str" cm="1">
        <f t="array" aca="1" ref="J263" ca="1">IF(B263&lt;&gt;"S","",IF(AND(ACOMPANHAMENTO="PLE",AUTOEVENTO="Manual",OR(H263&gt;0,ORÇAMENTO!AC263="QUANT."),OR(K263="",M263=0,N263="")),"►",IF(AND(ACOMPANHAMENTO="PLE",ORÇAMENTO!AC263="QUANT."),"►►",IF(AND(COUNTIF($P$11:$AA$11,"▼")=0,H263&gt;0,I263=""),"◄",""))))</f>
        <v>◄</v>
      </c>
      <c r="K263" s="626"/>
      <c r="L263" s="166" t="s">
        <v>765</v>
      </c>
      <c r="M263" s="167">
        <f ca="1">IF($D263&lt;&gt;"Serviço","",
          IF(AUTOEVENTO="manual",$A263,
                IF(ISERROR(MATCH($A263,$A$15:OFFSET($A263,-1,0),0)),MAX($M$15:OFFSET(M263,-1,0))+1,
                      INDEX($M$15:OFFSET(M263,-1,0),MATCH($A263,$A$15:OFFSET($A263,-1,0),0)))))</f>
        <v>15</v>
      </c>
      <c r="N263" s="168" t="str">
        <f ca="1">IF($D263&lt;&gt;"Serviço","",
         IF(AUTOEVENTO="Manual",
                IF($A263=0,"&lt;-- defina o número do agrupador",
                       OFFSET(EVENTOS!$D$15,$A263-$A$15,0)),
                OFFSET($F$15,$A263,0)))</f>
        <v>INSTALAÇÕES PLUVIAIS</v>
      </c>
      <c r="O263" s="169"/>
      <c r="Q263" s="169"/>
      <c r="R263" s="170"/>
      <c r="S263" s="170"/>
      <c r="T263" s="170"/>
      <c r="U263" s="170"/>
      <c r="V263" s="170"/>
      <c r="W263" s="170"/>
      <c r="X263" s="170"/>
      <c r="Y263" s="170"/>
      <c r="Z263" s="171"/>
      <c r="AB263" s="454">
        <f ca="1">IF(AND($D263="Serviço",AB$12&lt;&gt;0,$H263&gt;0,OR(AUTOEVENTO&lt;&gt;"manual",$M263&lt;&gt;$A$15)),
        IF(Import.TipoArredondamento&lt;&gt;"TransfereGOV",
              ROUND(OFFSET($P263,0,AB$13),15-13*ORÇAMENTO!$AF$7)/$H263*OFFSET(ORÇAMENTO!$X$15,ROW(AB263)-ROW(AB$15),0),
              ROUND(ROUND(OFFSET($P263,0,AB$13),15-13*ORÇAMENTO!$AF$7)*OFFSET(ORÇAMENTO!$W$15,ROW(AB263)-ROW(AB$15),0),15-13*ORÇAMENTO!$AF$11)),
         0)</f>
        <v>0</v>
      </c>
      <c r="AC263" s="454">
        <f ca="1">IF(AND($D263="Serviço",AC$12&lt;&gt;0,$H263&gt;0,OR(AUTOEVENTO&lt;&gt;"manual",$M263&lt;&gt;$A$15)),
        IF(Import.TipoArredondamento&lt;&gt;"TransfereGOV",
              ROUND(OFFSET($P263,0,AC$13),15-13*ORÇAMENTO!$AF$7)/$H263*OFFSET(ORÇAMENTO!$X$15,ROW(AC263)-ROW(AC$15),0),
              ROUND(ROUND(OFFSET($P263,0,AC$13),15-13*ORÇAMENTO!$AF$7)*OFFSET(ORÇAMENTO!$W$15,ROW(AC263)-ROW(AC$15),0),15-13*ORÇAMENTO!$AF$11)),
         0)</f>
        <v>0</v>
      </c>
      <c r="AD263" s="454">
        <f ca="1">IF(AND($D263="Serviço",AD$12&lt;&gt;0,$H263&gt;0,OR(AUTOEVENTO&lt;&gt;"manual",$M263&lt;&gt;$A$15)),
        IF(Import.TipoArredondamento&lt;&gt;"TransfereGOV",
              ROUND(OFFSET($P263,0,AD$13),15-13*ORÇAMENTO!$AF$7)/$H263*OFFSET(ORÇAMENTO!$X$15,ROW(AD263)-ROW(AD$15),0),
              ROUND(ROUND(OFFSET($P263,0,AD$13),15-13*ORÇAMENTO!$AF$7)*OFFSET(ORÇAMENTO!$W$15,ROW(AD263)-ROW(AD$15),0),15-13*ORÇAMENTO!$AF$11)),
         0)</f>
        <v>0</v>
      </c>
      <c r="AE263" s="454">
        <f ca="1">IF(AND($D263="Serviço",AE$12&lt;&gt;0,$H263&gt;0,OR(AUTOEVENTO&lt;&gt;"manual",$M263&lt;&gt;$A$15)),
        IF(Import.TipoArredondamento&lt;&gt;"TransfereGOV",
              ROUND(OFFSET($P263,0,AE$13),15-13*ORÇAMENTO!$AF$7)/$H263*OFFSET(ORÇAMENTO!$X$15,ROW(AE263)-ROW(AE$15),0),
              ROUND(ROUND(OFFSET($P263,0,AE$13),15-13*ORÇAMENTO!$AF$7)*OFFSET(ORÇAMENTO!$W$15,ROW(AE263)-ROW(AE$15),0),15-13*ORÇAMENTO!$AF$11)),
         0)</f>
        <v>0</v>
      </c>
      <c r="AF263" s="454">
        <f ca="1">IF(AND($D263="Serviço",AF$12&lt;&gt;0,$H263&gt;0,OR(AUTOEVENTO&lt;&gt;"manual",$M263&lt;&gt;$A$15)),
        IF(Import.TipoArredondamento&lt;&gt;"TransfereGOV",
              ROUND(OFFSET($P263,0,AF$13),15-13*ORÇAMENTO!$AF$7)/$H263*OFFSET(ORÇAMENTO!$X$15,ROW(AF263)-ROW(AF$15),0),
              ROUND(ROUND(OFFSET($P263,0,AF$13),15-13*ORÇAMENTO!$AF$7)*OFFSET(ORÇAMENTO!$W$15,ROW(AF263)-ROW(AF$15),0),15-13*ORÇAMENTO!$AF$11)),
         0)</f>
        <v>0</v>
      </c>
      <c r="AG263" s="454">
        <f ca="1">IF(AND($D263="Serviço",AG$12&lt;&gt;0,$H263&gt;0,OR(AUTOEVENTO&lt;&gt;"manual",$M263&lt;&gt;$A$15)),
        IF(Import.TipoArredondamento&lt;&gt;"TransfereGOV",
              ROUND(OFFSET($P263,0,AG$13),15-13*ORÇAMENTO!$AF$7)/$H263*OFFSET(ORÇAMENTO!$X$15,ROW(AG263)-ROW(AG$15),0),
              ROUND(ROUND(OFFSET($P263,0,AG$13),15-13*ORÇAMENTO!$AF$7)*OFFSET(ORÇAMENTO!$W$15,ROW(AG263)-ROW(AG$15),0),15-13*ORÇAMENTO!$AF$11)),
         0)</f>
        <v>0</v>
      </c>
      <c r="AH263" s="454">
        <f ca="1">IF(AND($D263="Serviço",AH$12&lt;&gt;0,$H263&gt;0,OR(AUTOEVENTO&lt;&gt;"manual",$M263&lt;&gt;$A$15)),
        IF(Import.TipoArredondamento&lt;&gt;"TransfereGOV",
              ROUND(OFFSET($P263,0,AH$13),15-13*ORÇAMENTO!$AF$7)/$H263*OFFSET(ORÇAMENTO!$X$15,ROW(AH263)-ROW(AH$15),0),
              ROUND(ROUND(OFFSET($P263,0,AH$13),15-13*ORÇAMENTO!$AF$7)*OFFSET(ORÇAMENTO!$W$15,ROW(AH263)-ROW(AH$15),0),15-13*ORÇAMENTO!$AF$11)),
         0)</f>
        <v>0</v>
      </c>
      <c r="AI263" s="454">
        <f ca="1">IF(AND($D263="Serviço",AI$12&lt;&gt;0,$H263&gt;0,OR(AUTOEVENTO&lt;&gt;"manual",$M263&lt;&gt;$A$15)),
        IF(Import.TipoArredondamento&lt;&gt;"TransfereGOV",
              ROUND(OFFSET($P263,0,AI$13),15-13*ORÇAMENTO!$AF$7)/$H263*OFFSET(ORÇAMENTO!$X$15,ROW(AI263)-ROW(AI$15),0),
              ROUND(ROUND(OFFSET($P263,0,AI$13),15-13*ORÇAMENTO!$AF$7)*OFFSET(ORÇAMENTO!$W$15,ROW(AI263)-ROW(AI$15),0),15-13*ORÇAMENTO!$AF$11)),
         0)</f>
        <v>0</v>
      </c>
      <c r="AJ263" s="454">
        <f ca="1">IF(AND($D263="Serviço",AJ$12&lt;&gt;0,$H263&gt;0,OR(AUTOEVENTO&lt;&gt;"manual",$M263&lt;&gt;$A$15)),
        IF(Import.TipoArredondamento&lt;&gt;"TransfereGOV",
              ROUND(OFFSET($P263,0,AJ$13),15-13*ORÇAMENTO!$AF$7)/$H263*OFFSET(ORÇAMENTO!$X$15,ROW(AJ263)-ROW(AJ$15),0),
              ROUND(ROUND(OFFSET($P263,0,AJ$13),15-13*ORÇAMENTO!$AF$7)*OFFSET(ORÇAMENTO!$W$15,ROW(AJ263)-ROW(AJ$15),0),15-13*ORÇAMENTO!$AF$11)),
         0)</f>
        <v>0</v>
      </c>
      <c r="AK263" s="454">
        <f ca="1">IF(AND($D263="Serviço",AK$12&lt;&gt;0,$H263&gt;0,OR(AUTOEVENTO&lt;&gt;"manual",$M263&lt;&gt;$A$15)),
        IF(Import.TipoArredondamento&lt;&gt;"TransfereGOV",
              ROUND(OFFSET($P263,0,AK$13),15-13*ORÇAMENTO!$AF$7)/$H263*OFFSET(ORÇAMENTO!$X$15,ROW(AK263)-ROW(AK$15),0),
              ROUND(ROUND(OFFSET($P263,0,AK$13),15-13*ORÇAMENTO!$AF$7)*OFFSET(ORÇAMENTO!$W$15,ROW(AK263)-ROW(AK$15),0),15-13*ORÇAMENTO!$AF$11)),
         0)</f>
        <v>0</v>
      </c>
      <c r="AM263" s="172">
        <f ca="1">IF(OR($D263&lt;&gt;"Serviço",AND(AUTOEVENTO="Manual",$M263=$A$15)),0,
         IF(OFFSET(CRONOPLE!$F$15,$M263-$A$15,AM$13)="",10^12,OFFSET(CRONOPLE!$F$15,$M263-$A$15,AM$13)))</f>
        <v>1000000000000</v>
      </c>
      <c r="AN263" s="172">
        <f ca="1">IF(OR($D263&lt;&gt;"Serviço",AND(AUTOEVENTO="Manual",$M263=$A$15)),0,
         IF(OFFSET(CRONOPLE!$F$15,$M263-$A$15,AN$13)="",10^12,OFFSET(CRONOPLE!$F$15,$M263-$A$15,AN$13)))</f>
        <v>1000000000000</v>
      </c>
      <c r="AO263" s="172">
        <f ca="1">IF(OR($D263&lt;&gt;"Serviço",AND(AUTOEVENTO="Manual",$M263=$A$15)),0,
         IF(OFFSET(CRONOPLE!$F$15,$M263-$A$15,AO$13)="",10^12,OFFSET(CRONOPLE!$F$15,$M263-$A$15,AO$13)))</f>
        <v>1000000000000</v>
      </c>
      <c r="AP263" s="172">
        <f ca="1">IF(OR($D263&lt;&gt;"Serviço",AND(AUTOEVENTO="Manual",$M263=$A$15)),0,
         IF(OFFSET(CRONOPLE!$F$15,$M263-$A$15,AP$13)="",10^12,OFFSET(CRONOPLE!$F$15,$M263-$A$15,AP$13)))</f>
        <v>1000000000000</v>
      </c>
      <c r="AQ263" s="172">
        <f ca="1">IF(OR($D263&lt;&gt;"Serviço",AND(AUTOEVENTO="Manual",$M263=$A$15)),0,
         IF(OFFSET(CRONOPLE!$F$15,$M263-$A$15,AQ$13)="",10^12,OFFSET(CRONOPLE!$F$15,$M263-$A$15,AQ$13)))</f>
        <v>1000000000000</v>
      </c>
      <c r="AR263" s="172">
        <f ca="1">IF(OR($D263&lt;&gt;"Serviço",AND(AUTOEVENTO="Manual",$M263=$A$15)),0,
         IF(OFFSET(CRONOPLE!$F$15,$M263-$A$15,AR$13)="",10^12,OFFSET(CRONOPLE!$F$15,$M263-$A$15,AR$13)))</f>
        <v>1000000000000</v>
      </c>
      <c r="AS263" s="172">
        <f ca="1">IF(OR($D263&lt;&gt;"Serviço",AND(AUTOEVENTO="Manual",$M263=$A$15)),0,
         IF(OFFSET(CRONOPLE!$F$15,$M263-$A$15,AS$13)="",10^12,OFFSET(CRONOPLE!$F$15,$M263-$A$15,AS$13)))</f>
        <v>1000000000000</v>
      </c>
      <c r="AT263" s="172">
        <f ca="1">IF(OR($D263&lt;&gt;"Serviço",AND(AUTOEVENTO="Manual",$M263=$A$15)),0,
         IF(OFFSET(CRONOPLE!$F$15,$M263-$A$15,AT$13)="",10^12,OFFSET(CRONOPLE!$F$15,$M263-$A$15,AT$13)))</f>
        <v>1000000000000</v>
      </c>
      <c r="AU263" s="172">
        <f ca="1">IF(OR($D263&lt;&gt;"Serviço",AND(AUTOEVENTO="Manual",$M263=$A$15)),0,
         IF(OFFSET(CRONOPLE!$F$15,$M263-$A$15,AU$13)="",10^12,OFFSET(CRONOPLE!$F$15,$M263-$A$15,AU$13)))</f>
        <v>1000000000000</v>
      </c>
      <c r="AV263" s="172">
        <f ca="1">IF(OR($D263&lt;&gt;"Serviço",AND(AUTOEVENTO="Manual",$M263=$A$15)),0,
         IF(OFFSET(CRONOPLE!$F$15,$M263-$A$15,AV$13)="",10^12,OFFSET(CRONOPLE!$F$15,$M263-$A$15,AV$13)))</f>
        <v>1000000000000</v>
      </c>
      <c r="AX263" s="173">
        <f ca="1">IF(OR($D263&lt;&gt;"Serviço",AND(AUTOEVENTO="Manual",$M263=$A$15),$M263&gt;(ROW(PLE.lastrow)-ROW(PLE.firstrow))),0,
           IF(OFFSET(PLE!$G$15,$M263-$A$15,AX$13)="",10^12,OFFSET(PLE!$G$15,$M263-$A$15,AX$13)))</f>
        <v>1000000000000</v>
      </c>
      <c r="AY263" s="173">
        <f ca="1">IF(OR($D263&lt;&gt;"Serviço",AND(AUTOEVENTO="Manual",$M263=$A$15),$M263&gt;(ROW(PLE.lastrow)-ROW(PLE.firstrow))),0,
           IF(OFFSET(PLE!$G$15,$M263-$A$15,AY$13)="",10^12,OFFSET(PLE!$G$15,$M263-$A$15,AY$13)))</f>
        <v>1000000000000</v>
      </c>
      <c r="AZ263" s="173">
        <f ca="1">IF(OR($D263&lt;&gt;"Serviço",AND(AUTOEVENTO="Manual",$M263=$A$15),$M263&gt;(ROW(PLE.lastrow)-ROW(PLE.firstrow))),0,
           IF(OFFSET(PLE!$G$15,$M263-$A$15,AZ$13)="",10^12,OFFSET(PLE!$G$15,$M263-$A$15,AZ$13)))</f>
        <v>1000000000000</v>
      </c>
      <c r="BA263" s="173">
        <f ca="1">IF(OR($D263&lt;&gt;"Serviço",AND(AUTOEVENTO="Manual",$M263=$A$15),$M263&gt;(ROW(PLE.lastrow)-ROW(PLE.firstrow))),0,
           IF(OFFSET(PLE!$G$15,$M263-$A$15,BA$13)="",10^12,OFFSET(PLE!$G$15,$M263-$A$15,BA$13)))</f>
        <v>1000000000000</v>
      </c>
      <c r="BB263" s="173">
        <f ca="1">IF(OR($D263&lt;&gt;"Serviço",AND(AUTOEVENTO="Manual",$M263=$A$15),$M263&gt;(ROW(PLE.lastrow)-ROW(PLE.firstrow))),0,
           IF(OFFSET(PLE!$G$15,$M263-$A$15,BB$13)="",10^12,OFFSET(PLE!$G$15,$M263-$A$15,BB$13)))</f>
        <v>1000000000000</v>
      </c>
      <c r="BC263" s="173">
        <f ca="1">IF(OR($D263&lt;&gt;"Serviço",AND(AUTOEVENTO="Manual",$M263=$A$15),$M263&gt;(ROW(PLE.lastrow)-ROW(PLE.firstrow))),0,
           IF(OFFSET(PLE!$G$15,$M263-$A$15,BC$13)="",10^12,OFFSET(PLE!$G$15,$M263-$A$15,BC$13)))</f>
        <v>1000000000000</v>
      </c>
      <c r="BD263" s="173">
        <f ca="1">IF(OR($D263&lt;&gt;"Serviço",AND(AUTOEVENTO="Manual",$M263=$A$15),$M263&gt;(ROW(PLE.lastrow)-ROW(PLE.firstrow))),0,
           IF(OFFSET(PLE!$G$15,$M263-$A$15,BD$13)="",10^12,OFFSET(PLE!$G$15,$M263-$A$15,BD$13)))</f>
        <v>1000000000000</v>
      </c>
      <c r="BE263" s="173">
        <f ca="1">IF(OR($D263&lt;&gt;"Serviço",AND(AUTOEVENTO="Manual",$M263=$A$15),$M263&gt;(ROW(PLE.lastrow)-ROW(PLE.firstrow))),0,
           IF(OFFSET(PLE!$G$15,$M263-$A$15,BE$13)="",10^12,OFFSET(PLE!$G$15,$M263-$A$15,BE$13)))</f>
        <v>1000000000000</v>
      </c>
      <c r="BF263" s="173">
        <f ca="1">IF(OR($D263&lt;&gt;"Serviço",AND(AUTOEVENTO="Manual",$M263=$A$15),$M263&gt;(ROW(PLE.lastrow)-ROW(PLE.firstrow))),0,
           IF(OFFSET(PLE!$G$15,$M263-$A$15,BF$13)="",10^12,OFFSET(PLE!$G$15,$M263-$A$15,BF$13)))</f>
        <v>1000000000000</v>
      </c>
      <c r="BG263" s="173">
        <f ca="1">IF(OR($D263&lt;&gt;"Serviço",AND(AUTOEVENTO="Manual",$M263=$A$15),$M263&gt;(ROW(PLE.lastrow)-ROW(PLE.firstrow))),0,
           IF(OFFSET(PLE!$G$15,$M263-$A$15,BG$13)="",10^12,OFFSET(PLE!$G$15,$M263-$A$15,BG$13)))</f>
        <v>1000000000000</v>
      </c>
    </row>
    <row r="264" spans="1:59" ht="38.25" x14ac:dyDescent="0.2">
      <c r="A264" s="7" t="str">
        <f t="shared" ca="1" si="11"/>
        <v>239</v>
      </c>
      <c r="B264" s="7" t="str">
        <f ca="1">OFFSET(ORÇAMENTO!C$15,ROW(B264)-ROW(B$15),0)</f>
        <v>S</v>
      </c>
      <c r="C264" s="7" t="str">
        <f ca="1">OFFSET(ORÇAMENTO!L$15,ROW(C264)-ROW(C$15),0)</f>
        <v/>
      </c>
      <c r="D264" s="117" t="str">
        <f ca="1">OFFSET(ORÇAMENTO!N$15,ROW(D264)-ROW(D$15),0)</f>
        <v>Serviço</v>
      </c>
      <c r="E264" s="118" t="str">
        <f ca="1">OFFSET(ORÇAMENTO!O$15,ROW(E264)-ROW(E$15),0)</f>
        <v>-</v>
      </c>
      <c r="F264" s="164" t="str">
        <f ca="1">OFFSET(ORÇAMENTO!R$15,ROW(F264)-ROW(F$15),0)</f>
        <v>REDUÇÃO EXCÊNTRICA, PVC, SERIE R, ÁGUA PLUVIAL, DN 100 X 75 MM, JUNTA ELÁSTICA, FORNECIDO E INSTALADO EM RAMAL DE ENCAMINHAMENTO. AF_06/2022</v>
      </c>
      <c r="G264" s="165" t="str">
        <f ca="1">IF($D264&lt;&gt;"Serviço","",OFFSET(ORÇAMENTO!S$15,ROW(G264)-ROW(G$15),0))</f>
        <v>UN</v>
      </c>
      <c r="H264" s="123">
        <f ca="1">IF($D264&lt;&gt;"Serviço",0,IF(ACOMPANHAMENTO="BM",ROUND(OFFSET(ORÇAMENTO!AJ$15,ROW(H264)-ROW(H$15),0),15-13*ORÇAMENTO!$AF$7),SUMPRODUCT(($Q$1:$AA$1=1)*ROUND($Q264:$AA264,15-13*ORÇAMENTO!$AF$7))))</f>
        <v>59</v>
      </c>
      <c r="I264" s="469"/>
      <c r="J264" s="577" t="str" cm="1">
        <f t="array" aca="1" ref="J264" ca="1">IF(B264&lt;&gt;"S","",IF(AND(ACOMPANHAMENTO="PLE",AUTOEVENTO="Manual",OR(H264&gt;0,ORÇAMENTO!AC264="QUANT."),OR(K264="",M264=0,N264="")),"►",IF(AND(ACOMPANHAMENTO="PLE",ORÇAMENTO!AC264="QUANT."),"►►",IF(AND(COUNTIF($P$11:$AA$11,"▼")=0,H264&gt;0,I264=""),"◄",""))))</f>
        <v>◄</v>
      </c>
      <c r="K264" s="626"/>
      <c r="L264" s="166" t="s">
        <v>765</v>
      </c>
      <c r="M264" s="167">
        <f ca="1">IF($D264&lt;&gt;"Serviço","",
          IF(AUTOEVENTO="manual",$A264,
                IF(ISERROR(MATCH($A264,$A$15:OFFSET($A264,-1,0),0)),MAX($M$15:OFFSET(M264,-1,0))+1,
                      INDEX($M$15:OFFSET(M264,-1,0),MATCH($A264,$A$15:OFFSET($A264,-1,0),0)))))</f>
        <v>15</v>
      </c>
      <c r="N264" s="168" t="str">
        <f ca="1">IF($D264&lt;&gt;"Serviço","",
         IF(AUTOEVENTO="Manual",
                IF($A264=0,"&lt;-- defina o número do agrupador",
                       OFFSET(EVENTOS!$D$15,$A264-$A$15,0)),
                OFFSET($F$15,$A264,0)))</f>
        <v>INSTALAÇÕES PLUVIAIS</v>
      </c>
      <c r="O264" s="169"/>
      <c r="Q264" s="169"/>
      <c r="R264" s="170"/>
      <c r="S264" s="170"/>
      <c r="T264" s="170"/>
      <c r="U264" s="170"/>
      <c r="V264" s="170"/>
      <c r="W264" s="170"/>
      <c r="X264" s="170"/>
      <c r="Y264" s="170"/>
      <c r="Z264" s="171"/>
      <c r="AB264" s="454">
        <f ca="1">IF(AND($D264="Serviço",AB$12&lt;&gt;0,$H264&gt;0,OR(AUTOEVENTO&lt;&gt;"manual",$M264&lt;&gt;$A$15)),
        IF(Import.TipoArredondamento&lt;&gt;"TransfereGOV",
              ROUND(OFFSET($P264,0,AB$13),15-13*ORÇAMENTO!$AF$7)/$H264*OFFSET(ORÇAMENTO!$X$15,ROW(AB264)-ROW(AB$15),0),
              ROUND(ROUND(OFFSET($P264,0,AB$13),15-13*ORÇAMENTO!$AF$7)*OFFSET(ORÇAMENTO!$W$15,ROW(AB264)-ROW(AB$15),0),15-13*ORÇAMENTO!$AF$11)),
         0)</f>
        <v>0</v>
      </c>
      <c r="AC264" s="454">
        <f ca="1">IF(AND($D264="Serviço",AC$12&lt;&gt;0,$H264&gt;0,OR(AUTOEVENTO&lt;&gt;"manual",$M264&lt;&gt;$A$15)),
        IF(Import.TipoArredondamento&lt;&gt;"TransfereGOV",
              ROUND(OFFSET($P264,0,AC$13),15-13*ORÇAMENTO!$AF$7)/$H264*OFFSET(ORÇAMENTO!$X$15,ROW(AC264)-ROW(AC$15),0),
              ROUND(ROUND(OFFSET($P264,0,AC$13),15-13*ORÇAMENTO!$AF$7)*OFFSET(ORÇAMENTO!$W$15,ROW(AC264)-ROW(AC$15),0),15-13*ORÇAMENTO!$AF$11)),
         0)</f>
        <v>0</v>
      </c>
      <c r="AD264" s="454">
        <f ca="1">IF(AND($D264="Serviço",AD$12&lt;&gt;0,$H264&gt;0,OR(AUTOEVENTO&lt;&gt;"manual",$M264&lt;&gt;$A$15)),
        IF(Import.TipoArredondamento&lt;&gt;"TransfereGOV",
              ROUND(OFFSET($P264,0,AD$13),15-13*ORÇAMENTO!$AF$7)/$H264*OFFSET(ORÇAMENTO!$X$15,ROW(AD264)-ROW(AD$15),0),
              ROUND(ROUND(OFFSET($P264,0,AD$13),15-13*ORÇAMENTO!$AF$7)*OFFSET(ORÇAMENTO!$W$15,ROW(AD264)-ROW(AD$15),0),15-13*ORÇAMENTO!$AF$11)),
         0)</f>
        <v>0</v>
      </c>
      <c r="AE264" s="454">
        <f ca="1">IF(AND($D264="Serviço",AE$12&lt;&gt;0,$H264&gt;0,OR(AUTOEVENTO&lt;&gt;"manual",$M264&lt;&gt;$A$15)),
        IF(Import.TipoArredondamento&lt;&gt;"TransfereGOV",
              ROUND(OFFSET($P264,0,AE$13),15-13*ORÇAMENTO!$AF$7)/$H264*OFFSET(ORÇAMENTO!$X$15,ROW(AE264)-ROW(AE$15),0),
              ROUND(ROUND(OFFSET($P264,0,AE$13),15-13*ORÇAMENTO!$AF$7)*OFFSET(ORÇAMENTO!$W$15,ROW(AE264)-ROW(AE$15),0),15-13*ORÇAMENTO!$AF$11)),
         0)</f>
        <v>0</v>
      </c>
      <c r="AF264" s="454">
        <f ca="1">IF(AND($D264="Serviço",AF$12&lt;&gt;0,$H264&gt;0,OR(AUTOEVENTO&lt;&gt;"manual",$M264&lt;&gt;$A$15)),
        IF(Import.TipoArredondamento&lt;&gt;"TransfereGOV",
              ROUND(OFFSET($P264,0,AF$13),15-13*ORÇAMENTO!$AF$7)/$H264*OFFSET(ORÇAMENTO!$X$15,ROW(AF264)-ROW(AF$15),0),
              ROUND(ROUND(OFFSET($P264,0,AF$13),15-13*ORÇAMENTO!$AF$7)*OFFSET(ORÇAMENTO!$W$15,ROW(AF264)-ROW(AF$15),0),15-13*ORÇAMENTO!$AF$11)),
         0)</f>
        <v>0</v>
      </c>
      <c r="AG264" s="454">
        <f ca="1">IF(AND($D264="Serviço",AG$12&lt;&gt;0,$H264&gt;0,OR(AUTOEVENTO&lt;&gt;"manual",$M264&lt;&gt;$A$15)),
        IF(Import.TipoArredondamento&lt;&gt;"TransfereGOV",
              ROUND(OFFSET($P264,0,AG$13),15-13*ORÇAMENTO!$AF$7)/$H264*OFFSET(ORÇAMENTO!$X$15,ROW(AG264)-ROW(AG$15),0),
              ROUND(ROUND(OFFSET($P264,0,AG$13),15-13*ORÇAMENTO!$AF$7)*OFFSET(ORÇAMENTO!$W$15,ROW(AG264)-ROW(AG$15),0),15-13*ORÇAMENTO!$AF$11)),
         0)</f>
        <v>0</v>
      </c>
      <c r="AH264" s="454">
        <f ca="1">IF(AND($D264="Serviço",AH$12&lt;&gt;0,$H264&gt;0,OR(AUTOEVENTO&lt;&gt;"manual",$M264&lt;&gt;$A$15)),
        IF(Import.TipoArredondamento&lt;&gt;"TransfereGOV",
              ROUND(OFFSET($P264,0,AH$13),15-13*ORÇAMENTO!$AF$7)/$H264*OFFSET(ORÇAMENTO!$X$15,ROW(AH264)-ROW(AH$15),0),
              ROUND(ROUND(OFFSET($P264,0,AH$13),15-13*ORÇAMENTO!$AF$7)*OFFSET(ORÇAMENTO!$W$15,ROW(AH264)-ROW(AH$15),0),15-13*ORÇAMENTO!$AF$11)),
         0)</f>
        <v>0</v>
      </c>
      <c r="AI264" s="454">
        <f ca="1">IF(AND($D264="Serviço",AI$12&lt;&gt;0,$H264&gt;0,OR(AUTOEVENTO&lt;&gt;"manual",$M264&lt;&gt;$A$15)),
        IF(Import.TipoArredondamento&lt;&gt;"TransfereGOV",
              ROUND(OFFSET($P264,0,AI$13),15-13*ORÇAMENTO!$AF$7)/$H264*OFFSET(ORÇAMENTO!$X$15,ROW(AI264)-ROW(AI$15),0),
              ROUND(ROUND(OFFSET($P264,0,AI$13),15-13*ORÇAMENTO!$AF$7)*OFFSET(ORÇAMENTO!$W$15,ROW(AI264)-ROW(AI$15),0),15-13*ORÇAMENTO!$AF$11)),
         0)</f>
        <v>0</v>
      </c>
      <c r="AJ264" s="454">
        <f ca="1">IF(AND($D264="Serviço",AJ$12&lt;&gt;0,$H264&gt;0,OR(AUTOEVENTO&lt;&gt;"manual",$M264&lt;&gt;$A$15)),
        IF(Import.TipoArredondamento&lt;&gt;"TransfereGOV",
              ROUND(OFFSET($P264,0,AJ$13),15-13*ORÇAMENTO!$AF$7)/$H264*OFFSET(ORÇAMENTO!$X$15,ROW(AJ264)-ROW(AJ$15),0),
              ROUND(ROUND(OFFSET($P264,0,AJ$13),15-13*ORÇAMENTO!$AF$7)*OFFSET(ORÇAMENTO!$W$15,ROW(AJ264)-ROW(AJ$15),0),15-13*ORÇAMENTO!$AF$11)),
         0)</f>
        <v>0</v>
      </c>
      <c r="AK264" s="454">
        <f ca="1">IF(AND($D264="Serviço",AK$12&lt;&gt;0,$H264&gt;0,OR(AUTOEVENTO&lt;&gt;"manual",$M264&lt;&gt;$A$15)),
        IF(Import.TipoArredondamento&lt;&gt;"TransfereGOV",
              ROUND(OFFSET($P264,0,AK$13),15-13*ORÇAMENTO!$AF$7)/$H264*OFFSET(ORÇAMENTO!$X$15,ROW(AK264)-ROW(AK$15),0),
              ROUND(ROUND(OFFSET($P264,0,AK$13),15-13*ORÇAMENTO!$AF$7)*OFFSET(ORÇAMENTO!$W$15,ROW(AK264)-ROW(AK$15),0),15-13*ORÇAMENTO!$AF$11)),
         0)</f>
        <v>0</v>
      </c>
      <c r="AM264" s="172">
        <f ca="1">IF(OR($D264&lt;&gt;"Serviço",AND(AUTOEVENTO="Manual",$M264=$A$15)),0,
         IF(OFFSET(CRONOPLE!$F$15,$M264-$A$15,AM$13)="",10^12,OFFSET(CRONOPLE!$F$15,$M264-$A$15,AM$13)))</f>
        <v>1000000000000</v>
      </c>
      <c r="AN264" s="172">
        <f ca="1">IF(OR($D264&lt;&gt;"Serviço",AND(AUTOEVENTO="Manual",$M264=$A$15)),0,
         IF(OFFSET(CRONOPLE!$F$15,$M264-$A$15,AN$13)="",10^12,OFFSET(CRONOPLE!$F$15,$M264-$A$15,AN$13)))</f>
        <v>1000000000000</v>
      </c>
      <c r="AO264" s="172">
        <f ca="1">IF(OR($D264&lt;&gt;"Serviço",AND(AUTOEVENTO="Manual",$M264=$A$15)),0,
         IF(OFFSET(CRONOPLE!$F$15,$M264-$A$15,AO$13)="",10^12,OFFSET(CRONOPLE!$F$15,$M264-$A$15,AO$13)))</f>
        <v>1000000000000</v>
      </c>
      <c r="AP264" s="172">
        <f ca="1">IF(OR($D264&lt;&gt;"Serviço",AND(AUTOEVENTO="Manual",$M264=$A$15)),0,
         IF(OFFSET(CRONOPLE!$F$15,$M264-$A$15,AP$13)="",10^12,OFFSET(CRONOPLE!$F$15,$M264-$A$15,AP$13)))</f>
        <v>1000000000000</v>
      </c>
      <c r="AQ264" s="172">
        <f ca="1">IF(OR($D264&lt;&gt;"Serviço",AND(AUTOEVENTO="Manual",$M264=$A$15)),0,
         IF(OFFSET(CRONOPLE!$F$15,$M264-$A$15,AQ$13)="",10^12,OFFSET(CRONOPLE!$F$15,$M264-$A$15,AQ$13)))</f>
        <v>1000000000000</v>
      </c>
      <c r="AR264" s="172">
        <f ca="1">IF(OR($D264&lt;&gt;"Serviço",AND(AUTOEVENTO="Manual",$M264=$A$15)),0,
         IF(OFFSET(CRONOPLE!$F$15,$M264-$A$15,AR$13)="",10^12,OFFSET(CRONOPLE!$F$15,$M264-$A$15,AR$13)))</f>
        <v>1000000000000</v>
      </c>
      <c r="AS264" s="172">
        <f ca="1">IF(OR($D264&lt;&gt;"Serviço",AND(AUTOEVENTO="Manual",$M264=$A$15)),0,
         IF(OFFSET(CRONOPLE!$F$15,$M264-$A$15,AS$13)="",10^12,OFFSET(CRONOPLE!$F$15,$M264-$A$15,AS$13)))</f>
        <v>1000000000000</v>
      </c>
      <c r="AT264" s="172">
        <f ca="1">IF(OR($D264&lt;&gt;"Serviço",AND(AUTOEVENTO="Manual",$M264=$A$15)),0,
         IF(OFFSET(CRONOPLE!$F$15,$M264-$A$15,AT$13)="",10^12,OFFSET(CRONOPLE!$F$15,$M264-$A$15,AT$13)))</f>
        <v>1000000000000</v>
      </c>
      <c r="AU264" s="172">
        <f ca="1">IF(OR($D264&lt;&gt;"Serviço",AND(AUTOEVENTO="Manual",$M264=$A$15)),0,
         IF(OFFSET(CRONOPLE!$F$15,$M264-$A$15,AU$13)="",10^12,OFFSET(CRONOPLE!$F$15,$M264-$A$15,AU$13)))</f>
        <v>1000000000000</v>
      </c>
      <c r="AV264" s="172">
        <f ca="1">IF(OR($D264&lt;&gt;"Serviço",AND(AUTOEVENTO="Manual",$M264=$A$15)),0,
         IF(OFFSET(CRONOPLE!$F$15,$M264-$A$15,AV$13)="",10^12,OFFSET(CRONOPLE!$F$15,$M264-$A$15,AV$13)))</f>
        <v>1000000000000</v>
      </c>
      <c r="AX264" s="173">
        <f ca="1">IF(OR($D264&lt;&gt;"Serviço",AND(AUTOEVENTO="Manual",$M264=$A$15),$M264&gt;(ROW(PLE.lastrow)-ROW(PLE.firstrow))),0,
           IF(OFFSET(PLE!$G$15,$M264-$A$15,AX$13)="",10^12,OFFSET(PLE!$G$15,$M264-$A$15,AX$13)))</f>
        <v>1000000000000</v>
      </c>
      <c r="AY264" s="173">
        <f ca="1">IF(OR($D264&lt;&gt;"Serviço",AND(AUTOEVENTO="Manual",$M264=$A$15),$M264&gt;(ROW(PLE.lastrow)-ROW(PLE.firstrow))),0,
           IF(OFFSET(PLE!$G$15,$M264-$A$15,AY$13)="",10^12,OFFSET(PLE!$G$15,$M264-$A$15,AY$13)))</f>
        <v>1000000000000</v>
      </c>
      <c r="AZ264" s="173">
        <f ca="1">IF(OR($D264&lt;&gt;"Serviço",AND(AUTOEVENTO="Manual",$M264=$A$15),$M264&gt;(ROW(PLE.lastrow)-ROW(PLE.firstrow))),0,
           IF(OFFSET(PLE!$G$15,$M264-$A$15,AZ$13)="",10^12,OFFSET(PLE!$G$15,$M264-$A$15,AZ$13)))</f>
        <v>1000000000000</v>
      </c>
      <c r="BA264" s="173">
        <f ca="1">IF(OR($D264&lt;&gt;"Serviço",AND(AUTOEVENTO="Manual",$M264=$A$15),$M264&gt;(ROW(PLE.lastrow)-ROW(PLE.firstrow))),0,
           IF(OFFSET(PLE!$G$15,$M264-$A$15,BA$13)="",10^12,OFFSET(PLE!$G$15,$M264-$A$15,BA$13)))</f>
        <v>1000000000000</v>
      </c>
      <c r="BB264" s="173">
        <f ca="1">IF(OR($D264&lt;&gt;"Serviço",AND(AUTOEVENTO="Manual",$M264=$A$15),$M264&gt;(ROW(PLE.lastrow)-ROW(PLE.firstrow))),0,
           IF(OFFSET(PLE!$G$15,$M264-$A$15,BB$13)="",10^12,OFFSET(PLE!$G$15,$M264-$A$15,BB$13)))</f>
        <v>1000000000000</v>
      </c>
      <c r="BC264" s="173">
        <f ca="1">IF(OR($D264&lt;&gt;"Serviço",AND(AUTOEVENTO="Manual",$M264=$A$15),$M264&gt;(ROW(PLE.lastrow)-ROW(PLE.firstrow))),0,
           IF(OFFSET(PLE!$G$15,$M264-$A$15,BC$13)="",10^12,OFFSET(PLE!$G$15,$M264-$A$15,BC$13)))</f>
        <v>1000000000000</v>
      </c>
      <c r="BD264" s="173">
        <f ca="1">IF(OR($D264&lt;&gt;"Serviço",AND(AUTOEVENTO="Manual",$M264=$A$15),$M264&gt;(ROW(PLE.lastrow)-ROW(PLE.firstrow))),0,
           IF(OFFSET(PLE!$G$15,$M264-$A$15,BD$13)="",10^12,OFFSET(PLE!$G$15,$M264-$A$15,BD$13)))</f>
        <v>1000000000000</v>
      </c>
      <c r="BE264" s="173">
        <f ca="1">IF(OR($D264&lt;&gt;"Serviço",AND(AUTOEVENTO="Manual",$M264=$A$15),$M264&gt;(ROW(PLE.lastrow)-ROW(PLE.firstrow))),0,
           IF(OFFSET(PLE!$G$15,$M264-$A$15,BE$13)="",10^12,OFFSET(PLE!$G$15,$M264-$A$15,BE$13)))</f>
        <v>1000000000000</v>
      </c>
      <c r="BF264" s="173">
        <f ca="1">IF(OR($D264&lt;&gt;"Serviço",AND(AUTOEVENTO="Manual",$M264=$A$15),$M264&gt;(ROW(PLE.lastrow)-ROW(PLE.firstrow))),0,
           IF(OFFSET(PLE!$G$15,$M264-$A$15,BF$13)="",10^12,OFFSET(PLE!$G$15,$M264-$A$15,BF$13)))</f>
        <v>1000000000000</v>
      </c>
      <c r="BG264" s="173">
        <f ca="1">IF(OR($D264&lt;&gt;"Serviço",AND(AUTOEVENTO="Manual",$M264=$A$15),$M264&gt;(ROW(PLE.lastrow)-ROW(PLE.firstrow))),0,
           IF(OFFSET(PLE!$G$15,$M264-$A$15,BG$13)="",10^12,OFFSET(PLE!$G$15,$M264-$A$15,BG$13)))</f>
        <v>1000000000000</v>
      </c>
    </row>
    <row r="265" spans="1:59" ht="38.25" x14ac:dyDescent="0.2">
      <c r="A265" s="7" t="str">
        <f t="shared" ca="1" si="11"/>
        <v>239</v>
      </c>
      <c r="B265" s="7" t="str">
        <f ca="1">OFFSET(ORÇAMENTO!C$15,ROW(B265)-ROW(B$15),0)</f>
        <v>S</v>
      </c>
      <c r="C265" s="7" t="str">
        <f ca="1">OFFSET(ORÇAMENTO!L$15,ROW(C265)-ROW(C$15),0)</f>
        <v/>
      </c>
      <c r="D265" s="117" t="str">
        <f ca="1">OFFSET(ORÇAMENTO!N$15,ROW(D265)-ROW(D$15),0)</f>
        <v>Serviço</v>
      </c>
      <c r="E265" s="118" t="str">
        <f ca="1">OFFSET(ORÇAMENTO!O$15,ROW(E265)-ROW(E$15),0)</f>
        <v>-</v>
      </c>
      <c r="F265" s="164" t="str">
        <f ca="1">OFFSET(ORÇAMENTO!R$15,ROW(F265)-ROW(F$15),0)</f>
        <v>TUBO PVC, SÉRIE R, ÁGUA PLUVIAL, DN 100 MM, FORNECIDO E INSTALADO EM CONDUTORES VERTICAIS DE ÁGUAS PLUVIAIS. AF_06/2022</v>
      </c>
      <c r="G265" s="165" t="str">
        <f ca="1">IF($D265&lt;&gt;"Serviço","",OFFSET(ORÇAMENTO!S$15,ROW(G265)-ROW(G$15),0))</f>
        <v>M</v>
      </c>
      <c r="H265" s="123">
        <f ca="1">IF($D265&lt;&gt;"Serviço",0,IF(ACOMPANHAMENTO="BM",ROUND(OFFSET(ORÇAMENTO!AJ$15,ROW(H265)-ROW(H$15),0),15-13*ORÇAMENTO!$AF$7),SUMPRODUCT(($Q$1:$AA$1=1)*ROUND($Q265:$AA265,15-13*ORÇAMENTO!$AF$7))))</f>
        <v>185.9</v>
      </c>
      <c r="I265" s="469"/>
      <c r="J265" s="577" t="str" cm="1">
        <f t="array" aca="1" ref="J265" ca="1">IF(B265&lt;&gt;"S","",IF(AND(ACOMPANHAMENTO="PLE",AUTOEVENTO="Manual",OR(H265&gt;0,ORÇAMENTO!AC265="QUANT."),OR(K265="",M265=0,N265="")),"►",IF(AND(ACOMPANHAMENTO="PLE",ORÇAMENTO!AC265="QUANT."),"►►",IF(AND(COUNTIF($P$11:$AA$11,"▼")=0,H265&gt;0,I265=""),"◄",""))))</f>
        <v>◄</v>
      </c>
      <c r="K265" s="626"/>
      <c r="L265" s="166" t="s">
        <v>765</v>
      </c>
      <c r="M265" s="167">
        <f ca="1">IF($D265&lt;&gt;"Serviço","",
          IF(AUTOEVENTO="manual",$A265,
                IF(ISERROR(MATCH($A265,$A$15:OFFSET($A265,-1,0),0)),MAX($M$15:OFFSET(M265,-1,0))+1,
                      INDEX($M$15:OFFSET(M265,-1,0),MATCH($A265,$A$15:OFFSET($A265,-1,0),0)))))</f>
        <v>15</v>
      </c>
      <c r="N265" s="168" t="str">
        <f ca="1">IF($D265&lt;&gt;"Serviço","",
         IF(AUTOEVENTO="Manual",
                IF($A265=0,"&lt;-- defina o número do agrupador",
                       OFFSET(EVENTOS!$D$15,$A265-$A$15,0)),
                OFFSET($F$15,$A265,0)))</f>
        <v>INSTALAÇÕES PLUVIAIS</v>
      </c>
      <c r="O265" s="169"/>
      <c r="Q265" s="169"/>
      <c r="R265" s="170"/>
      <c r="S265" s="170"/>
      <c r="T265" s="170"/>
      <c r="U265" s="170"/>
      <c r="V265" s="170"/>
      <c r="W265" s="170"/>
      <c r="X265" s="170"/>
      <c r="Y265" s="170"/>
      <c r="Z265" s="171"/>
      <c r="AB265" s="454">
        <f ca="1">IF(AND($D265="Serviço",AB$12&lt;&gt;0,$H265&gt;0,OR(AUTOEVENTO&lt;&gt;"manual",$M265&lt;&gt;$A$15)),
        IF(Import.TipoArredondamento&lt;&gt;"TransfereGOV",
              ROUND(OFFSET($P265,0,AB$13),15-13*ORÇAMENTO!$AF$7)/$H265*OFFSET(ORÇAMENTO!$X$15,ROW(AB265)-ROW(AB$15),0),
              ROUND(ROUND(OFFSET($P265,0,AB$13),15-13*ORÇAMENTO!$AF$7)*OFFSET(ORÇAMENTO!$W$15,ROW(AB265)-ROW(AB$15),0),15-13*ORÇAMENTO!$AF$11)),
         0)</f>
        <v>0</v>
      </c>
      <c r="AC265" s="454">
        <f ca="1">IF(AND($D265="Serviço",AC$12&lt;&gt;0,$H265&gt;0,OR(AUTOEVENTO&lt;&gt;"manual",$M265&lt;&gt;$A$15)),
        IF(Import.TipoArredondamento&lt;&gt;"TransfereGOV",
              ROUND(OFFSET($P265,0,AC$13),15-13*ORÇAMENTO!$AF$7)/$H265*OFFSET(ORÇAMENTO!$X$15,ROW(AC265)-ROW(AC$15),0),
              ROUND(ROUND(OFFSET($P265,0,AC$13),15-13*ORÇAMENTO!$AF$7)*OFFSET(ORÇAMENTO!$W$15,ROW(AC265)-ROW(AC$15),0),15-13*ORÇAMENTO!$AF$11)),
         0)</f>
        <v>0</v>
      </c>
      <c r="AD265" s="454">
        <f ca="1">IF(AND($D265="Serviço",AD$12&lt;&gt;0,$H265&gt;0,OR(AUTOEVENTO&lt;&gt;"manual",$M265&lt;&gt;$A$15)),
        IF(Import.TipoArredondamento&lt;&gt;"TransfereGOV",
              ROUND(OFFSET($P265,0,AD$13),15-13*ORÇAMENTO!$AF$7)/$H265*OFFSET(ORÇAMENTO!$X$15,ROW(AD265)-ROW(AD$15),0),
              ROUND(ROUND(OFFSET($P265,0,AD$13),15-13*ORÇAMENTO!$AF$7)*OFFSET(ORÇAMENTO!$W$15,ROW(AD265)-ROW(AD$15),0),15-13*ORÇAMENTO!$AF$11)),
         0)</f>
        <v>0</v>
      </c>
      <c r="AE265" s="454">
        <f ca="1">IF(AND($D265="Serviço",AE$12&lt;&gt;0,$H265&gt;0,OR(AUTOEVENTO&lt;&gt;"manual",$M265&lt;&gt;$A$15)),
        IF(Import.TipoArredondamento&lt;&gt;"TransfereGOV",
              ROUND(OFFSET($P265,0,AE$13),15-13*ORÇAMENTO!$AF$7)/$H265*OFFSET(ORÇAMENTO!$X$15,ROW(AE265)-ROW(AE$15),0),
              ROUND(ROUND(OFFSET($P265,0,AE$13),15-13*ORÇAMENTO!$AF$7)*OFFSET(ORÇAMENTO!$W$15,ROW(AE265)-ROW(AE$15),0),15-13*ORÇAMENTO!$AF$11)),
         0)</f>
        <v>0</v>
      </c>
      <c r="AF265" s="454">
        <f ca="1">IF(AND($D265="Serviço",AF$12&lt;&gt;0,$H265&gt;0,OR(AUTOEVENTO&lt;&gt;"manual",$M265&lt;&gt;$A$15)),
        IF(Import.TipoArredondamento&lt;&gt;"TransfereGOV",
              ROUND(OFFSET($P265,0,AF$13),15-13*ORÇAMENTO!$AF$7)/$H265*OFFSET(ORÇAMENTO!$X$15,ROW(AF265)-ROW(AF$15),0),
              ROUND(ROUND(OFFSET($P265,0,AF$13),15-13*ORÇAMENTO!$AF$7)*OFFSET(ORÇAMENTO!$W$15,ROW(AF265)-ROW(AF$15),0),15-13*ORÇAMENTO!$AF$11)),
         0)</f>
        <v>0</v>
      </c>
      <c r="AG265" s="454">
        <f ca="1">IF(AND($D265="Serviço",AG$12&lt;&gt;0,$H265&gt;0,OR(AUTOEVENTO&lt;&gt;"manual",$M265&lt;&gt;$A$15)),
        IF(Import.TipoArredondamento&lt;&gt;"TransfereGOV",
              ROUND(OFFSET($P265,0,AG$13),15-13*ORÇAMENTO!$AF$7)/$H265*OFFSET(ORÇAMENTO!$X$15,ROW(AG265)-ROW(AG$15),0),
              ROUND(ROUND(OFFSET($P265,0,AG$13),15-13*ORÇAMENTO!$AF$7)*OFFSET(ORÇAMENTO!$W$15,ROW(AG265)-ROW(AG$15),0),15-13*ORÇAMENTO!$AF$11)),
         0)</f>
        <v>0</v>
      </c>
      <c r="AH265" s="454">
        <f ca="1">IF(AND($D265="Serviço",AH$12&lt;&gt;0,$H265&gt;0,OR(AUTOEVENTO&lt;&gt;"manual",$M265&lt;&gt;$A$15)),
        IF(Import.TipoArredondamento&lt;&gt;"TransfereGOV",
              ROUND(OFFSET($P265,0,AH$13),15-13*ORÇAMENTO!$AF$7)/$H265*OFFSET(ORÇAMENTO!$X$15,ROW(AH265)-ROW(AH$15),0),
              ROUND(ROUND(OFFSET($P265,0,AH$13),15-13*ORÇAMENTO!$AF$7)*OFFSET(ORÇAMENTO!$W$15,ROW(AH265)-ROW(AH$15),0),15-13*ORÇAMENTO!$AF$11)),
         0)</f>
        <v>0</v>
      </c>
      <c r="AI265" s="454">
        <f ca="1">IF(AND($D265="Serviço",AI$12&lt;&gt;0,$H265&gt;0,OR(AUTOEVENTO&lt;&gt;"manual",$M265&lt;&gt;$A$15)),
        IF(Import.TipoArredondamento&lt;&gt;"TransfereGOV",
              ROUND(OFFSET($P265,0,AI$13),15-13*ORÇAMENTO!$AF$7)/$H265*OFFSET(ORÇAMENTO!$X$15,ROW(AI265)-ROW(AI$15),0),
              ROUND(ROUND(OFFSET($P265,0,AI$13),15-13*ORÇAMENTO!$AF$7)*OFFSET(ORÇAMENTO!$W$15,ROW(AI265)-ROW(AI$15),0),15-13*ORÇAMENTO!$AF$11)),
         0)</f>
        <v>0</v>
      </c>
      <c r="AJ265" s="454">
        <f ca="1">IF(AND($D265="Serviço",AJ$12&lt;&gt;0,$H265&gt;0,OR(AUTOEVENTO&lt;&gt;"manual",$M265&lt;&gt;$A$15)),
        IF(Import.TipoArredondamento&lt;&gt;"TransfereGOV",
              ROUND(OFFSET($P265,0,AJ$13),15-13*ORÇAMENTO!$AF$7)/$H265*OFFSET(ORÇAMENTO!$X$15,ROW(AJ265)-ROW(AJ$15),0),
              ROUND(ROUND(OFFSET($P265,0,AJ$13),15-13*ORÇAMENTO!$AF$7)*OFFSET(ORÇAMENTO!$W$15,ROW(AJ265)-ROW(AJ$15),0),15-13*ORÇAMENTO!$AF$11)),
         0)</f>
        <v>0</v>
      </c>
      <c r="AK265" s="454">
        <f ca="1">IF(AND($D265="Serviço",AK$12&lt;&gt;0,$H265&gt;0,OR(AUTOEVENTO&lt;&gt;"manual",$M265&lt;&gt;$A$15)),
        IF(Import.TipoArredondamento&lt;&gt;"TransfereGOV",
              ROUND(OFFSET($P265,0,AK$13),15-13*ORÇAMENTO!$AF$7)/$H265*OFFSET(ORÇAMENTO!$X$15,ROW(AK265)-ROW(AK$15),0),
              ROUND(ROUND(OFFSET($P265,0,AK$13),15-13*ORÇAMENTO!$AF$7)*OFFSET(ORÇAMENTO!$W$15,ROW(AK265)-ROW(AK$15),0),15-13*ORÇAMENTO!$AF$11)),
         0)</f>
        <v>0</v>
      </c>
      <c r="AM265" s="172">
        <f ca="1">IF(OR($D265&lt;&gt;"Serviço",AND(AUTOEVENTO="Manual",$M265=$A$15)),0,
         IF(OFFSET(CRONOPLE!$F$15,$M265-$A$15,AM$13)="",10^12,OFFSET(CRONOPLE!$F$15,$M265-$A$15,AM$13)))</f>
        <v>1000000000000</v>
      </c>
      <c r="AN265" s="172">
        <f ca="1">IF(OR($D265&lt;&gt;"Serviço",AND(AUTOEVENTO="Manual",$M265=$A$15)),0,
         IF(OFFSET(CRONOPLE!$F$15,$M265-$A$15,AN$13)="",10^12,OFFSET(CRONOPLE!$F$15,$M265-$A$15,AN$13)))</f>
        <v>1000000000000</v>
      </c>
      <c r="AO265" s="172">
        <f ca="1">IF(OR($D265&lt;&gt;"Serviço",AND(AUTOEVENTO="Manual",$M265=$A$15)),0,
         IF(OFFSET(CRONOPLE!$F$15,$M265-$A$15,AO$13)="",10^12,OFFSET(CRONOPLE!$F$15,$M265-$A$15,AO$13)))</f>
        <v>1000000000000</v>
      </c>
      <c r="AP265" s="172">
        <f ca="1">IF(OR($D265&lt;&gt;"Serviço",AND(AUTOEVENTO="Manual",$M265=$A$15)),0,
         IF(OFFSET(CRONOPLE!$F$15,$M265-$A$15,AP$13)="",10^12,OFFSET(CRONOPLE!$F$15,$M265-$A$15,AP$13)))</f>
        <v>1000000000000</v>
      </c>
      <c r="AQ265" s="172">
        <f ca="1">IF(OR($D265&lt;&gt;"Serviço",AND(AUTOEVENTO="Manual",$M265=$A$15)),0,
         IF(OFFSET(CRONOPLE!$F$15,$M265-$A$15,AQ$13)="",10^12,OFFSET(CRONOPLE!$F$15,$M265-$A$15,AQ$13)))</f>
        <v>1000000000000</v>
      </c>
      <c r="AR265" s="172">
        <f ca="1">IF(OR($D265&lt;&gt;"Serviço",AND(AUTOEVENTO="Manual",$M265=$A$15)),0,
         IF(OFFSET(CRONOPLE!$F$15,$M265-$A$15,AR$13)="",10^12,OFFSET(CRONOPLE!$F$15,$M265-$A$15,AR$13)))</f>
        <v>1000000000000</v>
      </c>
      <c r="AS265" s="172">
        <f ca="1">IF(OR($D265&lt;&gt;"Serviço",AND(AUTOEVENTO="Manual",$M265=$A$15)),0,
         IF(OFFSET(CRONOPLE!$F$15,$M265-$A$15,AS$13)="",10^12,OFFSET(CRONOPLE!$F$15,$M265-$A$15,AS$13)))</f>
        <v>1000000000000</v>
      </c>
      <c r="AT265" s="172">
        <f ca="1">IF(OR($D265&lt;&gt;"Serviço",AND(AUTOEVENTO="Manual",$M265=$A$15)),0,
         IF(OFFSET(CRONOPLE!$F$15,$M265-$A$15,AT$13)="",10^12,OFFSET(CRONOPLE!$F$15,$M265-$A$15,AT$13)))</f>
        <v>1000000000000</v>
      </c>
      <c r="AU265" s="172">
        <f ca="1">IF(OR($D265&lt;&gt;"Serviço",AND(AUTOEVENTO="Manual",$M265=$A$15)),0,
         IF(OFFSET(CRONOPLE!$F$15,$M265-$A$15,AU$13)="",10^12,OFFSET(CRONOPLE!$F$15,$M265-$A$15,AU$13)))</f>
        <v>1000000000000</v>
      </c>
      <c r="AV265" s="172">
        <f ca="1">IF(OR($D265&lt;&gt;"Serviço",AND(AUTOEVENTO="Manual",$M265=$A$15)),0,
         IF(OFFSET(CRONOPLE!$F$15,$M265-$A$15,AV$13)="",10^12,OFFSET(CRONOPLE!$F$15,$M265-$A$15,AV$13)))</f>
        <v>1000000000000</v>
      </c>
      <c r="AX265" s="173">
        <f ca="1">IF(OR($D265&lt;&gt;"Serviço",AND(AUTOEVENTO="Manual",$M265=$A$15),$M265&gt;(ROW(PLE.lastrow)-ROW(PLE.firstrow))),0,
           IF(OFFSET(PLE!$G$15,$M265-$A$15,AX$13)="",10^12,OFFSET(PLE!$G$15,$M265-$A$15,AX$13)))</f>
        <v>1000000000000</v>
      </c>
      <c r="AY265" s="173">
        <f ca="1">IF(OR($D265&lt;&gt;"Serviço",AND(AUTOEVENTO="Manual",$M265=$A$15),$M265&gt;(ROW(PLE.lastrow)-ROW(PLE.firstrow))),0,
           IF(OFFSET(PLE!$G$15,$M265-$A$15,AY$13)="",10^12,OFFSET(PLE!$G$15,$M265-$A$15,AY$13)))</f>
        <v>1000000000000</v>
      </c>
      <c r="AZ265" s="173">
        <f ca="1">IF(OR($D265&lt;&gt;"Serviço",AND(AUTOEVENTO="Manual",$M265=$A$15),$M265&gt;(ROW(PLE.lastrow)-ROW(PLE.firstrow))),0,
           IF(OFFSET(PLE!$G$15,$M265-$A$15,AZ$13)="",10^12,OFFSET(PLE!$G$15,$M265-$A$15,AZ$13)))</f>
        <v>1000000000000</v>
      </c>
      <c r="BA265" s="173">
        <f ca="1">IF(OR($D265&lt;&gt;"Serviço",AND(AUTOEVENTO="Manual",$M265=$A$15),$M265&gt;(ROW(PLE.lastrow)-ROW(PLE.firstrow))),0,
           IF(OFFSET(PLE!$G$15,$M265-$A$15,BA$13)="",10^12,OFFSET(PLE!$G$15,$M265-$A$15,BA$13)))</f>
        <v>1000000000000</v>
      </c>
      <c r="BB265" s="173">
        <f ca="1">IF(OR($D265&lt;&gt;"Serviço",AND(AUTOEVENTO="Manual",$M265=$A$15),$M265&gt;(ROW(PLE.lastrow)-ROW(PLE.firstrow))),0,
           IF(OFFSET(PLE!$G$15,$M265-$A$15,BB$13)="",10^12,OFFSET(PLE!$G$15,$M265-$A$15,BB$13)))</f>
        <v>1000000000000</v>
      </c>
      <c r="BC265" s="173">
        <f ca="1">IF(OR($D265&lt;&gt;"Serviço",AND(AUTOEVENTO="Manual",$M265=$A$15),$M265&gt;(ROW(PLE.lastrow)-ROW(PLE.firstrow))),0,
           IF(OFFSET(PLE!$G$15,$M265-$A$15,BC$13)="",10^12,OFFSET(PLE!$G$15,$M265-$A$15,BC$13)))</f>
        <v>1000000000000</v>
      </c>
      <c r="BD265" s="173">
        <f ca="1">IF(OR($D265&lt;&gt;"Serviço",AND(AUTOEVENTO="Manual",$M265=$A$15),$M265&gt;(ROW(PLE.lastrow)-ROW(PLE.firstrow))),0,
           IF(OFFSET(PLE!$G$15,$M265-$A$15,BD$13)="",10^12,OFFSET(PLE!$G$15,$M265-$A$15,BD$13)))</f>
        <v>1000000000000</v>
      </c>
      <c r="BE265" s="173">
        <f ca="1">IF(OR($D265&lt;&gt;"Serviço",AND(AUTOEVENTO="Manual",$M265=$A$15),$M265&gt;(ROW(PLE.lastrow)-ROW(PLE.firstrow))),0,
           IF(OFFSET(PLE!$G$15,$M265-$A$15,BE$13)="",10^12,OFFSET(PLE!$G$15,$M265-$A$15,BE$13)))</f>
        <v>1000000000000</v>
      </c>
      <c r="BF265" s="173">
        <f ca="1">IF(OR($D265&lt;&gt;"Serviço",AND(AUTOEVENTO="Manual",$M265=$A$15),$M265&gt;(ROW(PLE.lastrow)-ROW(PLE.firstrow))),0,
           IF(OFFSET(PLE!$G$15,$M265-$A$15,BF$13)="",10^12,OFFSET(PLE!$G$15,$M265-$A$15,BF$13)))</f>
        <v>1000000000000</v>
      </c>
      <c r="BG265" s="173">
        <f ca="1">IF(OR($D265&lt;&gt;"Serviço",AND(AUTOEVENTO="Manual",$M265=$A$15),$M265&gt;(ROW(PLE.lastrow)-ROW(PLE.firstrow))),0,
           IF(OFFSET(PLE!$G$15,$M265-$A$15,BG$13)="",10^12,OFFSET(PLE!$G$15,$M265-$A$15,BG$13)))</f>
        <v>1000000000000</v>
      </c>
    </row>
    <row r="266" spans="1:59" ht="38.25" x14ac:dyDescent="0.2">
      <c r="A266" s="7" t="str">
        <f t="shared" ca="1" si="11"/>
        <v>239</v>
      </c>
      <c r="B266" s="7" t="str">
        <f ca="1">OFFSET(ORÇAMENTO!C$15,ROW(B266)-ROW(B$15),0)</f>
        <v>S</v>
      </c>
      <c r="C266" s="7" t="str">
        <f ca="1">OFFSET(ORÇAMENTO!L$15,ROW(C266)-ROW(C$15),0)</f>
        <v/>
      </c>
      <c r="D266" s="117" t="str">
        <f ca="1">OFFSET(ORÇAMENTO!N$15,ROW(D266)-ROW(D$15),0)</f>
        <v>Serviço</v>
      </c>
      <c r="E266" s="118" t="str">
        <f ca="1">OFFSET(ORÇAMENTO!O$15,ROW(E266)-ROW(E$15),0)</f>
        <v>-</v>
      </c>
      <c r="F266" s="164" t="str">
        <f ca="1">OFFSET(ORÇAMENTO!R$15,ROW(F266)-ROW(F$15),0)</f>
        <v>TUBO PVC, SÉRIE R, ÁGUA PLUVIAL, DN 150 MM, FORNECIDO E INSTALADO EM CONDUTORES VERTICAIS DE ÁGUAS PLUVIAIS. AF_06/2022</v>
      </c>
      <c r="G266" s="165" t="str">
        <f ca="1">IF($D266&lt;&gt;"Serviço","",OFFSET(ORÇAMENTO!S$15,ROW(G266)-ROW(G$15),0))</f>
        <v>M</v>
      </c>
      <c r="H266" s="123">
        <f ca="1">IF($D266&lt;&gt;"Serviço",0,IF(ACOMPANHAMENTO="BM",ROUND(OFFSET(ORÇAMENTO!AJ$15,ROW(H266)-ROW(H$15),0),15-13*ORÇAMENTO!$AF$7),SUMPRODUCT(($Q$1:$AA$1=1)*ROUND($Q266:$AA266,15-13*ORÇAMENTO!$AF$7))))</f>
        <v>175.9</v>
      </c>
      <c r="I266" s="469"/>
      <c r="J266" s="577" t="str" cm="1">
        <f t="array" aca="1" ref="J266" ca="1">IF(B266&lt;&gt;"S","",IF(AND(ACOMPANHAMENTO="PLE",AUTOEVENTO="Manual",OR(H266&gt;0,ORÇAMENTO!AC266="QUANT."),OR(K266="",M266=0,N266="")),"►",IF(AND(ACOMPANHAMENTO="PLE",ORÇAMENTO!AC266="QUANT."),"►►",IF(AND(COUNTIF($P$11:$AA$11,"▼")=0,H266&gt;0,I266=""),"◄",""))))</f>
        <v>◄</v>
      </c>
      <c r="K266" s="626"/>
      <c r="L266" s="166" t="s">
        <v>765</v>
      </c>
      <c r="M266" s="167">
        <f ca="1">IF($D266&lt;&gt;"Serviço","",
          IF(AUTOEVENTO="manual",$A266,
                IF(ISERROR(MATCH($A266,$A$15:OFFSET($A266,-1,0),0)),MAX($M$15:OFFSET(M266,-1,0))+1,
                      INDEX($M$15:OFFSET(M266,-1,0),MATCH($A266,$A$15:OFFSET($A266,-1,0),0)))))</f>
        <v>15</v>
      </c>
      <c r="N266" s="168" t="str">
        <f ca="1">IF($D266&lt;&gt;"Serviço","",
         IF(AUTOEVENTO="Manual",
                IF($A266=0,"&lt;-- defina o número do agrupador",
                       OFFSET(EVENTOS!$D$15,$A266-$A$15,0)),
                OFFSET($F$15,$A266,0)))</f>
        <v>INSTALAÇÕES PLUVIAIS</v>
      </c>
      <c r="O266" s="169"/>
      <c r="Q266" s="169"/>
      <c r="R266" s="170"/>
      <c r="S266" s="170"/>
      <c r="T266" s="170"/>
      <c r="U266" s="170"/>
      <c r="V266" s="170"/>
      <c r="W266" s="170"/>
      <c r="X266" s="170"/>
      <c r="Y266" s="170"/>
      <c r="Z266" s="171"/>
      <c r="AB266" s="454">
        <f ca="1">IF(AND($D266="Serviço",AB$12&lt;&gt;0,$H266&gt;0,OR(AUTOEVENTO&lt;&gt;"manual",$M266&lt;&gt;$A$15)),
        IF(Import.TipoArredondamento&lt;&gt;"TransfereGOV",
              ROUND(OFFSET($P266,0,AB$13),15-13*ORÇAMENTO!$AF$7)/$H266*OFFSET(ORÇAMENTO!$X$15,ROW(AB266)-ROW(AB$15),0),
              ROUND(ROUND(OFFSET($P266,0,AB$13),15-13*ORÇAMENTO!$AF$7)*OFFSET(ORÇAMENTO!$W$15,ROW(AB266)-ROW(AB$15),0),15-13*ORÇAMENTO!$AF$11)),
         0)</f>
        <v>0</v>
      </c>
      <c r="AC266" s="454">
        <f ca="1">IF(AND($D266="Serviço",AC$12&lt;&gt;0,$H266&gt;0,OR(AUTOEVENTO&lt;&gt;"manual",$M266&lt;&gt;$A$15)),
        IF(Import.TipoArredondamento&lt;&gt;"TransfereGOV",
              ROUND(OFFSET($P266,0,AC$13),15-13*ORÇAMENTO!$AF$7)/$H266*OFFSET(ORÇAMENTO!$X$15,ROW(AC266)-ROW(AC$15),0),
              ROUND(ROUND(OFFSET($P266,0,AC$13),15-13*ORÇAMENTO!$AF$7)*OFFSET(ORÇAMENTO!$W$15,ROW(AC266)-ROW(AC$15),0),15-13*ORÇAMENTO!$AF$11)),
         0)</f>
        <v>0</v>
      </c>
      <c r="AD266" s="454">
        <f ca="1">IF(AND($D266="Serviço",AD$12&lt;&gt;0,$H266&gt;0,OR(AUTOEVENTO&lt;&gt;"manual",$M266&lt;&gt;$A$15)),
        IF(Import.TipoArredondamento&lt;&gt;"TransfereGOV",
              ROUND(OFFSET($P266,0,AD$13),15-13*ORÇAMENTO!$AF$7)/$H266*OFFSET(ORÇAMENTO!$X$15,ROW(AD266)-ROW(AD$15),0),
              ROUND(ROUND(OFFSET($P266,0,AD$13),15-13*ORÇAMENTO!$AF$7)*OFFSET(ORÇAMENTO!$W$15,ROW(AD266)-ROW(AD$15),0),15-13*ORÇAMENTO!$AF$11)),
         0)</f>
        <v>0</v>
      </c>
      <c r="AE266" s="454">
        <f ca="1">IF(AND($D266="Serviço",AE$12&lt;&gt;0,$H266&gt;0,OR(AUTOEVENTO&lt;&gt;"manual",$M266&lt;&gt;$A$15)),
        IF(Import.TipoArredondamento&lt;&gt;"TransfereGOV",
              ROUND(OFFSET($P266,0,AE$13),15-13*ORÇAMENTO!$AF$7)/$H266*OFFSET(ORÇAMENTO!$X$15,ROW(AE266)-ROW(AE$15),0),
              ROUND(ROUND(OFFSET($P266,0,AE$13),15-13*ORÇAMENTO!$AF$7)*OFFSET(ORÇAMENTO!$W$15,ROW(AE266)-ROW(AE$15),0),15-13*ORÇAMENTO!$AF$11)),
         0)</f>
        <v>0</v>
      </c>
      <c r="AF266" s="454">
        <f ca="1">IF(AND($D266="Serviço",AF$12&lt;&gt;0,$H266&gt;0,OR(AUTOEVENTO&lt;&gt;"manual",$M266&lt;&gt;$A$15)),
        IF(Import.TipoArredondamento&lt;&gt;"TransfereGOV",
              ROUND(OFFSET($P266,0,AF$13),15-13*ORÇAMENTO!$AF$7)/$H266*OFFSET(ORÇAMENTO!$X$15,ROW(AF266)-ROW(AF$15),0),
              ROUND(ROUND(OFFSET($P266,0,AF$13),15-13*ORÇAMENTO!$AF$7)*OFFSET(ORÇAMENTO!$W$15,ROW(AF266)-ROW(AF$15),0),15-13*ORÇAMENTO!$AF$11)),
         0)</f>
        <v>0</v>
      </c>
      <c r="AG266" s="454">
        <f ca="1">IF(AND($D266="Serviço",AG$12&lt;&gt;0,$H266&gt;0,OR(AUTOEVENTO&lt;&gt;"manual",$M266&lt;&gt;$A$15)),
        IF(Import.TipoArredondamento&lt;&gt;"TransfereGOV",
              ROUND(OFFSET($P266,0,AG$13),15-13*ORÇAMENTO!$AF$7)/$H266*OFFSET(ORÇAMENTO!$X$15,ROW(AG266)-ROW(AG$15),0),
              ROUND(ROUND(OFFSET($P266,0,AG$13),15-13*ORÇAMENTO!$AF$7)*OFFSET(ORÇAMENTO!$W$15,ROW(AG266)-ROW(AG$15),0),15-13*ORÇAMENTO!$AF$11)),
         0)</f>
        <v>0</v>
      </c>
      <c r="AH266" s="454">
        <f ca="1">IF(AND($D266="Serviço",AH$12&lt;&gt;0,$H266&gt;0,OR(AUTOEVENTO&lt;&gt;"manual",$M266&lt;&gt;$A$15)),
        IF(Import.TipoArredondamento&lt;&gt;"TransfereGOV",
              ROUND(OFFSET($P266,0,AH$13),15-13*ORÇAMENTO!$AF$7)/$H266*OFFSET(ORÇAMENTO!$X$15,ROW(AH266)-ROW(AH$15),0),
              ROUND(ROUND(OFFSET($P266,0,AH$13),15-13*ORÇAMENTO!$AF$7)*OFFSET(ORÇAMENTO!$W$15,ROW(AH266)-ROW(AH$15),0),15-13*ORÇAMENTO!$AF$11)),
         0)</f>
        <v>0</v>
      </c>
      <c r="AI266" s="454">
        <f ca="1">IF(AND($D266="Serviço",AI$12&lt;&gt;0,$H266&gt;0,OR(AUTOEVENTO&lt;&gt;"manual",$M266&lt;&gt;$A$15)),
        IF(Import.TipoArredondamento&lt;&gt;"TransfereGOV",
              ROUND(OFFSET($P266,0,AI$13),15-13*ORÇAMENTO!$AF$7)/$H266*OFFSET(ORÇAMENTO!$X$15,ROW(AI266)-ROW(AI$15),0),
              ROUND(ROUND(OFFSET($P266,0,AI$13),15-13*ORÇAMENTO!$AF$7)*OFFSET(ORÇAMENTO!$W$15,ROW(AI266)-ROW(AI$15),0),15-13*ORÇAMENTO!$AF$11)),
         0)</f>
        <v>0</v>
      </c>
      <c r="AJ266" s="454">
        <f ca="1">IF(AND($D266="Serviço",AJ$12&lt;&gt;0,$H266&gt;0,OR(AUTOEVENTO&lt;&gt;"manual",$M266&lt;&gt;$A$15)),
        IF(Import.TipoArredondamento&lt;&gt;"TransfereGOV",
              ROUND(OFFSET($P266,0,AJ$13),15-13*ORÇAMENTO!$AF$7)/$H266*OFFSET(ORÇAMENTO!$X$15,ROW(AJ266)-ROW(AJ$15),0),
              ROUND(ROUND(OFFSET($P266,0,AJ$13),15-13*ORÇAMENTO!$AF$7)*OFFSET(ORÇAMENTO!$W$15,ROW(AJ266)-ROW(AJ$15),0),15-13*ORÇAMENTO!$AF$11)),
         0)</f>
        <v>0</v>
      </c>
      <c r="AK266" s="454">
        <f ca="1">IF(AND($D266="Serviço",AK$12&lt;&gt;0,$H266&gt;0,OR(AUTOEVENTO&lt;&gt;"manual",$M266&lt;&gt;$A$15)),
        IF(Import.TipoArredondamento&lt;&gt;"TransfereGOV",
              ROUND(OFFSET($P266,0,AK$13),15-13*ORÇAMENTO!$AF$7)/$H266*OFFSET(ORÇAMENTO!$X$15,ROW(AK266)-ROW(AK$15),0),
              ROUND(ROUND(OFFSET($P266,0,AK$13),15-13*ORÇAMENTO!$AF$7)*OFFSET(ORÇAMENTO!$W$15,ROW(AK266)-ROW(AK$15),0),15-13*ORÇAMENTO!$AF$11)),
         0)</f>
        <v>0</v>
      </c>
      <c r="AM266" s="172">
        <f ca="1">IF(OR($D266&lt;&gt;"Serviço",AND(AUTOEVENTO="Manual",$M266=$A$15)),0,
         IF(OFFSET(CRONOPLE!$F$15,$M266-$A$15,AM$13)="",10^12,OFFSET(CRONOPLE!$F$15,$M266-$A$15,AM$13)))</f>
        <v>1000000000000</v>
      </c>
      <c r="AN266" s="172">
        <f ca="1">IF(OR($D266&lt;&gt;"Serviço",AND(AUTOEVENTO="Manual",$M266=$A$15)),0,
         IF(OFFSET(CRONOPLE!$F$15,$M266-$A$15,AN$13)="",10^12,OFFSET(CRONOPLE!$F$15,$M266-$A$15,AN$13)))</f>
        <v>1000000000000</v>
      </c>
      <c r="AO266" s="172">
        <f ca="1">IF(OR($D266&lt;&gt;"Serviço",AND(AUTOEVENTO="Manual",$M266=$A$15)),0,
         IF(OFFSET(CRONOPLE!$F$15,$M266-$A$15,AO$13)="",10^12,OFFSET(CRONOPLE!$F$15,$M266-$A$15,AO$13)))</f>
        <v>1000000000000</v>
      </c>
      <c r="AP266" s="172">
        <f ca="1">IF(OR($D266&lt;&gt;"Serviço",AND(AUTOEVENTO="Manual",$M266=$A$15)),0,
         IF(OFFSET(CRONOPLE!$F$15,$M266-$A$15,AP$13)="",10^12,OFFSET(CRONOPLE!$F$15,$M266-$A$15,AP$13)))</f>
        <v>1000000000000</v>
      </c>
      <c r="AQ266" s="172">
        <f ca="1">IF(OR($D266&lt;&gt;"Serviço",AND(AUTOEVENTO="Manual",$M266=$A$15)),0,
         IF(OFFSET(CRONOPLE!$F$15,$M266-$A$15,AQ$13)="",10^12,OFFSET(CRONOPLE!$F$15,$M266-$A$15,AQ$13)))</f>
        <v>1000000000000</v>
      </c>
      <c r="AR266" s="172">
        <f ca="1">IF(OR($D266&lt;&gt;"Serviço",AND(AUTOEVENTO="Manual",$M266=$A$15)),0,
         IF(OFFSET(CRONOPLE!$F$15,$M266-$A$15,AR$13)="",10^12,OFFSET(CRONOPLE!$F$15,$M266-$A$15,AR$13)))</f>
        <v>1000000000000</v>
      </c>
      <c r="AS266" s="172">
        <f ca="1">IF(OR($D266&lt;&gt;"Serviço",AND(AUTOEVENTO="Manual",$M266=$A$15)),0,
         IF(OFFSET(CRONOPLE!$F$15,$M266-$A$15,AS$13)="",10^12,OFFSET(CRONOPLE!$F$15,$M266-$A$15,AS$13)))</f>
        <v>1000000000000</v>
      </c>
      <c r="AT266" s="172">
        <f ca="1">IF(OR($D266&lt;&gt;"Serviço",AND(AUTOEVENTO="Manual",$M266=$A$15)),0,
         IF(OFFSET(CRONOPLE!$F$15,$M266-$A$15,AT$13)="",10^12,OFFSET(CRONOPLE!$F$15,$M266-$A$15,AT$13)))</f>
        <v>1000000000000</v>
      </c>
      <c r="AU266" s="172">
        <f ca="1">IF(OR($D266&lt;&gt;"Serviço",AND(AUTOEVENTO="Manual",$M266=$A$15)),0,
         IF(OFFSET(CRONOPLE!$F$15,$M266-$A$15,AU$13)="",10^12,OFFSET(CRONOPLE!$F$15,$M266-$A$15,AU$13)))</f>
        <v>1000000000000</v>
      </c>
      <c r="AV266" s="172">
        <f ca="1">IF(OR($D266&lt;&gt;"Serviço",AND(AUTOEVENTO="Manual",$M266=$A$15)),0,
         IF(OFFSET(CRONOPLE!$F$15,$M266-$A$15,AV$13)="",10^12,OFFSET(CRONOPLE!$F$15,$M266-$A$15,AV$13)))</f>
        <v>1000000000000</v>
      </c>
      <c r="AX266" s="173">
        <f ca="1">IF(OR($D266&lt;&gt;"Serviço",AND(AUTOEVENTO="Manual",$M266=$A$15),$M266&gt;(ROW(PLE.lastrow)-ROW(PLE.firstrow))),0,
           IF(OFFSET(PLE!$G$15,$M266-$A$15,AX$13)="",10^12,OFFSET(PLE!$G$15,$M266-$A$15,AX$13)))</f>
        <v>1000000000000</v>
      </c>
      <c r="AY266" s="173">
        <f ca="1">IF(OR($D266&lt;&gt;"Serviço",AND(AUTOEVENTO="Manual",$M266=$A$15),$M266&gt;(ROW(PLE.lastrow)-ROW(PLE.firstrow))),0,
           IF(OFFSET(PLE!$G$15,$M266-$A$15,AY$13)="",10^12,OFFSET(PLE!$G$15,$M266-$A$15,AY$13)))</f>
        <v>1000000000000</v>
      </c>
      <c r="AZ266" s="173">
        <f ca="1">IF(OR($D266&lt;&gt;"Serviço",AND(AUTOEVENTO="Manual",$M266=$A$15),$M266&gt;(ROW(PLE.lastrow)-ROW(PLE.firstrow))),0,
           IF(OFFSET(PLE!$G$15,$M266-$A$15,AZ$13)="",10^12,OFFSET(PLE!$G$15,$M266-$A$15,AZ$13)))</f>
        <v>1000000000000</v>
      </c>
      <c r="BA266" s="173">
        <f ca="1">IF(OR($D266&lt;&gt;"Serviço",AND(AUTOEVENTO="Manual",$M266=$A$15),$M266&gt;(ROW(PLE.lastrow)-ROW(PLE.firstrow))),0,
           IF(OFFSET(PLE!$G$15,$M266-$A$15,BA$13)="",10^12,OFFSET(PLE!$G$15,$M266-$A$15,BA$13)))</f>
        <v>1000000000000</v>
      </c>
      <c r="BB266" s="173">
        <f ca="1">IF(OR($D266&lt;&gt;"Serviço",AND(AUTOEVENTO="Manual",$M266=$A$15),$M266&gt;(ROW(PLE.lastrow)-ROW(PLE.firstrow))),0,
           IF(OFFSET(PLE!$G$15,$M266-$A$15,BB$13)="",10^12,OFFSET(PLE!$G$15,$M266-$A$15,BB$13)))</f>
        <v>1000000000000</v>
      </c>
      <c r="BC266" s="173">
        <f ca="1">IF(OR($D266&lt;&gt;"Serviço",AND(AUTOEVENTO="Manual",$M266=$A$15),$M266&gt;(ROW(PLE.lastrow)-ROW(PLE.firstrow))),0,
           IF(OFFSET(PLE!$G$15,$M266-$A$15,BC$13)="",10^12,OFFSET(PLE!$G$15,$M266-$A$15,BC$13)))</f>
        <v>1000000000000</v>
      </c>
      <c r="BD266" s="173">
        <f ca="1">IF(OR($D266&lt;&gt;"Serviço",AND(AUTOEVENTO="Manual",$M266=$A$15),$M266&gt;(ROW(PLE.lastrow)-ROW(PLE.firstrow))),0,
           IF(OFFSET(PLE!$G$15,$M266-$A$15,BD$13)="",10^12,OFFSET(PLE!$G$15,$M266-$A$15,BD$13)))</f>
        <v>1000000000000</v>
      </c>
      <c r="BE266" s="173">
        <f ca="1">IF(OR($D266&lt;&gt;"Serviço",AND(AUTOEVENTO="Manual",$M266=$A$15),$M266&gt;(ROW(PLE.lastrow)-ROW(PLE.firstrow))),0,
           IF(OFFSET(PLE!$G$15,$M266-$A$15,BE$13)="",10^12,OFFSET(PLE!$G$15,$M266-$A$15,BE$13)))</f>
        <v>1000000000000</v>
      </c>
      <c r="BF266" s="173">
        <f ca="1">IF(OR($D266&lt;&gt;"Serviço",AND(AUTOEVENTO="Manual",$M266=$A$15),$M266&gt;(ROW(PLE.lastrow)-ROW(PLE.firstrow))),0,
           IF(OFFSET(PLE!$G$15,$M266-$A$15,BF$13)="",10^12,OFFSET(PLE!$G$15,$M266-$A$15,BF$13)))</f>
        <v>1000000000000</v>
      </c>
      <c r="BG266" s="173">
        <f ca="1">IF(OR($D266&lt;&gt;"Serviço",AND(AUTOEVENTO="Manual",$M266=$A$15),$M266&gt;(ROW(PLE.lastrow)-ROW(PLE.firstrow))),0,
           IF(OFFSET(PLE!$G$15,$M266-$A$15,BG$13)="",10^12,OFFSET(PLE!$G$15,$M266-$A$15,BG$13)))</f>
        <v>1000000000000</v>
      </c>
    </row>
    <row r="267" spans="1:59" ht="38.25" x14ac:dyDescent="0.2">
      <c r="A267" s="7" t="str">
        <f t="shared" ca="1" si="11"/>
        <v>239</v>
      </c>
      <c r="B267" s="7" t="str">
        <f ca="1">OFFSET(ORÇAMENTO!C$15,ROW(B267)-ROW(B$15),0)</f>
        <v>S</v>
      </c>
      <c r="C267" s="7" t="str">
        <f ca="1">OFFSET(ORÇAMENTO!L$15,ROW(C267)-ROW(C$15),0)</f>
        <v/>
      </c>
      <c r="D267" s="117" t="str">
        <f ca="1">OFFSET(ORÇAMENTO!N$15,ROW(D267)-ROW(D$15),0)</f>
        <v>Serviço</v>
      </c>
      <c r="E267" s="118" t="str">
        <f ca="1">OFFSET(ORÇAMENTO!O$15,ROW(E267)-ROW(E$15),0)</f>
        <v>-</v>
      </c>
      <c r="F267" s="164" t="str">
        <f ca="1">OFFSET(ORÇAMENTO!R$15,ROW(F267)-ROW(F$15),0)</f>
        <v>TUBO PVC, SÉRIE R, ÁGUA PLUVIAL, DN 75 MM, FORNECIDO E INSTALADO EM CONDUTORES VERTICAIS DE ÁGUAS PLUVIAIS. AF_06/2022</v>
      </c>
      <c r="G267" s="165" t="str">
        <f ca="1">IF($D267&lt;&gt;"Serviço","",OFFSET(ORÇAMENTO!S$15,ROW(G267)-ROW(G$15),0))</f>
        <v>M</v>
      </c>
      <c r="H267" s="123">
        <f ca="1">IF($D267&lt;&gt;"Serviço",0,IF(ACOMPANHAMENTO="BM",ROUND(OFFSET(ORÇAMENTO!AJ$15,ROW(H267)-ROW(H$15),0),15-13*ORÇAMENTO!$AF$7),SUMPRODUCT(($Q$1:$AA$1=1)*ROUND($Q267:$AA267,15-13*ORÇAMENTO!$AF$7))))</f>
        <v>427.4</v>
      </c>
      <c r="I267" s="469"/>
      <c r="J267" s="577" t="str" cm="1">
        <f t="array" aca="1" ref="J267" ca="1">IF(B267&lt;&gt;"S","",IF(AND(ACOMPANHAMENTO="PLE",AUTOEVENTO="Manual",OR(H267&gt;0,ORÇAMENTO!AC267="QUANT."),OR(K267="",M267=0,N267="")),"►",IF(AND(ACOMPANHAMENTO="PLE",ORÇAMENTO!AC267="QUANT."),"►►",IF(AND(COUNTIF($P$11:$AA$11,"▼")=0,H267&gt;0,I267=""),"◄",""))))</f>
        <v>◄</v>
      </c>
      <c r="K267" s="626"/>
      <c r="L267" s="166" t="s">
        <v>765</v>
      </c>
      <c r="M267" s="167">
        <f ca="1">IF($D267&lt;&gt;"Serviço","",
          IF(AUTOEVENTO="manual",$A267,
                IF(ISERROR(MATCH($A267,$A$15:OFFSET($A267,-1,0),0)),MAX($M$15:OFFSET(M267,-1,0))+1,
                      INDEX($M$15:OFFSET(M267,-1,0),MATCH($A267,$A$15:OFFSET($A267,-1,0),0)))))</f>
        <v>15</v>
      </c>
      <c r="N267" s="168" t="str">
        <f ca="1">IF($D267&lt;&gt;"Serviço","",
         IF(AUTOEVENTO="Manual",
                IF($A267=0,"&lt;-- defina o número do agrupador",
                       OFFSET(EVENTOS!$D$15,$A267-$A$15,0)),
                OFFSET($F$15,$A267,0)))</f>
        <v>INSTALAÇÕES PLUVIAIS</v>
      </c>
      <c r="O267" s="169"/>
      <c r="Q267" s="169"/>
      <c r="R267" s="170"/>
      <c r="S267" s="170"/>
      <c r="T267" s="170"/>
      <c r="U267" s="170"/>
      <c r="V267" s="170"/>
      <c r="W267" s="170"/>
      <c r="X267" s="170"/>
      <c r="Y267" s="170"/>
      <c r="Z267" s="171"/>
      <c r="AB267" s="454">
        <f ca="1">IF(AND($D267="Serviço",AB$12&lt;&gt;0,$H267&gt;0,OR(AUTOEVENTO&lt;&gt;"manual",$M267&lt;&gt;$A$15)),
        IF(Import.TipoArredondamento&lt;&gt;"TransfereGOV",
              ROUND(OFFSET($P267,0,AB$13),15-13*ORÇAMENTO!$AF$7)/$H267*OFFSET(ORÇAMENTO!$X$15,ROW(AB267)-ROW(AB$15),0),
              ROUND(ROUND(OFFSET($P267,0,AB$13),15-13*ORÇAMENTO!$AF$7)*OFFSET(ORÇAMENTO!$W$15,ROW(AB267)-ROW(AB$15),0),15-13*ORÇAMENTO!$AF$11)),
         0)</f>
        <v>0</v>
      </c>
      <c r="AC267" s="454">
        <f ca="1">IF(AND($D267="Serviço",AC$12&lt;&gt;0,$H267&gt;0,OR(AUTOEVENTO&lt;&gt;"manual",$M267&lt;&gt;$A$15)),
        IF(Import.TipoArredondamento&lt;&gt;"TransfereGOV",
              ROUND(OFFSET($P267,0,AC$13),15-13*ORÇAMENTO!$AF$7)/$H267*OFFSET(ORÇAMENTO!$X$15,ROW(AC267)-ROW(AC$15),0),
              ROUND(ROUND(OFFSET($P267,0,AC$13),15-13*ORÇAMENTO!$AF$7)*OFFSET(ORÇAMENTO!$W$15,ROW(AC267)-ROW(AC$15),0),15-13*ORÇAMENTO!$AF$11)),
         0)</f>
        <v>0</v>
      </c>
      <c r="AD267" s="454">
        <f ca="1">IF(AND($D267="Serviço",AD$12&lt;&gt;0,$H267&gt;0,OR(AUTOEVENTO&lt;&gt;"manual",$M267&lt;&gt;$A$15)),
        IF(Import.TipoArredondamento&lt;&gt;"TransfereGOV",
              ROUND(OFFSET($P267,0,AD$13),15-13*ORÇAMENTO!$AF$7)/$H267*OFFSET(ORÇAMENTO!$X$15,ROW(AD267)-ROW(AD$15),0),
              ROUND(ROUND(OFFSET($P267,0,AD$13),15-13*ORÇAMENTO!$AF$7)*OFFSET(ORÇAMENTO!$W$15,ROW(AD267)-ROW(AD$15),0),15-13*ORÇAMENTO!$AF$11)),
         0)</f>
        <v>0</v>
      </c>
      <c r="AE267" s="454">
        <f ca="1">IF(AND($D267="Serviço",AE$12&lt;&gt;0,$H267&gt;0,OR(AUTOEVENTO&lt;&gt;"manual",$M267&lt;&gt;$A$15)),
        IF(Import.TipoArredondamento&lt;&gt;"TransfereGOV",
              ROUND(OFFSET($P267,0,AE$13),15-13*ORÇAMENTO!$AF$7)/$H267*OFFSET(ORÇAMENTO!$X$15,ROW(AE267)-ROW(AE$15),0),
              ROUND(ROUND(OFFSET($P267,0,AE$13),15-13*ORÇAMENTO!$AF$7)*OFFSET(ORÇAMENTO!$W$15,ROW(AE267)-ROW(AE$15),0),15-13*ORÇAMENTO!$AF$11)),
         0)</f>
        <v>0</v>
      </c>
      <c r="AF267" s="454">
        <f ca="1">IF(AND($D267="Serviço",AF$12&lt;&gt;0,$H267&gt;0,OR(AUTOEVENTO&lt;&gt;"manual",$M267&lt;&gt;$A$15)),
        IF(Import.TipoArredondamento&lt;&gt;"TransfereGOV",
              ROUND(OFFSET($P267,0,AF$13),15-13*ORÇAMENTO!$AF$7)/$H267*OFFSET(ORÇAMENTO!$X$15,ROW(AF267)-ROW(AF$15),0),
              ROUND(ROUND(OFFSET($P267,0,AF$13),15-13*ORÇAMENTO!$AF$7)*OFFSET(ORÇAMENTO!$W$15,ROW(AF267)-ROW(AF$15),0),15-13*ORÇAMENTO!$AF$11)),
         0)</f>
        <v>0</v>
      </c>
      <c r="AG267" s="454">
        <f ca="1">IF(AND($D267="Serviço",AG$12&lt;&gt;0,$H267&gt;0,OR(AUTOEVENTO&lt;&gt;"manual",$M267&lt;&gt;$A$15)),
        IF(Import.TipoArredondamento&lt;&gt;"TransfereGOV",
              ROUND(OFFSET($P267,0,AG$13),15-13*ORÇAMENTO!$AF$7)/$H267*OFFSET(ORÇAMENTO!$X$15,ROW(AG267)-ROW(AG$15),0),
              ROUND(ROUND(OFFSET($P267,0,AG$13),15-13*ORÇAMENTO!$AF$7)*OFFSET(ORÇAMENTO!$W$15,ROW(AG267)-ROW(AG$15),0),15-13*ORÇAMENTO!$AF$11)),
         0)</f>
        <v>0</v>
      </c>
      <c r="AH267" s="454">
        <f ca="1">IF(AND($D267="Serviço",AH$12&lt;&gt;0,$H267&gt;0,OR(AUTOEVENTO&lt;&gt;"manual",$M267&lt;&gt;$A$15)),
        IF(Import.TipoArredondamento&lt;&gt;"TransfereGOV",
              ROUND(OFFSET($P267,0,AH$13),15-13*ORÇAMENTO!$AF$7)/$H267*OFFSET(ORÇAMENTO!$X$15,ROW(AH267)-ROW(AH$15),0),
              ROUND(ROUND(OFFSET($P267,0,AH$13),15-13*ORÇAMENTO!$AF$7)*OFFSET(ORÇAMENTO!$W$15,ROW(AH267)-ROW(AH$15),0),15-13*ORÇAMENTO!$AF$11)),
         0)</f>
        <v>0</v>
      </c>
      <c r="AI267" s="454">
        <f ca="1">IF(AND($D267="Serviço",AI$12&lt;&gt;0,$H267&gt;0,OR(AUTOEVENTO&lt;&gt;"manual",$M267&lt;&gt;$A$15)),
        IF(Import.TipoArredondamento&lt;&gt;"TransfereGOV",
              ROUND(OFFSET($P267,0,AI$13),15-13*ORÇAMENTO!$AF$7)/$H267*OFFSET(ORÇAMENTO!$X$15,ROW(AI267)-ROW(AI$15),0),
              ROUND(ROUND(OFFSET($P267,0,AI$13),15-13*ORÇAMENTO!$AF$7)*OFFSET(ORÇAMENTO!$W$15,ROW(AI267)-ROW(AI$15),0),15-13*ORÇAMENTO!$AF$11)),
         0)</f>
        <v>0</v>
      </c>
      <c r="AJ267" s="454">
        <f ca="1">IF(AND($D267="Serviço",AJ$12&lt;&gt;0,$H267&gt;0,OR(AUTOEVENTO&lt;&gt;"manual",$M267&lt;&gt;$A$15)),
        IF(Import.TipoArredondamento&lt;&gt;"TransfereGOV",
              ROUND(OFFSET($P267,0,AJ$13),15-13*ORÇAMENTO!$AF$7)/$H267*OFFSET(ORÇAMENTO!$X$15,ROW(AJ267)-ROW(AJ$15),0),
              ROUND(ROUND(OFFSET($P267,0,AJ$13),15-13*ORÇAMENTO!$AF$7)*OFFSET(ORÇAMENTO!$W$15,ROW(AJ267)-ROW(AJ$15),0),15-13*ORÇAMENTO!$AF$11)),
         0)</f>
        <v>0</v>
      </c>
      <c r="AK267" s="454">
        <f ca="1">IF(AND($D267="Serviço",AK$12&lt;&gt;0,$H267&gt;0,OR(AUTOEVENTO&lt;&gt;"manual",$M267&lt;&gt;$A$15)),
        IF(Import.TipoArredondamento&lt;&gt;"TransfereGOV",
              ROUND(OFFSET($P267,0,AK$13),15-13*ORÇAMENTO!$AF$7)/$H267*OFFSET(ORÇAMENTO!$X$15,ROW(AK267)-ROW(AK$15),0),
              ROUND(ROUND(OFFSET($P267,0,AK$13),15-13*ORÇAMENTO!$AF$7)*OFFSET(ORÇAMENTO!$W$15,ROW(AK267)-ROW(AK$15),0),15-13*ORÇAMENTO!$AF$11)),
         0)</f>
        <v>0</v>
      </c>
      <c r="AM267" s="172">
        <f ca="1">IF(OR($D267&lt;&gt;"Serviço",AND(AUTOEVENTO="Manual",$M267=$A$15)),0,
         IF(OFFSET(CRONOPLE!$F$15,$M267-$A$15,AM$13)="",10^12,OFFSET(CRONOPLE!$F$15,$M267-$A$15,AM$13)))</f>
        <v>1000000000000</v>
      </c>
      <c r="AN267" s="172">
        <f ca="1">IF(OR($D267&lt;&gt;"Serviço",AND(AUTOEVENTO="Manual",$M267=$A$15)),0,
         IF(OFFSET(CRONOPLE!$F$15,$M267-$A$15,AN$13)="",10^12,OFFSET(CRONOPLE!$F$15,$M267-$A$15,AN$13)))</f>
        <v>1000000000000</v>
      </c>
      <c r="AO267" s="172">
        <f ca="1">IF(OR($D267&lt;&gt;"Serviço",AND(AUTOEVENTO="Manual",$M267=$A$15)),0,
         IF(OFFSET(CRONOPLE!$F$15,$M267-$A$15,AO$13)="",10^12,OFFSET(CRONOPLE!$F$15,$M267-$A$15,AO$13)))</f>
        <v>1000000000000</v>
      </c>
      <c r="AP267" s="172">
        <f ca="1">IF(OR($D267&lt;&gt;"Serviço",AND(AUTOEVENTO="Manual",$M267=$A$15)),0,
         IF(OFFSET(CRONOPLE!$F$15,$M267-$A$15,AP$13)="",10^12,OFFSET(CRONOPLE!$F$15,$M267-$A$15,AP$13)))</f>
        <v>1000000000000</v>
      </c>
      <c r="AQ267" s="172">
        <f ca="1">IF(OR($D267&lt;&gt;"Serviço",AND(AUTOEVENTO="Manual",$M267=$A$15)),0,
         IF(OFFSET(CRONOPLE!$F$15,$M267-$A$15,AQ$13)="",10^12,OFFSET(CRONOPLE!$F$15,$M267-$A$15,AQ$13)))</f>
        <v>1000000000000</v>
      </c>
      <c r="AR267" s="172">
        <f ca="1">IF(OR($D267&lt;&gt;"Serviço",AND(AUTOEVENTO="Manual",$M267=$A$15)),0,
         IF(OFFSET(CRONOPLE!$F$15,$M267-$A$15,AR$13)="",10^12,OFFSET(CRONOPLE!$F$15,$M267-$A$15,AR$13)))</f>
        <v>1000000000000</v>
      </c>
      <c r="AS267" s="172">
        <f ca="1">IF(OR($D267&lt;&gt;"Serviço",AND(AUTOEVENTO="Manual",$M267=$A$15)),0,
         IF(OFFSET(CRONOPLE!$F$15,$M267-$A$15,AS$13)="",10^12,OFFSET(CRONOPLE!$F$15,$M267-$A$15,AS$13)))</f>
        <v>1000000000000</v>
      </c>
      <c r="AT267" s="172">
        <f ca="1">IF(OR($D267&lt;&gt;"Serviço",AND(AUTOEVENTO="Manual",$M267=$A$15)),0,
         IF(OFFSET(CRONOPLE!$F$15,$M267-$A$15,AT$13)="",10^12,OFFSET(CRONOPLE!$F$15,$M267-$A$15,AT$13)))</f>
        <v>1000000000000</v>
      </c>
      <c r="AU267" s="172">
        <f ca="1">IF(OR($D267&lt;&gt;"Serviço",AND(AUTOEVENTO="Manual",$M267=$A$15)),0,
         IF(OFFSET(CRONOPLE!$F$15,$M267-$A$15,AU$13)="",10^12,OFFSET(CRONOPLE!$F$15,$M267-$A$15,AU$13)))</f>
        <v>1000000000000</v>
      </c>
      <c r="AV267" s="172">
        <f ca="1">IF(OR($D267&lt;&gt;"Serviço",AND(AUTOEVENTO="Manual",$M267=$A$15)),0,
         IF(OFFSET(CRONOPLE!$F$15,$M267-$A$15,AV$13)="",10^12,OFFSET(CRONOPLE!$F$15,$M267-$A$15,AV$13)))</f>
        <v>1000000000000</v>
      </c>
      <c r="AX267" s="173">
        <f ca="1">IF(OR($D267&lt;&gt;"Serviço",AND(AUTOEVENTO="Manual",$M267=$A$15),$M267&gt;(ROW(PLE.lastrow)-ROW(PLE.firstrow))),0,
           IF(OFFSET(PLE!$G$15,$M267-$A$15,AX$13)="",10^12,OFFSET(PLE!$G$15,$M267-$A$15,AX$13)))</f>
        <v>1000000000000</v>
      </c>
      <c r="AY267" s="173">
        <f ca="1">IF(OR($D267&lt;&gt;"Serviço",AND(AUTOEVENTO="Manual",$M267=$A$15),$M267&gt;(ROW(PLE.lastrow)-ROW(PLE.firstrow))),0,
           IF(OFFSET(PLE!$G$15,$M267-$A$15,AY$13)="",10^12,OFFSET(PLE!$G$15,$M267-$A$15,AY$13)))</f>
        <v>1000000000000</v>
      </c>
      <c r="AZ267" s="173">
        <f ca="1">IF(OR($D267&lt;&gt;"Serviço",AND(AUTOEVENTO="Manual",$M267=$A$15),$M267&gt;(ROW(PLE.lastrow)-ROW(PLE.firstrow))),0,
           IF(OFFSET(PLE!$G$15,$M267-$A$15,AZ$13)="",10^12,OFFSET(PLE!$G$15,$M267-$A$15,AZ$13)))</f>
        <v>1000000000000</v>
      </c>
      <c r="BA267" s="173">
        <f ca="1">IF(OR($D267&lt;&gt;"Serviço",AND(AUTOEVENTO="Manual",$M267=$A$15),$M267&gt;(ROW(PLE.lastrow)-ROW(PLE.firstrow))),0,
           IF(OFFSET(PLE!$G$15,$M267-$A$15,BA$13)="",10^12,OFFSET(PLE!$G$15,$M267-$A$15,BA$13)))</f>
        <v>1000000000000</v>
      </c>
      <c r="BB267" s="173">
        <f ca="1">IF(OR($D267&lt;&gt;"Serviço",AND(AUTOEVENTO="Manual",$M267=$A$15),$M267&gt;(ROW(PLE.lastrow)-ROW(PLE.firstrow))),0,
           IF(OFFSET(PLE!$G$15,$M267-$A$15,BB$13)="",10^12,OFFSET(PLE!$G$15,$M267-$A$15,BB$13)))</f>
        <v>1000000000000</v>
      </c>
      <c r="BC267" s="173">
        <f ca="1">IF(OR($D267&lt;&gt;"Serviço",AND(AUTOEVENTO="Manual",$M267=$A$15),$M267&gt;(ROW(PLE.lastrow)-ROW(PLE.firstrow))),0,
           IF(OFFSET(PLE!$G$15,$M267-$A$15,BC$13)="",10^12,OFFSET(PLE!$G$15,$M267-$A$15,BC$13)))</f>
        <v>1000000000000</v>
      </c>
      <c r="BD267" s="173">
        <f ca="1">IF(OR($D267&lt;&gt;"Serviço",AND(AUTOEVENTO="Manual",$M267=$A$15),$M267&gt;(ROW(PLE.lastrow)-ROW(PLE.firstrow))),0,
           IF(OFFSET(PLE!$G$15,$M267-$A$15,BD$13)="",10^12,OFFSET(PLE!$G$15,$M267-$A$15,BD$13)))</f>
        <v>1000000000000</v>
      </c>
      <c r="BE267" s="173">
        <f ca="1">IF(OR($D267&lt;&gt;"Serviço",AND(AUTOEVENTO="Manual",$M267=$A$15),$M267&gt;(ROW(PLE.lastrow)-ROW(PLE.firstrow))),0,
           IF(OFFSET(PLE!$G$15,$M267-$A$15,BE$13)="",10^12,OFFSET(PLE!$G$15,$M267-$A$15,BE$13)))</f>
        <v>1000000000000</v>
      </c>
      <c r="BF267" s="173">
        <f ca="1">IF(OR($D267&lt;&gt;"Serviço",AND(AUTOEVENTO="Manual",$M267=$A$15),$M267&gt;(ROW(PLE.lastrow)-ROW(PLE.firstrow))),0,
           IF(OFFSET(PLE!$G$15,$M267-$A$15,BF$13)="",10^12,OFFSET(PLE!$G$15,$M267-$A$15,BF$13)))</f>
        <v>1000000000000</v>
      </c>
      <c r="BG267" s="173">
        <f ca="1">IF(OR($D267&lt;&gt;"Serviço",AND(AUTOEVENTO="Manual",$M267=$A$15),$M267&gt;(ROW(PLE.lastrow)-ROW(PLE.firstrow))),0,
           IF(OFFSET(PLE!$G$15,$M267-$A$15,BG$13)="",10^12,OFFSET(PLE!$G$15,$M267-$A$15,BG$13)))</f>
        <v>1000000000000</v>
      </c>
    </row>
    <row r="268" spans="1:59" ht="12.75" x14ac:dyDescent="0.2">
      <c r="A268" s="7" t="str">
        <f t="shared" ca="1" si="11"/>
        <v>253.</v>
      </c>
      <c r="B268" s="7">
        <f ca="1">OFFSET(ORÇAMENTO!C$15,ROW(B268)-ROW(B$15),0)</f>
        <v>2</v>
      </c>
      <c r="C268" s="7" t="str">
        <f ca="1">OFFSET(ORÇAMENTO!L$15,ROW(C268)-ROW(C$15),0)</f>
        <v>F</v>
      </c>
      <c r="D268" s="117" t="str">
        <f ca="1">OFFSET(ORÇAMENTO!N$15,ROW(D268)-ROW(D$15),0)</f>
        <v>Nível 2</v>
      </c>
      <c r="E268" s="118" t="str">
        <f ca="1">OFFSET(ORÇAMENTO!O$15,ROW(E268)-ROW(E$15),0)</f>
        <v>1.16.</v>
      </c>
      <c r="F268" s="164" t="str">
        <f ca="1">OFFSET(ORÇAMENTO!R$15,ROW(F268)-ROW(F$15),0)</f>
        <v>SISTEMAS DE PREVENÇÃO CONTRA INCÊNDIO</v>
      </c>
      <c r="G268" s="165" t="str">
        <f ca="1">IF($D268&lt;&gt;"Serviço","",OFFSET(ORÇAMENTO!S$15,ROW(G268)-ROW(G$15),0))</f>
        <v/>
      </c>
      <c r="H268" s="123">
        <f ca="1">IF($D268&lt;&gt;"Serviço",0,IF(ACOMPANHAMENTO="BM",ROUND(OFFSET(ORÇAMENTO!AJ$15,ROW(H268)-ROW(H$15),0),15-13*ORÇAMENTO!$AF$7),SUMPRODUCT(($Q$1:$AA$1=1)*ROUND($Q268:$AA268,15-13*ORÇAMENTO!$AF$7))))</f>
        <v>0</v>
      </c>
      <c r="I268" s="469"/>
      <c r="J268" s="577" t="str" cm="1">
        <f t="array" aca="1" ref="J268" ca="1">IF(B268&lt;&gt;"S","",IF(AND(ACOMPANHAMENTO="PLE",AUTOEVENTO="Manual",OR(H268&gt;0,ORÇAMENTO!AC268="QUANT."),OR(K268="",M268=0,N268="")),"►",IF(AND(ACOMPANHAMENTO="PLE",ORÇAMENTO!AC268="QUANT."),"►►",IF(AND(COUNTIF($P$11:$AA$11,"▼")=0,H268&gt;0,I268=""),"◄",""))))</f>
        <v/>
      </c>
      <c r="K268" s="626"/>
      <c r="L268" s="166" t="s">
        <v>765</v>
      </c>
      <c r="M268" s="167" t="str">
        <f ca="1">IF($D268&lt;&gt;"Serviço","",
          IF(AUTOEVENTO="manual",$A268,
                IF(ISERROR(MATCH($A268,$A$15:OFFSET($A268,-1,0),0)),MAX($M$15:OFFSET(M268,-1,0))+1,
                      INDEX($M$15:OFFSET(M268,-1,0),MATCH($A268,$A$15:OFFSET($A268,-1,0),0)))))</f>
        <v/>
      </c>
      <c r="N268" s="168" t="str">
        <f ca="1">IF($D268&lt;&gt;"Serviço","",
         IF(AUTOEVENTO="Manual",
                IF($A268=0,"&lt;-- defina o número do agrupador",
                       OFFSET(EVENTOS!$D$15,$A268-$A$15,0)),
                OFFSET($F$15,$A268,0)))</f>
        <v/>
      </c>
      <c r="O268" s="169"/>
      <c r="Q268" s="169"/>
      <c r="R268" s="170"/>
      <c r="S268" s="170"/>
      <c r="T268" s="170"/>
      <c r="U268" s="170"/>
      <c r="V268" s="170"/>
      <c r="W268" s="170"/>
      <c r="X268" s="170"/>
      <c r="Y268" s="170"/>
      <c r="Z268" s="171"/>
      <c r="AB268" s="454">
        <f ca="1">IF(AND($D268="Serviço",AB$12&lt;&gt;0,$H268&gt;0,OR(AUTOEVENTO&lt;&gt;"manual",$M268&lt;&gt;$A$15)),
        IF(Import.TipoArredondamento&lt;&gt;"TransfereGOV",
              ROUND(OFFSET($P268,0,AB$13),15-13*ORÇAMENTO!$AF$7)/$H268*OFFSET(ORÇAMENTO!$X$15,ROW(AB268)-ROW(AB$15),0),
              ROUND(ROUND(OFFSET($P268,0,AB$13),15-13*ORÇAMENTO!$AF$7)*OFFSET(ORÇAMENTO!$W$15,ROW(AB268)-ROW(AB$15),0),15-13*ORÇAMENTO!$AF$11)),
         0)</f>
        <v>0</v>
      </c>
      <c r="AC268" s="454">
        <f ca="1">IF(AND($D268="Serviço",AC$12&lt;&gt;0,$H268&gt;0,OR(AUTOEVENTO&lt;&gt;"manual",$M268&lt;&gt;$A$15)),
        IF(Import.TipoArredondamento&lt;&gt;"TransfereGOV",
              ROUND(OFFSET($P268,0,AC$13),15-13*ORÇAMENTO!$AF$7)/$H268*OFFSET(ORÇAMENTO!$X$15,ROW(AC268)-ROW(AC$15),0),
              ROUND(ROUND(OFFSET($P268,0,AC$13),15-13*ORÇAMENTO!$AF$7)*OFFSET(ORÇAMENTO!$W$15,ROW(AC268)-ROW(AC$15),0),15-13*ORÇAMENTO!$AF$11)),
         0)</f>
        <v>0</v>
      </c>
      <c r="AD268" s="454">
        <f ca="1">IF(AND($D268="Serviço",AD$12&lt;&gt;0,$H268&gt;0,OR(AUTOEVENTO&lt;&gt;"manual",$M268&lt;&gt;$A$15)),
        IF(Import.TipoArredondamento&lt;&gt;"TransfereGOV",
              ROUND(OFFSET($P268,0,AD$13),15-13*ORÇAMENTO!$AF$7)/$H268*OFFSET(ORÇAMENTO!$X$15,ROW(AD268)-ROW(AD$15),0),
              ROUND(ROUND(OFFSET($P268,0,AD$13),15-13*ORÇAMENTO!$AF$7)*OFFSET(ORÇAMENTO!$W$15,ROW(AD268)-ROW(AD$15),0),15-13*ORÇAMENTO!$AF$11)),
         0)</f>
        <v>0</v>
      </c>
      <c r="AE268" s="454">
        <f ca="1">IF(AND($D268="Serviço",AE$12&lt;&gt;0,$H268&gt;0,OR(AUTOEVENTO&lt;&gt;"manual",$M268&lt;&gt;$A$15)),
        IF(Import.TipoArredondamento&lt;&gt;"TransfereGOV",
              ROUND(OFFSET($P268,0,AE$13),15-13*ORÇAMENTO!$AF$7)/$H268*OFFSET(ORÇAMENTO!$X$15,ROW(AE268)-ROW(AE$15),0),
              ROUND(ROUND(OFFSET($P268,0,AE$13),15-13*ORÇAMENTO!$AF$7)*OFFSET(ORÇAMENTO!$W$15,ROW(AE268)-ROW(AE$15),0),15-13*ORÇAMENTO!$AF$11)),
         0)</f>
        <v>0</v>
      </c>
      <c r="AF268" s="454">
        <f ca="1">IF(AND($D268="Serviço",AF$12&lt;&gt;0,$H268&gt;0,OR(AUTOEVENTO&lt;&gt;"manual",$M268&lt;&gt;$A$15)),
        IF(Import.TipoArredondamento&lt;&gt;"TransfereGOV",
              ROUND(OFFSET($P268,0,AF$13),15-13*ORÇAMENTO!$AF$7)/$H268*OFFSET(ORÇAMENTO!$X$15,ROW(AF268)-ROW(AF$15),0),
              ROUND(ROUND(OFFSET($P268,0,AF$13),15-13*ORÇAMENTO!$AF$7)*OFFSET(ORÇAMENTO!$W$15,ROW(AF268)-ROW(AF$15),0),15-13*ORÇAMENTO!$AF$11)),
         0)</f>
        <v>0</v>
      </c>
      <c r="AG268" s="454">
        <f ca="1">IF(AND($D268="Serviço",AG$12&lt;&gt;0,$H268&gt;0,OR(AUTOEVENTO&lt;&gt;"manual",$M268&lt;&gt;$A$15)),
        IF(Import.TipoArredondamento&lt;&gt;"TransfereGOV",
              ROUND(OFFSET($P268,0,AG$13),15-13*ORÇAMENTO!$AF$7)/$H268*OFFSET(ORÇAMENTO!$X$15,ROW(AG268)-ROW(AG$15),0),
              ROUND(ROUND(OFFSET($P268,0,AG$13),15-13*ORÇAMENTO!$AF$7)*OFFSET(ORÇAMENTO!$W$15,ROW(AG268)-ROW(AG$15),0),15-13*ORÇAMENTO!$AF$11)),
         0)</f>
        <v>0</v>
      </c>
      <c r="AH268" s="454">
        <f ca="1">IF(AND($D268="Serviço",AH$12&lt;&gt;0,$H268&gt;0,OR(AUTOEVENTO&lt;&gt;"manual",$M268&lt;&gt;$A$15)),
        IF(Import.TipoArredondamento&lt;&gt;"TransfereGOV",
              ROUND(OFFSET($P268,0,AH$13),15-13*ORÇAMENTO!$AF$7)/$H268*OFFSET(ORÇAMENTO!$X$15,ROW(AH268)-ROW(AH$15),0),
              ROUND(ROUND(OFFSET($P268,0,AH$13),15-13*ORÇAMENTO!$AF$7)*OFFSET(ORÇAMENTO!$W$15,ROW(AH268)-ROW(AH$15),0),15-13*ORÇAMENTO!$AF$11)),
         0)</f>
        <v>0</v>
      </c>
      <c r="AI268" s="454">
        <f ca="1">IF(AND($D268="Serviço",AI$12&lt;&gt;0,$H268&gt;0,OR(AUTOEVENTO&lt;&gt;"manual",$M268&lt;&gt;$A$15)),
        IF(Import.TipoArredondamento&lt;&gt;"TransfereGOV",
              ROUND(OFFSET($P268,0,AI$13),15-13*ORÇAMENTO!$AF$7)/$H268*OFFSET(ORÇAMENTO!$X$15,ROW(AI268)-ROW(AI$15),0),
              ROUND(ROUND(OFFSET($P268,0,AI$13),15-13*ORÇAMENTO!$AF$7)*OFFSET(ORÇAMENTO!$W$15,ROW(AI268)-ROW(AI$15),0),15-13*ORÇAMENTO!$AF$11)),
         0)</f>
        <v>0</v>
      </c>
      <c r="AJ268" s="454">
        <f ca="1">IF(AND($D268="Serviço",AJ$12&lt;&gt;0,$H268&gt;0,OR(AUTOEVENTO&lt;&gt;"manual",$M268&lt;&gt;$A$15)),
        IF(Import.TipoArredondamento&lt;&gt;"TransfereGOV",
              ROUND(OFFSET($P268,0,AJ$13),15-13*ORÇAMENTO!$AF$7)/$H268*OFFSET(ORÇAMENTO!$X$15,ROW(AJ268)-ROW(AJ$15),0),
              ROUND(ROUND(OFFSET($P268,0,AJ$13),15-13*ORÇAMENTO!$AF$7)*OFFSET(ORÇAMENTO!$W$15,ROW(AJ268)-ROW(AJ$15),0),15-13*ORÇAMENTO!$AF$11)),
         0)</f>
        <v>0</v>
      </c>
      <c r="AK268" s="454">
        <f ca="1">IF(AND($D268="Serviço",AK$12&lt;&gt;0,$H268&gt;0,OR(AUTOEVENTO&lt;&gt;"manual",$M268&lt;&gt;$A$15)),
        IF(Import.TipoArredondamento&lt;&gt;"TransfereGOV",
              ROUND(OFFSET($P268,0,AK$13),15-13*ORÇAMENTO!$AF$7)/$H268*OFFSET(ORÇAMENTO!$X$15,ROW(AK268)-ROW(AK$15),0),
              ROUND(ROUND(OFFSET($P268,0,AK$13),15-13*ORÇAMENTO!$AF$7)*OFFSET(ORÇAMENTO!$W$15,ROW(AK268)-ROW(AK$15),0),15-13*ORÇAMENTO!$AF$11)),
         0)</f>
        <v>0</v>
      </c>
      <c r="AM268" s="172">
        <f ca="1">IF(OR($D268&lt;&gt;"Serviço",AND(AUTOEVENTO="Manual",$M268=$A$15)),0,
         IF(OFFSET(CRONOPLE!$F$15,$M268-$A$15,AM$13)="",10^12,OFFSET(CRONOPLE!$F$15,$M268-$A$15,AM$13)))</f>
        <v>0</v>
      </c>
      <c r="AN268" s="172">
        <f ca="1">IF(OR($D268&lt;&gt;"Serviço",AND(AUTOEVENTO="Manual",$M268=$A$15)),0,
         IF(OFFSET(CRONOPLE!$F$15,$M268-$A$15,AN$13)="",10^12,OFFSET(CRONOPLE!$F$15,$M268-$A$15,AN$13)))</f>
        <v>0</v>
      </c>
      <c r="AO268" s="172">
        <f ca="1">IF(OR($D268&lt;&gt;"Serviço",AND(AUTOEVENTO="Manual",$M268=$A$15)),0,
         IF(OFFSET(CRONOPLE!$F$15,$M268-$A$15,AO$13)="",10^12,OFFSET(CRONOPLE!$F$15,$M268-$A$15,AO$13)))</f>
        <v>0</v>
      </c>
      <c r="AP268" s="172">
        <f ca="1">IF(OR($D268&lt;&gt;"Serviço",AND(AUTOEVENTO="Manual",$M268=$A$15)),0,
         IF(OFFSET(CRONOPLE!$F$15,$M268-$A$15,AP$13)="",10^12,OFFSET(CRONOPLE!$F$15,$M268-$A$15,AP$13)))</f>
        <v>0</v>
      </c>
      <c r="AQ268" s="172">
        <f ca="1">IF(OR($D268&lt;&gt;"Serviço",AND(AUTOEVENTO="Manual",$M268=$A$15)),0,
         IF(OFFSET(CRONOPLE!$F$15,$M268-$A$15,AQ$13)="",10^12,OFFSET(CRONOPLE!$F$15,$M268-$A$15,AQ$13)))</f>
        <v>0</v>
      </c>
      <c r="AR268" s="172">
        <f ca="1">IF(OR($D268&lt;&gt;"Serviço",AND(AUTOEVENTO="Manual",$M268=$A$15)),0,
         IF(OFFSET(CRONOPLE!$F$15,$M268-$A$15,AR$13)="",10^12,OFFSET(CRONOPLE!$F$15,$M268-$A$15,AR$13)))</f>
        <v>0</v>
      </c>
      <c r="AS268" s="172">
        <f ca="1">IF(OR($D268&lt;&gt;"Serviço",AND(AUTOEVENTO="Manual",$M268=$A$15)),0,
         IF(OFFSET(CRONOPLE!$F$15,$M268-$A$15,AS$13)="",10^12,OFFSET(CRONOPLE!$F$15,$M268-$A$15,AS$13)))</f>
        <v>0</v>
      </c>
      <c r="AT268" s="172">
        <f ca="1">IF(OR($D268&lt;&gt;"Serviço",AND(AUTOEVENTO="Manual",$M268=$A$15)),0,
         IF(OFFSET(CRONOPLE!$F$15,$M268-$A$15,AT$13)="",10^12,OFFSET(CRONOPLE!$F$15,$M268-$A$15,AT$13)))</f>
        <v>0</v>
      </c>
      <c r="AU268" s="172">
        <f ca="1">IF(OR($D268&lt;&gt;"Serviço",AND(AUTOEVENTO="Manual",$M268=$A$15)),0,
         IF(OFFSET(CRONOPLE!$F$15,$M268-$A$15,AU$13)="",10^12,OFFSET(CRONOPLE!$F$15,$M268-$A$15,AU$13)))</f>
        <v>0</v>
      </c>
      <c r="AV268" s="172">
        <f ca="1">IF(OR($D268&lt;&gt;"Serviço",AND(AUTOEVENTO="Manual",$M268=$A$15)),0,
         IF(OFFSET(CRONOPLE!$F$15,$M268-$A$15,AV$13)="",10^12,OFFSET(CRONOPLE!$F$15,$M268-$A$15,AV$13)))</f>
        <v>0</v>
      </c>
      <c r="AX268" s="173">
        <f ca="1">IF(OR($D268&lt;&gt;"Serviço",AND(AUTOEVENTO="Manual",$M268=$A$15),$M268&gt;(ROW(PLE.lastrow)-ROW(PLE.firstrow))),0,
           IF(OFFSET(PLE!$G$15,$M268-$A$15,AX$13)="",10^12,OFFSET(PLE!$G$15,$M268-$A$15,AX$13)))</f>
        <v>0</v>
      </c>
      <c r="AY268" s="173">
        <f ca="1">IF(OR($D268&lt;&gt;"Serviço",AND(AUTOEVENTO="Manual",$M268=$A$15),$M268&gt;(ROW(PLE.lastrow)-ROW(PLE.firstrow))),0,
           IF(OFFSET(PLE!$G$15,$M268-$A$15,AY$13)="",10^12,OFFSET(PLE!$G$15,$M268-$A$15,AY$13)))</f>
        <v>0</v>
      </c>
      <c r="AZ268" s="173">
        <f ca="1">IF(OR($D268&lt;&gt;"Serviço",AND(AUTOEVENTO="Manual",$M268=$A$15),$M268&gt;(ROW(PLE.lastrow)-ROW(PLE.firstrow))),0,
           IF(OFFSET(PLE!$G$15,$M268-$A$15,AZ$13)="",10^12,OFFSET(PLE!$G$15,$M268-$A$15,AZ$13)))</f>
        <v>0</v>
      </c>
      <c r="BA268" s="173">
        <f ca="1">IF(OR($D268&lt;&gt;"Serviço",AND(AUTOEVENTO="Manual",$M268=$A$15),$M268&gt;(ROW(PLE.lastrow)-ROW(PLE.firstrow))),0,
           IF(OFFSET(PLE!$G$15,$M268-$A$15,BA$13)="",10^12,OFFSET(PLE!$G$15,$M268-$A$15,BA$13)))</f>
        <v>0</v>
      </c>
      <c r="BB268" s="173">
        <f ca="1">IF(OR($D268&lt;&gt;"Serviço",AND(AUTOEVENTO="Manual",$M268=$A$15),$M268&gt;(ROW(PLE.lastrow)-ROW(PLE.firstrow))),0,
           IF(OFFSET(PLE!$G$15,$M268-$A$15,BB$13)="",10^12,OFFSET(PLE!$G$15,$M268-$A$15,BB$13)))</f>
        <v>0</v>
      </c>
      <c r="BC268" s="173">
        <f ca="1">IF(OR($D268&lt;&gt;"Serviço",AND(AUTOEVENTO="Manual",$M268=$A$15),$M268&gt;(ROW(PLE.lastrow)-ROW(PLE.firstrow))),0,
           IF(OFFSET(PLE!$G$15,$M268-$A$15,BC$13)="",10^12,OFFSET(PLE!$G$15,$M268-$A$15,BC$13)))</f>
        <v>0</v>
      </c>
      <c r="BD268" s="173">
        <f ca="1">IF(OR($D268&lt;&gt;"Serviço",AND(AUTOEVENTO="Manual",$M268=$A$15),$M268&gt;(ROW(PLE.lastrow)-ROW(PLE.firstrow))),0,
           IF(OFFSET(PLE!$G$15,$M268-$A$15,BD$13)="",10^12,OFFSET(PLE!$G$15,$M268-$A$15,BD$13)))</f>
        <v>0</v>
      </c>
      <c r="BE268" s="173">
        <f ca="1">IF(OR($D268&lt;&gt;"Serviço",AND(AUTOEVENTO="Manual",$M268=$A$15),$M268&gt;(ROW(PLE.lastrow)-ROW(PLE.firstrow))),0,
           IF(OFFSET(PLE!$G$15,$M268-$A$15,BE$13)="",10^12,OFFSET(PLE!$G$15,$M268-$A$15,BE$13)))</f>
        <v>0</v>
      </c>
      <c r="BF268" s="173">
        <f ca="1">IF(OR($D268&lt;&gt;"Serviço",AND(AUTOEVENTO="Manual",$M268=$A$15),$M268&gt;(ROW(PLE.lastrow)-ROW(PLE.firstrow))),0,
           IF(OFFSET(PLE!$G$15,$M268-$A$15,BF$13)="",10^12,OFFSET(PLE!$G$15,$M268-$A$15,BF$13)))</f>
        <v>0</v>
      </c>
      <c r="BG268" s="173">
        <f ca="1">IF(OR($D268&lt;&gt;"Serviço",AND(AUTOEVENTO="Manual",$M268=$A$15),$M268&gt;(ROW(PLE.lastrow)-ROW(PLE.firstrow))),0,
           IF(OFFSET(PLE!$G$15,$M268-$A$15,BG$13)="",10^12,OFFSET(PLE!$G$15,$M268-$A$15,BG$13)))</f>
        <v>0</v>
      </c>
    </row>
    <row r="269" spans="1:59" ht="12.75" x14ac:dyDescent="0.2">
      <c r="A269" s="7" t="str">
        <f t="shared" ca="1" si="11"/>
        <v>253.</v>
      </c>
      <c r="B269" s="7">
        <f ca="1">OFFSET(ORÇAMENTO!C$15,ROW(B269)-ROW(B$15),0)</f>
        <v>3</v>
      </c>
      <c r="C269" s="7" t="str">
        <f ca="1">OFFSET(ORÇAMENTO!L$15,ROW(C269)-ROW(C$15),0)</f>
        <v>F</v>
      </c>
      <c r="D269" s="117" t="str">
        <f ca="1">OFFSET(ORÇAMENTO!N$15,ROW(D269)-ROW(D$15),0)</f>
        <v>Nível 3</v>
      </c>
      <c r="E269" s="118" t="str">
        <f ca="1">OFFSET(ORÇAMENTO!O$15,ROW(E269)-ROW(E$15),0)</f>
        <v>1.16.1.</v>
      </c>
      <c r="F269" s="164" t="str">
        <f ca="1">OFFSET(ORÇAMENTO!R$15,ROW(F269)-ROW(F$15),0)</f>
        <v>ILUMINAÇÃO DE EMERGÊNCIA</v>
      </c>
      <c r="G269" s="165" t="str">
        <f ca="1">IF($D269&lt;&gt;"Serviço","",OFFSET(ORÇAMENTO!S$15,ROW(G269)-ROW(G$15),0))</f>
        <v/>
      </c>
      <c r="H269" s="123">
        <f ca="1">IF($D269&lt;&gt;"Serviço",0,IF(ACOMPANHAMENTO="BM",ROUND(OFFSET(ORÇAMENTO!AJ$15,ROW(H269)-ROW(H$15),0),15-13*ORÇAMENTO!$AF$7),SUMPRODUCT(($Q$1:$AA$1=1)*ROUND($Q269:$AA269,15-13*ORÇAMENTO!$AF$7))))</f>
        <v>0</v>
      </c>
      <c r="I269" s="469"/>
      <c r="J269" s="577" t="str" cm="1">
        <f t="array" aca="1" ref="J269" ca="1">IF(B269&lt;&gt;"S","",IF(AND(ACOMPANHAMENTO="PLE",AUTOEVENTO="Manual",OR(H269&gt;0,ORÇAMENTO!AC269="QUANT."),OR(K269="",M269=0,N269="")),"►",IF(AND(ACOMPANHAMENTO="PLE",ORÇAMENTO!AC269="QUANT."),"►►",IF(AND(COUNTIF($P$11:$AA$11,"▼")=0,H269&gt;0,I269=""),"◄",""))))</f>
        <v/>
      </c>
      <c r="K269" s="626"/>
      <c r="L269" s="166" t="s">
        <v>765</v>
      </c>
      <c r="M269" s="167" t="str">
        <f ca="1">IF($D269&lt;&gt;"Serviço","",
          IF(AUTOEVENTO="manual",$A269,
                IF(ISERROR(MATCH($A269,$A$15:OFFSET($A269,-1,0),0)),MAX($M$15:OFFSET(M269,-1,0))+1,
                      INDEX($M$15:OFFSET(M269,-1,0),MATCH($A269,$A$15:OFFSET($A269,-1,0),0)))))</f>
        <v/>
      </c>
      <c r="N269" s="168" t="str">
        <f ca="1">IF($D269&lt;&gt;"Serviço","",
         IF(AUTOEVENTO="Manual",
                IF($A269=0,"&lt;-- defina o número do agrupador",
                       OFFSET(EVENTOS!$D$15,$A269-$A$15,0)),
                OFFSET($F$15,$A269,0)))</f>
        <v/>
      </c>
      <c r="O269" s="169"/>
      <c r="Q269" s="169"/>
      <c r="R269" s="170"/>
      <c r="S269" s="170"/>
      <c r="T269" s="170"/>
      <c r="U269" s="170"/>
      <c r="V269" s="170"/>
      <c r="W269" s="170"/>
      <c r="X269" s="170"/>
      <c r="Y269" s="170"/>
      <c r="Z269" s="171"/>
      <c r="AB269" s="454">
        <f ca="1">IF(AND($D269="Serviço",AB$12&lt;&gt;0,$H269&gt;0,OR(AUTOEVENTO&lt;&gt;"manual",$M269&lt;&gt;$A$15)),
        IF(Import.TipoArredondamento&lt;&gt;"TransfereGOV",
              ROUND(OFFSET($P269,0,AB$13),15-13*ORÇAMENTO!$AF$7)/$H269*OFFSET(ORÇAMENTO!$X$15,ROW(AB269)-ROW(AB$15),0),
              ROUND(ROUND(OFFSET($P269,0,AB$13),15-13*ORÇAMENTO!$AF$7)*OFFSET(ORÇAMENTO!$W$15,ROW(AB269)-ROW(AB$15),0),15-13*ORÇAMENTO!$AF$11)),
         0)</f>
        <v>0</v>
      </c>
      <c r="AC269" s="454">
        <f ca="1">IF(AND($D269="Serviço",AC$12&lt;&gt;0,$H269&gt;0,OR(AUTOEVENTO&lt;&gt;"manual",$M269&lt;&gt;$A$15)),
        IF(Import.TipoArredondamento&lt;&gt;"TransfereGOV",
              ROUND(OFFSET($P269,0,AC$13),15-13*ORÇAMENTO!$AF$7)/$H269*OFFSET(ORÇAMENTO!$X$15,ROW(AC269)-ROW(AC$15),0),
              ROUND(ROUND(OFFSET($P269,0,AC$13),15-13*ORÇAMENTO!$AF$7)*OFFSET(ORÇAMENTO!$W$15,ROW(AC269)-ROW(AC$15),0),15-13*ORÇAMENTO!$AF$11)),
         0)</f>
        <v>0</v>
      </c>
      <c r="AD269" s="454">
        <f ca="1">IF(AND($D269="Serviço",AD$12&lt;&gt;0,$H269&gt;0,OR(AUTOEVENTO&lt;&gt;"manual",$M269&lt;&gt;$A$15)),
        IF(Import.TipoArredondamento&lt;&gt;"TransfereGOV",
              ROUND(OFFSET($P269,0,AD$13),15-13*ORÇAMENTO!$AF$7)/$H269*OFFSET(ORÇAMENTO!$X$15,ROW(AD269)-ROW(AD$15),0),
              ROUND(ROUND(OFFSET($P269,0,AD$13),15-13*ORÇAMENTO!$AF$7)*OFFSET(ORÇAMENTO!$W$15,ROW(AD269)-ROW(AD$15),0),15-13*ORÇAMENTO!$AF$11)),
         0)</f>
        <v>0</v>
      </c>
      <c r="AE269" s="454">
        <f ca="1">IF(AND($D269="Serviço",AE$12&lt;&gt;0,$H269&gt;0,OR(AUTOEVENTO&lt;&gt;"manual",$M269&lt;&gt;$A$15)),
        IF(Import.TipoArredondamento&lt;&gt;"TransfereGOV",
              ROUND(OFFSET($P269,0,AE$13),15-13*ORÇAMENTO!$AF$7)/$H269*OFFSET(ORÇAMENTO!$X$15,ROW(AE269)-ROW(AE$15),0),
              ROUND(ROUND(OFFSET($P269,0,AE$13),15-13*ORÇAMENTO!$AF$7)*OFFSET(ORÇAMENTO!$W$15,ROW(AE269)-ROW(AE$15),0),15-13*ORÇAMENTO!$AF$11)),
         0)</f>
        <v>0</v>
      </c>
      <c r="AF269" s="454">
        <f ca="1">IF(AND($D269="Serviço",AF$12&lt;&gt;0,$H269&gt;0,OR(AUTOEVENTO&lt;&gt;"manual",$M269&lt;&gt;$A$15)),
        IF(Import.TipoArredondamento&lt;&gt;"TransfereGOV",
              ROUND(OFFSET($P269,0,AF$13),15-13*ORÇAMENTO!$AF$7)/$H269*OFFSET(ORÇAMENTO!$X$15,ROW(AF269)-ROW(AF$15),0),
              ROUND(ROUND(OFFSET($P269,0,AF$13),15-13*ORÇAMENTO!$AF$7)*OFFSET(ORÇAMENTO!$W$15,ROW(AF269)-ROW(AF$15),0),15-13*ORÇAMENTO!$AF$11)),
         0)</f>
        <v>0</v>
      </c>
      <c r="AG269" s="454">
        <f ca="1">IF(AND($D269="Serviço",AG$12&lt;&gt;0,$H269&gt;0,OR(AUTOEVENTO&lt;&gt;"manual",$M269&lt;&gt;$A$15)),
        IF(Import.TipoArredondamento&lt;&gt;"TransfereGOV",
              ROUND(OFFSET($P269,0,AG$13),15-13*ORÇAMENTO!$AF$7)/$H269*OFFSET(ORÇAMENTO!$X$15,ROW(AG269)-ROW(AG$15),0),
              ROUND(ROUND(OFFSET($P269,0,AG$13),15-13*ORÇAMENTO!$AF$7)*OFFSET(ORÇAMENTO!$W$15,ROW(AG269)-ROW(AG$15),0),15-13*ORÇAMENTO!$AF$11)),
         0)</f>
        <v>0</v>
      </c>
      <c r="AH269" s="454">
        <f ca="1">IF(AND($D269="Serviço",AH$12&lt;&gt;0,$H269&gt;0,OR(AUTOEVENTO&lt;&gt;"manual",$M269&lt;&gt;$A$15)),
        IF(Import.TipoArredondamento&lt;&gt;"TransfereGOV",
              ROUND(OFFSET($P269,0,AH$13),15-13*ORÇAMENTO!$AF$7)/$H269*OFFSET(ORÇAMENTO!$X$15,ROW(AH269)-ROW(AH$15),0),
              ROUND(ROUND(OFFSET($P269,0,AH$13),15-13*ORÇAMENTO!$AF$7)*OFFSET(ORÇAMENTO!$W$15,ROW(AH269)-ROW(AH$15),0),15-13*ORÇAMENTO!$AF$11)),
         0)</f>
        <v>0</v>
      </c>
      <c r="AI269" s="454">
        <f ca="1">IF(AND($D269="Serviço",AI$12&lt;&gt;0,$H269&gt;0,OR(AUTOEVENTO&lt;&gt;"manual",$M269&lt;&gt;$A$15)),
        IF(Import.TipoArredondamento&lt;&gt;"TransfereGOV",
              ROUND(OFFSET($P269,0,AI$13),15-13*ORÇAMENTO!$AF$7)/$H269*OFFSET(ORÇAMENTO!$X$15,ROW(AI269)-ROW(AI$15),0),
              ROUND(ROUND(OFFSET($P269,0,AI$13),15-13*ORÇAMENTO!$AF$7)*OFFSET(ORÇAMENTO!$W$15,ROW(AI269)-ROW(AI$15),0),15-13*ORÇAMENTO!$AF$11)),
         0)</f>
        <v>0</v>
      </c>
      <c r="AJ269" s="454">
        <f ca="1">IF(AND($D269="Serviço",AJ$12&lt;&gt;0,$H269&gt;0,OR(AUTOEVENTO&lt;&gt;"manual",$M269&lt;&gt;$A$15)),
        IF(Import.TipoArredondamento&lt;&gt;"TransfereGOV",
              ROUND(OFFSET($P269,0,AJ$13),15-13*ORÇAMENTO!$AF$7)/$H269*OFFSET(ORÇAMENTO!$X$15,ROW(AJ269)-ROW(AJ$15),0),
              ROUND(ROUND(OFFSET($P269,0,AJ$13),15-13*ORÇAMENTO!$AF$7)*OFFSET(ORÇAMENTO!$W$15,ROW(AJ269)-ROW(AJ$15),0),15-13*ORÇAMENTO!$AF$11)),
         0)</f>
        <v>0</v>
      </c>
      <c r="AK269" s="454">
        <f ca="1">IF(AND($D269="Serviço",AK$12&lt;&gt;0,$H269&gt;0,OR(AUTOEVENTO&lt;&gt;"manual",$M269&lt;&gt;$A$15)),
        IF(Import.TipoArredondamento&lt;&gt;"TransfereGOV",
              ROUND(OFFSET($P269,0,AK$13),15-13*ORÇAMENTO!$AF$7)/$H269*OFFSET(ORÇAMENTO!$X$15,ROW(AK269)-ROW(AK$15),0),
              ROUND(ROUND(OFFSET($P269,0,AK$13),15-13*ORÇAMENTO!$AF$7)*OFFSET(ORÇAMENTO!$W$15,ROW(AK269)-ROW(AK$15),0),15-13*ORÇAMENTO!$AF$11)),
         0)</f>
        <v>0</v>
      </c>
      <c r="AM269" s="172">
        <f ca="1">IF(OR($D269&lt;&gt;"Serviço",AND(AUTOEVENTO="Manual",$M269=$A$15)),0,
         IF(OFFSET(CRONOPLE!$F$15,$M269-$A$15,AM$13)="",10^12,OFFSET(CRONOPLE!$F$15,$M269-$A$15,AM$13)))</f>
        <v>0</v>
      </c>
      <c r="AN269" s="172">
        <f ca="1">IF(OR($D269&lt;&gt;"Serviço",AND(AUTOEVENTO="Manual",$M269=$A$15)),0,
         IF(OFFSET(CRONOPLE!$F$15,$M269-$A$15,AN$13)="",10^12,OFFSET(CRONOPLE!$F$15,$M269-$A$15,AN$13)))</f>
        <v>0</v>
      </c>
      <c r="AO269" s="172">
        <f ca="1">IF(OR($D269&lt;&gt;"Serviço",AND(AUTOEVENTO="Manual",$M269=$A$15)),0,
         IF(OFFSET(CRONOPLE!$F$15,$M269-$A$15,AO$13)="",10^12,OFFSET(CRONOPLE!$F$15,$M269-$A$15,AO$13)))</f>
        <v>0</v>
      </c>
      <c r="AP269" s="172">
        <f ca="1">IF(OR($D269&lt;&gt;"Serviço",AND(AUTOEVENTO="Manual",$M269=$A$15)),0,
         IF(OFFSET(CRONOPLE!$F$15,$M269-$A$15,AP$13)="",10^12,OFFSET(CRONOPLE!$F$15,$M269-$A$15,AP$13)))</f>
        <v>0</v>
      </c>
      <c r="AQ269" s="172">
        <f ca="1">IF(OR($D269&lt;&gt;"Serviço",AND(AUTOEVENTO="Manual",$M269=$A$15)),0,
         IF(OFFSET(CRONOPLE!$F$15,$M269-$A$15,AQ$13)="",10^12,OFFSET(CRONOPLE!$F$15,$M269-$A$15,AQ$13)))</f>
        <v>0</v>
      </c>
      <c r="AR269" s="172">
        <f ca="1">IF(OR($D269&lt;&gt;"Serviço",AND(AUTOEVENTO="Manual",$M269=$A$15)),0,
         IF(OFFSET(CRONOPLE!$F$15,$M269-$A$15,AR$13)="",10^12,OFFSET(CRONOPLE!$F$15,$M269-$A$15,AR$13)))</f>
        <v>0</v>
      </c>
      <c r="AS269" s="172">
        <f ca="1">IF(OR($D269&lt;&gt;"Serviço",AND(AUTOEVENTO="Manual",$M269=$A$15)),0,
         IF(OFFSET(CRONOPLE!$F$15,$M269-$A$15,AS$13)="",10^12,OFFSET(CRONOPLE!$F$15,$M269-$A$15,AS$13)))</f>
        <v>0</v>
      </c>
      <c r="AT269" s="172">
        <f ca="1">IF(OR($D269&lt;&gt;"Serviço",AND(AUTOEVENTO="Manual",$M269=$A$15)),0,
         IF(OFFSET(CRONOPLE!$F$15,$M269-$A$15,AT$13)="",10^12,OFFSET(CRONOPLE!$F$15,$M269-$A$15,AT$13)))</f>
        <v>0</v>
      </c>
      <c r="AU269" s="172">
        <f ca="1">IF(OR($D269&lt;&gt;"Serviço",AND(AUTOEVENTO="Manual",$M269=$A$15)),0,
         IF(OFFSET(CRONOPLE!$F$15,$M269-$A$15,AU$13)="",10^12,OFFSET(CRONOPLE!$F$15,$M269-$A$15,AU$13)))</f>
        <v>0</v>
      </c>
      <c r="AV269" s="172">
        <f ca="1">IF(OR($D269&lt;&gt;"Serviço",AND(AUTOEVENTO="Manual",$M269=$A$15)),0,
         IF(OFFSET(CRONOPLE!$F$15,$M269-$A$15,AV$13)="",10^12,OFFSET(CRONOPLE!$F$15,$M269-$A$15,AV$13)))</f>
        <v>0</v>
      </c>
      <c r="AX269" s="173">
        <f ca="1">IF(OR($D269&lt;&gt;"Serviço",AND(AUTOEVENTO="Manual",$M269=$A$15),$M269&gt;(ROW(PLE.lastrow)-ROW(PLE.firstrow))),0,
           IF(OFFSET(PLE!$G$15,$M269-$A$15,AX$13)="",10^12,OFFSET(PLE!$G$15,$M269-$A$15,AX$13)))</f>
        <v>0</v>
      </c>
      <c r="AY269" s="173">
        <f ca="1">IF(OR($D269&lt;&gt;"Serviço",AND(AUTOEVENTO="Manual",$M269=$A$15),$M269&gt;(ROW(PLE.lastrow)-ROW(PLE.firstrow))),0,
           IF(OFFSET(PLE!$G$15,$M269-$A$15,AY$13)="",10^12,OFFSET(PLE!$G$15,$M269-$A$15,AY$13)))</f>
        <v>0</v>
      </c>
      <c r="AZ269" s="173">
        <f ca="1">IF(OR($D269&lt;&gt;"Serviço",AND(AUTOEVENTO="Manual",$M269=$A$15),$M269&gt;(ROW(PLE.lastrow)-ROW(PLE.firstrow))),0,
           IF(OFFSET(PLE!$G$15,$M269-$A$15,AZ$13)="",10^12,OFFSET(PLE!$G$15,$M269-$A$15,AZ$13)))</f>
        <v>0</v>
      </c>
      <c r="BA269" s="173">
        <f ca="1">IF(OR($D269&lt;&gt;"Serviço",AND(AUTOEVENTO="Manual",$M269=$A$15),$M269&gt;(ROW(PLE.lastrow)-ROW(PLE.firstrow))),0,
           IF(OFFSET(PLE!$G$15,$M269-$A$15,BA$13)="",10^12,OFFSET(PLE!$G$15,$M269-$A$15,BA$13)))</f>
        <v>0</v>
      </c>
      <c r="BB269" s="173">
        <f ca="1">IF(OR($D269&lt;&gt;"Serviço",AND(AUTOEVENTO="Manual",$M269=$A$15),$M269&gt;(ROW(PLE.lastrow)-ROW(PLE.firstrow))),0,
           IF(OFFSET(PLE!$G$15,$M269-$A$15,BB$13)="",10^12,OFFSET(PLE!$G$15,$M269-$A$15,BB$13)))</f>
        <v>0</v>
      </c>
      <c r="BC269" s="173">
        <f ca="1">IF(OR($D269&lt;&gt;"Serviço",AND(AUTOEVENTO="Manual",$M269=$A$15),$M269&gt;(ROW(PLE.lastrow)-ROW(PLE.firstrow))),0,
           IF(OFFSET(PLE!$G$15,$M269-$A$15,BC$13)="",10^12,OFFSET(PLE!$G$15,$M269-$A$15,BC$13)))</f>
        <v>0</v>
      </c>
      <c r="BD269" s="173">
        <f ca="1">IF(OR($D269&lt;&gt;"Serviço",AND(AUTOEVENTO="Manual",$M269=$A$15),$M269&gt;(ROW(PLE.lastrow)-ROW(PLE.firstrow))),0,
           IF(OFFSET(PLE!$G$15,$M269-$A$15,BD$13)="",10^12,OFFSET(PLE!$G$15,$M269-$A$15,BD$13)))</f>
        <v>0</v>
      </c>
      <c r="BE269" s="173">
        <f ca="1">IF(OR($D269&lt;&gt;"Serviço",AND(AUTOEVENTO="Manual",$M269=$A$15),$M269&gt;(ROW(PLE.lastrow)-ROW(PLE.firstrow))),0,
           IF(OFFSET(PLE!$G$15,$M269-$A$15,BE$13)="",10^12,OFFSET(PLE!$G$15,$M269-$A$15,BE$13)))</f>
        <v>0</v>
      </c>
      <c r="BF269" s="173">
        <f ca="1">IF(OR($D269&lt;&gt;"Serviço",AND(AUTOEVENTO="Manual",$M269=$A$15),$M269&gt;(ROW(PLE.lastrow)-ROW(PLE.firstrow))),0,
           IF(OFFSET(PLE!$G$15,$M269-$A$15,BF$13)="",10^12,OFFSET(PLE!$G$15,$M269-$A$15,BF$13)))</f>
        <v>0</v>
      </c>
      <c r="BG269" s="173">
        <f ca="1">IF(OR($D269&lt;&gt;"Serviço",AND(AUTOEVENTO="Manual",$M269=$A$15),$M269&gt;(ROW(PLE.lastrow)-ROW(PLE.firstrow))),0,
           IF(OFFSET(PLE!$G$15,$M269-$A$15,BG$13)="",10^12,OFFSET(PLE!$G$15,$M269-$A$15,BG$13)))</f>
        <v>0</v>
      </c>
    </row>
    <row r="270" spans="1:59" ht="25.5" x14ac:dyDescent="0.2">
      <c r="A270" s="7" t="str">
        <f t="shared" ca="1" si="11"/>
        <v>253</v>
      </c>
      <c r="B270" s="7" t="str">
        <f ca="1">OFFSET(ORÇAMENTO!C$15,ROW(B270)-ROW(B$15),0)</f>
        <v>S</v>
      </c>
      <c r="C270" s="7" t="str">
        <f ca="1">OFFSET(ORÇAMENTO!L$15,ROW(C270)-ROW(C$15),0)</f>
        <v/>
      </c>
      <c r="D270" s="117" t="str">
        <f ca="1">OFFSET(ORÇAMENTO!N$15,ROW(D270)-ROW(D$15),0)</f>
        <v>Serviço</v>
      </c>
      <c r="E270" s="118" t="str">
        <f ca="1">OFFSET(ORÇAMENTO!O$15,ROW(E270)-ROW(E$15),0)</f>
        <v>-</v>
      </c>
      <c r="F270" s="164" t="str">
        <f ca="1">OFFSET(ORÇAMENTO!R$15,ROW(F270)-ROW(F$15),0)</f>
        <v>LUMINÁRIA DE EMERGÊNCIA, COM 30 LÂMPADAS LED DE 2 W, SEM REATOR - FORNECIMENTO E INSTALAÇÃO. AF_09/2024</v>
      </c>
      <c r="G270" s="165" t="str">
        <f ca="1">IF($D270&lt;&gt;"Serviço","",OFFSET(ORÇAMENTO!S$15,ROW(G270)-ROW(G$15),0))</f>
        <v>UN</v>
      </c>
      <c r="H270" s="123">
        <f ca="1">IF($D270&lt;&gt;"Serviço",0,IF(ACOMPANHAMENTO="BM",ROUND(OFFSET(ORÇAMENTO!AJ$15,ROW(H270)-ROW(H$15),0),15-13*ORÇAMENTO!$AF$7),SUMPRODUCT(($Q$1:$AA$1=1)*ROUND($Q270:$AA270,15-13*ORÇAMENTO!$AF$7))))</f>
        <v>22</v>
      </c>
      <c r="I270" s="469"/>
      <c r="J270" s="577" t="str" cm="1">
        <f t="array" aca="1" ref="J270" ca="1">IF(B270&lt;&gt;"S","",IF(AND(ACOMPANHAMENTO="PLE",AUTOEVENTO="Manual",OR(H270&gt;0,ORÇAMENTO!AC270="QUANT."),OR(K270="",M270=0,N270="")),"►",IF(AND(ACOMPANHAMENTO="PLE",ORÇAMENTO!AC270="QUANT."),"►►",IF(AND(COUNTIF($P$11:$AA$11,"▼")=0,H270&gt;0,I270=""),"◄",""))))</f>
        <v>◄</v>
      </c>
      <c r="K270" s="626"/>
      <c r="L270" s="166" t="s">
        <v>765</v>
      </c>
      <c r="M270" s="167">
        <f ca="1">IF($D270&lt;&gt;"Serviço","",
          IF(AUTOEVENTO="manual",$A270,
                IF(ISERROR(MATCH($A270,$A$15:OFFSET($A270,-1,0),0)),MAX($M$15:OFFSET(M270,-1,0))+1,
                      INDEX($M$15:OFFSET(M270,-1,0),MATCH($A270,$A$15:OFFSET($A270,-1,0),0)))))</f>
        <v>16</v>
      </c>
      <c r="N270" s="168" t="str">
        <f ca="1">IF($D270&lt;&gt;"Serviço","",
         IF(AUTOEVENTO="Manual",
                IF($A270=0,"&lt;-- defina o número do agrupador",
                       OFFSET(EVENTOS!$D$15,$A270-$A$15,0)),
                OFFSET($F$15,$A270,0)))</f>
        <v>SISTEMAS DE PREVENÇÃO CONTRA INCÊNDIO</v>
      </c>
      <c r="O270" s="169"/>
      <c r="Q270" s="169"/>
      <c r="R270" s="170"/>
      <c r="S270" s="170"/>
      <c r="T270" s="170"/>
      <c r="U270" s="170"/>
      <c r="V270" s="170"/>
      <c r="W270" s="170"/>
      <c r="X270" s="170"/>
      <c r="Y270" s="170"/>
      <c r="Z270" s="171"/>
      <c r="AB270" s="454">
        <f ca="1">IF(AND($D270="Serviço",AB$12&lt;&gt;0,$H270&gt;0,OR(AUTOEVENTO&lt;&gt;"manual",$M270&lt;&gt;$A$15)),
        IF(Import.TipoArredondamento&lt;&gt;"TransfereGOV",
              ROUND(OFFSET($P270,0,AB$13),15-13*ORÇAMENTO!$AF$7)/$H270*OFFSET(ORÇAMENTO!$X$15,ROW(AB270)-ROW(AB$15),0),
              ROUND(ROUND(OFFSET($P270,0,AB$13),15-13*ORÇAMENTO!$AF$7)*OFFSET(ORÇAMENTO!$W$15,ROW(AB270)-ROW(AB$15),0),15-13*ORÇAMENTO!$AF$11)),
         0)</f>
        <v>0</v>
      </c>
      <c r="AC270" s="454">
        <f ca="1">IF(AND($D270="Serviço",AC$12&lt;&gt;0,$H270&gt;0,OR(AUTOEVENTO&lt;&gt;"manual",$M270&lt;&gt;$A$15)),
        IF(Import.TipoArredondamento&lt;&gt;"TransfereGOV",
              ROUND(OFFSET($P270,0,AC$13),15-13*ORÇAMENTO!$AF$7)/$H270*OFFSET(ORÇAMENTO!$X$15,ROW(AC270)-ROW(AC$15),0),
              ROUND(ROUND(OFFSET($P270,0,AC$13),15-13*ORÇAMENTO!$AF$7)*OFFSET(ORÇAMENTO!$W$15,ROW(AC270)-ROW(AC$15),0),15-13*ORÇAMENTO!$AF$11)),
         0)</f>
        <v>0</v>
      </c>
      <c r="AD270" s="454">
        <f ca="1">IF(AND($D270="Serviço",AD$12&lt;&gt;0,$H270&gt;0,OR(AUTOEVENTO&lt;&gt;"manual",$M270&lt;&gt;$A$15)),
        IF(Import.TipoArredondamento&lt;&gt;"TransfereGOV",
              ROUND(OFFSET($P270,0,AD$13),15-13*ORÇAMENTO!$AF$7)/$H270*OFFSET(ORÇAMENTO!$X$15,ROW(AD270)-ROW(AD$15),0),
              ROUND(ROUND(OFFSET($P270,0,AD$13),15-13*ORÇAMENTO!$AF$7)*OFFSET(ORÇAMENTO!$W$15,ROW(AD270)-ROW(AD$15),0),15-13*ORÇAMENTO!$AF$11)),
         0)</f>
        <v>0</v>
      </c>
      <c r="AE270" s="454">
        <f ca="1">IF(AND($D270="Serviço",AE$12&lt;&gt;0,$H270&gt;0,OR(AUTOEVENTO&lt;&gt;"manual",$M270&lt;&gt;$A$15)),
        IF(Import.TipoArredondamento&lt;&gt;"TransfereGOV",
              ROUND(OFFSET($P270,0,AE$13),15-13*ORÇAMENTO!$AF$7)/$H270*OFFSET(ORÇAMENTO!$X$15,ROW(AE270)-ROW(AE$15),0),
              ROUND(ROUND(OFFSET($P270,0,AE$13),15-13*ORÇAMENTO!$AF$7)*OFFSET(ORÇAMENTO!$W$15,ROW(AE270)-ROW(AE$15),0),15-13*ORÇAMENTO!$AF$11)),
         0)</f>
        <v>0</v>
      </c>
      <c r="AF270" s="454">
        <f ca="1">IF(AND($D270="Serviço",AF$12&lt;&gt;0,$H270&gt;0,OR(AUTOEVENTO&lt;&gt;"manual",$M270&lt;&gt;$A$15)),
        IF(Import.TipoArredondamento&lt;&gt;"TransfereGOV",
              ROUND(OFFSET($P270,0,AF$13),15-13*ORÇAMENTO!$AF$7)/$H270*OFFSET(ORÇAMENTO!$X$15,ROW(AF270)-ROW(AF$15),0),
              ROUND(ROUND(OFFSET($P270,0,AF$13),15-13*ORÇAMENTO!$AF$7)*OFFSET(ORÇAMENTO!$W$15,ROW(AF270)-ROW(AF$15),0),15-13*ORÇAMENTO!$AF$11)),
         0)</f>
        <v>0</v>
      </c>
      <c r="AG270" s="454">
        <f ca="1">IF(AND($D270="Serviço",AG$12&lt;&gt;0,$H270&gt;0,OR(AUTOEVENTO&lt;&gt;"manual",$M270&lt;&gt;$A$15)),
        IF(Import.TipoArredondamento&lt;&gt;"TransfereGOV",
              ROUND(OFFSET($P270,0,AG$13),15-13*ORÇAMENTO!$AF$7)/$H270*OFFSET(ORÇAMENTO!$X$15,ROW(AG270)-ROW(AG$15),0),
              ROUND(ROUND(OFFSET($P270,0,AG$13),15-13*ORÇAMENTO!$AF$7)*OFFSET(ORÇAMENTO!$W$15,ROW(AG270)-ROW(AG$15),0),15-13*ORÇAMENTO!$AF$11)),
         0)</f>
        <v>0</v>
      </c>
      <c r="AH270" s="454">
        <f ca="1">IF(AND($D270="Serviço",AH$12&lt;&gt;0,$H270&gt;0,OR(AUTOEVENTO&lt;&gt;"manual",$M270&lt;&gt;$A$15)),
        IF(Import.TipoArredondamento&lt;&gt;"TransfereGOV",
              ROUND(OFFSET($P270,0,AH$13),15-13*ORÇAMENTO!$AF$7)/$H270*OFFSET(ORÇAMENTO!$X$15,ROW(AH270)-ROW(AH$15),0),
              ROUND(ROUND(OFFSET($P270,0,AH$13),15-13*ORÇAMENTO!$AF$7)*OFFSET(ORÇAMENTO!$W$15,ROW(AH270)-ROW(AH$15),0),15-13*ORÇAMENTO!$AF$11)),
         0)</f>
        <v>0</v>
      </c>
      <c r="AI270" s="454">
        <f ca="1">IF(AND($D270="Serviço",AI$12&lt;&gt;0,$H270&gt;0,OR(AUTOEVENTO&lt;&gt;"manual",$M270&lt;&gt;$A$15)),
        IF(Import.TipoArredondamento&lt;&gt;"TransfereGOV",
              ROUND(OFFSET($P270,0,AI$13),15-13*ORÇAMENTO!$AF$7)/$H270*OFFSET(ORÇAMENTO!$X$15,ROW(AI270)-ROW(AI$15),0),
              ROUND(ROUND(OFFSET($P270,0,AI$13),15-13*ORÇAMENTO!$AF$7)*OFFSET(ORÇAMENTO!$W$15,ROW(AI270)-ROW(AI$15),0),15-13*ORÇAMENTO!$AF$11)),
         0)</f>
        <v>0</v>
      </c>
      <c r="AJ270" s="454">
        <f ca="1">IF(AND($D270="Serviço",AJ$12&lt;&gt;0,$H270&gt;0,OR(AUTOEVENTO&lt;&gt;"manual",$M270&lt;&gt;$A$15)),
        IF(Import.TipoArredondamento&lt;&gt;"TransfereGOV",
              ROUND(OFFSET($P270,0,AJ$13),15-13*ORÇAMENTO!$AF$7)/$H270*OFFSET(ORÇAMENTO!$X$15,ROW(AJ270)-ROW(AJ$15),0),
              ROUND(ROUND(OFFSET($P270,0,AJ$13),15-13*ORÇAMENTO!$AF$7)*OFFSET(ORÇAMENTO!$W$15,ROW(AJ270)-ROW(AJ$15),0),15-13*ORÇAMENTO!$AF$11)),
         0)</f>
        <v>0</v>
      </c>
      <c r="AK270" s="454">
        <f ca="1">IF(AND($D270="Serviço",AK$12&lt;&gt;0,$H270&gt;0,OR(AUTOEVENTO&lt;&gt;"manual",$M270&lt;&gt;$A$15)),
        IF(Import.TipoArredondamento&lt;&gt;"TransfereGOV",
              ROUND(OFFSET($P270,0,AK$13),15-13*ORÇAMENTO!$AF$7)/$H270*OFFSET(ORÇAMENTO!$X$15,ROW(AK270)-ROW(AK$15),0),
              ROUND(ROUND(OFFSET($P270,0,AK$13),15-13*ORÇAMENTO!$AF$7)*OFFSET(ORÇAMENTO!$W$15,ROW(AK270)-ROW(AK$15),0),15-13*ORÇAMENTO!$AF$11)),
         0)</f>
        <v>0</v>
      </c>
      <c r="AM270" s="172">
        <f ca="1">IF(OR($D270&lt;&gt;"Serviço",AND(AUTOEVENTO="Manual",$M270=$A$15)),0,
         IF(OFFSET(CRONOPLE!$F$15,$M270-$A$15,AM$13)="",10^12,OFFSET(CRONOPLE!$F$15,$M270-$A$15,AM$13)))</f>
        <v>1000000000000</v>
      </c>
      <c r="AN270" s="172">
        <f ca="1">IF(OR($D270&lt;&gt;"Serviço",AND(AUTOEVENTO="Manual",$M270=$A$15)),0,
         IF(OFFSET(CRONOPLE!$F$15,$M270-$A$15,AN$13)="",10^12,OFFSET(CRONOPLE!$F$15,$M270-$A$15,AN$13)))</f>
        <v>1000000000000</v>
      </c>
      <c r="AO270" s="172">
        <f ca="1">IF(OR($D270&lt;&gt;"Serviço",AND(AUTOEVENTO="Manual",$M270=$A$15)),0,
         IF(OFFSET(CRONOPLE!$F$15,$M270-$A$15,AO$13)="",10^12,OFFSET(CRONOPLE!$F$15,$M270-$A$15,AO$13)))</f>
        <v>1000000000000</v>
      </c>
      <c r="AP270" s="172">
        <f ca="1">IF(OR($D270&lt;&gt;"Serviço",AND(AUTOEVENTO="Manual",$M270=$A$15)),0,
         IF(OFFSET(CRONOPLE!$F$15,$M270-$A$15,AP$13)="",10^12,OFFSET(CRONOPLE!$F$15,$M270-$A$15,AP$13)))</f>
        <v>1000000000000</v>
      </c>
      <c r="AQ270" s="172">
        <f ca="1">IF(OR($D270&lt;&gt;"Serviço",AND(AUTOEVENTO="Manual",$M270=$A$15)),0,
         IF(OFFSET(CRONOPLE!$F$15,$M270-$A$15,AQ$13)="",10^12,OFFSET(CRONOPLE!$F$15,$M270-$A$15,AQ$13)))</f>
        <v>1000000000000</v>
      </c>
      <c r="AR270" s="172">
        <f ca="1">IF(OR($D270&lt;&gt;"Serviço",AND(AUTOEVENTO="Manual",$M270=$A$15)),0,
         IF(OFFSET(CRONOPLE!$F$15,$M270-$A$15,AR$13)="",10^12,OFFSET(CRONOPLE!$F$15,$M270-$A$15,AR$13)))</f>
        <v>1000000000000</v>
      </c>
      <c r="AS270" s="172">
        <f ca="1">IF(OR($D270&lt;&gt;"Serviço",AND(AUTOEVENTO="Manual",$M270=$A$15)),0,
         IF(OFFSET(CRONOPLE!$F$15,$M270-$A$15,AS$13)="",10^12,OFFSET(CRONOPLE!$F$15,$M270-$A$15,AS$13)))</f>
        <v>1000000000000</v>
      </c>
      <c r="AT270" s="172">
        <f ca="1">IF(OR($D270&lt;&gt;"Serviço",AND(AUTOEVENTO="Manual",$M270=$A$15)),0,
         IF(OFFSET(CRONOPLE!$F$15,$M270-$A$15,AT$13)="",10^12,OFFSET(CRONOPLE!$F$15,$M270-$A$15,AT$13)))</f>
        <v>1000000000000</v>
      </c>
      <c r="AU270" s="172">
        <f ca="1">IF(OR($D270&lt;&gt;"Serviço",AND(AUTOEVENTO="Manual",$M270=$A$15)),0,
         IF(OFFSET(CRONOPLE!$F$15,$M270-$A$15,AU$13)="",10^12,OFFSET(CRONOPLE!$F$15,$M270-$A$15,AU$13)))</f>
        <v>1000000000000</v>
      </c>
      <c r="AV270" s="172">
        <f ca="1">IF(OR($D270&lt;&gt;"Serviço",AND(AUTOEVENTO="Manual",$M270=$A$15)),0,
         IF(OFFSET(CRONOPLE!$F$15,$M270-$A$15,AV$13)="",10^12,OFFSET(CRONOPLE!$F$15,$M270-$A$15,AV$13)))</f>
        <v>1000000000000</v>
      </c>
      <c r="AX270" s="173">
        <f ca="1">IF(OR($D270&lt;&gt;"Serviço",AND(AUTOEVENTO="Manual",$M270=$A$15),$M270&gt;(ROW(PLE.lastrow)-ROW(PLE.firstrow))),0,
           IF(OFFSET(PLE!$G$15,$M270-$A$15,AX$13)="",10^12,OFFSET(PLE!$G$15,$M270-$A$15,AX$13)))</f>
        <v>1000000000000</v>
      </c>
      <c r="AY270" s="173">
        <f ca="1">IF(OR($D270&lt;&gt;"Serviço",AND(AUTOEVENTO="Manual",$M270=$A$15),$M270&gt;(ROW(PLE.lastrow)-ROW(PLE.firstrow))),0,
           IF(OFFSET(PLE!$G$15,$M270-$A$15,AY$13)="",10^12,OFFSET(PLE!$G$15,$M270-$A$15,AY$13)))</f>
        <v>1000000000000</v>
      </c>
      <c r="AZ270" s="173">
        <f ca="1">IF(OR($D270&lt;&gt;"Serviço",AND(AUTOEVENTO="Manual",$M270=$A$15),$M270&gt;(ROW(PLE.lastrow)-ROW(PLE.firstrow))),0,
           IF(OFFSET(PLE!$G$15,$M270-$A$15,AZ$13)="",10^12,OFFSET(PLE!$G$15,$M270-$A$15,AZ$13)))</f>
        <v>1000000000000</v>
      </c>
      <c r="BA270" s="173">
        <f ca="1">IF(OR($D270&lt;&gt;"Serviço",AND(AUTOEVENTO="Manual",$M270=$A$15),$M270&gt;(ROW(PLE.lastrow)-ROW(PLE.firstrow))),0,
           IF(OFFSET(PLE!$G$15,$M270-$A$15,BA$13)="",10^12,OFFSET(PLE!$G$15,$M270-$A$15,BA$13)))</f>
        <v>1000000000000</v>
      </c>
      <c r="BB270" s="173">
        <f ca="1">IF(OR($D270&lt;&gt;"Serviço",AND(AUTOEVENTO="Manual",$M270=$A$15),$M270&gt;(ROW(PLE.lastrow)-ROW(PLE.firstrow))),0,
           IF(OFFSET(PLE!$G$15,$M270-$A$15,BB$13)="",10^12,OFFSET(PLE!$G$15,$M270-$A$15,BB$13)))</f>
        <v>1000000000000</v>
      </c>
      <c r="BC270" s="173">
        <f ca="1">IF(OR($D270&lt;&gt;"Serviço",AND(AUTOEVENTO="Manual",$M270=$A$15),$M270&gt;(ROW(PLE.lastrow)-ROW(PLE.firstrow))),0,
           IF(OFFSET(PLE!$G$15,$M270-$A$15,BC$13)="",10^12,OFFSET(PLE!$G$15,$M270-$A$15,BC$13)))</f>
        <v>1000000000000</v>
      </c>
      <c r="BD270" s="173">
        <f ca="1">IF(OR($D270&lt;&gt;"Serviço",AND(AUTOEVENTO="Manual",$M270=$A$15),$M270&gt;(ROW(PLE.lastrow)-ROW(PLE.firstrow))),0,
           IF(OFFSET(PLE!$G$15,$M270-$A$15,BD$13)="",10^12,OFFSET(PLE!$G$15,$M270-$A$15,BD$13)))</f>
        <v>1000000000000</v>
      </c>
      <c r="BE270" s="173">
        <f ca="1">IF(OR($D270&lt;&gt;"Serviço",AND(AUTOEVENTO="Manual",$M270=$A$15),$M270&gt;(ROW(PLE.lastrow)-ROW(PLE.firstrow))),0,
           IF(OFFSET(PLE!$G$15,$M270-$A$15,BE$13)="",10^12,OFFSET(PLE!$G$15,$M270-$A$15,BE$13)))</f>
        <v>1000000000000</v>
      </c>
      <c r="BF270" s="173">
        <f ca="1">IF(OR($D270&lt;&gt;"Serviço",AND(AUTOEVENTO="Manual",$M270=$A$15),$M270&gt;(ROW(PLE.lastrow)-ROW(PLE.firstrow))),0,
           IF(OFFSET(PLE!$G$15,$M270-$A$15,BF$13)="",10^12,OFFSET(PLE!$G$15,$M270-$A$15,BF$13)))</f>
        <v>1000000000000</v>
      </c>
      <c r="BG270" s="173">
        <f ca="1">IF(OR($D270&lt;&gt;"Serviço",AND(AUTOEVENTO="Manual",$M270=$A$15),$M270&gt;(ROW(PLE.lastrow)-ROW(PLE.firstrow))),0,
           IF(OFFSET(PLE!$G$15,$M270-$A$15,BG$13)="",10^12,OFFSET(PLE!$G$15,$M270-$A$15,BG$13)))</f>
        <v>1000000000000</v>
      </c>
    </row>
    <row r="271" spans="1:59" ht="38.25" x14ac:dyDescent="0.2">
      <c r="A271" s="7" t="str">
        <f t="shared" ca="1" si="11"/>
        <v>253</v>
      </c>
      <c r="B271" s="7" t="str">
        <f ca="1">OFFSET(ORÇAMENTO!C$15,ROW(B271)-ROW(B$15),0)</f>
        <v>S</v>
      </c>
      <c r="C271" s="7" t="str">
        <f ca="1">OFFSET(ORÇAMENTO!L$15,ROW(C271)-ROW(C$15),0)</f>
        <v/>
      </c>
      <c r="D271" s="117" t="str">
        <f ca="1">OFFSET(ORÇAMENTO!N$15,ROW(D271)-ROW(D$15),0)</f>
        <v>Serviço</v>
      </c>
      <c r="E271" s="118" t="str">
        <f ca="1">OFFSET(ORÇAMENTO!O$15,ROW(E271)-ROW(E$15),0)</f>
        <v>-</v>
      </c>
      <c r="F271" s="164" t="str">
        <f ca="1">OFFSET(ORÇAMENTO!R$15,ROW(F271)-ROW(F$15),0)</f>
        <v>LUMINÁRIA DE EMERGÊNCIA, DE SOBREPOR, TIPO BLOCO AUTÔNOMO, COM AUTONOMIA DE 1H, 3000 LÚMENS - FORNECIMENTO E INSTALAÇÃO</v>
      </c>
      <c r="G271" s="165" t="str">
        <f ca="1">IF($D271&lt;&gt;"Serviço","",OFFSET(ORÇAMENTO!S$15,ROW(G271)-ROW(G$15),0))</f>
        <v xml:space="preserve">UN    </v>
      </c>
      <c r="H271" s="123">
        <f ca="1">IF($D271&lt;&gt;"Serviço",0,IF(ACOMPANHAMENTO="BM",ROUND(OFFSET(ORÇAMENTO!AJ$15,ROW(H271)-ROW(H$15),0),15-13*ORÇAMENTO!$AF$7),SUMPRODUCT(($Q$1:$AA$1=1)*ROUND($Q271:$AA271,15-13*ORÇAMENTO!$AF$7))))</f>
        <v>4</v>
      </c>
      <c r="I271" s="469"/>
      <c r="J271" s="577" t="str" cm="1">
        <f t="array" aca="1" ref="J271" ca="1">IF(B271&lt;&gt;"S","",IF(AND(ACOMPANHAMENTO="PLE",AUTOEVENTO="Manual",OR(H271&gt;0,ORÇAMENTO!AC271="QUANT."),OR(K271="",M271=0,N271="")),"►",IF(AND(ACOMPANHAMENTO="PLE",ORÇAMENTO!AC271="QUANT."),"►►",IF(AND(COUNTIF($P$11:$AA$11,"▼")=0,H271&gt;0,I271=""),"◄",""))))</f>
        <v>◄</v>
      </c>
      <c r="K271" s="626"/>
      <c r="L271" s="166" t="s">
        <v>765</v>
      </c>
      <c r="M271" s="167">
        <f ca="1">IF($D271&lt;&gt;"Serviço","",
          IF(AUTOEVENTO="manual",$A271,
                IF(ISERROR(MATCH($A271,$A$15:OFFSET($A271,-1,0),0)),MAX($M$15:OFFSET(M271,-1,0))+1,
                      INDEX($M$15:OFFSET(M271,-1,0),MATCH($A271,$A$15:OFFSET($A271,-1,0),0)))))</f>
        <v>16</v>
      </c>
      <c r="N271" s="168" t="str">
        <f ca="1">IF($D271&lt;&gt;"Serviço","",
         IF(AUTOEVENTO="Manual",
                IF($A271=0,"&lt;-- defina o número do agrupador",
                       OFFSET(EVENTOS!$D$15,$A271-$A$15,0)),
                OFFSET($F$15,$A271,0)))</f>
        <v>SISTEMAS DE PREVENÇÃO CONTRA INCÊNDIO</v>
      </c>
      <c r="O271" s="169"/>
      <c r="Q271" s="169"/>
      <c r="R271" s="170"/>
      <c r="S271" s="170"/>
      <c r="T271" s="170"/>
      <c r="U271" s="170"/>
      <c r="V271" s="170"/>
      <c r="W271" s="170"/>
      <c r="X271" s="170"/>
      <c r="Y271" s="170"/>
      <c r="Z271" s="171"/>
      <c r="AB271" s="454">
        <f ca="1">IF(AND($D271="Serviço",AB$12&lt;&gt;0,$H271&gt;0,OR(AUTOEVENTO&lt;&gt;"manual",$M271&lt;&gt;$A$15)),
        IF(Import.TipoArredondamento&lt;&gt;"TransfereGOV",
              ROUND(OFFSET($P271,0,AB$13),15-13*ORÇAMENTO!$AF$7)/$H271*OFFSET(ORÇAMENTO!$X$15,ROW(AB271)-ROW(AB$15),0),
              ROUND(ROUND(OFFSET($P271,0,AB$13),15-13*ORÇAMENTO!$AF$7)*OFFSET(ORÇAMENTO!$W$15,ROW(AB271)-ROW(AB$15),0),15-13*ORÇAMENTO!$AF$11)),
         0)</f>
        <v>0</v>
      </c>
      <c r="AC271" s="454">
        <f ca="1">IF(AND($D271="Serviço",AC$12&lt;&gt;0,$H271&gt;0,OR(AUTOEVENTO&lt;&gt;"manual",$M271&lt;&gt;$A$15)),
        IF(Import.TipoArredondamento&lt;&gt;"TransfereGOV",
              ROUND(OFFSET($P271,0,AC$13),15-13*ORÇAMENTO!$AF$7)/$H271*OFFSET(ORÇAMENTO!$X$15,ROW(AC271)-ROW(AC$15),0),
              ROUND(ROUND(OFFSET($P271,0,AC$13),15-13*ORÇAMENTO!$AF$7)*OFFSET(ORÇAMENTO!$W$15,ROW(AC271)-ROW(AC$15),0),15-13*ORÇAMENTO!$AF$11)),
         0)</f>
        <v>0</v>
      </c>
      <c r="AD271" s="454">
        <f ca="1">IF(AND($D271="Serviço",AD$12&lt;&gt;0,$H271&gt;0,OR(AUTOEVENTO&lt;&gt;"manual",$M271&lt;&gt;$A$15)),
        IF(Import.TipoArredondamento&lt;&gt;"TransfereGOV",
              ROUND(OFFSET($P271,0,AD$13),15-13*ORÇAMENTO!$AF$7)/$H271*OFFSET(ORÇAMENTO!$X$15,ROW(AD271)-ROW(AD$15),0),
              ROUND(ROUND(OFFSET($P271,0,AD$13),15-13*ORÇAMENTO!$AF$7)*OFFSET(ORÇAMENTO!$W$15,ROW(AD271)-ROW(AD$15),0),15-13*ORÇAMENTO!$AF$11)),
         0)</f>
        <v>0</v>
      </c>
      <c r="AE271" s="454">
        <f ca="1">IF(AND($D271="Serviço",AE$12&lt;&gt;0,$H271&gt;0,OR(AUTOEVENTO&lt;&gt;"manual",$M271&lt;&gt;$A$15)),
        IF(Import.TipoArredondamento&lt;&gt;"TransfereGOV",
              ROUND(OFFSET($P271,0,AE$13),15-13*ORÇAMENTO!$AF$7)/$H271*OFFSET(ORÇAMENTO!$X$15,ROW(AE271)-ROW(AE$15),0),
              ROUND(ROUND(OFFSET($P271,0,AE$13),15-13*ORÇAMENTO!$AF$7)*OFFSET(ORÇAMENTO!$W$15,ROW(AE271)-ROW(AE$15),0),15-13*ORÇAMENTO!$AF$11)),
         0)</f>
        <v>0</v>
      </c>
      <c r="AF271" s="454">
        <f ca="1">IF(AND($D271="Serviço",AF$12&lt;&gt;0,$H271&gt;0,OR(AUTOEVENTO&lt;&gt;"manual",$M271&lt;&gt;$A$15)),
        IF(Import.TipoArredondamento&lt;&gt;"TransfereGOV",
              ROUND(OFFSET($P271,0,AF$13),15-13*ORÇAMENTO!$AF$7)/$H271*OFFSET(ORÇAMENTO!$X$15,ROW(AF271)-ROW(AF$15),0),
              ROUND(ROUND(OFFSET($P271,0,AF$13),15-13*ORÇAMENTO!$AF$7)*OFFSET(ORÇAMENTO!$W$15,ROW(AF271)-ROW(AF$15),0),15-13*ORÇAMENTO!$AF$11)),
         0)</f>
        <v>0</v>
      </c>
      <c r="AG271" s="454">
        <f ca="1">IF(AND($D271="Serviço",AG$12&lt;&gt;0,$H271&gt;0,OR(AUTOEVENTO&lt;&gt;"manual",$M271&lt;&gt;$A$15)),
        IF(Import.TipoArredondamento&lt;&gt;"TransfereGOV",
              ROUND(OFFSET($P271,0,AG$13),15-13*ORÇAMENTO!$AF$7)/$H271*OFFSET(ORÇAMENTO!$X$15,ROW(AG271)-ROW(AG$15),0),
              ROUND(ROUND(OFFSET($P271,0,AG$13),15-13*ORÇAMENTO!$AF$7)*OFFSET(ORÇAMENTO!$W$15,ROW(AG271)-ROW(AG$15),0),15-13*ORÇAMENTO!$AF$11)),
         0)</f>
        <v>0</v>
      </c>
      <c r="AH271" s="454">
        <f ca="1">IF(AND($D271="Serviço",AH$12&lt;&gt;0,$H271&gt;0,OR(AUTOEVENTO&lt;&gt;"manual",$M271&lt;&gt;$A$15)),
        IF(Import.TipoArredondamento&lt;&gt;"TransfereGOV",
              ROUND(OFFSET($P271,0,AH$13),15-13*ORÇAMENTO!$AF$7)/$H271*OFFSET(ORÇAMENTO!$X$15,ROW(AH271)-ROW(AH$15),0),
              ROUND(ROUND(OFFSET($P271,0,AH$13),15-13*ORÇAMENTO!$AF$7)*OFFSET(ORÇAMENTO!$W$15,ROW(AH271)-ROW(AH$15),0),15-13*ORÇAMENTO!$AF$11)),
         0)</f>
        <v>0</v>
      </c>
      <c r="AI271" s="454">
        <f ca="1">IF(AND($D271="Serviço",AI$12&lt;&gt;0,$H271&gt;0,OR(AUTOEVENTO&lt;&gt;"manual",$M271&lt;&gt;$A$15)),
        IF(Import.TipoArredondamento&lt;&gt;"TransfereGOV",
              ROUND(OFFSET($P271,0,AI$13),15-13*ORÇAMENTO!$AF$7)/$H271*OFFSET(ORÇAMENTO!$X$15,ROW(AI271)-ROW(AI$15),0),
              ROUND(ROUND(OFFSET($P271,0,AI$13),15-13*ORÇAMENTO!$AF$7)*OFFSET(ORÇAMENTO!$W$15,ROW(AI271)-ROW(AI$15),0),15-13*ORÇAMENTO!$AF$11)),
         0)</f>
        <v>0</v>
      </c>
      <c r="AJ271" s="454">
        <f ca="1">IF(AND($D271="Serviço",AJ$12&lt;&gt;0,$H271&gt;0,OR(AUTOEVENTO&lt;&gt;"manual",$M271&lt;&gt;$A$15)),
        IF(Import.TipoArredondamento&lt;&gt;"TransfereGOV",
              ROUND(OFFSET($P271,0,AJ$13),15-13*ORÇAMENTO!$AF$7)/$H271*OFFSET(ORÇAMENTO!$X$15,ROW(AJ271)-ROW(AJ$15),0),
              ROUND(ROUND(OFFSET($P271,0,AJ$13),15-13*ORÇAMENTO!$AF$7)*OFFSET(ORÇAMENTO!$W$15,ROW(AJ271)-ROW(AJ$15),0),15-13*ORÇAMENTO!$AF$11)),
         0)</f>
        <v>0</v>
      </c>
      <c r="AK271" s="454">
        <f ca="1">IF(AND($D271="Serviço",AK$12&lt;&gt;0,$H271&gt;0,OR(AUTOEVENTO&lt;&gt;"manual",$M271&lt;&gt;$A$15)),
        IF(Import.TipoArredondamento&lt;&gt;"TransfereGOV",
              ROUND(OFFSET($P271,0,AK$13),15-13*ORÇAMENTO!$AF$7)/$H271*OFFSET(ORÇAMENTO!$X$15,ROW(AK271)-ROW(AK$15),0),
              ROUND(ROUND(OFFSET($P271,0,AK$13),15-13*ORÇAMENTO!$AF$7)*OFFSET(ORÇAMENTO!$W$15,ROW(AK271)-ROW(AK$15),0),15-13*ORÇAMENTO!$AF$11)),
         0)</f>
        <v>0</v>
      </c>
      <c r="AM271" s="172">
        <f ca="1">IF(OR($D271&lt;&gt;"Serviço",AND(AUTOEVENTO="Manual",$M271=$A$15)),0,
         IF(OFFSET(CRONOPLE!$F$15,$M271-$A$15,AM$13)="",10^12,OFFSET(CRONOPLE!$F$15,$M271-$A$15,AM$13)))</f>
        <v>1000000000000</v>
      </c>
      <c r="AN271" s="172">
        <f ca="1">IF(OR($D271&lt;&gt;"Serviço",AND(AUTOEVENTO="Manual",$M271=$A$15)),0,
         IF(OFFSET(CRONOPLE!$F$15,$M271-$A$15,AN$13)="",10^12,OFFSET(CRONOPLE!$F$15,$M271-$A$15,AN$13)))</f>
        <v>1000000000000</v>
      </c>
      <c r="AO271" s="172">
        <f ca="1">IF(OR($D271&lt;&gt;"Serviço",AND(AUTOEVENTO="Manual",$M271=$A$15)),0,
         IF(OFFSET(CRONOPLE!$F$15,$M271-$A$15,AO$13)="",10^12,OFFSET(CRONOPLE!$F$15,$M271-$A$15,AO$13)))</f>
        <v>1000000000000</v>
      </c>
      <c r="AP271" s="172">
        <f ca="1">IF(OR($D271&lt;&gt;"Serviço",AND(AUTOEVENTO="Manual",$M271=$A$15)),0,
         IF(OFFSET(CRONOPLE!$F$15,$M271-$A$15,AP$13)="",10^12,OFFSET(CRONOPLE!$F$15,$M271-$A$15,AP$13)))</f>
        <v>1000000000000</v>
      </c>
      <c r="AQ271" s="172">
        <f ca="1">IF(OR($D271&lt;&gt;"Serviço",AND(AUTOEVENTO="Manual",$M271=$A$15)),0,
         IF(OFFSET(CRONOPLE!$F$15,$M271-$A$15,AQ$13)="",10^12,OFFSET(CRONOPLE!$F$15,$M271-$A$15,AQ$13)))</f>
        <v>1000000000000</v>
      </c>
      <c r="AR271" s="172">
        <f ca="1">IF(OR($D271&lt;&gt;"Serviço",AND(AUTOEVENTO="Manual",$M271=$A$15)),0,
         IF(OFFSET(CRONOPLE!$F$15,$M271-$A$15,AR$13)="",10^12,OFFSET(CRONOPLE!$F$15,$M271-$A$15,AR$13)))</f>
        <v>1000000000000</v>
      </c>
      <c r="AS271" s="172">
        <f ca="1">IF(OR($D271&lt;&gt;"Serviço",AND(AUTOEVENTO="Manual",$M271=$A$15)),0,
         IF(OFFSET(CRONOPLE!$F$15,$M271-$A$15,AS$13)="",10^12,OFFSET(CRONOPLE!$F$15,$M271-$A$15,AS$13)))</f>
        <v>1000000000000</v>
      </c>
      <c r="AT271" s="172">
        <f ca="1">IF(OR($D271&lt;&gt;"Serviço",AND(AUTOEVENTO="Manual",$M271=$A$15)),0,
         IF(OFFSET(CRONOPLE!$F$15,$M271-$A$15,AT$13)="",10^12,OFFSET(CRONOPLE!$F$15,$M271-$A$15,AT$13)))</f>
        <v>1000000000000</v>
      </c>
      <c r="AU271" s="172">
        <f ca="1">IF(OR($D271&lt;&gt;"Serviço",AND(AUTOEVENTO="Manual",$M271=$A$15)),0,
         IF(OFFSET(CRONOPLE!$F$15,$M271-$A$15,AU$13)="",10^12,OFFSET(CRONOPLE!$F$15,$M271-$A$15,AU$13)))</f>
        <v>1000000000000</v>
      </c>
      <c r="AV271" s="172">
        <f ca="1">IF(OR($D271&lt;&gt;"Serviço",AND(AUTOEVENTO="Manual",$M271=$A$15)),0,
         IF(OFFSET(CRONOPLE!$F$15,$M271-$A$15,AV$13)="",10^12,OFFSET(CRONOPLE!$F$15,$M271-$A$15,AV$13)))</f>
        <v>1000000000000</v>
      </c>
      <c r="AX271" s="173">
        <f ca="1">IF(OR($D271&lt;&gt;"Serviço",AND(AUTOEVENTO="Manual",$M271=$A$15),$M271&gt;(ROW(PLE.lastrow)-ROW(PLE.firstrow))),0,
           IF(OFFSET(PLE!$G$15,$M271-$A$15,AX$13)="",10^12,OFFSET(PLE!$G$15,$M271-$A$15,AX$13)))</f>
        <v>1000000000000</v>
      </c>
      <c r="AY271" s="173">
        <f ca="1">IF(OR($D271&lt;&gt;"Serviço",AND(AUTOEVENTO="Manual",$M271=$A$15),$M271&gt;(ROW(PLE.lastrow)-ROW(PLE.firstrow))),0,
           IF(OFFSET(PLE!$G$15,$M271-$A$15,AY$13)="",10^12,OFFSET(PLE!$G$15,$M271-$A$15,AY$13)))</f>
        <v>1000000000000</v>
      </c>
      <c r="AZ271" s="173">
        <f ca="1">IF(OR($D271&lt;&gt;"Serviço",AND(AUTOEVENTO="Manual",$M271=$A$15),$M271&gt;(ROW(PLE.lastrow)-ROW(PLE.firstrow))),0,
           IF(OFFSET(PLE!$G$15,$M271-$A$15,AZ$13)="",10^12,OFFSET(PLE!$G$15,$M271-$A$15,AZ$13)))</f>
        <v>1000000000000</v>
      </c>
      <c r="BA271" s="173">
        <f ca="1">IF(OR($D271&lt;&gt;"Serviço",AND(AUTOEVENTO="Manual",$M271=$A$15),$M271&gt;(ROW(PLE.lastrow)-ROW(PLE.firstrow))),0,
           IF(OFFSET(PLE!$G$15,$M271-$A$15,BA$13)="",10^12,OFFSET(PLE!$G$15,$M271-$A$15,BA$13)))</f>
        <v>1000000000000</v>
      </c>
      <c r="BB271" s="173">
        <f ca="1">IF(OR($D271&lt;&gt;"Serviço",AND(AUTOEVENTO="Manual",$M271=$A$15),$M271&gt;(ROW(PLE.lastrow)-ROW(PLE.firstrow))),0,
           IF(OFFSET(PLE!$G$15,$M271-$A$15,BB$13)="",10^12,OFFSET(PLE!$G$15,$M271-$A$15,BB$13)))</f>
        <v>1000000000000</v>
      </c>
      <c r="BC271" s="173">
        <f ca="1">IF(OR($D271&lt;&gt;"Serviço",AND(AUTOEVENTO="Manual",$M271=$A$15),$M271&gt;(ROW(PLE.lastrow)-ROW(PLE.firstrow))),0,
           IF(OFFSET(PLE!$G$15,$M271-$A$15,BC$13)="",10^12,OFFSET(PLE!$G$15,$M271-$A$15,BC$13)))</f>
        <v>1000000000000</v>
      </c>
      <c r="BD271" s="173">
        <f ca="1">IF(OR($D271&lt;&gt;"Serviço",AND(AUTOEVENTO="Manual",$M271=$A$15),$M271&gt;(ROW(PLE.lastrow)-ROW(PLE.firstrow))),0,
           IF(OFFSET(PLE!$G$15,$M271-$A$15,BD$13)="",10^12,OFFSET(PLE!$G$15,$M271-$A$15,BD$13)))</f>
        <v>1000000000000</v>
      </c>
      <c r="BE271" s="173">
        <f ca="1">IF(OR($D271&lt;&gt;"Serviço",AND(AUTOEVENTO="Manual",$M271=$A$15),$M271&gt;(ROW(PLE.lastrow)-ROW(PLE.firstrow))),0,
           IF(OFFSET(PLE!$G$15,$M271-$A$15,BE$13)="",10^12,OFFSET(PLE!$G$15,$M271-$A$15,BE$13)))</f>
        <v>1000000000000</v>
      </c>
      <c r="BF271" s="173">
        <f ca="1">IF(OR($D271&lt;&gt;"Serviço",AND(AUTOEVENTO="Manual",$M271=$A$15),$M271&gt;(ROW(PLE.lastrow)-ROW(PLE.firstrow))),0,
           IF(OFFSET(PLE!$G$15,$M271-$A$15,BF$13)="",10^12,OFFSET(PLE!$G$15,$M271-$A$15,BF$13)))</f>
        <v>1000000000000</v>
      </c>
      <c r="BG271" s="173">
        <f ca="1">IF(OR($D271&lt;&gt;"Serviço",AND(AUTOEVENTO="Manual",$M271=$A$15),$M271&gt;(ROW(PLE.lastrow)-ROW(PLE.firstrow))),0,
           IF(OFFSET(PLE!$G$15,$M271-$A$15,BG$13)="",10^12,OFFSET(PLE!$G$15,$M271-$A$15,BG$13)))</f>
        <v>1000000000000</v>
      </c>
    </row>
    <row r="272" spans="1:59" ht="12.75" x14ac:dyDescent="0.2">
      <c r="A272" s="7" t="str">
        <f t="shared" ref="A272:A335" ca="1" si="12">IF(AUTOEVENTO="Manual",IF(K272&lt;&gt;"",MIN(VALUE(LEFT(K272,FIND(".",K272)-1)),COUNTA(EVENTOS.Lista)),0),IF(OR($B272&gt;AUTOEVENTO,$B272="S",$B272=0),SUBSTITUTE(OFFSET($A272,-1,0),IF($D272="Serviço",".",""),""),ROW(A272)-ROW($A$15)&amp;"."))</f>
        <v>253</v>
      </c>
      <c r="B272" s="7">
        <f ca="1">OFFSET(ORÇAMENTO!C$15,ROW(B272)-ROW(B$15),0)</f>
        <v>3</v>
      </c>
      <c r="C272" s="7" t="str">
        <f ca="1">OFFSET(ORÇAMENTO!L$15,ROW(C272)-ROW(C$15),0)</f>
        <v>F</v>
      </c>
      <c r="D272" s="117" t="str">
        <f ca="1">OFFSET(ORÇAMENTO!N$15,ROW(D272)-ROW(D$15),0)</f>
        <v>Nível 3</v>
      </c>
      <c r="E272" s="118" t="str">
        <f ca="1">OFFSET(ORÇAMENTO!O$15,ROW(E272)-ROW(E$15),0)</f>
        <v>1.16.2.</v>
      </c>
      <c r="F272" s="164" t="str">
        <f ca="1">OFFSET(ORÇAMENTO!R$15,ROW(F272)-ROW(F$15),0)</f>
        <v>SINALIZAÇÃO DE ABANDONO DE LOCAL</v>
      </c>
      <c r="G272" s="165" t="str">
        <f ca="1">IF($D272&lt;&gt;"Serviço","",OFFSET(ORÇAMENTO!S$15,ROW(G272)-ROW(G$15),0))</f>
        <v/>
      </c>
      <c r="H272" s="123">
        <f ca="1">IF($D272&lt;&gt;"Serviço",0,IF(ACOMPANHAMENTO="BM",ROUND(OFFSET(ORÇAMENTO!AJ$15,ROW(H272)-ROW(H$15),0),15-13*ORÇAMENTO!$AF$7),SUMPRODUCT(($Q$1:$AA$1=1)*ROUND($Q272:$AA272,15-13*ORÇAMENTO!$AF$7))))</f>
        <v>0</v>
      </c>
      <c r="I272" s="469"/>
      <c r="J272" s="577" t="str" cm="1">
        <f t="array" aca="1" ref="J272" ca="1">IF(B272&lt;&gt;"S","",IF(AND(ACOMPANHAMENTO="PLE",AUTOEVENTO="Manual",OR(H272&gt;0,ORÇAMENTO!AC272="QUANT."),OR(K272="",M272=0,N272="")),"►",IF(AND(ACOMPANHAMENTO="PLE",ORÇAMENTO!AC272="QUANT."),"►►",IF(AND(COUNTIF($P$11:$AA$11,"▼")=0,H272&gt;0,I272=""),"◄",""))))</f>
        <v/>
      </c>
      <c r="K272" s="626"/>
      <c r="L272" s="166" t="s">
        <v>765</v>
      </c>
      <c r="M272" s="167" t="str">
        <f ca="1">IF($D272&lt;&gt;"Serviço","",
          IF(AUTOEVENTO="manual",$A272,
                IF(ISERROR(MATCH($A272,$A$15:OFFSET($A272,-1,0),0)),MAX($M$15:OFFSET(M272,-1,0))+1,
                      INDEX($M$15:OFFSET(M272,-1,0),MATCH($A272,$A$15:OFFSET($A272,-1,0),0)))))</f>
        <v/>
      </c>
      <c r="N272" s="168" t="str">
        <f ca="1">IF($D272&lt;&gt;"Serviço","",
         IF(AUTOEVENTO="Manual",
                IF($A272=0,"&lt;-- defina o número do agrupador",
                       OFFSET(EVENTOS!$D$15,$A272-$A$15,0)),
                OFFSET($F$15,$A272,0)))</f>
        <v/>
      </c>
      <c r="O272" s="169"/>
      <c r="Q272" s="169"/>
      <c r="R272" s="170"/>
      <c r="S272" s="170"/>
      <c r="T272" s="170"/>
      <c r="U272" s="170"/>
      <c r="V272" s="170"/>
      <c r="W272" s="170"/>
      <c r="X272" s="170"/>
      <c r="Y272" s="170"/>
      <c r="Z272" s="171"/>
      <c r="AB272" s="454">
        <f ca="1">IF(AND($D272="Serviço",AB$12&lt;&gt;0,$H272&gt;0,OR(AUTOEVENTO&lt;&gt;"manual",$M272&lt;&gt;$A$15)),
        IF(Import.TipoArredondamento&lt;&gt;"TransfereGOV",
              ROUND(OFFSET($P272,0,AB$13),15-13*ORÇAMENTO!$AF$7)/$H272*OFFSET(ORÇAMENTO!$X$15,ROW(AB272)-ROW(AB$15),0),
              ROUND(ROUND(OFFSET($P272,0,AB$13),15-13*ORÇAMENTO!$AF$7)*OFFSET(ORÇAMENTO!$W$15,ROW(AB272)-ROW(AB$15),0),15-13*ORÇAMENTO!$AF$11)),
         0)</f>
        <v>0</v>
      </c>
      <c r="AC272" s="454">
        <f ca="1">IF(AND($D272="Serviço",AC$12&lt;&gt;0,$H272&gt;0,OR(AUTOEVENTO&lt;&gt;"manual",$M272&lt;&gt;$A$15)),
        IF(Import.TipoArredondamento&lt;&gt;"TransfereGOV",
              ROUND(OFFSET($P272,0,AC$13),15-13*ORÇAMENTO!$AF$7)/$H272*OFFSET(ORÇAMENTO!$X$15,ROW(AC272)-ROW(AC$15),0),
              ROUND(ROUND(OFFSET($P272,0,AC$13),15-13*ORÇAMENTO!$AF$7)*OFFSET(ORÇAMENTO!$W$15,ROW(AC272)-ROW(AC$15),0),15-13*ORÇAMENTO!$AF$11)),
         0)</f>
        <v>0</v>
      </c>
      <c r="AD272" s="454">
        <f ca="1">IF(AND($D272="Serviço",AD$12&lt;&gt;0,$H272&gt;0,OR(AUTOEVENTO&lt;&gt;"manual",$M272&lt;&gt;$A$15)),
        IF(Import.TipoArredondamento&lt;&gt;"TransfereGOV",
              ROUND(OFFSET($P272,0,AD$13),15-13*ORÇAMENTO!$AF$7)/$H272*OFFSET(ORÇAMENTO!$X$15,ROW(AD272)-ROW(AD$15),0),
              ROUND(ROUND(OFFSET($P272,0,AD$13),15-13*ORÇAMENTO!$AF$7)*OFFSET(ORÇAMENTO!$W$15,ROW(AD272)-ROW(AD$15),0),15-13*ORÇAMENTO!$AF$11)),
         0)</f>
        <v>0</v>
      </c>
      <c r="AE272" s="454">
        <f ca="1">IF(AND($D272="Serviço",AE$12&lt;&gt;0,$H272&gt;0,OR(AUTOEVENTO&lt;&gt;"manual",$M272&lt;&gt;$A$15)),
        IF(Import.TipoArredondamento&lt;&gt;"TransfereGOV",
              ROUND(OFFSET($P272,0,AE$13),15-13*ORÇAMENTO!$AF$7)/$H272*OFFSET(ORÇAMENTO!$X$15,ROW(AE272)-ROW(AE$15),0),
              ROUND(ROUND(OFFSET($P272,0,AE$13),15-13*ORÇAMENTO!$AF$7)*OFFSET(ORÇAMENTO!$W$15,ROW(AE272)-ROW(AE$15),0),15-13*ORÇAMENTO!$AF$11)),
         0)</f>
        <v>0</v>
      </c>
      <c r="AF272" s="454">
        <f ca="1">IF(AND($D272="Serviço",AF$12&lt;&gt;0,$H272&gt;0,OR(AUTOEVENTO&lt;&gt;"manual",$M272&lt;&gt;$A$15)),
        IF(Import.TipoArredondamento&lt;&gt;"TransfereGOV",
              ROUND(OFFSET($P272,0,AF$13),15-13*ORÇAMENTO!$AF$7)/$H272*OFFSET(ORÇAMENTO!$X$15,ROW(AF272)-ROW(AF$15),0),
              ROUND(ROUND(OFFSET($P272,0,AF$13),15-13*ORÇAMENTO!$AF$7)*OFFSET(ORÇAMENTO!$W$15,ROW(AF272)-ROW(AF$15),0),15-13*ORÇAMENTO!$AF$11)),
         0)</f>
        <v>0</v>
      </c>
      <c r="AG272" s="454">
        <f ca="1">IF(AND($D272="Serviço",AG$12&lt;&gt;0,$H272&gt;0,OR(AUTOEVENTO&lt;&gt;"manual",$M272&lt;&gt;$A$15)),
        IF(Import.TipoArredondamento&lt;&gt;"TransfereGOV",
              ROUND(OFFSET($P272,0,AG$13),15-13*ORÇAMENTO!$AF$7)/$H272*OFFSET(ORÇAMENTO!$X$15,ROW(AG272)-ROW(AG$15),0),
              ROUND(ROUND(OFFSET($P272,0,AG$13),15-13*ORÇAMENTO!$AF$7)*OFFSET(ORÇAMENTO!$W$15,ROW(AG272)-ROW(AG$15),0),15-13*ORÇAMENTO!$AF$11)),
         0)</f>
        <v>0</v>
      </c>
      <c r="AH272" s="454">
        <f ca="1">IF(AND($D272="Serviço",AH$12&lt;&gt;0,$H272&gt;0,OR(AUTOEVENTO&lt;&gt;"manual",$M272&lt;&gt;$A$15)),
        IF(Import.TipoArredondamento&lt;&gt;"TransfereGOV",
              ROUND(OFFSET($P272,0,AH$13),15-13*ORÇAMENTO!$AF$7)/$H272*OFFSET(ORÇAMENTO!$X$15,ROW(AH272)-ROW(AH$15),0),
              ROUND(ROUND(OFFSET($P272,0,AH$13),15-13*ORÇAMENTO!$AF$7)*OFFSET(ORÇAMENTO!$W$15,ROW(AH272)-ROW(AH$15),0),15-13*ORÇAMENTO!$AF$11)),
         0)</f>
        <v>0</v>
      </c>
      <c r="AI272" s="454">
        <f ca="1">IF(AND($D272="Serviço",AI$12&lt;&gt;0,$H272&gt;0,OR(AUTOEVENTO&lt;&gt;"manual",$M272&lt;&gt;$A$15)),
        IF(Import.TipoArredondamento&lt;&gt;"TransfereGOV",
              ROUND(OFFSET($P272,0,AI$13),15-13*ORÇAMENTO!$AF$7)/$H272*OFFSET(ORÇAMENTO!$X$15,ROW(AI272)-ROW(AI$15),0),
              ROUND(ROUND(OFFSET($P272,0,AI$13),15-13*ORÇAMENTO!$AF$7)*OFFSET(ORÇAMENTO!$W$15,ROW(AI272)-ROW(AI$15),0),15-13*ORÇAMENTO!$AF$11)),
         0)</f>
        <v>0</v>
      </c>
      <c r="AJ272" s="454">
        <f ca="1">IF(AND($D272="Serviço",AJ$12&lt;&gt;0,$H272&gt;0,OR(AUTOEVENTO&lt;&gt;"manual",$M272&lt;&gt;$A$15)),
        IF(Import.TipoArredondamento&lt;&gt;"TransfereGOV",
              ROUND(OFFSET($P272,0,AJ$13),15-13*ORÇAMENTO!$AF$7)/$H272*OFFSET(ORÇAMENTO!$X$15,ROW(AJ272)-ROW(AJ$15),0),
              ROUND(ROUND(OFFSET($P272,0,AJ$13),15-13*ORÇAMENTO!$AF$7)*OFFSET(ORÇAMENTO!$W$15,ROW(AJ272)-ROW(AJ$15),0),15-13*ORÇAMENTO!$AF$11)),
         0)</f>
        <v>0</v>
      </c>
      <c r="AK272" s="454">
        <f ca="1">IF(AND($D272="Serviço",AK$12&lt;&gt;0,$H272&gt;0,OR(AUTOEVENTO&lt;&gt;"manual",$M272&lt;&gt;$A$15)),
        IF(Import.TipoArredondamento&lt;&gt;"TransfereGOV",
              ROUND(OFFSET($P272,0,AK$13),15-13*ORÇAMENTO!$AF$7)/$H272*OFFSET(ORÇAMENTO!$X$15,ROW(AK272)-ROW(AK$15),0),
              ROUND(ROUND(OFFSET($P272,0,AK$13),15-13*ORÇAMENTO!$AF$7)*OFFSET(ORÇAMENTO!$W$15,ROW(AK272)-ROW(AK$15),0),15-13*ORÇAMENTO!$AF$11)),
         0)</f>
        <v>0</v>
      </c>
      <c r="AM272" s="172">
        <f ca="1">IF(OR($D272&lt;&gt;"Serviço",AND(AUTOEVENTO="Manual",$M272=$A$15)),0,
         IF(OFFSET(CRONOPLE!$F$15,$M272-$A$15,AM$13)="",10^12,OFFSET(CRONOPLE!$F$15,$M272-$A$15,AM$13)))</f>
        <v>0</v>
      </c>
      <c r="AN272" s="172">
        <f ca="1">IF(OR($D272&lt;&gt;"Serviço",AND(AUTOEVENTO="Manual",$M272=$A$15)),0,
         IF(OFFSET(CRONOPLE!$F$15,$M272-$A$15,AN$13)="",10^12,OFFSET(CRONOPLE!$F$15,$M272-$A$15,AN$13)))</f>
        <v>0</v>
      </c>
      <c r="AO272" s="172">
        <f ca="1">IF(OR($D272&lt;&gt;"Serviço",AND(AUTOEVENTO="Manual",$M272=$A$15)),0,
         IF(OFFSET(CRONOPLE!$F$15,$M272-$A$15,AO$13)="",10^12,OFFSET(CRONOPLE!$F$15,$M272-$A$15,AO$13)))</f>
        <v>0</v>
      </c>
      <c r="AP272" s="172">
        <f ca="1">IF(OR($D272&lt;&gt;"Serviço",AND(AUTOEVENTO="Manual",$M272=$A$15)),0,
         IF(OFFSET(CRONOPLE!$F$15,$M272-$A$15,AP$13)="",10^12,OFFSET(CRONOPLE!$F$15,$M272-$A$15,AP$13)))</f>
        <v>0</v>
      </c>
      <c r="AQ272" s="172">
        <f ca="1">IF(OR($D272&lt;&gt;"Serviço",AND(AUTOEVENTO="Manual",$M272=$A$15)),0,
         IF(OFFSET(CRONOPLE!$F$15,$M272-$A$15,AQ$13)="",10^12,OFFSET(CRONOPLE!$F$15,$M272-$A$15,AQ$13)))</f>
        <v>0</v>
      </c>
      <c r="AR272" s="172">
        <f ca="1">IF(OR($D272&lt;&gt;"Serviço",AND(AUTOEVENTO="Manual",$M272=$A$15)),0,
         IF(OFFSET(CRONOPLE!$F$15,$M272-$A$15,AR$13)="",10^12,OFFSET(CRONOPLE!$F$15,$M272-$A$15,AR$13)))</f>
        <v>0</v>
      </c>
      <c r="AS272" s="172">
        <f ca="1">IF(OR($D272&lt;&gt;"Serviço",AND(AUTOEVENTO="Manual",$M272=$A$15)),0,
         IF(OFFSET(CRONOPLE!$F$15,$M272-$A$15,AS$13)="",10^12,OFFSET(CRONOPLE!$F$15,$M272-$A$15,AS$13)))</f>
        <v>0</v>
      </c>
      <c r="AT272" s="172">
        <f ca="1">IF(OR($D272&lt;&gt;"Serviço",AND(AUTOEVENTO="Manual",$M272=$A$15)),0,
         IF(OFFSET(CRONOPLE!$F$15,$M272-$A$15,AT$13)="",10^12,OFFSET(CRONOPLE!$F$15,$M272-$A$15,AT$13)))</f>
        <v>0</v>
      </c>
      <c r="AU272" s="172">
        <f ca="1">IF(OR($D272&lt;&gt;"Serviço",AND(AUTOEVENTO="Manual",$M272=$A$15)),0,
         IF(OFFSET(CRONOPLE!$F$15,$M272-$A$15,AU$13)="",10^12,OFFSET(CRONOPLE!$F$15,$M272-$A$15,AU$13)))</f>
        <v>0</v>
      </c>
      <c r="AV272" s="172">
        <f ca="1">IF(OR($D272&lt;&gt;"Serviço",AND(AUTOEVENTO="Manual",$M272=$A$15)),0,
         IF(OFFSET(CRONOPLE!$F$15,$M272-$A$15,AV$13)="",10^12,OFFSET(CRONOPLE!$F$15,$M272-$A$15,AV$13)))</f>
        <v>0</v>
      </c>
      <c r="AX272" s="173">
        <f ca="1">IF(OR($D272&lt;&gt;"Serviço",AND(AUTOEVENTO="Manual",$M272=$A$15),$M272&gt;(ROW(PLE.lastrow)-ROW(PLE.firstrow))),0,
           IF(OFFSET(PLE!$G$15,$M272-$A$15,AX$13)="",10^12,OFFSET(PLE!$G$15,$M272-$A$15,AX$13)))</f>
        <v>0</v>
      </c>
      <c r="AY272" s="173">
        <f ca="1">IF(OR($D272&lt;&gt;"Serviço",AND(AUTOEVENTO="Manual",$M272=$A$15),$M272&gt;(ROW(PLE.lastrow)-ROW(PLE.firstrow))),0,
           IF(OFFSET(PLE!$G$15,$M272-$A$15,AY$13)="",10^12,OFFSET(PLE!$G$15,$M272-$A$15,AY$13)))</f>
        <v>0</v>
      </c>
      <c r="AZ272" s="173">
        <f ca="1">IF(OR($D272&lt;&gt;"Serviço",AND(AUTOEVENTO="Manual",$M272=$A$15),$M272&gt;(ROW(PLE.lastrow)-ROW(PLE.firstrow))),0,
           IF(OFFSET(PLE!$G$15,$M272-$A$15,AZ$13)="",10^12,OFFSET(PLE!$G$15,$M272-$A$15,AZ$13)))</f>
        <v>0</v>
      </c>
      <c r="BA272" s="173">
        <f ca="1">IF(OR($D272&lt;&gt;"Serviço",AND(AUTOEVENTO="Manual",$M272=$A$15),$M272&gt;(ROW(PLE.lastrow)-ROW(PLE.firstrow))),0,
           IF(OFFSET(PLE!$G$15,$M272-$A$15,BA$13)="",10^12,OFFSET(PLE!$G$15,$M272-$A$15,BA$13)))</f>
        <v>0</v>
      </c>
      <c r="BB272" s="173">
        <f ca="1">IF(OR($D272&lt;&gt;"Serviço",AND(AUTOEVENTO="Manual",$M272=$A$15),$M272&gt;(ROW(PLE.lastrow)-ROW(PLE.firstrow))),0,
           IF(OFFSET(PLE!$G$15,$M272-$A$15,BB$13)="",10^12,OFFSET(PLE!$G$15,$M272-$A$15,BB$13)))</f>
        <v>0</v>
      </c>
      <c r="BC272" s="173">
        <f ca="1">IF(OR($D272&lt;&gt;"Serviço",AND(AUTOEVENTO="Manual",$M272=$A$15),$M272&gt;(ROW(PLE.lastrow)-ROW(PLE.firstrow))),0,
           IF(OFFSET(PLE!$G$15,$M272-$A$15,BC$13)="",10^12,OFFSET(PLE!$G$15,$M272-$A$15,BC$13)))</f>
        <v>0</v>
      </c>
      <c r="BD272" s="173">
        <f ca="1">IF(OR($D272&lt;&gt;"Serviço",AND(AUTOEVENTO="Manual",$M272=$A$15),$M272&gt;(ROW(PLE.lastrow)-ROW(PLE.firstrow))),0,
           IF(OFFSET(PLE!$G$15,$M272-$A$15,BD$13)="",10^12,OFFSET(PLE!$G$15,$M272-$A$15,BD$13)))</f>
        <v>0</v>
      </c>
      <c r="BE272" s="173">
        <f ca="1">IF(OR($D272&lt;&gt;"Serviço",AND(AUTOEVENTO="Manual",$M272=$A$15),$M272&gt;(ROW(PLE.lastrow)-ROW(PLE.firstrow))),0,
           IF(OFFSET(PLE!$G$15,$M272-$A$15,BE$13)="",10^12,OFFSET(PLE!$G$15,$M272-$A$15,BE$13)))</f>
        <v>0</v>
      </c>
      <c r="BF272" s="173">
        <f ca="1">IF(OR($D272&lt;&gt;"Serviço",AND(AUTOEVENTO="Manual",$M272=$A$15),$M272&gt;(ROW(PLE.lastrow)-ROW(PLE.firstrow))),0,
           IF(OFFSET(PLE!$G$15,$M272-$A$15,BF$13)="",10^12,OFFSET(PLE!$G$15,$M272-$A$15,BF$13)))</f>
        <v>0</v>
      </c>
      <c r="BG272" s="173">
        <f ca="1">IF(OR($D272&lt;&gt;"Serviço",AND(AUTOEVENTO="Manual",$M272=$A$15),$M272&gt;(ROW(PLE.lastrow)-ROW(PLE.firstrow))),0,
           IF(OFFSET(PLE!$G$15,$M272-$A$15,BG$13)="",10^12,OFFSET(PLE!$G$15,$M272-$A$15,BG$13)))</f>
        <v>0</v>
      </c>
    </row>
    <row r="273" spans="1:59" ht="51" x14ac:dyDescent="0.2">
      <c r="A273" s="7" t="str">
        <f t="shared" ca="1" si="12"/>
        <v>253</v>
      </c>
      <c r="B273" s="7" t="str">
        <f ca="1">OFFSET(ORÇAMENTO!C$15,ROW(B273)-ROW(B$15),0)</f>
        <v>S</v>
      </c>
      <c r="C273" s="7" t="str">
        <f ca="1">OFFSET(ORÇAMENTO!L$15,ROW(C273)-ROW(C$15),0)</f>
        <v/>
      </c>
      <c r="D273" s="117" t="str">
        <f ca="1">OFFSET(ORÇAMENTO!N$15,ROW(D273)-ROW(D$15),0)</f>
        <v>Serviço</v>
      </c>
      <c r="E273" s="118" t="str">
        <f ca="1">OFFSET(ORÇAMENTO!O$15,ROW(E273)-ROW(E$15),0)</f>
        <v>-</v>
      </c>
      <c r="F273" s="164" t="str">
        <f ca="1">OFFSET(ORÇAMENTO!R$15,ROW(F273)-ROW(F$15),0)</f>
        <v xml:space="preserve">PLACA DE SINALIZACAO DE SEGURANCA CONTRA INCENDIO, FOTOLUMINESCENTE, RETANGULAR, *20 X 40* CM, EM PVC *2* MM ANTI-CHAMAS (SIMBOLOS, CORES E PICTOGRAMAS CONFORME NBR 16820)                                                                               </v>
      </c>
      <c r="G273" s="165" t="str">
        <f ca="1">IF($D273&lt;&gt;"Serviço","",OFFSET(ORÇAMENTO!S$15,ROW(G273)-ROW(G$15),0))</f>
        <v xml:space="preserve">UN    </v>
      </c>
      <c r="H273" s="123">
        <f ca="1">IF($D273&lt;&gt;"Serviço",0,IF(ACOMPANHAMENTO="BM",ROUND(OFFSET(ORÇAMENTO!AJ$15,ROW(H273)-ROW(H$15),0),15-13*ORÇAMENTO!$AF$7),SUMPRODUCT(($Q$1:$AA$1=1)*ROUND($Q273:$AA273,15-13*ORÇAMENTO!$AF$7))))</f>
        <v>29</v>
      </c>
      <c r="I273" s="469"/>
      <c r="J273" s="577" t="str" cm="1">
        <f t="array" aca="1" ref="J273" ca="1">IF(B273&lt;&gt;"S","",IF(AND(ACOMPANHAMENTO="PLE",AUTOEVENTO="Manual",OR(H273&gt;0,ORÇAMENTO!AC273="QUANT."),OR(K273="",M273=0,N273="")),"►",IF(AND(ACOMPANHAMENTO="PLE",ORÇAMENTO!AC273="QUANT."),"►►",IF(AND(COUNTIF($P$11:$AA$11,"▼")=0,H273&gt;0,I273=""),"◄",""))))</f>
        <v>◄</v>
      </c>
      <c r="K273" s="626"/>
      <c r="L273" s="166" t="s">
        <v>765</v>
      </c>
      <c r="M273" s="167">
        <f ca="1">IF($D273&lt;&gt;"Serviço","",
          IF(AUTOEVENTO="manual",$A273,
                IF(ISERROR(MATCH($A273,$A$15:OFFSET($A273,-1,0),0)),MAX($M$15:OFFSET(M273,-1,0))+1,
                      INDEX($M$15:OFFSET(M273,-1,0),MATCH($A273,$A$15:OFFSET($A273,-1,0),0)))))</f>
        <v>16</v>
      </c>
      <c r="N273" s="168" t="str">
        <f ca="1">IF($D273&lt;&gt;"Serviço","",
         IF(AUTOEVENTO="Manual",
                IF($A273=0,"&lt;-- defina o número do agrupador",
                       OFFSET(EVENTOS!$D$15,$A273-$A$15,0)),
                OFFSET($F$15,$A273,0)))</f>
        <v>SISTEMAS DE PREVENÇÃO CONTRA INCÊNDIO</v>
      </c>
      <c r="O273" s="169"/>
      <c r="Q273" s="169"/>
      <c r="R273" s="170"/>
      <c r="S273" s="170"/>
      <c r="T273" s="170"/>
      <c r="U273" s="170"/>
      <c r="V273" s="170"/>
      <c r="W273" s="170"/>
      <c r="X273" s="170"/>
      <c r="Y273" s="170"/>
      <c r="Z273" s="171"/>
      <c r="AB273" s="454">
        <f ca="1">IF(AND($D273="Serviço",AB$12&lt;&gt;0,$H273&gt;0,OR(AUTOEVENTO&lt;&gt;"manual",$M273&lt;&gt;$A$15)),
        IF(Import.TipoArredondamento&lt;&gt;"TransfereGOV",
              ROUND(OFFSET($P273,0,AB$13),15-13*ORÇAMENTO!$AF$7)/$H273*OFFSET(ORÇAMENTO!$X$15,ROW(AB273)-ROW(AB$15),0),
              ROUND(ROUND(OFFSET($P273,0,AB$13),15-13*ORÇAMENTO!$AF$7)*OFFSET(ORÇAMENTO!$W$15,ROW(AB273)-ROW(AB$15),0),15-13*ORÇAMENTO!$AF$11)),
         0)</f>
        <v>0</v>
      </c>
      <c r="AC273" s="454">
        <f ca="1">IF(AND($D273="Serviço",AC$12&lt;&gt;0,$H273&gt;0,OR(AUTOEVENTO&lt;&gt;"manual",$M273&lt;&gt;$A$15)),
        IF(Import.TipoArredondamento&lt;&gt;"TransfereGOV",
              ROUND(OFFSET($P273,0,AC$13),15-13*ORÇAMENTO!$AF$7)/$H273*OFFSET(ORÇAMENTO!$X$15,ROW(AC273)-ROW(AC$15),0),
              ROUND(ROUND(OFFSET($P273,0,AC$13),15-13*ORÇAMENTO!$AF$7)*OFFSET(ORÇAMENTO!$W$15,ROW(AC273)-ROW(AC$15),0),15-13*ORÇAMENTO!$AF$11)),
         0)</f>
        <v>0</v>
      </c>
      <c r="AD273" s="454">
        <f ca="1">IF(AND($D273="Serviço",AD$12&lt;&gt;0,$H273&gt;0,OR(AUTOEVENTO&lt;&gt;"manual",$M273&lt;&gt;$A$15)),
        IF(Import.TipoArredondamento&lt;&gt;"TransfereGOV",
              ROUND(OFFSET($P273,0,AD$13),15-13*ORÇAMENTO!$AF$7)/$H273*OFFSET(ORÇAMENTO!$X$15,ROW(AD273)-ROW(AD$15),0),
              ROUND(ROUND(OFFSET($P273,0,AD$13),15-13*ORÇAMENTO!$AF$7)*OFFSET(ORÇAMENTO!$W$15,ROW(AD273)-ROW(AD$15),0),15-13*ORÇAMENTO!$AF$11)),
         0)</f>
        <v>0</v>
      </c>
      <c r="AE273" s="454">
        <f ca="1">IF(AND($D273="Serviço",AE$12&lt;&gt;0,$H273&gt;0,OR(AUTOEVENTO&lt;&gt;"manual",$M273&lt;&gt;$A$15)),
        IF(Import.TipoArredondamento&lt;&gt;"TransfereGOV",
              ROUND(OFFSET($P273,0,AE$13),15-13*ORÇAMENTO!$AF$7)/$H273*OFFSET(ORÇAMENTO!$X$15,ROW(AE273)-ROW(AE$15),0),
              ROUND(ROUND(OFFSET($P273,0,AE$13),15-13*ORÇAMENTO!$AF$7)*OFFSET(ORÇAMENTO!$W$15,ROW(AE273)-ROW(AE$15),0),15-13*ORÇAMENTO!$AF$11)),
         0)</f>
        <v>0</v>
      </c>
      <c r="AF273" s="454">
        <f ca="1">IF(AND($D273="Serviço",AF$12&lt;&gt;0,$H273&gt;0,OR(AUTOEVENTO&lt;&gt;"manual",$M273&lt;&gt;$A$15)),
        IF(Import.TipoArredondamento&lt;&gt;"TransfereGOV",
              ROUND(OFFSET($P273,0,AF$13),15-13*ORÇAMENTO!$AF$7)/$H273*OFFSET(ORÇAMENTO!$X$15,ROW(AF273)-ROW(AF$15),0),
              ROUND(ROUND(OFFSET($P273,0,AF$13),15-13*ORÇAMENTO!$AF$7)*OFFSET(ORÇAMENTO!$W$15,ROW(AF273)-ROW(AF$15),0),15-13*ORÇAMENTO!$AF$11)),
         0)</f>
        <v>0</v>
      </c>
      <c r="AG273" s="454">
        <f ca="1">IF(AND($D273="Serviço",AG$12&lt;&gt;0,$H273&gt;0,OR(AUTOEVENTO&lt;&gt;"manual",$M273&lt;&gt;$A$15)),
        IF(Import.TipoArredondamento&lt;&gt;"TransfereGOV",
              ROUND(OFFSET($P273,0,AG$13),15-13*ORÇAMENTO!$AF$7)/$H273*OFFSET(ORÇAMENTO!$X$15,ROW(AG273)-ROW(AG$15),0),
              ROUND(ROUND(OFFSET($P273,0,AG$13),15-13*ORÇAMENTO!$AF$7)*OFFSET(ORÇAMENTO!$W$15,ROW(AG273)-ROW(AG$15),0),15-13*ORÇAMENTO!$AF$11)),
         0)</f>
        <v>0</v>
      </c>
      <c r="AH273" s="454">
        <f ca="1">IF(AND($D273="Serviço",AH$12&lt;&gt;0,$H273&gt;0,OR(AUTOEVENTO&lt;&gt;"manual",$M273&lt;&gt;$A$15)),
        IF(Import.TipoArredondamento&lt;&gt;"TransfereGOV",
              ROUND(OFFSET($P273,0,AH$13),15-13*ORÇAMENTO!$AF$7)/$H273*OFFSET(ORÇAMENTO!$X$15,ROW(AH273)-ROW(AH$15),0),
              ROUND(ROUND(OFFSET($P273,0,AH$13),15-13*ORÇAMENTO!$AF$7)*OFFSET(ORÇAMENTO!$W$15,ROW(AH273)-ROW(AH$15),0),15-13*ORÇAMENTO!$AF$11)),
         0)</f>
        <v>0</v>
      </c>
      <c r="AI273" s="454">
        <f ca="1">IF(AND($D273="Serviço",AI$12&lt;&gt;0,$H273&gt;0,OR(AUTOEVENTO&lt;&gt;"manual",$M273&lt;&gt;$A$15)),
        IF(Import.TipoArredondamento&lt;&gt;"TransfereGOV",
              ROUND(OFFSET($P273,0,AI$13),15-13*ORÇAMENTO!$AF$7)/$H273*OFFSET(ORÇAMENTO!$X$15,ROW(AI273)-ROW(AI$15),0),
              ROUND(ROUND(OFFSET($P273,0,AI$13),15-13*ORÇAMENTO!$AF$7)*OFFSET(ORÇAMENTO!$W$15,ROW(AI273)-ROW(AI$15),0),15-13*ORÇAMENTO!$AF$11)),
         0)</f>
        <v>0</v>
      </c>
      <c r="AJ273" s="454">
        <f ca="1">IF(AND($D273="Serviço",AJ$12&lt;&gt;0,$H273&gt;0,OR(AUTOEVENTO&lt;&gt;"manual",$M273&lt;&gt;$A$15)),
        IF(Import.TipoArredondamento&lt;&gt;"TransfereGOV",
              ROUND(OFFSET($P273,0,AJ$13),15-13*ORÇAMENTO!$AF$7)/$H273*OFFSET(ORÇAMENTO!$X$15,ROW(AJ273)-ROW(AJ$15),0),
              ROUND(ROUND(OFFSET($P273,0,AJ$13),15-13*ORÇAMENTO!$AF$7)*OFFSET(ORÇAMENTO!$W$15,ROW(AJ273)-ROW(AJ$15),0),15-13*ORÇAMENTO!$AF$11)),
         0)</f>
        <v>0</v>
      </c>
      <c r="AK273" s="454">
        <f ca="1">IF(AND($D273="Serviço",AK$12&lt;&gt;0,$H273&gt;0,OR(AUTOEVENTO&lt;&gt;"manual",$M273&lt;&gt;$A$15)),
        IF(Import.TipoArredondamento&lt;&gt;"TransfereGOV",
              ROUND(OFFSET($P273,0,AK$13),15-13*ORÇAMENTO!$AF$7)/$H273*OFFSET(ORÇAMENTO!$X$15,ROW(AK273)-ROW(AK$15),0),
              ROUND(ROUND(OFFSET($P273,0,AK$13),15-13*ORÇAMENTO!$AF$7)*OFFSET(ORÇAMENTO!$W$15,ROW(AK273)-ROW(AK$15),0),15-13*ORÇAMENTO!$AF$11)),
         0)</f>
        <v>0</v>
      </c>
      <c r="AM273" s="172">
        <f ca="1">IF(OR($D273&lt;&gt;"Serviço",AND(AUTOEVENTO="Manual",$M273=$A$15)),0,
         IF(OFFSET(CRONOPLE!$F$15,$M273-$A$15,AM$13)="",10^12,OFFSET(CRONOPLE!$F$15,$M273-$A$15,AM$13)))</f>
        <v>1000000000000</v>
      </c>
      <c r="AN273" s="172">
        <f ca="1">IF(OR($D273&lt;&gt;"Serviço",AND(AUTOEVENTO="Manual",$M273=$A$15)),0,
         IF(OFFSET(CRONOPLE!$F$15,$M273-$A$15,AN$13)="",10^12,OFFSET(CRONOPLE!$F$15,$M273-$A$15,AN$13)))</f>
        <v>1000000000000</v>
      </c>
      <c r="AO273" s="172">
        <f ca="1">IF(OR($D273&lt;&gt;"Serviço",AND(AUTOEVENTO="Manual",$M273=$A$15)),0,
         IF(OFFSET(CRONOPLE!$F$15,$M273-$A$15,AO$13)="",10^12,OFFSET(CRONOPLE!$F$15,$M273-$A$15,AO$13)))</f>
        <v>1000000000000</v>
      </c>
      <c r="AP273" s="172">
        <f ca="1">IF(OR($D273&lt;&gt;"Serviço",AND(AUTOEVENTO="Manual",$M273=$A$15)),0,
         IF(OFFSET(CRONOPLE!$F$15,$M273-$A$15,AP$13)="",10^12,OFFSET(CRONOPLE!$F$15,$M273-$A$15,AP$13)))</f>
        <v>1000000000000</v>
      </c>
      <c r="AQ273" s="172">
        <f ca="1">IF(OR($D273&lt;&gt;"Serviço",AND(AUTOEVENTO="Manual",$M273=$A$15)),0,
         IF(OFFSET(CRONOPLE!$F$15,$M273-$A$15,AQ$13)="",10^12,OFFSET(CRONOPLE!$F$15,$M273-$A$15,AQ$13)))</f>
        <v>1000000000000</v>
      </c>
      <c r="AR273" s="172">
        <f ca="1">IF(OR($D273&lt;&gt;"Serviço",AND(AUTOEVENTO="Manual",$M273=$A$15)),0,
         IF(OFFSET(CRONOPLE!$F$15,$M273-$A$15,AR$13)="",10^12,OFFSET(CRONOPLE!$F$15,$M273-$A$15,AR$13)))</f>
        <v>1000000000000</v>
      </c>
      <c r="AS273" s="172">
        <f ca="1">IF(OR($D273&lt;&gt;"Serviço",AND(AUTOEVENTO="Manual",$M273=$A$15)),0,
         IF(OFFSET(CRONOPLE!$F$15,$M273-$A$15,AS$13)="",10^12,OFFSET(CRONOPLE!$F$15,$M273-$A$15,AS$13)))</f>
        <v>1000000000000</v>
      </c>
      <c r="AT273" s="172">
        <f ca="1">IF(OR($D273&lt;&gt;"Serviço",AND(AUTOEVENTO="Manual",$M273=$A$15)),0,
         IF(OFFSET(CRONOPLE!$F$15,$M273-$A$15,AT$13)="",10^12,OFFSET(CRONOPLE!$F$15,$M273-$A$15,AT$13)))</f>
        <v>1000000000000</v>
      </c>
      <c r="AU273" s="172">
        <f ca="1">IF(OR($D273&lt;&gt;"Serviço",AND(AUTOEVENTO="Manual",$M273=$A$15)),0,
         IF(OFFSET(CRONOPLE!$F$15,$M273-$A$15,AU$13)="",10^12,OFFSET(CRONOPLE!$F$15,$M273-$A$15,AU$13)))</f>
        <v>1000000000000</v>
      </c>
      <c r="AV273" s="172">
        <f ca="1">IF(OR($D273&lt;&gt;"Serviço",AND(AUTOEVENTO="Manual",$M273=$A$15)),0,
         IF(OFFSET(CRONOPLE!$F$15,$M273-$A$15,AV$13)="",10^12,OFFSET(CRONOPLE!$F$15,$M273-$A$15,AV$13)))</f>
        <v>1000000000000</v>
      </c>
      <c r="AX273" s="173">
        <f ca="1">IF(OR($D273&lt;&gt;"Serviço",AND(AUTOEVENTO="Manual",$M273=$A$15),$M273&gt;(ROW(PLE.lastrow)-ROW(PLE.firstrow))),0,
           IF(OFFSET(PLE!$G$15,$M273-$A$15,AX$13)="",10^12,OFFSET(PLE!$G$15,$M273-$A$15,AX$13)))</f>
        <v>1000000000000</v>
      </c>
      <c r="AY273" s="173">
        <f ca="1">IF(OR($D273&lt;&gt;"Serviço",AND(AUTOEVENTO="Manual",$M273=$A$15),$M273&gt;(ROW(PLE.lastrow)-ROW(PLE.firstrow))),0,
           IF(OFFSET(PLE!$G$15,$M273-$A$15,AY$13)="",10^12,OFFSET(PLE!$G$15,$M273-$A$15,AY$13)))</f>
        <v>1000000000000</v>
      </c>
      <c r="AZ273" s="173">
        <f ca="1">IF(OR($D273&lt;&gt;"Serviço",AND(AUTOEVENTO="Manual",$M273=$A$15),$M273&gt;(ROW(PLE.lastrow)-ROW(PLE.firstrow))),0,
           IF(OFFSET(PLE!$G$15,$M273-$A$15,AZ$13)="",10^12,OFFSET(PLE!$G$15,$M273-$A$15,AZ$13)))</f>
        <v>1000000000000</v>
      </c>
      <c r="BA273" s="173">
        <f ca="1">IF(OR($D273&lt;&gt;"Serviço",AND(AUTOEVENTO="Manual",$M273=$A$15),$M273&gt;(ROW(PLE.lastrow)-ROW(PLE.firstrow))),0,
           IF(OFFSET(PLE!$G$15,$M273-$A$15,BA$13)="",10^12,OFFSET(PLE!$G$15,$M273-$A$15,BA$13)))</f>
        <v>1000000000000</v>
      </c>
      <c r="BB273" s="173">
        <f ca="1">IF(OR($D273&lt;&gt;"Serviço",AND(AUTOEVENTO="Manual",$M273=$A$15),$M273&gt;(ROW(PLE.lastrow)-ROW(PLE.firstrow))),0,
           IF(OFFSET(PLE!$G$15,$M273-$A$15,BB$13)="",10^12,OFFSET(PLE!$G$15,$M273-$A$15,BB$13)))</f>
        <v>1000000000000</v>
      </c>
      <c r="BC273" s="173">
        <f ca="1">IF(OR($D273&lt;&gt;"Serviço",AND(AUTOEVENTO="Manual",$M273=$A$15),$M273&gt;(ROW(PLE.lastrow)-ROW(PLE.firstrow))),0,
           IF(OFFSET(PLE!$G$15,$M273-$A$15,BC$13)="",10^12,OFFSET(PLE!$G$15,$M273-$A$15,BC$13)))</f>
        <v>1000000000000</v>
      </c>
      <c r="BD273" s="173">
        <f ca="1">IF(OR($D273&lt;&gt;"Serviço",AND(AUTOEVENTO="Manual",$M273=$A$15),$M273&gt;(ROW(PLE.lastrow)-ROW(PLE.firstrow))),0,
           IF(OFFSET(PLE!$G$15,$M273-$A$15,BD$13)="",10^12,OFFSET(PLE!$G$15,$M273-$A$15,BD$13)))</f>
        <v>1000000000000</v>
      </c>
      <c r="BE273" s="173">
        <f ca="1">IF(OR($D273&lt;&gt;"Serviço",AND(AUTOEVENTO="Manual",$M273=$A$15),$M273&gt;(ROW(PLE.lastrow)-ROW(PLE.firstrow))),0,
           IF(OFFSET(PLE!$G$15,$M273-$A$15,BE$13)="",10^12,OFFSET(PLE!$G$15,$M273-$A$15,BE$13)))</f>
        <v>1000000000000</v>
      </c>
      <c r="BF273" s="173">
        <f ca="1">IF(OR($D273&lt;&gt;"Serviço",AND(AUTOEVENTO="Manual",$M273=$A$15),$M273&gt;(ROW(PLE.lastrow)-ROW(PLE.firstrow))),0,
           IF(OFFSET(PLE!$G$15,$M273-$A$15,BF$13)="",10^12,OFFSET(PLE!$G$15,$M273-$A$15,BF$13)))</f>
        <v>1000000000000</v>
      </c>
      <c r="BG273" s="173">
        <f ca="1">IF(OR($D273&lt;&gt;"Serviço",AND(AUTOEVENTO="Manual",$M273=$A$15),$M273&gt;(ROW(PLE.lastrow)-ROW(PLE.firstrow))),0,
           IF(OFFSET(PLE!$G$15,$M273-$A$15,BG$13)="",10^12,OFFSET(PLE!$G$15,$M273-$A$15,BG$13)))</f>
        <v>1000000000000</v>
      </c>
    </row>
    <row r="274" spans="1:59" ht="25.5" x14ac:dyDescent="0.2">
      <c r="A274" s="7" t="str">
        <f t="shared" ca="1" si="12"/>
        <v>253</v>
      </c>
      <c r="B274" s="7" t="str">
        <f ca="1">OFFSET(ORÇAMENTO!C$15,ROW(B274)-ROW(B$15),0)</f>
        <v>S</v>
      </c>
      <c r="C274" s="7" t="str">
        <f ca="1">OFFSET(ORÇAMENTO!L$15,ROW(C274)-ROW(C$15),0)</f>
        <v/>
      </c>
      <c r="D274" s="117" t="str">
        <f ca="1">OFFSET(ORÇAMENTO!N$15,ROW(D274)-ROW(D$15),0)</f>
        <v>Serviço</v>
      </c>
      <c r="E274" s="118" t="str">
        <f ca="1">OFFSET(ORÇAMENTO!O$15,ROW(E274)-ROW(E$15),0)</f>
        <v>-</v>
      </c>
      <c r="F274" s="164" t="str">
        <f ca="1">OFFSET(ORÇAMENTO!R$15,ROW(F274)-ROW(F$15),0)</f>
        <v>SERVENTE COM ENCARGOS COMPLEMENTARES</v>
      </c>
      <c r="G274" s="165" t="str">
        <f ca="1">IF($D274&lt;&gt;"Serviço","",OFFSET(ORÇAMENTO!S$15,ROW(G274)-ROW(G$15),0))</f>
        <v>H</v>
      </c>
      <c r="H274" s="123">
        <f ca="1">IF($D274&lt;&gt;"Serviço",0,IF(ACOMPANHAMENTO="BM",ROUND(OFFSET(ORÇAMENTO!AJ$15,ROW(H274)-ROW(H$15),0),15-13*ORÇAMENTO!$AF$7),SUMPRODUCT(($Q$1:$AA$1=1)*ROUND($Q274:$AA274,15-13*ORÇAMENTO!$AF$7))))</f>
        <v>16</v>
      </c>
      <c r="I274" s="469"/>
      <c r="J274" s="577" t="str" cm="1">
        <f t="array" aca="1" ref="J274" ca="1">IF(B274&lt;&gt;"S","",IF(AND(ACOMPANHAMENTO="PLE",AUTOEVENTO="Manual",OR(H274&gt;0,ORÇAMENTO!AC274="QUANT."),OR(K274="",M274=0,N274="")),"►",IF(AND(ACOMPANHAMENTO="PLE",ORÇAMENTO!AC274="QUANT."),"►►",IF(AND(COUNTIF($P$11:$AA$11,"▼")=0,H274&gt;0,I274=""),"◄",""))))</f>
        <v>◄</v>
      </c>
      <c r="K274" s="626"/>
      <c r="L274" s="166" t="s">
        <v>765</v>
      </c>
      <c r="M274" s="167">
        <f ca="1">IF($D274&lt;&gt;"Serviço","",
          IF(AUTOEVENTO="manual",$A274,
                IF(ISERROR(MATCH($A274,$A$15:OFFSET($A274,-1,0),0)),MAX($M$15:OFFSET(M274,-1,0))+1,
                      INDEX($M$15:OFFSET(M274,-1,0),MATCH($A274,$A$15:OFFSET($A274,-1,0),0)))))</f>
        <v>16</v>
      </c>
      <c r="N274" s="168" t="str">
        <f ca="1">IF($D274&lt;&gt;"Serviço","",
         IF(AUTOEVENTO="Manual",
                IF($A274=0,"&lt;-- defina o número do agrupador",
                       OFFSET(EVENTOS!$D$15,$A274-$A$15,0)),
                OFFSET($F$15,$A274,0)))</f>
        <v>SISTEMAS DE PREVENÇÃO CONTRA INCÊNDIO</v>
      </c>
      <c r="O274" s="169"/>
      <c r="Q274" s="169"/>
      <c r="R274" s="170"/>
      <c r="S274" s="170"/>
      <c r="T274" s="170"/>
      <c r="U274" s="170"/>
      <c r="V274" s="170"/>
      <c r="W274" s="170"/>
      <c r="X274" s="170"/>
      <c r="Y274" s="170"/>
      <c r="Z274" s="171"/>
      <c r="AB274" s="454">
        <f ca="1">IF(AND($D274="Serviço",AB$12&lt;&gt;0,$H274&gt;0,OR(AUTOEVENTO&lt;&gt;"manual",$M274&lt;&gt;$A$15)),
        IF(Import.TipoArredondamento&lt;&gt;"TransfereGOV",
              ROUND(OFFSET($P274,0,AB$13),15-13*ORÇAMENTO!$AF$7)/$H274*OFFSET(ORÇAMENTO!$X$15,ROW(AB274)-ROW(AB$15),0),
              ROUND(ROUND(OFFSET($P274,0,AB$13),15-13*ORÇAMENTO!$AF$7)*OFFSET(ORÇAMENTO!$W$15,ROW(AB274)-ROW(AB$15),0),15-13*ORÇAMENTO!$AF$11)),
         0)</f>
        <v>0</v>
      </c>
      <c r="AC274" s="454">
        <f ca="1">IF(AND($D274="Serviço",AC$12&lt;&gt;0,$H274&gt;0,OR(AUTOEVENTO&lt;&gt;"manual",$M274&lt;&gt;$A$15)),
        IF(Import.TipoArredondamento&lt;&gt;"TransfereGOV",
              ROUND(OFFSET($P274,0,AC$13),15-13*ORÇAMENTO!$AF$7)/$H274*OFFSET(ORÇAMENTO!$X$15,ROW(AC274)-ROW(AC$15),0),
              ROUND(ROUND(OFFSET($P274,0,AC$13),15-13*ORÇAMENTO!$AF$7)*OFFSET(ORÇAMENTO!$W$15,ROW(AC274)-ROW(AC$15),0),15-13*ORÇAMENTO!$AF$11)),
         0)</f>
        <v>0</v>
      </c>
      <c r="AD274" s="454">
        <f ca="1">IF(AND($D274="Serviço",AD$12&lt;&gt;0,$H274&gt;0,OR(AUTOEVENTO&lt;&gt;"manual",$M274&lt;&gt;$A$15)),
        IF(Import.TipoArredondamento&lt;&gt;"TransfereGOV",
              ROUND(OFFSET($P274,0,AD$13),15-13*ORÇAMENTO!$AF$7)/$H274*OFFSET(ORÇAMENTO!$X$15,ROW(AD274)-ROW(AD$15),0),
              ROUND(ROUND(OFFSET($P274,0,AD$13),15-13*ORÇAMENTO!$AF$7)*OFFSET(ORÇAMENTO!$W$15,ROW(AD274)-ROW(AD$15),0),15-13*ORÇAMENTO!$AF$11)),
         0)</f>
        <v>0</v>
      </c>
      <c r="AE274" s="454">
        <f ca="1">IF(AND($D274="Serviço",AE$12&lt;&gt;0,$H274&gt;0,OR(AUTOEVENTO&lt;&gt;"manual",$M274&lt;&gt;$A$15)),
        IF(Import.TipoArredondamento&lt;&gt;"TransfereGOV",
              ROUND(OFFSET($P274,0,AE$13),15-13*ORÇAMENTO!$AF$7)/$H274*OFFSET(ORÇAMENTO!$X$15,ROW(AE274)-ROW(AE$15),0),
              ROUND(ROUND(OFFSET($P274,0,AE$13),15-13*ORÇAMENTO!$AF$7)*OFFSET(ORÇAMENTO!$W$15,ROW(AE274)-ROW(AE$15),0),15-13*ORÇAMENTO!$AF$11)),
         0)</f>
        <v>0</v>
      </c>
      <c r="AF274" s="454">
        <f ca="1">IF(AND($D274="Serviço",AF$12&lt;&gt;0,$H274&gt;0,OR(AUTOEVENTO&lt;&gt;"manual",$M274&lt;&gt;$A$15)),
        IF(Import.TipoArredondamento&lt;&gt;"TransfereGOV",
              ROUND(OFFSET($P274,0,AF$13),15-13*ORÇAMENTO!$AF$7)/$H274*OFFSET(ORÇAMENTO!$X$15,ROW(AF274)-ROW(AF$15),0),
              ROUND(ROUND(OFFSET($P274,0,AF$13),15-13*ORÇAMENTO!$AF$7)*OFFSET(ORÇAMENTO!$W$15,ROW(AF274)-ROW(AF$15),0),15-13*ORÇAMENTO!$AF$11)),
         0)</f>
        <v>0</v>
      </c>
      <c r="AG274" s="454">
        <f ca="1">IF(AND($D274="Serviço",AG$12&lt;&gt;0,$H274&gt;0,OR(AUTOEVENTO&lt;&gt;"manual",$M274&lt;&gt;$A$15)),
        IF(Import.TipoArredondamento&lt;&gt;"TransfereGOV",
              ROUND(OFFSET($P274,0,AG$13),15-13*ORÇAMENTO!$AF$7)/$H274*OFFSET(ORÇAMENTO!$X$15,ROW(AG274)-ROW(AG$15),0),
              ROUND(ROUND(OFFSET($P274,0,AG$13),15-13*ORÇAMENTO!$AF$7)*OFFSET(ORÇAMENTO!$W$15,ROW(AG274)-ROW(AG$15),0),15-13*ORÇAMENTO!$AF$11)),
         0)</f>
        <v>0</v>
      </c>
      <c r="AH274" s="454">
        <f ca="1">IF(AND($D274="Serviço",AH$12&lt;&gt;0,$H274&gt;0,OR(AUTOEVENTO&lt;&gt;"manual",$M274&lt;&gt;$A$15)),
        IF(Import.TipoArredondamento&lt;&gt;"TransfereGOV",
              ROUND(OFFSET($P274,0,AH$13),15-13*ORÇAMENTO!$AF$7)/$H274*OFFSET(ORÇAMENTO!$X$15,ROW(AH274)-ROW(AH$15),0),
              ROUND(ROUND(OFFSET($P274,0,AH$13),15-13*ORÇAMENTO!$AF$7)*OFFSET(ORÇAMENTO!$W$15,ROW(AH274)-ROW(AH$15),0),15-13*ORÇAMENTO!$AF$11)),
         0)</f>
        <v>0</v>
      </c>
      <c r="AI274" s="454">
        <f ca="1">IF(AND($D274="Serviço",AI$12&lt;&gt;0,$H274&gt;0,OR(AUTOEVENTO&lt;&gt;"manual",$M274&lt;&gt;$A$15)),
        IF(Import.TipoArredondamento&lt;&gt;"TransfereGOV",
              ROUND(OFFSET($P274,0,AI$13),15-13*ORÇAMENTO!$AF$7)/$H274*OFFSET(ORÇAMENTO!$X$15,ROW(AI274)-ROW(AI$15),0),
              ROUND(ROUND(OFFSET($P274,0,AI$13),15-13*ORÇAMENTO!$AF$7)*OFFSET(ORÇAMENTO!$W$15,ROW(AI274)-ROW(AI$15),0),15-13*ORÇAMENTO!$AF$11)),
         0)</f>
        <v>0</v>
      </c>
      <c r="AJ274" s="454">
        <f ca="1">IF(AND($D274="Serviço",AJ$12&lt;&gt;0,$H274&gt;0,OR(AUTOEVENTO&lt;&gt;"manual",$M274&lt;&gt;$A$15)),
        IF(Import.TipoArredondamento&lt;&gt;"TransfereGOV",
              ROUND(OFFSET($P274,0,AJ$13),15-13*ORÇAMENTO!$AF$7)/$H274*OFFSET(ORÇAMENTO!$X$15,ROW(AJ274)-ROW(AJ$15),0),
              ROUND(ROUND(OFFSET($P274,0,AJ$13),15-13*ORÇAMENTO!$AF$7)*OFFSET(ORÇAMENTO!$W$15,ROW(AJ274)-ROW(AJ$15),0),15-13*ORÇAMENTO!$AF$11)),
         0)</f>
        <v>0</v>
      </c>
      <c r="AK274" s="454">
        <f ca="1">IF(AND($D274="Serviço",AK$12&lt;&gt;0,$H274&gt;0,OR(AUTOEVENTO&lt;&gt;"manual",$M274&lt;&gt;$A$15)),
        IF(Import.TipoArredondamento&lt;&gt;"TransfereGOV",
              ROUND(OFFSET($P274,0,AK$13),15-13*ORÇAMENTO!$AF$7)/$H274*OFFSET(ORÇAMENTO!$X$15,ROW(AK274)-ROW(AK$15),0),
              ROUND(ROUND(OFFSET($P274,0,AK$13),15-13*ORÇAMENTO!$AF$7)*OFFSET(ORÇAMENTO!$W$15,ROW(AK274)-ROW(AK$15),0),15-13*ORÇAMENTO!$AF$11)),
         0)</f>
        <v>0</v>
      </c>
      <c r="AM274" s="172">
        <f ca="1">IF(OR($D274&lt;&gt;"Serviço",AND(AUTOEVENTO="Manual",$M274=$A$15)),0,
         IF(OFFSET(CRONOPLE!$F$15,$M274-$A$15,AM$13)="",10^12,OFFSET(CRONOPLE!$F$15,$M274-$A$15,AM$13)))</f>
        <v>1000000000000</v>
      </c>
      <c r="AN274" s="172">
        <f ca="1">IF(OR($D274&lt;&gt;"Serviço",AND(AUTOEVENTO="Manual",$M274=$A$15)),0,
         IF(OFFSET(CRONOPLE!$F$15,$M274-$A$15,AN$13)="",10^12,OFFSET(CRONOPLE!$F$15,$M274-$A$15,AN$13)))</f>
        <v>1000000000000</v>
      </c>
      <c r="AO274" s="172">
        <f ca="1">IF(OR($D274&lt;&gt;"Serviço",AND(AUTOEVENTO="Manual",$M274=$A$15)),0,
         IF(OFFSET(CRONOPLE!$F$15,$M274-$A$15,AO$13)="",10^12,OFFSET(CRONOPLE!$F$15,$M274-$A$15,AO$13)))</f>
        <v>1000000000000</v>
      </c>
      <c r="AP274" s="172">
        <f ca="1">IF(OR($D274&lt;&gt;"Serviço",AND(AUTOEVENTO="Manual",$M274=$A$15)),0,
         IF(OFFSET(CRONOPLE!$F$15,$M274-$A$15,AP$13)="",10^12,OFFSET(CRONOPLE!$F$15,$M274-$A$15,AP$13)))</f>
        <v>1000000000000</v>
      </c>
      <c r="AQ274" s="172">
        <f ca="1">IF(OR($D274&lt;&gt;"Serviço",AND(AUTOEVENTO="Manual",$M274=$A$15)),0,
         IF(OFFSET(CRONOPLE!$F$15,$M274-$A$15,AQ$13)="",10^12,OFFSET(CRONOPLE!$F$15,$M274-$A$15,AQ$13)))</f>
        <v>1000000000000</v>
      </c>
      <c r="AR274" s="172">
        <f ca="1">IF(OR($D274&lt;&gt;"Serviço",AND(AUTOEVENTO="Manual",$M274=$A$15)),0,
         IF(OFFSET(CRONOPLE!$F$15,$M274-$A$15,AR$13)="",10^12,OFFSET(CRONOPLE!$F$15,$M274-$A$15,AR$13)))</f>
        <v>1000000000000</v>
      </c>
      <c r="AS274" s="172">
        <f ca="1">IF(OR($D274&lt;&gt;"Serviço",AND(AUTOEVENTO="Manual",$M274=$A$15)),0,
         IF(OFFSET(CRONOPLE!$F$15,$M274-$A$15,AS$13)="",10^12,OFFSET(CRONOPLE!$F$15,$M274-$A$15,AS$13)))</f>
        <v>1000000000000</v>
      </c>
      <c r="AT274" s="172">
        <f ca="1">IF(OR($D274&lt;&gt;"Serviço",AND(AUTOEVENTO="Manual",$M274=$A$15)),0,
         IF(OFFSET(CRONOPLE!$F$15,$M274-$A$15,AT$13)="",10^12,OFFSET(CRONOPLE!$F$15,$M274-$A$15,AT$13)))</f>
        <v>1000000000000</v>
      </c>
      <c r="AU274" s="172">
        <f ca="1">IF(OR($D274&lt;&gt;"Serviço",AND(AUTOEVENTO="Manual",$M274=$A$15)),0,
         IF(OFFSET(CRONOPLE!$F$15,$M274-$A$15,AU$13)="",10^12,OFFSET(CRONOPLE!$F$15,$M274-$A$15,AU$13)))</f>
        <v>1000000000000</v>
      </c>
      <c r="AV274" s="172">
        <f ca="1">IF(OR($D274&lt;&gt;"Serviço",AND(AUTOEVENTO="Manual",$M274=$A$15)),0,
         IF(OFFSET(CRONOPLE!$F$15,$M274-$A$15,AV$13)="",10^12,OFFSET(CRONOPLE!$F$15,$M274-$A$15,AV$13)))</f>
        <v>1000000000000</v>
      </c>
      <c r="AX274" s="173">
        <f ca="1">IF(OR($D274&lt;&gt;"Serviço",AND(AUTOEVENTO="Manual",$M274=$A$15),$M274&gt;(ROW(PLE.lastrow)-ROW(PLE.firstrow))),0,
           IF(OFFSET(PLE!$G$15,$M274-$A$15,AX$13)="",10^12,OFFSET(PLE!$G$15,$M274-$A$15,AX$13)))</f>
        <v>1000000000000</v>
      </c>
      <c r="AY274" s="173">
        <f ca="1">IF(OR($D274&lt;&gt;"Serviço",AND(AUTOEVENTO="Manual",$M274=$A$15),$M274&gt;(ROW(PLE.lastrow)-ROW(PLE.firstrow))),0,
           IF(OFFSET(PLE!$G$15,$M274-$A$15,AY$13)="",10^12,OFFSET(PLE!$G$15,$M274-$A$15,AY$13)))</f>
        <v>1000000000000</v>
      </c>
      <c r="AZ274" s="173">
        <f ca="1">IF(OR($D274&lt;&gt;"Serviço",AND(AUTOEVENTO="Manual",$M274=$A$15),$M274&gt;(ROW(PLE.lastrow)-ROW(PLE.firstrow))),0,
           IF(OFFSET(PLE!$G$15,$M274-$A$15,AZ$13)="",10^12,OFFSET(PLE!$G$15,$M274-$A$15,AZ$13)))</f>
        <v>1000000000000</v>
      </c>
      <c r="BA274" s="173">
        <f ca="1">IF(OR($D274&lt;&gt;"Serviço",AND(AUTOEVENTO="Manual",$M274=$A$15),$M274&gt;(ROW(PLE.lastrow)-ROW(PLE.firstrow))),0,
           IF(OFFSET(PLE!$G$15,$M274-$A$15,BA$13)="",10^12,OFFSET(PLE!$G$15,$M274-$A$15,BA$13)))</f>
        <v>1000000000000</v>
      </c>
      <c r="BB274" s="173">
        <f ca="1">IF(OR($D274&lt;&gt;"Serviço",AND(AUTOEVENTO="Manual",$M274=$A$15),$M274&gt;(ROW(PLE.lastrow)-ROW(PLE.firstrow))),0,
           IF(OFFSET(PLE!$G$15,$M274-$A$15,BB$13)="",10^12,OFFSET(PLE!$G$15,$M274-$A$15,BB$13)))</f>
        <v>1000000000000</v>
      </c>
      <c r="BC274" s="173">
        <f ca="1">IF(OR($D274&lt;&gt;"Serviço",AND(AUTOEVENTO="Manual",$M274=$A$15),$M274&gt;(ROW(PLE.lastrow)-ROW(PLE.firstrow))),0,
           IF(OFFSET(PLE!$G$15,$M274-$A$15,BC$13)="",10^12,OFFSET(PLE!$G$15,$M274-$A$15,BC$13)))</f>
        <v>1000000000000</v>
      </c>
      <c r="BD274" s="173">
        <f ca="1">IF(OR($D274&lt;&gt;"Serviço",AND(AUTOEVENTO="Manual",$M274=$A$15),$M274&gt;(ROW(PLE.lastrow)-ROW(PLE.firstrow))),0,
           IF(OFFSET(PLE!$G$15,$M274-$A$15,BD$13)="",10^12,OFFSET(PLE!$G$15,$M274-$A$15,BD$13)))</f>
        <v>1000000000000</v>
      </c>
      <c r="BE274" s="173">
        <f ca="1">IF(OR($D274&lt;&gt;"Serviço",AND(AUTOEVENTO="Manual",$M274=$A$15),$M274&gt;(ROW(PLE.lastrow)-ROW(PLE.firstrow))),0,
           IF(OFFSET(PLE!$G$15,$M274-$A$15,BE$13)="",10^12,OFFSET(PLE!$G$15,$M274-$A$15,BE$13)))</f>
        <v>1000000000000</v>
      </c>
      <c r="BF274" s="173">
        <f ca="1">IF(OR($D274&lt;&gt;"Serviço",AND(AUTOEVENTO="Manual",$M274=$A$15),$M274&gt;(ROW(PLE.lastrow)-ROW(PLE.firstrow))),0,
           IF(OFFSET(PLE!$G$15,$M274-$A$15,BF$13)="",10^12,OFFSET(PLE!$G$15,$M274-$A$15,BF$13)))</f>
        <v>1000000000000</v>
      </c>
      <c r="BG274" s="173">
        <f ca="1">IF(OR($D274&lt;&gt;"Serviço",AND(AUTOEVENTO="Manual",$M274=$A$15),$M274&gt;(ROW(PLE.lastrow)-ROW(PLE.firstrow))),0,
           IF(OFFSET(PLE!$G$15,$M274-$A$15,BG$13)="",10^12,OFFSET(PLE!$G$15,$M274-$A$15,BG$13)))</f>
        <v>1000000000000</v>
      </c>
    </row>
    <row r="275" spans="1:59" ht="12.75" x14ac:dyDescent="0.2">
      <c r="A275" s="7" t="str">
        <f t="shared" ca="1" si="12"/>
        <v>253</v>
      </c>
      <c r="B275" s="7">
        <f ca="1">OFFSET(ORÇAMENTO!C$15,ROW(B275)-ROW(B$15),0)</f>
        <v>3</v>
      </c>
      <c r="C275" s="7" t="str">
        <f ca="1">OFFSET(ORÇAMENTO!L$15,ROW(C275)-ROW(C$15),0)</f>
        <v>F</v>
      </c>
      <c r="D275" s="117" t="str">
        <f ca="1">OFFSET(ORÇAMENTO!N$15,ROW(D275)-ROW(D$15),0)</f>
        <v>Nível 3</v>
      </c>
      <c r="E275" s="118" t="str">
        <f ca="1">OFFSET(ORÇAMENTO!O$15,ROW(E275)-ROW(E$15),0)</f>
        <v>1.16.3.</v>
      </c>
      <c r="F275" s="164" t="str">
        <f ca="1">OFFSET(ORÇAMENTO!R$15,ROW(F275)-ROW(F$15),0)</f>
        <v>ALARME E DETECÇÃO DE INCÊNDIO</v>
      </c>
      <c r="G275" s="165" t="str">
        <f ca="1">IF($D275&lt;&gt;"Serviço","",OFFSET(ORÇAMENTO!S$15,ROW(G275)-ROW(G$15),0))</f>
        <v/>
      </c>
      <c r="H275" s="123">
        <f ca="1">IF($D275&lt;&gt;"Serviço",0,IF(ACOMPANHAMENTO="BM",ROUND(OFFSET(ORÇAMENTO!AJ$15,ROW(H275)-ROW(H$15),0),15-13*ORÇAMENTO!$AF$7),SUMPRODUCT(($Q$1:$AA$1=1)*ROUND($Q275:$AA275,15-13*ORÇAMENTO!$AF$7))))</f>
        <v>0</v>
      </c>
      <c r="I275" s="469"/>
      <c r="J275" s="577" t="str" cm="1">
        <f t="array" aca="1" ref="J275" ca="1">IF(B275&lt;&gt;"S","",IF(AND(ACOMPANHAMENTO="PLE",AUTOEVENTO="Manual",OR(H275&gt;0,ORÇAMENTO!AC275="QUANT."),OR(K275="",M275=0,N275="")),"►",IF(AND(ACOMPANHAMENTO="PLE",ORÇAMENTO!AC275="QUANT."),"►►",IF(AND(COUNTIF($P$11:$AA$11,"▼")=0,H275&gt;0,I275=""),"◄",""))))</f>
        <v/>
      </c>
      <c r="K275" s="626"/>
      <c r="L275" s="166" t="s">
        <v>765</v>
      </c>
      <c r="M275" s="167" t="str">
        <f ca="1">IF($D275&lt;&gt;"Serviço","",
          IF(AUTOEVENTO="manual",$A275,
                IF(ISERROR(MATCH($A275,$A$15:OFFSET($A275,-1,0),0)),MAX($M$15:OFFSET(M275,-1,0))+1,
                      INDEX($M$15:OFFSET(M275,-1,0),MATCH($A275,$A$15:OFFSET($A275,-1,0),0)))))</f>
        <v/>
      </c>
      <c r="N275" s="168" t="str">
        <f ca="1">IF($D275&lt;&gt;"Serviço","",
         IF(AUTOEVENTO="Manual",
                IF($A275=0,"&lt;-- defina o número do agrupador",
                       OFFSET(EVENTOS!$D$15,$A275-$A$15,0)),
                OFFSET($F$15,$A275,0)))</f>
        <v/>
      </c>
      <c r="O275" s="169"/>
      <c r="Q275" s="169"/>
      <c r="R275" s="170"/>
      <c r="S275" s="170"/>
      <c r="T275" s="170"/>
      <c r="U275" s="170"/>
      <c r="V275" s="170"/>
      <c r="W275" s="170"/>
      <c r="X275" s="170"/>
      <c r="Y275" s="170"/>
      <c r="Z275" s="171"/>
      <c r="AB275" s="454">
        <f ca="1">IF(AND($D275="Serviço",AB$12&lt;&gt;0,$H275&gt;0,OR(AUTOEVENTO&lt;&gt;"manual",$M275&lt;&gt;$A$15)),
        IF(Import.TipoArredondamento&lt;&gt;"TransfereGOV",
              ROUND(OFFSET($P275,0,AB$13),15-13*ORÇAMENTO!$AF$7)/$H275*OFFSET(ORÇAMENTO!$X$15,ROW(AB275)-ROW(AB$15),0),
              ROUND(ROUND(OFFSET($P275,0,AB$13),15-13*ORÇAMENTO!$AF$7)*OFFSET(ORÇAMENTO!$W$15,ROW(AB275)-ROW(AB$15),0),15-13*ORÇAMENTO!$AF$11)),
         0)</f>
        <v>0</v>
      </c>
      <c r="AC275" s="454">
        <f ca="1">IF(AND($D275="Serviço",AC$12&lt;&gt;0,$H275&gt;0,OR(AUTOEVENTO&lt;&gt;"manual",$M275&lt;&gt;$A$15)),
        IF(Import.TipoArredondamento&lt;&gt;"TransfereGOV",
              ROUND(OFFSET($P275,0,AC$13),15-13*ORÇAMENTO!$AF$7)/$H275*OFFSET(ORÇAMENTO!$X$15,ROW(AC275)-ROW(AC$15),0),
              ROUND(ROUND(OFFSET($P275,0,AC$13),15-13*ORÇAMENTO!$AF$7)*OFFSET(ORÇAMENTO!$W$15,ROW(AC275)-ROW(AC$15),0),15-13*ORÇAMENTO!$AF$11)),
         0)</f>
        <v>0</v>
      </c>
      <c r="AD275" s="454">
        <f ca="1">IF(AND($D275="Serviço",AD$12&lt;&gt;0,$H275&gt;0,OR(AUTOEVENTO&lt;&gt;"manual",$M275&lt;&gt;$A$15)),
        IF(Import.TipoArredondamento&lt;&gt;"TransfereGOV",
              ROUND(OFFSET($P275,0,AD$13),15-13*ORÇAMENTO!$AF$7)/$H275*OFFSET(ORÇAMENTO!$X$15,ROW(AD275)-ROW(AD$15),0),
              ROUND(ROUND(OFFSET($P275,0,AD$13),15-13*ORÇAMENTO!$AF$7)*OFFSET(ORÇAMENTO!$W$15,ROW(AD275)-ROW(AD$15),0),15-13*ORÇAMENTO!$AF$11)),
         0)</f>
        <v>0</v>
      </c>
      <c r="AE275" s="454">
        <f ca="1">IF(AND($D275="Serviço",AE$12&lt;&gt;0,$H275&gt;0,OR(AUTOEVENTO&lt;&gt;"manual",$M275&lt;&gt;$A$15)),
        IF(Import.TipoArredondamento&lt;&gt;"TransfereGOV",
              ROUND(OFFSET($P275,0,AE$13),15-13*ORÇAMENTO!$AF$7)/$H275*OFFSET(ORÇAMENTO!$X$15,ROW(AE275)-ROW(AE$15),0),
              ROUND(ROUND(OFFSET($P275,0,AE$13),15-13*ORÇAMENTO!$AF$7)*OFFSET(ORÇAMENTO!$W$15,ROW(AE275)-ROW(AE$15),0),15-13*ORÇAMENTO!$AF$11)),
         0)</f>
        <v>0</v>
      </c>
      <c r="AF275" s="454">
        <f ca="1">IF(AND($D275="Serviço",AF$12&lt;&gt;0,$H275&gt;0,OR(AUTOEVENTO&lt;&gt;"manual",$M275&lt;&gt;$A$15)),
        IF(Import.TipoArredondamento&lt;&gt;"TransfereGOV",
              ROUND(OFFSET($P275,0,AF$13),15-13*ORÇAMENTO!$AF$7)/$H275*OFFSET(ORÇAMENTO!$X$15,ROW(AF275)-ROW(AF$15),0),
              ROUND(ROUND(OFFSET($P275,0,AF$13),15-13*ORÇAMENTO!$AF$7)*OFFSET(ORÇAMENTO!$W$15,ROW(AF275)-ROW(AF$15),0),15-13*ORÇAMENTO!$AF$11)),
         0)</f>
        <v>0</v>
      </c>
      <c r="AG275" s="454">
        <f ca="1">IF(AND($D275="Serviço",AG$12&lt;&gt;0,$H275&gt;0,OR(AUTOEVENTO&lt;&gt;"manual",$M275&lt;&gt;$A$15)),
        IF(Import.TipoArredondamento&lt;&gt;"TransfereGOV",
              ROUND(OFFSET($P275,0,AG$13),15-13*ORÇAMENTO!$AF$7)/$H275*OFFSET(ORÇAMENTO!$X$15,ROW(AG275)-ROW(AG$15),0),
              ROUND(ROUND(OFFSET($P275,0,AG$13),15-13*ORÇAMENTO!$AF$7)*OFFSET(ORÇAMENTO!$W$15,ROW(AG275)-ROW(AG$15),0),15-13*ORÇAMENTO!$AF$11)),
         0)</f>
        <v>0</v>
      </c>
      <c r="AH275" s="454">
        <f ca="1">IF(AND($D275="Serviço",AH$12&lt;&gt;0,$H275&gt;0,OR(AUTOEVENTO&lt;&gt;"manual",$M275&lt;&gt;$A$15)),
        IF(Import.TipoArredondamento&lt;&gt;"TransfereGOV",
              ROUND(OFFSET($P275,0,AH$13),15-13*ORÇAMENTO!$AF$7)/$H275*OFFSET(ORÇAMENTO!$X$15,ROW(AH275)-ROW(AH$15),0),
              ROUND(ROUND(OFFSET($P275,0,AH$13),15-13*ORÇAMENTO!$AF$7)*OFFSET(ORÇAMENTO!$W$15,ROW(AH275)-ROW(AH$15),0),15-13*ORÇAMENTO!$AF$11)),
         0)</f>
        <v>0</v>
      </c>
      <c r="AI275" s="454">
        <f ca="1">IF(AND($D275="Serviço",AI$12&lt;&gt;0,$H275&gt;0,OR(AUTOEVENTO&lt;&gt;"manual",$M275&lt;&gt;$A$15)),
        IF(Import.TipoArredondamento&lt;&gt;"TransfereGOV",
              ROUND(OFFSET($P275,0,AI$13),15-13*ORÇAMENTO!$AF$7)/$H275*OFFSET(ORÇAMENTO!$X$15,ROW(AI275)-ROW(AI$15),0),
              ROUND(ROUND(OFFSET($P275,0,AI$13),15-13*ORÇAMENTO!$AF$7)*OFFSET(ORÇAMENTO!$W$15,ROW(AI275)-ROW(AI$15),0),15-13*ORÇAMENTO!$AF$11)),
         0)</f>
        <v>0</v>
      </c>
      <c r="AJ275" s="454">
        <f ca="1">IF(AND($D275="Serviço",AJ$12&lt;&gt;0,$H275&gt;0,OR(AUTOEVENTO&lt;&gt;"manual",$M275&lt;&gt;$A$15)),
        IF(Import.TipoArredondamento&lt;&gt;"TransfereGOV",
              ROUND(OFFSET($P275,0,AJ$13),15-13*ORÇAMENTO!$AF$7)/$H275*OFFSET(ORÇAMENTO!$X$15,ROW(AJ275)-ROW(AJ$15),0),
              ROUND(ROUND(OFFSET($P275,0,AJ$13),15-13*ORÇAMENTO!$AF$7)*OFFSET(ORÇAMENTO!$W$15,ROW(AJ275)-ROW(AJ$15),0),15-13*ORÇAMENTO!$AF$11)),
         0)</f>
        <v>0</v>
      </c>
      <c r="AK275" s="454">
        <f ca="1">IF(AND($D275="Serviço",AK$12&lt;&gt;0,$H275&gt;0,OR(AUTOEVENTO&lt;&gt;"manual",$M275&lt;&gt;$A$15)),
        IF(Import.TipoArredondamento&lt;&gt;"TransfereGOV",
              ROUND(OFFSET($P275,0,AK$13),15-13*ORÇAMENTO!$AF$7)/$H275*OFFSET(ORÇAMENTO!$X$15,ROW(AK275)-ROW(AK$15),0),
              ROUND(ROUND(OFFSET($P275,0,AK$13),15-13*ORÇAMENTO!$AF$7)*OFFSET(ORÇAMENTO!$W$15,ROW(AK275)-ROW(AK$15),0),15-13*ORÇAMENTO!$AF$11)),
         0)</f>
        <v>0</v>
      </c>
      <c r="AM275" s="172">
        <f ca="1">IF(OR($D275&lt;&gt;"Serviço",AND(AUTOEVENTO="Manual",$M275=$A$15)),0,
         IF(OFFSET(CRONOPLE!$F$15,$M275-$A$15,AM$13)="",10^12,OFFSET(CRONOPLE!$F$15,$M275-$A$15,AM$13)))</f>
        <v>0</v>
      </c>
      <c r="AN275" s="172">
        <f ca="1">IF(OR($D275&lt;&gt;"Serviço",AND(AUTOEVENTO="Manual",$M275=$A$15)),0,
         IF(OFFSET(CRONOPLE!$F$15,$M275-$A$15,AN$13)="",10^12,OFFSET(CRONOPLE!$F$15,$M275-$A$15,AN$13)))</f>
        <v>0</v>
      </c>
      <c r="AO275" s="172">
        <f ca="1">IF(OR($D275&lt;&gt;"Serviço",AND(AUTOEVENTO="Manual",$M275=$A$15)),0,
         IF(OFFSET(CRONOPLE!$F$15,$M275-$A$15,AO$13)="",10^12,OFFSET(CRONOPLE!$F$15,$M275-$A$15,AO$13)))</f>
        <v>0</v>
      </c>
      <c r="AP275" s="172">
        <f ca="1">IF(OR($D275&lt;&gt;"Serviço",AND(AUTOEVENTO="Manual",$M275=$A$15)),0,
         IF(OFFSET(CRONOPLE!$F$15,$M275-$A$15,AP$13)="",10^12,OFFSET(CRONOPLE!$F$15,$M275-$A$15,AP$13)))</f>
        <v>0</v>
      </c>
      <c r="AQ275" s="172">
        <f ca="1">IF(OR($D275&lt;&gt;"Serviço",AND(AUTOEVENTO="Manual",$M275=$A$15)),0,
         IF(OFFSET(CRONOPLE!$F$15,$M275-$A$15,AQ$13)="",10^12,OFFSET(CRONOPLE!$F$15,$M275-$A$15,AQ$13)))</f>
        <v>0</v>
      </c>
      <c r="AR275" s="172">
        <f ca="1">IF(OR($D275&lt;&gt;"Serviço",AND(AUTOEVENTO="Manual",$M275=$A$15)),0,
         IF(OFFSET(CRONOPLE!$F$15,$M275-$A$15,AR$13)="",10^12,OFFSET(CRONOPLE!$F$15,$M275-$A$15,AR$13)))</f>
        <v>0</v>
      </c>
      <c r="AS275" s="172">
        <f ca="1">IF(OR($D275&lt;&gt;"Serviço",AND(AUTOEVENTO="Manual",$M275=$A$15)),0,
         IF(OFFSET(CRONOPLE!$F$15,$M275-$A$15,AS$13)="",10^12,OFFSET(CRONOPLE!$F$15,$M275-$A$15,AS$13)))</f>
        <v>0</v>
      </c>
      <c r="AT275" s="172">
        <f ca="1">IF(OR($D275&lt;&gt;"Serviço",AND(AUTOEVENTO="Manual",$M275=$A$15)),0,
         IF(OFFSET(CRONOPLE!$F$15,$M275-$A$15,AT$13)="",10^12,OFFSET(CRONOPLE!$F$15,$M275-$A$15,AT$13)))</f>
        <v>0</v>
      </c>
      <c r="AU275" s="172">
        <f ca="1">IF(OR($D275&lt;&gt;"Serviço",AND(AUTOEVENTO="Manual",$M275=$A$15)),0,
         IF(OFFSET(CRONOPLE!$F$15,$M275-$A$15,AU$13)="",10^12,OFFSET(CRONOPLE!$F$15,$M275-$A$15,AU$13)))</f>
        <v>0</v>
      </c>
      <c r="AV275" s="172">
        <f ca="1">IF(OR($D275&lt;&gt;"Serviço",AND(AUTOEVENTO="Manual",$M275=$A$15)),0,
         IF(OFFSET(CRONOPLE!$F$15,$M275-$A$15,AV$13)="",10^12,OFFSET(CRONOPLE!$F$15,$M275-$A$15,AV$13)))</f>
        <v>0</v>
      </c>
      <c r="AX275" s="173">
        <f ca="1">IF(OR($D275&lt;&gt;"Serviço",AND(AUTOEVENTO="Manual",$M275=$A$15),$M275&gt;(ROW(PLE.lastrow)-ROW(PLE.firstrow))),0,
           IF(OFFSET(PLE!$G$15,$M275-$A$15,AX$13)="",10^12,OFFSET(PLE!$G$15,$M275-$A$15,AX$13)))</f>
        <v>0</v>
      </c>
      <c r="AY275" s="173">
        <f ca="1">IF(OR($D275&lt;&gt;"Serviço",AND(AUTOEVENTO="Manual",$M275=$A$15),$M275&gt;(ROW(PLE.lastrow)-ROW(PLE.firstrow))),0,
           IF(OFFSET(PLE!$G$15,$M275-$A$15,AY$13)="",10^12,OFFSET(PLE!$G$15,$M275-$A$15,AY$13)))</f>
        <v>0</v>
      </c>
      <c r="AZ275" s="173">
        <f ca="1">IF(OR($D275&lt;&gt;"Serviço",AND(AUTOEVENTO="Manual",$M275=$A$15),$M275&gt;(ROW(PLE.lastrow)-ROW(PLE.firstrow))),0,
           IF(OFFSET(PLE!$G$15,$M275-$A$15,AZ$13)="",10^12,OFFSET(PLE!$G$15,$M275-$A$15,AZ$13)))</f>
        <v>0</v>
      </c>
      <c r="BA275" s="173">
        <f ca="1">IF(OR($D275&lt;&gt;"Serviço",AND(AUTOEVENTO="Manual",$M275=$A$15),$M275&gt;(ROW(PLE.lastrow)-ROW(PLE.firstrow))),0,
           IF(OFFSET(PLE!$G$15,$M275-$A$15,BA$13)="",10^12,OFFSET(PLE!$G$15,$M275-$A$15,BA$13)))</f>
        <v>0</v>
      </c>
      <c r="BB275" s="173">
        <f ca="1">IF(OR($D275&lt;&gt;"Serviço",AND(AUTOEVENTO="Manual",$M275=$A$15),$M275&gt;(ROW(PLE.lastrow)-ROW(PLE.firstrow))),0,
           IF(OFFSET(PLE!$G$15,$M275-$A$15,BB$13)="",10^12,OFFSET(PLE!$G$15,$M275-$A$15,BB$13)))</f>
        <v>0</v>
      </c>
      <c r="BC275" s="173">
        <f ca="1">IF(OR($D275&lt;&gt;"Serviço",AND(AUTOEVENTO="Manual",$M275=$A$15),$M275&gt;(ROW(PLE.lastrow)-ROW(PLE.firstrow))),0,
           IF(OFFSET(PLE!$G$15,$M275-$A$15,BC$13)="",10^12,OFFSET(PLE!$G$15,$M275-$A$15,BC$13)))</f>
        <v>0</v>
      </c>
      <c r="BD275" s="173">
        <f ca="1">IF(OR($D275&lt;&gt;"Serviço",AND(AUTOEVENTO="Manual",$M275=$A$15),$M275&gt;(ROW(PLE.lastrow)-ROW(PLE.firstrow))),0,
           IF(OFFSET(PLE!$G$15,$M275-$A$15,BD$13)="",10^12,OFFSET(PLE!$G$15,$M275-$A$15,BD$13)))</f>
        <v>0</v>
      </c>
      <c r="BE275" s="173">
        <f ca="1">IF(OR($D275&lt;&gt;"Serviço",AND(AUTOEVENTO="Manual",$M275=$A$15),$M275&gt;(ROW(PLE.lastrow)-ROW(PLE.firstrow))),0,
           IF(OFFSET(PLE!$G$15,$M275-$A$15,BE$13)="",10^12,OFFSET(PLE!$G$15,$M275-$A$15,BE$13)))</f>
        <v>0</v>
      </c>
      <c r="BF275" s="173">
        <f ca="1">IF(OR($D275&lt;&gt;"Serviço",AND(AUTOEVENTO="Manual",$M275=$A$15),$M275&gt;(ROW(PLE.lastrow)-ROW(PLE.firstrow))),0,
           IF(OFFSET(PLE!$G$15,$M275-$A$15,BF$13)="",10^12,OFFSET(PLE!$G$15,$M275-$A$15,BF$13)))</f>
        <v>0</v>
      </c>
      <c r="BG275" s="173">
        <f ca="1">IF(OR($D275&lt;&gt;"Serviço",AND(AUTOEVENTO="Manual",$M275=$A$15),$M275&gt;(ROW(PLE.lastrow)-ROW(PLE.firstrow))),0,
           IF(OFFSET(PLE!$G$15,$M275-$A$15,BG$13)="",10^12,OFFSET(PLE!$G$15,$M275-$A$15,BG$13)))</f>
        <v>0</v>
      </c>
    </row>
    <row r="276" spans="1:59" ht="25.5" x14ac:dyDescent="0.2">
      <c r="A276" s="7" t="str">
        <f t="shared" ca="1" si="12"/>
        <v>253</v>
      </c>
      <c r="B276" s="7" t="str">
        <f ca="1">OFFSET(ORÇAMENTO!C$15,ROW(B276)-ROW(B$15),0)</f>
        <v>S</v>
      </c>
      <c r="C276" s="7" t="str">
        <f ca="1">OFFSET(ORÇAMENTO!L$15,ROW(C276)-ROW(C$15),0)</f>
        <v/>
      </c>
      <c r="D276" s="117" t="str">
        <f ca="1">OFFSET(ORÇAMENTO!N$15,ROW(D276)-ROW(D$15),0)</f>
        <v>Serviço</v>
      </c>
      <c r="E276" s="118" t="str">
        <f ca="1">OFFSET(ORÇAMENTO!O$15,ROW(E276)-ROW(E$15),0)</f>
        <v>-</v>
      </c>
      <c r="F276" s="164" t="str">
        <f ca="1">OFFSET(ORÇAMENTO!R$15,ROW(F276)-ROW(F$15),0)</f>
        <v>ALARME SONORO/VISUAL, SIRENE 120 Db</v>
      </c>
      <c r="G276" s="165" t="str">
        <f ca="1">IF($D276&lt;&gt;"Serviço","",OFFSET(ORÇAMENTO!S$15,ROW(G276)-ROW(G$15),0))</f>
        <v>UN</v>
      </c>
      <c r="H276" s="123">
        <f ca="1">IF($D276&lt;&gt;"Serviço",0,IF(ACOMPANHAMENTO="BM",ROUND(OFFSET(ORÇAMENTO!AJ$15,ROW(H276)-ROW(H$15),0),15-13*ORÇAMENTO!$AF$7),SUMPRODUCT(($Q$1:$AA$1=1)*ROUND($Q276:$AA276,15-13*ORÇAMENTO!$AF$7))))</f>
        <v>4</v>
      </c>
      <c r="I276" s="469"/>
      <c r="J276" s="577" t="str" cm="1">
        <f t="array" aca="1" ref="J276" ca="1">IF(B276&lt;&gt;"S","",IF(AND(ACOMPANHAMENTO="PLE",AUTOEVENTO="Manual",OR(H276&gt;0,ORÇAMENTO!AC276="QUANT."),OR(K276="",M276=0,N276="")),"►",IF(AND(ACOMPANHAMENTO="PLE",ORÇAMENTO!AC276="QUANT."),"►►",IF(AND(COUNTIF($P$11:$AA$11,"▼")=0,H276&gt;0,I276=""),"◄",""))))</f>
        <v>◄</v>
      </c>
      <c r="K276" s="626"/>
      <c r="L276" s="166" t="s">
        <v>765</v>
      </c>
      <c r="M276" s="167">
        <f ca="1">IF($D276&lt;&gt;"Serviço","",
          IF(AUTOEVENTO="manual",$A276,
                IF(ISERROR(MATCH($A276,$A$15:OFFSET($A276,-1,0),0)),MAX($M$15:OFFSET(M276,-1,0))+1,
                      INDEX($M$15:OFFSET(M276,-1,0),MATCH($A276,$A$15:OFFSET($A276,-1,0),0)))))</f>
        <v>16</v>
      </c>
      <c r="N276" s="168" t="str">
        <f ca="1">IF($D276&lt;&gt;"Serviço","",
         IF(AUTOEVENTO="Manual",
                IF($A276=0,"&lt;-- defina o número do agrupador",
                       OFFSET(EVENTOS!$D$15,$A276-$A$15,0)),
                OFFSET($F$15,$A276,0)))</f>
        <v>SISTEMAS DE PREVENÇÃO CONTRA INCÊNDIO</v>
      </c>
      <c r="O276" s="169"/>
      <c r="Q276" s="169"/>
      <c r="R276" s="170"/>
      <c r="S276" s="170"/>
      <c r="T276" s="170"/>
      <c r="U276" s="170"/>
      <c r="V276" s="170"/>
      <c r="W276" s="170"/>
      <c r="X276" s="170"/>
      <c r="Y276" s="170"/>
      <c r="Z276" s="171"/>
      <c r="AB276" s="454">
        <f ca="1">IF(AND($D276="Serviço",AB$12&lt;&gt;0,$H276&gt;0,OR(AUTOEVENTO&lt;&gt;"manual",$M276&lt;&gt;$A$15)),
        IF(Import.TipoArredondamento&lt;&gt;"TransfereGOV",
              ROUND(OFFSET($P276,0,AB$13),15-13*ORÇAMENTO!$AF$7)/$H276*OFFSET(ORÇAMENTO!$X$15,ROW(AB276)-ROW(AB$15),0),
              ROUND(ROUND(OFFSET($P276,0,AB$13),15-13*ORÇAMENTO!$AF$7)*OFFSET(ORÇAMENTO!$W$15,ROW(AB276)-ROW(AB$15),0),15-13*ORÇAMENTO!$AF$11)),
         0)</f>
        <v>0</v>
      </c>
      <c r="AC276" s="454">
        <f ca="1">IF(AND($D276="Serviço",AC$12&lt;&gt;0,$H276&gt;0,OR(AUTOEVENTO&lt;&gt;"manual",$M276&lt;&gt;$A$15)),
        IF(Import.TipoArredondamento&lt;&gt;"TransfereGOV",
              ROUND(OFFSET($P276,0,AC$13),15-13*ORÇAMENTO!$AF$7)/$H276*OFFSET(ORÇAMENTO!$X$15,ROW(AC276)-ROW(AC$15),0),
              ROUND(ROUND(OFFSET($P276,0,AC$13),15-13*ORÇAMENTO!$AF$7)*OFFSET(ORÇAMENTO!$W$15,ROW(AC276)-ROW(AC$15),0),15-13*ORÇAMENTO!$AF$11)),
         0)</f>
        <v>0</v>
      </c>
      <c r="AD276" s="454">
        <f ca="1">IF(AND($D276="Serviço",AD$12&lt;&gt;0,$H276&gt;0,OR(AUTOEVENTO&lt;&gt;"manual",$M276&lt;&gt;$A$15)),
        IF(Import.TipoArredondamento&lt;&gt;"TransfereGOV",
              ROUND(OFFSET($P276,0,AD$13),15-13*ORÇAMENTO!$AF$7)/$H276*OFFSET(ORÇAMENTO!$X$15,ROW(AD276)-ROW(AD$15),0),
              ROUND(ROUND(OFFSET($P276,0,AD$13),15-13*ORÇAMENTO!$AF$7)*OFFSET(ORÇAMENTO!$W$15,ROW(AD276)-ROW(AD$15),0),15-13*ORÇAMENTO!$AF$11)),
         0)</f>
        <v>0</v>
      </c>
      <c r="AE276" s="454">
        <f ca="1">IF(AND($D276="Serviço",AE$12&lt;&gt;0,$H276&gt;0,OR(AUTOEVENTO&lt;&gt;"manual",$M276&lt;&gt;$A$15)),
        IF(Import.TipoArredondamento&lt;&gt;"TransfereGOV",
              ROUND(OFFSET($P276,0,AE$13),15-13*ORÇAMENTO!$AF$7)/$H276*OFFSET(ORÇAMENTO!$X$15,ROW(AE276)-ROW(AE$15),0),
              ROUND(ROUND(OFFSET($P276,0,AE$13),15-13*ORÇAMENTO!$AF$7)*OFFSET(ORÇAMENTO!$W$15,ROW(AE276)-ROW(AE$15),0),15-13*ORÇAMENTO!$AF$11)),
         0)</f>
        <v>0</v>
      </c>
      <c r="AF276" s="454">
        <f ca="1">IF(AND($D276="Serviço",AF$12&lt;&gt;0,$H276&gt;0,OR(AUTOEVENTO&lt;&gt;"manual",$M276&lt;&gt;$A$15)),
        IF(Import.TipoArredondamento&lt;&gt;"TransfereGOV",
              ROUND(OFFSET($P276,0,AF$13),15-13*ORÇAMENTO!$AF$7)/$H276*OFFSET(ORÇAMENTO!$X$15,ROW(AF276)-ROW(AF$15),0),
              ROUND(ROUND(OFFSET($P276,0,AF$13),15-13*ORÇAMENTO!$AF$7)*OFFSET(ORÇAMENTO!$W$15,ROW(AF276)-ROW(AF$15),0),15-13*ORÇAMENTO!$AF$11)),
         0)</f>
        <v>0</v>
      </c>
      <c r="AG276" s="454">
        <f ca="1">IF(AND($D276="Serviço",AG$12&lt;&gt;0,$H276&gt;0,OR(AUTOEVENTO&lt;&gt;"manual",$M276&lt;&gt;$A$15)),
        IF(Import.TipoArredondamento&lt;&gt;"TransfereGOV",
              ROUND(OFFSET($P276,0,AG$13),15-13*ORÇAMENTO!$AF$7)/$H276*OFFSET(ORÇAMENTO!$X$15,ROW(AG276)-ROW(AG$15),0),
              ROUND(ROUND(OFFSET($P276,0,AG$13),15-13*ORÇAMENTO!$AF$7)*OFFSET(ORÇAMENTO!$W$15,ROW(AG276)-ROW(AG$15),0),15-13*ORÇAMENTO!$AF$11)),
         0)</f>
        <v>0</v>
      </c>
      <c r="AH276" s="454">
        <f ca="1">IF(AND($D276="Serviço",AH$12&lt;&gt;0,$H276&gt;0,OR(AUTOEVENTO&lt;&gt;"manual",$M276&lt;&gt;$A$15)),
        IF(Import.TipoArredondamento&lt;&gt;"TransfereGOV",
              ROUND(OFFSET($P276,0,AH$13),15-13*ORÇAMENTO!$AF$7)/$H276*OFFSET(ORÇAMENTO!$X$15,ROW(AH276)-ROW(AH$15),0),
              ROUND(ROUND(OFFSET($P276,0,AH$13),15-13*ORÇAMENTO!$AF$7)*OFFSET(ORÇAMENTO!$W$15,ROW(AH276)-ROW(AH$15),0),15-13*ORÇAMENTO!$AF$11)),
         0)</f>
        <v>0</v>
      </c>
      <c r="AI276" s="454">
        <f ca="1">IF(AND($D276="Serviço",AI$12&lt;&gt;0,$H276&gt;0,OR(AUTOEVENTO&lt;&gt;"manual",$M276&lt;&gt;$A$15)),
        IF(Import.TipoArredondamento&lt;&gt;"TransfereGOV",
              ROUND(OFFSET($P276,0,AI$13),15-13*ORÇAMENTO!$AF$7)/$H276*OFFSET(ORÇAMENTO!$X$15,ROW(AI276)-ROW(AI$15),0),
              ROUND(ROUND(OFFSET($P276,0,AI$13),15-13*ORÇAMENTO!$AF$7)*OFFSET(ORÇAMENTO!$W$15,ROW(AI276)-ROW(AI$15),0),15-13*ORÇAMENTO!$AF$11)),
         0)</f>
        <v>0</v>
      </c>
      <c r="AJ276" s="454">
        <f ca="1">IF(AND($D276="Serviço",AJ$12&lt;&gt;0,$H276&gt;0,OR(AUTOEVENTO&lt;&gt;"manual",$M276&lt;&gt;$A$15)),
        IF(Import.TipoArredondamento&lt;&gt;"TransfereGOV",
              ROUND(OFFSET($P276,0,AJ$13),15-13*ORÇAMENTO!$AF$7)/$H276*OFFSET(ORÇAMENTO!$X$15,ROW(AJ276)-ROW(AJ$15),0),
              ROUND(ROUND(OFFSET($P276,0,AJ$13),15-13*ORÇAMENTO!$AF$7)*OFFSET(ORÇAMENTO!$W$15,ROW(AJ276)-ROW(AJ$15),0),15-13*ORÇAMENTO!$AF$11)),
         0)</f>
        <v>0</v>
      </c>
      <c r="AK276" s="454">
        <f ca="1">IF(AND($D276="Serviço",AK$12&lt;&gt;0,$H276&gt;0,OR(AUTOEVENTO&lt;&gt;"manual",$M276&lt;&gt;$A$15)),
        IF(Import.TipoArredondamento&lt;&gt;"TransfereGOV",
              ROUND(OFFSET($P276,0,AK$13),15-13*ORÇAMENTO!$AF$7)/$H276*OFFSET(ORÇAMENTO!$X$15,ROW(AK276)-ROW(AK$15),0),
              ROUND(ROUND(OFFSET($P276,0,AK$13),15-13*ORÇAMENTO!$AF$7)*OFFSET(ORÇAMENTO!$W$15,ROW(AK276)-ROW(AK$15),0),15-13*ORÇAMENTO!$AF$11)),
         0)</f>
        <v>0</v>
      </c>
      <c r="AM276" s="172">
        <f ca="1">IF(OR($D276&lt;&gt;"Serviço",AND(AUTOEVENTO="Manual",$M276=$A$15)),0,
         IF(OFFSET(CRONOPLE!$F$15,$M276-$A$15,AM$13)="",10^12,OFFSET(CRONOPLE!$F$15,$M276-$A$15,AM$13)))</f>
        <v>1000000000000</v>
      </c>
      <c r="AN276" s="172">
        <f ca="1">IF(OR($D276&lt;&gt;"Serviço",AND(AUTOEVENTO="Manual",$M276=$A$15)),0,
         IF(OFFSET(CRONOPLE!$F$15,$M276-$A$15,AN$13)="",10^12,OFFSET(CRONOPLE!$F$15,$M276-$A$15,AN$13)))</f>
        <v>1000000000000</v>
      </c>
      <c r="AO276" s="172">
        <f ca="1">IF(OR($D276&lt;&gt;"Serviço",AND(AUTOEVENTO="Manual",$M276=$A$15)),0,
         IF(OFFSET(CRONOPLE!$F$15,$M276-$A$15,AO$13)="",10^12,OFFSET(CRONOPLE!$F$15,$M276-$A$15,AO$13)))</f>
        <v>1000000000000</v>
      </c>
      <c r="AP276" s="172">
        <f ca="1">IF(OR($D276&lt;&gt;"Serviço",AND(AUTOEVENTO="Manual",$M276=$A$15)),0,
         IF(OFFSET(CRONOPLE!$F$15,$M276-$A$15,AP$13)="",10^12,OFFSET(CRONOPLE!$F$15,$M276-$A$15,AP$13)))</f>
        <v>1000000000000</v>
      </c>
      <c r="AQ276" s="172">
        <f ca="1">IF(OR($D276&lt;&gt;"Serviço",AND(AUTOEVENTO="Manual",$M276=$A$15)),0,
         IF(OFFSET(CRONOPLE!$F$15,$M276-$A$15,AQ$13)="",10^12,OFFSET(CRONOPLE!$F$15,$M276-$A$15,AQ$13)))</f>
        <v>1000000000000</v>
      </c>
      <c r="AR276" s="172">
        <f ca="1">IF(OR($D276&lt;&gt;"Serviço",AND(AUTOEVENTO="Manual",$M276=$A$15)),0,
         IF(OFFSET(CRONOPLE!$F$15,$M276-$A$15,AR$13)="",10^12,OFFSET(CRONOPLE!$F$15,$M276-$A$15,AR$13)))</f>
        <v>1000000000000</v>
      </c>
      <c r="AS276" s="172">
        <f ca="1">IF(OR($D276&lt;&gt;"Serviço",AND(AUTOEVENTO="Manual",$M276=$A$15)),0,
         IF(OFFSET(CRONOPLE!$F$15,$M276-$A$15,AS$13)="",10^12,OFFSET(CRONOPLE!$F$15,$M276-$A$15,AS$13)))</f>
        <v>1000000000000</v>
      </c>
      <c r="AT276" s="172">
        <f ca="1">IF(OR($D276&lt;&gt;"Serviço",AND(AUTOEVENTO="Manual",$M276=$A$15)),0,
         IF(OFFSET(CRONOPLE!$F$15,$M276-$A$15,AT$13)="",10^12,OFFSET(CRONOPLE!$F$15,$M276-$A$15,AT$13)))</f>
        <v>1000000000000</v>
      </c>
      <c r="AU276" s="172">
        <f ca="1">IF(OR($D276&lt;&gt;"Serviço",AND(AUTOEVENTO="Manual",$M276=$A$15)),0,
         IF(OFFSET(CRONOPLE!$F$15,$M276-$A$15,AU$13)="",10^12,OFFSET(CRONOPLE!$F$15,$M276-$A$15,AU$13)))</f>
        <v>1000000000000</v>
      </c>
      <c r="AV276" s="172">
        <f ca="1">IF(OR($D276&lt;&gt;"Serviço",AND(AUTOEVENTO="Manual",$M276=$A$15)),0,
         IF(OFFSET(CRONOPLE!$F$15,$M276-$A$15,AV$13)="",10^12,OFFSET(CRONOPLE!$F$15,$M276-$A$15,AV$13)))</f>
        <v>1000000000000</v>
      </c>
      <c r="AX276" s="173">
        <f ca="1">IF(OR($D276&lt;&gt;"Serviço",AND(AUTOEVENTO="Manual",$M276=$A$15),$M276&gt;(ROW(PLE.lastrow)-ROW(PLE.firstrow))),0,
           IF(OFFSET(PLE!$G$15,$M276-$A$15,AX$13)="",10^12,OFFSET(PLE!$G$15,$M276-$A$15,AX$13)))</f>
        <v>1000000000000</v>
      </c>
      <c r="AY276" s="173">
        <f ca="1">IF(OR($D276&lt;&gt;"Serviço",AND(AUTOEVENTO="Manual",$M276=$A$15),$M276&gt;(ROW(PLE.lastrow)-ROW(PLE.firstrow))),0,
           IF(OFFSET(PLE!$G$15,$M276-$A$15,AY$13)="",10^12,OFFSET(PLE!$G$15,$M276-$A$15,AY$13)))</f>
        <v>1000000000000</v>
      </c>
      <c r="AZ276" s="173">
        <f ca="1">IF(OR($D276&lt;&gt;"Serviço",AND(AUTOEVENTO="Manual",$M276=$A$15),$M276&gt;(ROW(PLE.lastrow)-ROW(PLE.firstrow))),0,
           IF(OFFSET(PLE!$G$15,$M276-$A$15,AZ$13)="",10^12,OFFSET(PLE!$G$15,$M276-$A$15,AZ$13)))</f>
        <v>1000000000000</v>
      </c>
      <c r="BA276" s="173">
        <f ca="1">IF(OR($D276&lt;&gt;"Serviço",AND(AUTOEVENTO="Manual",$M276=$A$15),$M276&gt;(ROW(PLE.lastrow)-ROW(PLE.firstrow))),0,
           IF(OFFSET(PLE!$G$15,$M276-$A$15,BA$13)="",10^12,OFFSET(PLE!$G$15,$M276-$A$15,BA$13)))</f>
        <v>1000000000000</v>
      </c>
      <c r="BB276" s="173">
        <f ca="1">IF(OR($D276&lt;&gt;"Serviço",AND(AUTOEVENTO="Manual",$M276=$A$15),$M276&gt;(ROW(PLE.lastrow)-ROW(PLE.firstrow))),0,
           IF(OFFSET(PLE!$G$15,$M276-$A$15,BB$13)="",10^12,OFFSET(PLE!$G$15,$M276-$A$15,BB$13)))</f>
        <v>1000000000000</v>
      </c>
      <c r="BC276" s="173">
        <f ca="1">IF(OR($D276&lt;&gt;"Serviço",AND(AUTOEVENTO="Manual",$M276=$A$15),$M276&gt;(ROW(PLE.lastrow)-ROW(PLE.firstrow))),0,
           IF(OFFSET(PLE!$G$15,$M276-$A$15,BC$13)="",10^12,OFFSET(PLE!$G$15,$M276-$A$15,BC$13)))</f>
        <v>1000000000000</v>
      </c>
      <c r="BD276" s="173">
        <f ca="1">IF(OR($D276&lt;&gt;"Serviço",AND(AUTOEVENTO="Manual",$M276=$A$15),$M276&gt;(ROW(PLE.lastrow)-ROW(PLE.firstrow))),0,
           IF(OFFSET(PLE!$G$15,$M276-$A$15,BD$13)="",10^12,OFFSET(PLE!$G$15,$M276-$A$15,BD$13)))</f>
        <v>1000000000000</v>
      </c>
      <c r="BE276" s="173">
        <f ca="1">IF(OR($D276&lt;&gt;"Serviço",AND(AUTOEVENTO="Manual",$M276=$A$15),$M276&gt;(ROW(PLE.lastrow)-ROW(PLE.firstrow))),0,
           IF(OFFSET(PLE!$G$15,$M276-$A$15,BE$13)="",10^12,OFFSET(PLE!$G$15,$M276-$A$15,BE$13)))</f>
        <v>1000000000000</v>
      </c>
      <c r="BF276" s="173">
        <f ca="1">IF(OR($D276&lt;&gt;"Serviço",AND(AUTOEVENTO="Manual",$M276=$A$15),$M276&gt;(ROW(PLE.lastrow)-ROW(PLE.firstrow))),0,
           IF(OFFSET(PLE!$G$15,$M276-$A$15,BF$13)="",10^12,OFFSET(PLE!$G$15,$M276-$A$15,BF$13)))</f>
        <v>1000000000000</v>
      </c>
      <c r="BG276" s="173">
        <f ca="1">IF(OR($D276&lt;&gt;"Serviço",AND(AUTOEVENTO="Manual",$M276=$A$15),$M276&gt;(ROW(PLE.lastrow)-ROW(PLE.firstrow))),0,
           IF(OFFSET(PLE!$G$15,$M276-$A$15,BG$13)="",10^12,OFFSET(PLE!$G$15,$M276-$A$15,BG$13)))</f>
        <v>1000000000000</v>
      </c>
    </row>
    <row r="277" spans="1:59" ht="25.5" x14ac:dyDescent="0.2">
      <c r="A277" s="7" t="str">
        <f t="shared" ca="1" si="12"/>
        <v>253</v>
      </c>
      <c r="B277" s="7" t="str">
        <f ca="1">OFFSET(ORÇAMENTO!C$15,ROW(B277)-ROW(B$15),0)</f>
        <v>S</v>
      </c>
      <c r="C277" s="7" t="str">
        <f ca="1">OFFSET(ORÇAMENTO!L$15,ROW(C277)-ROW(C$15),0)</f>
        <v/>
      </c>
      <c r="D277" s="117" t="str">
        <f ca="1">OFFSET(ORÇAMENTO!N$15,ROW(D277)-ROW(D$15),0)</f>
        <v>Serviço</v>
      </c>
      <c r="E277" s="118" t="str">
        <f ca="1">OFFSET(ORÇAMENTO!O$15,ROW(E277)-ROW(E$15),0)</f>
        <v>-</v>
      </c>
      <c r="F277" s="164" t="str">
        <f ca="1">OFFSET(ORÇAMENTO!R$15,ROW(F277)-ROW(F$15),0)</f>
        <v>CENTRAL DE ALARME DE INCÊNDIO CONVENCIONAL - 24 SETORES</v>
      </c>
      <c r="G277" s="165" t="str">
        <f ca="1">IF($D277&lt;&gt;"Serviço","",OFFSET(ORÇAMENTO!S$15,ROW(G277)-ROW(G$15),0))</f>
        <v>UN</v>
      </c>
      <c r="H277" s="123">
        <f ca="1">IF($D277&lt;&gt;"Serviço",0,IF(ACOMPANHAMENTO="BM",ROUND(OFFSET(ORÇAMENTO!AJ$15,ROW(H277)-ROW(H$15),0),15-13*ORÇAMENTO!$AF$7),SUMPRODUCT(($Q$1:$AA$1=1)*ROUND($Q277:$AA277,15-13*ORÇAMENTO!$AF$7))))</f>
        <v>1</v>
      </c>
      <c r="I277" s="469"/>
      <c r="J277" s="577" t="str" cm="1">
        <f t="array" aca="1" ref="J277" ca="1">IF(B277&lt;&gt;"S","",IF(AND(ACOMPANHAMENTO="PLE",AUTOEVENTO="Manual",OR(H277&gt;0,ORÇAMENTO!AC277="QUANT."),OR(K277="",M277=0,N277="")),"►",IF(AND(ACOMPANHAMENTO="PLE",ORÇAMENTO!AC277="QUANT."),"►►",IF(AND(COUNTIF($P$11:$AA$11,"▼")=0,H277&gt;0,I277=""),"◄",""))))</f>
        <v>◄</v>
      </c>
      <c r="K277" s="626"/>
      <c r="L277" s="166" t="s">
        <v>765</v>
      </c>
      <c r="M277" s="167">
        <f ca="1">IF($D277&lt;&gt;"Serviço","",
          IF(AUTOEVENTO="manual",$A277,
                IF(ISERROR(MATCH($A277,$A$15:OFFSET($A277,-1,0),0)),MAX($M$15:OFFSET(M277,-1,0))+1,
                      INDEX($M$15:OFFSET(M277,-1,0),MATCH($A277,$A$15:OFFSET($A277,-1,0),0)))))</f>
        <v>16</v>
      </c>
      <c r="N277" s="168" t="str">
        <f ca="1">IF($D277&lt;&gt;"Serviço","",
         IF(AUTOEVENTO="Manual",
                IF($A277=0,"&lt;-- defina o número do agrupador",
                       OFFSET(EVENTOS!$D$15,$A277-$A$15,0)),
                OFFSET($F$15,$A277,0)))</f>
        <v>SISTEMAS DE PREVENÇÃO CONTRA INCÊNDIO</v>
      </c>
      <c r="O277" s="169"/>
      <c r="Q277" s="169"/>
      <c r="R277" s="170"/>
      <c r="S277" s="170"/>
      <c r="T277" s="170"/>
      <c r="U277" s="170"/>
      <c r="V277" s="170"/>
      <c r="W277" s="170"/>
      <c r="X277" s="170"/>
      <c r="Y277" s="170"/>
      <c r="Z277" s="171"/>
      <c r="AB277" s="454">
        <f ca="1">IF(AND($D277="Serviço",AB$12&lt;&gt;0,$H277&gt;0,OR(AUTOEVENTO&lt;&gt;"manual",$M277&lt;&gt;$A$15)),
        IF(Import.TipoArredondamento&lt;&gt;"TransfereGOV",
              ROUND(OFFSET($P277,0,AB$13),15-13*ORÇAMENTO!$AF$7)/$H277*OFFSET(ORÇAMENTO!$X$15,ROW(AB277)-ROW(AB$15),0),
              ROUND(ROUND(OFFSET($P277,0,AB$13),15-13*ORÇAMENTO!$AF$7)*OFFSET(ORÇAMENTO!$W$15,ROW(AB277)-ROW(AB$15),0),15-13*ORÇAMENTO!$AF$11)),
         0)</f>
        <v>0</v>
      </c>
      <c r="AC277" s="454">
        <f ca="1">IF(AND($D277="Serviço",AC$12&lt;&gt;0,$H277&gt;0,OR(AUTOEVENTO&lt;&gt;"manual",$M277&lt;&gt;$A$15)),
        IF(Import.TipoArredondamento&lt;&gt;"TransfereGOV",
              ROUND(OFFSET($P277,0,AC$13),15-13*ORÇAMENTO!$AF$7)/$H277*OFFSET(ORÇAMENTO!$X$15,ROW(AC277)-ROW(AC$15),0),
              ROUND(ROUND(OFFSET($P277,0,AC$13),15-13*ORÇAMENTO!$AF$7)*OFFSET(ORÇAMENTO!$W$15,ROW(AC277)-ROW(AC$15),0),15-13*ORÇAMENTO!$AF$11)),
         0)</f>
        <v>0</v>
      </c>
      <c r="AD277" s="454">
        <f ca="1">IF(AND($D277="Serviço",AD$12&lt;&gt;0,$H277&gt;0,OR(AUTOEVENTO&lt;&gt;"manual",$M277&lt;&gt;$A$15)),
        IF(Import.TipoArredondamento&lt;&gt;"TransfereGOV",
              ROUND(OFFSET($P277,0,AD$13),15-13*ORÇAMENTO!$AF$7)/$H277*OFFSET(ORÇAMENTO!$X$15,ROW(AD277)-ROW(AD$15),0),
              ROUND(ROUND(OFFSET($P277,0,AD$13),15-13*ORÇAMENTO!$AF$7)*OFFSET(ORÇAMENTO!$W$15,ROW(AD277)-ROW(AD$15),0),15-13*ORÇAMENTO!$AF$11)),
         0)</f>
        <v>0</v>
      </c>
      <c r="AE277" s="454">
        <f ca="1">IF(AND($D277="Serviço",AE$12&lt;&gt;0,$H277&gt;0,OR(AUTOEVENTO&lt;&gt;"manual",$M277&lt;&gt;$A$15)),
        IF(Import.TipoArredondamento&lt;&gt;"TransfereGOV",
              ROUND(OFFSET($P277,0,AE$13),15-13*ORÇAMENTO!$AF$7)/$H277*OFFSET(ORÇAMENTO!$X$15,ROW(AE277)-ROW(AE$15),0),
              ROUND(ROUND(OFFSET($P277,0,AE$13),15-13*ORÇAMENTO!$AF$7)*OFFSET(ORÇAMENTO!$W$15,ROW(AE277)-ROW(AE$15),0),15-13*ORÇAMENTO!$AF$11)),
         0)</f>
        <v>0</v>
      </c>
      <c r="AF277" s="454">
        <f ca="1">IF(AND($D277="Serviço",AF$12&lt;&gt;0,$H277&gt;0,OR(AUTOEVENTO&lt;&gt;"manual",$M277&lt;&gt;$A$15)),
        IF(Import.TipoArredondamento&lt;&gt;"TransfereGOV",
              ROUND(OFFSET($P277,0,AF$13),15-13*ORÇAMENTO!$AF$7)/$H277*OFFSET(ORÇAMENTO!$X$15,ROW(AF277)-ROW(AF$15),0),
              ROUND(ROUND(OFFSET($P277,0,AF$13),15-13*ORÇAMENTO!$AF$7)*OFFSET(ORÇAMENTO!$W$15,ROW(AF277)-ROW(AF$15),0),15-13*ORÇAMENTO!$AF$11)),
         0)</f>
        <v>0</v>
      </c>
      <c r="AG277" s="454">
        <f ca="1">IF(AND($D277="Serviço",AG$12&lt;&gt;0,$H277&gt;0,OR(AUTOEVENTO&lt;&gt;"manual",$M277&lt;&gt;$A$15)),
        IF(Import.TipoArredondamento&lt;&gt;"TransfereGOV",
              ROUND(OFFSET($P277,0,AG$13),15-13*ORÇAMENTO!$AF$7)/$H277*OFFSET(ORÇAMENTO!$X$15,ROW(AG277)-ROW(AG$15),0),
              ROUND(ROUND(OFFSET($P277,0,AG$13),15-13*ORÇAMENTO!$AF$7)*OFFSET(ORÇAMENTO!$W$15,ROW(AG277)-ROW(AG$15),0),15-13*ORÇAMENTO!$AF$11)),
         0)</f>
        <v>0</v>
      </c>
      <c r="AH277" s="454">
        <f ca="1">IF(AND($D277="Serviço",AH$12&lt;&gt;0,$H277&gt;0,OR(AUTOEVENTO&lt;&gt;"manual",$M277&lt;&gt;$A$15)),
        IF(Import.TipoArredondamento&lt;&gt;"TransfereGOV",
              ROUND(OFFSET($P277,0,AH$13),15-13*ORÇAMENTO!$AF$7)/$H277*OFFSET(ORÇAMENTO!$X$15,ROW(AH277)-ROW(AH$15),0),
              ROUND(ROUND(OFFSET($P277,0,AH$13),15-13*ORÇAMENTO!$AF$7)*OFFSET(ORÇAMENTO!$W$15,ROW(AH277)-ROW(AH$15),0),15-13*ORÇAMENTO!$AF$11)),
         0)</f>
        <v>0</v>
      </c>
      <c r="AI277" s="454">
        <f ca="1">IF(AND($D277="Serviço",AI$12&lt;&gt;0,$H277&gt;0,OR(AUTOEVENTO&lt;&gt;"manual",$M277&lt;&gt;$A$15)),
        IF(Import.TipoArredondamento&lt;&gt;"TransfereGOV",
              ROUND(OFFSET($P277,0,AI$13),15-13*ORÇAMENTO!$AF$7)/$H277*OFFSET(ORÇAMENTO!$X$15,ROW(AI277)-ROW(AI$15),0),
              ROUND(ROUND(OFFSET($P277,0,AI$13),15-13*ORÇAMENTO!$AF$7)*OFFSET(ORÇAMENTO!$W$15,ROW(AI277)-ROW(AI$15),0),15-13*ORÇAMENTO!$AF$11)),
         0)</f>
        <v>0</v>
      </c>
      <c r="AJ277" s="454">
        <f ca="1">IF(AND($D277="Serviço",AJ$12&lt;&gt;0,$H277&gt;0,OR(AUTOEVENTO&lt;&gt;"manual",$M277&lt;&gt;$A$15)),
        IF(Import.TipoArredondamento&lt;&gt;"TransfereGOV",
              ROUND(OFFSET($P277,0,AJ$13),15-13*ORÇAMENTO!$AF$7)/$H277*OFFSET(ORÇAMENTO!$X$15,ROW(AJ277)-ROW(AJ$15),0),
              ROUND(ROUND(OFFSET($P277,0,AJ$13),15-13*ORÇAMENTO!$AF$7)*OFFSET(ORÇAMENTO!$W$15,ROW(AJ277)-ROW(AJ$15),0),15-13*ORÇAMENTO!$AF$11)),
         0)</f>
        <v>0</v>
      </c>
      <c r="AK277" s="454">
        <f ca="1">IF(AND($D277="Serviço",AK$12&lt;&gt;0,$H277&gt;0,OR(AUTOEVENTO&lt;&gt;"manual",$M277&lt;&gt;$A$15)),
        IF(Import.TipoArredondamento&lt;&gt;"TransfereGOV",
              ROUND(OFFSET($P277,0,AK$13),15-13*ORÇAMENTO!$AF$7)/$H277*OFFSET(ORÇAMENTO!$X$15,ROW(AK277)-ROW(AK$15),0),
              ROUND(ROUND(OFFSET($P277,0,AK$13),15-13*ORÇAMENTO!$AF$7)*OFFSET(ORÇAMENTO!$W$15,ROW(AK277)-ROW(AK$15),0),15-13*ORÇAMENTO!$AF$11)),
         0)</f>
        <v>0</v>
      </c>
      <c r="AM277" s="172">
        <f ca="1">IF(OR($D277&lt;&gt;"Serviço",AND(AUTOEVENTO="Manual",$M277=$A$15)),0,
         IF(OFFSET(CRONOPLE!$F$15,$M277-$A$15,AM$13)="",10^12,OFFSET(CRONOPLE!$F$15,$M277-$A$15,AM$13)))</f>
        <v>1000000000000</v>
      </c>
      <c r="AN277" s="172">
        <f ca="1">IF(OR($D277&lt;&gt;"Serviço",AND(AUTOEVENTO="Manual",$M277=$A$15)),0,
         IF(OFFSET(CRONOPLE!$F$15,$M277-$A$15,AN$13)="",10^12,OFFSET(CRONOPLE!$F$15,$M277-$A$15,AN$13)))</f>
        <v>1000000000000</v>
      </c>
      <c r="AO277" s="172">
        <f ca="1">IF(OR($D277&lt;&gt;"Serviço",AND(AUTOEVENTO="Manual",$M277=$A$15)),0,
         IF(OFFSET(CRONOPLE!$F$15,$M277-$A$15,AO$13)="",10^12,OFFSET(CRONOPLE!$F$15,$M277-$A$15,AO$13)))</f>
        <v>1000000000000</v>
      </c>
      <c r="AP277" s="172">
        <f ca="1">IF(OR($D277&lt;&gt;"Serviço",AND(AUTOEVENTO="Manual",$M277=$A$15)),0,
         IF(OFFSET(CRONOPLE!$F$15,$M277-$A$15,AP$13)="",10^12,OFFSET(CRONOPLE!$F$15,$M277-$A$15,AP$13)))</f>
        <v>1000000000000</v>
      </c>
      <c r="AQ277" s="172">
        <f ca="1">IF(OR($D277&lt;&gt;"Serviço",AND(AUTOEVENTO="Manual",$M277=$A$15)),0,
         IF(OFFSET(CRONOPLE!$F$15,$M277-$A$15,AQ$13)="",10^12,OFFSET(CRONOPLE!$F$15,$M277-$A$15,AQ$13)))</f>
        <v>1000000000000</v>
      </c>
      <c r="AR277" s="172">
        <f ca="1">IF(OR($D277&lt;&gt;"Serviço",AND(AUTOEVENTO="Manual",$M277=$A$15)),0,
         IF(OFFSET(CRONOPLE!$F$15,$M277-$A$15,AR$13)="",10^12,OFFSET(CRONOPLE!$F$15,$M277-$A$15,AR$13)))</f>
        <v>1000000000000</v>
      </c>
      <c r="AS277" s="172">
        <f ca="1">IF(OR($D277&lt;&gt;"Serviço",AND(AUTOEVENTO="Manual",$M277=$A$15)),0,
         IF(OFFSET(CRONOPLE!$F$15,$M277-$A$15,AS$13)="",10^12,OFFSET(CRONOPLE!$F$15,$M277-$A$15,AS$13)))</f>
        <v>1000000000000</v>
      </c>
      <c r="AT277" s="172">
        <f ca="1">IF(OR($D277&lt;&gt;"Serviço",AND(AUTOEVENTO="Manual",$M277=$A$15)),0,
         IF(OFFSET(CRONOPLE!$F$15,$M277-$A$15,AT$13)="",10^12,OFFSET(CRONOPLE!$F$15,$M277-$A$15,AT$13)))</f>
        <v>1000000000000</v>
      </c>
      <c r="AU277" s="172">
        <f ca="1">IF(OR($D277&lt;&gt;"Serviço",AND(AUTOEVENTO="Manual",$M277=$A$15)),0,
         IF(OFFSET(CRONOPLE!$F$15,$M277-$A$15,AU$13)="",10^12,OFFSET(CRONOPLE!$F$15,$M277-$A$15,AU$13)))</f>
        <v>1000000000000</v>
      </c>
      <c r="AV277" s="172">
        <f ca="1">IF(OR($D277&lt;&gt;"Serviço",AND(AUTOEVENTO="Manual",$M277=$A$15)),0,
         IF(OFFSET(CRONOPLE!$F$15,$M277-$A$15,AV$13)="",10^12,OFFSET(CRONOPLE!$F$15,$M277-$A$15,AV$13)))</f>
        <v>1000000000000</v>
      </c>
      <c r="AX277" s="173">
        <f ca="1">IF(OR($D277&lt;&gt;"Serviço",AND(AUTOEVENTO="Manual",$M277=$A$15),$M277&gt;(ROW(PLE.lastrow)-ROW(PLE.firstrow))),0,
           IF(OFFSET(PLE!$G$15,$M277-$A$15,AX$13)="",10^12,OFFSET(PLE!$G$15,$M277-$A$15,AX$13)))</f>
        <v>1000000000000</v>
      </c>
      <c r="AY277" s="173">
        <f ca="1">IF(OR($D277&lt;&gt;"Serviço",AND(AUTOEVENTO="Manual",$M277=$A$15),$M277&gt;(ROW(PLE.lastrow)-ROW(PLE.firstrow))),0,
           IF(OFFSET(PLE!$G$15,$M277-$A$15,AY$13)="",10^12,OFFSET(PLE!$G$15,$M277-$A$15,AY$13)))</f>
        <v>1000000000000</v>
      </c>
      <c r="AZ277" s="173">
        <f ca="1">IF(OR($D277&lt;&gt;"Serviço",AND(AUTOEVENTO="Manual",$M277=$A$15),$M277&gt;(ROW(PLE.lastrow)-ROW(PLE.firstrow))),0,
           IF(OFFSET(PLE!$G$15,$M277-$A$15,AZ$13)="",10^12,OFFSET(PLE!$G$15,$M277-$A$15,AZ$13)))</f>
        <v>1000000000000</v>
      </c>
      <c r="BA277" s="173">
        <f ca="1">IF(OR($D277&lt;&gt;"Serviço",AND(AUTOEVENTO="Manual",$M277=$A$15),$M277&gt;(ROW(PLE.lastrow)-ROW(PLE.firstrow))),0,
           IF(OFFSET(PLE!$G$15,$M277-$A$15,BA$13)="",10^12,OFFSET(PLE!$G$15,$M277-$A$15,BA$13)))</f>
        <v>1000000000000</v>
      </c>
      <c r="BB277" s="173">
        <f ca="1">IF(OR($D277&lt;&gt;"Serviço",AND(AUTOEVENTO="Manual",$M277=$A$15),$M277&gt;(ROW(PLE.lastrow)-ROW(PLE.firstrow))),0,
           IF(OFFSET(PLE!$G$15,$M277-$A$15,BB$13)="",10^12,OFFSET(PLE!$G$15,$M277-$A$15,BB$13)))</f>
        <v>1000000000000</v>
      </c>
      <c r="BC277" s="173">
        <f ca="1">IF(OR($D277&lt;&gt;"Serviço",AND(AUTOEVENTO="Manual",$M277=$A$15),$M277&gt;(ROW(PLE.lastrow)-ROW(PLE.firstrow))),0,
           IF(OFFSET(PLE!$G$15,$M277-$A$15,BC$13)="",10^12,OFFSET(PLE!$G$15,$M277-$A$15,BC$13)))</f>
        <v>1000000000000</v>
      </c>
      <c r="BD277" s="173">
        <f ca="1">IF(OR($D277&lt;&gt;"Serviço",AND(AUTOEVENTO="Manual",$M277=$A$15),$M277&gt;(ROW(PLE.lastrow)-ROW(PLE.firstrow))),0,
           IF(OFFSET(PLE!$G$15,$M277-$A$15,BD$13)="",10^12,OFFSET(PLE!$G$15,$M277-$A$15,BD$13)))</f>
        <v>1000000000000</v>
      </c>
      <c r="BE277" s="173">
        <f ca="1">IF(OR($D277&lt;&gt;"Serviço",AND(AUTOEVENTO="Manual",$M277=$A$15),$M277&gt;(ROW(PLE.lastrow)-ROW(PLE.firstrow))),0,
           IF(OFFSET(PLE!$G$15,$M277-$A$15,BE$13)="",10^12,OFFSET(PLE!$G$15,$M277-$A$15,BE$13)))</f>
        <v>1000000000000</v>
      </c>
      <c r="BF277" s="173">
        <f ca="1">IF(OR($D277&lt;&gt;"Serviço",AND(AUTOEVENTO="Manual",$M277=$A$15),$M277&gt;(ROW(PLE.lastrow)-ROW(PLE.firstrow))),0,
           IF(OFFSET(PLE!$G$15,$M277-$A$15,BF$13)="",10^12,OFFSET(PLE!$G$15,$M277-$A$15,BF$13)))</f>
        <v>1000000000000</v>
      </c>
      <c r="BG277" s="173">
        <f ca="1">IF(OR($D277&lt;&gt;"Serviço",AND(AUTOEVENTO="Manual",$M277=$A$15),$M277&gt;(ROW(PLE.lastrow)-ROW(PLE.firstrow))),0,
           IF(OFFSET(PLE!$G$15,$M277-$A$15,BG$13)="",10^12,OFFSET(PLE!$G$15,$M277-$A$15,BG$13)))</f>
        <v>1000000000000</v>
      </c>
    </row>
    <row r="278" spans="1:59" ht="25.5" x14ac:dyDescent="0.2">
      <c r="A278" s="7" t="str">
        <f t="shared" ca="1" si="12"/>
        <v>253</v>
      </c>
      <c r="B278" s="7" t="str">
        <f ca="1">OFFSET(ORÇAMENTO!C$15,ROW(B278)-ROW(B$15),0)</f>
        <v>S</v>
      </c>
      <c r="C278" s="7" t="str">
        <f ca="1">OFFSET(ORÇAMENTO!L$15,ROW(C278)-ROW(C$15),0)</f>
        <v/>
      </c>
      <c r="D278" s="117" t="str">
        <f ca="1">OFFSET(ORÇAMENTO!N$15,ROW(D278)-ROW(D$15),0)</f>
        <v>Serviço</v>
      </c>
      <c r="E278" s="118" t="str">
        <f ca="1">OFFSET(ORÇAMENTO!O$15,ROW(E278)-ROW(E$15),0)</f>
        <v>-</v>
      </c>
      <c r="F278" s="164" t="str">
        <f ca="1">OFFSET(ORÇAMENTO!R$15,ROW(F278)-ROW(F$15),0)</f>
        <v>ACIONADOR MANUAL QUEBRA-VIDRO</v>
      </c>
      <c r="G278" s="165" t="str">
        <f ca="1">IF($D278&lt;&gt;"Serviço","",OFFSET(ORÇAMENTO!S$15,ROW(G278)-ROW(G$15),0))</f>
        <v>UN</v>
      </c>
      <c r="H278" s="123">
        <f ca="1">IF($D278&lt;&gt;"Serviço",0,IF(ACOMPANHAMENTO="BM",ROUND(OFFSET(ORÇAMENTO!AJ$15,ROW(H278)-ROW(H$15),0),15-13*ORÇAMENTO!$AF$7),SUMPRODUCT(($Q$1:$AA$1=1)*ROUND($Q278:$AA278,15-13*ORÇAMENTO!$AF$7))))</f>
        <v>2</v>
      </c>
      <c r="I278" s="469"/>
      <c r="J278" s="577" t="str" cm="1">
        <f t="array" aca="1" ref="J278" ca="1">IF(B278&lt;&gt;"S","",IF(AND(ACOMPANHAMENTO="PLE",AUTOEVENTO="Manual",OR(H278&gt;0,ORÇAMENTO!AC278="QUANT."),OR(K278="",M278=0,N278="")),"►",IF(AND(ACOMPANHAMENTO="PLE",ORÇAMENTO!AC278="QUANT."),"►►",IF(AND(COUNTIF($P$11:$AA$11,"▼")=0,H278&gt;0,I278=""),"◄",""))))</f>
        <v>◄</v>
      </c>
      <c r="K278" s="626"/>
      <c r="L278" s="166" t="s">
        <v>765</v>
      </c>
      <c r="M278" s="167">
        <f ca="1">IF($D278&lt;&gt;"Serviço","",
          IF(AUTOEVENTO="manual",$A278,
                IF(ISERROR(MATCH($A278,$A$15:OFFSET($A278,-1,0),0)),MAX($M$15:OFFSET(M278,-1,0))+1,
                      INDEX($M$15:OFFSET(M278,-1,0),MATCH($A278,$A$15:OFFSET($A278,-1,0),0)))))</f>
        <v>16</v>
      </c>
      <c r="N278" s="168" t="str">
        <f ca="1">IF($D278&lt;&gt;"Serviço","",
         IF(AUTOEVENTO="Manual",
                IF($A278=0,"&lt;-- defina o número do agrupador",
                       OFFSET(EVENTOS!$D$15,$A278-$A$15,0)),
                OFFSET($F$15,$A278,0)))</f>
        <v>SISTEMAS DE PREVENÇÃO CONTRA INCÊNDIO</v>
      </c>
      <c r="O278" s="169"/>
      <c r="Q278" s="169"/>
      <c r="R278" s="170"/>
      <c r="S278" s="170"/>
      <c r="T278" s="170"/>
      <c r="U278" s="170"/>
      <c r="V278" s="170"/>
      <c r="W278" s="170"/>
      <c r="X278" s="170"/>
      <c r="Y278" s="170"/>
      <c r="Z278" s="171"/>
      <c r="AB278" s="454">
        <f ca="1">IF(AND($D278="Serviço",AB$12&lt;&gt;0,$H278&gt;0,OR(AUTOEVENTO&lt;&gt;"manual",$M278&lt;&gt;$A$15)),
        IF(Import.TipoArredondamento&lt;&gt;"TransfereGOV",
              ROUND(OFFSET($P278,0,AB$13),15-13*ORÇAMENTO!$AF$7)/$H278*OFFSET(ORÇAMENTO!$X$15,ROW(AB278)-ROW(AB$15),0),
              ROUND(ROUND(OFFSET($P278,0,AB$13),15-13*ORÇAMENTO!$AF$7)*OFFSET(ORÇAMENTO!$W$15,ROW(AB278)-ROW(AB$15),0),15-13*ORÇAMENTO!$AF$11)),
         0)</f>
        <v>0</v>
      </c>
      <c r="AC278" s="454">
        <f ca="1">IF(AND($D278="Serviço",AC$12&lt;&gt;0,$H278&gt;0,OR(AUTOEVENTO&lt;&gt;"manual",$M278&lt;&gt;$A$15)),
        IF(Import.TipoArredondamento&lt;&gt;"TransfereGOV",
              ROUND(OFFSET($P278,0,AC$13),15-13*ORÇAMENTO!$AF$7)/$H278*OFFSET(ORÇAMENTO!$X$15,ROW(AC278)-ROW(AC$15),0),
              ROUND(ROUND(OFFSET($P278,0,AC$13),15-13*ORÇAMENTO!$AF$7)*OFFSET(ORÇAMENTO!$W$15,ROW(AC278)-ROW(AC$15),0),15-13*ORÇAMENTO!$AF$11)),
         0)</f>
        <v>0</v>
      </c>
      <c r="AD278" s="454">
        <f ca="1">IF(AND($D278="Serviço",AD$12&lt;&gt;0,$H278&gt;0,OR(AUTOEVENTO&lt;&gt;"manual",$M278&lt;&gt;$A$15)),
        IF(Import.TipoArredondamento&lt;&gt;"TransfereGOV",
              ROUND(OFFSET($P278,0,AD$13),15-13*ORÇAMENTO!$AF$7)/$H278*OFFSET(ORÇAMENTO!$X$15,ROW(AD278)-ROW(AD$15),0),
              ROUND(ROUND(OFFSET($P278,0,AD$13),15-13*ORÇAMENTO!$AF$7)*OFFSET(ORÇAMENTO!$W$15,ROW(AD278)-ROW(AD$15),0),15-13*ORÇAMENTO!$AF$11)),
         0)</f>
        <v>0</v>
      </c>
      <c r="AE278" s="454">
        <f ca="1">IF(AND($D278="Serviço",AE$12&lt;&gt;0,$H278&gt;0,OR(AUTOEVENTO&lt;&gt;"manual",$M278&lt;&gt;$A$15)),
        IF(Import.TipoArredondamento&lt;&gt;"TransfereGOV",
              ROUND(OFFSET($P278,0,AE$13),15-13*ORÇAMENTO!$AF$7)/$H278*OFFSET(ORÇAMENTO!$X$15,ROW(AE278)-ROW(AE$15),0),
              ROUND(ROUND(OFFSET($P278,0,AE$13),15-13*ORÇAMENTO!$AF$7)*OFFSET(ORÇAMENTO!$W$15,ROW(AE278)-ROW(AE$15),0),15-13*ORÇAMENTO!$AF$11)),
         0)</f>
        <v>0</v>
      </c>
      <c r="AF278" s="454">
        <f ca="1">IF(AND($D278="Serviço",AF$12&lt;&gt;0,$H278&gt;0,OR(AUTOEVENTO&lt;&gt;"manual",$M278&lt;&gt;$A$15)),
        IF(Import.TipoArredondamento&lt;&gt;"TransfereGOV",
              ROUND(OFFSET($P278,0,AF$13),15-13*ORÇAMENTO!$AF$7)/$H278*OFFSET(ORÇAMENTO!$X$15,ROW(AF278)-ROW(AF$15),0),
              ROUND(ROUND(OFFSET($P278,0,AF$13),15-13*ORÇAMENTO!$AF$7)*OFFSET(ORÇAMENTO!$W$15,ROW(AF278)-ROW(AF$15),0),15-13*ORÇAMENTO!$AF$11)),
         0)</f>
        <v>0</v>
      </c>
      <c r="AG278" s="454">
        <f ca="1">IF(AND($D278="Serviço",AG$12&lt;&gt;0,$H278&gt;0,OR(AUTOEVENTO&lt;&gt;"manual",$M278&lt;&gt;$A$15)),
        IF(Import.TipoArredondamento&lt;&gt;"TransfereGOV",
              ROUND(OFFSET($P278,0,AG$13),15-13*ORÇAMENTO!$AF$7)/$H278*OFFSET(ORÇAMENTO!$X$15,ROW(AG278)-ROW(AG$15),0),
              ROUND(ROUND(OFFSET($P278,0,AG$13),15-13*ORÇAMENTO!$AF$7)*OFFSET(ORÇAMENTO!$W$15,ROW(AG278)-ROW(AG$15),0),15-13*ORÇAMENTO!$AF$11)),
         0)</f>
        <v>0</v>
      </c>
      <c r="AH278" s="454">
        <f ca="1">IF(AND($D278="Serviço",AH$12&lt;&gt;0,$H278&gt;0,OR(AUTOEVENTO&lt;&gt;"manual",$M278&lt;&gt;$A$15)),
        IF(Import.TipoArredondamento&lt;&gt;"TransfereGOV",
              ROUND(OFFSET($P278,0,AH$13),15-13*ORÇAMENTO!$AF$7)/$H278*OFFSET(ORÇAMENTO!$X$15,ROW(AH278)-ROW(AH$15),0),
              ROUND(ROUND(OFFSET($P278,0,AH$13),15-13*ORÇAMENTO!$AF$7)*OFFSET(ORÇAMENTO!$W$15,ROW(AH278)-ROW(AH$15),0),15-13*ORÇAMENTO!$AF$11)),
         0)</f>
        <v>0</v>
      </c>
      <c r="AI278" s="454">
        <f ca="1">IF(AND($D278="Serviço",AI$12&lt;&gt;0,$H278&gt;0,OR(AUTOEVENTO&lt;&gt;"manual",$M278&lt;&gt;$A$15)),
        IF(Import.TipoArredondamento&lt;&gt;"TransfereGOV",
              ROUND(OFFSET($P278,0,AI$13),15-13*ORÇAMENTO!$AF$7)/$H278*OFFSET(ORÇAMENTO!$X$15,ROW(AI278)-ROW(AI$15),0),
              ROUND(ROUND(OFFSET($P278,0,AI$13),15-13*ORÇAMENTO!$AF$7)*OFFSET(ORÇAMENTO!$W$15,ROW(AI278)-ROW(AI$15),0),15-13*ORÇAMENTO!$AF$11)),
         0)</f>
        <v>0</v>
      </c>
      <c r="AJ278" s="454">
        <f ca="1">IF(AND($D278="Serviço",AJ$12&lt;&gt;0,$H278&gt;0,OR(AUTOEVENTO&lt;&gt;"manual",$M278&lt;&gt;$A$15)),
        IF(Import.TipoArredondamento&lt;&gt;"TransfereGOV",
              ROUND(OFFSET($P278,0,AJ$13),15-13*ORÇAMENTO!$AF$7)/$H278*OFFSET(ORÇAMENTO!$X$15,ROW(AJ278)-ROW(AJ$15),0),
              ROUND(ROUND(OFFSET($P278,0,AJ$13),15-13*ORÇAMENTO!$AF$7)*OFFSET(ORÇAMENTO!$W$15,ROW(AJ278)-ROW(AJ$15),0),15-13*ORÇAMENTO!$AF$11)),
         0)</f>
        <v>0</v>
      </c>
      <c r="AK278" s="454">
        <f ca="1">IF(AND($D278="Serviço",AK$12&lt;&gt;0,$H278&gt;0,OR(AUTOEVENTO&lt;&gt;"manual",$M278&lt;&gt;$A$15)),
        IF(Import.TipoArredondamento&lt;&gt;"TransfereGOV",
              ROUND(OFFSET($P278,0,AK$13),15-13*ORÇAMENTO!$AF$7)/$H278*OFFSET(ORÇAMENTO!$X$15,ROW(AK278)-ROW(AK$15),0),
              ROUND(ROUND(OFFSET($P278,0,AK$13),15-13*ORÇAMENTO!$AF$7)*OFFSET(ORÇAMENTO!$W$15,ROW(AK278)-ROW(AK$15),0),15-13*ORÇAMENTO!$AF$11)),
         0)</f>
        <v>0</v>
      </c>
      <c r="AM278" s="172">
        <f ca="1">IF(OR($D278&lt;&gt;"Serviço",AND(AUTOEVENTO="Manual",$M278=$A$15)),0,
         IF(OFFSET(CRONOPLE!$F$15,$M278-$A$15,AM$13)="",10^12,OFFSET(CRONOPLE!$F$15,$M278-$A$15,AM$13)))</f>
        <v>1000000000000</v>
      </c>
      <c r="AN278" s="172">
        <f ca="1">IF(OR($D278&lt;&gt;"Serviço",AND(AUTOEVENTO="Manual",$M278=$A$15)),0,
         IF(OFFSET(CRONOPLE!$F$15,$M278-$A$15,AN$13)="",10^12,OFFSET(CRONOPLE!$F$15,$M278-$A$15,AN$13)))</f>
        <v>1000000000000</v>
      </c>
      <c r="AO278" s="172">
        <f ca="1">IF(OR($D278&lt;&gt;"Serviço",AND(AUTOEVENTO="Manual",$M278=$A$15)),0,
         IF(OFFSET(CRONOPLE!$F$15,$M278-$A$15,AO$13)="",10^12,OFFSET(CRONOPLE!$F$15,$M278-$A$15,AO$13)))</f>
        <v>1000000000000</v>
      </c>
      <c r="AP278" s="172">
        <f ca="1">IF(OR($D278&lt;&gt;"Serviço",AND(AUTOEVENTO="Manual",$M278=$A$15)),0,
         IF(OFFSET(CRONOPLE!$F$15,$M278-$A$15,AP$13)="",10^12,OFFSET(CRONOPLE!$F$15,$M278-$A$15,AP$13)))</f>
        <v>1000000000000</v>
      </c>
      <c r="AQ278" s="172">
        <f ca="1">IF(OR($D278&lt;&gt;"Serviço",AND(AUTOEVENTO="Manual",$M278=$A$15)),0,
         IF(OFFSET(CRONOPLE!$F$15,$M278-$A$15,AQ$13)="",10^12,OFFSET(CRONOPLE!$F$15,$M278-$A$15,AQ$13)))</f>
        <v>1000000000000</v>
      </c>
      <c r="AR278" s="172">
        <f ca="1">IF(OR($D278&lt;&gt;"Serviço",AND(AUTOEVENTO="Manual",$M278=$A$15)),0,
         IF(OFFSET(CRONOPLE!$F$15,$M278-$A$15,AR$13)="",10^12,OFFSET(CRONOPLE!$F$15,$M278-$A$15,AR$13)))</f>
        <v>1000000000000</v>
      </c>
      <c r="AS278" s="172">
        <f ca="1">IF(OR($D278&lt;&gt;"Serviço",AND(AUTOEVENTO="Manual",$M278=$A$15)),0,
         IF(OFFSET(CRONOPLE!$F$15,$M278-$A$15,AS$13)="",10^12,OFFSET(CRONOPLE!$F$15,$M278-$A$15,AS$13)))</f>
        <v>1000000000000</v>
      </c>
      <c r="AT278" s="172">
        <f ca="1">IF(OR($D278&lt;&gt;"Serviço",AND(AUTOEVENTO="Manual",$M278=$A$15)),0,
         IF(OFFSET(CRONOPLE!$F$15,$M278-$A$15,AT$13)="",10^12,OFFSET(CRONOPLE!$F$15,$M278-$A$15,AT$13)))</f>
        <v>1000000000000</v>
      </c>
      <c r="AU278" s="172">
        <f ca="1">IF(OR($D278&lt;&gt;"Serviço",AND(AUTOEVENTO="Manual",$M278=$A$15)),0,
         IF(OFFSET(CRONOPLE!$F$15,$M278-$A$15,AU$13)="",10^12,OFFSET(CRONOPLE!$F$15,$M278-$A$15,AU$13)))</f>
        <v>1000000000000</v>
      </c>
      <c r="AV278" s="172">
        <f ca="1">IF(OR($D278&lt;&gt;"Serviço",AND(AUTOEVENTO="Manual",$M278=$A$15)),0,
         IF(OFFSET(CRONOPLE!$F$15,$M278-$A$15,AV$13)="",10^12,OFFSET(CRONOPLE!$F$15,$M278-$A$15,AV$13)))</f>
        <v>1000000000000</v>
      </c>
      <c r="AX278" s="173">
        <f ca="1">IF(OR($D278&lt;&gt;"Serviço",AND(AUTOEVENTO="Manual",$M278=$A$15),$M278&gt;(ROW(PLE.lastrow)-ROW(PLE.firstrow))),0,
           IF(OFFSET(PLE!$G$15,$M278-$A$15,AX$13)="",10^12,OFFSET(PLE!$G$15,$M278-$A$15,AX$13)))</f>
        <v>1000000000000</v>
      </c>
      <c r="AY278" s="173">
        <f ca="1">IF(OR($D278&lt;&gt;"Serviço",AND(AUTOEVENTO="Manual",$M278=$A$15),$M278&gt;(ROW(PLE.lastrow)-ROW(PLE.firstrow))),0,
           IF(OFFSET(PLE!$G$15,$M278-$A$15,AY$13)="",10^12,OFFSET(PLE!$G$15,$M278-$A$15,AY$13)))</f>
        <v>1000000000000</v>
      </c>
      <c r="AZ278" s="173">
        <f ca="1">IF(OR($D278&lt;&gt;"Serviço",AND(AUTOEVENTO="Manual",$M278=$A$15),$M278&gt;(ROW(PLE.lastrow)-ROW(PLE.firstrow))),0,
           IF(OFFSET(PLE!$G$15,$M278-$A$15,AZ$13)="",10^12,OFFSET(PLE!$G$15,$M278-$A$15,AZ$13)))</f>
        <v>1000000000000</v>
      </c>
      <c r="BA278" s="173">
        <f ca="1">IF(OR($D278&lt;&gt;"Serviço",AND(AUTOEVENTO="Manual",$M278=$A$15),$M278&gt;(ROW(PLE.lastrow)-ROW(PLE.firstrow))),0,
           IF(OFFSET(PLE!$G$15,$M278-$A$15,BA$13)="",10^12,OFFSET(PLE!$G$15,$M278-$A$15,BA$13)))</f>
        <v>1000000000000</v>
      </c>
      <c r="BB278" s="173">
        <f ca="1">IF(OR($D278&lt;&gt;"Serviço",AND(AUTOEVENTO="Manual",$M278=$A$15),$M278&gt;(ROW(PLE.lastrow)-ROW(PLE.firstrow))),0,
           IF(OFFSET(PLE!$G$15,$M278-$A$15,BB$13)="",10^12,OFFSET(PLE!$G$15,$M278-$A$15,BB$13)))</f>
        <v>1000000000000</v>
      </c>
      <c r="BC278" s="173">
        <f ca="1">IF(OR($D278&lt;&gt;"Serviço",AND(AUTOEVENTO="Manual",$M278=$A$15),$M278&gt;(ROW(PLE.lastrow)-ROW(PLE.firstrow))),0,
           IF(OFFSET(PLE!$G$15,$M278-$A$15,BC$13)="",10^12,OFFSET(PLE!$G$15,$M278-$A$15,BC$13)))</f>
        <v>1000000000000</v>
      </c>
      <c r="BD278" s="173">
        <f ca="1">IF(OR($D278&lt;&gt;"Serviço",AND(AUTOEVENTO="Manual",$M278=$A$15),$M278&gt;(ROW(PLE.lastrow)-ROW(PLE.firstrow))),0,
           IF(OFFSET(PLE!$G$15,$M278-$A$15,BD$13)="",10^12,OFFSET(PLE!$G$15,$M278-$A$15,BD$13)))</f>
        <v>1000000000000</v>
      </c>
      <c r="BE278" s="173">
        <f ca="1">IF(OR($D278&lt;&gt;"Serviço",AND(AUTOEVENTO="Manual",$M278=$A$15),$M278&gt;(ROW(PLE.lastrow)-ROW(PLE.firstrow))),0,
           IF(OFFSET(PLE!$G$15,$M278-$A$15,BE$13)="",10^12,OFFSET(PLE!$G$15,$M278-$A$15,BE$13)))</f>
        <v>1000000000000</v>
      </c>
      <c r="BF278" s="173">
        <f ca="1">IF(OR($D278&lt;&gt;"Serviço",AND(AUTOEVENTO="Manual",$M278=$A$15),$M278&gt;(ROW(PLE.lastrow)-ROW(PLE.firstrow))),0,
           IF(OFFSET(PLE!$G$15,$M278-$A$15,BF$13)="",10^12,OFFSET(PLE!$G$15,$M278-$A$15,BF$13)))</f>
        <v>1000000000000</v>
      </c>
      <c r="BG278" s="173">
        <f ca="1">IF(OR($D278&lt;&gt;"Serviço",AND(AUTOEVENTO="Manual",$M278=$A$15),$M278&gt;(ROW(PLE.lastrow)-ROW(PLE.firstrow))),0,
           IF(OFFSET(PLE!$G$15,$M278-$A$15,BG$13)="",10^12,OFFSET(PLE!$G$15,$M278-$A$15,BG$13)))</f>
        <v>1000000000000</v>
      </c>
    </row>
    <row r="279" spans="1:59" ht="25.5" x14ac:dyDescent="0.2">
      <c r="A279" s="7" t="str">
        <f t="shared" ca="1" si="12"/>
        <v>253</v>
      </c>
      <c r="B279" s="7" t="str">
        <f ca="1">OFFSET(ORÇAMENTO!C$15,ROW(B279)-ROW(B$15),0)</f>
        <v>S</v>
      </c>
      <c r="C279" s="7" t="str">
        <f ca="1">OFFSET(ORÇAMENTO!L$15,ROW(C279)-ROW(C$15),0)</f>
        <v/>
      </c>
      <c r="D279" s="117" t="str">
        <f ca="1">OFFSET(ORÇAMENTO!N$15,ROW(D279)-ROW(D$15),0)</f>
        <v>Serviço</v>
      </c>
      <c r="E279" s="118" t="str">
        <f ca="1">OFFSET(ORÇAMENTO!O$15,ROW(E279)-ROW(E$15),0)</f>
        <v>-</v>
      </c>
      <c r="F279" s="164" t="str">
        <f ca="1">OFFSET(ORÇAMENTO!R$15,ROW(F279)-ROW(F$15),0)</f>
        <v>DETECTOR DE FUMAÇA ÓPTICO ENDEREÇÁVEL</v>
      </c>
      <c r="G279" s="165" t="str">
        <f ca="1">IF($D279&lt;&gt;"Serviço","",OFFSET(ORÇAMENTO!S$15,ROW(G279)-ROW(G$15),0))</f>
        <v>UN</v>
      </c>
      <c r="H279" s="123">
        <f ca="1">IF($D279&lt;&gt;"Serviço",0,IF(ACOMPANHAMENTO="BM",ROUND(OFFSET(ORÇAMENTO!AJ$15,ROW(H279)-ROW(H$15),0),15-13*ORÇAMENTO!$AF$7),SUMPRODUCT(($Q$1:$AA$1=1)*ROUND($Q279:$AA279,15-13*ORÇAMENTO!$AF$7))))</f>
        <v>1</v>
      </c>
      <c r="I279" s="469"/>
      <c r="J279" s="577" t="str" cm="1">
        <f t="array" aca="1" ref="J279" ca="1">IF(B279&lt;&gt;"S","",IF(AND(ACOMPANHAMENTO="PLE",AUTOEVENTO="Manual",OR(H279&gt;0,ORÇAMENTO!AC279="QUANT."),OR(K279="",M279=0,N279="")),"►",IF(AND(ACOMPANHAMENTO="PLE",ORÇAMENTO!AC279="QUANT."),"►►",IF(AND(COUNTIF($P$11:$AA$11,"▼")=0,H279&gt;0,I279=""),"◄",""))))</f>
        <v>◄</v>
      </c>
      <c r="K279" s="626"/>
      <c r="L279" s="166" t="s">
        <v>765</v>
      </c>
      <c r="M279" s="167">
        <f ca="1">IF($D279&lt;&gt;"Serviço","",
          IF(AUTOEVENTO="manual",$A279,
                IF(ISERROR(MATCH($A279,$A$15:OFFSET($A279,-1,0),0)),MAX($M$15:OFFSET(M279,-1,0))+1,
                      INDEX($M$15:OFFSET(M279,-1,0),MATCH($A279,$A$15:OFFSET($A279,-1,0),0)))))</f>
        <v>16</v>
      </c>
      <c r="N279" s="168" t="str">
        <f ca="1">IF($D279&lt;&gt;"Serviço","",
         IF(AUTOEVENTO="Manual",
                IF($A279=0,"&lt;-- defina o número do agrupador",
                       OFFSET(EVENTOS!$D$15,$A279-$A$15,0)),
                OFFSET($F$15,$A279,0)))</f>
        <v>SISTEMAS DE PREVENÇÃO CONTRA INCÊNDIO</v>
      </c>
      <c r="O279" s="169"/>
      <c r="Q279" s="169"/>
      <c r="R279" s="170"/>
      <c r="S279" s="170"/>
      <c r="T279" s="170"/>
      <c r="U279" s="170"/>
      <c r="V279" s="170"/>
      <c r="W279" s="170"/>
      <c r="X279" s="170"/>
      <c r="Y279" s="170"/>
      <c r="Z279" s="171"/>
      <c r="AB279" s="454">
        <f ca="1">IF(AND($D279="Serviço",AB$12&lt;&gt;0,$H279&gt;0,OR(AUTOEVENTO&lt;&gt;"manual",$M279&lt;&gt;$A$15)),
        IF(Import.TipoArredondamento&lt;&gt;"TransfereGOV",
              ROUND(OFFSET($P279,0,AB$13),15-13*ORÇAMENTO!$AF$7)/$H279*OFFSET(ORÇAMENTO!$X$15,ROW(AB279)-ROW(AB$15),0),
              ROUND(ROUND(OFFSET($P279,0,AB$13),15-13*ORÇAMENTO!$AF$7)*OFFSET(ORÇAMENTO!$W$15,ROW(AB279)-ROW(AB$15),0),15-13*ORÇAMENTO!$AF$11)),
         0)</f>
        <v>0</v>
      </c>
      <c r="AC279" s="454">
        <f ca="1">IF(AND($D279="Serviço",AC$12&lt;&gt;0,$H279&gt;0,OR(AUTOEVENTO&lt;&gt;"manual",$M279&lt;&gt;$A$15)),
        IF(Import.TipoArredondamento&lt;&gt;"TransfereGOV",
              ROUND(OFFSET($P279,0,AC$13),15-13*ORÇAMENTO!$AF$7)/$H279*OFFSET(ORÇAMENTO!$X$15,ROW(AC279)-ROW(AC$15),0),
              ROUND(ROUND(OFFSET($P279,0,AC$13),15-13*ORÇAMENTO!$AF$7)*OFFSET(ORÇAMENTO!$W$15,ROW(AC279)-ROW(AC$15),0),15-13*ORÇAMENTO!$AF$11)),
         0)</f>
        <v>0</v>
      </c>
      <c r="AD279" s="454">
        <f ca="1">IF(AND($D279="Serviço",AD$12&lt;&gt;0,$H279&gt;0,OR(AUTOEVENTO&lt;&gt;"manual",$M279&lt;&gt;$A$15)),
        IF(Import.TipoArredondamento&lt;&gt;"TransfereGOV",
              ROUND(OFFSET($P279,0,AD$13),15-13*ORÇAMENTO!$AF$7)/$H279*OFFSET(ORÇAMENTO!$X$15,ROW(AD279)-ROW(AD$15),0),
              ROUND(ROUND(OFFSET($P279,0,AD$13),15-13*ORÇAMENTO!$AF$7)*OFFSET(ORÇAMENTO!$W$15,ROW(AD279)-ROW(AD$15),0),15-13*ORÇAMENTO!$AF$11)),
         0)</f>
        <v>0</v>
      </c>
      <c r="AE279" s="454">
        <f ca="1">IF(AND($D279="Serviço",AE$12&lt;&gt;0,$H279&gt;0,OR(AUTOEVENTO&lt;&gt;"manual",$M279&lt;&gt;$A$15)),
        IF(Import.TipoArredondamento&lt;&gt;"TransfereGOV",
              ROUND(OFFSET($P279,0,AE$13),15-13*ORÇAMENTO!$AF$7)/$H279*OFFSET(ORÇAMENTO!$X$15,ROW(AE279)-ROW(AE$15),0),
              ROUND(ROUND(OFFSET($P279,0,AE$13),15-13*ORÇAMENTO!$AF$7)*OFFSET(ORÇAMENTO!$W$15,ROW(AE279)-ROW(AE$15),0),15-13*ORÇAMENTO!$AF$11)),
         0)</f>
        <v>0</v>
      </c>
      <c r="AF279" s="454">
        <f ca="1">IF(AND($D279="Serviço",AF$12&lt;&gt;0,$H279&gt;0,OR(AUTOEVENTO&lt;&gt;"manual",$M279&lt;&gt;$A$15)),
        IF(Import.TipoArredondamento&lt;&gt;"TransfereGOV",
              ROUND(OFFSET($P279,0,AF$13),15-13*ORÇAMENTO!$AF$7)/$H279*OFFSET(ORÇAMENTO!$X$15,ROW(AF279)-ROW(AF$15),0),
              ROUND(ROUND(OFFSET($P279,0,AF$13),15-13*ORÇAMENTO!$AF$7)*OFFSET(ORÇAMENTO!$W$15,ROW(AF279)-ROW(AF$15),0),15-13*ORÇAMENTO!$AF$11)),
         0)</f>
        <v>0</v>
      </c>
      <c r="AG279" s="454">
        <f ca="1">IF(AND($D279="Serviço",AG$12&lt;&gt;0,$H279&gt;0,OR(AUTOEVENTO&lt;&gt;"manual",$M279&lt;&gt;$A$15)),
        IF(Import.TipoArredondamento&lt;&gt;"TransfereGOV",
              ROUND(OFFSET($P279,0,AG$13),15-13*ORÇAMENTO!$AF$7)/$H279*OFFSET(ORÇAMENTO!$X$15,ROW(AG279)-ROW(AG$15),0),
              ROUND(ROUND(OFFSET($P279,0,AG$13),15-13*ORÇAMENTO!$AF$7)*OFFSET(ORÇAMENTO!$W$15,ROW(AG279)-ROW(AG$15),0),15-13*ORÇAMENTO!$AF$11)),
         0)</f>
        <v>0</v>
      </c>
      <c r="AH279" s="454">
        <f ca="1">IF(AND($D279="Serviço",AH$12&lt;&gt;0,$H279&gt;0,OR(AUTOEVENTO&lt;&gt;"manual",$M279&lt;&gt;$A$15)),
        IF(Import.TipoArredondamento&lt;&gt;"TransfereGOV",
              ROUND(OFFSET($P279,0,AH$13),15-13*ORÇAMENTO!$AF$7)/$H279*OFFSET(ORÇAMENTO!$X$15,ROW(AH279)-ROW(AH$15),0),
              ROUND(ROUND(OFFSET($P279,0,AH$13),15-13*ORÇAMENTO!$AF$7)*OFFSET(ORÇAMENTO!$W$15,ROW(AH279)-ROW(AH$15),0),15-13*ORÇAMENTO!$AF$11)),
         0)</f>
        <v>0</v>
      </c>
      <c r="AI279" s="454">
        <f ca="1">IF(AND($D279="Serviço",AI$12&lt;&gt;0,$H279&gt;0,OR(AUTOEVENTO&lt;&gt;"manual",$M279&lt;&gt;$A$15)),
        IF(Import.TipoArredondamento&lt;&gt;"TransfereGOV",
              ROUND(OFFSET($P279,0,AI$13),15-13*ORÇAMENTO!$AF$7)/$H279*OFFSET(ORÇAMENTO!$X$15,ROW(AI279)-ROW(AI$15),0),
              ROUND(ROUND(OFFSET($P279,0,AI$13),15-13*ORÇAMENTO!$AF$7)*OFFSET(ORÇAMENTO!$W$15,ROW(AI279)-ROW(AI$15),0),15-13*ORÇAMENTO!$AF$11)),
         0)</f>
        <v>0</v>
      </c>
      <c r="AJ279" s="454">
        <f ca="1">IF(AND($D279="Serviço",AJ$12&lt;&gt;0,$H279&gt;0,OR(AUTOEVENTO&lt;&gt;"manual",$M279&lt;&gt;$A$15)),
        IF(Import.TipoArredondamento&lt;&gt;"TransfereGOV",
              ROUND(OFFSET($P279,0,AJ$13),15-13*ORÇAMENTO!$AF$7)/$H279*OFFSET(ORÇAMENTO!$X$15,ROW(AJ279)-ROW(AJ$15),0),
              ROUND(ROUND(OFFSET($P279,0,AJ$13),15-13*ORÇAMENTO!$AF$7)*OFFSET(ORÇAMENTO!$W$15,ROW(AJ279)-ROW(AJ$15),0),15-13*ORÇAMENTO!$AF$11)),
         0)</f>
        <v>0</v>
      </c>
      <c r="AK279" s="454">
        <f ca="1">IF(AND($D279="Serviço",AK$12&lt;&gt;0,$H279&gt;0,OR(AUTOEVENTO&lt;&gt;"manual",$M279&lt;&gt;$A$15)),
        IF(Import.TipoArredondamento&lt;&gt;"TransfereGOV",
              ROUND(OFFSET($P279,0,AK$13),15-13*ORÇAMENTO!$AF$7)/$H279*OFFSET(ORÇAMENTO!$X$15,ROW(AK279)-ROW(AK$15),0),
              ROUND(ROUND(OFFSET($P279,0,AK$13),15-13*ORÇAMENTO!$AF$7)*OFFSET(ORÇAMENTO!$W$15,ROW(AK279)-ROW(AK$15),0),15-13*ORÇAMENTO!$AF$11)),
         0)</f>
        <v>0</v>
      </c>
      <c r="AM279" s="172">
        <f ca="1">IF(OR($D279&lt;&gt;"Serviço",AND(AUTOEVENTO="Manual",$M279=$A$15)),0,
         IF(OFFSET(CRONOPLE!$F$15,$M279-$A$15,AM$13)="",10^12,OFFSET(CRONOPLE!$F$15,$M279-$A$15,AM$13)))</f>
        <v>1000000000000</v>
      </c>
      <c r="AN279" s="172">
        <f ca="1">IF(OR($D279&lt;&gt;"Serviço",AND(AUTOEVENTO="Manual",$M279=$A$15)),0,
         IF(OFFSET(CRONOPLE!$F$15,$M279-$A$15,AN$13)="",10^12,OFFSET(CRONOPLE!$F$15,$M279-$A$15,AN$13)))</f>
        <v>1000000000000</v>
      </c>
      <c r="AO279" s="172">
        <f ca="1">IF(OR($D279&lt;&gt;"Serviço",AND(AUTOEVENTO="Manual",$M279=$A$15)),0,
         IF(OFFSET(CRONOPLE!$F$15,$M279-$A$15,AO$13)="",10^12,OFFSET(CRONOPLE!$F$15,$M279-$A$15,AO$13)))</f>
        <v>1000000000000</v>
      </c>
      <c r="AP279" s="172">
        <f ca="1">IF(OR($D279&lt;&gt;"Serviço",AND(AUTOEVENTO="Manual",$M279=$A$15)),0,
         IF(OFFSET(CRONOPLE!$F$15,$M279-$A$15,AP$13)="",10^12,OFFSET(CRONOPLE!$F$15,$M279-$A$15,AP$13)))</f>
        <v>1000000000000</v>
      </c>
      <c r="AQ279" s="172">
        <f ca="1">IF(OR($D279&lt;&gt;"Serviço",AND(AUTOEVENTO="Manual",$M279=$A$15)),0,
         IF(OFFSET(CRONOPLE!$F$15,$M279-$A$15,AQ$13)="",10^12,OFFSET(CRONOPLE!$F$15,$M279-$A$15,AQ$13)))</f>
        <v>1000000000000</v>
      </c>
      <c r="AR279" s="172">
        <f ca="1">IF(OR($D279&lt;&gt;"Serviço",AND(AUTOEVENTO="Manual",$M279=$A$15)),0,
         IF(OFFSET(CRONOPLE!$F$15,$M279-$A$15,AR$13)="",10^12,OFFSET(CRONOPLE!$F$15,$M279-$A$15,AR$13)))</f>
        <v>1000000000000</v>
      </c>
      <c r="AS279" s="172">
        <f ca="1">IF(OR($D279&lt;&gt;"Serviço",AND(AUTOEVENTO="Manual",$M279=$A$15)),0,
         IF(OFFSET(CRONOPLE!$F$15,$M279-$A$15,AS$13)="",10^12,OFFSET(CRONOPLE!$F$15,$M279-$A$15,AS$13)))</f>
        <v>1000000000000</v>
      </c>
      <c r="AT279" s="172">
        <f ca="1">IF(OR($D279&lt;&gt;"Serviço",AND(AUTOEVENTO="Manual",$M279=$A$15)),0,
         IF(OFFSET(CRONOPLE!$F$15,$M279-$A$15,AT$13)="",10^12,OFFSET(CRONOPLE!$F$15,$M279-$A$15,AT$13)))</f>
        <v>1000000000000</v>
      </c>
      <c r="AU279" s="172">
        <f ca="1">IF(OR($D279&lt;&gt;"Serviço",AND(AUTOEVENTO="Manual",$M279=$A$15)),0,
         IF(OFFSET(CRONOPLE!$F$15,$M279-$A$15,AU$13)="",10^12,OFFSET(CRONOPLE!$F$15,$M279-$A$15,AU$13)))</f>
        <v>1000000000000</v>
      </c>
      <c r="AV279" s="172">
        <f ca="1">IF(OR($D279&lt;&gt;"Serviço",AND(AUTOEVENTO="Manual",$M279=$A$15)),0,
         IF(OFFSET(CRONOPLE!$F$15,$M279-$A$15,AV$13)="",10^12,OFFSET(CRONOPLE!$F$15,$M279-$A$15,AV$13)))</f>
        <v>1000000000000</v>
      </c>
      <c r="AX279" s="173">
        <f ca="1">IF(OR($D279&lt;&gt;"Serviço",AND(AUTOEVENTO="Manual",$M279=$A$15),$M279&gt;(ROW(PLE.lastrow)-ROW(PLE.firstrow))),0,
           IF(OFFSET(PLE!$G$15,$M279-$A$15,AX$13)="",10^12,OFFSET(PLE!$G$15,$M279-$A$15,AX$13)))</f>
        <v>1000000000000</v>
      </c>
      <c r="AY279" s="173">
        <f ca="1">IF(OR($D279&lt;&gt;"Serviço",AND(AUTOEVENTO="Manual",$M279=$A$15),$M279&gt;(ROW(PLE.lastrow)-ROW(PLE.firstrow))),0,
           IF(OFFSET(PLE!$G$15,$M279-$A$15,AY$13)="",10^12,OFFSET(PLE!$G$15,$M279-$A$15,AY$13)))</f>
        <v>1000000000000</v>
      </c>
      <c r="AZ279" s="173">
        <f ca="1">IF(OR($D279&lt;&gt;"Serviço",AND(AUTOEVENTO="Manual",$M279=$A$15),$M279&gt;(ROW(PLE.lastrow)-ROW(PLE.firstrow))),0,
           IF(OFFSET(PLE!$G$15,$M279-$A$15,AZ$13)="",10^12,OFFSET(PLE!$G$15,$M279-$A$15,AZ$13)))</f>
        <v>1000000000000</v>
      </c>
      <c r="BA279" s="173">
        <f ca="1">IF(OR($D279&lt;&gt;"Serviço",AND(AUTOEVENTO="Manual",$M279=$A$15),$M279&gt;(ROW(PLE.lastrow)-ROW(PLE.firstrow))),0,
           IF(OFFSET(PLE!$G$15,$M279-$A$15,BA$13)="",10^12,OFFSET(PLE!$G$15,$M279-$A$15,BA$13)))</f>
        <v>1000000000000</v>
      </c>
      <c r="BB279" s="173">
        <f ca="1">IF(OR($D279&lt;&gt;"Serviço",AND(AUTOEVENTO="Manual",$M279=$A$15),$M279&gt;(ROW(PLE.lastrow)-ROW(PLE.firstrow))),0,
           IF(OFFSET(PLE!$G$15,$M279-$A$15,BB$13)="",10^12,OFFSET(PLE!$G$15,$M279-$A$15,BB$13)))</f>
        <v>1000000000000</v>
      </c>
      <c r="BC279" s="173">
        <f ca="1">IF(OR($D279&lt;&gt;"Serviço",AND(AUTOEVENTO="Manual",$M279=$A$15),$M279&gt;(ROW(PLE.lastrow)-ROW(PLE.firstrow))),0,
           IF(OFFSET(PLE!$G$15,$M279-$A$15,BC$13)="",10^12,OFFSET(PLE!$G$15,$M279-$A$15,BC$13)))</f>
        <v>1000000000000</v>
      </c>
      <c r="BD279" s="173">
        <f ca="1">IF(OR($D279&lt;&gt;"Serviço",AND(AUTOEVENTO="Manual",$M279=$A$15),$M279&gt;(ROW(PLE.lastrow)-ROW(PLE.firstrow))),0,
           IF(OFFSET(PLE!$G$15,$M279-$A$15,BD$13)="",10^12,OFFSET(PLE!$G$15,$M279-$A$15,BD$13)))</f>
        <v>1000000000000</v>
      </c>
      <c r="BE279" s="173">
        <f ca="1">IF(OR($D279&lt;&gt;"Serviço",AND(AUTOEVENTO="Manual",$M279=$A$15),$M279&gt;(ROW(PLE.lastrow)-ROW(PLE.firstrow))),0,
           IF(OFFSET(PLE!$G$15,$M279-$A$15,BE$13)="",10^12,OFFSET(PLE!$G$15,$M279-$A$15,BE$13)))</f>
        <v>1000000000000</v>
      </c>
      <c r="BF279" s="173">
        <f ca="1">IF(OR($D279&lt;&gt;"Serviço",AND(AUTOEVENTO="Manual",$M279=$A$15),$M279&gt;(ROW(PLE.lastrow)-ROW(PLE.firstrow))),0,
           IF(OFFSET(PLE!$G$15,$M279-$A$15,BF$13)="",10^12,OFFSET(PLE!$G$15,$M279-$A$15,BF$13)))</f>
        <v>1000000000000</v>
      </c>
      <c r="BG279" s="173">
        <f ca="1">IF(OR($D279&lt;&gt;"Serviço",AND(AUTOEVENTO="Manual",$M279=$A$15),$M279&gt;(ROW(PLE.lastrow)-ROW(PLE.firstrow))),0,
           IF(OFFSET(PLE!$G$15,$M279-$A$15,BG$13)="",10^12,OFFSET(PLE!$G$15,$M279-$A$15,BG$13)))</f>
        <v>1000000000000</v>
      </c>
    </row>
    <row r="280" spans="1:59" ht="25.5" x14ac:dyDescent="0.2">
      <c r="A280" s="7" t="str">
        <f t="shared" ca="1" si="12"/>
        <v>253</v>
      </c>
      <c r="B280" s="7" t="str">
        <f ca="1">OFFSET(ORÇAMENTO!C$15,ROW(B280)-ROW(B$15),0)</f>
        <v>S</v>
      </c>
      <c r="C280" s="7" t="str">
        <f ca="1">OFFSET(ORÇAMENTO!L$15,ROW(C280)-ROW(C$15),0)</f>
        <v/>
      </c>
      <c r="D280" s="117" t="str">
        <f ca="1">OFFSET(ORÇAMENTO!N$15,ROW(D280)-ROW(D$15),0)</f>
        <v>Serviço</v>
      </c>
      <c r="E280" s="118" t="str">
        <f ca="1">OFFSET(ORÇAMENTO!O$15,ROW(E280)-ROW(E$15),0)</f>
        <v>-</v>
      </c>
      <c r="F280" s="164" t="str">
        <f ca="1">OFFSET(ORÇAMENTO!R$15,ROW(F280)-ROW(F$15),0)</f>
        <v>CABO BLINDADO PARA ALARME DE INCÊNDIO 4 VIAS 4 x 1 mm</v>
      </c>
      <c r="G280" s="165" t="str">
        <f ca="1">IF($D280&lt;&gt;"Serviço","",OFFSET(ORÇAMENTO!S$15,ROW(G280)-ROW(G$15),0))</f>
        <v>M</v>
      </c>
      <c r="H280" s="123">
        <f ca="1">IF($D280&lt;&gt;"Serviço",0,IF(ACOMPANHAMENTO="BM",ROUND(OFFSET(ORÇAMENTO!AJ$15,ROW(H280)-ROW(H$15),0),15-13*ORÇAMENTO!$AF$7),SUMPRODUCT(($Q$1:$AA$1=1)*ROUND($Q280:$AA280,15-13*ORÇAMENTO!$AF$7))))</f>
        <v>205</v>
      </c>
      <c r="I280" s="469"/>
      <c r="J280" s="577" t="str" cm="1">
        <f t="array" aca="1" ref="J280" ca="1">IF(B280&lt;&gt;"S","",IF(AND(ACOMPANHAMENTO="PLE",AUTOEVENTO="Manual",OR(H280&gt;0,ORÇAMENTO!AC280="QUANT."),OR(K280="",M280=0,N280="")),"►",IF(AND(ACOMPANHAMENTO="PLE",ORÇAMENTO!AC280="QUANT."),"►►",IF(AND(COUNTIF($P$11:$AA$11,"▼")=0,H280&gt;0,I280=""),"◄",""))))</f>
        <v>◄</v>
      </c>
      <c r="K280" s="626"/>
      <c r="L280" s="166" t="s">
        <v>765</v>
      </c>
      <c r="M280" s="167">
        <f ca="1">IF($D280&lt;&gt;"Serviço","",
          IF(AUTOEVENTO="manual",$A280,
                IF(ISERROR(MATCH($A280,$A$15:OFFSET($A280,-1,0),0)),MAX($M$15:OFFSET(M280,-1,0))+1,
                      INDEX($M$15:OFFSET(M280,-1,0),MATCH($A280,$A$15:OFFSET($A280,-1,0),0)))))</f>
        <v>16</v>
      </c>
      <c r="N280" s="168" t="str">
        <f ca="1">IF($D280&lt;&gt;"Serviço","",
         IF(AUTOEVENTO="Manual",
                IF($A280=0,"&lt;-- defina o número do agrupador",
                       OFFSET(EVENTOS!$D$15,$A280-$A$15,0)),
                OFFSET($F$15,$A280,0)))</f>
        <v>SISTEMAS DE PREVENÇÃO CONTRA INCÊNDIO</v>
      </c>
      <c r="O280" s="169"/>
      <c r="Q280" s="169"/>
      <c r="R280" s="170"/>
      <c r="S280" s="170"/>
      <c r="T280" s="170"/>
      <c r="U280" s="170"/>
      <c r="V280" s="170"/>
      <c r="W280" s="170"/>
      <c r="X280" s="170"/>
      <c r="Y280" s="170"/>
      <c r="Z280" s="171"/>
      <c r="AB280" s="454">
        <f ca="1">IF(AND($D280="Serviço",AB$12&lt;&gt;0,$H280&gt;0,OR(AUTOEVENTO&lt;&gt;"manual",$M280&lt;&gt;$A$15)),
        IF(Import.TipoArredondamento&lt;&gt;"TransfereGOV",
              ROUND(OFFSET($P280,0,AB$13),15-13*ORÇAMENTO!$AF$7)/$H280*OFFSET(ORÇAMENTO!$X$15,ROW(AB280)-ROW(AB$15),0),
              ROUND(ROUND(OFFSET($P280,0,AB$13),15-13*ORÇAMENTO!$AF$7)*OFFSET(ORÇAMENTO!$W$15,ROW(AB280)-ROW(AB$15),0),15-13*ORÇAMENTO!$AF$11)),
         0)</f>
        <v>0</v>
      </c>
      <c r="AC280" s="454">
        <f ca="1">IF(AND($D280="Serviço",AC$12&lt;&gt;0,$H280&gt;0,OR(AUTOEVENTO&lt;&gt;"manual",$M280&lt;&gt;$A$15)),
        IF(Import.TipoArredondamento&lt;&gt;"TransfereGOV",
              ROUND(OFFSET($P280,0,AC$13),15-13*ORÇAMENTO!$AF$7)/$H280*OFFSET(ORÇAMENTO!$X$15,ROW(AC280)-ROW(AC$15),0),
              ROUND(ROUND(OFFSET($P280,0,AC$13),15-13*ORÇAMENTO!$AF$7)*OFFSET(ORÇAMENTO!$W$15,ROW(AC280)-ROW(AC$15),0),15-13*ORÇAMENTO!$AF$11)),
         0)</f>
        <v>0</v>
      </c>
      <c r="AD280" s="454">
        <f ca="1">IF(AND($D280="Serviço",AD$12&lt;&gt;0,$H280&gt;0,OR(AUTOEVENTO&lt;&gt;"manual",$M280&lt;&gt;$A$15)),
        IF(Import.TipoArredondamento&lt;&gt;"TransfereGOV",
              ROUND(OFFSET($P280,0,AD$13),15-13*ORÇAMENTO!$AF$7)/$H280*OFFSET(ORÇAMENTO!$X$15,ROW(AD280)-ROW(AD$15),0),
              ROUND(ROUND(OFFSET($P280,0,AD$13),15-13*ORÇAMENTO!$AF$7)*OFFSET(ORÇAMENTO!$W$15,ROW(AD280)-ROW(AD$15),0),15-13*ORÇAMENTO!$AF$11)),
         0)</f>
        <v>0</v>
      </c>
      <c r="AE280" s="454">
        <f ca="1">IF(AND($D280="Serviço",AE$12&lt;&gt;0,$H280&gt;0,OR(AUTOEVENTO&lt;&gt;"manual",$M280&lt;&gt;$A$15)),
        IF(Import.TipoArredondamento&lt;&gt;"TransfereGOV",
              ROUND(OFFSET($P280,0,AE$13),15-13*ORÇAMENTO!$AF$7)/$H280*OFFSET(ORÇAMENTO!$X$15,ROW(AE280)-ROW(AE$15),0),
              ROUND(ROUND(OFFSET($P280,0,AE$13),15-13*ORÇAMENTO!$AF$7)*OFFSET(ORÇAMENTO!$W$15,ROW(AE280)-ROW(AE$15),0),15-13*ORÇAMENTO!$AF$11)),
         0)</f>
        <v>0</v>
      </c>
      <c r="AF280" s="454">
        <f ca="1">IF(AND($D280="Serviço",AF$12&lt;&gt;0,$H280&gt;0,OR(AUTOEVENTO&lt;&gt;"manual",$M280&lt;&gt;$A$15)),
        IF(Import.TipoArredondamento&lt;&gt;"TransfereGOV",
              ROUND(OFFSET($P280,0,AF$13),15-13*ORÇAMENTO!$AF$7)/$H280*OFFSET(ORÇAMENTO!$X$15,ROW(AF280)-ROW(AF$15),0),
              ROUND(ROUND(OFFSET($P280,0,AF$13),15-13*ORÇAMENTO!$AF$7)*OFFSET(ORÇAMENTO!$W$15,ROW(AF280)-ROW(AF$15),0),15-13*ORÇAMENTO!$AF$11)),
         0)</f>
        <v>0</v>
      </c>
      <c r="AG280" s="454">
        <f ca="1">IF(AND($D280="Serviço",AG$12&lt;&gt;0,$H280&gt;0,OR(AUTOEVENTO&lt;&gt;"manual",$M280&lt;&gt;$A$15)),
        IF(Import.TipoArredondamento&lt;&gt;"TransfereGOV",
              ROUND(OFFSET($P280,0,AG$13),15-13*ORÇAMENTO!$AF$7)/$H280*OFFSET(ORÇAMENTO!$X$15,ROW(AG280)-ROW(AG$15),0),
              ROUND(ROUND(OFFSET($P280,0,AG$13),15-13*ORÇAMENTO!$AF$7)*OFFSET(ORÇAMENTO!$W$15,ROW(AG280)-ROW(AG$15),0),15-13*ORÇAMENTO!$AF$11)),
         0)</f>
        <v>0</v>
      </c>
      <c r="AH280" s="454">
        <f ca="1">IF(AND($D280="Serviço",AH$12&lt;&gt;0,$H280&gt;0,OR(AUTOEVENTO&lt;&gt;"manual",$M280&lt;&gt;$A$15)),
        IF(Import.TipoArredondamento&lt;&gt;"TransfereGOV",
              ROUND(OFFSET($P280,0,AH$13),15-13*ORÇAMENTO!$AF$7)/$H280*OFFSET(ORÇAMENTO!$X$15,ROW(AH280)-ROW(AH$15),0),
              ROUND(ROUND(OFFSET($P280,0,AH$13),15-13*ORÇAMENTO!$AF$7)*OFFSET(ORÇAMENTO!$W$15,ROW(AH280)-ROW(AH$15),0),15-13*ORÇAMENTO!$AF$11)),
         0)</f>
        <v>0</v>
      </c>
      <c r="AI280" s="454">
        <f ca="1">IF(AND($D280="Serviço",AI$12&lt;&gt;0,$H280&gt;0,OR(AUTOEVENTO&lt;&gt;"manual",$M280&lt;&gt;$A$15)),
        IF(Import.TipoArredondamento&lt;&gt;"TransfereGOV",
              ROUND(OFFSET($P280,0,AI$13),15-13*ORÇAMENTO!$AF$7)/$H280*OFFSET(ORÇAMENTO!$X$15,ROW(AI280)-ROW(AI$15),0),
              ROUND(ROUND(OFFSET($P280,0,AI$13),15-13*ORÇAMENTO!$AF$7)*OFFSET(ORÇAMENTO!$W$15,ROW(AI280)-ROW(AI$15),0),15-13*ORÇAMENTO!$AF$11)),
         0)</f>
        <v>0</v>
      </c>
      <c r="AJ280" s="454">
        <f ca="1">IF(AND($D280="Serviço",AJ$12&lt;&gt;0,$H280&gt;0,OR(AUTOEVENTO&lt;&gt;"manual",$M280&lt;&gt;$A$15)),
        IF(Import.TipoArredondamento&lt;&gt;"TransfereGOV",
              ROUND(OFFSET($P280,0,AJ$13),15-13*ORÇAMENTO!$AF$7)/$H280*OFFSET(ORÇAMENTO!$X$15,ROW(AJ280)-ROW(AJ$15),0),
              ROUND(ROUND(OFFSET($P280,0,AJ$13),15-13*ORÇAMENTO!$AF$7)*OFFSET(ORÇAMENTO!$W$15,ROW(AJ280)-ROW(AJ$15),0),15-13*ORÇAMENTO!$AF$11)),
         0)</f>
        <v>0</v>
      </c>
      <c r="AK280" s="454">
        <f ca="1">IF(AND($D280="Serviço",AK$12&lt;&gt;0,$H280&gt;0,OR(AUTOEVENTO&lt;&gt;"manual",$M280&lt;&gt;$A$15)),
        IF(Import.TipoArredondamento&lt;&gt;"TransfereGOV",
              ROUND(OFFSET($P280,0,AK$13),15-13*ORÇAMENTO!$AF$7)/$H280*OFFSET(ORÇAMENTO!$X$15,ROW(AK280)-ROW(AK$15),0),
              ROUND(ROUND(OFFSET($P280,0,AK$13),15-13*ORÇAMENTO!$AF$7)*OFFSET(ORÇAMENTO!$W$15,ROW(AK280)-ROW(AK$15),0),15-13*ORÇAMENTO!$AF$11)),
         0)</f>
        <v>0</v>
      </c>
      <c r="AM280" s="172">
        <f ca="1">IF(OR($D280&lt;&gt;"Serviço",AND(AUTOEVENTO="Manual",$M280=$A$15)),0,
         IF(OFFSET(CRONOPLE!$F$15,$M280-$A$15,AM$13)="",10^12,OFFSET(CRONOPLE!$F$15,$M280-$A$15,AM$13)))</f>
        <v>1000000000000</v>
      </c>
      <c r="AN280" s="172">
        <f ca="1">IF(OR($D280&lt;&gt;"Serviço",AND(AUTOEVENTO="Manual",$M280=$A$15)),0,
         IF(OFFSET(CRONOPLE!$F$15,$M280-$A$15,AN$13)="",10^12,OFFSET(CRONOPLE!$F$15,$M280-$A$15,AN$13)))</f>
        <v>1000000000000</v>
      </c>
      <c r="AO280" s="172">
        <f ca="1">IF(OR($D280&lt;&gt;"Serviço",AND(AUTOEVENTO="Manual",$M280=$A$15)),0,
         IF(OFFSET(CRONOPLE!$F$15,$M280-$A$15,AO$13)="",10^12,OFFSET(CRONOPLE!$F$15,$M280-$A$15,AO$13)))</f>
        <v>1000000000000</v>
      </c>
      <c r="AP280" s="172">
        <f ca="1">IF(OR($D280&lt;&gt;"Serviço",AND(AUTOEVENTO="Manual",$M280=$A$15)),0,
         IF(OFFSET(CRONOPLE!$F$15,$M280-$A$15,AP$13)="",10^12,OFFSET(CRONOPLE!$F$15,$M280-$A$15,AP$13)))</f>
        <v>1000000000000</v>
      </c>
      <c r="AQ280" s="172">
        <f ca="1">IF(OR($D280&lt;&gt;"Serviço",AND(AUTOEVENTO="Manual",$M280=$A$15)),0,
         IF(OFFSET(CRONOPLE!$F$15,$M280-$A$15,AQ$13)="",10^12,OFFSET(CRONOPLE!$F$15,$M280-$A$15,AQ$13)))</f>
        <v>1000000000000</v>
      </c>
      <c r="AR280" s="172">
        <f ca="1">IF(OR($D280&lt;&gt;"Serviço",AND(AUTOEVENTO="Manual",$M280=$A$15)),0,
         IF(OFFSET(CRONOPLE!$F$15,$M280-$A$15,AR$13)="",10^12,OFFSET(CRONOPLE!$F$15,$M280-$A$15,AR$13)))</f>
        <v>1000000000000</v>
      </c>
      <c r="AS280" s="172">
        <f ca="1">IF(OR($D280&lt;&gt;"Serviço",AND(AUTOEVENTO="Manual",$M280=$A$15)),0,
         IF(OFFSET(CRONOPLE!$F$15,$M280-$A$15,AS$13)="",10^12,OFFSET(CRONOPLE!$F$15,$M280-$A$15,AS$13)))</f>
        <v>1000000000000</v>
      </c>
      <c r="AT280" s="172">
        <f ca="1">IF(OR($D280&lt;&gt;"Serviço",AND(AUTOEVENTO="Manual",$M280=$A$15)),0,
         IF(OFFSET(CRONOPLE!$F$15,$M280-$A$15,AT$13)="",10^12,OFFSET(CRONOPLE!$F$15,$M280-$A$15,AT$13)))</f>
        <v>1000000000000</v>
      </c>
      <c r="AU280" s="172">
        <f ca="1">IF(OR($D280&lt;&gt;"Serviço",AND(AUTOEVENTO="Manual",$M280=$A$15)),0,
         IF(OFFSET(CRONOPLE!$F$15,$M280-$A$15,AU$13)="",10^12,OFFSET(CRONOPLE!$F$15,$M280-$A$15,AU$13)))</f>
        <v>1000000000000</v>
      </c>
      <c r="AV280" s="172">
        <f ca="1">IF(OR($D280&lt;&gt;"Serviço",AND(AUTOEVENTO="Manual",$M280=$A$15)),0,
         IF(OFFSET(CRONOPLE!$F$15,$M280-$A$15,AV$13)="",10^12,OFFSET(CRONOPLE!$F$15,$M280-$A$15,AV$13)))</f>
        <v>1000000000000</v>
      </c>
      <c r="AX280" s="173">
        <f ca="1">IF(OR($D280&lt;&gt;"Serviço",AND(AUTOEVENTO="Manual",$M280=$A$15),$M280&gt;(ROW(PLE.lastrow)-ROW(PLE.firstrow))),0,
           IF(OFFSET(PLE!$G$15,$M280-$A$15,AX$13)="",10^12,OFFSET(PLE!$G$15,$M280-$A$15,AX$13)))</f>
        <v>1000000000000</v>
      </c>
      <c r="AY280" s="173">
        <f ca="1">IF(OR($D280&lt;&gt;"Serviço",AND(AUTOEVENTO="Manual",$M280=$A$15),$M280&gt;(ROW(PLE.lastrow)-ROW(PLE.firstrow))),0,
           IF(OFFSET(PLE!$G$15,$M280-$A$15,AY$13)="",10^12,OFFSET(PLE!$G$15,$M280-$A$15,AY$13)))</f>
        <v>1000000000000</v>
      </c>
      <c r="AZ280" s="173">
        <f ca="1">IF(OR($D280&lt;&gt;"Serviço",AND(AUTOEVENTO="Manual",$M280=$A$15),$M280&gt;(ROW(PLE.lastrow)-ROW(PLE.firstrow))),0,
           IF(OFFSET(PLE!$G$15,$M280-$A$15,AZ$13)="",10^12,OFFSET(PLE!$G$15,$M280-$A$15,AZ$13)))</f>
        <v>1000000000000</v>
      </c>
      <c r="BA280" s="173">
        <f ca="1">IF(OR($D280&lt;&gt;"Serviço",AND(AUTOEVENTO="Manual",$M280=$A$15),$M280&gt;(ROW(PLE.lastrow)-ROW(PLE.firstrow))),0,
           IF(OFFSET(PLE!$G$15,$M280-$A$15,BA$13)="",10^12,OFFSET(PLE!$G$15,$M280-$A$15,BA$13)))</f>
        <v>1000000000000</v>
      </c>
      <c r="BB280" s="173">
        <f ca="1">IF(OR($D280&lt;&gt;"Serviço",AND(AUTOEVENTO="Manual",$M280=$A$15),$M280&gt;(ROW(PLE.lastrow)-ROW(PLE.firstrow))),0,
           IF(OFFSET(PLE!$G$15,$M280-$A$15,BB$13)="",10^12,OFFSET(PLE!$G$15,$M280-$A$15,BB$13)))</f>
        <v>1000000000000</v>
      </c>
      <c r="BC280" s="173">
        <f ca="1">IF(OR($D280&lt;&gt;"Serviço",AND(AUTOEVENTO="Manual",$M280=$A$15),$M280&gt;(ROW(PLE.lastrow)-ROW(PLE.firstrow))),0,
           IF(OFFSET(PLE!$G$15,$M280-$A$15,BC$13)="",10^12,OFFSET(PLE!$G$15,$M280-$A$15,BC$13)))</f>
        <v>1000000000000</v>
      </c>
      <c r="BD280" s="173">
        <f ca="1">IF(OR($D280&lt;&gt;"Serviço",AND(AUTOEVENTO="Manual",$M280=$A$15),$M280&gt;(ROW(PLE.lastrow)-ROW(PLE.firstrow))),0,
           IF(OFFSET(PLE!$G$15,$M280-$A$15,BD$13)="",10^12,OFFSET(PLE!$G$15,$M280-$A$15,BD$13)))</f>
        <v>1000000000000</v>
      </c>
      <c r="BE280" s="173">
        <f ca="1">IF(OR($D280&lt;&gt;"Serviço",AND(AUTOEVENTO="Manual",$M280=$A$15),$M280&gt;(ROW(PLE.lastrow)-ROW(PLE.firstrow))),0,
           IF(OFFSET(PLE!$G$15,$M280-$A$15,BE$13)="",10^12,OFFSET(PLE!$G$15,$M280-$A$15,BE$13)))</f>
        <v>1000000000000</v>
      </c>
      <c r="BF280" s="173">
        <f ca="1">IF(OR($D280&lt;&gt;"Serviço",AND(AUTOEVENTO="Manual",$M280=$A$15),$M280&gt;(ROW(PLE.lastrow)-ROW(PLE.firstrow))),0,
           IF(OFFSET(PLE!$G$15,$M280-$A$15,BF$13)="",10^12,OFFSET(PLE!$G$15,$M280-$A$15,BF$13)))</f>
        <v>1000000000000</v>
      </c>
      <c r="BG280" s="173">
        <f ca="1">IF(OR($D280&lt;&gt;"Serviço",AND(AUTOEVENTO="Manual",$M280=$A$15),$M280&gt;(ROW(PLE.lastrow)-ROW(PLE.firstrow))),0,
           IF(OFFSET(PLE!$G$15,$M280-$A$15,BG$13)="",10^12,OFFSET(PLE!$G$15,$M280-$A$15,BG$13)))</f>
        <v>1000000000000</v>
      </c>
    </row>
    <row r="281" spans="1:59" ht="25.5" x14ac:dyDescent="0.2">
      <c r="A281" s="7" t="str">
        <f t="shared" ca="1" si="12"/>
        <v>253</v>
      </c>
      <c r="B281" s="7" t="str">
        <f ca="1">OFFSET(ORÇAMENTO!C$15,ROW(B281)-ROW(B$15),0)</f>
        <v>S</v>
      </c>
      <c r="C281" s="7" t="str">
        <f ca="1">OFFSET(ORÇAMENTO!L$15,ROW(C281)-ROW(C$15),0)</f>
        <v/>
      </c>
      <c r="D281" s="117" t="str">
        <f ca="1">OFFSET(ORÇAMENTO!N$15,ROW(D281)-ROW(D$15),0)</f>
        <v>Serviço</v>
      </c>
      <c r="E281" s="118" t="str">
        <f ca="1">OFFSET(ORÇAMENTO!O$15,ROW(E281)-ROW(E$15),0)</f>
        <v>-</v>
      </c>
      <c r="F281" s="164" t="str">
        <f ca="1">OFFSET(ORÇAMENTO!R$15,ROW(F281)-ROW(F$15),0)</f>
        <v>ELETRODUTO EM PVC VERMELHO 3/4" - 3 METROS SEM ROSCA</v>
      </c>
      <c r="G281" s="165" t="str">
        <f ca="1">IF($D281&lt;&gt;"Serviço","",OFFSET(ORÇAMENTO!S$15,ROW(G281)-ROW(G$15),0))</f>
        <v>UN</v>
      </c>
      <c r="H281" s="123">
        <f ca="1">IF($D281&lt;&gt;"Serviço",0,IF(ACOMPANHAMENTO="BM",ROUND(OFFSET(ORÇAMENTO!AJ$15,ROW(H281)-ROW(H$15),0),15-13*ORÇAMENTO!$AF$7),SUMPRODUCT(($Q$1:$AA$1=1)*ROUND($Q281:$AA281,15-13*ORÇAMENTO!$AF$7))))</f>
        <v>90</v>
      </c>
      <c r="I281" s="469"/>
      <c r="J281" s="577" t="str" cm="1">
        <f t="array" aca="1" ref="J281" ca="1">IF(B281&lt;&gt;"S","",IF(AND(ACOMPANHAMENTO="PLE",AUTOEVENTO="Manual",OR(H281&gt;0,ORÇAMENTO!AC281="QUANT."),OR(K281="",M281=0,N281="")),"►",IF(AND(ACOMPANHAMENTO="PLE",ORÇAMENTO!AC281="QUANT."),"►►",IF(AND(COUNTIF($P$11:$AA$11,"▼")=0,H281&gt;0,I281=""),"◄",""))))</f>
        <v>◄</v>
      </c>
      <c r="K281" s="626"/>
      <c r="L281" s="166" t="s">
        <v>765</v>
      </c>
      <c r="M281" s="167">
        <f ca="1">IF($D281&lt;&gt;"Serviço","",
          IF(AUTOEVENTO="manual",$A281,
                IF(ISERROR(MATCH($A281,$A$15:OFFSET($A281,-1,0),0)),MAX($M$15:OFFSET(M281,-1,0))+1,
                      INDEX($M$15:OFFSET(M281,-1,0),MATCH($A281,$A$15:OFFSET($A281,-1,0),0)))))</f>
        <v>16</v>
      </c>
      <c r="N281" s="168" t="str">
        <f ca="1">IF($D281&lt;&gt;"Serviço","",
         IF(AUTOEVENTO="Manual",
                IF($A281=0,"&lt;-- defina o número do agrupador",
                       OFFSET(EVENTOS!$D$15,$A281-$A$15,0)),
                OFFSET($F$15,$A281,0)))</f>
        <v>SISTEMAS DE PREVENÇÃO CONTRA INCÊNDIO</v>
      </c>
      <c r="O281" s="169"/>
      <c r="Q281" s="169"/>
      <c r="R281" s="170"/>
      <c r="S281" s="170"/>
      <c r="T281" s="170"/>
      <c r="U281" s="170"/>
      <c r="V281" s="170"/>
      <c r="W281" s="170"/>
      <c r="X281" s="170"/>
      <c r="Y281" s="170"/>
      <c r="Z281" s="171"/>
      <c r="AB281" s="454">
        <f ca="1">IF(AND($D281="Serviço",AB$12&lt;&gt;0,$H281&gt;0,OR(AUTOEVENTO&lt;&gt;"manual",$M281&lt;&gt;$A$15)),
        IF(Import.TipoArredondamento&lt;&gt;"TransfereGOV",
              ROUND(OFFSET($P281,0,AB$13),15-13*ORÇAMENTO!$AF$7)/$H281*OFFSET(ORÇAMENTO!$X$15,ROW(AB281)-ROW(AB$15),0),
              ROUND(ROUND(OFFSET($P281,0,AB$13),15-13*ORÇAMENTO!$AF$7)*OFFSET(ORÇAMENTO!$W$15,ROW(AB281)-ROW(AB$15),0),15-13*ORÇAMENTO!$AF$11)),
         0)</f>
        <v>0</v>
      </c>
      <c r="AC281" s="454">
        <f ca="1">IF(AND($D281="Serviço",AC$12&lt;&gt;0,$H281&gt;0,OR(AUTOEVENTO&lt;&gt;"manual",$M281&lt;&gt;$A$15)),
        IF(Import.TipoArredondamento&lt;&gt;"TransfereGOV",
              ROUND(OFFSET($P281,0,AC$13),15-13*ORÇAMENTO!$AF$7)/$H281*OFFSET(ORÇAMENTO!$X$15,ROW(AC281)-ROW(AC$15),0),
              ROUND(ROUND(OFFSET($P281,0,AC$13),15-13*ORÇAMENTO!$AF$7)*OFFSET(ORÇAMENTO!$W$15,ROW(AC281)-ROW(AC$15),0),15-13*ORÇAMENTO!$AF$11)),
         0)</f>
        <v>0</v>
      </c>
      <c r="AD281" s="454">
        <f ca="1">IF(AND($D281="Serviço",AD$12&lt;&gt;0,$H281&gt;0,OR(AUTOEVENTO&lt;&gt;"manual",$M281&lt;&gt;$A$15)),
        IF(Import.TipoArredondamento&lt;&gt;"TransfereGOV",
              ROUND(OFFSET($P281,0,AD$13),15-13*ORÇAMENTO!$AF$7)/$H281*OFFSET(ORÇAMENTO!$X$15,ROW(AD281)-ROW(AD$15),0),
              ROUND(ROUND(OFFSET($P281,0,AD$13),15-13*ORÇAMENTO!$AF$7)*OFFSET(ORÇAMENTO!$W$15,ROW(AD281)-ROW(AD$15),0),15-13*ORÇAMENTO!$AF$11)),
         0)</f>
        <v>0</v>
      </c>
      <c r="AE281" s="454">
        <f ca="1">IF(AND($D281="Serviço",AE$12&lt;&gt;0,$H281&gt;0,OR(AUTOEVENTO&lt;&gt;"manual",$M281&lt;&gt;$A$15)),
        IF(Import.TipoArredondamento&lt;&gt;"TransfereGOV",
              ROUND(OFFSET($P281,0,AE$13),15-13*ORÇAMENTO!$AF$7)/$H281*OFFSET(ORÇAMENTO!$X$15,ROW(AE281)-ROW(AE$15),0),
              ROUND(ROUND(OFFSET($P281,0,AE$13),15-13*ORÇAMENTO!$AF$7)*OFFSET(ORÇAMENTO!$W$15,ROW(AE281)-ROW(AE$15),0),15-13*ORÇAMENTO!$AF$11)),
         0)</f>
        <v>0</v>
      </c>
      <c r="AF281" s="454">
        <f ca="1">IF(AND($D281="Serviço",AF$12&lt;&gt;0,$H281&gt;0,OR(AUTOEVENTO&lt;&gt;"manual",$M281&lt;&gt;$A$15)),
        IF(Import.TipoArredondamento&lt;&gt;"TransfereGOV",
              ROUND(OFFSET($P281,0,AF$13),15-13*ORÇAMENTO!$AF$7)/$H281*OFFSET(ORÇAMENTO!$X$15,ROW(AF281)-ROW(AF$15),0),
              ROUND(ROUND(OFFSET($P281,0,AF$13),15-13*ORÇAMENTO!$AF$7)*OFFSET(ORÇAMENTO!$W$15,ROW(AF281)-ROW(AF$15),0),15-13*ORÇAMENTO!$AF$11)),
         0)</f>
        <v>0</v>
      </c>
      <c r="AG281" s="454">
        <f ca="1">IF(AND($D281="Serviço",AG$12&lt;&gt;0,$H281&gt;0,OR(AUTOEVENTO&lt;&gt;"manual",$M281&lt;&gt;$A$15)),
        IF(Import.TipoArredondamento&lt;&gt;"TransfereGOV",
              ROUND(OFFSET($P281,0,AG$13),15-13*ORÇAMENTO!$AF$7)/$H281*OFFSET(ORÇAMENTO!$X$15,ROW(AG281)-ROW(AG$15),0),
              ROUND(ROUND(OFFSET($P281,0,AG$13),15-13*ORÇAMENTO!$AF$7)*OFFSET(ORÇAMENTO!$W$15,ROW(AG281)-ROW(AG$15),0),15-13*ORÇAMENTO!$AF$11)),
         0)</f>
        <v>0</v>
      </c>
      <c r="AH281" s="454">
        <f ca="1">IF(AND($D281="Serviço",AH$12&lt;&gt;0,$H281&gt;0,OR(AUTOEVENTO&lt;&gt;"manual",$M281&lt;&gt;$A$15)),
        IF(Import.TipoArredondamento&lt;&gt;"TransfereGOV",
              ROUND(OFFSET($P281,0,AH$13),15-13*ORÇAMENTO!$AF$7)/$H281*OFFSET(ORÇAMENTO!$X$15,ROW(AH281)-ROW(AH$15),0),
              ROUND(ROUND(OFFSET($P281,0,AH$13),15-13*ORÇAMENTO!$AF$7)*OFFSET(ORÇAMENTO!$W$15,ROW(AH281)-ROW(AH$15),0),15-13*ORÇAMENTO!$AF$11)),
         0)</f>
        <v>0</v>
      </c>
      <c r="AI281" s="454">
        <f ca="1">IF(AND($D281="Serviço",AI$12&lt;&gt;0,$H281&gt;0,OR(AUTOEVENTO&lt;&gt;"manual",$M281&lt;&gt;$A$15)),
        IF(Import.TipoArredondamento&lt;&gt;"TransfereGOV",
              ROUND(OFFSET($P281,0,AI$13),15-13*ORÇAMENTO!$AF$7)/$H281*OFFSET(ORÇAMENTO!$X$15,ROW(AI281)-ROW(AI$15),0),
              ROUND(ROUND(OFFSET($P281,0,AI$13),15-13*ORÇAMENTO!$AF$7)*OFFSET(ORÇAMENTO!$W$15,ROW(AI281)-ROW(AI$15),0),15-13*ORÇAMENTO!$AF$11)),
         0)</f>
        <v>0</v>
      </c>
      <c r="AJ281" s="454">
        <f ca="1">IF(AND($D281="Serviço",AJ$12&lt;&gt;0,$H281&gt;0,OR(AUTOEVENTO&lt;&gt;"manual",$M281&lt;&gt;$A$15)),
        IF(Import.TipoArredondamento&lt;&gt;"TransfereGOV",
              ROUND(OFFSET($P281,0,AJ$13),15-13*ORÇAMENTO!$AF$7)/$H281*OFFSET(ORÇAMENTO!$X$15,ROW(AJ281)-ROW(AJ$15),0),
              ROUND(ROUND(OFFSET($P281,0,AJ$13),15-13*ORÇAMENTO!$AF$7)*OFFSET(ORÇAMENTO!$W$15,ROW(AJ281)-ROW(AJ$15),0),15-13*ORÇAMENTO!$AF$11)),
         0)</f>
        <v>0</v>
      </c>
      <c r="AK281" s="454">
        <f ca="1">IF(AND($D281="Serviço",AK$12&lt;&gt;0,$H281&gt;0,OR(AUTOEVENTO&lt;&gt;"manual",$M281&lt;&gt;$A$15)),
        IF(Import.TipoArredondamento&lt;&gt;"TransfereGOV",
              ROUND(OFFSET($P281,0,AK$13),15-13*ORÇAMENTO!$AF$7)/$H281*OFFSET(ORÇAMENTO!$X$15,ROW(AK281)-ROW(AK$15),0),
              ROUND(ROUND(OFFSET($P281,0,AK$13),15-13*ORÇAMENTO!$AF$7)*OFFSET(ORÇAMENTO!$W$15,ROW(AK281)-ROW(AK$15),0),15-13*ORÇAMENTO!$AF$11)),
         0)</f>
        <v>0</v>
      </c>
      <c r="AM281" s="172">
        <f ca="1">IF(OR($D281&lt;&gt;"Serviço",AND(AUTOEVENTO="Manual",$M281=$A$15)),0,
         IF(OFFSET(CRONOPLE!$F$15,$M281-$A$15,AM$13)="",10^12,OFFSET(CRONOPLE!$F$15,$M281-$A$15,AM$13)))</f>
        <v>1000000000000</v>
      </c>
      <c r="AN281" s="172">
        <f ca="1">IF(OR($D281&lt;&gt;"Serviço",AND(AUTOEVENTO="Manual",$M281=$A$15)),0,
         IF(OFFSET(CRONOPLE!$F$15,$M281-$A$15,AN$13)="",10^12,OFFSET(CRONOPLE!$F$15,$M281-$A$15,AN$13)))</f>
        <v>1000000000000</v>
      </c>
      <c r="AO281" s="172">
        <f ca="1">IF(OR($D281&lt;&gt;"Serviço",AND(AUTOEVENTO="Manual",$M281=$A$15)),0,
         IF(OFFSET(CRONOPLE!$F$15,$M281-$A$15,AO$13)="",10^12,OFFSET(CRONOPLE!$F$15,$M281-$A$15,AO$13)))</f>
        <v>1000000000000</v>
      </c>
      <c r="AP281" s="172">
        <f ca="1">IF(OR($D281&lt;&gt;"Serviço",AND(AUTOEVENTO="Manual",$M281=$A$15)),0,
         IF(OFFSET(CRONOPLE!$F$15,$M281-$A$15,AP$13)="",10^12,OFFSET(CRONOPLE!$F$15,$M281-$A$15,AP$13)))</f>
        <v>1000000000000</v>
      </c>
      <c r="AQ281" s="172">
        <f ca="1">IF(OR($D281&lt;&gt;"Serviço",AND(AUTOEVENTO="Manual",$M281=$A$15)),0,
         IF(OFFSET(CRONOPLE!$F$15,$M281-$A$15,AQ$13)="",10^12,OFFSET(CRONOPLE!$F$15,$M281-$A$15,AQ$13)))</f>
        <v>1000000000000</v>
      </c>
      <c r="AR281" s="172">
        <f ca="1">IF(OR($D281&lt;&gt;"Serviço",AND(AUTOEVENTO="Manual",$M281=$A$15)),0,
         IF(OFFSET(CRONOPLE!$F$15,$M281-$A$15,AR$13)="",10^12,OFFSET(CRONOPLE!$F$15,$M281-$A$15,AR$13)))</f>
        <v>1000000000000</v>
      </c>
      <c r="AS281" s="172">
        <f ca="1">IF(OR($D281&lt;&gt;"Serviço",AND(AUTOEVENTO="Manual",$M281=$A$15)),0,
         IF(OFFSET(CRONOPLE!$F$15,$M281-$A$15,AS$13)="",10^12,OFFSET(CRONOPLE!$F$15,$M281-$A$15,AS$13)))</f>
        <v>1000000000000</v>
      </c>
      <c r="AT281" s="172">
        <f ca="1">IF(OR($D281&lt;&gt;"Serviço",AND(AUTOEVENTO="Manual",$M281=$A$15)),0,
         IF(OFFSET(CRONOPLE!$F$15,$M281-$A$15,AT$13)="",10^12,OFFSET(CRONOPLE!$F$15,$M281-$A$15,AT$13)))</f>
        <v>1000000000000</v>
      </c>
      <c r="AU281" s="172">
        <f ca="1">IF(OR($D281&lt;&gt;"Serviço",AND(AUTOEVENTO="Manual",$M281=$A$15)),0,
         IF(OFFSET(CRONOPLE!$F$15,$M281-$A$15,AU$13)="",10^12,OFFSET(CRONOPLE!$F$15,$M281-$A$15,AU$13)))</f>
        <v>1000000000000</v>
      </c>
      <c r="AV281" s="172">
        <f ca="1">IF(OR($D281&lt;&gt;"Serviço",AND(AUTOEVENTO="Manual",$M281=$A$15)),0,
         IF(OFFSET(CRONOPLE!$F$15,$M281-$A$15,AV$13)="",10^12,OFFSET(CRONOPLE!$F$15,$M281-$A$15,AV$13)))</f>
        <v>1000000000000</v>
      </c>
      <c r="AX281" s="173">
        <f ca="1">IF(OR($D281&lt;&gt;"Serviço",AND(AUTOEVENTO="Manual",$M281=$A$15),$M281&gt;(ROW(PLE.lastrow)-ROW(PLE.firstrow))),0,
           IF(OFFSET(PLE!$G$15,$M281-$A$15,AX$13)="",10^12,OFFSET(PLE!$G$15,$M281-$A$15,AX$13)))</f>
        <v>1000000000000</v>
      </c>
      <c r="AY281" s="173">
        <f ca="1">IF(OR($D281&lt;&gt;"Serviço",AND(AUTOEVENTO="Manual",$M281=$A$15),$M281&gt;(ROW(PLE.lastrow)-ROW(PLE.firstrow))),0,
           IF(OFFSET(PLE!$G$15,$M281-$A$15,AY$13)="",10^12,OFFSET(PLE!$G$15,$M281-$A$15,AY$13)))</f>
        <v>1000000000000</v>
      </c>
      <c r="AZ281" s="173">
        <f ca="1">IF(OR($D281&lt;&gt;"Serviço",AND(AUTOEVENTO="Manual",$M281=$A$15),$M281&gt;(ROW(PLE.lastrow)-ROW(PLE.firstrow))),0,
           IF(OFFSET(PLE!$G$15,$M281-$A$15,AZ$13)="",10^12,OFFSET(PLE!$G$15,$M281-$A$15,AZ$13)))</f>
        <v>1000000000000</v>
      </c>
      <c r="BA281" s="173">
        <f ca="1">IF(OR($D281&lt;&gt;"Serviço",AND(AUTOEVENTO="Manual",$M281=$A$15),$M281&gt;(ROW(PLE.lastrow)-ROW(PLE.firstrow))),0,
           IF(OFFSET(PLE!$G$15,$M281-$A$15,BA$13)="",10^12,OFFSET(PLE!$G$15,$M281-$A$15,BA$13)))</f>
        <v>1000000000000</v>
      </c>
      <c r="BB281" s="173">
        <f ca="1">IF(OR($D281&lt;&gt;"Serviço",AND(AUTOEVENTO="Manual",$M281=$A$15),$M281&gt;(ROW(PLE.lastrow)-ROW(PLE.firstrow))),0,
           IF(OFFSET(PLE!$G$15,$M281-$A$15,BB$13)="",10^12,OFFSET(PLE!$G$15,$M281-$A$15,BB$13)))</f>
        <v>1000000000000</v>
      </c>
      <c r="BC281" s="173">
        <f ca="1">IF(OR($D281&lt;&gt;"Serviço",AND(AUTOEVENTO="Manual",$M281=$A$15),$M281&gt;(ROW(PLE.lastrow)-ROW(PLE.firstrow))),0,
           IF(OFFSET(PLE!$G$15,$M281-$A$15,BC$13)="",10^12,OFFSET(PLE!$G$15,$M281-$A$15,BC$13)))</f>
        <v>1000000000000</v>
      </c>
      <c r="BD281" s="173">
        <f ca="1">IF(OR($D281&lt;&gt;"Serviço",AND(AUTOEVENTO="Manual",$M281=$A$15),$M281&gt;(ROW(PLE.lastrow)-ROW(PLE.firstrow))),0,
           IF(OFFSET(PLE!$G$15,$M281-$A$15,BD$13)="",10^12,OFFSET(PLE!$G$15,$M281-$A$15,BD$13)))</f>
        <v>1000000000000</v>
      </c>
      <c r="BE281" s="173">
        <f ca="1">IF(OR($D281&lt;&gt;"Serviço",AND(AUTOEVENTO="Manual",$M281=$A$15),$M281&gt;(ROW(PLE.lastrow)-ROW(PLE.firstrow))),0,
           IF(OFFSET(PLE!$G$15,$M281-$A$15,BE$13)="",10^12,OFFSET(PLE!$G$15,$M281-$A$15,BE$13)))</f>
        <v>1000000000000</v>
      </c>
      <c r="BF281" s="173">
        <f ca="1">IF(OR($D281&lt;&gt;"Serviço",AND(AUTOEVENTO="Manual",$M281=$A$15),$M281&gt;(ROW(PLE.lastrow)-ROW(PLE.firstrow))),0,
           IF(OFFSET(PLE!$G$15,$M281-$A$15,BF$13)="",10^12,OFFSET(PLE!$G$15,$M281-$A$15,BF$13)))</f>
        <v>1000000000000</v>
      </c>
      <c r="BG281" s="173">
        <f ca="1">IF(OR($D281&lt;&gt;"Serviço",AND(AUTOEVENTO="Manual",$M281=$A$15),$M281&gt;(ROW(PLE.lastrow)-ROW(PLE.firstrow))),0,
           IF(OFFSET(PLE!$G$15,$M281-$A$15,BG$13)="",10^12,OFFSET(PLE!$G$15,$M281-$A$15,BG$13)))</f>
        <v>1000000000000</v>
      </c>
    </row>
    <row r="282" spans="1:59" ht="25.5" x14ac:dyDescent="0.2">
      <c r="A282" s="7" t="str">
        <f t="shared" ca="1" si="12"/>
        <v>253</v>
      </c>
      <c r="B282" s="7" t="str">
        <f ca="1">OFFSET(ORÇAMENTO!C$15,ROW(B282)-ROW(B$15),0)</f>
        <v>S</v>
      </c>
      <c r="C282" s="7" t="str">
        <f ca="1">OFFSET(ORÇAMENTO!L$15,ROW(C282)-ROW(C$15),0)</f>
        <v/>
      </c>
      <c r="D282" s="117" t="str">
        <f ca="1">OFFSET(ORÇAMENTO!N$15,ROW(D282)-ROW(D$15),0)</f>
        <v>Serviço</v>
      </c>
      <c r="E282" s="118" t="str">
        <f ca="1">OFFSET(ORÇAMENTO!O$15,ROW(E282)-ROW(E$15),0)</f>
        <v>-</v>
      </c>
      <c r="F282" s="164" t="str">
        <f ca="1">OFFSET(ORÇAMENTO!R$15,ROW(F282)-ROW(F$15),0)</f>
        <v xml:space="preserve">COTOVELO 90º EM PVC VERMELHO 3/4" SEM ROSCA COM ABERTURA </v>
      </c>
      <c r="G282" s="165" t="str">
        <f ca="1">IF($D282&lt;&gt;"Serviço","",OFFSET(ORÇAMENTO!S$15,ROW(G282)-ROW(G$15),0))</f>
        <v>UN</v>
      </c>
      <c r="H282" s="123">
        <f ca="1">IF($D282&lt;&gt;"Serviço",0,IF(ACOMPANHAMENTO="BM",ROUND(OFFSET(ORÇAMENTO!AJ$15,ROW(H282)-ROW(H$15),0),15-13*ORÇAMENTO!$AF$7),SUMPRODUCT(($Q$1:$AA$1=1)*ROUND($Q282:$AA282,15-13*ORÇAMENTO!$AF$7))))</f>
        <v>10</v>
      </c>
      <c r="I282" s="469"/>
      <c r="J282" s="577" t="str" cm="1">
        <f t="array" aca="1" ref="J282" ca="1">IF(B282&lt;&gt;"S","",IF(AND(ACOMPANHAMENTO="PLE",AUTOEVENTO="Manual",OR(H282&gt;0,ORÇAMENTO!AC282="QUANT."),OR(K282="",M282=0,N282="")),"►",IF(AND(ACOMPANHAMENTO="PLE",ORÇAMENTO!AC282="QUANT."),"►►",IF(AND(COUNTIF($P$11:$AA$11,"▼")=0,H282&gt;0,I282=""),"◄",""))))</f>
        <v>◄</v>
      </c>
      <c r="K282" s="626"/>
      <c r="L282" s="166" t="s">
        <v>765</v>
      </c>
      <c r="M282" s="167">
        <f ca="1">IF($D282&lt;&gt;"Serviço","",
          IF(AUTOEVENTO="manual",$A282,
                IF(ISERROR(MATCH($A282,$A$15:OFFSET($A282,-1,0),0)),MAX($M$15:OFFSET(M282,-1,0))+1,
                      INDEX($M$15:OFFSET(M282,-1,0),MATCH($A282,$A$15:OFFSET($A282,-1,0),0)))))</f>
        <v>16</v>
      </c>
      <c r="N282" s="168" t="str">
        <f ca="1">IF($D282&lt;&gt;"Serviço","",
         IF(AUTOEVENTO="Manual",
                IF($A282=0,"&lt;-- defina o número do agrupador",
                       OFFSET(EVENTOS!$D$15,$A282-$A$15,0)),
                OFFSET($F$15,$A282,0)))</f>
        <v>SISTEMAS DE PREVENÇÃO CONTRA INCÊNDIO</v>
      </c>
      <c r="O282" s="169"/>
      <c r="Q282" s="169"/>
      <c r="R282" s="170"/>
      <c r="S282" s="170"/>
      <c r="T282" s="170"/>
      <c r="U282" s="170"/>
      <c r="V282" s="170"/>
      <c r="W282" s="170"/>
      <c r="X282" s="170"/>
      <c r="Y282" s="170"/>
      <c r="Z282" s="171"/>
      <c r="AB282" s="454">
        <f ca="1">IF(AND($D282="Serviço",AB$12&lt;&gt;0,$H282&gt;0,OR(AUTOEVENTO&lt;&gt;"manual",$M282&lt;&gt;$A$15)),
        IF(Import.TipoArredondamento&lt;&gt;"TransfereGOV",
              ROUND(OFFSET($P282,0,AB$13),15-13*ORÇAMENTO!$AF$7)/$H282*OFFSET(ORÇAMENTO!$X$15,ROW(AB282)-ROW(AB$15),0),
              ROUND(ROUND(OFFSET($P282,0,AB$13),15-13*ORÇAMENTO!$AF$7)*OFFSET(ORÇAMENTO!$W$15,ROW(AB282)-ROW(AB$15),0),15-13*ORÇAMENTO!$AF$11)),
         0)</f>
        <v>0</v>
      </c>
      <c r="AC282" s="454">
        <f ca="1">IF(AND($D282="Serviço",AC$12&lt;&gt;0,$H282&gt;0,OR(AUTOEVENTO&lt;&gt;"manual",$M282&lt;&gt;$A$15)),
        IF(Import.TipoArredondamento&lt;&gt;"TransfereGOV",
              ROUND(OFFSET($P282,0,AC$13),15-13*ORÇAMENTO!$AF$7)/$H282*OFFSET(ORÇAMENTO!$X$15,ROW(AC282)-ROW(AC$15),0),
              ROUND(ROUND(OFFSET($P282,0,AC$13),15-13*ORÇAMENTO!$AF$7)*OFFSET(ORÇAMENTO!$W$15,ROW(AC282)-ROW(AC$15),0),15-13*ORÇAMENTO!$AF$11)),
         0)</f>
        <v>0</v>
      </c>
      <c r="AD282" s="454">
        <f ca="1">IF(AND($D282="Serviço",AD$12&lt;&gt;0,$H282&gt;0,OR(AUTOEVENTO&lt;&gt;"manual",$M282&lt;&gt;$A$15)),
        IF(Import.TipoArredondamento&lt;&gt;"TransfereGOV",
              ROUND(OFFSET($P282,0,AD$13),15-13*ORÇAMENTO!$AF$7)/$H282*OFFSET(ORÇAMENTO!$X$15,ROW(AD282)-ROW(AD$15),0),
              ROUND(ROUND(OFFSET($P282,0,AD$13),15-13*ORÇAMENTO!$AF$7)*OFFSET(ORÇAMENTO!$W$15,ROW(AD282)-ROW(AD$15),0),15-13*ORÇAMENTO!$AF$11)),
         0)</f>
        <v>0</v>
      </c>
      <c r="AE282" s="454">
        <f ca="1">IF(AND($D282="Serviço",AE$12&lt;&gt;0,$H282&gt;0,OR(AUTOEVENTO&lt;&gt;"manual",$M282&lt;&gt;$A$15)),
        IF(Import.TipoArredondamento&lt;&gt;"TransfereGOV",
              ROUND(OFFSET($P282,0,AE$13),15-13*ORÇAMENTO!$AF$7)/$H282*OFFSET(ORÇAMENTO!$X$15,ROW(AE282)-ROW(AE$15),0),
              ROUND(ROUND(OFFSET($P282,0,AE$13),15-13*ORÇAMENTO!$AF$7)*OFFSET(ORÇAMENTO!$W$15,ROW(AE282)-ROW(AE$15),0),15-13*ORÇAMENTO!$AF$11)),
         0)</f>
        <v>0</v>
      </c>
      <c r="AF282" s="454">
        <f ca="1">IF(AND($D282="Serviço",AF$12&lt;&gt;0,$H282&gt;0,OR(AUTOEVENTO&lt;&gt;"manual",$M282&lt;&gt;$A$15)),
        IF(Import.TipoArredondamento&lt;&gt;"TransfereGOV",
              ROUND(OFFSET($P282,0,AF$13),15-13*ORÇAMENTO!$AF$7)/$H282*OFFSET(ORÇAMENTO!$X$15,ROW(AF282)-ROW(AF$15),0),
              ROUND(ROUND(OFFSET($P282,0,AF$13),15-13*ORÇAMENTO!$AF$7)*OFFSET(ORÇAMENTO!$W$15,ROW(AF282)-ROW(AF$15),0),15-13*ORÇAMENTO!$AF$11)),
         0)</f>
        <v>0</v>
      </c>
      <c r="AG282" s="454">
        <f ca="1">IF(AND($D282="Serviço",AG$12&lt;&gt;0,$H282&gt;0,OR(AUTOEVENTO&lt;&gt;"manual",$M282&lt;&gt;$A$15)),
        IF(Import.TipoArredondamento&lt;&gt;"TransfereGOV",
              ROUND(OFFSET($P282,0,AG$13),15-13*ORÇAMENTO!$AF$7)/$H282*OFFSET(ORÇAMENTO!$X$15,ROW(AG282)-ROW(AG$15),0),
              ROUND(ROUND(OFFSET($P282,0,AG$13),15-13*ORÇAMENTO!$AF$7)*OFFSET(ORÇAMENTO!$W$15,ROW(AG282)-ROW(AG$15),0),15-13*ORÇAMENTO!$AF$11)),
         0)</f>
        <v>0</v>
      </c>
      <c r="AH282" s="454">
        <f ca="1">IF(AND($D282="Serviço",AH$12&lt;&gt;0,$H282&gt;0,OR(AUTOEVENTO&lt;&gt;"manual",$M282&lt;&gt;$A$15)),
        IF(Import.TipoArredondamento&lt;&gt;"TransfereGOV",
              ROUND(OFFSET($P282,0,AH$13),15-13*ORÇAMENTO!$AF$7)/$H282*OFFSET(ORÇAMENTO!$X$15,ROW(AH282)-ROW(AH$15),0),
              ROUND(ROUND(OFFSET($P282,0,AH$13),15-13*ORÇAMENTO!$AF$7)*OFFSET(ORÇAMENTO!$W$15,ROW(AH282)-ROW(AH$15),0),15-13*ORÇAMENTO!$AF$11)),
         0)</f>
        <v>0</v>
      </c>
      <c r="AI282" s="454">
        <f ca="1">IF(AND($D282="Serviço",AI$12&lt;&gt;0,$H282&gt;0,OR(AUTOEVENTO&lt;&gt;"manual",$M282&lt;&gt;$A$15)),
        IF(Import.TipoArredondamento&lt;&gt;"TransfereGOV",
              ROUND(OFFSET($P282,0,AI$13),15-13*ORÇAMENTO!$AF$7)/$H282*OFFSET(ORÇAMENTO!$X$15,ROW(AI282)-ROW(AI$15),0),
              ROUND(ROUND(OFFSET($P282,0,AI$13),15-13*ORÇAMENTO!$AF$7)*OFFSET(ORÇAMENTO!$W$15,ROW(AI282)-ROW(AI$15),0),15-13*ORÇAMENTO!$AF$11)),
         0)</f>
        <v>0</v>
      </c>
      <c r="AJ282" s="454">
        <f ca="1">IF(AND($D282="Serviço",AJ$12&lt;&gt;0,$H282&gt;0,OR(AUTOEVENTO&lt;&gt;"manual",$M282&lt;&gt;$A$15)),
        IF(Import.TipoArredondamento&lt;&gt;"TransfereGOV",
              ROUND(OFFSET($P282,0,AJ$13),15-13*ORÇAMENTO!$AF$7)/$H282*OFFSET(ORÇAMENTO!$X$15,ROW(AJ282)-ROW(AJ$15),0),
              ROUND(ROUND(OFFSET($P282,0,AJ$13),15-13*ORÇAMENTO!$AF$7)*OFFSET(ORÇAMENTO!$W$15,ROW(AJ282)-ROW(AJ$15),0),15-13*ORÇAMENTO!$AF$11)),
         0)</f>
        <v>0</v>
      </c>
      <c r="AK282" s="454">
        <f ca="1">IF(AND($D282="Serviço",AK$12&lt;&gt;0,$H282&gt;0,OR(AUTOEVENTO&lt;&gt;"manual",$M282&lt;&gt;$A$15)),
        IF(Import.TipoArredondamento&lt;&gt;"TransfereGOV",
              ROUND(OFFSET($P282,0,AK$13),15-13*ORÇAMENTO!$AF$7)/$H282*OFFSET(ORÇAMENTO!$X$15,ROW(AK282)-ROW(AK$15),0),
              ROUND(ROUND(OFFSET($P282,0,AK$13),15-13*ORÇAMENTO!$AF$7)*OFFSET(ORÇAMENTO!$W$15,ROW(AK282)-ROW(AK$15),0),15-13*ORÇAMENTO!$AF$11)),
         0)</f>
        <v>0</v>
      </c>
      <c r="AM282" s="172">
        <f ca="1">IF(OR($D282&lt;&gt;"Serviço",AND(AUTOEVENTO="Manual",$M282=$A$15)),0,
         IF(OFFSET(CRONOPLE!$F$15,$M282-$A$15,AM$13)="",10^12,OFFSET(CRONOPLE!$F$15,$M282-$A$15,AM$13)))</f>
        <v>1000000000000</v>
      </c>
      <c r="AN282" s="172">
        <f ca="1">IF(OR($D282&lt;&gt;"Serviço",AND(AUTOEVENTO="Manual",$M282=$A$15)),0,
         IF(OFFSET(CRONOPLE!$F$15,$M282-$A$15,AN$13)="",10^12,OFFSET(CRONOPLE!$F$15,$M282-$A$15,AN$13)))</f>
        <v>1000000000000</v>
      </c>
      <c r="AO282" s="172">
        <f ca="1">IF(OR($D282&lt;&gt;"Serviço",AND(AUTOEVENTO="Manual",$M282=$A$15)),0,
         IF(OFFSET(CRONOPLE!$F$15,$M282-$A$15,AO$13)="",10^12,OFFSET(CRONOPLE!$F$15,$M282-$A$15,AO$13)))</f>
        <v>1000000000000</v>
      </c>
      <c r="AP282" s="172">
        <f ca="1">IF(OR($D282&lt;&gt;"Serviço",AND(AUTOEVENTO="Manual",$M282=$A$15)),0,
         IF(OFFSET(CRONOPLE!$F$15,$M282-$A$15,AP$13)="",10^12,OFFSET(CRONOPLE!$F$15,$M282-$A$15,AP$13)))</f>
        <v>1000000000000</v>
      </c>
      <c r="AQ282" s="172">
        <f ca="1">IF(OR($D282&lt;&gt;"Serviço",AND(AUTOEVENTO="Manual",$M282=$A$15)),0,
         IF(OFFSET(CRONOPLE!$F$15,$M282-$A$15,AQ$13)="",10^12,OFFSET(CRONOPLE!$F$15,$M282-$A$15,AQ$13)))</f>
        <v>1000000000000</v>
      </c>
      <c r="AR282" s="172">
        <f ca="1">IF(OR($D282&lt;&gt;"Serviço",AND(AUTOEVENTO="Manual",$M282=$A$15)),0,
         IF(OFFSET(CRONOPLE!$F$15,$M282-$A$15,AR$13)="",10^12,OFFSET(CRONOPLE!$F$15,$M282-$A$15,AR$13)))</f>
        <v>1000000000000</v>
      </c>
      <c r="AS282" s="172">
        <f ca="1">IF(OR($D282&lt;&gt;"Serviço",AND(AUTOEVENTO="Manual",$M282=$A$15)),0,
         IF(OFFSET(CRONOPLE!$F$15,$M282-$A$15,AS$13)="",10^12,OFFSET(CRONOPLE!$F$15,$M282-$A$15,AS$13)))</f>
        <v>1000000000000</v>
      </c>
      <c r="AT282" s="172">
        <f ca="1">IF(OR($D282&lt;&gt;"Serviço",AND(AUTOEVENTO="Manual",$M282=$A$15)),0,
         IF(OFFSET(CRONOPLE!$F$15,$M282-$A$15,AT$13)="",10^12,OFFSET(CRONOPLE!$F$15,$M282-$A$15,AT$13)))</f>
        <v>1000000000000</v>
      </c>
      <c r="AU282" s="172">
        <f ca="1">IF(OR($D282&lt;&gt;"Serviço",AND(AUTOEVENTO="Manual",$M282=$A$15)),0,
         IF(OFFSET(CRONOPLE!$F$15,$M282-$A$15,AU$13)="",10^12,OFFSET(CRONOPLE!$F$15,$M282-$A$15,AU$13)))</f>
        <v>1000000000000</v>
      </c>
      <c r="AV282" s="172">
        <f ca="1">IF(OR($D282&lt;&gt;"Serviço",AND(AUTOEVENTO="Manual",$M282=$A$15)),0,
         IF(OFFSET(CRONOPLE!$F$15,$M282-$A$15,AV$13)="",10^12,OFFSET(CRONOPLE!$F$15,$M282-$A$15,AV$13)))</f>
        <v>1000000000000</v>
      </c>
      <c r="AX282" s="173">
        <f ca="1">IF(OR($D282&lt;&gt;"Serviço",AND(AUTOEVENTO="Manual",$M282=$A$15),$M282&gt;(ROW(PLE.lastrow)-ROW(PLE.firstrow))),0,
           IF(OFFSET(PLE!$G$15,$M282-$A$15,AX$13)="",10^12,OFFSET(PLE!$G$15,$M282-$A$15,AX$13)))</f>
        <v>1000000000000</v>
      </c>
      <c r="AY282" s="173">
        <f ca="1">IF(OR($D282&lt;&gt;"Serviço",AND(AUTOEVENTO="Manual",$M282=$A$15),$M282&gt;(ROW(PLE.lastrow)-ROW(PLE.firstrow))),0,
           IF(OFFSET(PLE!$G$15,$M282-$A$15,AY$13)="",10^12,OFFSET(PLE!$G$15,$M282-$A$15,AY$13)))</f>
        <v>1000000000000</v>
      </c>
      <c r="AZ282" s="173">
        <f ca="1">IF(OR($D282&lt;&gt;"Serviço",AND(AUTOEVENTO="Manual",$M282=$A$15),$M282&gt;(ROW(PLE.lastrow)-ROW(PLE.firstrow))),0,
           IF(OFFSET(PLE!$G$15,$M282-$A$15,AZ$13)="",10^12,OFFSET(PLE!$G$15,$M282-$A$15,AZ$13)))</f>
        <v>1000000000000</v>
      </c>
      <c r="BA282" s="173">
        <f ca="1">IF(OR($D282&lt;&gt;"Serviço",AND(AUTOEVENTO="Manual",$M282=$A$15),$M282&gt;(ROW(PLE.lastrow)-ROW(PLE.firstrow))),0,
           IF(OFFSET(PLE!$G$15,$M282-$A$15,BA$13)="",10^12,OFFSET(PLE!$G$15,$M282-$A$15,BA$13)))</f>
        <v>1000000000000</v>
      </c>
      <c r="BB282" s="173">
        <f ca="1">IF(OR($D282&lt;&gt;"Serviço",AND(AUTOEVENTO="Manual",$M282=$A$15),$M282&gt;(ROW(PLE.lastrow)-ROW(PLE.firstrow))),0,
           IF(OFFSET(PLE!$G$15,$M282-$A$15,BB$13)="",10^12,OFFSET(PLE!$G$15,$M282-$A$15,BB$13)))</f>
        <v>1000000000000</v>
      </c>
      <c r="BC282" s="173">
        <f ca="1">IF(OR($D282&lt;&gt;"Serviço",AND(AUTOEVENTO="Manual",$M282=$A$15),$M282&gt;(ROW(PLE.lastrow)-ROW(PLE.firstrow))),0,
           IF(OFFSET(PLE!$G$15,$M282-$A$15,BC$13)="",10^12,OFFSET(PLE!$G$15,$M282-$A$15,BC$13)))</f>
        <v>1000000000000</v>
      </c>
      <c r="BD282" s="173">
        <f ca="1">IF(OR($D282&lt;&gt;"Serviço",AND(AUTOEVENTO="Manual",$M282=$A$15),$M282&gt;(ROW(PLE.lastrow)-ROW(PLE.firstrow))),0,
           IF(OFFSET(PLE!$G$15,$M282-$A$15,BD$13)="",10^12,OFFSET(PLE!$G$15,$M282-$A$15,BD$13)))</f>
        <v>1000000000000</v>
      </c>
      <c r="BE282" s="173">
        <f ca="1">IF(OR($D282&lt;&gt;"Serviço",AND(AUTOEVENTO="Manual",$M282=$A$15),$M282&gt;(ROW(PLE.lastrow)-ROW(PLE.firstrow))),0,
           IF(OFFSET(PLE!$G$15,$M282-$A$15,BE$13)="",10^12,OFFSET(PLE!$G$15,$M282-$A$15,BE$13)))</f>
        <v>1000000000000</v>
      </c>
      <c r="BF282" s="173">
        <f ca="1">IF(OR($D282&lt;&gt;"Serviço",AND(AUTOEVENTO="Manual",$M282=$A$15),$M282&gt;(ROW(PLE.lastrow)-ROW(PLE.firstrow))),0,
           IF(OFFSET(PLE!$G$15,$M282-$A$15,BF$13)="",10^12,OFFSET(PLE!$G$15,$M282-$A$15,BF$13)))</f>
        <v>1000000000000</v>
      </c>
      <c r="BG282" s="173">
        <f ca="1">IF(OR($D282&lt;&gt;"Serviço",AND(AUTOEVENTO="Manual",$M282=$A$15),$M282&gt;(ROW(PLE.lastrow)-ROW(PLE.firstrow))),0,
           IF(OFFSET(PLE!$G$15,$M282-$A$15,BG$13)="",10^12,OFFSET(PLE!$G$15,$M282-$A$15,BG$13)))</f>
        <v>1000000000000</v>
      </c>
    </row>
    <row r="283" spans="1:59" ht="25.5" x14ac:dyDescent="0.2">
      <c r="A283" s="7" t="str">
        <f t="shared" ca="1" si="12"/>
        <v>253</v>
      </c>
      <c r="B283" s="7" t="str">
        <f ca="1">OFFSET(ORÇAMENTO!C$15,ROW(B283)-ROW(B$15),0)</f>
        <v>S</v>
      </c>
      <c r="C283" s="7" t="str">
        <f ca="1">OFFSET(ORÇAMENTO!L$15,ROW(C283)-ROW(C$15),0)</f>
        <v/>
      </c>
      <c r="D283" s="117" t="str">
        <f ca="1">OFFSET(ORÇAMENTO!N$15,ROW(D283)-ROW(D$15),0)</f>
        <v>Serviço</v>
      </c>
      <c r="E283" s="118" t="str">
        <f ca="1">OFFSET(ORÇAMENTO!O$15,ROW(E283)-ROW(E$15),0)</f>
        <v>-</v>
      </c>
      <c r="F283" s="164" t="str">
        <f ca="1">OFFSET(ORÇAMENTO!R$15,ROW(F283)-ROW(F$15),0)</f>
        <v>ELETRICISTA COM ENCARGOS COMPLEMENTARES</v>
      </c>
      <c r="G283" s="165" t="str">
        <f ca="1">IF($D283&lt;&gt;"Serviço","",OFFSET(ORÇAMENTO!S$15,ROW(G283)-ROW(G$15),0))</f>
        <v>H</v>
      </c>
      <c r="H283" s="123">
        <f ca="1">IF($D283&lt;&gt;"Serviço",0,IF(ACOMPANHAMENTO="BM",ROUND(OFFSET(ORÇAMENTO!AJ$15,ROW(H283)-ROW(H$15),0),15-13*ORÇAMENTO!$AF$7),SUMPRODUCT(($Q$1:$AA$1=1)*ROUND($Q283:$AA283,15-13*ORÇAMENTO!$AF$7))))</f>
        <v>24</v>
      </c>
      <c r="I283" s="469"/>
      <c r="J283" s="577" t="str" cm="1">
        <f t="array" aca="1" ref="J283" ca="1">IF(B283&lt;&gt;"S","",IF(AND(ACOMPANHAMENTO="PLE",AUTOEVENTO="Manual",OR(H283&gt;0,ORÇAMENTO!AC283="QUANT."),OR(K283="",M283=0,N283="")),"►",IF(AND(ACOMPANHAMENTO="PLE",ORÇAMENTO!AC283="QUANT."),"►►",IF(AND(COUNTIF($P$11:$AA$11,"▼")=0,H283&gt;0,I283=""),"◄",""))))</f>
        <v>◄</v>
      </c>
      <c r="K283" s="626"/>
      <c r="L283" s="166" t="s">
        <v>765</v>
      </c>
      <c r="M283" s="167">
        <f ca="1">IF($D283&lt;&gt;"Serviço","",
          IF(AUTOEVENTO="manual",$A283,
                IF(ISERROR(MATCH($A283,$A$15:OFFSET($A283,-1,0),0)),MAX($M$15:OFFSET(M283,-1,0))+1,
                      INDEX($M$15:OFFSET(M283,-1,0),MATCH($A283,$A$15:OFFSET($A283,-1,0),0)))))</f>
        <v>16</v>
      </c>
      <c r="N283" s="168" t="str">
        <f ca="1">IF($D283&lt;&gt;"Serviço","",
         IF(AUTOEVENTO="Manual",
                IF($A283=0,"&lt;-- defina o número do agrupador",
                       OFFSET(EVENTOS!$D$15,$A283-$A$15,0)),
                OFFSET($F$15,$A283,0)))</f>
        <v>SISTEMAS DE PREVENÇÃO CONTRA INCÊNDIO</v>
      </c>
      <c r="O283" s="169"/>
      <c r="Q283" s="169"/>
      <c r="R283" s="170"/>
      <c r="S283" s="170"/>
      <c r="T283" s="170"/>
      <c r="U283" s="170"/>
      <c r="V283" s="170"/>
      <c r="W283" s="170"/>
      <c r="X283" s="170"/>
      <c r="Y283" s="170"/>
      <c r="Z283" s="171"/>
      <c r="AB283" s="454">
        <f ca="1">IF(AND($D283="Serviço",AB$12&lt;&gt;0,$H283&gt;0,OR(AUTOEVENTO&lt;&gt;"manual",$M283&lt;&gt;$A$15)),
        IF(Import.TipoArredondamento&lt;&gt;"TransfereGOV",
              ROUND(OFFSET($P283,0,AB$13),15-13*ORÇAMENTO!$AF$7)/$H283*OFFSET(ORÇAMENTO!$X$15,ROW(AB283)-ROW(AB$15),0),
              ROUND(ROUND(OFFSET($P283,0,AB$13),15-13*ORÇAMENTO!$AF$7)*OFFSET(ORÇAMENTO!$W$15,ROW(AB283)-ROW(AB$15),0),15-13*ORÇAMENTO!$AF$11)),
         0)</f>
        <v>0</v>
      </c>
      <c r="AC283" s="454">
        <f ca="1">IF(AND($D283="Serviço",AC$12&lt;&gt;0,$H283&gt;0,OR(AUTOEVENTO&lt;&gt;"manual",$M283&lt;&gt;$A$15)),
        IF(Import.TipoArredondamento&lt;&gt;"TransfereGOV",
              ROUND(OFFSET($P283,0,AC$13),15-13*ORÇAMENTO!$AF$7)/$H283*OFFSET(ORÇAMENTO!$X$15,ROW(AC283)-ROW(AC$15),0),
              ROUND(ROUND(OFFSET($P283,0,AC$13),15-13*ORÇAMENTO!$AF$7)*OFFSET(ORÇAMENTO!$W$15,ROW(AC283)-ROW(AC$15),0),15-13*ORÇAMENTO!$AF$11)),
         0)</f>
        <v>0</v>
      </c>
      <c r="AD283" s="454">
        <f ca="1">IF(AND($D283="Serviço",AD$12&lt;&gt;0,$H283&gt;0,OR(AUTOEVENTO&lt;&gt;"manual",$M283&lt;&gt;$A$15)),
        IF(Import.TipoArredondamento&lt;&gt;"TransfereGOV",
              ROUND(OFFSET($P283,0,AD$13),15-13*ORÇAMENTO!$AF$7)/$H283*OFFSET(ORÇAMENTO!$X$15,ROW(AD283)-ROW(AD$15),0),
              ROUND(ROUND(OFFSET($P283,0,AD$13),15-13*ORÇAMENTO!$AF$7)*OFFSET(ORÇAMENTO!$W$15,ROW(AD283)-ROW(AD$15),0),15-13*ORÇAMENTO!$AF$11)),
         0)</f>
        <v>0</v>
      </c>
      <c r="AE283" s="454">
        <f ca="1">IF(AND($D283="Serviço",AE$12&lt;&gt;0,$H283&gt;0,OR(AUTOEVENTO&lt;&gt;"manual",$M283&lt;&gt;$A$15)),
        IF(Import.TipoArredondamento&lt;&gt;"TransfereGOV",
              ROUND(OFFSET($P283,0,AE$13),15-13*ORÇAMENTO!$AF$7)/$H283*OFFSET(ORÇAMENTO!$X$15,ROW(AE283)-ROW(AE$15),0),
              ROUND(ROUND(OFFSET($P283,0,AE$13),15-13*ORÇAMENTO!$AF$7)*OFFSET(ORÇAMENTO!$W$15,ROW(AE283)-ROW(AE$15),0),15-13*ORÇAMENTO!$AF$11)),
         0)</f>
        <v>0</v>
      </c>
      <c r="AF283" s="454">
        <f ca="1">IF(AND($D283="Serviço",AF$12&lt;&gt;0,$H283&gt;0,OR(AUTOEVENTO&lt;&gt;"manual",$M283&lt;&gt;$A$15)),
        IF(Import.TipoArredondamento&lt;&gt;"TransfereGOV",
              ROUND(OFFSET($P283,0,AF$13),15-13*ORÇAMENTO!$AF$7)/$H283*OFFSET(ORÇAMENTO!$X$15,ROW(AF283)-ROW(AF$15),0),
              ROUND(ROUND(OFFSET($P283,0,AF$13),15-13*ORÇAMENTO!$AF$7)*OFFSET(ORÇAMENTO!$W$15,ROW(AF283)-ROW(AF$15),0),15-13*ORÇAMENTO!$AF$11)),
         0)</f>
        <v>0</v>
      </c>
      <c r="AG283" s="454">
        <f ca="1">IF(AND($D283="Serviço",AG$12&lt;&gt;0,$H283&gt;0,OR(AUTOEVENTO&lt;&gt;"manual",$M283&lt;&gt;$A$15)),
        IF(Import.TipoArredondamento&lt;&gt;"TransfereGOV",
              ROUND(OFFSET($P283,0,AG$13),15-13*ORÇAMENTO!$AF$7)/$H283*OFFSET(ORÇAMENTO!$X$15,ROW(AG283)-ROW(AG$15),0),
              ROUND(ROUND(OFFSET($P283,0,AG$13),15-13*ORÇAMENTO!$AF$7)*OFFSET(ORÇAMENTO!$W$15,ROW(AG283)-ROW(AG$15),0),15-13*ORÇAMENTO!$AF$11)),
         0)</f>
        <v>0</v>
      </c>
      <c r="AH283" s="454">
        <f ca="1">IF(AND($D283="Serviço",AH$12&lt;&gt;0,$H283&gt;0,OR(AUTOEVENTO&lt;&gt;"manual",$M283&lt;&gt;$A$15)),
        IF(Import.TipoArredondamento&lt;&gt;"TransfereGOV",
              ROUND(OFFSET($P283,0,AH$13),15-13*ORÇAMENTO!$AF$7)/$H283*OFFSET(ORÇAMENTO!$X$15,ROW(AH283)-ROW(AH$15),0),
              ROUND(ROUND(OFFSET($P283,0,AH$13),15-13*ORÇAMENTO!$AF$7)*OFFSET(ORÇAMENTO!$W$15,ROW(AH283)-ROW(AH$15),0),15-13*ORÇAMENTO!$AF$11)),
         0)</f>
        <v>0</v>
      </c>
      <c r="AI283" s="454">
        <f ca="1">IF(AND($D283="Serviço",AI$12&lt;&gt;0,$H283&gt;0,OR(AUTOEVENTO&lt;&gt;"manual",$M283&lt;&gt;$A$15)),
        IF(Import.TipoArredondamento&lt;&gt;"TransfereGOV",
              ROUND(OFFSET($P283,0,AI$13),15-13*ORÇAMENTO!$AF$7)/$H283*OFFSET(ORÇAMENTO!$X$15,ROW(AI283)-ROW(AI$15),0),
              ROUND(ROUND(OFFSET($P283,0,AI$13),15-13*ORÇAMENTO!$AF$7)*OFFSET(ORÇAMENTO!$W$15,ROW(AI283)-ROW(AI$15),0),15-13*ORÇAMENTO!$AF$11)),
         0)</f>
        <v>0</v>
      </c>
      <c r="AJ283" s="454">
        <f ca="1">IF(AND($D283="Serviço",AJ$12&lt;&gt;0,$H283&gt;0,OR(AUTOEVENTO&lt;&gt;"manual",$M283&lt;&gt;$A$15)),
        IF(Import.TipoArredondamento&lt;&gt;"TransfereGOV",
              ROUND(OFFSET($P283,0,AJ$13),15-13*ORÇAMENTO!$AF$7)/$H283*OFFSET(ORÇAMENTO!$X$15,ROW(AJ283)-ROW(AJ$15),0),
              ROUND(ROUND(OFFSET($P283,0,AJ$13),15-13*ORÇAMENTO!$AF$7)*OFFSET(ORÇAMENTO!$W$15,ROW(AJ283)-ROW(AJ$15),0),15-13*ORÇAMENTO!$AF$11)),
         0)</f>
        <v>0</v>
      </c>
      <c r="AK283" s="454">
        <f ca="1">IF(AND($D283="Serviço",AK$12&lt;&gt;0,$H283&gt;0,OR(AUTOEVENTO&lt;&gt;"manual",$M283&lt;&gt;$A$15)),
        IF(Import.TipoArredondamento&lt;&gt;"TransfereGOV",
              ROUND(OFFSET($P283,0,AK$13),15-13*ORÇAMENTO!$AF$7)/$H283*OFFSET(ORÇAMENTO!$X$15,ROW(AK283)-ROW(AK$15),0),
              ROUND(ROUND(OFFSET($P283,0,AK$13),15-13*ORÇAMENTO!$AF$7)*OFFSET(ORÇAMENTO!$W$15,ROW(AK283)-ROW(AK$15),0),15-13*ORÇAMENTO!$AF$11)),
         0)</f>
        <v>0</v>
      </c>
      <c r="AM283" s="172">
        <f ca="1">IF(OR($D283&lt;&gt;"Serviço",AND(AUTOEVENTO="Manual",$M283=$A$15)),0,
         IF(OFFSET(CRONOPLE!$F$15,$M283-$A$15,AM$13)="",10^12,OFFSET(CRONOPLE!$F$15,$M283-$A$15,AM$13)))</f>
        <v>1000000000000</v>
      </c>
      <c r="AN283" s="172">
        <f ca="1">IF(OR($D283&lt;&gt;"Serviço",AND(AUTOEVENTO="Manual",$M283=$A$15)),0,
         IF(OFFSET(CRONOPLE!$F$15,$M283-$A$15,AN$13)="",10^12,OFFSET(CRONOPLE!$F$15,$M283-$A$15,AN$13)))</f>
        <v>1000000000000</v>
      </c>
      <c r="AO283" s="172">
        <f ca="1">IF(OR($D283&lt;&gt;"Serviço",AND(AUTOEVENTO="Manual",$M283=$A$15)),0,
         IF(OFFSET(CRONOPLE!$F$15,$M283-$A$15,AO$13)="",10^12,OFFSET(CRONOPLE!$F$15,$M283-$A$15,AO$13)))</f>
        <v>1000000000000</v>
      </c>
      <c r="AP283" s="172">
        <f ca="1">IF(OR($D283&lt;&gt;"Serviço",AND(AUTOEVENTO="Manual",$M283=$A$15)),0,
         IF(OFFSET(CRONOPLE!$F$15,$M283-$A$15,AP$13)="",10^12,OFFSET(CRONOPLE!$F$15,$M283-$A$15,AP$13)))</f>
        <v>1000000000000</v>
      </c>
      <c r="AQ283" s="172">
        <f ca="1">IF(OR($D283&lt;&gt;"Serviço",AND(AUTOEVENTO="Manual",$M283=$A$15)),0,
         IF(OFFSET(CRONOPLE!$F$15,$M283-$A$15,AQ$13)="",10^12,OFFSET(CRONOPLE!$F$15,$M283-$A$15,AQ$13)))</f>
        <v>1000000000000</v>
      </c>
      <c r="AR283" s="172">
        <f ca="1">IF(OR($D283&lt;&gt;"Serviço",AND(AUTOEVENTO="Manual",$M283=$A$15)),0,
         IF(OFFSET(CRONOPLE!$F$15,$M283-$A$15,AR$13)="",10^12,OFFSET(CRONOPLE!$F$15,$M283-$A$15,AR$13)))</f>
        <v>1000000000000</v>
      </c>
      <c r="AS283" s="172">
        <f ca="1">IF(OR($D283&lt;&gt;"Serviço",AND(AUTOEVENTO="Manual",$M283=$A$15)),0,
         IF(OFFSET(CRONOPLE!$F$15,$M283-$A$15,AS$13)="",10^12,OFFSET(CRONOPLE!$F$15,$M283-$A$15,AS$13)))</f>
        <v>1000000000000</v>
      </c>
      <c r="AT283" s="172">
        <f ca="1">IF(OR($D283&lt;&gt;"Serviço",AND(AUTOEVENTO="Manual",$M283=$A$15)),0,
         IF(OFFSET(CRONOPLE!$F$15,$M283-$A$15,AT$13)="",10^12,OFFSET(CRONOPLE!$F$15,$M283-$A$15,AT$13)))</f>
        <v>1000000000000</v>
      </c>
      <c r="AU283" s="172">
        <f ca="1">IF(OR($D283&lt;&gt;"Serviço",AND(AUTOEVENTO="Manual",$M283=$A$15)),0,
         IF(OFFSET(CRONOPLE!$F$15,$M283-$A$15,AU$13)="",10^12,OFFSET(CRONOPLE!$F$15,$M283-$A$15,AU$13)))</f>
        <v>1000000000000</v>
      </c>
      <c r="AV283" s="172">
        <f ca="1">IF(OR($D283&lt;&gt;"Serviço",AND(AUTOEVENTO="Manual",$M283=$A$15)),0,
         IF(OFFSET(CRONOPLE!$F$15,$M283-$A$15,AV$13)="",10^12,OFFSET(CRONOPLE!$F$15,$M283-$A$15,AV$13)))</f>
        <v>1000000000000</v>
      </c>
      <c r="AX283" s="173">
        <f ca="1">IF(OR($D283&lt;&gt;"Serviço",AND(AUTOEVENTO="Manual",$M283=$A$15),$M283&gt;(ROW(PLE.lastrow)-ROW(PLE.firstrow))),0,
           IF(OFFSET(PLE!$G$15,$M283-$A$15,AX$13)="",10^12,OFFSET(PLE!$G$15,$M283-$A$15,AX$13)))</f>
        <v>1000000000000</v>
      </c>
      <c r="AY283" s="173">
        <f ca="1">IF(OR($D283&lt;&gt;"Serviço",AND(AUTOEVENTO="Manual",$M283=$A$15),$M283&gt;(ROW(PLE.lastrow)-ROW(PLE.firstrow))),0,
           IF(OFFSET(PLE!$G$15,$M283-$A$15,AY$13)="",10^12,OFFSET(PLE!$G$15,$M283-$A$15,AY$13)))</f>
        <v>1000000000000</v>
      </c>
      <c r="AZ283" s="173">
        <f ca="1">IF(OR($D283&lt;&gt;"Serviço",AND(AUTOEVENTO="Manual",$M283=$A$15),$M283&gt;(ROW(PLE.lastrow)-ROW(PLE.firstrow))),0,
           IF(OFFSET(PLE!$G$15,$M283-$A$15,AZ$13)="",10^12,OFFSET(PLE!$G$15,$M283-$A$15,AZ$13)))</f>
        <v>1000000000000</v>
      </c>
      <c r="BA283" s="173">
        <f ca="1">IF(OR($D283&lt;&gt;"Serviço",AND(AUTOEVENTO="Manual",$M283=$A$15),$M283&gt;(ROW(PLE.lastrow)-ROW(PLE.firstrow))),0,
           IF(OFFSET(PLE!$G$15,$M283-$A$15,BA$13)="",10^12,OFFSET(PLE!$G$15,$M283-$A$15,BA$13)))</f>
        <v>1000000000000</v>
      </c>
      <c r="BB283" s="173">
        <f ca="1">IF(OR($D283&lt;&gt;"Serviço",AND(AUTOEVENTO="Manual",$M283=$A$15),$M283&gt;(ROW(PLE.lastrow)-ROW(PLE.firstrow))),0,
           IF(OFFSET(PLE!$G$15,$M283-$A$15,BB$13)="",10^12,OFFSET(PLE!$G$15,$M283-$A$15,BB$13)))</f>
        <v>1000000000000</v>
      </c>
      <c r="BC283" s="173">
        <f ca="1">IF(OR($D283&lt;&gt;"Serviço",AND(AUTOEVENTO="Manual",$M283=$A$15),$M283&gt;(ROW(PLE.lastrow)-ROW(PLE.firstrow))),0,
           IF(OFFSET(PLE!$G$15,$M283-$A$15,BC$13)="",10^12,OFFSET(PLE!$G$15,$M283-$A$15,BC$13)))</f>
        <v>1000000000000</v>
      </c>
      <c r="BD283" s="173">
        <f ca="1">IF(OR($D283&lt;&gt;"Serviço",AND(AUTOEVENTO="Manual",$M283=$A$15),$M283&gt;(ROW(PLE.lastrow)-ROW(PLE.firstrow))),0,
           IF(OFFSET(PLE!$G$15,$M283-$A$15,BD$13)="",10^12,OFFSET(PLE!$G$15,$M283-$A$15,BD$13)))</f>
        <v>1000000000000</v>
      </c>
      <c r="BE283" s="173">
        <f ca="1">IF(OR($D283&lt;&gt;"Serviço",AND(AUTOEVENTO="Manual",$M283=$A$15),$M283&gt;(ROW(PLE.lastrow)-ROW(PLE.firstrow))),0,
           IF(OFFSET(PLE!$G$15,$M283-$A$15,BE$13)="",10^12,OFFSET(PLE!$G$15,$M283-$A$15,BE$13)))</f>
        <v>1000000000000</v>
      </c>
      <c r="BF283" s="173">
        <f ca="1">IF(OR($D283&lt;&gt;"Serviço",AND(AUTOEVENTO="Manual",$M283=$A$15),$M283&gt;(ROW(PLE.lastrow)-ROW(PLE.firstrow))),0,
           IF(OFFSET(PLE!$G$15,$M283-$A$15,BF$13)="",10^12,OFFSET(PLE!$G$15,$M283-$A$15,BF$13)))</f>
        <v>1000000000000</v>
      </c>
      <c r="BG283" s="173">
        <f ca="1">IF(OR($D283&lt;&gt;"Serviço",AND(AUTOEVENTO="Manual",$M283=$A$15),$M283&gt;(ROW(PLE.lastrow)-ROW(PLE.firstrow))),0,
           IF(OFFSET(PLE!$G$15,$M283-$A$15,BG$13)="",10^12,OFFSET(PLE!$G$15,$M283-$A$15,BG$13)))</f>
        <v>1000000000000</v>
      </c>
    </row>
    <row r="284" spans="1:59" ht="25.5" x14ac:dyDescent="0.2">
      <c r="A284" s="7" t="str">
        <f t="shared" ca="1" si="12"/>
        <v>253</v>
      </c>
      <c r="B284" s="7" t="str">
        <f ca="1">OFFSET(ORÇAMENTO!C$15,ROW(B284)-ROW(B$15),0)</f>
        <v>S</v>
      </c>
      <c r="C284" s="7" t="str">
        <f ca="1">OFFSET(ORÇAMENTO!L$15,ROW(C284)-ROW(C$15),0)</f>
        <v/>
      </c>
      <c r="D284" s="117" t="str">
        <f ca="1">OFFSET(ORÇAMENTO!N$15,ROW(D284)-ROW(D$15),0)</f>
        <v>Serviço</v>
      </c>
      <c r="E284" s="118" t="str">
        <f ca="1">OFFSET(ORÇAMENTO!O$15,ROW(E284)-ROW(E$15),0)</f>
        <v>-</v>
      </c>
      <c r="F284" s="164" t="str">
        <f ca="1">OFFSET(ORÇAMENTO!R$15,ROW(F284)-ROW(F$15),0)</f>
        <v>SERVENTE COM ENCARGOS COMPLEMENTARES</v>
      </c>
      <c r="G284" s="165" t="str">
        <f ca="1">IF($D284&lt;&gt;"Serviço","",OFFSET(ORÇAMENTO!S$15,ROW(G284)-ROW(G$15),0))</f>
        <v>H</v>
      </c>
      <c r="H284" s="123">
        <f ca="1">IF($D284&lt;&gt;"Serviço",0,IF(ACOMPANHAMENTO="BM",ROUND(OFFSET(ORÇAMENTO!AJ$15,ROW(H284)-ROW(H$15),0),15-13*ORÇAMENTO!$AF$7),SUMPRODUCT(($Q$1:$AA$1=1)*ROUND($Q284:$AA284,15-13*ORÇAMENTO!$AF$7))))</f>
        <v>24</v>
      </c>
      <c r="I284" s="469"/>
      <c r="J284" s="577" t="str" cm="1">
        <f t="array" aca="1" ref="J284" ca="1">IF(B284&lt;&gt;"S","",IF(AND(ACOMPANHAMENTO="PLE",AUTOEVENTO="Manual",OR(H284&gt;0,ORÇAMENTO!AC284="QUANT."),OR(K284="",M284=0,N284="")),"►",IF(AND(ACOMPANHAMENTO="PLE",ORÇAMENTO!AC284="QUANT."),"►►",IF(AND(COUNTIF($P$11:$AA$11,"▼")=0,H284&gt;0,I284=""),"◄",""))))</f>
        <v>◄</v>
      </c>
      <c r="K284" s="626"/>
      <c r="L284" s="166" t="s">
        <v>765</v>
      </c>
      <c r="M284" s="167">
        <f ca="1">IF($D284&lt;&gt;"Serviço","",
          IF(AUTOEVENTO="manual",$A284,
                IF(ISERROR(MATCH($A284,$A$15:OFFSET($A284,-1,0),0)),MAX($M$15:OFFSET(M284,-1,0))+1,
                      INDEX($M$15:OFFSET(M284,-1,0),MATCH($A284,$A$15:OFFSET($A284,-1,0),0)))))</f>
        <v>16</v>
      </c>
      <c r="N284" s="168" t="str">
        <f ca="1">IF($D284&lt;&gt;"Serviço","",
         IF(AUTOEVENTO="Manual",
                IF($A284=0,"&lt;-- defina o número do agrupador",
                       OFFSET(EVENTOS!$D$15,$A284-$A$15,0)),
                OFFSET($F$15,$A284,0)))</f>
        <v>SISTEMAS DE PREVENÇÃO CONTRA INCÊNDIO</v>
      </c>
      <c r="O284" s="169"/>
      <c r="Q284" s="169"/>
      <c r="R284" s="170"/>
      <c r="S284" s="170"/>
      <c r="T284" s="170"/>
      <c r="U284" s="170"/>
      <c r="V284" s="170"/>
      <c r="W284" s="170"/>
      <c r="X284" s="170"/>
      <c r="Y284" s="170"/>
      <c r="Z284" s="171"/>
      <c r="AB284" s="454">
        <f ca="1">IF(AND($D284="Serviço",AB$12&lt;&gt;0,$H284&gt;0,OR(AUTOEVENTO&lt;&gt;"manual",$M284&lt;&gt;$A$15)),
        IF(Import.TipoArredondamento&lt;&gt;"TransfereGOV",
              ROUND(OFFSET($P284,0,AB$13),15-13*ORÇAMENTO!$AF$7)/$H284*OFFSET(ORÇAMENTO!$X$15,ROW(AB284)-ROW(AB$15),0),
              ROUND(ROUND(OFFSET($P284,0,AB$13),15-13*ORÇAMENTO!$AF$7)*OFFSET(ORÇAMENTO!$W$15,ROW(AB284)-ROW(AB$15),0),15-13*ORÇAMENTO!$AF$11)),
         0)</f>
        <v>0</v>
      </c>
      <c r="AC284" s="454">
        <f ca="1">IF(AND($D284="Serviço",AC$12&lt;&gt;0,$H284&gt;0,OR(AUTOEVENTO&lt;&gt;"manual",$M284&lt;&gt;$A$15)),
        IF(Import.TipoArredondamento&lt;&gt;"TransfereGOV",
              ROUND(OFFSET($P284,0,AC$13),15-13*ORÇAMENTO!$AF$7)/$H284*OFFSET(ORÇAMENTO!$X$15,ROW(AC284)-ROW(AC$15),0),
              ROUND(ROUND(OFFSET($P284,0,AC$13),15-13*ORÇAMENTO!$AF$7)*OFFSET(ORÇAMENTO!$W$15,ROW(AC284)-ROW(AC$15),0),15-13*ORÇAMENTO!$AF$11)),
         0)</f>
        <v>0</v>
      </c>
      <c r="AD284" s="454">
        <f ca="1">IF(AND($D284="Serviço",AD$12&lt;&gt;0,$H284&gt;0,OR(AUTOEVENTO&lt;&gt;"manual",$M284&lt;&gt;$A$15)),
        IF(Import.TipoArredondamento&lt;&gt;"TransfereGOV",
              ROUND(OFFSET($P284,0,AD$13),15-13*ORÇAMENTO!$AF$7)/$H284*OFFSET(ORÇAMENTO!$X$15,ROW(AD284)-ROW(AD$15),0),
              ROUND(ROUND(OFFSET($P284,0,AD$13),15-13*ORÇAMENTO!$AF$7)*OFFSET(ORÇAMENTO!$W$15,ROW(AD284)-ROW(AD$15),0),15-13*ORÇAMENTO!$AF$11)),
         0)</f>
        <v>0</v>
      </c>
      <c r="AE284" s="454">
        <f ca="1">IF(AND($D284="Serviço",AE$12&lt;&gt;0,$H284&gt;0,OR(AUTOEVENTO&lt;&gt;"manual",$M284&lt;&gt;$A$15)),
        IF(Import.TipoArredondamento&lt;&gt;"TransfereGOV",
              ROUND(OFFSET($P284,0,AE$13),15-13*ORÇAMENTO!$AF$7)/$H284*OFFSET(ORÇAMENTO!$X$15,ROW(AE284)-ROW(AE$15),0),
              ROUND(ROUND(OFFSET($P284,0,AE$13),15-13*ORÇAMENTO!$AF$7)*OFFSET(ORÇAMENTO!$W$15,ROW(AE284)-ROW(AE$15),0),15-13*ORÇAMENTO!$AF$11)),
         0)</f>
        <v>0</v>
      </c>
      <c r="AF284" s="454">
        <f ca="1">IF(AND($D284="Serviço",AF$12&lt;&gt;0,$H284&gt;0,OR(AUTOEVENTO&lt;&gt;"manual",$M284&lt;&gt;$A$15)),
        IF(Import.TipoArredondamento&lt;&gt;"TransfereGOV",
              ROUND(OFFSET($P284,0,AF$13),15-13*ORÇAMENTO!$AF$7)/$H284*OFFSET(ORÇAMENTO!$X$15,ROW(AF284)-ROW(AF$15),0),
              ROUND(ROUND(OFFSET($P284,0,AF$13),15-13*ORÇAMENTO!$AF$7)*OFFSET(ORÇAMENTO!$W$15,ROW(AF284)-ROW(AF$15),0),15-13*ORÇAMENTO!$AF$11)),
         0)</f>
        <v>0</v>
      </c>
      <c r="AG284" s="454">
        <f ca="1">IF(AND($D284="Serviço",AG$12&lt;&gt;0,$H284&gt;0,OR(AUTOEVENTO&lt;&gt;"manual",$M284&lt;&gt;$A$15)),
        IF(Import.TipoArredondamento&lt;&gt;"TransfereGOV",
              ROUND(OFFSET($P284,0,AG$13),15-13*ORÇAMENTO!$AF$7)/$H284*OFFSET(ORÇAMENTO!$X$15,ROW(AG284)-ROW(AG$15),0),
              ROUND(ROUND(OFFSET($P284,0,AG$13),15-13*ORÇAMENTO!$AF$7)*OFFSET(ORÇAMENTO!$W$15,ROW(AG284)-ROW(AG$15),0),15-13*ORÇAMENTO!$AF$11)),
         0)</f>
        <v>0</v>
      </c>
      <c r="AH284" s="454">
        <f ca="1">IF(AND($D284="Serviço",AH$12&lt;&gt;0,$H284&gt;0,OR(AUTOEVENTO&lt;&gt;"manual",$M284&lt;&gt;$A$15)),
        IF(Import.TipoArredondamento&lt;&gt;"TransfereGOV",
              ROUND(OFFSET($P284,0,AH$13),15-13*ORÇAMENTO!$AF$7)/$H284*OFFSET(ORÇAMENTO!$X$15,ROW(AH284)-ROW(AH$15),0),
              ROUND(ROUND(OFFSET($P284,0,AH$13),15-13*ORÇAMENTO!$AF$7)*OFFSET(ORÇAMENTO!$W$15,ROW(AH284)-ROW(AH$15),0),15-13*ORÇAMENTO!$AF$11)),
         0)</f>
        <v>0</v>
      </c>
      <c r="AI284" s="454">
        <f ca="1">IF(AND($D284="Serviço",AI$12&lt;&gt;0,$H284&gt;0,OR(AUTOEVENTO&lt;&gt;"manual",$M284&lt;&gt;$A$15)),
        IF(Import.TipoArredondamento&lt;&gt;"TransfereGOV",
              ROUND(OFFSET($P284,0,AI$13),15-13*ORÇAMENTO!$AF$7)/$H284*OFFSET(ORÇAMENTO!$X$15,ROW(AI284)-ROW(AI$15),0),
              ROUND(ROUND(OFFSET($P284,0,AI$13),15-13*ORÇAMENTO!$AF$7)*OFFSET(ORÇAMENTO!$W$15,ROW(AI284)-ROW(AI$15),0),15-13*ORÇAMENTO!$AF$11)),
         0)</f>
        <v>0</v>
      </c>
      <c r="AJ284" s="454">
        <f ca="1">IF(AND($D284="Serviço",AJ$12&lt;&gt;0,$H284&gt;0,OR(AUTOEVENTO&lt;&gt;"manual",$M284&lt;&gt;$A$15)),
        IF(Import.TipoArredondamento&lt;&gt;"TransfereGOV",
              ROUND(OFFSET($P284,0,AJ$13),15-13*ORÇAMENTO!$AF$7)/$H284*OFFSET(ORÇAMENTO!$X$15,ROW(AJ284)-ROW(AJ$15),0),
              ROUND(ROUND(OFFSET($P284,0,AJ$13),15-13*ORÇAMENTO!$AF$7)*OFFSET(ORÇAMENTO!$W$15,ROW(AJ284)-ROW(AJ$15),0),15-13*ORÇAMENTO!$AF$11)),
         0)</f>
        <v>0</v>
      </c>
      <c r="AK284" s="454">
        <f ca="1">IF(AND($D284="Serviço",AK$12&lt;&gt;0,$H284&gt;0,OR(AUTOEVENTO&lt;&gt;"manual",$M284&lt;&gt;$A$15)),
        IF(Import.TipoArredondamento&lt;&gt;"TransfereGOV",
              ROUND(OFFSET($P284,0,AK$13),15-13*ORÇAMENTO!$AF$7)/$H284*OFFSET(ORÇAMENTO!$X$15,ROW(AK284)-ROW(AK$15),0),
              ROUND(ROUND(OFFSET($P284,0,AK$13),15-13*ORÇAMENTO!$AF$7)*OFFSET(ORÇAMENTO!$W$15,ROW(AK284)-ROW(AK$15),0),15-13*ORÇAMENTO!$AF$11)),
         0)</f>
        <v>0</v>
      </c>
      <c r="AM284" s="172">
        <f ca="1">IF(OR($D284&lt;&gt;"Serviço",AND(AUTOEVENTO="Manual",$M284=$A$15)),0,
         IF(OFFSET(CRONOPLE!$F$15,$M284-$A$15,AM$13)="",10^12,OFFSET(CRONOPLE!$F$15,$M284-$A$15,AM$13)))</f>
        <v>1000000000000</v>
      </c>
      <c r="AN284" s="172">
        <f ca="1">IF(OR($D284&lt;&gt;"Serviço",AND(AUTOEVENTO="Manual",$M284=$A$15)),0,
         IF(OFFSET(CRONOPLE!$F$15,$M284-$A$15,AN$13)="",10^12,OFFSET(CRONOPLE!$F$15,$M284-$A$15,AN$13)))</f>
        <v>1000000000000</v>
      </c>
      <c r="AO284" s="172">
        <f ca="1">IF(OR($D284&lt;&gt;"Serviço",AND(AUTOEVENTO="Manual",$M284=$A$15)),0,
         IF(OFFSET(CRONOPLE!$F$15,$M284-$A$15,AO$13)="",10^12,OFFSET(CRONOPLE!$F$15,$M284-$A$15,AO$13)))</f>
        <v>1000000000000</v>
      </c>
      <c r="AP284" s="172">
        <f ca="1">IF(OR($D284&lt;&gt;"Serviço",AND(AUTOEVENTO="Manual",$M284=$A$15)),0,
         IF(OFFSET(CRONOPLE!$F$15,$M284-$A$15,AP$13)="",10^12,OFFSET(CRONOPLE!$F$15,$M284-$A$15,AP$13)))</f>
        <v>1000000000000</v>
      </c>
      <c r="AQ284" s="172">
        <f ca="1">IF(OR($D284&lt;&gt;"Serviço",AND(AUTOEVENTO="Manual",$M284=$A$15)),0,
         IF(OFFSET(CRONOPLE!$F$15,$M284-$A$15,AQ$13)="",10^12,OFFSET(CRONOPLE!$F$15,$M284-$A$15,AQ$13)))</f>
        <v>1000000000000</v>
      </c>
      <c r="AR284" s="172">
        <f ca="1">IF(OR($D284&lt;&gt;"Serviço",AND(AUTOEVENTO="Manual",$M284=$A$15)),0,
         IF(OFFSET(CRONOPLE!$F$15,$M284-$A$15,AR$13)="",10^12,OFFSET(CRONOPLE!$F$15,$M284-$A$15,AR$13)))</f>
        <v>1000000000000</v>
      </c>
      <c r="AS284" s="172">
        <f ca="1">IF(OR($D284&lt;&gt;"Serviço",AND(AUTOEVENTO="Manual",$M284=$A$15)),0,
         IF(OFFSET(CRONOPLE!$F$15,$M284-$A$15,AS$13)="",10^12,OFFSET(CRONOPLE!$F$15,$M284-$A$15,AS$13)))</f>
        <v>1000000000000</v>
      </c>
      <c r="AT284" s="172">
        <f ca="1">IF(OR($D284&lt;&gt;"Serviço",AND(AUTOEVENTO="Manual",$M284=$A$15)),0,
         IF(OFFSET(CRONOPLE!$F$15,$M284-$A$15,AT$13)="",10^12,OFFSET(CRONOPLE!$F$15,$M284-$A$15,AT$13)))</f>
        <v>1000000000000</v>
      </c>
      <c r="AU284" s="172">
        <f ca="1">IF(OR($D284&lt;&gt;"Serviço",AND(AUTOEVENTO="Manual",$M284=$A$15)),0,
         IF(OFFSET(CRONOPLE!$F$15,$M284-$A$15,AU$13)="",10^12,OFFSET(CRONOPLE!$F$15,$M284-$A$15,AU$13)))</f>
        <v>1000000000000</v>
      </c>
      <c r="AV284" s="172">
        <f ca="1">IF(OR($D284&lt;&gt;"Serviço",AND(AUTOEVENTO="Manual",$M284=$A$15)),0,
         IF(OFFSET(CRONOPLE!$F$15,$M284-$A$15,AV$13)="",10^12,OFFSET(CRONOPLE!$F$15,$M284-$A$15,AV$13)))</f>
        <v>1000000000000</v>
      </c>
      <c r="AX284" s="173">
        <f ca="1">IF(OR($D284&lt;&gt;"Serviço",AND(AUTOEVENTO="Manual",$M284=$A$15),$M284&gt;(ROW(PLE.lastrow)-ROW(PLE.firstrow))),0,
           IF(OFFSET(PLE!$G$15,$M284-$A$15,AX$13)="",10^12,OFFSET(PLE!$G$15,$M284-$A$15,AX$13)))</f>
        <v>1000000000000</v>
      </c>
      <c r="AY284" s="173">
        <f ca="1">IF(OR($D284&lt;&gt;"Serviço",AND(AUTOEVENTO="Manual",$M284=$A$15),$M284&gt;(ROW(PLE.lastrow)-ROW(PLE.firstrow))),0,
           IF(OFFSET(PLE!$G$15,$M284-$A$15,AY$13)="",10^12,OFFSET(PLE!$G$15,$M284-$A$15,AY$13)))</f>
        <v>1000000000000</v>
      </c>
      <c r="AZ284" s="173">
        <f ca="1">IF(OR($D284&lt;&gt;"Serviço",AND(AUTOEVENTO="Manual",$M284=$A$15),$M284&gt;(ROW(PLE.lastrow)-ROW(PLE.firstrow))),0,
           IF(OFFSET(PLE!$G$15,$M284-$A$15,AZ$13)="",10^12,OFFSET(PLE!$G$15,$M284-$A$15,AZ$13)))</f>
        <v>1000000000000</v>
      </c>
      <c r="BA284" s="173">
        <f ca="1">IF(OR($D284&lt;&gt;"Serviço",AND(AUTOEVENTO="Manual",$M284=$A$15),$M284&gt;(ROW(PLE.lastrow)-ROW(PLE.firstrow))),0,
           IF(OFFSET(PLE!$G$15,$M284-$A$15,BA$13)="",10^12,OFFSET(PLE!$G$15,$M284-$A$15,BA$13)))</f>
        <v>1000000000000</v>
      </c>
      <c r="BB284" s="173">
        <f ca="1">IF(OR($D284&lt;&gt;"Serviço",AND(AUTOEVENTO="Manual",$M284=$A$15),$M284&gt;(ROW(PLE.lastrow)-ROW(PLE.firstrow))),0,
           IF(OFFSET(PLE!$G$15,$M284-$A$15,BB$13)="",10^12,OFFSET(PLE!$G$15,$M284-$A$15,BB$13)))</f>
        <v>1000000000000</v>
      </c>
      <c r="BC284" s="173">
        <f ca="1">IF(OR($D284&lt;&gt;"Serviço",AND(AUTOEVENTO="Manual",$M284=$A$15),$M284&gt;(ROW(PLE.lastrow)-ROW(PLE.firstrow))),0,
           IF(OFFSET(PLE!$G$15,$M284-$A$15,BC$13)="",10^12,OFFSET(PLE!$G$15,$M284-$A$15,BC$13)))</f>
        <v>1000000000000</v>
      </c>
      <c r="BD284" s="173">
        <f ca="1">IF(OR($D284&lt;&gt;"Serviço",AND(AUTOEVENTO="Manual",$M284=$A$15),$M284&gt;(ROW(PLE.lastrow)-ROW(PLE.firstrow))),0,
           IF(OFFSET(PLE!$G$15,$M284-$A$15,BD$13)="",10^12,OFFSET(PLE!$G$15,$M284-$A$15,BD$13)))</f>
        <v>1000000000000</v>
      </c>
      <c r="BE284" s="173">
        <f ca="1">IF(OR($D284&lt;&gt;"Serviço",AND(AUTOEVENTO="Manual",$M284=$A$15),$M284&gt;(ROW(PLE.lastrow)-ROW(PLE.firstrow))),0,
           IF(OFFSET(PLE!$G$15,$M284-$A$15,BE$13)="",10^12,OFFSET(PLE!$G$15,$M284-$A$15,BE$13)))</f>
        <v>1000000000000</v>
      </c>
      <c r="BF284" s="173">
        <f ca="1">IF(OR($D284&lt;&gt;"Serviço",AND(AUTOEVENTO="Manual",$M284=$A$15),$M284&gt;(ROW(PLE.lastrow)-ROW(PLE.firstrow))),0,
           IF(OFFSET(PLE!$G$15,$M284-$A$15,BF$13)="",10^12,OFFSET(PLE!$G$15,$M284-$A$15,BF$13)))</f>
        <v>1000000000000</v>
      </c>
      <c r="BG284" s="173">
        <f ca="1">IF(OR($D284&lt;&gt;"Serviço",AND(AUTOEVENTO="Manual",$M284=$A$15),$M284&gt;(ROW(PLE.lastrow)-ROW(PLE.firstrow))),0,
           IF(OFFSET(PLE!$G$15,$M284-$A$15,BG$13)="",10^12,OFFSET(PLE!$G$15,$M284-$A$15,BG$13)))</f>
        <v>1000000000000</v>
      </c>
    </row>
    <row r="285" spans="1:59" ht="25.5" x14ac:dyDescent="0.2">
      <c r="A285" s="7" t="str">
        <f t="shared" ca="1" si="12"/>
        <v>253</v>
      </c>
      <c r="B285" s="7" t="str">
        <f ca="1">OFFSET(ORÇAMENTO!C$15,ROW(B285)-ROW(B$15),0)</f>
        <v>S</v>
      </c>
      <c r="C285" s="7" t="str">
        <f ca="1">OFFSET(ORÇAMENTO!L$15,ROW(C285)-ROW(C$15),0)</f>
        <v/>
      </c>
      <c r="D285" s="117" t="str">
        <f ca="1">OFFSET(ORÇAMENTO!N$15,ROW(D285)-ROW(D$15),0)</f>
        <v>Serviço</v>
      </c>
      <c r="E285" s="118" t="str">
        <f ca="1">OFFSET(ORÇAMENTO!O$15,ROW(E285)-ROW(E$15),0)</f>
        <v>-</v>
      </c>
      <c r="F285" s="164" t="str">
        <f ca="1">OFFSET(ORÇAMENTO!R$15,ROW(F285)-ROW(F$15),0)</f>
        <v>AUXILIAR DE ELETRICISTA COM ENCARGOS COMPLEMENTARES</v>
      </c>
      <c r="G285" s="165" t="str">
        <f ca="1">IF($D285&lt;&gt;"Serviço","",OFFSET(ORÇAMENTO!S$15,ROW(G285)-ROW(G$15),0))</f>
        <v>H</v>
      </c>
      <c r="H285" s="123">
        <f ca="1">IF($D285&lt;&gt;"Serviço",0,IF(ACOMPANHAMENTO="BM",ROUND(OFFSET(ORÇAMENTO!AJ$15,ROW(H285)-ROW(H$15),0),15-13*ORÇAMENTO!$AF$7),SUMPRODUCT(($Q$1:$AA$1=1)*ROUND($Q285:$AA285,15-13*ORÇAMENTO!$AF$7))))</f>
        <v>8</v>
      </c>
      <c r="I285" s="469"/>
      <c r="J285" s="577" t="str" cm="1">
        <f t="array" aca="1" ref="J285" ca="1">IF(B285&lt;&gt;"S","",IF(AND(ACOMPANHAMENTO="PLE",AUTOEVENTO="Manual",OR(H285&gt;0,ORÇAMENTO!AC285="QUANT."),OR(K285="",M285=0,N285="")),"►",IF(AND(ACOMPANHAMENTO="PLE",ORÇAMENTO!AC285="QUANT."),"►►",IF(AND(COUNTIF($P$11:$AA$11,"▼")=0,H285&gt;0,I285=""),"◄",""))))</f>
        <v>◄</v>
      </c>
      <c r="K285" s="626"/>
      <c r="L285" s="166" t="s">
        <v>765</v>
      </c>
      <c r="M285" s="167">
        <f ca="1">IF($D285&lt;&gt;"Serviço","",
          IF(AUTOEVENTO="manual",$A285,
                IF(ISERROR(MATCH($A285,$A$15:OFFSET($A285,-1,0),0)),MAX($M$15:OFFSET(M285,-1,0))+1,
                      INDEX($M$15:OFFSET(M285,-1,0),MATCH($A285,$A$15:OFFSET($A285,-1,0),0)))))</f>
        <v>16</v>
      </c>
      <c r="N285" s="168" t="str">
        <f ca="1">IF($D285&lt;&gt;"Serviço","",
         IF(AUTOEVENTO="Manual",
                IF($A285=0,"&lt;-- defina o número do agrupador",
                       OFFSET(EVENTOS!$D$15,$A285-$A$15,0)),
                OFFSET($F$15,$A285,0)))</f>
        <v>SISTEMAS DE PREVENÇÃO CONTRA INCÊNDIO</v>
      </c>
      <c r="O285" s="169"/>
      <c r="Q285" s="169"/>
      <c r="R285" s="170"/>
      <c r="S285" s="170"/>
      <c r="T285" s="170"/>
      <c r="U285" s="170"/>
      <c r="V285" s="170"/>
      <c r="W285" s="170"/>
      <c r="X285" s="170"/>
      <c r="Y285" s="170"/>
      <c r="Z285" s="171"/>
      <c r="AB285" s="454">
        <f ca="1">IF(AND($D285="Serviço",AB$12&lt;&gt;0,$H285&gt;0,OR(AUTOEVENTO&lt;&gt;"manual",$M285&lt;&gt;$A$15)),
        IF(Import.TipoArredondamento&lt;&gt;"TransfereGOV",
              ROUND(OFFSET($P285,0,AB$13),15-13*ORÇAMENTO!$AF$7)/$H285*OFFSET(ORÇAMENTO!$X$15,ROW(AB285)-ROW(AB$15),0),
              ROUND(ROUND(OFFSET($P285,0,AB$13),15-13*ORÇAMENTO!$AF$7)*OFFSET(ORÇAMENTO!$W$15,ROW(AB285)-ROW(AB$15),0),15-13*ORÇAMENTO!$AF$11)),
         0)</f>
        <v>0</v>
      </c>
      <c r="AC285" s="454">
        <f ca="1">IF(AND($D285="Serviço",AC$12&lt;&gt;0,$H285&gt;0,OR(AUTOEVENTO&lt;&gt;"manual",$M285&lt;&gt;$A$15)),
        IF(Import.TipoArredondamento&lt;&gt;"TransfereGOV",
              ROUND(OFFSET($P285,0,AC$13),15-13*ORÇAMENTO!$AF$7)/$H285*OFFSET(ORÇAMENTO!$X$15,ROW(AC285)-ROW(AC$15),0),
              ROUND(ROUND(OFFSET($P285,0,AC$13),15-13*ORÇAMENTO!$AF$7)*OFFSET(ORÇAMENTO!$W$15,ROW(AC285)-ROW(AC$15),0),15-13*ORÇAMENTO!$AF$11)),
         0)</f>
        <v>0</v>
      </c>
      <c r="AD285" s="454">
        <f ca="1">IF(AND($D285="Serviço",AD$12&lt;&gt;0,$H285&gt;0,OR(AUTOEVENTO&lt;&gt;"manual",$M285&lt;&gt;$A$15)),
        IF(Import.TipoArredondamento&lt;&gt;"TransfereGOV",
              ROUND(OFFSET($P285,0,AD$13),15-13*ORÇAMENTO!$AF$7)/$H285*OFFSET(ORÇAMENTO!$X$15,ROW(AD285)-ROW(AD$15),0),
              ROUND(ROUND(OFFSET($P285,0,AD$13),15-13*ORÇAMENTO!$AF$7)*OFFSET(ORÇAMENTO!$W$15,ROW(AD285)-ROW(AD$15),0),15-13*ORÇAMENTO!$AF$11)),
         0)</f>
        <v>0</v>
      </c>
      <c r="AE285" s="454">
        <f ca="1">IF(AND($D285="Serviço",AE$12&lt;&gt;0,$H285&gt;0,OR(AUTOEVENTO&lt;&gt;"manual",$M285&lt;&gt;$A$15)),
        IF(Import.TipoArredondamento&lt;&gt;"TransfereGOV",
              ROUND(OFFSET($P285,0,AE$13),15-13*ORÇAMENTO!$AF$7)/$H285*OFFSET(ORÇAMENTO!$X$15,ROW(AE285)-ROW(AE$15),0),
              ROUND(ROUND(OFFSET($P285,0,AE$13),15-13*ORÇAMENTO!$AF$7)*OFFSET(ORÇAMENTO!$W$15,ROW(AE285)-ROW(AE$15),0),15-13*ORÇAMENTO!$AF$11)),
         0)</f>
        <v>0</v>
      </c>
      <c r="AF285" s="454">
        <f ca="1">IF(AND($D285="Serviço",AF$12&lt;&gt;0,$H285&gt;0,OR(AUTOEVENTO&lt;&gt;"manual",$M285&lt;&gt;$A$15)),
        IF(Import.TipoArredondamento&lt;&gt;"TransfereGOV",
              ROUND(OFFSET($P285,0,AF$13),15-13*ORÇAMENTO!$AF$7)/$H285*OFFSET(ORÇAMENTO!$X$15,ROW(AF285)-ROW(AF$15),0),
              ROUND(ROUND(OFFSET($P285,0,AF$13),15-13*ORÇAMENTO!$AF$7)*OFFSET(ORÇAMENTO!$W$15,ROW(AF285)-ROW(AF$15),0),15-13*ORÇAMENTO!$AF$11)),
         0)</f>
        <v>0</v>
      </c>
      <c r="AG285" s="454">
        <f ca="1">IF(AND($D285="Serviço",AG$12&lt;&gt;0,$H285&gt;0,OR(AUTOEVENTO&lt;&gt;"manual",$M285&lt;&gt;$A$15)),
        IF(Import.TipoArredondamento&lt;&gt;"TransfereGOV",
              ROUND(OFFSET($P285,0,AG$13),15-13*ORÇAMENTO!$AF$7)/$H285*OFFSET(ORÇAMENTO!$X$15,ROW(AG285)-ROW(AG$15),0),
              ROUND(ROUND(OFFSET($P285,0,AG$13),15-13*ORÇAMENTO!$AF$7)*OFFSET(ORÇAMENTO!$W$15,ROW(AG285)-ROW(AG$15),0),15-13*ORÇAMENTO!$AF$11)),
         0)</f>
        <v>0</v>
      </c>
      <c r="AH285" s="454">
        <f ca="1">IF(AND($D285="Serviço",AH$12&lt;&gt;0,$H285&gt;0,OR(AUTOEVENTO&lt;&gt;"manual",$M285&lt;&gt;$A$15)),
        IF(Import.TipoArredondamento&lt;&gt;"TransfereGOV",
              ROUND(OFFSET($P285,0,AH$13),15-13*ORÇAMENTO!$AF$7)/$H285*OFFSET(ORÇAMENTO!$X$15,ROW(AH285)-ROW(AH$15),0),
              ROUND(ROUND(OFFSET($P285,0,AH$13),15-13*ORÇAMENTO!$AF$7)*OFFSET(ORÇAMENTO!$W$15,ROW(AH285)-ROW(AH$15),0),15-13*ORÇAMENTO!$AF$11)),
         0)</f>
        <v>0</v>
      </c>
      <c r="AI285" s="454">
        <f ca="1">IF(AND($D285="Serviço",AI$12&lt;&gt;0,$H285&gt;0,OR(AUTOEVENTO&lt;&gt;"manual",$M285&lt;&gt;$A$15)),
        IF(Import.TipoArredondamento&lt;&gt;"TransfereGOV",
              ROUND(OFFSET($P285,0,AI$13),15-13*ORÇAMENTO!$AF$7)/$H285*OFFSET(ORÇAMENTO!$X$15,ROW(AI285)-ROW(AI$15),0),
              ROUND(ROUND(OFFSET($P285,0,AI$13),15-13*ORÇAMENTO!$AF$7)*OFFSET(ORÇAMENTO!$W$15,ROW(AI285)-ROW(AI$15),0),15-13*ORÇAMENTO!$AF$11)),
         0)</f>
        <v>0</v>
      </c>
      <c r="AJ285" s="454">
        <f ca="1">IF(AND($D285="Serviço",AJ$12&lt;&gt;0,$H285&gt;0,OR(AUTOEVENTO&lt;&gt;"manual",$M285&lt;&gt;$A$15)),
        IF(Import.TipoArredondamento&lt;&gt;"TransfereGOV",
              ROUND(OFFSET($P285,0,AJ$13),15-13*ORÇAMENTO!$AF$7)/$H285*OFFSET(ORÇAMENTO!$X$15,ROW(AJ285)-ROW(AJ$15),0),
              ROUND(ROUND(OFFSET($P285,0,AJ$13),15-13*ORÇAMENTO!$AF$7)*OFFSET(ORÇAMENTO!$W$15,ROW(AJ285)-ROW(AJ$15),0),15-13*ORÇAMENTO!$AF$11)),
         0)</f>
        <v>0</v>
      </c>
      <c r="AK285" s="454">
        <f ca="1">IF(AND($D285="Serviço",AK$12&lt;&gt;0,$H285&gt;0,OR(AUTOEVENTO&lt;&gt;"manual",$M285&lt;&gt;$A$15)),
        IF(Import.TipoArredondamento&lt;&gt;"TransfereGOV",
              ROUND(OFFSET($P285,0,AK$13),15-13*ORÇAMENTO!$AF$7)/$H285*OFFSET(ORÇAMENTO!$X$15,ROW(AK285)-ROW(AK$15),0),
              ROUND(ROUND(OFFSET($P285,0,AK$13),15-13*ORÇAMENTO!$AF$7)*OFFSET(ORÇAMENTO!$W$15,ROW(AK285)-ROW(AK$15),0),15-13*ORÇAMENTO!$AF$11)),
         0)</f>
        <v>0</v>
      </c>
      <c r="AM285" s="172">
        <f ca="1">IF(OR($D285&lt;&gt;"Serviço",AND(AUTOEVENTO="Manual",$M285=$A$15)),0,
         IF(OFFSET(CRONOPLE!$F$15,$M285-$A$15,AM$13)="",10^12,OFFSET(CRONOPLE!$F$15,$M285-$A$15,AM$13)))</f>
        <v>1000000000000</v>
      </c>
      <c r="AN285" s="172">
        <f ca="1">IF(OR($D285&lt;&gt;"Serviço",AND(AUTOEVENTO="Manual",$M285=$A$15)),0,
         IF(OFFSET(CRONOPLE!$F$15,$M285-$A$15,AN$13)="",10^12,OFFSET(CRONOPLE!$F$15,$M285-$A$15,AN$13)))</f>
        <v>1000000000000</v>
      </c>
      <c r="AO285" s="172">
        <f ca="1">IF(OR($D285&lt;&gt;"Serviço",AND(AUTOEVENTO="Manual",$M285=$A$15)),0,
         IF(OFFSET(CRONOPLE!$F$15,$M285-$A$15,AO$13)="",10^12,OFFSET(CRONOPLE!$F$15,$M285-$A$15,AO$13)))</f>
        <v>1000000000000</v>
      </c>
      <c r="AP285" s="172">
        <f ca="1">IF(OR($D285&lt;&gt;"Serviço",AND(AUTOEVENTO="Manual",$M285=$A$15)),0,
         IF(OFFSET(CRONOPLE!$F$15,$M285-$A$15,AP$13)="",10^12,OFFSET(CRONOPLE!$F$15,$M285-$A$15,AP$13)))</f>
        <v>1000000000000</v>
      </c>
      <c r="AQ285" s="172">
        <f ca="1">IF(OR($D285&lt;&gt;"Serviço",AND(AUTOEVENTO="Manual",$M285=$A$15)),0,
         IF(OFFSET(CRONOPLE!$F$15,$M285-$A$15,AQ$13)="",10^12,OFFSET(CRONOPLE!$F$15,$M285-$A$15,AQ$13)))</f>
        <v>1000000000000</v>
      </c>
      <c r="AR285" s="172">
        <f ca="1">IF(OR($D285&lt;&gt;"Serviço",AND(AUTOEVENTO="Manual",$M285=$A$15)),0,
         IF(OFFSET(CRONOPLE!$F$15,$M285-$A$15,AR$13)="",10^12,OFFSET(CRONOPLE!$F$15,$M285-$A$15,AR$13)))</f>
        <v>1000000000000</v>
      </c>
      <c r="AS285" s="172">
        <f ca="1">IF(OR($D285&lt;&gt;"Serviço",AND(AUTOEVENTO="Manual",$M285=$A$15)),0,
         IF(OFFSET(CRONOPLE!$F$15,$M285-$A$15,AS$13)="",10^12,OFFSET(CRONOPLE!$F$15,$M285-$A$15,AS$13)))</f>
        <v>1000000000000</v>
      </c>
      <c r="AT285" s="172">
        <f ca="1">IF(OR($D285&lt;&gt;"Serviço",AND(AUTOEVENTO="Manual",$M285=$A$15)),0,
         IF(OFFSET(CRONOPLE!$F$15,$M285-$A$15,AT$13)="",10^12,OFFSET(CRONOPLE!$F$15,$M285-$A$15,AT$13)))</f>
        <v>1000000000000</v>
      </c>
      <c r="AU285" s="172">
        <f ca="1">IF(OR($D285&lt;&gt;"Serviço",AND(AUTOEVENTO="Manual",$M285=$A$15)),0,
         IF(OFFSET(CRONOPLE!$F$15,$M285-$A$15,AU$13)="",10^12,OFFSET(CRONOPLE!$F$15,$M285-$A$15,AU$13)))</f>
        <v>1000000000000</v>
      </c>
      <c r="AV285" s="172">
        <f ca="1">IF(OR($D285&lt;&gt;"Serviço",AND(AUTOEVENTO="Manual",$M285=$A$15)),0,
         IF(OFFSET(CRONOPLE!$F$15,$M285-$A$15,AV$13)="",10^12,OFFSET(CRONOPLE!$F$15,$M285-$A$15,AV$13)))</f>
        <v>1000000000000</v>
      </c>
      <c r="AX285" s="173">
        <f ca="1">IF(OR($D285&lt;&gt;"Serviço",AND(AUTOEVENTO="Manual",$M285=$A$15),$M285&gt;(ROW(PLE.lastrow)-ROW(PLE.firstrow))),0,
           IF(OFFSET(PLE!$G$15,$M285-$A$15,AX$13)="",10^12,OFFSET(PLE!$G$15,$M285-$A$15,AX$13)))</f>
        <v>1000000000000</v>
      </c>
      <c r="AY285" s="173">
        <f ca="1">IF(OR($D285&lt;&gt;"Serviço",AND(AUTOEVENTO="Manual",$M285=$A$15),$M285&gt;(ROW(PLE.lastrow)-ROW(PLE.firstrow))),0,
           IF(OFFSET(PLE!$G$15,$M285-$A$15,AY$13)="",10^12,OFFSET(PLE!$G$15,$M285-$A$15,AY$13)))</f>
        <v>1000000000000</v>
      </c>
      <c r="AZ285" s="173">
        <f ca="1">IF(OR($D285&lt;&gt;"Serviço",AND(AUTOEVENTO="Manual",$M285=$A$15),$M285&gt;(ROW(PLE.lastrow)-ROW(PLE.firstrow))),0,
           IF(OFFSET(PLE!$G$15,$M285-$A$15,AZ$13)="",10^12,OFFSET(PLE!$G$15,$M285-$A$15,AZ$13)))</f>
        <v>1000000000000</v>
      </c>
      <c r="BA285" s="173">
        <f ca="1">IF(OR($D285&lt;&gt;"Serviço",AND(AUTOEVENTO="Manual",$M285=$A$15),$M285&gt;(ROW(PLE.lastrow)-ROW(PLE.firstrow))),0,
           IF(OFFSET(PLE!$G$15,$M285-$A$15,BA$13)="",10^12,OFFSET(PLE!$G$15,$M285-$A$15,BA$13)))</f>
        <v>1000000000000</v>
      </c>
      <c r="BB285" s="173">
        <f ca="1">IF(OR($D285&lt;&gt;"Serviço",AND(AUTOEVENTO="Manual",$M285=$A$15),$M285&gt;(ROW(PLE.lastrow)-ROW(PLE.firstrow))),0,
           IF(OFFSET(PLE!$G$15,$M285-$A$15,BB$13)="",10^12,OFFSET(PLE!$G$15,$M285-$A$15,BB$13)))</f>
        <v>1000000000000</v>
      </c>
      <c r="BC285" s="173">
        <f ca="1">IF(OR($D285&lt;&gt;"Serviço",AND(AUTOEVENTO="Manual",$M285=$A$15),$M285&gt;(ROW(PLE.lastrow)-ROW(PLE.firstrow))),0,
           IF(OFFSET(PLE!$G$15,$M285-$A$15,BC$13)="",10^12,OFFSET(PLE!$G$15,$M285-$A$15,BC$13)))</f>
        <v>1000000000000</v>
      </c>
      <c r="BD285" s="173">
        <f ca="1">IF(OR($D285&lt;&gt;"Serviço",AND(AUTOEVENTO="Manual",$M285=$A$15),$M285&gt;(ROW(PLE.lastrow)-ROW(PLE.firstrow))),0,
           IF(OFFSET(PLE!$G$15,$M285-$A$15,BD$13)="",10^12,OFFSET(PLE!$G$15,$M285-$A$15,BD$13)))</f>
        <v>1000000000000</v>
      </c>
      <c r="BE285" s="173">
        <f ca="1">IF(OR($D285&lt;&gt;"Serviço",AND(AUTOEVENTO="Manual",$M285=$A$15),$M285&gt;(ROW(PLE.lastrow)-ROW(PLE.firstrow))),0,
           IF(OFFSET(PLE!$G$15,$M285-$A$15,BE$13)="",10^12,OFFSET(PLE!$G$15,$M285-$A$15,BE$13)))</f>
        <v>1000000000000</v>
      </c>
      <c r="BF285" s="173">
        <f ca="1">IF(OR($D285&lt;&gt;"Serviço",AND(AUTOEVENTO="Manual",$M285=$A$15),$M285&gt;(ROW(PLE.lastrow)-ROW(PLE.firstrow))),0,
           IF(OFFSET(PLE!$G$15,$M285-$A$15,BF$13)="",10^12,OFFSET(PLE!$G$15,$M285-$A$15,BF$13)))</f>
        <v>1000000000000</v>
      </c>
      <c r="BG285" s="173">
        <f ca="1">IF(OR($D285&lt;&gt;"Serviço",AND(AUTOEVENTO="Manual",$M285=$A$15),$M285&gt;(ROW(PLE.lastrow)-ROW(PLE.firstrow))),0,
           IF(OFFSET(PLE!$G$15,$M285-$A$15,BG$13)="",10^12,OFFSET(PLE!$G$15,$M285-$A$15,BG$13)))</f>
        <v>1000000000000</v>
      </c>
    </row>
    <row r="286" spans="1:59" ht="12.75" x14ac:dyDescent="0.2">
      <c r="A286" s="7" t="str">
        <f t="shared" ca="1" si="12"/>
        <v>253</v>
      </c>
      <c r="B286" s="7">
        <f ca="1">OFFSET(ORÇAMENTO!C$15,ROW(B286)-ROW(B$15),0)</f>
        <v>3</v>
      </c>
      <c r="C286" s="7" t="str">
        <f ca="1">OFFSET(ORÇAMENTO!L$15,ROW(C286)-ROW(C$15),0)</f>
        <v>F</v>
      </c>
      <c r="D286" s="117" t="str">
        <f ca="1">OFFSET(ORÇAMENTO!N$15,ROW(D286)-ROW(D$15),0)</f>
        <v>Nível 3</v>
      </c>
      <c r="E286" s="118" t="str">
        <f ca="1">OFFSET(ORÇAMENTO!O$15,ROW(E286)-ROW(E$15),0)</f>
        <v>1.16.4.</v>
      </c>
      <c r="F286" s="164" t="str">
        <f ca="1">OFFSET(ORÇAMENTO!R$15,ROW(F286)-ROW(F$15),0)</f>
        <v>EXTINTORES</v>
      </c>
      <c r="G286" s="165" t="str">
        <f ca="1">IF($D286&lt;&gt;"Serviço","",OFFSET(ORÇAMENTO!S$15,ROW(G286)-ROW(G$15),0))</f>
        <v/>
      </c>
      <c r="H286" s="123">
        <f ca="1">IF($D286&lt;&gt;"Serviço",0,IF(ACOMPANHAMENTO="BM",ROUND(OFFSET(ORÇAMENTO!AJ$15,ROW(H286)-ROW(H$15),0),15-13*ORÇAMENTO!$AF$7),SUMPRODUCT(($Q$1:$AA$1=1)*ROUND($Q286:$AA286,15-13*ORÇAMENTO!$AF$7))))</f>
        <v>0</v>
      </c>
      <c r="I286" s="469"/>
      <c r="J286" s="577" t="str" cm="1">
        <f t="array" aca="1" ref="J286" ca="1">IF(B286&lt;&gt;"S","",IF(AND(ACOMPANHAMENTO="PLE",AUTOEVENTO="Manual",OR(H286&gt;0,ORÇAMENTO!AC286="QUANT."),OR(K286="",M286=0,N286="")),"►",IF(AND(ACOMPANHAMENTO="PLE",ORÇAMENTO!AC286="QUANT."),"►►",IF(AND(COUNTIF($P$11:$AA$11,"▼")=0,H286&gt;0,I286=""),"◄",""))))</f>
        <v/>
      </c>
      <c r="K286" s="626"/>
      <c r="L286" s="166" t="s">
        <v>765</v>
      </c>
      <c r="M286" s="167" t="str">
        <f ca="1">IF($D286&lt;&gt;"Serviço","",
          IF(AUTOEVENTO="manual",$A286,
                IF(ISERROR(MATCH($A286,$A$15:OFFSET($A286,-1,0),0)),MAX($M$15:OFFSET(M286,-1,0))+1,
                      INDEX($M$15:OFFSET(M286,-1,0),MATCH($A286,$A$15:OFFSET($A286,-1,0),0)))))</f>
        <v/>
      </c>
      <c r="N286" s="168" t="str">
        <f ca="1">IF($D286&lt;&gt;"Serviço","",
         IF(AUTOEVENTO="Manual",
                IF($A286=0,"&lt;-- defina o número do agrupador",
                       OFFSET(EVENTOS!$D$15,$A286-$A$15,0)),
                OFFSET($F$15,$A286,0)))</f>
        <v/>
      </c>
      <c r="O286" s="169"/>
      <c r="Q286" s="169"/>
      <c r="R286" s="170"/>
      <c r="S286" s="170"/>
      <c r="T286" s="170"/>
      <c r="U286" s="170"/>
      <c r="V286" s="170"/>
      <c r="W286" s="170"/>
      <c r="X286" s="170"/>
      <c r="Y286" s="170"/>
      <c r="Z286" s="171"/>
      <c r="AB286" s="454">
        <f ca="1">IF(AND($D286="Serviço",AB$12&lt;&gt;0,$H286&gt;0,OR(AUTOEVENTO&lt;&gt;"manual",$M286&lt;&gt;$A$15)),
        IF(Import.TipoArredondamento&lt;&gt;"TransfereGOV",
              ROUND(OFFSET($P286,0,AB$13),15-13*ORÇAMENTO!$AF$7)/$H286*OFFSET(ORÇAMENTO!$X$15,ROW(AB286)-ROW(AB$15),0),
              ROUND(ROUND(OFFSET($P286,0,AB$13),15-13*ORÇAMENTO!$AF$7)*OFFSET(ORÇAMENTO!$W$15,ROW(AB286)-ROW(AB$15),0),15-13*ORÇAMENTO!$AF$11)),
         0)</f>
        <v>0</v>
      </c>
      <c r="AC286" s="454">
        <f ca="1">IF(AND($D286="Serviço",AC$12&lt;&gt;0,$H286&gt;0,OR(AUTOEVENTO&lt;&gt;"manual",$M286&lt;&gt;$A$15)),
        IF(Import.TipoArredondamento&lt;&gt;"TransfereGOV",
              ROUND(OFFSET($P286,0,AC$13),15-13*ORÇAMENTO!$AF$7)/$H286*OFFSET(ORÇAMENTO!$X$15,ROW(AC286)-ROW(AC$15),0),
              ROUND(ROUND(OFFSET($P286,0,AC$13),15-13*ORÇAMENTO!$AF$7)*OFFSET(ORÇAMENTO!$W$15,ROW(AC286)-ROW(AC$15),0),15-13*ORÇAMENTO!$AF$11)),
         0)</f>
        <v>0</v>
      </c>
      <c r="AD286" s="454">
        <f ca="1">IF(AND($D286="Serviço",AD$12&lt;&gt;0,$H286&gt;0,OR(AUTOEVENTO&lt;&gt;"manual",$M286&lt;&gt;$A$15)),
        IF(Import.TipoArredondamento&lt;&gt;"TransfereGOV",
              ROUND(OFFSET($P286,0,AD$13),15-13*ORÇAMENTO!$AF$7)/$H286*OFFSET(ORÇAMENTO!$X$15,ROW(AD286)-ROW(AD$15),0),
              ROUND(ROUND(OFFSET($P286,0,AD$13),15-13*ORÇAMENTO!$AF$7)*OFFSET(ORÇAMENTO!$W$15,ROW(AD286)-ROW(AD$15),0),15-13*ORÇAMENTO!$AF$11)),
         0)</f>
        <v>0</v>
      </c>
      <c r="AE286" s="454">
        <f ca="1">IF(AND($D286="Serviço",AE$12&lt;&gt;0,$H286&gt;0,OR(AUTOEVENTO&lt;&gt;"manual",$M286&lt;&gt;$A$15)),
        IF(Import.TipoArredondamento&lt;&gt;"TransfereGOV",
              ROUND(OFFSET($P286,0,AE$13),15-13*ORÇAMENTO!$AF$7)/$H286*OFFSET(ORÇAMENTO!$X$15,ROW(AE286)-ROW(AE$15),0),
              ROUND(ROUND(OFFSET($P286,0,AE$13),15-13*ORÇAMENTO!$AF$7)*OFFSET(ORÇAMENTO!$W$15,ROW(AE286)-ROW(AE$15),0),15-13*ORÇAMENTO!$AF$11)),
         0)</f>
        <v>0</v>
      </c>
      <c r="AF286" s="454">
        <f ca="1">IF(AND($D286="Serviço",AF$12&lt;&gt;0,$H286&gt;0,OR(AUTOEVENTO&lt;&gt;"manual",$M286&lt;&gt;$A$15)),
        IF(Import.TipoArredondamento&lt;&gt;"TransfereGOV",
              ROUND(OFFSET($P286,0,AF$13),15-13*ORÇAMENTO!$AF$7)/$H286*OFFSET(ORÇAMENTO!$X$15,ROW(AF286)-ROW(AF$15),0),
              ROUND(ROUND(OFFSET($P286,0,AF$13),15-13*ORÇAMENTO!$AF$7)*OFFSET(ORÇAMENTO!$W$15,ROW(AF286)-ROW(AF$15),0),15-13*ORÇAMENTO!$AF$11)),
         0)</f>
        <v>0</v>
      </c>
      <c r="AG286" s="454">
        <f ca="1">IF(AND($D286="Serviço",AG$12&lt;&gt;0,$H286&gt;0,OR(AUTOEVENTO&lt;&gt;"manual",$M286&lt;&gt;$A$15)),
        IF(Import.TipoArredondamento&lt;&gt;"TransfereGOV",
              ROUND(OFFSET($P286,0,AG$13),15-13*ORÇAMENTO!$AF$7)/$H286*OFFSET(ORÇAMENTO!$X$15,ROW(AG286)-ROW(AG$15),0),
              ROUND(ROUND(OFFSET($P286,0,AG$13),15-13*ORÇAMENTO!$AF$7)*OFFSET(ORÇAMENTO!$W$15,ROW(AG286)-ROW(AG$15),0),15-13*ORÇAMENTO!$AF$11)),
         0)</f>
        <v>0</v>
      </c>
      <c r="AH286" s="454">
        <f ca="1">IF(AND($D286="Serviço",AH$12&lt;&gt;0,$H286&gt;0,OR(AUTOEVENTO&lt;&gt;"manual",$M286&lt;&gt;$A$15)),
        IF(Import.TipoArredondamento&lt;&gt;"TransfereGOV",
              ROUND(OFFSET($P286,0,AH$13),15-13*ORÇAMENTO!$AF$7)/$H286*OFFSET(ORÇAMENTO!$X$15,ROW(AH286)-ROW(AH$15),0),
              ROUND(ROUND(OFFSET($P286,0,AH$13),15-13*ORÇAMENTO!$AF$7)*OFFSET(ORÇAMENTO!$W$15,ROW(AH286)-ROW(AH$15),0),15-13*ORÇAMENTO!$AF$11)),
         0)</f>
        <v>0</v>
      </c>
      <c r="AI286" s="454">
        <f ca="1">IF(AND($D286="Serviço",AI$12&lt;&gt;0,$H286&gt;0,OR(AUTOEVENTO&lt;&gt;"manual",$M286&lt;&gt;$A$15)),
        IF(Import.TipoArredondamento&lt;&gt;"TransfereGOV",
              ROUND(OFFSET($P286,0,AI$13),15-13*ORÇAMENTO!$AF$7)/$H286*OFFSET(ORÇAMENTO!$X$15,ROW(AI286)-ROW(AI$15),0),
              ROUND(ROUND(OFFSET($P286,0,AI$13),15-13*ORÇAMENTO!$AF$7)*OFFSET(ORÇAMENTO!$W$15,ROW(AI286)-ROW(AI$15),0),15-13*ORÇAMENTO!$AF$11)),
         0)</f>
        <v>0</v>
      </c>
      <c r="AJ286" s="454">
        <f ca="1">IF(AND($D286="Serviço",AJ$12&lt;&gt;0,$H286&gt;0,OR(AUTOEVENTO&lt;&gt;"manual",$M286&lt;&gt;$A$15)),
        IF(Import.TipoArredondamento&lt;&gt;"TransfereGOV",
              ROUND(OFFSET($P286,0,AJ$13),15-13*ORÇAMENTO!$AF$7)/$H286*OFFSET(ORÇAMENTO!$X$15,ROW(AJ286)-ROW(AJ$15),0),
              ROUND(ROUND(OFFSET($P286,0,AJ$13),15-13*ORÇAMENTO!$AF$7)*OFFSET(ORÇAMENTO!$W$15,ROW(AJ286)-ROW(AJ$15),0),15-13*ORÇAMENTO!$AF$11)),
         0)</f>
        <v>0</v>
      </c>
      <c r="AK286" s="454">
        <f ca="1">IF(AND($D286="Serviço",AK$12&lt;&gt;0,$H286&gt;0,OR(AUTOEVENTO&lt;&gt;"manual",$M286&lt;&gt;$A$15)),
        IF(Import.TipoArredondamento&lt;&gt;"TransfereGOV",
              ROUND(OFFSET($P286,0,AK$13),15-13*ORÇAMENTO!$AF$7)/$H286*OFFSET(ORÇAMENTO!$X$15,ROW(AK286)-ROW(AK$15),0),
              ROUND(ROUND(OFFSET($P286,0,AK$13),15-13*ORÇAMENTO!$AF$7)*OFFSET(ORÇAMENTO!$W$15,ROW(AK286)-ROW(AK$15),0),15-13*ORÇAMENTO!$AF$11)),
         0)</f>
        <v>0</v>
      </c>
      <c r="AM286" s="172">
        <f ca="1">IF(OR($D286&lt;&gt;"Serviço",AND(AUTOEVENTO="Manual",$M286=$A$15)),0,
         IF(OFFSET(CRONOPLE!$F$15,$M286-$A$15,AM$13)="",10^12,OFFSET(CRONOPLE!$F$15,$M286-$A$15,AM$13)))</f>
        <v>0</v>
      </c>
      <c r="AN286" s="172">
        <f ca="1">IF(OR($D286&lt;&gt;"Serviço",AND(AUTOEVENTO="Manual",$M286=$A$15)),0,
         IF(OFFSET(CRONOPLE!$F$15,$M286-$A$15,AN$13)="",10^12,OFFSET(CRONOPLE!$F$15,$M286-$A$15,AN$13)))</f>
        <v>0</v>
      </c>
      <c r="AO286" s="172">
        <f ca="1">IF(OR($D286&lt;&gt;"Serviço",AND(AUTOEVENTO="Manual",$M286=$A$15)),0,
         IF(OFFSET(CRONOPLE!$F$15,$M286-$A$15,AO$13)="",10^12,OFFSET(CRONOPLE!$F$15,$M286-$A$15,AO$13)))</f>
        <v>0</v>
      </c>
      <c r="AP286" s="172">
        <f ca="1">IF(OR($D286&lt;&gt;"Serviço",AND(AUTOEVENTO="Manual",$M286=$A$15)),0,
         IF(OFFSET(CRONOPLE!$F$15,$M286-$A$15,AP$13)="",10^12,OFFSET(CRONOPLE!$F$15,$M286-$A$15,AP$13)))</f>
        <v>0</v>
      </c>
      <c r="AQ286" s="172">
        <f ca="1">IF(OR($D286&lt;&gt;"Serviço",AND(AUTOEVENTO="Manual",$M286=$A$15)),0,
         IF(OFFSET(CRONOPLE!$F$15,$M286-$A$15,AQ$13)="",10^12,OFFSET(CRONOPLE!$F$15,$M286-$A$15,AQ$13)))</f>
        <v>0</v>
      </c>
      <c r="AR286" s="172">
        <f ca="1">IF(OR($D286&lt;&gt;"Serviço",AND(AUTOEVENTO="Manual",$M286=$A$15)),0,
         IF(OFFSET(CRONOPLE!$F$15,$M286-$A$15,AR$13)="",10^12,OFFSET(CRONOPLE!$F$15,$M286-$A$15,AR$13)))</f>
        <v>0</v>
      </c>
      <c r="AS286" s="172">
        <f ca="1">IF(OR($D286&lt;&gt;"Serviço",AND(AUTOEVENTO="Manual",$M286=$A$15)),0,
         IF(OFFSET(CRONOPLE!$F$15,$M286-$A$15,AS$13)="",10^12,OFFSET(CRONOPLE!$F$15,$M286-$A$15,AS$13)))</f>
        <v>0</v>
      </c>
      <c r="AT286" s="172">
        <f ca="1">IF(OR($D286&lt;&gt;"Serviço",AND(AUTOEVENTO="Manual",$M286=$A$15)),0,
         IF(OFFSET(CRONOPLE!$F$15,$M286-$A$15,AT$13)="",10^12,OFFSET(CRONOPLE!$F$15,$M286-$A$15,AT$13)))</f>
        <v>0</v>
      </c>
      <c r="AU286" s="172">
        <f ca="1">IF(OR($D286&lt;&gt;"Serviço",AND(AUTOEVENTO="Manual",$M286=$A$15)),0,
         IF(OFFSET(CRONOPLE!$F$15,$M286-$A$15,AU$13)="",10^12,OFFSET(CRONOPLE!$F$15,$M286-$A$15,AU$13)))</f>
        <v>0</v>
      </c>
      <c r="AV286" s="172">
        <f ca="1">IF(OR($D286&lt;&gt;"Serviço",AND(AUTOEVENTO="Manual",$M286=$A$15)),0,
         IF(OFFSET(CRONOPLE!$F$15,$M286-$A$15,AV$13)="",10^12,OFFSET(CRONOPLE!$F$15,$M286-$A$15,AV$13)))</f>
        <v>0</v>
      </c>
      <c r="AX286" s="173">
        <f ca="1">IF(OR($D286&lt;&gt;"Serviço",AND(AUTOEVENTO="Manual",$M286=$A$15),$M286&gt;(ROW(PLE.lastrow)-ROW(PLE.firstrow))),0,
           IF(OFFSET(PLE!$G$15,$M286-$A$15,AX$13)="",10^12,OFFSET(PLE!$G$15,$M286-$A$15,AX$13)))</f>
        <v>0</v>
      </c>
      <c r="AY286" s="173">
        <f ca="1">IF(OR($D286&lt;&gt;"Serviço",AND(AUTOEVENTO="Manual",$M286=$A$15),$M286&gt;(ROW(PLE.lastrow)-ROW(PLE.firstrow))),0,
           IF(OFFSET(PLE!$G$15,$M286-$A$15,AY$13)="",10^12,OFFSET(PLE!$G$15,$M286-$A$15,AY$13)))</f>
        <v>0</v>
      </c>
      <c r="AZ286" s="173">
        <f ca="1">IF(OR($D286&lt;&gt;"Serviço",AND(AUTOEVENTO="Manual",$M286=$A$15),$M286&gt;(ROW(PLE.lastrow)-ROW(PLE.firstrow))),0,
           IF(OFFSET(PLE!$G$15,$M286-$A$15,AZ$13)="",10^12,OFFSET(PLE!$G$15,$M286-$A$15,AZ$13)))</f>
        <v>0</v>
      </c>
      <c r="BA286" s="173">
        <f ca="1">IF(OR($D286&lt;&gt;"Serviço",AND(AUTOEVENTO="Manual",$M286=$A$15),$M286&gt;(ROW(PLE.lastrow)-ROW(PLE.firstrow))),0,
           IF(OFFSET(PLE!$G$15,$M286-$A$15,BA$13)="",10^12,OFFSET(PLE!$G$15,$M286-$A$15,BA$13)))</f>
        <v>0</v>
      </c>
      <c r="BB286" s="173">
        <f ca="1">IF(OR($D286&lt;&gt;"Serviço",AND(AUTOEVENTO="Manual",$M286=$A$15),$M286&gt;(ROW(PLE.lastrow)-ROW(PLE.firstrow))),0,
           IF(OFFSET(PLE!$G$15,$M286-$A$15,BB$13)="",10^12,OFFSET(PLE!$G$15,$M286-$A$15,BB$13)))</f>
        <v>0</v>
      </c>
      <c r="BC286" s="173">
        <f ca="1">IF(OR($D286&lt;&gt;"Serviço",AND(AUTOEVENTO="Manual",$M286=$A$15),$M286&gt;(ROW(PLE.lastrow)-ROW(PLE.firstrow))),0,
           IF(OFFSET(PLE!$G$15,$M286-$A$15,BC$13)="",10^12,OFFSET(PLE!$G$15,$M286-$A$15,BC$13)))</f>
        <v>0</v>
      </c>
      <c r="BD286" s="173">
        <f ca="1">IF(OR($D286&lt;&gt;"Serviço",AND(AUTOEVENTO="Manual",$M286=$A$15),$M286&gt;(ROW(PLE.lastrow)-ROW(PLE.firstrow))),0,
           IF(OFFSET(PLE!$G$15,$M286-$A$15,BD$13)="",10^12,OFFSET(PLE!$G$15,$M286-$A$15,BD$13)))</f>
        <v>0</v>
      </c>
      <c r="BE286" s="173">
        <f ca="1">IF(OR($D286&lt;&gt;"Serviço",AND(AUTOEVENTO="Manual",$M286=$A$15),$M286&gt;(ROW(PLE.lastrow)-ROW(PLE.firstrow))),0,
           IF(OFFSET(PLE!$G$15,$M286-$A$15,BE$13)="",10^12,OFFSET(PLE!$G$15,$M286-$A$15,BE$13)))</f>
        <v>0</v>
      </c>
      <c r="BF286" s="173">
        <f ca="1">IF(OR($D286&lt;&gt;"Serviço",AND(AUTOEVENTO="Manual",$M286=$A$15),$M286&gt;(ROW(PLE.lastrow)-ROW(PLE.firstrow))),0,
           IF(OFFSET(PLE!$G$15,$M286-$A$15,BF$13)="",10^12,OFFSET(PLE!$G$15,$M286-$A$15,BF$13)))</f>
        <v>0</v>
      </c>
      <c r="BG286" s="173">
        <f ca="1">IF(OR($D286&lt;&gt;"Serviço",AND(AUTOEVENTO="Manual",$M286=$A$15),$M286&gt;(ROW(PLE.lastrow)-ROW(PLE.firstrow))),0,
           IF(OFFSET(PLE!$G$15,$M286-$A$15,BG$13)="",10^12,OFFSET(PLE!$G$15,$M286-$A$15,BG$13)))</f>
        <v>0</v>
      </c>
    </row>
    <row r="287" spans="1:59" ht="25.5" x14ac:dyDescent="0.2">
      <c r="A287" s="7" t="str">
        <f t="shared" ca="1" si="12"/>
        <v>253</v>
      </c>
      <c r="B287" s="7" t="str">
        <f ca="1">OFFSET(ORÇAMENTO!C$15,ROW(B287)-ROW(B$15),0)</f>
        <v>S</v>
      </c>
      <c r="C287" s="7" t="str">
        <f ca="1">OFFSET(ORÇAMENTO!L$15,ROW(C287)-ROW(C$15),0)</f>
        <v/>
      </c>
      <c r="D287" s="117" t="str">
        <f ca="1">OFFSET(ORÇAMENTO!N$15,ROW(D287)-ROW(D$15),0)</f>
        <v>Serviço</v>
      </c>
      <c r="E287" s="118" t="str">
        <f ca="1">OFFSET(ORÇAMENTO!O$15,ROW(E287)-ROW(E$15),0)</f>
        <v>-</v>
      </c>
      <c r="F287" s="164" t="str">
        <f ca="1">OFFSET(ORÇAMENTO!R$15,ROW(F287)-ROW(F$15),0)</f>
        <v>EXTINTOR DE INCÊNDIO PORTÁTIL COM CARGA DE PQS DE 4 KG, CLASSE ABC - FORNECIMENTO E INSTALAÇÃO</v>
      </c>
      <c r="G287" s="165" t="str">
        <f ca="1">IF($D287&lt;&gt;"Serviço","",OFFSET(ORÇAMENTO!S$15,ROW(G287)-ROW(G$15),0))</f>
        <v xml:space="preserve">UN    </v>
      </c>
      <c r="H287" s="123">
        <f ca="1">IF($D287&lt;&gt;"Serviço",0,IF(ACOMPANHAMENTO="BM",ROUND(OFFSET(ORÇAMENTO!AJ$15,ROW(H287)-ROW(H$15),0),15-13*ORÇAMENTO!$AF$7),SUMPRODUCT(($Q$1:$AA$1=1)*ROUND($Q287:$AA287,15-13*ORÇAMENTO!$AF$7))))</f>
        <v>6</v>
      </c>
      <c r="I287" s="469"/>
      <c r="J287" s="577" t="str" cm="1">
        <f t="array" aca="1" ref="J287" ca="1">IF(B287&lt;&gt;"S","",IF(AND(ACOMPANHAMENTO="PLE",AUTOEVENTO="Manual",OR(H287&gt;0,ORÇAMENTO!AC287="QUANT."),OR(K287="",M287=0,N287="")),"►",IF(AND(ACOMPANHAMENTO="PLE",ORÇAMENTO!AC287="QUANT."),"►►",IF(AND(COUNTIF($P$11:$AA$11,"▼")=0,H287&gt;0,I287=""),"◄",""))))</f>
        <v>◄</v>
      </c>
      <c r="K287" s="626"/>
      <c r="L287" s="166" t="s">
        <v>765</v>
      </c>
      <c r="M287" s="167">
        <f ca="1">IF($D287&lt;&gt;"Serviço","",
          IF(AUTOEVENTO="manual",$A287,
                IF(ISERROR(MATCH($A287,$A$15:OFFSET($A287,-1,0),0)),MAX($M$15:OFFSET(M287,-1,0))+1,
                      INDEX($M$15:OFFSET(M287,-1,0),MATCH($A287,$A$15:OFFSET($A287,-1,0),0)))))</f>
        <v>16</v>
      </c>
      <c r="N287" s="168" t="str">
        <f ca="1">IF($D287&lt;&gt;"Serviço","",
         IF(AUTOEVENTO="Manual",
                IF($A287=0,"&lt;-- defina o número do agrupador",
                       OFFSET(EVENTOS!$D$15,$A287-$A$15,0)),
                OFFSET($F$15,$A287,0)))</f>
        <v>SISTEMAS DE PREVENÇÃO CONTRA INCÊNDIO</v>
      </c>
      <c r="O287" s="169"/>
      <c r="Q287" s="169"/>
      <c r="R287" s="170"/>
      <c r="S287" s="170"/>
      <c r="T287" s="170"/>
      <c r="U287" s="170"/>
      <c r="V287" s="170"/>
      <c r="W287" s="170"/>
      <c r="X287" s="170"/>
      <c r="Y287" s="170"/>
      <c r="Z287" s="171"/>
      <c r="AB287" s="454">
        <f ca="1">IF(AND($D287="Serviço",AB$12&lt;&gt;0,$H287&gt;0,OR(AUTOEVENTO&lt;&gt;"manual",$M287&lt;&gt;$A$15)),
        IF(Import.TipoArredondamento&lt;&gt;"TransfereGOV",
              ROUND(OFFSET($P287,0,AB$13),15-13*ORÇAMENTO!$AF$7)/$H287*OFFSET(ORÇAMENTO!$X$15,ROW(AB287)-ROW(AB$15),0),
              ROUND(ROUND(OFFSET($P287,0,AB$13),15-13*ORÇAMENTO!$AF$7)*OFFSET(ORÇAMENTO!$W$15,ROW(AB287)-ROW(AB$15),0),15-13*ORÇAMENTO!$AF$11)),
         0)</f>
        <v>0</v>
      </c>
      <c r="AC287" s="454">
        <f ca="1">IF(AND($D287="Serviço",AC$12&lt;&gt;0,$H287&gt;0,OR(AUTOEVENTO&lt;&gt;"manual",$M287&lt;&gt;$A$15)),
        IF(Import.TipoArredondamento&lt;&gt;"TransfereGOV",
              ROUND(OFFSET($P287,0,AC$13),15-13*ORÇAMENTO!$AF$7)/$H287*OFFSET(ORÇAMENTO!$X$15,ROW(AC287)-ROW(AC$15),0),
              ROUND(ROUND(OFFSET($P287,0,AC$13),15-13*ORÇAMENTO!$AF$7)*OFFSET(ORÇAMENTO!$W$15,ROW(AC287)-ROW(AC$15),0),15-13*ORÇAMENTO!$AF$11)),
         0)</f>
        <v>0</v>
      </c>
      <c r="AD287" s="454">
        <f ca="1">IF(AND($D287="Serviço",AD$12&lt;&gt;0,$H287&gt;0,OR(AUTOEVENTO&lt;&gt;"manual",$M287&lt;&gt;$A$15)),
        IF(Import.TipoArredondamento&lt;&gt;"TransfereGOV",
              ROUND(OFFSET($P287,0,AD$13),15-13*ORÇAMENTO!$AF$7)/$H287*OFFSET(ORÇAMENTO!$X$15,ROW(AD287)-ROW(AD$15),0),
              ROUND(ROUND(OFFSET($P287,0,AD$13),15-13*ORÇAMENTO!$AF$7)*OFFSET(ORÇAMENTO!$W$15,ROW(AD287)-ROW(AD$15),0),15-13*ORÇAMENTO!$AF$11)),
         0)</f>
        <v>0</v>
      </c>
      <c r="AE287" s="454">
        <f ca="1">IF(AND($D287="Serviço",AE$12&lt;&gt;0,$H287&gt;0,OR(AUTOEVENTO&lt;&gt;"manual",$M287&lt;&gt;$A$15)),
        IF(Import.TipoArredondamento&lt;&gt;"TransfereGOV",
              ROUND(OFFSET($P287,0,AE$13),15-13*ORÇAMENTO!$AF$7)/$H287*OFFSET(ORÇAMENTO!$X$15,ROW(AE287)-ROW(AE$15),0),
              ROUND(ROUND(OFFSET($P287,0,AE$13),15-13*ORÇAMENTO!$AF$7)*OFFSET(ORÇAMENTO!$W$15,ROW(AE287)-ROW(AE$15),0),15-13*ORÇAMENTO!$AF$11)),
         0)</f>
        <v>0</v>
      </c>
      <c r="AF287" s="454">
        <f ca="1">IF(AND($D287="Serviço",AF$12&lt;&gt;0,$H287&gt;0,OR(AUTOEVENTO&lt;&gt;"manual",$M287&lt;&gt;$A$15)),
        IF(Import.TipoArredondamento&lt;&gt;"TransfereGOV",
              ROUND(OFFSET($P287,0,AF$13),15-13*ORÇAMENTO!$AF$7)/$H287*OFFSET(ORÇAMENTO!$X$15,ROW(AF287)-ROW(AF$15),0),
              ROUND(ROUND(OFFSET($P287,0,AF$13),15-13*ORÇAMENTO!$AF$7)*OFFSET(ORÇAMENTO!$W$15,ROW(AF287)-ROW(AF$15),0),15-13*ORÇAMENTO!$AF$11)),
         0)</f>
        <v>0</v>
      </c>
      <c r="AG287" s="454">
        <f ca="1">IF(AND($D287="Serviço",AG$12&lt;&gt;0,$H287&gt;0,OR(AUTOEVENTO&lt;&gt;"manual",$M287&lt;&gt;$A$15)),
        IF(Import.TipoArredondamento&lt;&gt;"TransfereGOV",
              ROUND(OFFSET($P287,0,AG$13),15-13*ORÇAMENTO!$AF$7)/$H287*OFFSET(ORÇAMENTO!$X$15,ROW(AG287)-ROW(AG$15),0),
              ROUND(ROUND(OFFSET($P287,0,AG$13),15-13*ORÇAMENTO!$AF$7)*OFFSET(ORÇAMENTO!$W$15,ROW(AG287)-ROW(AG$15),0),15-13*ORÇAMENTO!$AF$11)),
         0)</f>
        <v>0</v>
      </c>
      <c r="AH287" s="454">
        <f ca="1">IF(AND($D287="Serviço",AH$12&lt;&gt;0,$H287&gt;0,OR(AUTOEVENTO&lt;&gt;"manual",$M287&lt;&gt;$A$15)),
        IF(Import.TipoArredondamento&lt;&gt;"TransfereGOV",
              ROUND(OFFSET($P287,0,AH$13),15-13*ORÇAMENTO!$AF$7)/$H287*OFFSET(ORÇAMENTO!$X$15,ROW(AH287)-ROW(AH$15),0),
              ROUND(ROUND(OFFSET($P287,0,AH$13),15-13*ORÇAMENTO!$AF$7)*OFFSET(ORÇAMENTO!$W$15,ROW(AH287)-ROW(AH$15),0),15-13*ORÇAMENTO!$AF$11)),
         0)</f>
        <v>0</v>
      </c>
      <c r="AI287" s="454">
        <f ca="1">IF(AND($D287="Serviço",AI$12&lt;&gt;0,$H287&gt;0,OR(AUTOEVENTO&lt;&gt;"manual",$M287&lt;&gt;$A$15)),
        IF(Import.TipoArredondamento&lt;&gt;"TransfereGOV",
              ROUND(OFFSET($P287,0,AI$13),15-13*ORÇAMENTO!$AF$7)/$H287*OFFSET(ORÇAMENTO!$X$15,ROW(AI287)-ROW(AI$15),0),
              ROUND(ROUND(OFFSET($P287,0,AI$13),15-13*ORÇAMENTO!$AF$7)*OFFSET(ORÇAMENTO!$W$15,ROW(AI287)-ROW(AI$15),0),15-13*ORÇAMENTO!$AF$11)),
         0)</f>
        <v>0</v>
      </c>
      <c r="AJ287" s="454">
        <f ca="1">IF(AND($D287="Serviço",AJ$12&lt;&gt;0,$H287&gt;0,OR(AUTOEVENTO&lt;&gt;"manual",$M287&lt;&gt;$A$15)),
        IF(Import.TipoArredondamento&lt;&gt;"TransfereGOV",
              ROUND(OFFSET($P287,0,AJ$13),15-13*ORÇAMENTO!$AF$7)/$H287*OFFSET(ORÇAMENTO!$X$15,ROW(AJ287)-ROW(AJ$15),0),
              ROUND(ROUND(OFFSET($P287,0,AJ$13),15-13*ORÇAMENTO!$AF$7)*OFFSET(ORÇAMENTO!$W$15,ROW(AJ287)-ROW(AJ$15),0),15-13*ORÇAMENTO!$AF$11)),
         0)</f>
        <v>0</v>
      </c>
      <c r="AK287" s="454">
        <f ca="1">IF(AND($D287="Serviço",AK$12&lt;&gt;0,$H287&gt;0,OR(AUTOEVENTO&lt;&gt;"manual",$M287&lt;&gt;$A$15)),
        IF(Import.TipoArredondamento&lt;&gt;"TransfereGOV",
              ROUND(OFFSET($P287,0,AK$13),15-13*ORÇAMENTO!$AF$7)/$H287*OFFSET(ORÇAMENTO!$X$15,ROW(AK287)-ROW(AK$15),0),
              ROUND(ROUND(OFFSET($P287,0,AK$13),15-13*ORÇAMENTO!$AF$7)*OFFSET(ORÇAMENTO!$W$15,ROW(AK287)-ROW(AK$15),0),15-13*ORÇAMENTO!$AF$11)),
         0)</f>
        <v>0</v>
      </c>
      <c r="AM287" s="172">
        <f ca="1">IF(OR($D287&lt;&gt;"Serviço",AND(AUTOEVENTO="Manual",$M287=$A$15)),0,
         IF(OFFSET(CRONOPLE!$F$15,$M287-$A$15,AM$13)="",10^12,OFFSET(CRONOPLE!$F$15,$M287-$A$15,AM$13)))</f>
        <v>1000000000000</v>
      </c>
      <c r="AN287" s="172">
        <f ca="1">IF(OR($D287&lt;&gt;"Serviço",AND(AUTOEVENTO="Manual",$M287=$A$15)),0,
         IF(OFFSET(CRONOPLE!$F$15,$M287-$A$15,AN$13)="",10^12,OFFSET(CRONOPLE!$F$15,$M287-$A$15,AN$13)))</f>
        <v>1000000000000</v>
      </c>
      <c r="AO287" s="172">
        <f ca="1">IF(OR($D287&lt;&gt;"Serviço",AND(AUTOEVENTO="Manual",$M287=$A$15)),0,
         IF(OFFSET(CRONOPLE!$F$15,$M287-$A$15,AO$13)="",10^12,OFFSET(CRONOPLE!$F$15,$M287-$A$15,AO$13)))</f>
        <v>1000000000000</v>
      </c>
      <c r="AP287" s="172">
        <f ca="1">IF(OR($D287&lt;&gt;"Serviço",AND(AUTOEVENTO="Manual",$M287=$A$15)),0,
         IF(OFFSET(CRONOPLE!$F$15,$M287-$A$15,AP$13)="",10^12,OFFSET(CRONOPLE!$F$15,$M287-$A$15,AP$13)))</f>
        <v>1000000000000</v>
      </c>
      <c r="AQ287" s="172">
        <f ca="1">IF(OR($D287&lt;&gt;"Serviço",AND(AUTOEVENTO="Manual",$M287=$A$15)),0,
         IF(OFFSET(CRONOPLE!$F$15,$M287-$A$15,AQ$13)="",10^12,OFFSET(CRONOPLE!$F$15,$M287-$A$15,AQ$13)))</f>
        <v>1000000000000</v>
      </c>
      <c r="AR287" s="172">
        <f ca="1">IF(OR($D287&lt;&gt;"Serviço",AND(AUTOEVENTO="Manual",$M287=$A$15)),0,
         IF(OFFSET(CRONOPLE!$F$15,$M287-$A$15,AR$13)="",10^12,OFFSET(CRONOPLE!$F$15,$M287-$A$15,AR$13)))</f>
        <v>1000000000000</v>
      </c>
      <c r="AS287" s="172">
        <f ca="1">IF(OR($D287&lt;&gt;"Serviço",AND(AUTOEVENTO="Manual",$M287=$A$15)),0,
         IF(OFFSET(CRONOPLE!$F$15,$M287-$A$15,AS$13)="",10^12,OFFSET(CRONOPLE!$F$15,$M287-$A$15,AS$13)))</f>
        <v>1000000000000</v>
      </c>
      <c r="AT287" s="172">
        <f ca="1">IF(OR($D287&lt;&gt;"Serviço",AND(AUTOEVENTO="Manual",$M287=$A$15)),0,
         IF(OFFSET(CRONOPLE!$F$15,$M287-$A$15,AT$13)="",10^12,OFFSET(CRONOPLE!$F$15,$M287-$A$15,AT$13)))</f>
        <v>1000000000000</v>
      </c>
      <c r="AU287" s="172">
        <f ca="1">IF(OR($D287&lt;&gt;"Serviço",AND(AUTOEVENTO="Manual",$M287=$A$15)),0,
         IF(OFFSET(CRONOPLE!$F$15,$M287-$A$15,AU$13)="",10^12,OFFSET(CRONOPLE!$F$15,$M287-$A$15,AU$13)))</f>
        <v>1000000000000</v>
      </c>
      <c r="AV287" s="172">
        <f ca="1">IF(OR($D287&lt;&gt;"Serviço",AND(AUTOEVENTO="Manual",$M287=$A$15)),0,
         IF(OFFSET(CRONOPLE!$F$15,$M287-$A$15,AV$13)="",10^12,OFFSET(CRONOPLE!$F$15,$M287-$A$15,AV$13)))</f>
        <v>1000000000000</v>
      </c>
      <c r="AX287" s="173">
        <f ca="1">IF(OR($D287&lt;&gt;"Serviço",AND(AUTOEVENTO="Manual",$M287=$A$15),$M287&gt;(ROW(PLE.lastrow)-ROW(PLE.firstrow))),0,
           IF(OFFSET(PLE!$G$15,$M287-$A$15,AX$13)="",10^12,OFFSET(PLE!$G$15,$M287-$A$15,AX$13)))</f>
        <v>1000000000000</v>
      </c>
      <c r="AY287" s="173">
        <f ca="1">IF(OR($D287&lt;&gt;"Serviço",AND(AUTOEVENTO="Manual",$M287=$A$15),$M287&gt;(ROW(PLE.lastrow)-ROW(PLE.firstrow))),0,
           IF(OFFSET(PLE!$G$15,$M287-$A$15,AY$13)="",10^12,OFFSET(PLE!$G$15,$M287-$A$15,AY$13)))</f>
        <v>1000000000000</v>
      </c>
      <c r="AZ287" s="173">
        <f ca="1">IF(OR($D287&lt;&gt;"Serviço",AND(AUTOEVENTO="Manual",$M287=$A$15),$M287&gt;(ROW(PLE.lastrow)-ROW(PLE.firstrow))),0,
           IF(OFFSET(PLE!$G$15,$M287-$A$15,AZ$13)="",10^12,OFFSET(PLE!$G$15,$M287-$A$15,AZ$13)))</f>
        <v>1000000000000</v>
      </c>
      <c r="BA287" s="173">
        <f ca="1">IF(OR($D287&lt;&gt;"Serviço",AND(AUTOEVENTO="Manual",$M287=$A$15),$M287&gt;(ROW(PLE.lastrow)-ROW(PLE.firstrow))),0,
           IF(OFFSET(PLE!$G$15,$M287-$A$15,BA$13)="",10^12,OFFSET(PLE!$G$15,$M287-$A$15,BA$13)))</f>
        <v>1000000000000</v>
      </c>
      <c r="BB287" s="173">
        <f ca="1">IF(OR($D287&lt;&gt;"Serviço",AND(AUTOEVENTO="Manual",$M287=$A$15),$M287&gt;(ROW(PLE.lastrow)-ROW(PLE.firstrow))),0,
           IF(OFFSET(PLE!$G$15,$M287-$A$15,BB$13)="",10^12,OFFSET(PLE!$G$15,$M287-$A$15,BB$13)))</f>
        <v>1000000000000</v>
      </c>
      <c r="BC287" s="173">
        <f ca="1">IF(OR($D287&lt;&gt;"Serviço",AND(AUTOEVENTO="Manual",$M287=$A$15),$M287&gt;(ROW(PLE.lastrow)-ROW(PLE.firstrow))),0,
           IF(OFFSET(PLE!$G$15,$M287-$A$15,BC$13)="",10^12,OFFSET(PLE!$G$15,$M287-$A$15,BC$13)))</f>
        <v>1000000000000</v>
      </c>
      <c r="BD287" s="173">
        <f ca="1">IF(OR($D287&lt;&gt;"Serviço",AND(AUTOEVENTO="Manual",$M287=$A$15),$M287&gt;(ROW(PLE.lastrow)-ROW(PLE.firstrow))),0,
           IF(OFFSET(PLE!$G$15,$M287-$A$15,BD$13)="",10^12,OFFSET(PLE!$G$15,$M287-$A$15,BD$13)))</f>
        <v>1000000000000</v>
      </c>
      <c r="BE287" s="173">
        <f ca="1">IF(OR($D287&lt;&gt;"Serviço",AND(AUTOEVENTO="Manual",$M287=$A$15),$M287&gt;(ROW(PLE.lastrow)-ROW(PLE.firstrow))),0,
           IF(OFFSET(PLE!$G$15,$M287-$A$15,BE$13)="",10^12,OFFSET(PLE!$G$15,$M287-$A$15,BE$13)))</f>
        <v>1000000000000</v>
      </c>
      <c r="BF287" s="173">
        <f ca="1">IF(OR($D287&lt;&gt;"Serviço",AND(AUTOEVENTO="Manual",$M287=$A$15),$M287&gt;(ROW(PLE.lastrow)-ROW(PLE.firstrow))),0,
           IF(OFFSET(PLE!$G$15,$M287-$A$15,BF$13)="",10^12,OFFSET(PLE!$G$15,$M287-$A$15,BF$13)))</f>
        <v>1000000000000</v>
      </c>
      <c r="BG287" s="173">
        <f ca="1">IF(OR($D287&lt;&gt;"Serviço",AND(AUTOEVENTO="Manual",$M287=$A$15),$M287&gt;(ROW(PLE.lastrow)-ROW(PLE.firstrow))),0,
           IF(OFFSET(PLE!$G$15,$M287-$A$15,BG$13)="",10^12,OFFSET(PLE!$G$15,$M287-$A$15,BG$13)))</f>
        <v>1000000000000</v>
      </c>
    </row>
    <row r="288" spans="1:59" ht="25.5" x14ac:dyDescent="0.2">
      <c r="A288" s="7" t="str">
        <f t="shared" ca="1" si="12"/>
        <v>253</v>
      </c>
      <c r="B288" s="7" t="str">
        <f ca="1">OFFSET(ORÇAMENTO!C$15,ROW(B288)-ROW(B$15),0)</f>
        <v>S</v>
      </c>
      <c r="C288" s="7" t="str">
        <f ca="1">OFFSET(ORÇAMENTO!L$15,ROW(C288)-ROW(C$15),0)</f>
        <v/>
      </c>
      <c r="D288" s="117" t="str">
        <f ca="1">OFFSET(ORÇAMENTO!N$15,ROW(D288)-ROW(D$15),0)</f>
        <v>Serviço</v>
      </c>
      <c r="E288" s="118" t="str">
        <f ca="1">OFFSET(ORÇAMENTO!O$15,ROW(E288)-ROW(E$15),0)</f>
        <v>-</v>
      </c>
      <c r="F288" s="164" t="str">
        <f ca="1">OFFSET(ORÇAMENTO!R$15,ROW(F288)-ROW(F$15),0)</f>
        <v>EXTINTOR DE INCÊNDIO PORTÁTIL COM CARGA DE CO2 DE 4 KG, CLASSE BC - FORNECIMENTO E INSTALAÇÃO. AF_10/2020_PE</v>
      </c>
      <c r="G288" s="165" t="str">
        <f ca="1">IF($D288&lt;&gt;"Serviço","",OFFSET(ORÇAMENTO!S$15,ROW(G288)-ROW(G$15),0))</f>
        <v>UN</v>
      </c>
      <c r="H288" s="123">
        <f ca="1">IF($D288&lt;&gt;"Serviço",0,IF(ACOMPANHAMENTO="BM",ROUND(OFFSET(ORÇAMENTO!AJ$15,ROW(H288)-ROW(H$15),0),15-13*ORÇAMENTO!$AF$7),SUMPRODUCT(($Q$1:$AA$1=1)*ROUND($Q288:$AA288,15-13*ORÇAMENTO!$AF$7))))</f>
        <v>1</v>
      </c>
      <c r="I288" s="469"/>
      <c r="J288" s="577" t="str" cm="1">
        <f t="array" aca="1" ref="J288" ca="1">IF(B288&lt;&gt;"S","",IF(AND(ACOMPANHAMENTO="PLE",AUTOEVENTO="Manual",OR(H288&gt;0,ORÇAMENTO!AC288="QUANT."),OR(K288="",M288=0,N288="")),"►",IF(AND(ACOMPANHAMENTO="PLE",ORÇAMENTO!AC288="QUANT."),"►►",IF(AND(COUNTIF($P$11:$AA$11,"▼")=0,H288&gt;0,I288=""),"◄",""))))</f>
        <v>◄</v>
      </c>
      <c r="K288" s="626"/>
      <c r="L288" s="166" t="s">
        <v>765</v>
      </c>
      <c r="M288" s="167">
        <f ca="1">IF($D288&lt;&gt;"Serviço","",
          IF(AUTOEVENTO="manual",$A288,
                IF(ISERROR(MATCH($A288,$A$15:OFFSET($A288,-1,0),0)),MAX($M$15:OFFSET(M288,-1,0))+1,
                      INDEX($M$15:OFFSET(M288,-1,0),MATCH($A288,$A$15:OFFSET($A288,-1,0),0)))))</f>
        <v>16</v>
      </c>
      <c r="N288" s="168" t="str">
        <f ca="1">IF($D288&lt;&gt;"Serviço","",
         IF(AUTOEVENTO="Manual",
                IF($A288=0,"&lt;-- defina o número do agrupador",
                       OFFSET(EVENTOS!$D$15,$A288-$A$15,0)),
                OFFSET($F$15,$A288,0)))</f>
        <v>SISTEMAS DE PREVENÇÃO CONTRA INCÊNDIO</v>
      </c>
      <c r="O288" s="169"/>
      <c r="Q288" s="169"/>
      <c r="R288" s="170"/>
      <c r="S288" s="170"/>
      <c r="T288" s="170"/>
      <c r="U288" s="170"/>
      <c r="V288" s="170"/>
      <c r="W288" s="170"/>
      <c r="X288" s="170"/>
      <c r="Y288" s="170"/>
      <c r="Z288" s="171"/>
      <c r="AB288" s="454">
        <f ca="1">IF(AND($D288="Serviço",AB$12&lt;&gt;0,$H288&gt;0,OR(AUTOEVENTO&lt;&gt;"manual",$M288&lt;&gt;$A$15)),
        IF(Import.TipoArredondamento&lt;&gt;"TransfereGOV",
              ROUND(OFFSET($P288,0,AB$13),15-13*ORÇAMENTO!$AF$7)/$H288*OFFSET(ORÇAMENTO!$X$15,ROW(AB288)-ROW(AB$15),0),
              ROUND(ROUND(OFFSET($P288,0,AB$13),15-13*ORÇAMENTO!$AF$7)*OFFSET(ORÇAMENTO!$W$15,ROW(AB288)-ROW(AB$15),0),15-13*ORÇAMENTO!$AF$11)),
         0)</f>
        <v>0</v>
      </c>
      <c r="AC288" s="454">
        <f ca="1">IF(AND($D288="Serviço",AC$12&lt;&gt;0,$H288&gt;0,OR(AUTOEVENTO&lt;&gt;"manual",$M288&lt;&gt;$A$15)),
        IF(Import.TipoArredondamento&lt;&gt;"TransfereGOV",
              ROUND(OFFSET($P288,0,AC$13),15-13*ORÇAMENTO!$AF$7)/$H288*OFFSET(ORÇAMENTO!$X$15,ROW(AC288)-ROW(AC$15),0),
              ROUND(ROUND(OFFSET($P288,0,AC$13),15-13*ORÇAMENTO!$AF$7)*OFFSET(ORÇAMENTO!$W$15,ROW(AC288)-ROW(AC$15),0),15-13*ORÇAMENTO!$AF$11)),
         0)</f>
        <v>0</v>
      </c>
      <c r="AD288" s="454">
        <f ca="1">IF(AND($D288="Serviço",AD$12&lt;&gt;0,$H288&gt;0,OR(AUTOEVENTO&lt;&gt;"manual",$M288&lt;&gt;$A$15)),
        IF(Import.TipoArredondamento&lt;&gt;"TransfereGOV",
              ROUND(OFFSET($P288,0,AD$13),15-13*ORÇAMENTO!$AF$7)/$H288*OFFSET(ORÇAMENTO!$X$15,ROW(AD288)-ROW(AD$15),0),
              ROUND(ROUND(OFFSET($P288,0,AD$13),15-13*ORÇAMENTO!$AF$7)*OFFSET(ORÇAMENTO!$W$15,ROW(AD288)-ROW(AD$15),0),15-13*ORÇAMENTO!$AF$11)),
         0)</f>
        <v>0</v>
      </c>
      <c r="AE288" s="454">
        <f ca="1">IF(AND($D288="Serviço",AE$12&lt;&gt;0,$H288&gt;0,OR(AUTOEVENTO&lt;&gt;"manual",$M288&lt;&gt;$A$15)),
        IF(Import.TipoArredondamento&lt;&gt;"TransfereGOV",
              ROUND(OFFSET($P288,0,AE$13),15-13*ORÇAMENTO!$AF$7)/$H288*OFFSET(ORÇAMENTO!$X$15,ROW(AE288)-ROW(AE$15),0),
              ROUND(ROUND(OFFSET($P288,0,AE$13),15-13*ORÇAMENTO!$AF$7)*OFFSET(ORÇAMENTO!$W$15,ROW(AE288)-ROW(AE$15),0),15-13*ORÇAMENTO!$AF$11)),
         0)</f>
        <v>0</v>
      </c>
      <c r="AF288" s="454">
        <f ca="1">IF(AND($D288="Serviço",AF$12&lt;&gt;0,$H288&gt;0,OR(AUTOEVENTO&lt;&gt;"manual",$M288&lt;&gt;$A$15)),
        IF(Import.TipoArredondamento&lt;&gt;"TransfereGOV",
              ROUND(OFFSET($P288,0,AF$13),15-13*ORÇAMENTO!$AF$7)/$H288*OFFSET(ORÇAMENTO!$X$15,ROW(AF288)-ROW(AF$15),0),
              ROUND(ROUND(OFFSET($P288,0,AF$13),15-13*ORÇAMENTO!$AF$7)*OFFSET(ORÇAMENTO!$W$15,ROW(AF288)-ROW(AF$15),0),15-13*ORÇAMENTO!$AF$11)),
         0)</f>
        <v>0</v>
      </c>
      <c r="AG288" s="454">
        <f ca="1">IF(AND($D288="Serviço",AG$12&lt;&gt;0,$H288&gt;0,OR(AUTOEVENTO&lt;&gt;"manual",$M288&lt;&gt;$A$15)),
        IF(Import.TipoArredondamento&lt;&gt;"TransfereGOV",
              ROUND(OFFSET($P288,0,AG$13),15-13*ORÇAMENTO!$AF$7)/$H288*OFFSET(ORÇAMENTO!$X$15,ROW(AG288)-ROW(AG$15),0),
              ROUND(ROUND(OFFSET($P288,0,AG$13),15-13*ORÇAMENTO!$AF$7)*OFFSET(ORÇAMENTO!$W$15,ROW(AG288)-ROW(AG$15),0),15-13*ORÇAMENTO!$AF$11)),
         0)</f>
        <v>0</v>
      </c>
      <c r="AH288" s="454">
        <f ca="1">IF(AND($D288="Serviço",AH$12&lt;&gt;0,$H288&gt;0,OR(AUTOEVENTO&lt;&gt;"manual",$M288&lt;&gt;$A$15)),
        IF(Import.TipoArredondamento&lt;&gt;"TransfereGOV",
              ROUND(OFFSET($P288,0,AH$13),15-13*ORÇAMENTO!$AF$7)/$H288*OFFSET(ORÇAMENTO!$X$15,ROW(AH288)-ROW(AH$15),0),
              ROUND(ROUND(OFFSET($P288,0,AH$13),15-13*ORÇAMENTO!$AF$7)*OFFSET(ORÇAMENTO!$W$15,ROW(AH288)-ROW(AH$15),0),15-13*ORÇAMENTO!$AF$11)),
         0)</f>
        <v>0</v>
      </c>
      <c r="AI288" s="454">
        <f ca="1">IF(AND($D288="Serviço",AI$12&lt;&gt;0,$H288&gt;0,OR(AUTOEVENTO&lt;&gt;"manual",$M288&lt;&gt;$A$15)),
        IF(Import.TipoArredondamento&lt;&gt;"TransfereGOV",
              ROUND(OFFSET($P288,0,AI$13),15-13*ORÇAMENTO!$AF$7)/$H288*OFFSET(ORÇAMENTO!$X$15,ROW(AI288)-ROW(AI$15),0),
              ROUND(ROUND(OFFSET($P288,0,AI$13),15-13*ORÇAMENTO!$AF$7)*OFFSET(ORÇAMENTO!$W$15,ROW(AI288)-ROW(AI$15),0),15-13*ORÇAMENTO!$AF$11)),
         0)</f>
        <v>0</v>
      </c>
      <c r="AJ288" s="454">
        <f ca="1">IF(AND($D288="Serviço",AJ$12&lt;&gt;0,$H288&gt;0,OR(AUTOEVENTO&lt;&gt;"manual",$M288&lt;&gt;$A$15)),
        IF(Import.TipoArredondamento&lt;&gt;"TransfereGOV",
              ROUND(OFFSET($P288,0,AJ$13),15-13*ORÇAMENTO!$AF$7)/$H288*OFFSET(ORÇAMENTO!$X$15,ROW(AJ288)-ROW(AJ$15),0),
              ROUND(ROUND(OFFSET($P288,0,AJ$13),15-13*ORÇAMENTO!$AF$7)*OFFSET(ORÇAMENTO!$W$15,ROW(AJ288)-ROW(AJ$15),0),15-13*ORÇAMENTO!$AF$11)),
         0)</f>
        <v>0</v>
      </c>
      <c r="AK288" s="454">
        <f ca="1">IF(AND($D288="Serviço",AK$12&lt;&gt;0,$H288&gt;0,OR(AUTOEVENTO&lt;&gt;"manual",$M288&lt;&gt;$A$15)),
        IF(Import.TipoArredondamento&lt;&gt;"TransfereGOV",
              ROUND(OFFSET($P288,0,AK$13),15-13*ORÇAMENTO!$AF$7)/$H288*OFFSET(ORÇAMENTO!$X$15,ROW(AK288)-ROW(AK$15),0),
              ROUND(ROUND(OFFSET($P288,0,AK$13),15-13*ORÇAMENTO!$AF$7)*OFFSET(ORÇAMENTO!$W$15,ROW(AK288)-ROW(AK$15),0),15-13*ORÇAMENTO!$AF$11)),
         0)</f>
        <v>0</v>
      </c>
      <c r="AM288" s="172">
        <f ca="1">IF(OR($D288&lt;&gt;"Serviço",AND(AUTOEVENTO="Manual",$M288=$A$15)),0,
         IF(OFFSET(CRONOPLE!$F$15,$M288-$A$15,AM$13)="",10^12,OFFSET(CRONOPLE!$F$15,$M288-$A$15,AM$13)))</f>
        <v>1000000000000</v>
      </c>
      <c r="AN288" s="172">
        <f ca="1">IF(OR($D288&lt;&gt;"Serviço",AND(AUTOEVENTO="Manual",$M288=$A$15)),0,
         IF(OFFSET(CRONOPLE!$F$15,$M288-$A$15,AN$13)="",10^12,OFFSET(CRONOPLE!$F$15,$M288-$A$15,AN$13)))</f>
        <v>1000000000000</v>
      </c>
      <c r="AO288" s="172">
        <f ca="1">IF(OR($D288&lt;&gt;"Serviço",AND(AUTOEVENTO="Manual",$M288=$A$15)),0,
         IF(OFFSET(CRONOPLE!$F$15,$M288-$A$15,AO$13)="",10^12,OFFSET(CRONOPLE!$F$15,$M288-$A$15,AO$13)))</f>
        <v>1000000000000</v>
      </c>
      <c r="AP288" s="172">
        <f ca="1">IF(OR($D288&lt;&gt;"Serviço",AND(AUTOEVENTO="Manual",$M288=$A$15)),0,
         IF(OFFSET(CRONOPLE!$F$15,$M288-$A$15,AP$13)="",10^12,OFFSET(CRONOPLE!$F$15,$M288-$A$15,AP$13)))</f>
        <v>1000000000000</v>
      </c>
      <c r="AQ288" s="172">
        <f ca="1">IF(OR($D288&lt;&gt;"Serviço",AND(AUTOEVENTO="Manual",$M288=$A$15)),0,
         IF(OFFSET(CRONOPLE!$F$15,$M288-$A$15,AQ$13)="",10^12,OFFSET(CRONOPLE!$F$15,$M288-$A$15,AQ$13)))</f>
        <v>1000000000000</v>
      </c>
      <c r="AR288" s="172">
        <f ca="1">IF(OR($D288&lt;&gt;"Serviço",AND(AUTOEVENTO="Manual",$M288=$A$15)),0,
         IF(OFFSET(CRONOPLE!$F$15,$M288-$A$15,AR$13)="",10^12,OFFSET(CRONOPLE!$F$15,$M288-$A$15,AR$13)))</f>
        <v>1000000000000</v>
      </c>
      <c r="AS288" s="172">
        <f ca="1">IF(OR($D288&lt;&gt;"Serviço",AND(AUTOEVENTO="Manual",$M288=$A$15)),0,
         IF(OFFSET(CRONOPLE!$F$15,$M288-$A$15,AS$13)="",10^12,OFFSET(CRONOPLE!$F$15,$M288-$A$15,AS$13)))</f>
        <v>1000000000000</v>
      </c>
      <c r="AT288" s="172">
        <f ca="1">IF(OR($D288&lt;&gt;"Serviço",AND(AUTOEVENTO="Manual",$M288=$A$15)),0,
         IF(OFFSET(CRONOPLE!$F$15,$M288-$A$15,AT$13)="",10^12,OFFSET(CRONOPLE!$F$15,$M288-$A$15,AT$13)))</f>
        <v>1000000000000</v>
      </c>
      <c r="AU288" s="172">
        <f ca="1">IF(OR($D288&lt;&gt;"Serviço",AND(AUTOEVENTO="Manual",$M288=$A$15)),0,
         IF(OFFSET(CRONOPLE!$F$15,$M288-$A$15,AU$13)="",10^12,OFFSET(CRONOPLE!$F$15,$M288-$A$15,AU$13)))</f>
        <v>1000000000000</v>
      </c>
      <c r="AV288" s="172">
        <f ca="1">IF(OR($D288&lt;&gt;"Serviço",AND(AUTOEVENTO="Manual",$M288=$A$15)),0,
         IF(OFFSET(CRONOPLE!$F$15,$M288-$A$15,AV$13)="",10^12,OFFSET(CRONOPLE!$F$15,$M288-$A$15,AV$13)))</f>
        <v>1000000000000</v>
      </c>
      <c r="AX288" s="173">
        <f ca="1">IF(OR($D288&lt;&gt;"Serviço",AND(AUTOEVENTO="Manual",$M288=$A$15),$M288&gt;(ROW(PLE.lastrow)-ROW(PLE.firstrow))),0,
           IF(OFFSET(PLE!$G$15,$M288-$A$15,AX$13)="",10^12,OFFSET(PLE!$G$15,$M288-$A$15,AX$13)))</f>
        <v>1000000000000</v>
      </c>
      <c r="AY288" s="173">
        <f ca="1">IF(OR($D288&lt;&gt;"Serviço",AND(AUTOEVENTO="Manual",$M288=$A$15),$M288&gt;(ROW(PLE.lastrow)-ROW(PLE.firstrow))),0,
           IF(OFFSET(PLE!$G$15,$M288-$A$15,AY$13)="",10^12,OFFSET(PLE!$G$15,$M288-$A$15,AY$13)))</f>
        <v>1000000000000</v>
      </c>
      <c r="AZ288" s="173">
        <f ca="1">IF(OR($D288&lt;&gt;"Serviço",AND(AUTOEVENTO="Manual",$M288=$A$15),$M288&gt;(ROW(PLE.lastrow)-ROW(PLE.firstrow))),0,
           IF(OFFSET(PLE!$G$15,$M288-$A$15,AZ$13)="",10^12,OFFSET(PLE!$G$15,$M288-$A$15,AZ$13)))</f>
        <v>1000000000000</v>
      </c>
      <c r="BA288" s="173">
        <f ca="1">IF(OR($D288&lt;&gt;"Serviço",AND(AUTOEVENTO="Manual",$M288=$A$15),$M288&gt;(ROW(PLE.lastrow)-ROW(PLE.firstrow))),0,
           IF(OFFSET(PLE!$G$15,$M288-$A$15,BA$13)="",10^12,OFFSET(PLE!$G$15,$M288-$A$15,BA$13)))</f>
        <v>1000000000000</v>
      </c>
      <c r="BB288" s="173">
        <f ca="1">IF(OR($D288&lt;&gt;"Serviço",AND(AUTOEVENTO="Manual",$M288=$A$15),$M288&gt;(ROW(PLE.lastrow)-ROW(PLE.firstrow))),0,
           IF(OFFSET(PLE!$G$15,$M288-$A$15,BB$13)="",10^12,OFFSET(PLE!$G$15,$M288-$A$15,BB$13)))</f>
        <v>1000000000000</v>
      </c>
      <c r="BC288" s="173">
        <f ca="1">IF(OR($D288&lt;&gt;"Serviço",AND(AUTOEVENTO="Manual",$M288=$A$15),$M288&gt;(ROW(PLE.lastrow)-ROW(PLE.firstrow))),0,
           IF(OFFSET(PLE!$G$15,$M288-$A$15,BC$13)="",10^12,OFFSET(PLE!$G$15,$M288-$A$15,BC$13)))</f>
        <v>1000000000000</v>
      </c>
      <c r="BD288" s="173">
        <f ca="1">IF(OR($D288&lt;&gt;"Serviço",AND(AUTOEVENTO="Manual",$M288=$A$15),$M288&gt;(ROW(PLE.lastrow)-ROW(PLE.firstrow))),0,
           IF(OFFSET(PLE!$G$15,$M288-$A$15,BD$13)="",10^12,OFFSET(PLE!$G$15,$M288-$A$15,BD$13)))</f>
        <v>1000000000000</v>
      </c>
      <c r="BE288" s="173">
        <f ca="1">IF(OR($D288&lt;&gt;"Serviço",AND(AUTOEVENTO="Manual",$M288=$A$15),$M288&gt;(ROW(PLE.lastrow)-ROW(PLE.firstrow))),0,
           IF(OFFSET(PLE!$G$15,$M288-$A$15,BE$13)="",10^12,OFFSET(PLE!$G$15,$M288-$A$15,BE$13)))</f>
        <v>1000000000000</v>
      </c>
      <c r="BF288" s="173">
        <f ca="1">IF(OR($D288&lt;&gt;"Serviço",AND(AUTOEVENTO="Manual",$M288=$A$15),$M288&gt;(ROW(PLE.lastrow)-ROW(PLE.firstrow))),0,
           IF(OFFSET(PLE!$G$15,$M288-$A$15,BF$13)="",10^12,OFFSET(PLE!$G$15,$M288-$A$15,BF$13)))</f>
        <v>1000000000000</v>
      </c>
      <c r="BG288" s="173">
        <f ca="1">IF(OR($D288&lt;&gt;"Serviço",AND(AUTOEVENTO="Manual",$M288=$A$15),$M288&gt;(ROW(PLE.lastrow)-ROW(PLE.firstrow))),0,
           IF(OFFSET(PLE!$G$15,$M288-$A$15,BG$13)="",10^12,OFFSET(PLE!$G$15,$M288-$A$15,BG$13)))</f>
        <v>1000000000000</v>
      </c>
    </row>
    <row r="289" spans="1:59" ht="12.75" x14ac:dyDescent="0.2">
      <c r="A289" s="7" t="str">
        <f t="shared" ca="1" si="12"/>
        <v>253</v>
      </c>
      <c r="B289" s="7">
        <f ca="1">OFFSET(ORÇAMENTO!C$15,ROW(B289)-ROW(B$15),0)</f>
        <v>3</v>
      </c>
      <c r="C289" s="7" t="str">
        <f ca="1">OFFSET(ORÇAMENTO!L$15,ROW(C289)-ROW(C$15),0)</f>
        <v>F</v>
      </c>
      <c r="D289" s="117" t="str">
        <f ca="1">OFFSET(ORÇAMENTO!N$15,ROW(D289)-ROW(D$15),0)</f>
        <v>Nível 3</v>
      </c>
      <c r="E289" s="118" t="str">
        <f ca="1">OFFSET(ORÇAMENTO!O$15,ROW(E289)-ROW(E$15),0)</f>
        <v>1.16.5.</v>
      </c>
      <c r="F289" s="164" t="str">
        <f ca="1">OFFSET(ORÇAMENTO!R$15,ROW(F289)-ROW(F$15),0)</f>
        <v>INSTALAÇÃO DE GÁS</v>
      </c>
      <c r="G289" s="165" t="str">
        <f ca="1">IF($D289&lt;&gt;"Serviço","",OFFSET(ORÇAMENTO!S$15,ROW(G289)-ROW(G$15),0))</f>
        <v/>
      </c>
      <c r="H289" s="123">
        <f ca="1">IF($D289&lt;&gt;"Serviço",0,IF(ACOMPANHAMENTO="BM",ROUND(OFFSET(ORÇAMENTO!AJ$15,ROW(H289)-ROW(H$15),0),15-13*ORÇAMENTO!$AF$7),SUMPRODUCT(($Q$1:$AA$1=1)*ROUND($Q289:$AA289,15-13*ORÇAMENTO!$AF$7))))</f>
        <v>0</v>
      </c>
      <c r="I289" s="469"/>
      <c r="J289" s="577" t="str" cm="1">
        <f t="array" aca="1" ref="J289" ca="1">IF(B289&lt;&gt;"S","",IF(AND(ACOMPANHAMENTO="PLE",AUTOEVENTO="Manual",OR(H289&gt;0,ORÇAMENTO!AC289="QUANT."),OR(K289="",M289=0,N289="")),"►",IF(AND(ACOMPANHAMENTO="PLE",ORÇAMENTO!AC289="QUANT."),"►►",IF(AND(COUNTIF($P$11:$AA$11,"▼")=0,H289&gt;0,I289=""),"◄",""))))</f>
        <v/>
      </c>
      <c r="K289" s="626"/>
      <c r="L289" s="166" t="s">
        <v>765</v>
      </c>
      <c r="M289" s="167" t="str">
        <f ca="1">IF($D289&lt;&gt;"Serviço","",
          IF(AUTOEVENTO="manual",$A289,
                IF(ISERROR(MATCH($A289,$A$15:OFFSET($A289,-1,0),0)),MAX($M$15:OFFSET(M289,-1,0))+1,
                      INDEX($M$15:OFFSET(M289,-1,0),MATCH($A289,$A$15:OFFSET($A289,-1,0),0)))))</f>
        <v/>
      </c>
      <c r="N289" s="168" t="str">
        <f ca="1">IF($D289&lt;&gt;"Serviço","",
         IF(AUTOEVENTO="Manual",
                IF($A289=0,"&lt;-- defina o número do agrupador",
                       OFFSET(EVENTOS!$D$15,$A289-$A$15,0)),
                OFFSET($F$15,$A289,0)))</f>
        <v/>
      </c>
      <c r="O289" s="169"/>
      <c r="Q289" s="169"/>
      <c r="R289" s="170"/>
      <c r="S289" s="170"/>
      <c r="T289" s="170"/>
      <c r="U289" s="170"/>
      <c r="V289" s="170"/>
      <c r="W289" s="170"/>
      <c r="X289" s="170"/>
      <c r="Y289" s="170"/>
      <c r="Z289" s="171"/>
      <c r="AB289" s="454">
        <f ca="1">IF(AND($D289="Serviço",AB$12&lt;&gt;0,$H289&gt;0,OR(AUTOEVENTO&lt;&gt;"manual",$M289&lt;&gt;$A$15)),
        IF(Import.TipoArredondamento&lt;&gt;"TransfereGOV",
              ROUND(OFFSET($P289,0,AB$13),15-13*ORÇAMENTO!$AF$7)/$H289*OFFSET(ORÇAMENTO!$X$15,ROW(AB289)-ROW(AB$15),0),
              ROUND(ROUND(OFFSET($P289,0,AB$13),15-13*ORÇAMENTO!$AF$7)*OFFSET(ORÇAMENTO!$W$15,ROW(AB289)-ROW(AB$15),0),15-13*ORÇAMENTO!$AF$11)),
         0)</f>
        <v>0</v>
      </c>
      <c r="AC289" s="454">
        <f ca="1">IF(AND($D289="Serviço",AC$12&lt;&gt;0,$H289&gt;0,OR(AUTOEVENTO&lt;&gt;"manual",$M289&lt;&gt;$A$15)),
        IF(Import.TipoArredondamento&lt;&gt;"TransfereGOV",
              ROUND(OFFSET($P289,0,AC$13),15-13*ORÇAMENTO!$AF$7)/$H289*OFFSET(ORÇAMENTO!$X$15,ROW(AC289)-ROW(AC$15),0),
              ROUND(ROUND(OFFSET($P289,0,AC$13),15-13*ORÇAMENTO!$AF$7)*OFFSET(ORÇAMENTO!$W$15,ROW(AC289)-ROW(AC$15),0),15-13*ORÇAMENTO!$AF$11)),
         0)</f>
        <v>0</v>
      </c>
      <c r="AD289" s="454">
        <f ca="1">IF(AND($D289="Serviço",AD$12&lt;&gt;0,$H289&gt;0,OR(AUTOEVENTO&lt;&gt;"manual",$M289&lt;&gt;$A$15)),
        IF(Import.TipoArredondamento&lt;&gt;"TransfereGOV",
              ROUND(OFFSET($P289,0,AD$13),15-13*ORÇAMENTO!$AF$7)/$H289*OFFSET(ORÇAMENTO!$X$15,ROW(AD289)-ROW(AD$15),0),
              ROUND(ROUND(OFFSET($P289,0,AD$13),15-13*ORÇAMENTO!$AF$7)*OFFSET(ORÇAMENTO!$W$15,ROW(AD289)-ROW(AD$15),0),15-13*ORÇAMENTO!$AF$11)),
         0)</f>
        <v>0</v>
      </c>
      <c r="AE289" s="454">
        <f ca="1">IF(AND($D289="Serviço",AE$12&lt;&gt;0,$H289&gt;0,OR(AUTOEVENTO&lt;&gt;"manual",$M289&lt;&gt;$A$15)),
        IF(Import.TipoArredondamento&lt;&gt;"TransfereGOV",
              ROUND(OFFSET($P289,0,AE$13),15-13*ORÇAMENTO!$AF$7)/$H289*OFFSET(ORÇAMENTO!$X$15,ROW(AE289)-ROW(AE$15),0),
              ROUND(ROUND(OFFSET($P289,0,AE$13),15-13*ORÇAMENTO!$AF$7)*OFFSET(ORÇAMENTO!$W$15,ROW(AE289)-ROW(AE$15),0),15-13*ORÇAMENTO!$AF$11)),
         0)</f>
        <v>0</v>
      </c>
      <c r="AF289" s="454">
        <f ca="1">IF(AND($D289="Serviço",AF$12&lt;&gt;0,$H289&gt;0,OR(AUTOEVENTO&lt;&gt;"manual",$M289&lt;&gt;$A$15)),
        IF(Import.TipoArredondamento&lt;&gt;"TransfereGOV",
              ROUND(OFFSET($P289,0,AF$13),15-13*ORÇAMENTO!$AF$7)/$H289*OFFSET(ORÇAMENTO!$X$15,ROW(AF289)-ROW(AF$15),0),
              ROUND(ROUND(OFFSET($P289,0,AF$13),15-13*ORÇAMENTO!$AF$7)*OFFSET(ORÇAMENTO!$W$15,ROW(AF289)-ROW(AF$15),0),15-13*ORÇAMENTO!$AF$11)),
         0)</f>
        <v>0</v>
      </c>
      <c r="AG289" s="454">
        <f ca="1">IF(AND($D289="Serviço",AG$12&lt;&gt;0,$H289&gt;0,OR(AUTOEVENTO&lt;&gt;"manual",$M289&lt;&gt;$A$15)),
        IF(Import.TipoArredondamento&lt;&gt;"TransfereGOV",
              ROUND(OFFSET($P289,0,AG$13),15-13*ORÇAMENTO!$AF$7)/$H289*OFFSET(ORÇAMENTO!$X$15,ROW(AG289)-ROW(AG$15),0),
              ROUND(ROUND(OFFSET($P289,0,AG$13),15-13*ORÇAMENTO!$AF$7)*OFFSET(ORÇAMENTO!$W$15,ROW(AG289)-ROW(AG$15),0),15-13*ORÇAMENTO!$AF$11)),
         0)</f>
        <v>0</v>
      </c>
      <c r="AH289" s="454">
        <f ca="1">IF(AND($D289="Serviço",AH$12&lt;&gt;0,$H289&gt;0,OR(AUTOEVENTO&lt;&gt;"manual",$M289&lt;&gt;$A$15)),
        IF(Import.TipoArredondamento&lt;&gt;"TransfereGOV",
              ROUND(OFFSET($P289,0,AH$13),15-13*ORÇAMENTO!$AF$7)/$H289*OFFSET(ORÇAMENTO!$X$15,ROW(AH289)-ROW(AH$15),0),
              ROUND(ROUND(OFFSET($P289,0,AH$13),15-13*ORÇAMENTO!$AF$7)*OFFSET(ORÇAMENTO!$W$15,ROW(AH289)-ROW(AH$15),0),15-13*ORÇAMENTO!$AF$11)),
         0)</f>
        <v>0</v>
      </c>
      <c r="AI289" s="454">
        <f ca="1">IF(AND($D289="Serviço",AI$12&lt;&gt;0,$H289&gt;0,OR(AUTOEVENTO&lt;&gt;"manual",$M289&lt;&gt;$A$15)),
        IF(Import.TipoArredondamento&lt;&gt;"TransfereGOV",
              ROUND(OFFSET($P289,0,AI$13),15-13*ORÇAMENTO!$AF$7)/$H289*OFFSET(ORÇAMENTO!$X$15,ROW(AI289)-ROW(AI$15),0),
              ROUND(ROUND(OFFSET($P289,0,AI$13),15-13*ORÇAMENTO!$AF$7)*OFFSET(ORÇAMENTO!$W$15,ROW(AI289)-ROW(AI$15),0),15-13*ORÇAMENTO!$AF$11)),
         0)</f>
        <v>0</v>
      </c>
      <c r="AJ289" s="454">
        <f ca="1">IF(AND($D289="Serviço",AJ$12&lt;&gt;0,$H289&gt;0,OR(AUTOEVENTO&lt;&gt;"manual",$M289&lt;&gt;$A$15)),
        IF(Import.TipoArredondamento&lt;&gt;"TransfereGOV",
              ROUND(OFFSET($P289,0,AJ$13),15-13*ORÇAMENTO!$AF$7)/$H289*OFFSET(ORÇAMENTO!$X$15,ROW(AJ289)-ROW(AJ$15),0),
              ROUND(ROUND(OFFSET($P289,0,AJ$13),15-13*ORÇAMENTO!$AF$7)*OFFSET(ORÇAMENTO!$W$15,ROW(AJ289)-ROW(AJ$15),0),15-13*ORÇAMENTO!$AF$11)),
         0)</f>
        <v>0</v>
      </c>
      <c r="AK289" s="454">
        <f ca="1">IF(AND($D289="Serviço",AK$12&lt;&gt;0,$H289&gt;0,OR(AUTOEVENTO&lt;&gt;"manual",$M289&lt;&gt;$A$15)),
        IF(Import.TipoArredondamento&lt;&gt;"TransfereGOV",
              ROUND(OFFSET($P289,0,AK$13),15-13*ORÇAMENTO!$AF$7)/$H289*OFFSET(ORÇAMENTO!$X$15,ROW(AK289)-ROW(AK$15),0),
              ROUND(ROUND(OFFSET($P289,0,AK$13),15-13*ORÇAMENTO!$AF$7)*OFFSET(ORÇAMENTO!$W$15,ROW(AK289)-ROW(AK$15),0),15-13*ORÇAMENTO!$AF$11)),
         0)</f>
        <v>0</v>
      </c>
      <c r="AM289" s="172">
        <f ca="1">IF(OR($D289&lt;&gt;"Serviço",AND(AUTOEVENTO="Manual",$M289=$A$15)),0,
         IF(OFFSET(CRONOPLE!$F$15,$M289-$A$15,AM$13)="",10^12,OFFSET(CRONOPLE!$F$15,$M289-$A$15,AM$13)))</f>
        <v>0</v>
      </c>
      <c r="AN289" s="172">
        <f ca="1">IF(OR($D289&lt;&gt;"Serviço",AND(AUTOEVENTO="Manual",$M289=$A$15)),0,
         IF(OFFSET(CRONOPLE!$F$15,$M289-$A$15,AN$13)="",10^12,OFFSET(CRONOPLE!$F$15,$M289-$A$15,AN$13)))</f>
        <v>0</v>
      </c>
      <c r="AO289" s="172">
        <f ca="1">IF(OR($D289&lt;&gt;"Serviço",AND(AUTOEVENTO="Manual",$M289=$A$15)),0,
         IF(OFFSET(CRONOPLE!$F$15,$M289-$A$15,AO$13)="",10^12,OFFSET(CRONOPLE!$F$15,$M289-$A$15,AO$13)))</f>
        <v>0</v>
      </c>
      <c r="AP289" s="172">
        <f ca="1">IF(OR($D289&lt;&gt;"Serviço",AND(AUTOEVENTO="Manual",$M289=$A$15)),0,
         IF(OFFSET(CRONOPLE!$F$15,$M289-$A$15,AP$13)="",10^12,OFFSET(CRONOPLE!$F$15,$M289-$A$15,AP$13)))</f>
        <v>0</v>
      </c>
      <c r="AQ289" s="172">
        <f ca="1">IF(OR($D289&lt;&gt;"Serviço",AND(AUTOEVENTO="Manual",$M289=$A$15)),0,
         IF(OFFSET(CRONOPLE!$F$15,$M289-$A$15,AQ$13)="",10^12,OFFSET(CRONOPLE!$F$15,$M289-$A$15,AQ$13)))</f>
        <v>0</v>
      </c>
      <c r="AR289" s="172">
        <f ca="1">IF(OR($D289&lt;&gt;"Serviço",AND(AUTOEVENTO="Manual",$M289=$A$15)),0,
         IF(OFFSET(CRONOPLE!$F$15,$M289-$A$15,AR$13)="",10^12,OFFSET(CRONOPLE!$F$15,$M289-$A$15,AR$13)))</f>
        <v>0</v>
      </c>
      <c r="AS289" s="172">
        <f ca="1">IF(OR($D289&lt;&gt;"Serviço",AND(AUTOEVENTO="Manual",$M289=$A$15)),0,
         IF(OFFSET(CRONOPLE!$F$15,$M289-$A$15,AS$13)="",10^12,OFFSET(CRONOPLE!$F$15,$M289-$A$15,AS$13)))</f>
        <v>0</v>
      </c>
      <c r="AT289" s="172">
        <f ca="1">IF(OR($D289&lt;&gt;"Serviço",AND(AUTOEVENTO="Manual",$M289=$A$15)),0,
         IF(OFFSET(CRONOPLE!$F$15,$M289-$A$15,AT$13)="",10^12,OFFSET(CRONOPLE!$F$15,$M289-$A$15,AT$13)))</f>
        <v>0</v>
      </c>
      <c r="AU289" s="172">
        <f ca="1">IF(OR($D289&lt;&gt;"Serviço",AND(AUTOEVENTO="Manual",$M289=$A$15)),0,
         IF(OFFSET(CRONOPLE!$F$15,$M289-$A$15,AU$13)="",10^12,OFFSET(CRONOPLE!$F$15,$M289-$A$15,AU$13)))</f>
        <v>0</v>
      </c>
      <c r="AV289" s="172">
        <f ca="1">IF(OR($D289&lt;&gt;"Serviço",AND(AUTOEVENTO="Manual",$M289=$A$15)),0,
         IF(OFFSET(CRONOPLE!$F$15,$M289-$A$15,AV$13)="",10^12,OFFSET(CRONOPLE!$F$15,$M289-$A$15,AV$13)))</f>
        <v>0</v>
      </c>
      <c r="AX289" s="173">
        <f ca="1">IF(OR($D289&lt;&gt;"Serviço",AND(AUTOEVENTO="Manual",$M289=$A$15),$M289&gt;(ROW(PLE.lastrow)-ROW(PLE.firstrow))),0,
           IF(OFFSET(PLE!$G$15,$M289-$A$15,AX$13)="",10^12,OFFSET(PLE!$G$15,$M289-$A$15,AX$13)))</f>
        <v>0</v>
      </c>
      <c r="AY289" s="173">
        <f ca="1">IF(OR($D289&lt;&gt;"Serviço",AND(AUTOEVENTO="Manual",$M289=$A$15),$M289&gt;(ROW(PLE.lastrow)-ROW(PLE.firstrow))),0,
           IF(OFFSET(PLE!$G$15,$M289-$A$15,AY$13)="",10^12,OFFSET(PLE!$G$15,$M289-$A$15,AY$13)))</f>
        <v>0</v>
      </c>
      <c r="AZ289" s="173">
        <f ca="1">IF(OR($D289&lt;&gt;"Serviço",AND(AUTOEVENTO="Manual",$M289=$A$15),$M289&gt;(ROW(PLE.lastrow)-ROW(PLE.firstrow))),0,
           IF(OFFSET(PLE!$G$15,$M289-$A$15,AZ$13)="",10^12,OFFSET(PLE!$G$15,$M289-$A$15,AZ$13)))</f>
        <v>0</v>
      </c>
      <c r="BA289" s="173">
        <f ca="1">IF(OR($D289&lt;&gt;"Serviço",AND(AUTOEVENTO="Manual",$M289=$A$15),$M289&gt;(ROW(PLE.lastrow)-ROW(PLE.firstrow))),0,
           IF(OFFSET(PLE!$G$15,$M289-$A$15,BA$13)="",10^12,OFFSET(PLE!$G$15,$M289-$A$15,BA$13)))</f>
        <v>0</v>
      </c>
      <c r="BB289" s="173">
        <f ca="1">IF(OR($D289&lt;&gt;"Serviço",AND(AUTOEVENTO="Manual",$M289=$A$15),$M289&gt;(ROW(PLE.lastrow)-ROW(PLE.firstrow))),0,
           IF(OFFSET(PLE!$G$15,$M289-$A$15,BB$13)="",10^12,OFFSET(PLE!$G$15,$M289-$A$15,BB$13)))</f>
        <v>0</v>
      </c>
      <c r="BC289" s="173">
        <f ca="1">IF(OR($D289&lt;&gt;"Serviço",AND(AUTOEVENTO="Manual",$M289=$A$15),$M289&gt;(ROW(PLE.lastrow)-ROW(PLE.firstrow))),0,
           IF(OFFSET(PLE!$G$15,$M289-$A$15,BC$13)="",10^12,OFFSET(PLE!$G$15,$M289-$A$15,BC$13)))</f>
        <v>0</v>
      </c>
      <c r="BD289" s="173">
        <f ca="1">IF(OR($D289&lt;&gt;"Serviço",AND(AUTOEVENTO="Manual",$M289=$A$15),$M289&gt;(ROW(PLE.lastrow)-ROW(PLE.firstrow))),0,
           IF(OFFSET(PLE!$G$15,$M289-$A$15,BD$13)="",10^12,OFFSET(PLE!$G$15,$M289-$A$15,BD$13)))</f>
        <v>0</v>
      </c>
      <c r="BE289" s="173">
        <f ca="1">IF(OR($D289&lt;&gt;"Serviço",AND(AUTOEVENTO="Manual",$M289=$A$15),$M289&gt;(ROW(PLE.lastrow)-ROW(PLE.firstrow))),0,
           IF(OFFSET(PLE!$G$15,$M289-$A$15,BE$13)="",10^12,OFFSET(PLE!$G$15,$M289-$A$15,BE$13)))</f>
        <v>0</v>
      </c>
      <c r="BF289" s="173">
        <f ca="1">IF(OR($D289&lt;&gt;"Serviço",AND(AUTOEVENTO="Manual",$M289=$A$15),$M289&gt;(ROW(PLE.lastrow)-ROW(PLE.firstrow))),0,
           IF(OFFSET(PLE!$G$15,$M289-$A$15,BF$13)="",10^12,OFFSET(PLE!$G$15,$M289-$A$15,BF$13)))</f>
        <v>0</v>
      </c>
      <c r="BG289" s="173">
        <f ca="1">IF(OR($D289&lt;&gt;"Serviço",AND(AUTOEVENTO="Manual",$M289=$A$15),$M289&gt;(ROW(PLE.lastrow)-ROW(PLE.firstrow))),0,
           IF(OFFSET(PLE!$G$15,$M289-$A$15,BG$13)="",10^12,OFFSET(PLE!$G$15,$M289-$A$15,BG$13)))</f>
        <v>0</v>
      </c>
    </row>
    <row r="290" spans="1:59" ht="38.25" x14ac:dyDescent="0.2">
      <c r="A290" s="7" t="str">
        <f t="shared" ca="1" si="12"/>
        <v>253</v>
      </c>
      <c r="B290" s="7" t="str">
        <f ca="1">OFFSET(ORÇAMENTO!C$15,ROW(B290)-ROW(B$15),0)</f>
        <v>S</v>
      </c>
      <c r="C290" s="7" t="str">
        <f ca="1">OFFSET(ORÇAMENTO!L$15,ROW(C290)-ROW(C$15),0)</f>
        <v/>
      </c>
      <c r="D290" s="117" t="str">
        <f ca="1">OFFSET(ORÇAMENTO!N$15,ROW(D290)-ROW(D$15),0)</f>
        <v>Serviço</v>
      </c>
      <c r="E290" s="118" t="str">
        <f ca="1">OFFSET(ORÇAMENTO!O$15,ROW(E290)-ROW(E$15),0)</f>
        <v>-</v>
      </c>
      <c r="F290" s="164" t="str">
        <f ca="1">OFFSET(ORÇAMENTO!R$15,ROW(F290)-ROW(F$15),0)</f>
        <v>PORTA EM ALUMÍNIO DE ABRIR TIPO VENEZIANA COM GUARNIÇÃO, FIXAÇÃO COM PARAFUSOS - FORNECIMENTO E INSTALAÇÃO. AF_12/2019</v>
      </c>
      <c r="G290" s="165" t="str">
        <f ca="1">IF($D290&lt;&gt;"Serviço","",OFFSET(ORÇAMENTO!S$15,ROW(G290)-ROW(G$15),0))</f>
        <v>M2</v>
      </c>
      <c r="H290" s="123">
        <f ca="1">IF($D290&lt;&gt;"Serviço",0,IF(ACOMPANHAMENTO="BM",ROUND(OFFSET(ORÇAMENTO!AJ$15,ROW(H290)-ROW(H$15),0),15-13*ORÇAMENTO!$AF$7),SUMPRODUCT(($Q$1:$AA$1=1)*ROUND($Q290:$AA290,15-13*ORÇAMENTO!$AF$7))))</f>
        <v>1.53</v>
      </c>
      <c r="I290" s="469"/>
      <c r="J290" s="577" t="str" cm="1">
        <f t="array" aca="1" ref="J290" ca="1">IF(B290&lt;&gt;"S","",IF(AND(ACOMPANHAMENTO="PLE",AUTOEVENTO="Manual",OR(H290&gt;0,ORÇAMENTO!AC290="QUANT."),OR(K290="",M290=0,N290="")),"►",IF(AND(ACOMPANHAMENTO="PLE",ORÇAMENTO!AC290="QUANT."),"►►",IF(AND(COUNTIF($P$11:$AA$11,"▼")=0,H290&gt;0,I290=""),"◄",""))))</f>
        <v>◄</v>
      </c>
      <c r="K290" s="626"/>
      <c r="L290" s="166" t="s">
        <v>765</v>
      </c>
      <c r="M290" s="167">
        <f ca="1">IF($D290&lt;&gt;"Serviço","",
          IF(AUTOEVENTO="manual",$A290,
                IF(ISERROR(MATCH($A290,$A$15:OFFSET($A290,-1,0),0)),MAX($M$15:OFFSET(M290,-1,0))+1,
                      INDEX($M$15:OFFSET(M290,-1,0),MATCH($A290,$A$15:OFFSET($A290,-1,0),0)))))</f>
        <v>16</v>
      </c>
      <c r="N290" s="168" t="str">
        <f ca="1">IF($D290&lt;&gt;"Serviço","",
         IF(AUTOEVENTO="Manual",
                IF($A290=0,"&lt;-- defina o número do agrupador",
                       OFFSET(EVENTOS!$D$15,$A290-$A$15,0)),
                OFFSET($F$15,$A290,0)))</f>
        <v>SISTEMAS DE PREVENÇÃO CONTRA INCÊNDIO</v>
      </c>
      <c r="O290" s="169"/>
      <c r="Q290" s="169"/>
      <c r="R290" s="170"/>
      <c r="S290" s="170"/>
      <c r="T290" s="170"/>
      <c r="U290" s="170"/>
      <c r="V290" s="170"/>
      <c r="W290" s="170"/>
      <c r="X290" s="170"/>
      <c r="Y290" s="170"/>
      <c r="Z290" s="171"/>
      <c r="AB290" s="454">
        <f ca="1">IF(AND($D290="Serviço",AB$12&lt;&gt;0,$H290&gt;0,OR(AUTOEVENTO&lt;&gt;"manual",$M290&lt;&gt;$A$15)),
        IF(Import.TipoArredondamento&lt;&gt;"TransfereGOV",
              ROUND(OFFSET($P290,0,AB$13),15-13*ORÇAMENTO!$AF$7)/$H290*OFFSET(ORÇAMENTO!$X$15,ROW(AB290)-ROW(AB$15),0),
              ROUND(ROUND(OFFSET($P290,0,AB$13),15-13*ORÇAMENTO!$AF$7)*OFFSET(ORÇAMENTO!$W$15,ROW(AB290)-ROW(AB$15),0),15-13*ORÇAMENTO!$AF$11)),
         0)</f>
        <v>0</v>
      </c>
      <c r="AC290" s="454">
        <f ca="1">IF(AND($D290="Serviço",AC$12&lt;&gt;0,$H290&gt;0,OR(AUTOEVENTO&lt;&gt;"manual",$M290&lt;&gt;$A$15)),
        IF(Import.TipoArredondamento&lt;&gt;"TransfereGOV",
              ROUND(OFFSET($P290,0,AC$13),15-13*ORÇAMENTO!$AF$7)/$H290*OFFSET(ORÇAMENTO!$X$15,ROW(AC290)-ROW(AC$15),0),
              ROUND(ROUND(OFFSET($P290,0,AC$13),15-13*ORÇAMENTO!$AF$7)*OFFSET(ORÇAMENTO!$W$15,ROW(AC290)-ROW(AC$15),0),15-13*ORÇAMENTO!$AF$11)),
         0)</f>
        <v>0</v>
      </c>
      <c r="AD290" s="454">
        <f ca="1">IF(AND($D290="Serviço",AD$12&lt;&gt;0,$H290&gt;0,OR(AUTOEVENTO&lt;&gt;"manual",$M290&lt;&gt;$A$15)),
        IF(Import.TipoArredondamento&lt;&gt;"TransfereGOV",
              ROUND(OFFSET($P290,0,AD$13),15-13*ORÇAMENTO!$AF$7)/$H290*OFFSET(ORÇAMENTO!$X$15,ROW(AD290)-ROW(AD$15),0),
              ROUND(ROUND(OFFSET($P290,0,AD$13),15-13*ORÇAMENTO!$AF$7)*OFFSET(ORÇAMENTO!$W$15,ROW(AD290)-ROW(AD$15),0),15-13*ORÇAMENTO!$AF$11)),
         0)</f>
        <v>0</v>
      </c>
      <c r="AE290" s="454">
        <f ca="1">IF(AND($D290="Serviço",AE$12&lt;&gt;0,$H290&gt;0,OR(AUTOEVENTO&lt;&gt;"manual",$M290&lt;&gt;$A$15)),
        IF(Import.TipoArredondamento&lt;&gt;"TransfereGOV",
              ROUND(OFFSET($P290,0,AE$13),15-13*ORÇAMENTO!$AF$7)/$H290*OFFSET(ORÇAMENTO!$X$15,ROW(AE290)-ROW(AE$15),0),
              ROUND(ROUND(OFFSET($P290,0,AE$13),15-13*ORÇAMENTO!$AF$7)*OFFSET(ORÇAMENTO!$W$15,ROW(AE290)-ROW(AE$15),0),15-13*ORÇAMENTO!$AF$11)),
         0)</f>
        <v>0</v>
      </c>
      <c r="AF290" s="454">
        <f ca="1">IF(AND($D290="Serviço",AF$12&lt;&gt;0,$H290&gt;0,OR(AUTOEVENTO&lt;&gt;"manual",$M290&lt;&gt;$A$15)),
        IF(Import.TipoArredondamento&lt;&gt;"TransfereGOV",
              ROUND(OFFSET($P290,0,AF$13),15-13*ORÇAMENTO!$AF$7)/$H290*OFFSET(ORÇAMENTO!$X$15,ROW(AF290)-ROW(AF$15),0),
              ROUND(ROUND(OFFSET($P290,0,AF$13),15-13*ORÇAMENTO!$AF$7)*OFFSET(ORÇAMENTO!$W$15,ROW(AF290)-ROW(AF$15),0),15-13*ORÇAMENTO!$AF$11)),
         0)</f>
        <v>0</v>
      </c>
      <c r="AG290" s="454">
        <f ca="1">IF(AND($D290="Serviço",AG$12&lt;&gt;0,$H290&gt;0,OR(AUTOEVENTO&lt;&gt;"manual",$M290&lt;&gt;$A$15)),
        IF(Import.TipoArredondamento&lt;&gt;"TransfereGOV",
              ROUND(OFFSET($P290,0,AG$13),15-13*ORÇAMENTO!$AF$7)/$H290*OFFSET(ORÇAMENTO!$X$15,ROW(AG290)-ROW(AG$15),0),
              ROUND(ROUND(OFFSET($P290,0,AG$13),15-13*ORÇAMENTO!$AF$7)*OFFSET(ORÇAMENTO!$W$15,ROW(AG290)-ROW(AG$15),0),15-13*ORÇAMENTO!$AF$11)),
         0)</f>
        <v>0</v>
      </c>
      <c r="AH290" s="454">
        <f ca="1">IF(AND($D290="Serviço",AH$12&lt;&gt;0,$H290&gt;0,OR(AUTOEVENTO&lt;&gt;"manual",$M290&lt;&gt;$A$15)),
        IF(Import.TipoArredondamento&lt;&gt;"TransfereGOV",
              ROUND(OFFSET($P290,0,AH$13),15-13*ORÇAMENTO!$AF$7)/$H290*OFFSET(ORÇAMENTO!$X$15,ROW(AH290)-ROW(AH$15),0),
              ROUND(ROUND(OFFSET($P290,0,AH$13),15-13*ORÇAMENTO!$AF$7)*OFFSET(ORÇAMENTO!$W$15,ROW(AH290)-ROW(AH$15),0),15-13*ORÇAMENTO!$AF$11)),
         0)</f>
        <v>0</v>
      </c>
      <c r="AI290" s="454">
        <f ca="1">IF(AND($D290="Serviço",AI$12&lt;&gt;0,$H290&gt;0,OR(AUTOEVENTO&lt;&gt;"manual",$M290&lt;&gt;$A$15)),
        IF(Import.TipoArredondamento&lt;&gt;"TransfereGOV",
              ROUND(OFFSET($P290,0,AI$13),15-13*ORÇAMENTO!$AF$7)/$H290*OFFSET(ORÇAMENTO!$X$15,ROW(AI290)-ROW(AI$15),0),
              ROUND(ROUND(OFFSET($P290,0,AI$13),15-13*ORÇAMENTO!$AF$7)*OFFSET(ORÇAMENTO!$W$15,ROW(AI290)-ROW(AI$15),0),15-13*ORÇAMENTO!$AF$11)),
         0)</f>
        <v>0</v>
      </c>
      <c r="AJ290" s="454">
        <f ca="1">IF(AND($D290="Serviço",AJ$12&lt;&gt;0,$H290&gt;0,OR(AUTOEVENTO&lt;&gt;"manual",$M290&lt;&gt;$A$15)),
        IF(Import.TipoArredondamento&lt;&gt;"TransfereGOV",
              ROUND(OFFSET($P290,0,AJ$13),15-13*ORÇAMENTO!$AF$7)/$H290*OFFSET(ORÇAMENTO!$X$15,ROW(AJ290)-ROW(AJ$15),0),
              ROUND(ROUND(OFFSET($P290,0,AJ$13),15-13*ORÇAMENTO!$AF$7)*OFFSET(ORÇAMENTO!$W$15,ROW(AJ290)-ROW(AJ$15),0),15-13*ORÇAMENTO!$AF$11)),
         0)</f>
        <v>0</v>
      </c>
      <c r="AK290" s="454">
        <f ca="1">IF(AND($D290="Serviço",AK$12&lt;&gt;0,$H290&gt;0,OR(AUTOEVENTO&lt;&gt;"manual",$M290&lt;&gt;$A$15)),
        IF(Import.TipoArredondamento&lt;&gt;"TransfereGOV",
              ROUND(OFFSET($P290,0,AK$13),15-13*ORÇAMENTO!$AF$7)/$H290*OFFSET(ORÇAMENTO!$X$15,ROW(AK290)-ROW(AK$15),0),
              ROUND(ROUND(OFFSET($P290,0,AK$13),15-13*ORÇAMENTO!$AF$7)*OFFSET(ORÇAMENTO!$W$15,ROW(AK290)-ROW(AK$15),0),15-13*ORÇAMENTO!$AF$11)),
         0)</f>
        <v>0</v>
      </c>
      <c r="AM290" s="172">
        <f ca="1">IF(OR($D290&lt;&gt;"Serviço",AND(AUTOEVENTO="Manual",$M290=$A$15)),0,
         IF(OFFSET(CRONOPLE!$F$15,$M290-$A$15,AM$13)="",10^12,OFFSET(CRONOPLE!$F$15,$M290-$A$15,AM$13)))</f>
        <v>1000000000000</v>
      </c>
      <c r="AN290" s="172">
        <f ca="1">IF(OR($D290&lt;&gt;"Serviço",AND(AUTOEVENTO="Manual",$M290=$A$15)),0,
         IF(OFFSET(CRONOPLE!$F$15,$M290-$A$15,AN$13)="",10^12,OFFSET(CRONOPLE!$F$15,$M290-$A$15,AN$13)))</f>
        <v>1000000000000</v>
      </c>
      <c r="AO290" s="172">
        <f ca="1">IF(OR($D290&lt;&gt;"Serviço",AND(AUTOEVENTO="Manual",$M290=$A$15)),0,
         IF(OFFSET(CRONOPLE!$F$15,$M290-$A$15,AO$13)="",10^12,OFFSET(CRONOPLE!$F$15,$M290-$A$15,AO$13)))</f>
        <v>1000000000000</v>
      </c>
      <c r="AP290" s="172">
        <f ca="1">IF(OR($D290&lt;&gt;"Serviço",AND(AUTOEVENTO="Manual",$M290=$A$15)),0,
         IF(OFFSET(CRONOPLE!$F$15,$M290-$A$15,AP$13)="",10^12,OFFSET(CRONOPLE!$F$15,$M290-$A$15,AP$13)))</f>
        <v>1000000000000</v>
      </c>
      <c r="AQ290" s="172">
        <f ca="1">IF(OR($D290&lt;&gt;"Serviço",AND(AUTOEVENTO="Manual",$M290=$A$15)),0,
         IF(OFFSET(CRONOPLE!$F$15,$M290-$A$15,AQ$13)="",10^12,OFFSET(CRONOPLE!$F$15,$M290-$A$15,AQ$13)))</f>
        <v>1000000000000</v>
      </c>
      <c r="AR290" s="172">
        <f ca="1">IF(OR($D290&lt;&gt;"Serviço",AND(AUTOEVENTO="Manual",$M290=$A$15)),0,
         IF(OFFSET(CRONOPLE!$F$15,$M290-$A$15,AR$13)="",10^12,OFFSET(CRONOPLE!$F$15,$M290-$A$15,AR$13)))</f>
        <v>1000000000000</v>
      </c>
      <c r="AS290" s="172">
        <f ca="1">IF(OR($D290&lt;&gt;"Serviço",AND(AUTOEVENTO="Manual",$M290=$A$15)),0,
         IF(OFFSET(CRONOPLE!$F$15,$M290-$A$15,AS$13)="",10^12,OFFSET(CRONOPLE!$F$15,$M290-$A$15,AS$13)))</f>
        <v>1000000000000</v>
      </c>
      <c r="AT290" s="172">
        <f ca="1">IF(OR($D290&lt;&gt;"Serviço",AND(AUTOEVENTO="Manual",$M290=$A$15)),0,
         IF(OFFSET(CRONOPLE!$F$15,$M290-$A$15,AT$13)="",10^12,OFFSET(CRONOPLE!$F$15,$M290-$A$15,AT$13)))</f>
        <v>1000000000000</v>
      </c>
      <c r="AU290" s="172">
        <f ca="1">IF(OR($D290&lt;&gt;"Serviço",AND(AUTOEVENTO="Manual",$M290=$A$15)),0,
         IF(OFFSET(CRONOPLE!$F$15,$M290-$A$15,AU$13)="",10^12,OFFSET(CRONOPLE!$F$15,$M290-$A$15,AU$13)))</f>
        <v>1000000000000</v>
      </c>
      <c r="AV290" s="172">
        <f ca="1">IF(OR($D290&lt;&gt;"Serviço",AND(AUTOEVENTO="Manual",$M290=$A$15)),0,
         IF(OFFSET(CRONOPLE!$F$15,$M290-$A$15,AV$13)="",10^12,OFFSET(CRONOPLE!$F$15,$M290-$A$15,AV$13)))</f>
        <v>1000000000000</v>
      </c>
      <c r="AX290" s="173">
        <f ca="1">IF(OR($D290&lt;&gt;"Serviço",AND(AUTOEVENTO="Manual",$M290=$A$15),$M290&gt;(ROW(PLE.lastrow)-ROW(PLE.firstrow))),0,
           IF(OFFSET(PLE!$G$15,$M290-$A$15,AX$13)="",10^12,OFFSET(PLE!$G$15,$M290-$A$15,AX$13)))</f>
        <v>1000000000000</v>
      </c>
      <c r="AY290" s="173">
        <f ca="1">IF(OR($D290&lt;&gt;"Serviço",AND(AUTOEVENTO="Manual",$M290=$A$15),$M290&gt;(ROW(PLE.lastrow)-ROW(PLE.firstrow))),0,
           IF(OFFSET(PLE!$G$15,$M290-$A$15,AY$13)="",10^12,OFFSET(PLE!$G$15,$M290-$A$15,AY$13)))</f>
        <v>1000000000000</v>
      </c>
      <c r="AZ290" s="173">
        <f ca="1">IF(OR($D290&lt;&gt;"Serviço",AND(AUTOEVENTO="Manual",$M290=$A$15),$M290&gt;(ROW(PLE.lastrow)-ROW(PLE.firstrow))),0,
           IF(OFFSET(PLE!$G$15,$M290-$A$15,AZ$13)="",10^12,OFFSET(PLE!$G$15,$M290-$A$15,AZ$13)))</f>
        <v>1000000000000</v>
      </c>
      <c r="BA290" s="173">
        <f ca="1">IF(OR($D290&lt;&gt;"Serviço",AND(AUTOEVENTO="Manual",$M290=$A$15),$M290&gt;(ROW(PLE.lastrow)-ROW(PLE.firstrow))),0,
           IF(OFFSET(PLE!$G$15,$M290-$A$15,BA$13)="",10^12,OFFSET(PLE!$G$15,$M290-$A$15,BA$13)))</f>
        <v>1000000000000</v>
      </c>
      <c r="BB290" s="173">
        <f ca="1">IF(OR($D290&lt;&gt;"Serviço",AND(AUTOEVENTO="Manual",$M290=$A$15),$M290&gt;(ROW(PLE.lastrow)-ROW(PLE.firstrow))),0,
           IF(OFFSET(PLE!$G$15,$M290-$A$15,BB$13)="",10^12,OFFSET(PLE!$G$15,$M290-$A$15,BB$13)))</f>
        <v>1000000000000</v>
      </c>
      <c r="BC290" s="173">
        <f ca="1">IF(OR($D290&lt;&gt;"Serviço",AND(AUTOEVENTO="Manual",$M290=$A$15),$M290&gt;(ROW(PLE.lastrow)-ROW(PLE.firstrow))),0,
           IF(OFFSET(PLE!$G$15,$M290-$A$15,BC$13)="",10^12,OFFSET(PLE!$G$15,$M290-$A$15,BC$13)))</f>
        <v>1000000000000</v>
      </c>
      <c r="BD290" s="173">
        <f ca="1">IF(OR($D290&lt;&gt;"Serviço",AND(AUTOEVENTO="Manual",$M290=$A$15),$M290&gt;(ROW(PLE.lastrow)-ROW(PLE.firstrow))),0,
           IF(OFFSET(PLE!$G$15,$M290-$A$15,BD$13)="",10^12,OFFSET(PLE!$G$15,$M290-$A$15,BD$13)))</f>
        <v>1000000000000</v>
      </c>
      <c r="BE290" s="173">
        <f ca="1">IF(OR($D290&lt;&gt;"Serviço",AND(AUTOEVENTO="Manual",$M290=$A$15),$M290&gt;(ROW(PLE.lastrow)-ROW(PLE.firstrow))),0,
           IF(OFFSET(PLE!$G$15,$M290-$A$15,BE$13)="",10^12,OFFSET(PLE!$G$15,$M290-$A$15,BE$13)))</f>
        <v>1000000000000</v>
      </c>
      <c r="BF290" s="173">
        <f ca="1">IF(OR($D290&lt;&gt;"Serviço",AND(AUTOEVENTO="Manual",$M290=$A$15),$M290&gt;(ROW(PLE.lastrow)-ROW(PLE.firstrow))),0,
           IF(OFFSET(PLE!$G$15,$M290-$A$15,BF$13)="",10^12,OFFSET(PLE!$G$15,$M290-$A$15,BF$13)))</f>
        <v>1000000000000</v>
      </c>
      <c r="BG290" s="173">
        <f ca="1">IF(OR($D290&lt;&gt;"Serviço",AND(AUTOEVENTO="Manual",$M290=$A$15),$M290&gt;(ROW(PLE.lastrow)-ROW(PLE.firstrow))),0,
           IF(OFFSET(PLE!$G$15,$M290-$A$15,BG$13)="",10^12,OFFSET(PLE!$G$15,$M290-$A$15,BG$13)))</f>
        <v>1000000000000</v>
      </c>
    </row>
    <row r="291" spans="1:59" ht="38.25" x14ac:dyDescent="0.2">
      <c r="A291" s="7" t="str">
        <f t="shared" ca="1" si="12"/>
        <v>253</v>
      </c>
      <c r="B291" s="7" t="str">
        <f ca="1">OFFSET(ORÇAMENTO!C$15,ROW(B291)-ROW(B$15),0)</f>
        <v>S</v>
      </c>
      <c r="C291" s="7" t="str">
        <f ca="1">OFFSET(ORÇAMENTO!L$15,ROW(C291)-ROW(C$15),0)</f>
        <v/>
      </c>
      <c r="D291" s="117" t="str">
        <f ca="1">OFFSET(ORÇAMENTO!N$15,ROW(D291)-ROW(D$15),0)</f>
        <v>Serviço</v>
      </c>
      <c r="E291" s="118" t="str">
        <f ca="1">OFFSET(ORÇAMENTO!O$15,ROW(E291)-ROW(E$15),0)</f>
        <v>-</v>
      </c>
      <c r="F291" s="164" t="str">
        <f ca="1">OFFSET(ORÇAMENTO!R$15,ROW(F291)-ROW(F$15),0)</f>
        <v>BUCHA DE REDUÇÃO EM COBRE, DN 22 MM X 15 MM, SEM ANEL DE SOLDA, PONTA X BOLSA, INSTALADO EM RAMAL E SUB-RAMAL DE GÁS COMBUSTÍVEL - FORNECIMENTO E INSTALAÇÃO. AF_04/2022</v>
      </c>
      <c r="G291" s="165" t="str">
        <f ca="1">IF($D291&lt;&gt;"Serviço","",OFFSET(ORÇAMENTO!S$15,ROW(G291)-ROW(G$15),0))</f>
        <v>UN</v>
      </c>
      <c r="H291" s="123">
        <f ca="1">IF($D291&lt;&gt;"Serviço",0,IF(ACOMPANHAMENTO="BM",ROUND(OFFSET(ORÇAMENTO!AJ$15,ROW(H291)-ROW(H$15),0),15-13*ORÇAMENTO!$AF$7),SUMPRODUCT(($Q$1:$AA$1=1)*ROUND($Q291:$AA291,15-13*ORÇAMENTO!$AF$7))))</f>
        <v>1</v>
      </c>
      <c r="I291" s="469"/>
      <c r="J291" s="577" t="str" cm="1">
        <f t="array" aca="1" ref="J291" ca="1">IF(B291&lt;&gt;"S","",IF(AND(ACOMPANHAMENTO="PLE",AUTOEVENTO="Manual",OR(H291&gt;0,ORÇAMENTO!AC291="QUANT."),OR(K291="",M291=0,N291="")),"►",IF(AND(ACOMPANHAMENTO="PLE",ORÇAMENTO!AC291="QUANT."),"►►",IF(AND(COUNTIF($P$11:$AA$11,"▼")=0,H291&gt;0,I291=""),"◄",""))))</f>
        <v>◄</v>
      </c>
      <c r="K291" s="626"/>
      <c r="L291" s="166" t="s">
        <v>765</v>
      </c>
      <c r="M291" s="167">
        <f ca="1">IF($D291&lt;&gt;"Serviço","",
          IF(AUTOEVENTO="manual",$A291,
                IF(ISERROR(MATCH($A291,$A$15:OFFSET($A291,-1,0),0)),MAX($M$15:OFFSET(M291,-1,0))+1,
                      INDEX($M$15:OFFSET(M291,-1,0),MATCH($A291,$A$15:OFFSET($A291,-1,0),0)))))</f>
        <v>16</v>
      </c>
      <c r="N291" s="168" t="str">
        <f ca="1">IF($D291&lt;&gt;"Serviço","",
         IF(AUTOEVENTO="Manual",
                IF($A291=0,"&lt;-- defina o número do agrupador",
                       OFFSET(EVENTOS!$D$15,$A291-$A$15,0)),
                OFFSET($F$15,$A291,0)))</f>
        <v>SISTEMAS DE PREVENÇÃO CONTRA INCÊNDIO</v>
      </c>
      <c r="O291" s="169"/>
      <c r="Q291" s="169"/>
      <c r="R291" s="170"/>
      <c r="S291" s="170"/>
      <c r="T291" s="170"/>
      <c r="U291" s="170"/>
      <c r="V291" s="170"/>
      <c r="W291" s="170"/>
      <c r="X291" s="170"/>
      <c r="Y291" s="170"/>
      <c r="Z291" s="171"/>
      <c r="AB291" s="454">
        <f ca="1">IF(AND($D291="Serviço",AB$12&lt;&gt;0,$H291&gt;0,OR(AUTOEVENTO&lt;&gt;"manual",$M291&lt;&gt;$A$15)),
        IF(Import.TipoArredondamento&lt;&gt;"TransfereGOV",
              ROUND(OFFSET($P291,0,AB$13),15-13*ORÇAMENTO!$AF$7)/$H291*OFFSET(ORÇAMENTO!$X$15,ROW(AB291)-ROW(AB$15),0),
              ROUND(ROUND(OFFSET($P291,0,AB$13),15-13*ORÇAMENTO!$AF$7)*OFFSET(ORÇAMENTO!$W$15,ROW(AB291)-ROW(AB$15),0),15-13*ORÇAMENTO!$AF$11)),
         0)</f>
        <v>0</v>
      </c>
      <c r="AC291" s="454">
        <f ca="1">IF(AND($D291="Serviço",AC$12&lt;&gt;0,$H291&gt;0,OR(AUTOEVENTO&lt;&gt;"manual",$M291&lt;&gt;$A$15)),
        IF(Import.TipoArredondamento&lt;&gt;"TransfereGOV",
              ROUND(OFFSET($P291,0,AC$13),15-13*ORÇAMENTO!$AF$7)/$H291*OFFSET(ORÇAMENTO!$X$15,ROW(AC291)-ROW(AC$15),0),
              ROUND(ROUND(OFFSET($P291,0,AC$13),15-13*ORÇAMENTO!$AF$7)*OFFSET(ORÇAMENTO!$W$15,ROW(AC291)-ROW(AC$15),0),15-13*ORÇAMENTO!$AF$11)),
         0)</f>
        <v>0</v>
      </c>
      <c r="AD291" s="454">
        <f ca="1">IF(AND($D291="Serviço",AD$12&lt;&gt;0,$H291&gt;0,OR(AUTOEVENTO&lt;&gt;"manual",$M291&lt;&gt;$A$15)),
        IF(Import.TipoArredondamento&lt;&gt;"TransfereGOV",
              ROUND(OFFSET($P291,0,AD$13),15-13*ORÇAMENTO!$AF$7)/$H291*OFFSET(ORÇAMENTO!$X$15,ROW(AD291)-ROW(AD$15),0),
              ROUND(ROUND(OFFSET($P291,0,AD$13),15-13*ORÇAMENTO!$AF$7)*OFFSET(ORÇAMENTO!$W$15,ROW(AD291)-ROW(AD$15),0),15-13*ORÇAMENTO!$AF$11)),
         0)</f>
        <v>0</v>
      </c>
      <c r="AE291" s="454">
        <f ca="1">IF(AND($D291="Serviço",AE$12&lt;&gt;0,$H291&gt;0,OR(AUTOEVENTO&lt;&gt;"manual",$M291&lt;&gt;$A$15)),
        IF(Import.TipoArredondamento&lt;&gt;"TransfereGOV",
              ROUND(OFFSET($P291,0,AE$13),15-13*ORÇAMENTO!$AF$7)/$H291*OFFSET(ORÇAMENTO!$X$15,ROW(AE291)-ROW(AE$15),0),
              ROUND(ROUND(OFFSET($P291,0,AE$13),15-13*ORÇAMENTO!$AF$7)*OFFSET(ORÇAMENTO!$W$15,ROW(AE291)-ROW(AE$15),0),15-13*ORÇAMENTO!$AF$11)),
         0)</f>
        <v>0</v>
      </c>
      <c r="AF291" s="454">
        <f ca="1">IF(AND($D291="Serviço",AF$12&lt;&gt;0,$H291&gt;0,OR(AUTOEVENTO&lt;&gt;"manual",$M291&lt;&gt;$A$15)),
        IF(Import.TipoArredondamento&lt;&gt;"TransfereGOV",
              ROUND(OFFSET($P291,0,AF$13),15-13*ORÇAMENTO!$AF$7)/$H291*OFFSET(ORÇAMENTO!$X$15,ROW(AF291)-ROW(AF$15),0),
              ROUND(ROUND(OFFSET($P291,0,AF$13),15-13*ORÇAMENTO!$AF$7)*OFFSET(ORÇAMENTO!$W$15,ROW(AF291)-ROW(AF$15),0),15-13*ORÇAMENTO!$AF$11)),
         0)</f>
        <v>0</v>
      </c>
      <c r="AG291" s="454">
        <f ca="1">IF(AND($D291="Serviço",AG$12&lt;&gt;0,$H291&gt;0,OR(AUTOEVENTO&lt;&gt;"manual",$M291&lt;&gt;$A$15)),
        IF(Import.TipoArredondamento&lt;&gt;"TransfereGOV",
              ROUND(OFFSET($P291,0,AG$13),15-13*ORÇAMENTO!$AF$7)/$H291*OFFSET(ORÇAMENTO!$X$15,ROW(AG291)-ROW(AG$15),0),
              ROUND(ROUND(OFFSET($P291,0,AG$13),15-13*ORÇAMENTO!$AF$7)*OFFSET(ORÇAMENTO!$W$15,ROW(AG291)-ROW(AG$15),0),15-13*ORÇAMENTO!$AF$11)),
         0)</f>
        <v>0</v>
      </c>
      <c r="AH291" s="454">
        <f ca="1">IF(AND($D291="Serviço",AH$12&lt;&gt;0,$H291&gt;0,OR(AUTOEVENTO&lt;&gt;"manual",$M291&lt;&gt;$A$15)),
        IF(Import.TipoArredondamento&lt;&gt;"TransfereGOV",
              ROUND(OFFSET($P291,0,AH$13),15-13*ORÇAMENTO!$AF$7)/$H291*OFFSET(ORÇAMENTO!$X$15,ROW(AH291)-ROW(AH$15),0),
              ROUND(ROUND(OFFSET($P291,0,AH$13),15-13*ORÇAMENTO!$AF$7)*OFFSET(ORÇAMENTO!$W$15,ROW(AH291)-ROW(AH$15),0),15-13*ORÇAMENTO!$AF$11)),
         0)</f>
        <v>0</v>
      </c>
      <c r="AI291" s="454">
        <f ca="1">IF(AND($D291="Serviço",AI$12&lt;&gt;0,$H291&gt;0,OR(AUTOEVENTO&lt;&gt;"manual",$M291&lt;&gt;$A$15)),
        IF(Import.TipoArredondamento&lt;&gt;"TransfereGOV",
              ROUND(OFFSET($P291,0,AI$13),15-13*ORÇAMENTO!$AF$7)/$H291*OFFSET(ORÇAMENTO!$X$15,ROW(AI291)-ROW(AI$15),0),
              ROUND(ROUND(OFFSET($P291,0,AI$13),15-13*ORÇAMENTO!$AF$7)*OFFSET(ORÇAMENTO!$W$15,ROW(AI291)-ROW(AI$15),0),15-13*ORÇAMENTO!$AF$11)),
         0)</f>
        <v>0</v>
      </c>
      <c r="AJ291" s="454">
        <f ca="1">IF(AND($D291="Serviço",AJ$12&lt;&gt;0,$H291&gt;0,OR(AUTOEVENTO&lt;&gt;"manual",$M291&lt;&gt;$A$15)),
        IF(Import.TipoArredondamento&lt;&gt;"TransfereGOV",
              ROUND(OFFSET($P291,0,AJ$13),15-13*ORÇAMENTO!$AF$7)/$H291*OFFSET(ORÇAMENTO!$X$15,ROW(AJ291)-ROW(AJ$15),0),
              ROUND(ROUND(OFFSET($P291,0,AJ$13),15-13*ORÇAMENTO!$AF$7)*OFFSET(ORÇAMENTO!$W$15,ROW(AJ291)-ROW(AJ$15),0),15-13*ORÇAMENTO!$AF$11)),
         0)</f>
        <v>0</v>
      </c>
      <c r="AK291" s="454">
        <f ca="1">IF(AND($D291="Serviço",AK$12&lt;&gt;0,$H291&gt;0,OR(AUTOEVENTO&lt;&gt;"manual",$M291&lt;&gt;$A$15)),
        IF(Import.TipoArredondamento&lt;&gt;"TransfereGOV",
              ROUND(OFFSET($P291,0,AK$13),15-13*ORÇAMENTO!$AF$7)/$H291*OFFSET(ORÇAMENTO!$X$15,ROW(AK291)-ROW(AK$15),0),
              ROUND(ROUND(OFFSET($P291,0,AK$13),15-13*ORÇAMENTO!$AF$7)*OFFSET(ORÇAMENTO!$W$15,ROW(AK291)-ROW(AK$15),0),15-13*ORÇAMENTO!$AF$11)),
         0)</f>
        <v>0</v>
      </c>
      <c r="AM291" s="172">
        <f ca="1">IF(OR($D291&lt;&gt;"Serviço",AND(AUTOEVENTO="Manual",$M291=$A$15)),0,
         IF(OFFSET(CRONOPLE!$F$15,$M291-$A$15,AM$13)="",10^12,OFFSET(CRONOPLE!$F$15,$M291-$A$15,AM$13)))</f>
        <v>1000000000000</v>
      </c>
      <c r="AN291" s="172">
        <f ca="1">IF(OR($D291&lt;&gt;"Serviço",AND(AUTOEVENTO="Manual",$M291=$A$15)),0,
         IF(OFFSET(CRONOPLE!$F$15,$M291-$A$15,AN$13)="",10^12,OFFSET(CRONOPLE!$F$15,$M291-$A$15,AN$13)))</f>
        <v>1000000000000</v>
      </c>
      <c r="AO291" s="172">
        <f ca="1">IF(OR($D291&lt;&gt;"Serviço",AND(AUTOEVENTO="Manual",$M291=$A$15)),0,
         IF(OFFSET(CRONOPLE!$F$15,$M291-$A$15,AO$13)="",10^12,OFFSET(CRONOPLE!$F$15,$M291-$A$15,AO$13)))</f>
        <v>1000000000000</v>
      </c>
      <c r="AP291" s="172">
        <f ca="1">IF(OR($D291&lt;&gt;"Serviço",AND(AUTOEVENTO="Manual",$M291=$A$15)),0,
         IF(OFFSET(CRONOPLE!$F$15,$M291-$A$15,AP$13)="",10^12,OFFSET(CRONOPLE!$F$15,$M291-$A$15,AP$13)))</f>
        <v>1000000000000</v>
      </c>
      <c r="AQ291" s="172">
        <f ca="1">IF(OR($D291&lt;&gt;"Serviço",AND(AUTOEVENTO="Manual",$M291=$A$15)),0,
         IF(OFFSET(CRONOPLE!$F$15,$M291-$A$15,AQ$13)="",10^12,OFFSET(CRONOPLE!$F$15,$M291-$A$15,AQ$13)))</f>
        <v>1000000000000</v>
      </c>
      <c r="AR291" s="172">
        <f ca="1">IF(OR($D291&lt;&gt;"Serviço",AND(AUTOEVENTO="Manual",$M291=$A$15)),0,
         IF(OFFSET(CRONOPLE!$F$15,$M291-$A$15,AR$13)="",10^12,OFFSET(CRONOPLE!$F$15,$M291-$A$15,AR$13)))</f>
        <v>1000000000000</v>
      </c>
      <c r="AS291" s="172">
        <f ca="1">IF(OR($D291&lt;&gt;"Serviço",AND(AUTOEVENTO="Manual",$M291=$A$15)),0,
         IF(OFFSET(CRONOPLE!$F$15,$M291-$A$15,AS$13)="",10^12,OFFSET(CRONOPLE!$F$15,$M291-$A$15,AS$13)))</f>
        <v>1000000000000</v>
      </c>
      <c r="AT291" s="172">
        <f ca="1">IF(OR($D291&lt;&gt;"Serviço",AND(AUTOEVENTO="Manual",$M291=$A$15)),0,
         IF(OFFSET(CRONOPLE!$F$15,$M291-$A$15,AT$13)="",10^12,OFFSET(CRONOPLE!$F$15,$M291-$A$15,AT$13)))</f>
        <v>1000000000000</v>
      </c>
      <c r="AU291" s="172">
        <f ca="1">IF(OR($D291&lt;&gt;"Serviço",AND(AUTOEVENTO="Manual",$M291=$A$15)),0,
         IF(OFFSET(CRONOPLE!$F$15,$M291-$A$15,AU$13)="",10^12,OFFSET(CRONOPLE!$F$15,$M291-$A$15,AU$13)))</f>
        <v>1000000000000</v>
      </c>
      <c r="AV291" s="172">
        <f ca="1">IF(OR($D291&lt;&gt;"Serviço",AND(AUTOEVENTO="Manual",$M291=$A$15)),0,
         IF(OFFSET(CRONOPLE!$F$15,$M291-$A$15,AV$13)="",10^12,OFFSET(CRONOPLE!$F$15,$M291-$A$15,AV$13)))</f>
        <v>1000000000000</v>
      </c>
      <c r="AX291" s="173">
        <f ca="1">IF(OR($D291&lt;&gt;"Serviço",AND(AUTOEVENTO="Manual",$M291=$A$15),$M291&gt;(ROW(PLE.lastrow)-ROW(PLE.firstrow))),0,
           IF(OFFSET(PLE!$G$15,$M291-$A$15,AX$13)="",10^12,OFFSET(PLE!$G$15,$M291-$A$15,AX$13)))</f>
        <v>1000000000000</v>
      </c>
      <c r="AY291" s="173">
        <f ca="1">IF(OR($D291&lt;&gt;"Serviço",AND(AUTOEVENTO="Manual",$M291=$A$15),$M291&gt;(ROW(PLE.lastrow)-ROW(PLE.firstrow))),0,
           IF(OFFSET(PLE!$G$15,$M291-$A$15,AY$13)="",10^12,OFFSET(PLE!$G$15,$M291-$A$15,AY$13)))</f>
        <v>1000000000000</v>
      </c>
      <c r="AZ291" s="173">
        <f ca="1">IF(OR($D291&lt;&gt;"Serviço",AND(AUTOEVENTO="Manual",$M291=$A$15),$M291&gt;(ROW(PLE.lastrow)-ROW(PLE.firstrow))),0,
           IF(OFFSET(PLE!$G$15,$M291-$A$15,AZ$13)="",10^12,OFFSET(PLE!$G$15,$M291-$A$15,AZ$13)))</f>
        <v>1000000000000</v>
      </c>
      <c r="BA291" s="173">
        <f ca="1">IF(OR($D291&lt;&gt;"Serviço",AND(AUTOEVENTO="Manual",$M291=$A$15),$M291&gt;(ROW(PLE.lastrow)-ROW(PLE.firstrow))),0,
           IF(OFFSET(PLE!$G$15,$M291-$A$15,BA$13)="",10^12,OFFSET(PLE!$G$15,$M291-$A$15,BA$13)))</f>
        <v>1000000000000</v>
      </c>
      <c r="BB291" s="173">
        <f ca="1">IF(OR($D291&lt;&gt;"Serviço",AND(AUTOEVENTO="Manual",$M291=$A$15),$M291&gt;(ROW(PLE.lastrow)-ROW(PLE.firstrow))),0,
           IF(OFFSET(PLE!$G$15,$M291-$A$15,BB$13)="",10^12,OFFSET(PLE!$G$15,$M291-$A$15,BB$13)))</f>
        <v>1000000000000</v>
      </c>
      <c r="BC291" s="173">
        <f ca="1">IF(OR($D291&lt;&gt;"Serviço",AND(AUTOEVENTO="Manual",$M291=$A$15),$M291&gt;(ROW(PLE.lastrow)-ROW(PLE.firstrow))),0,
           IF(OFFSET(PLE!$G$15,$M291-$A$15,BC$13)="",10^12,OFFSET(PLE!$G$15,$M291-$A$15,BC$13)))</f>
        <v>1000000000000</v>
      </c>
      <c r="BD291" s="173">
        <f ca="1">IF(OR($D291&lt;&gt;"Serviço",AND(AUTOEVENTO="Manual",$M291=$A$15),$M291&gt;(ROW(PLE.lastrow)-ROW(PLE.firstrow))),0,
           IF(OFFSET(PLE!$G$15,$M291-$A$15,BD$13)="",10^12,OFFSET(PLE!$G$15,$M291-$A$15,BD$13)))</f>
        <v>1000000000000</v>
      </c>
      <c r="BE291" s="173">
        <f ca="1">IF(OR($D291&lt;&gt;"Serviço",AND(AUTOEVENTO="Manual",$M291=$A$15),$M291&gt;(ROW(PLE.lastrow)-ROW(PLE.firstrow))),0,
           IF(OFFSET(PLE!$G$15,$M291-$A$15,BE$13)="",10^12,OFFSET(PLE!$G$15,$M291-$A$15,BE$13)))</f>
        <v>1000000000000</v>
      </c>
      <c r="BF291" s="173">
        <f ca="1">IF(OR($D291&lt;&gt;"Serviço",AND(AUTOEVENTO="Manual",$M291=$A$15),$M291&gt;(ROW(PLE.lastrow)-ROW(PLE.firstrow))),0,
           IF(OFFSET(PLE!$G$15,$M291-$A$15,BF$13)="",10^12,OFFSET(PLE!$G$15,$M291-$A$15,BF$13)))</f>
        <v>1000000000000</v>
      </c>
      <c r="BG291" s="173">
        <f ca="1">IF(OR($D291&lt;&gt;"Serviço",AND(AUTOEVENTO="Manual",$M291=$A$15),$M291&gt;(ROW(PLE.lastrow)-ROW(PLE.firstrow))),0,
           IF(OFFSET(PLE!$G$15,$M291-$A$15,BG$13)="",10^12,OFFSET(PLE!$G$15,$M291-$A$15,BG$13)))</f>
        <v>1000000000000</v>
      </c>
    </row>
    <row r="292" spans="1:59" ht="51" x14ac:dyDescent="0.2">
      <c r="A292" s="7" t="str">
        <f t="shared" ca="1" si="12"/>
        <v>253</v>
      </c>
      <c r="B292" s="7" t="str">
        <f ca="1">OFFSET(ORÇAMENTO!C$15,ROW(B292)-ROW(B$15),0)</f>
        <v>S</v>
      </c>
      <c r="C292" s="7" t="str">
        <f ca="1">OFFSET(ORÇAMENTO!L$15,ROW(C292)-ROW(C$15),0)</f>
        <v/>
      </c>
      <c r="D292" s="117" t="str">
        <f ca="1">OFFSET(ORÇAMENTO!N$15,ROW(D292)-ROW(D$15),0)</f>
        <v>Serviço</v>
      </c>
      <c r="E292" s="118" t="str">
        <f ca="1">OFFSET(ORÇAMENTO!O$15,ROW(E292)-ROW(E$15),0)</f>
        <v>-</v>
      </c>
      <c r="F292" s="164" t="str">
        <f ca="1">OFFSET(ORÇAMENTO!R$15,ROW(F292)-ROW(F$15),0)</f>
        <v>COTOVELO EM BRONZE/LATÃO, DN 15 MM X 1/2", 90 GRAUS, SEM ANEL DE SOLDA, BOLSA X ROSCA F, INSTALADO EM RAMAL E SUB-RAMAL DE GÁS COMBUSTÍVEL - FORNECIMENTO E INSTALAÇÃO. AF_04/2022</v>
      </c>
      <c r="G292" s="165" t="str">
        <f ca="1">IF($D292&lt;&gt;"Serviço","",OFFSET(ORÇAMENTO!S$15,ROW(G292)-ROW(G$15),0))</f>
        <v>UN</v>
      </c>
      <c r="H292" s="123">
        <f ca="1">IF($D292&lt;&gt;"Serviço",0,IF(ACOMPANHAMENTO="BM",ROUND(OFFSET(ORÇAMENTO!AJ$15,ROW(H292)-ROW(H$15),0),15-13*ORÇAMENTO!$AF$7),SUMPRODUCT(($Q$1:$AA$1=1)*ROUND($Q292:$AA292,15-13*ORÇAMENTO!$AF$7))))</f>
        <v>2</v>
      </c>
      <c r="I292" s="469"/>
      <c r="J292" s="577" t="str" cm="1">
        <f t="array" aca="1" ref="J292" ca="1">IF(B292&lt;&gt;"S","",IF(AND(ACOMPANHAMENTO="PLE",AUTOEVENTO="Manual",OR(H292&gt;0,ORÇAMENTO!AC292="QUANT."),OR(K292="",M292=0,N292="")),"►",IF(AND(ACOMPANHAMENTO="PLE",ORÇAMENTO!AC292="QUANT."),"►►",IF(AND(COUNTIF($P$11:$AA$11,"▼")=0,H292&gt;0,I292=""),"◄",""))))</f>
        <v>◄</v>
      </c>
      <c r="K292" s="626"/>
      <c r="L292" s="166" t="s">
        <v>765</v>
      </c>
      <c r="M292" s="167">
        <f ca="1">IF($D292&lt;&gt;"Serviço","",
          IF(AUTOEVENTO="manual",$A292,
                IF(ISERROR(MATCH($A292,$A$15:OFFSET($A292,-1,0),0)),MAX($M$15:OFFSET(M292,-1,0))+1,
                      INDEX($M$15:OFFSET(M292,-1,0),MATCH($A292,$A$15:OFFSET($A292,-1,0),0)))))</f>
        <v>16</v>
      </c>
      <c r="N292" s="168" t="str">
        <f ca="1">IF($D292&lt;&gt;"Serviço","",
         IF(AUTOEVENTO="Manual",
                IF($A292=0,"&lt;-- defina o número do agrupador",
                       OFFSET(EVENTOS!$D$15,$A292-$A$15,0)),
                OFFSET($F$15,$A292,0)))</f>
        <v>SISTEMAS DE PREVENÇÃO CONTRA INCÊNDIO</v>
      </c>
      <c r="O292" s="169"/>
      <c r="Q292" s="169"/>
      <c r="R292" s="170"/>
      <c r="S292" s="170"/>
      <c r="T292" s="170"/>
      <c r="U292" s="170"/>
      <c r="V292" s="170"/>
      <c r="W292" s="170"/>
      <c r="X292" s="170"/>
      <c r="Y292" s="170"/>
      <c r="Z292" s="171"/>
      <c r="AB292" s="454">
        <f ca="1">IF(AND($D292="Serviço",AB$12&lt;&gt;0,$H292&gt;0,OR(AUTOEVENTO&lt;&gt;"manual",$M292&lt;&gt;$A$15)),
        IF(Import.TipoArredondamento&lt;&gt;"TransfereGOV",
              ROUND(OFFSET($P292,0,AB$13),15-13*ORÇAMENTO!$AF$7)/$H292*OFFSET(ORÇAMENTO!$X$15,ROW(AB292)-ROW(AB$15),0),
              ROUND(ROUND(OFFSET($P292,0,AB$13),15-13*ORÇAMENTO!$AF$7)*OFFSET(ORÇAMENTO!$W$15,ROW(AB292)-ROW(AB$15),0),15-13*ORÇAMENTO!$AF$11)),
         0)</f>
        <v>0</v>
      </c>
      <c r="AC292" s="454">
        <f ca="1">IF(AND($D292="Serviço",AC$12&lt;&gt;0,$H292&gt;0,OR(AUTOEVENTO&lt;&gt;"manual",$M292&lt;&gt;$A$15)),
        IF(Import.TipoArredondamento&lt;&gt;"TransfereGOV",
              ROUND(OFFSET($P292,0,AC$13),15-13*ORÇAMENTO!$AF$7)/$H292*OFFSET(ORÇAMENTO!$X$15,ROW(AC292)-ROW(AC$15),0),
              ROUND(ROUND(OFFSET($P292,0,AC$13),15-13*ORÇAMENTO!$AF$7)*OFFSET(ORÇAMENTO!$W$15,ROW(AC292)-ROW(AC$15),0),15-13*ORÇAMENTO!$AF$11)),
         0)</f>
        <v>0</v>
      </c>
      <c r="AD292" s="454">
        <f ca="1">IF(AND($D292="Serviço",AD$12&lt;&gt;0,$H292&gt;0,OR(AUTOEVENTO&lt;&gt;"manual",$M292&lt;&gt;$A$15)),
        IF(Import.TipoArredondamento&lt;&gt;"TransfereGOV",
              ROUND(OFFSET($P292,0,AD$13),15-13*ORÇAMENTO!$AF$7)/$H292*OFFSET(ORÇAMENTO!$X$15,ROW(AD292)-ROW(AD$15),0),
              ROUND(ROUND(OFFSET($P292,0,AD$13),15-13*ORÇAMENTO!$AF$7)*OFFSET(ORÇAMENTO!$W$15,ROW(AD292)-ROW(AD$15),0),15-13*ORÇAMENTO!$AF$11)),
         0)</f>
        <v>0</v>
      </c>
      <c r="AE292" s="454">
        <f ca="1">IF(AND($D292="Serviço",AE$12&lt;&gt;0,$H292&gt;0,OR(AUTOEVENTO&lt;&gt;"manual",$M292&lt;&gt;$A$15)),
        IF(Import.TipoArredondamento&lt;&gt;"TransfereGOV",
              ROUND(OFFSET($P292,0,AE$13),15-13*ORÇAMENTO!$AF$7)/$H292*OFFSET(ORÇAMENTO!$X$15,ROW(AE292)-ROW(AE$15),0),
              ROUND(ROUND(OFFSET($P292,0,AE$13),15-13*ORÇAMENTO!$AF$7)*OFFSET(ORÇAMENTO!$W$15,ROW(AE292)-ROW(AE$15),0),15-13*ORÇAMENTO!$AF$11)),
         0)</f>
        <v>0</v>
      </c>
      <c r="AF292" s="454">
        <f ca="1">IF(AND($D292="Serviço",AF$12&lt;&gt;0,$H292&gt;0,OR(AUTOEVENTO&lt;&gt;"manual",$M292&lt;&gt;$A$15)),
        IF(Import.TipoArredondamento&lt;&gt;"TransfereGOV",
              ROUND(OFFSET($P292,0,AF$13),15-13*ORÇAMENTO!$AF$7)/$H292*OFFSET(ORÇAMENTO!$X$15,ROW(AF292)-ROW(AF$15),0),
              ROUND(ROUND(OFFSET($P292,0,AF$13),15-13*ORÇAMENTO!$AF$7)*OFFSET(ORÇAMENTO!$W$15,ROW(AF292)-ROW(AF$15),0),15-13*ORÇAMENTO!$AF$11)),
         0)</f>
        <v>0</v>
      </c>
      <c r="AG292" s="454">
        <f ca="1">IF(AND($D292="Serviço",AG$12&lt;&gt;0,$H292&gt;0,OR(AUTOEVENTO&lt;&gt;"manual",$M292&lt;&gt;$A$15)),
        IF(Import.TipoArredondamento&lt;&gt;"TransfereGOV",
              ROUND(OFFSET($P292,0,AG$13),15-13*ORÇAMENTO!$AF$7)/$H292*OFFSET(ORÇAMENTO!$X$15,ROW(AG292)-ROW(AG$15),0),
              ROUND(ROUND(OFFSET($P292,0,AG$13),15-13*ORÇAMENTO!$AF$7)*OFFSET(ORÇAMENTO!$W$15,ROW(AG292)-ROW(AG$15),0),15-13*ORÇAMENTO!$AF$11)),
         0)</f>
        <v>0</v>
      </c>
      <c r="AH292" s="454">
        <f ca="1">IF(AND($D292="Serviço",AH$12&lt;&gt;0,$H292&gt;0,OR(AUTOEVENTO&lt;&gt;"manual",$M292&lt;&gt;$A$15)),
        IF(Import.TipoArredondamento&lt;&gt;"TransfereGOV",
              ROUND(OFFSET($P292,0,AH$13),15-13*ORÇAMENTO!$AF$7)/$H292*OFFSET(ORÇAMENTO!$X$15,ROW(AH292)-ROW(AH$15),0),
              ROUND(ROUND(OFFSET($P292,0,AH$13),15-13*ORÇAMENTO!$AF$7)*OFFSET(ORÇAMENTO!$W$15,ROW(AH292)-ROW(AH$15),0),15-13*ORÇAMENTO!$AF$11)),
         0)</f>
        <v>0</v>
      </c>
      <c r="AI292" s="454">
        <f ca="1">IF(AND($D292="Serviço",AI$12&lt;&gt;0,$H292&gt;0,OR(AUTOEVENTO&lt;&gt;"manual",$M292&lt;&gt;$A$15)),
        IF(Import.TipoArredondamento&lt;&gt;"TransfereGOV",
              ROUND(OFFSET($P292,0,AI$13),15-13*ORÇAMENTO!$AF$7)/$H292*OFFSET(ORÇAMENTO!$X$15,ROW(AI292)-ROW(AI$15),0),
              ROUND(ROUND(OFFSET($P292,0,AI$13),15-13*ORÇAMENTO!$AF$7)*OFFSET(ORÇAMENTO!$W$15,ROW(AI292)-ROW(AI$15),0),15-13*ORÇAMENTO!$AF$11)),
         0)</f>
        <v>0</v>
      </c>
      <c r="AJ292" s="454">
        <f ca="1">IF(AND($D292="Serviço",AJ$12&lt;&gt;0,$H292&gt;0,OR(AUTOEVENTO&lt;&gt;"manual",$M292&lt;&gt;$A$15)),
        IF(Import.TipoArredondamento&lt;&gt;"TransfereGOV",
              ROUND(OFFSET($P292,0,AJ$13),15-13*ORÇAMENTO!$AF$7)/$H292*OFFSET(ORÇAMENTO!$X$15,ROW(AJ292)-ROW(AJ$15),0),
              ROUND(ROUND(OFFSET($P292,0,AJ$13),15-13*ORÇAMENTO!$AF$7)*OFFSET(ORÇAMENTO!$W$15,ROW(AJ292)-ROW(AJ$15),0),15-13*ORÇAMENTO!$AF$11)),
         0)</f>
        <v>0</v>
      </c>
      <c r="AK292" s="454">
        <f ca="1">IF(AND($D292="Serviço",AK$12&lt;&gt;0,$H292&gt;0,OR(AUTOEVENTO&lt;&gt;"manual",$M292&lt;&gt;$A$15)),
        IF(Import.TipoArredondamento&lt;&gt;"TransfereGOV",
              ROUND(OFFSET($P292,0,AK$13),15-13*ORÇAMENTO!$AF$7)/$H292*OFFSET(ORÇAMENTO!$X$15,ROW(AK292)-ROW(AK$15),0),
              ROUND(ROUND(OFFSET($P292,0,AK$13),15-13*ORÇAMENTO!$AF$7)*OFFSET(ORÇAMENTO!$W$15,ROW(AK292)-ROW(AK$15),0),15-13*ORÇAMENTO!$AF$11)),
         0)</f>
        <v>0</v>
      </c>
      <c r="AM292" s="172">
        <f ca="1">IF(OR($D292&lt;&gt;"Serviço",AND(AUTOEVENTO="Manual",$M292=$A$15)),0,
         IF(OFFSET(CRONOPLE!$F$15,$M292-$A$15,AM$13)="",10^12,OFFSET(CRONOPLE!$F$15,$M292-$A$15,AM$13)))</f>
        <v>1000000000000</v>
      </c>
      <c r="AN292" s="172">
        <f ca="1">IF(OR($D292&lt;&gt;"Serviço",AND(AUTOEVENTO="Manual",$M292=$A$15)),0,
         IF(OFFSET(CRONOPLE!$F$15,$M292-$A$15,AN$13)="",10^12,OFFSET(CRONOPLE!$F$15,$M292-$A$15,AN$13)))</f>
        <v>1000000000000</v>
      </c>
      <c r="AO292" s="172">
        <f ca="1">IF(OR($D292&lt;&gt;"Serviço",AND(AUTOEVENTO="Manual",$M292=$A$15)),0,
         IF(OFFSET(CRONOPLE!$F$15,$M292-$A$15,AO$13)="",10^12,OFFSET(CRONOPLE!$F$15,$M292-$A$15,AO$13)))</f>
        <v>1000000000000</v>
      </c>
      <c r="AP292" s="172">
        <f ca="1">IF(OR($D292&lt;&gt;"Serviço",AND(AUTOEVENTO="Manual",$M292=$A$15)),0,
         IF(OFFSET(CRONOPLE!$F$15,$M292-$A$15,AP$13)="",10^12,OFFSET(CRONOPLE!$F$15,$M292-$A$15,AP$13)))</f>
        <v>1000000000000</v>
      </c>
      <c r="AQ292" s="172">
        <f ca="1">IF(OR($D292&lt;&gt;"Serviço",AND(AUTOEVENTO="Manual",$M292=$A$15)),0,
         IF(OFFSET(CRONOPLE!$F$15,$M292-$A$15,AQ$13)="",10^12,OFFSET(CRONOPLE!$F$15,$M292-$A$15,AQ$13)))</f>
        <v>1000000000000</v>
      </c>
      <c r="AR292" s="172">
        <f ca="1">IF(OR($D292&lt;&gt;"Serviço",AND(AUTOEVENTO="Manual",$M292=$A$15)),0,
         IF(OFFSET(CRONOPLE!$F$15,$M292-$A$15,AR$13)="",10^12,OFFSET(CRONOPLE!$F$15,$M292-$A$15,AR$13)))</f>
        <v>1000000000000</v>
      </c>
      <c r="AS292" s="172">
        <f ca="1">IF(OR($D292&lt;&gt;"Serviço",AND(AUTOEVENTO="Manual",$M292=$A$15)),0,
         IF(OFFSET(CRONOPLE!$F$15,$M292-$A$15,AS$13)="",10^12,OFFSET(CRONOPLE!$F$15,$M292-$A$15,AS$13)))</f>
        <v>1000000000000</v>
      </c>
      <c r="AT292" s="172">
        <f ca="1">IF(OR($D292&lt;&gt;"Serviço",AND(AUTOEVENTO="Manual",$M292=$A$15)),0,
         IF(OFFSET(CRONOPLE!$F$15,$M292-$A$15,AT$13)="",10^12,OFFSET(CRONOPLE!$F$15,$M292-$A$15,AT$13)))</f>
        <v>1000000000000</v>
      </c>
      <c r="AU292" s="172">
        <f ca="1">IF(OR($D292&lt;&gt;"Serviço",AND(AUTOEVENTO="Manual",$M292=$A$15)),0,
         IF(OFFSET(CRONOPLE!$F$15,$M292-$A$15,AU$13)="",10^12,OFFSET(CRONOPLE!$F$15,$M292-$A$15,AU$13)))</f>
        <v>1000000000000</v>
      </c>
      <c r="AV292" s="172">
        <f ca="1">IF(OR($D292&lt;&gt;"Serviço",AND(AUTOEVENTO="Manual",$M292=$A$15)),0,
         IF(OFFSET(CRONOPLE!$F$15,$M292-$A$15,AV$13)="",10^12,OFFSET(CRONOPLE!$F$15,$M292-$A$15,AV$13)))</f>
        <v>1000000000000</v>
      </c>
      <c r="AX292" s="173">
        <f ca="1">IF(OR($D292&lt;&gt;"Serviço",AND(AUTOEVENTO="Manual",$M292=$A$15),$M292&gt;(ROW(PLE.lastrow)-ROW(PLE.firstrow))),0,
           IF(OFFSET(PLE!$G$15,$M292-$A$15,AX$13)="",10^12,OFFSET(PLE!$G$15,$M292-$A$15,AX$13)))</f>
        <v>1000000000000</v>
      </c>
      <c r="AY292" s="173">
        <f ca="1">IF(OR($D292&lt;&gt;"Serviço",AND(AUTOEVENTO="Manual",$M292=$A$15),$M292&gt;(ROW(PLE.lastrow)-ROW(PLE.firstrow))),0,
           IF(OFFSET(PLE!$G$15,$M292-$A$15,AY$13)="",10^12,OFFSET(PLE!$G$15,$M292-$A$15,AY$13)))</f>
        <v>1000000000000</v>
      </c>
      <c r="AZ292" s="173">
        <f ca="1">IF(OR($D292&lt;&gt;"Serviço",AND(AUTOEVENTO="Manual",$M292=$A$15),$M292&gt;(ROW(PLE.lastrow)-ROW(PLE.firstrow))),0,
           IF(OFFSET(PLE!$G$15,$M292-$A$15,AZ$13)="",10^12,OFFSET(PLE!$G$15,$M292-$A$15,AZ$13)))</f>
        <v>1000000000000</v>
      </c>
      <c r="BA292" s="173">
        <f ca="1">IF(OR($D292&lt;&gt;"Serviço",AND(AUTOEVENTO="Manual",$M292=$A$15),$M292&gt;(ROW(PLE.lastrow)-ROW(PLE.firstrow))),0,
           IF(OFFSET(PLE!$G$15,$M292-$A$15,BA$13)="",10^12,OFFSET(PLE!$G$15,$M292-$A$15,BA$13)))</f>
        <v>1000000000000</v>
      </c>
      <c r="BB292" s="173">
        <f ca="1">IF(OR($D292&lt;&gt;"Serviço",AND(AUTOEVENTO="Manual",$M292=$A$15),$M292&gt;(ROW(PLE.lastrow)-ROW(PLE.firstrow))),0,
           IF(OFFSET(PLE!$G$15,$M292-$A$15,BB$13)="",10^12,OFFSET(PLE!$G$15,$M292-$A$15,BB$13)))</f>
        <v>1000000000000</v>
      </c>
      <c r="BC292" s="173">
        <f ca="1">IF(OR($D292&lt;&gt;"Serviço",AND(AUTOEVENTO="Manual",$M292=$A$15),$M292&gt;(ROW(PLE.lastrow)-ROW(PLE.firstrow))),0,
           IF(OFFSET(PLE!$G$15,$M292-$A$15,BC$13)="",10^12,OFFSET(PLE!$G$15,$M292-$A$15,BC$13)))</f>
        <v>1000000000000</v>
      </c>
      <c r="BD292" s="173">
        <f ca="1">IF(OR($D292&lt;&gt;"Serviço",AND(AUTOEVENTO="Manual",$M292=$A$15),$M292&gt;(ROW(PLE.lastrow)-ROW(PLE.firstrow))),0,
           IF(OFFSET(PLE!$G$15,$M292-$A$15,BD$13)="",10^12,OFFSET(PLE!$G$15,$M292-$A$15,BD$13)))</f>
        <v>1000000000000</v>
      </c>
      <c r="BE292" s="173">
        <f ca="1">IF(OR($D292&lt;&gt;"Serviço",AND(AUTOEVENTO="Manual",$M292=$A$15),$M292&gt;(ROW(PLE.lastrow)-ROW(PLE.firstrow))),0,
           IF(OFFSET(PLE!$G$15,$M292-$A$15,BE$13)="",10^12,OFFSET(PLE!$G$15,$M292-$A$15,BE$13)))</f>
        <v>1000000000000</v>
      </c>
      <c r="BF292" s="173">
        <f ca="1">IF(OR($D292&lt;&gt;"Serviço",AND(AUTOEVENTO="Manual",$M292=$A$15),$M292&gt;(ROW(PLE.lastrow)-ROW(PLE.firstrow))),0,
           IF(OFFSET(PLE!$G$15,$M292-$A$15,BF$13)="",10^12,OFFSET(PLE!$G$15,$M292-$A$15,BF$13)))</f>
        <v>1000000000000</v>
      </c>
      <c r="BG292" s="173">
        <f ca="1">IF(OR($D292&lt;&gt;"Serviço",AND(AUTOEVENTO="Manual",$M292=$A$15),$M292&gt;(ROW(PLE.lastrow)-ROW(PLE.firstrow))),0,
           IF(OFFSET(PLE!$G$15,$M292-$A$15,BG$13)="",10^12,OFFSET(PLE!$G$15,$M292-$A$15,BG$13)))</f>
        <v>1000000000000</v>
      </c>
    </row>
    <row r="293" spans="1:59" ht="51" x14ac:dyDescent="0.2">
      <c r="A293" s="7" t="str">
        <f t="shared" ca="1" si="12"/>
        <v>253</v>
      </c>
      <c r="B293" s="7" t="str">
        <f ca="1">OFFSET(ORÇAMENTO!C$15,ROW(B293)-ROW(B$15),0)</f>
        <v>S</v>
      </c>
      <c r="C293" s="7" t="str">
        <f ca="1">OFFSET(ORÇAMENTO!L$15,ROW(C293)-ROW(C$15),0)</f>
        <v/>
      </c>
      <c r="D293" s="117" t="str">
        <f ca="1">OFFSET(ORÇAMENTO!N$15,ROW(D293)-ROW(D$15),0)</f>
        <v>Serviço</v>
      </c>
      <c r="E293" s="118" t="str">
        <f ca="1">OFFSET(ORÇAMENTO!O$15,ROW(E293)-ROW(E$15),0)</f>
        <v>-</v>
      </c>
      <c r="F293" s="164" t="str">
        <f ca="1">OFFSET(ORÇAMENTO!R$15,ROW(F293)-ROW(F$15),0)</f>
        <v>COTOVELO EM BRONZE/LATÃO, DN 22 MM X 3/4", 90 GRAUS, SEM ANEL DE SOLDA, BOLSA X ROSCA F, INSTALADO EM RAMAL E SUB-RAMAL DE GÁS COMBUSTÍVEL - FORNECIMENTO E INSTALAÇÃO. AF_04/2022</v>
      </c>
      <c r="G293" s="165" t="str">
        <f ca="1">IF($D293&lt;&gt;"Serviço","",OFFSET(ORÇAMENTO!S$15,ROW(G293)-ROW(G$15),0))</f>
        <v>UN</v>
      </c>
      <c r="H293" s="123">
        <f ca="1">IF($D293&lt;&gt;"Serviço",0,IF(ACOMPANHAMENTO="BM",ROUND(OFFSET(ORÇAMENTO!AJ$15,ROW(H293)-ROW(H$15),0),15-13*ORÇAMENTO!$AF$7),SUMPRODUCT(($Q$1:$AA$1=1)*ROUND($Q293:$AA293,15-13*ORÇAMENTO!$AF$7))))</f>
        <v>7</v>
      </c>
      <c r="I293" s="469"/>
      <c r="J293" s="577" t="str" cm="1">
        <f t="array" aca="1" ref="J293" ca="1">IF(B293&lt;&gt;"S","",IF(AND(ACOMPANHAMENTO="PLE",AUTOEVENTO="Manual",OR(H293&gt;0,ORÇAMENTO!AC293="QUANT."),OR(K293="",M293=0,N293="")),"►",IF(AND(ACOMPANHAMENTO="PLE",ORÇAMENTO!AC293="QUANT."),"►►",IF(AND(COUNTIF($P$11:$AA$11,"▼")=0,H293&gt;0,I293=""),"◄",""))))</f>
        <v>◄</v>
      </c>
      <c r="K293" s="626"/>
      <c r="L293" s="166" t="s">
        <v>765</v>
      </c>
      <c r="M293" s="167">
        <f ca="1">IF($D293&lt;&gt;"Serviço","",
          IF(AUTOEVENTO="manual",$A293,
                IF(ISERROR(MATCH($A293,$A$15:OFFSET($A293,-1,0),0)),MAX($M$15:OFFSET(M293,-1,0))+1,
                      INDEX($M$15:OFFSET(M293,-1,0),MATCH($A293,$A$15:OFFSET($A293,-1,0),0)))))</f>
        <v>16</v>
      </c>
      <c r="N293" s="168" t="str">
        <f ca="1">IF($D293&lt;&gt;"Serviço","",
         IF(AUTOEVENTO="Manual",
                IF($A293=0,"&lt;-- defina o número do agrupador",
                       OFFSET(EVENTOS!$D$15,$A293-$A$15,0)),
                OFFSET($F$15,$A293,0)))</f>
        <v>SISTEMAS DE PREVENÇÃO CONTRA INCÊNDIO</v>
      </c>
      <c r="O293" s="169"/>
      <c r="Q293" s="169"/>
      <c r="R293" s="170"/>
      <c r="S293" s="170"/>
      <c r="T293" s="170"/>
      <c r="U293" s="170"/>
      <c r="V293" s="170"/>
      <c r="W293" s="170"/>
      <c r="X293" s="170"/>
      <c r="Y293" s="170"/>
      <c r="Z293" s="171"/>
      <c r="AB293" s="454">
        <f ca="1">IF(AND($D293="Serviço",AB$12&lt;&gt;0,$H293&gt;0,OR(AUTOEVENTO&lt;&gt;"manual",$M293&lt;&gt;$A$15)),
        IF(Import.TipoArredondamento&lt;&gt;"TransfereGOV",
              ROUND(OFFSET($P293,0,AB$13),15-13*ORÇAMENTO!$AF$7)/$H293*OFFSET(ORÇAMENTO!$X$15,ROW(AB293)-ROW(AB$15),0),
              ROUND(ROUND(OFFSET($P293,0,AB$13),15-13*ORÇAMENTO!$AF$7)*OFFSET(ORÇAMENTO!$W$15,ROW(AB293)-ROW(AB$15),0),15-13*ORÇAMENTO!$AF$11)),
         0)</f>
        <v>0</v>
      </c>
      <c r="AC293" s="454">
        <f ca="1">IF(AND($D293="Serviço",AC$12&lt;&gt;0,$H293&gt;0,OR(AUTOEVENTO&lt;&gt;"manual",$M293&lt;&gt;$A$15)),
        IF(Import.TipoArredondamento&lt;&gt;"TransfereGOV",
              ROUND(OFFSET($P293,0,AC$13),15-13*ORÇAMENTO!$AF$7)/$H293*OFFSET(ORÇAMENTO!$X$15,ROW(AC293)-ROW(AC$15),0),
              ROUND(ROUND(OFFSET($P293,0,AC$13),15-13*ORÇAMENTO!$AF$7)*OFFSET(ORÇAMENTO!$W$15,ROW(AC293)-ROW(AC$15),0),15-13*ORÇAMENTO!$AF$11)),
         0)</f>
        <v>0</v>
      </c>
      <c r="AD293" s="454">
        <f ca="1">IF(AND($D293="Serviço",AD$12&lt;&gt;0,$H293&gt;0,OR(AUTOEVENTO&lt;&gt;"manual",$M293&lt;&gt;$A$15)),
        IF(Import.TipoArredondamento&lt;&gt;"TransfereGOV",
              ROUND(OFFSET($P293,0,AD$13),15-13*ORÇAMENTO!$AF$7)/$H293*OFFSET(ORÇAMENTO!$X$15,ROW(AD293)-ROW(AD$15),0),
              ROUND(ROUND(OFFSET($P293,0,AD$13),15-13*ORÇAMENTO!$AF$7)*OFFSET(ORÇAMENTO!$W$15,ROW(AD293)-ROW(AD$15),0),15-13*ORÇAMENTO!$AF$11)),
         0)</f>
        <v>0</v>
      </c>
      <c r="AE293" s="454">
        <f ca="1">IF(AND($D293="Serviço",AE$12&lt;&gt;0,$H293&gt;0,OR(AUTOEVENTO&lt;&gt;"manual",$M293&lt;&gt;$A$15)),
        IF(Import.TipoArredondamento&lt;&gt;"TransfereGOV",
              ROUND(OFFSET($P293,0,AE$13),15-13*ORÇAMENTO!$AF$7)/$H293*OFFSET(ORÇAMENTO!$X$15,ROW(AE293)-ROW(AE$15),0),
              ROUND(ROUND(OFFSET($P293,0,AE$13),15-13*ORÇAMENTO!$AF$7)*OFFSET(ORÇAMENTO!$W$15,ROW(AE293)-ROW(AE$15),0),15-13*ORÇAMENTO!$AF$11)),
         0)</f>
        <v>0</v>
      </c>
      <c r="AF293" s="454">
        <f ca="1">IF(AND($D293="Serviço",AF$12&lt;&gt;0,$H293&gt;0,OR(AUTOEVENTO&lt;&gt;"manual",$M293&lt;&gt;$A$15)),
        IF(Import.TipoArredondamento&lt;&gt;"TransfereGOV",
              ROUND(OFFSET($P293,0,AF$13),15-13*ORÇAMENTO!$AF$7)/$H293*OFFSET(ORÇAMENTO!$X$15,ROW(AF293)-ROW(AF$15),0),
              ROUND(ROUND(OFFSET($P293,0,AF$13),15-13*ORÇAMENTO!$AF$7)*OFFSET(ORÇAMENTO!$W$15,ROW(AF293)-ROW(AF$15),0),15-13*ORÇAMENTO!$AF$11)),
         0)</f>
        <v>0</v>
      </c>
      <c r="AG293" s="454">
        <f ca="1">IF(AND($D293="Serviço",AG$12&lt;&gt;0,$H293&gt;0,OR(AUTOEVENTO&lt;&gt;"manual",$M293&lt;&gt;$A$15)),
        IF(Import.TipoArredondamento&lt;&gt;"TransfereGOV",
              ROUND(OFFSET($P293,0,AG$13),15-13*ORÇAMENTO!$AF$7)/$H293*OFFSET(ORÇAMENTO!$X$15,ROW(AG293)-ROW(AG$15),0),
              ROUND(ROUND(OFFSET($P293,0,AG$13),15-13*ORÇAMENTO!$AF$7)*OFFSET(ORÇAMENTO!$W$15,ROW(AG293)-ROW(AG$15),0),15-13*ORÇAMENTO!$AF$11)),
         0)</f>
        <v>0</v>
      </c>
      <c r="AH293" s="454">
        <f ca="1">IF(AND($D293="Serviço",AH$12&lt;&gt;0,$H293&gt;0,OR(AUTOEVENTO&lt;&gt;"manual",$M293&lt;&gt;$A$15)),
        IF(Import.TipoArredondamento&lt;&gt;"TransfereGOV",
              ROUND(OFFSET($P293,0,AH$13),15-13*ORÇAMENTO!$AF$7)/$H293*OFFSET(ORÇAMENTO!$X$15,ROW(AH293)-ROW(AH$15),0),
              ROUND(ROUND(OFFSET($P293,0,AH$13),15-13*ORÇAMENTO!$AF$7)*OFFSET(ORÇAMENTO!$W$15,ROW(AH293)-ROW(AH$15),0),15-13*ORÇAMENTO!$AF$11)),
         0)</f>
        <v>0</v>
      </c>
      <c r="AI293" s="454">
        <f ca="1">IF(AND($D293="Serviço",AI$12&lt;&gt;0,$H293&gt;0,OR(AUTOEVENTO&lt;&gt;"manual",$M293&lt;&gt;$A$15)),
        IF(Import.TipoArredondamento&lt;&gt;"TransfereGOV",
              ROUND(OFFSET($P293,0,AI$13),15-13*ORÇAMENTO!$AF$7)/$H293*OFFSET(ORÇAMENTO!$X$15,ROW(AI293)-ROW(AI$15),0),
              ROUND(ROUND(OFFSET($P293,0,AI$13),15-13*ORÇAMENTO!$AF$7)*OFFSET(ORÇAMENTO!$W$15,ROW(AI293)-ROW(AI$15),0),15-13*ORÇAMENTO!$AF$11)),
         0)</f>
        <v>0</v>
      </c>
      <c r="AJ293" s="454">
        <f ca="1">IF(AND($D293="Serviço",AJ$12&lt;&gt;0,$H293&gt;0,OR(AUTOEVENTO&lt;&gt;"manual",$M293&lt;&gt;$A$15)),
        IF(Import.TipoArredondamento&lt;&gt;"TransfereGOV",
              ROUND(OFFSET($P293,0,AJ$13),15-13*ORÇAMENTO!$AF$7)/$H293*OFFSET(ORÇAMENTO!$X$15,ROW(AJ293)-ROW(AJ$15),0),
              ROUND(ROUND(OFFSET($P293,0,AJ$13),15-13*ORÇAMENTO!$AF$7)*OFFSET(ORÇAMENTO!$W$15,ROW(AJ293)-ROW(AJ$15),0),15-13*ORÇAMENTO!$AF$11)),
         0)</f>
        <v>0</v>
      </c>
      <c r="AK293" s="454">
        <f ca="1">IF(AND($D293="Serviço",AK$12&lt;&gt;0,$H293&gt;0,OR(AUTOEVENTO&lt;&gt;"manual",$M293&lt;&gt;$A$15)),
        IF(Import.TipoArredondamento&lt;&gt;"TransfereGOV",
              ROUND(OFFSET($P293,0,AK$13),15-13*ORÇAMENTO!$AF$7)/$H293*OFFSET(ORÇAMENTO!$X$15,ROW(AK293)-ROW(AK$15),0),
              ROUND(ROUND(OFFSET($P293,0,AK$13),15-13*ORÇAMENTO!$AF$7)*OFFSET(ORÇAMENTO!$W$15,ROW(AK293)-ROW(AK$15),0),15-13*ORÇAMENTO!$AF$11)),
         0)</f>
        <v>0</v>
      </c>
      <c r="AM293" s="172">
        <f ca="1">IF(OR($D293&lt;&gt;"Serviço",AND(AUTOEVENTO="Manual",$M293=$A$15)),0,
         IF(OFFSET(CRONOPLE!$F$15,$M293-$A$15,AM$13)="",10^12,OFFSET(CRONOPLE!$F$15,$M293-$A$15,AM$13)))</f>
        <v>1000000000000</v>
      </c>
      <c r="AN293" s="172">
        <f ca="1">IF(OR($D293&lt;&gt;"Serviço",AND(AUTOEVENTO="Manual",$M293=$A$15)),0,
         IF(OFFSET(CRONOPLE!$F$15,$M293-$A$15,AN$13)="",10^12,OFFSET(CRONOPLE!$F$15,$M293-$A$15,AN$13)))</f>
        <v>1000000000000</v>
      </c>
      <c r="AO293" s="172">
        <f ca="1">IF(OR($D293&lt;&gt;"Serviço",AND(AUTOEVENTO="Manual",$M293=$A$15)),0,
         IF(OFFSET(CRONOPLE!$F$15,$M293-$A$15,AO$13)="",10^12,OFFSET(CRONOPLE!$F$15,$M293-$A$15,AO$13)))</f>
        <v>1000000000000</v>
      </c>
      <c r="AP293" s="172">
        <f ca="1">IF(OR($D293&lt;&gt;"Serviço",AND(AUTOEVENTO="Manual",$M293=$A$15)),0,
         IF(OFFSET(CRONOPLE!$F$15,$M293-$A$15,AP$13)="",10^12,OFFSET(CRONOPLE!$F$15,$M293-$A$15,AP$13)))</f>
        <v>1000000000000</v>
      </c>
      <c r="AQ293" s="172">
        <f ca="1">IF(OR($D293&lt;&gt;"Serviço",AND(AUTOEVENTO="Manual",$M293=$A$15)),0,
         IF(OFFSET(CRONOPLE!$F$15,$M293-$A$15,AQ$13)="",10^12,OFFSET(CRONOPLE!$F$15,$M293-$A$15,AQ$13)))</f>
        <v>1000000000000</v>
      </c>
      <c r="AR293" s="172">
        <f ca="1">IF(OR($D293&lt;&gt;"Serviço",AND(AUTOEVENTO="Manual",$M293=$A$15)),0,
         IF(OFFSET(CRONOPLE!$F$15,$M293-$A$15,AR$13)="",10^12,OFFSET(CRONOPLE!$F$15,$M293-$A$15,AR$13)))</f>
        <v>1000000000000</v>
      </c>
      <c r="AS293" s="172">
        <f ca="1">IF(OR($D293&lt;&gt;"Serviço",AND(AUTOEVENTO="Manual",$M293=$A$15)),0,
         IF(OFFSET(CRONOPLE!$F$15,$M293-$A$15,AS$13)="",10^12,OFFSET(CRONOPLE!$F$15,$M293-$A$15,AS$13)))</f>
        <v>1000000000000</v>
      </c>
      <c r="AT293" s="172">
        <f ca="1">IF(OR($D293&lt;&gt;"Serviço",AND(AUTOEVENTO="Manual",$M293=$A$15)),0,
         IF(OFFSET(CRONOPLE!$F$15,$M293-$A$15,AT$13)="",10^12,OFFSET(CRONOPLE!$F$15,$M293-$A$15,AT$13)))</f>
        <v>1000000000000</v>
      </c>
      <c r="AU293" s="172">
        <f ca="1">IF(OR($D293&lt;&gt;"Serviço",AND(AUTOEVENTO="Manual",$M293=$A$15)),0,
         IF(OFFSET(CRONOPLE!$F$15,$M293-$A$15,AU$13)="",10^12,OFFSET(CRONOPLE!$F$15,$M293-$A$15,AU$13)))</f>
        <v>1000000000000</v>
      </c>
      <c r="AV293" s="172">
        <f ca="1">IF(OR($D293&lt;&gt;"Serviço",AND(AUTOEVENTO="Manual",$M293=$A$15)),0,
         IF(OFFSET(CRONOPLE!$F$15,$M293-$A$15,AV$13)="",10^12,OFFSET(CRONOPLE!$F$15,$M293-$A$15,AV$13)))</f>
        <v>1000000000000</v>
      </c>
      <c r="AX293" s="173">
        <f ca="1">IF(OR($D293&lt;&gt;"Serviço",AND(AUTOEVENTO="Manual",$M293=$A$15),$M293&gt;(ROW(PLE.lastrow)-ROW(PLE.firstrow))),0,
           IF(OFFSET(PLE!$G$15,$M293-$A$15,AX$13)="",10^12,OFFSET(PLE!$G$15,$M293-$A$15,AX$13)))</f>
        <v>1000000000000</v>
      </c>
      <c r="AY293" s="173">
        <f ca="1">IF(OR($D293&lt;&gt;"Serviço",AND(AUTOEVENTO="Manual",$M293=$A$15),$M293&gt;(ROW(PLE.lastrow)-ROW(PLE.firstrow))),0,
           IF(OFFSET(PLE!$G$15,$M293-$A$15,AY$13)="",10^12,OFFSET(PLE!$G$15,$M293-$A$15,AY$13)))</f>
        <v>1000000000000</v>
      </c>
      <c r="AZ293" s="173">
        <f ca="1">IF(OR($D293&lt;&gt;"Serviço",AND(AUTOEVENTO="Manual",$M293=$A$15),$M293&gt;(ROW(PLE.lastrow)-ROW(PLE.firstrow))),0,
           IF(OFFSET(PLE!$G$15,$M293-$A$15,AZ$13)="",10^12,OFFSET(PLE!$G$15,$M293-$A$15,AZ$13)))</f>
        <v>1000000000000</v>
      </c>
      <c r="BA293" s="173">
        <f ca="1">IF(OR($D293&lt;&gt;"Serviço",AND(AUTOEVENTO="Manual",$M293=$A$15),$M293&gt;(ROW(PLE.lastrow)-ROW(PLE.firstrow))),0,
           IF(OFFSET(PLE!$G$15,$M293-$A$15,BA$13)="",10^12,OFFSET(PLE!$G$15,$M293-$A$15,BA$13)))</f>
        <v>1000000000000</v>
      </c>
      <c r="BB293" s="173">
        <f ca="1">IF(OR($D293&lt;&gt;"Serviço",AND(AUTOEVENTO="Manual",$M293=$A$15),$M293&gt;(ROW(PLE.lastrow)-ROW(PLE.firstrow))),0,
           IF(OFFSET(PLE!$G$15,$M293-$A$15,BB$13)="",10^12,OFFSET(PLE!$G$15,$M293-$A$15,BB$13)))</f>
        <v>1000000000000</v>
      </c>
      <c r="BC293" s="173">
        <f ca="1">IF(OR($D293&lt;&gt;"Serviço",AND(AUTOEVENTO="Manual",$M293=$A$15),$M293&gt;(ROW(PLE.lastrow)-ROW(PLE.firstrow))),0,
           IF(OFFSET(PLE!$G$15,$M293-$A$15,BC$13)="",10^12,OFFSET(PLE!$G$15,$M293-$A$15,BC$13)))</f>
        <v>1000000000000</v>
      </c>
      <c r="BD293" s="173">
        <f ca="1">IF(OR($D293&lt;&gt;"Serviço",AND(AUTOEVENTO="Manual",$M293=$A$15),$M293&gt;(ROW(PLE.lastrow)-ROW(PLE.firstrow))),0,
           IF(OFFSET(PLE!$G$15,$M293-$A$15,BD$13)="",10^12,OFFSET(PLE!$G$15,$M293-$A$15,BD$13)))</f>
        <v>1000000000000</v>
      </c>
      <c r="BE293" s="173">
        <f ca="1">IF(OR($D293&lt;&gt;"Serviço",AND(AUTOEVENTO="Manual",$M293=$A$15),$M293&gt;(ROW(PLE.lastrow)-ROW(PLE.firstrow))),0,
           IF(OFFSET(PLE!$G$15,$M293-$A$15,BE$13)="",10^12,OFFSET(PLE!$G$15,$M293-$A$15,BE$13)))</f>
        <v>1000000000000</v>
      </c>
      <c r="BF293" s="173">
        <f ca="1">IF(OR($D293&lt;&gt;"Serviço",AND(AUTOEVENTO="Manual",$M293=$A$15),$M293&gt;(ROW(PLE.lastrow)-ROW(PLE.firstrow))),0,
           IF(OFFSET(PLE!$G$15,$M293-$A$15,BF$13)="",10^12,OFFSET(PLE!$G$15,$M293-$A$15,BF$13)))</f>
        <v>1000000000000</v>
      </c>
      <c r="BG293" s="173">
        <f ca="1">IF(OR($D293&lt;&gt;"Serviço",AND(AUTOEVENTO="Manual",$M293=$A$15),$M293&gt;(ROW(PLE.lastrow)-ROW(PLE.firstrow))),0,
           IF(OFFSET(PLE!$G$15,$M293-$A$15,BG$13)="",10^12,OFFSET(PLE!$G$15,$M293-$A$15,BG$13)))</f>
        <v>1000000000000</v>
      </c>
    </row>
    <row r="294" spans="1:59" ht="38.25" x14ac:dyDescent="0.2">
      <c r="A294" s="7" t="str">
        <f t="shared" ca="1" si="12"/>
        <v>253</v>
      </c>
      <c r="B294" s="7" t="str">
        <f ca="1">OFFSET(ORÇAMENTO!C$15,ROW(B294)-ROW(B$15),0)</f>
        <v>S</v>
      </c>
      <c r="C294" s="7" t="str">
        <f ca="1">OFFSET(ORÇAMENTO!L$15,ROW(C294)-ROW(C$15),0)</f>
        <v/>
      </c>
      <c r="D294" s="117" t="str">
        <f ca="1">OFFSET(ORÇAMENTO!N$15,ROW(D294)-ROW(D$15),0)</f>
        <v>Serviço</v>
      </c>
      <c r="E294" s="118" t="str">
        <f ca="1">OFFSET(ORÇAMENTO!O$15,ROW(E294)-ROW(E$15),0)</f>
        <v>-</v>
      </c>
      <c r="F294" s="164" t="str">
        <f ca="1">OFFSET(ORÇAMENTO!R$15,ROW(F294)-ROW(F$15),0)</f>
        <v>LUVA DE REDUÇÃO, EM FERRO GALVANIZADO, 3/4" X 1/2", CONEXÃO ROSQUEADA, INSTALADO EM RAMAIS E SUB-RAMAIS DE GÁS - FORNECIMENTO E INSTALAÇÃO. AF_10/2020</v>
      </c>
      <c r="G294" s="165" t="str">
        <f ca="1">IF($D294&lt;&gt;"Serviço","",OFFSET(ORÇAMENTO!S$15,ROW(G294)-ROW(G$15),0))</f>
        <v>UN</v>
      </c>
      <c r="H294" s="123">
        <f ca="1">IF($D294&lt;&gt;"Serviço",0,IF(ACOMPANHAMENTO="BM",ROUND(OFFSET(ORÇAMENTO!AJ$15,ROW(H294)-ROW(H$15),0),15-13*ORÇAMENTO!$AF$7),SUMPRODUCT(($Q$1:$AA$1=1)*ROUND($Q294:$AA294,15-13*ORÇAMENTO!$AF$7))))</f>
        <v>1</v>
      </c>
      <c r="I294" s="469"/>
      <c r="J294" s="577" t="str" cm="1">
        <f t="array" aca="1" ref="J294" ca="1">IF(B294&lt;&gt;"S","",IF(AND(ACOMPANHAMENTO="PLE",AUTOEVENTO="Manual",OR(H294&gt;0,ORÇAMENTO!AC294="QUANT."),OR(K294="",M294=0,N294="")),"►",IF(AND(ACOMPANHAMENTO="PLE",ORÇAMENTO!AC294="QUANT."),"►►",IF(AND(COUNTIF($P$11:$AA$11,"▼")=0,H294&gt;0,I294=""),"◄",""))))</f>
        <v>◄</v>
      </c>
      <c r="K294" s="626"/>
      <c r="L294" s="166" t="s">
        <v>765</v>
      </c>
      <c r="M294" s="167">
        <f ca="1">IF($D294&lt;&gt;"Serviço","",
          IF(AUTOEVENTO="manual",$A294,
                IF(ISERROR(MATCH($A294,$A$15:OFFSET($A294,-1,0),0)),MAX($M$15:OFFSET(M294,-1,0))+1,
                      INDEX($M$15:OFFSET(M294,-1,0),MATCH($A294,$A$15:OFFSET($A294,-1,0),0)))))</f>
        <v>16</v>
      </c>
      <c r="N294" s="168" t="str">
        <f ca="1">IF($D294&lt;&gt;"Serviço","",
         IF(AUTOEVENTO="Manual",
                IF($A294=0,"&lt;-- defina o número do agrupador",
                       OFFSET(EVENTOS!$D$15,$A294-$A$15,0)),
                OFFSET($F$15,$A294,0)))</f>
        <v>SISTEMAS DE PREVENÇÃO CONTRA INCÊNDIO</v>
      </c>
      <c r="O294" s="169"/>
      <c r="Q294" s="169"/>
      <c r="R294" s="170"/>
      <c r="S294" s="170"/>
      <c r="T294" s="170"/>
      <c r="U294" s="170"/>
      <c r="V294" s="170"/>
      <c r="W294" s="170"/>
      <c r="X294" s="170"/>
      <c r="Y294" s="170"/>
      <c r="Z294" s="171"/>
      <c r="AB294" s="454">
        <f ca="1">IF(AND($D294="Serviço",AB$12&lt;&gt;0,$H294&gt;0,OR(AUTOEVENTO&lt;&gt;"manual",$M294&lt;&gt;$A$15)),
        IF(Import.TipoArredondamento&lt;&gt;"TransfereGOV",
              ROUND(OFFSET($P294,0,AB$13),15-13*ORÇAMENTO!$AF$7)/$H294*OFFSET(ORÇAMENTO!$X$15,ROW(AB294)-ROW(AB$15),0),
              ROUND(ROUND(OFFSET($P294,0,AB$13),15-13*ORÇAMENTO!$AF$7)*OFFSET(ORÇAMENTO!$W$15,ROW(AB294)-ROW(AB$15),0),15-13*ORÇAMENTO!$AF$11)),
         0)</f>
        <v>0</v>
      </c>
      <c r="AC294" s="454">
        <f ca="1">IF(AND($D294="Serviço",AC$12&lt;&gt;0,$H294&gt;0,OR(AUTOEVENTO&lt;&gt;"manual",$M294&lt;&gt;$A$15)),
        IF(Import.TipoArredondamento&lt;&gt;"TransfereGOV",
              ROUND(OFFSET($P294,0,AC$13),15-13*ORÇAMENTO!$AF$7)/$H294*OFFSET(ORÇAMENTO!$X$15,ROW(AC294)-ROW(AC$15),0),
              ROUND(ROUND(OFFSET($P294,0,AC$13),15-13*ORÇAMENTO!$AF$7)*OFFSET(ORÇAMENTO!$W$15,ROW(AC294)-ROW(AC$15),0),15-13*ORÇAMENTO!$AF$11)),
         0)</f>
        <v>0</v>
      </c>
      <c r="AD294" s="454">
        <f ca="1">IF(AND($D294="Serviço",AD$12&lt;&gt;0,$H294&gt;0,OR(AUTOEVENTO&lt;&gt;"manual",$M294&lt;&gt;$A$15)),
        IF(Import.TipoArredondamento&lt;&gt;"TransfereGOV",
              ROUND(OFFSET($P294,0,AD$13),15-13*ORÇAMENTO!$AF$7)/$H294*OFFSET(ORÇAMENTO!$X$15,ROW(AD294)-ROW(AD$15),0),
              ROUND(ROUND(OFFSET($P294,0,AD$13),15-13*ORÇAMENTO!$AF$7)*OFFSET(ORÇAMENTO!$W$15,ROW(AD294)-ROW(AD$15),0),15-13*ORÇAMENTO!$AF$11)),
         0)</f>
        <v>0</v>
      </c>
      <c r="AE294" s="454">
        <f ca="1">IF(AND($D294="Serviço",AE$12&lt;&gt;0,$H294&gt;0,OR(AUTOEVENTO&lt;&gt;"manual",$M294&lt;&gt;$A$15)),
        IF(Import.TipoArredondamento&lt;&gt;"TransfereGOV",
              ROUND(OFFSET($P294,0,AE$13),15-13*ORÇAMENTO!$AF$7)/$H294*OFFSET(ORÇAMENTO!$X$15,ROW(AE294)-ROW(AE$15),0),
              ROUND(ROUND(OFFSET($P294,0,AE$13),15-13*ORÇAMENTO!$AF$7)*OFFSET(ORÇAMENTO!$W$15,ROW(AE294)-ROW(AE$15),0),15-13*ORÇAMENTO!$AF$11)),
         0)</f>
        <v>0</v>
      </c>
      <c r="AF294" s="454">
        <f ca="1">IF(AND($D294="Serviço",AF$12&lt;&gt;0,$H294&gt;0,OR(AUTOEVENTO&lt;&gt;"manual",$M294&lt;&gt;$A$15)),
        IF(Import.TipoArredondamento&lt;&gt;"TransfereGOV",
              ROUND(OFFSET($P294,0,AF$13),15-13*ORÇAMENTO!$AF$7)/$H294*OFFSET(ORÇAMENTO!$X$15,ROW(AF294)-ROW(AF$15),0),
              ROUND(ROUND(OFFSET($P294,0,AF$13),15-13*ORÇAMENTO!$AF$7)*OFFSET(ORÇAMENTO!$W$15,ROW(AF294)-ROW(AF$15),0),15-13*ORÇAMENTO!$AF$11)),
         0)</f>
        <v>0</v>
      </c>
      <c r="AG294" s="454">
        <f ca="1">IF(AND($D294="Serviço",AG$12&lt;&gt;0,$H294&gt;0,OR(AUTOEVENTO&lt;&gt;"manual",$M294&lt;&gt;$A$15)),
        IF(Import.TipoArredondamento&lt;&gt;"TransfereGOV",
              ROUND(OFFSET($P294,0,AG$13),15-13*ORÇAMENTO!$AF$7)/$H294*OFFSET(ORÇAMENTO!$X$15,ROW(AG294)-ROW(AG$15),0),
              ROUND(ROUND(OFFSET($P294,0,AG$13),15-13*ORÇAMENTO!$AF$7)*OFFSET(ORÇAMENTO!$W$15,ROW(AG294)-ROW(AG$15),0),15-13*ORÇAMENTO!$AF$11)),
         0)</f>
        <v>0</v>
      </c>
      <c r="AH294" s="454">
        <f ca="1">IF(AND($D294="Serviço",AH$12&lt;&gt;0,$H294&gt;0,OR(AUTOEVENTO&lt;&gt;"manual",$M294&lt;&gt;$A$15)),
        IF(Import.TipoArredondamento&lt;&gt;"TransfereGOV",
              ROUND(OFFSET($P294,0,AH$13),15-13*ORÇAMENTO!$AF$7)/$H294*OFFSET(ORÇAMENTO!$X$15,ROW(AH294)-ROW(AH$15),0),
              ROUND(ROUND(OFFSET($P294,0,AH$13),15-13*ORÇAMENTO!$AF$7)*OFFSET(ORÇAMENTO!$W$15,ROW(AH294)-ROW(AH$15),0),15-13*ORÇAMENTO!$AF$11)),
         0)</f>
        <v>0</v>
      </c>
      <c r="AI294" s="454">
        <f ca="1">IF(AND($D294="Serviço",AI$12&lt;&gt;0,$H294&gt;0,OR(AUTOEVENTO&lt;&gt;"manual",$M294&lt;&gt;$A$15)),
        IF(Import.TipoArredondamento&lt;&gt;"TransfereGOV",
              ROUND(OFFSET($P294,0,AI$13),15-13*ORÇAMENTO!$AF$7)/$H294*OFFSET(ORÇAMENTO!$X$15,ROW(AI294)-ROW(AI$15),0),
              ROUND(ROUND(OFFSET($P294,0,AI$13),15-13*ORÇAMENTO!$AF$7)*OFFSET(ORÇAMENTO!$W$15,ROW(AI294)-ROW(AI$15),0),15-13*ORÇAMENTO!$AF$11)),
         0)</f>
        <v>0</v>
      </c>
      <c r="AJ294" s="454">
        <f ca="1">IF(AND($D294="Serviço",AJ$12&lt;&gt;0,$H294&gt;0,OR(AUTOEVENTO&lt;&gt;"manual",$M294&lt;&gt;$A$15)),
        IF(Import.TipoArredondamento&lt;&gt;"TransfereGOV",
              ROUND(OFFSET($P294,0,AJ$13),15-13*ORÇAMENTO!$AF$7)/$H294*OFFSET(ORÇAMENTO!$X$15,ROW(AJ294)-ROW(AJ$15),0),
              ROUND(ROUND(OFFSET($P294,0,AJ$13),15-13*ORÇAMENTO!$AF$7)*OFFSET(ORÇAMENTO!$W$15,ROW(AJ294)-ROW(AJ$15),0),15-13*ORÇAMENTO!$AF$11)),
         0)</f>
        <v>0</v>
      </c>
      <c r="AK294" s="454">
        <f ca="1">IF(AND($D294="Serviço",AK$12&lt;&gt;0,$H294&gt;0,OR(AUTOEVENTO&lt;&gt;"manual",$M294&lt;&gt;$A$15)),
        IF(Import.TipoArredondamento&lt;&gt;"TransfereGOV",
              ROUND(OFFSET($P294,0,AK$13),15-13*ORÇAMENTO!$AF$7)/$H294*OFFSET(ORÇAMENTO!$X$15,ROW(AK294)-ROW(AK$15),0),
              ROUND(ROUND(OFFSET($P294,0,AK$13),15-13*ORÇAMENTO!$AF$7)*OFFSET(ORÇAMENTO!$W$15,ROW(AK294)-ROW(AK$15),0),15-13*ORÇAMENTO!$AF$11)),
         0)</f>
        <v>0</v>
      </c>
      <c r="AM294" s="172">
        <f ca="1">IF(OR($D294&lt;&gt;"Serviço",AND(AUTOEVENTO="Manual",$M294=$A$15)),0,
         IF(OFFSET(CRONOPLE!$F$15,$M294-$A$15,AM$13)="",10^12,OFFSET(CRONOPLE!$F$15,$M294-$A$15,AM$13)))</f>
        <v>1000000000000</v>
      </c>
      <c r="AN294" s="172">
        <f ca="1">IF(OR($D294&lt;&gt;"Serviço",AND(AUTOEVENTO="Manual",$M294=$A$15)),0,
         IF(OFFSET(CRONOPLE!$F$15,$M294-$A$15,AN$13)="",10^12,OFFSET(CRONOPLE!$F$15,$M294-$A$15,AN$13)))</f>
        <v>1000000000000</v>
      </c>
      <c r="AO294" s="172">
        <f ca="1">IF(OR($D294&lt;&gt;"Serviço",AND(AUTOEVENTO="Manual",$M294=$A$15)),0,
         IF(OFFSET(CRONOPLE!$F$15,$M294-$A$15,AO$13)="",10^12,OFFSET(CRONOPLE!$F$15,$M294-$A$15,AO$13)))</f>
        <v>1000000000000</v>
      </c>
      <c r="AP294" s="172">
        <f ca="1">IF(OR($D294&lt;&gt;"Serviço",AND(AUTOEVENTO="Manual",$M294=$A$15)),0,
         IF(OFFSET(CRONOPLE!$F$15,$M294-$A$15,AP$13)="",10^12,OFFSET(CRONOPLE!$F$15,$M294-$A$15,AP$13)))</f>
        <v>1000000000000</v>
      </c>
      <c r="AQ294" s="172">
        <f ca="1">IF(OR($D294&lt;&gt;"Serviço",AND(AUTOEVENTO="Manual",$M294=$A$15)),0,
         IF(OFFSET(CRONOPLE!$F$15,$M294-$A$15,AQ$13)="",10^12,OFFSET(CRONOPLE!$F$15,$M294-$A$15,AQ$13)))</f>
        <v>1000000000000</v>
      </c>
      <c r="AR294" s="172">
        <f ca="1">IF(OR($D294&lt;&gt;"Serviço",AND(AUTOEVENTO="Manual",$M294=$A$15)),0,
         IF(OFFSET(CRONOPLE!$F$15,$M294-$A$15,AR$13)="",10^12,OFFSET(CRONOPLE!$F$15,$M294-$A$15,AR$13)))</f>
        <v>1000000000000</v>
      </c>
      <c r="AS294" s="172">
        <f ca="1">IF(OR($D294&lt;&gt;"Serviço",AND(AUTOEVENTO="Manual",$M294=$A$15)),0,
         IF(OFFSET(CRONOPLE!$F$15,$M294-$A$15,AS$13)="",10^12,OFFSET(CRONOPLE!$F$15,$M294-$A$15,AS$13)))</f>
        <v>1000000000000</v>
      </c>
      <c r="AT294" s="172">
        <f ca="1">IF(OR($D294&lt;&gt;"Serviço",AND(AUTOEVENTO="Manual",$M294=$A$15)),0,
         IF(OFFSET(CRONOPLE!$F$15,$M294-$A$15,AT$13)="",10^12,OFFSET(CRONOPLE!$F$15,$M294-$A$15,AT$13)))</f>
        <v>1000000000000</v>
      </c>
      <c r="AU294" s="172">
        <f ca="1">IF(OR($D294&lt;&gt;"Serviço",AND(AUTOEVENTO="Manual",$M294=$A$15)),0,
         IF(OFFSET(CRONOPLE!$F$15,$M294-$A$15,AU$13)="",10^12,OFFSET(CRONOPLE!$F$15,$M294-$A$15,AU$13)))</f>
        <v>1000000000000</v>
      </c>
      <c r="AV294" s="172">
        <f ca="1">IF(OR($D294&lt;&gt;"Serviço",AND(AUTOEVENTO="Manual",$M294=$A$15)),0,
         IF(OFFSET(CRONOPLE!$F$15,$M294-$A$15,AV$13)="",10^12,OFFSET(CRONOPLE!$F$15,$M294-$A$15,AV$13)))</f>
        <v>1000000000000</v>
      </c>
      <c r="AX294" s="173">
        <f ca="1">IF(OR($D294&lt;&gt;"Serviço",AND(AUTOEVENTO="Manual",$M294=$A$15),$M294&gt;(ROW(PLE.lastrow)-ROW(PLE.firstrow))),0,
           IF(OFFSET(PLE!$G$15,$M294-$A$15,AX$13)="",10^12,OFFSET(PLE!$G$15,$M294-$A$15,AX$13)))</f>
        <v>1000000000000</v>
      </c>
      <c r="AY294" s="173">
        <f ca="1">IF(OR($D294&lt;&gt;"Serviço",AND(AUTOEVENTO="Manual",$M294=$A$15),$M294&gt;(ROW(PLE.lastrow)-ROW(PLE.firstrow))),0,
           IF(OFFSET(PLE!$G$15,$M294-$A$15,AY$13)="",10^12,OFFSET(PLE!$G$15,$M294-$A$15,AY$13)))</f>
        <v>1000000000000</v>
      </c>
      <c r="AZ294" s="173">
        <f ca="1">IF(OR($D294&lt;&gt;"Serviço",AND(AUTOEVENTO="Manual",$M294=$A$15),$M294&gt;(ROW(PLE.lastrow)-ROW(PLE.firstrow))),0,
           IF(OFFSET(PLE!$G$15,$M294-$A$15,AZ$13)="",10^12,OFFSET(PLE!$G$15,$M294-$A$15,AZ$13)))</f>
        <v>1000000000000</v>
      </c>
      <c r="BA294" s="173">
        <f ca="1">IF(OR($D294&lt;&gt;"Serviço",AND(AUTOEVENTO="Manual",$M294=$A$15),$M294&gt;(ROW(PLE.lastrow)-ROW(PLE.firstrow))),0,
           IF(OFFSET(PLE!$G$15,$M294-$A$15,BA$13)="",10^12,OFFSET(PLE!$G$15,$M294-$A$15,BA$13)))</f>
        <v>1000000000000</v>
      </c>
      <c r="BB294" s="173">
        <f ca="1">IF(OR($D294&lt;&gt;"Serviço",AND(AUTOEVENTO="Manual",$M294=$A$15),$M294&gt;(ROW(PLE.lastrow)-ROW(PLE.firstrow))),0,
           IF(OFFSET(PLE!$G$15,$M294-$A$15,BB$13)="",10^12,OFFSET(PLE!$G$15,$M294-$A$15,BB$13)))</f>
        <v>1000000000000</v>
      </c>
      <c r="BC294" s="173">
        <f ca="1">IF(OR($D294&lt;&gt;"Serviço",AND(AUTOEVENTO="Manual",$M294=$A$15),$M294&gt;(ROW(PLE.lastrow)-ROW(PLE.firstrow))),0,
           IF(OFFSET(PLE!$G$15,$M294-$A$15,BC$13)="",10^12,OFFSET(PLE!$G$15,$M294-$A$15,BC$13)))</f>
        <v>1000000000000</v>
      </c>
      <c r="BD294" s="173">
        <f ca="1">IF(OR($D294&lt;&gt;"Serviço",AND(AUTOEVENTO="Manual",$M294=$A$15),$M294&gt;(ROW(PLE.lastrow)-ROW(PLE.firstrow))),0,
           IF(OFFSET(PLE!$G$15,$M294-$A$15,BD$13)="",10^12,OFFSET(PLE!$G$15,$M294-$A$15,BD$13)))</f>
        <v>1000000000000</v>
      </c>
      <c r="BE294" s="173">
        <f ca="1">IF(OR($D294&lt;&gt;"Serviço",AND(AUTOEVENTO="Manual",$M294=$A$15),$M294&gt;(ROW(PLE.lastrow)-ROW(PLE.firstrow))),0,
           IF(OFFSET(PLE!$G$15,$M294-$A$15,BE$13)="",10^12,OFFSET(PLE!$G$15,$M294-$A$15,BE$13)))</f>
        <v>1000000000000</v>
      </c>
      <c r="BF294" s="173">
        <f ca="1">IF(OR($D294&lt;&gt;"Serviço",AND(AUTOEVENTO="Manual",$M294=$A$15),$M294&gt;(ROW(PLE.lastrow)-ROW(PLE.firstrow))),0,
           IF(OFFSET(PLE!$G$15,$M294-$A$15,BF$13)="",10^12,OFFSET(PLE!$G$15,$M294-$A$15,BF$13)))</f>
        <v>1000000000000</v>
      </c>
      <c r="BG294" s="173">
        <f ca="1">IF(OR($D294&lt;&gt;"Serviço",AND(AUTOEVENTO="Manual",$M294=$A$15),$M294&gt;(ROW(PLE.lastrow)-ROW(PLE.firstrow))),0,
           IF(OFFSET(PLE!$G$15,$M294-$A$15,BG$13)="",10^12,OFFSET(PLE!$G$15,$M294-$A$15,BG$13)))</f>
        <v>1000000000000</v>
      </c>
    </row>
    <row r="295" spans="1:59" ht="38.25" x14ac:dyDescent="0.2">
      <c r="A295" s="7" t="str">
        <f t="shared" ca="1" si="12"/>
        <v>253</v>
      </c>
      <c r="B295" s="7" t="str">
        <f ca="1">OFFSET(ORÇAMENTO!C$15,ROW(B295)-ROW(B$15),0)</f>
        <v>S</v>
      </c>
      <c r="C295" s="7" t="str">
        <f ca="1">OFFSET(ORÇAMENTO!L$15,ROW(C295)-ROW(C$15),0)</f>
        <v/>
      </c>
      <c r="D295" s="117" t="str">
        <f ca="1">OFFSET(ORÇAMENTO!N$15,ROW(D295)-ROW(D$15),0)</f>
        <v>Serviço</v>
      </c>
      <c r="E295" s="118" t="str">
        <f ca="1">OFFSET(ORÇAMENTO!O$15,ROW(E295)-ROW(E$15),0)</f>
        <v>-</v>
      </c>
      <c r="F295" s="164" t="str">
        <f ca="1">OFFSET(ORÇAMENTO!R$15,ROW(F295)-ROW(F$15),0)</f>
        <v>LUVA, EM FERRO GALVANIZADO, CONEXÃO ROSQUEADA, DN 20 (3/4"), INSTALADO EM RAMAIS E SUB-RAMAIS DE GÁS - FORNECIMENTO E INSTALAÇÃO. AF_10/2020</v>
      </c>
      <c r="G295" s="165" t="str">
        <f ca="1">IF($D295&lt;&gt;"Serviço","",OFFSET(ORÇAMENTO!S$15,ROW(G295)-ROW(G$15),0))</f>
        <v>UN</v>
      </c>
      <c r="H295" s="123">
        <f ca="1">IF($D295&lt;&gt;"Serviço",0,IF(ACOMPANHAMENTO="BM",ROUND(OFFSET(ORÇAMENTO!AJ$15,ROW(H295)-ROW(H$15),0),15-13*ORÇAMENTO!$AF$7),SUMPRODUCT(($Q$1:$AA$1=1)*ROUND($Q295:$AA295,15-13*ORÇAMENTO!$AF$7))))</f>
        <v>7</v>
      </c>
      <c r="I295" s="469"/>
      <c r="J295" s="577" t="str" cm="1">
        <f t="array" aca="1" ref="J295" ca="1">IF(B295&lt;&gt;"S","",IF(AND(ACOMPANHAMENTO="PLE",AUTOEVENTO="Manual",OR(H295&gt;0,ORÇAMENTO!AC295="QUANT."),OR(K295="",M295=0,N295="")),"►",IF(AND(ACOMPANHAMENTO="PLE",ORÇAMENTO!AC295="QUANT."),"►►",IF(AND(COUNTIF($P$11:$AA$11,"▼")=0,H295&gt;0,I295=""),"◄",""))))</f>
        <v>◄</v>
      </c>
      <c r="K295" s="626"/>
      <c r="L295" s="166" t="s">
        <v>765</v>
      </c>
      <c r="M295" s="167">
        <f ca="1">IF($D295&lt;&gt;"Serviço","",
          IF(AUTOEVENTO="manual",$A295,
                IF(ISERROR(MATCH($A295,$A$15:OFFSET($A295,-1,0),0)),MAX($M$15:OFFSET(M295,-1,0))+1,
                      INDEX($M$15:OFFSET(M295,-1,0),MATCH($A295,$A$15:OFFSET($A295,-1,0),0)))))</f>
        <v>16</v>
      </c>
      <c r="N295" s="168" t="str">
        <f ca="1">IF($D295&lt;&gt;"Serviço","",
         IF(AUTOEVENTO="Manual",
                IF($A295=0,"&lt;-- defina o número do agrupador",
                       OFFSET(EVENTOS!$D$15,$A295-$A$15,0)),
                OFFSET($F$15,$A295,0)))</f>
        <v>SISTEMAS DE PREVENÇÃO CONTRA INCÊNDIO</v>
      </c>
      <c r="O295" s="169"/>
      <c r="Q295" s="169"/>
      <c r="R295" s="170"/>
      <c r="S295" s="170"/>
      <c r="T295" s="170"/>
      <c r="U295" s="170"/>
      <c r="V295" s="170"/>
      <c r="W295" s="170"/>
      <c r="X295" s="170"/>
      <c r="Y295" s="170"/>
      <c r="Z295" s="171"/>
      <c r="AB295" s="454">
        <f ca="1">IF(AND($D295="Serviço",AB$12&lt;&gt;0,$H295&gt;0,OR(AUTOEVENTO&lt;&gt;"manual",$M295&lt;&gt;$A$15)),
        IF(Import.TipoArredondamento&lt;&gt;"TransfereGOV",
              ROUND(OFFSET($P295,0,AB$13),15-13*ORÇAMENTO!$AF$7)/$H295*OFFSET(ORÇAMENTO!$X$15,ROW(AB295)-ROW(AB$15),0),
              ROUND(ROUND(OFFSET($P295,0,AB$13),15-13*ORÇAMENTO!$AF$7)*OFFSET(ORÇAMENTO!$W$15,ROW(AB295)-ROW(AB$15),0),15-13*ORÇAMENTO!$AF$11)),
         0)</f>
        <v>0</v>
      </c>
      <c r="AC295" s="454">
        <f ca="1">IF(AND($D295="Serviço",AC$12&lt;&gt;0,$H295&gt;0,OR(AUTOEVENTO&lt;&gt;"manual",$M295&lt;&gt;$A$15)),
        IF(Import.TipoArredondamento&lt;&gt;"TransfereGOV",
              ROUND(OFFSET($P295,0,AC$13),15-13*ORÇAMENTO!$AF$7)/$H295*OFFSET(ORÇAMENTO!$X$15,ROW(AC295)-ROW(AC$15),0),
              ROUND(ROUND(OFFSET($P295,0,AC$13),15-13*ORÇAMENTO!$AF$7)*OFFSET(ORÇAMENTO!$W$15,ROW(AC295)-ROW(AC$15),0),15-13*ORÇAMENTO!$AF$11)),
         0)</f>
        <v>0</v>
      </c>
      <c r="AD295" s="454">
        <f ca="1">IF(AND($D295="Serviço",AD$12&lt;&gt;0,$H295&gt;0,OR(AUTOEVENTO&lt;&gt;"manual",$M295&lt;&gt;$A$15)),
        IF(Import.TipoArredondamento&lt;&gt;"TransfereGOV",
              ROUND(OFFSET($P295,0,AD$13),15-13*ORÇAMENTO!$AF$7)/$H295*OFFSET(ORÇAMENTO!$X$15,ROW(AD295)-ROW(AD$15),0),
              ROUND(ROUND(OFFSET($P295,0,AD$13),15-13*ORÇAMENTO!$AF$7)*OFFSET(ORÇAMENTO!$W$15,ROW(AD295)-ROW(AD$15),0),15-13*ORÇAMENTO!$AF$11)),
         0)</f>
        <v>0</v>
      </c>
      <c r="AE295" s="454">
        <f ca="1">IF(AND($D295="Serviço",AE$12&lt;&gt;0,$H295&gt;0,OR(AUTOEVENTO&lt;&gt;"manual",$M295&lt;&gt;$A$15)),
        IF(Import.TipoArredondamento&lt;&gt;"TransfereGOV",
              ROUND(OFFSET($P295,0,AE$13),15-13*ORÇAMENTO!$AF$7)/$H295*OFFSET(ORÇAMENTO!$X$15,ROW(AE295)-ROW(AE$15),0),
              ROUND(ROUND(OFFSET($P295,0,AE$13),15-13*ORÇAMENTO!$AF$7)*OFFSET(ORÇAMENTO!$W$15,ROW(AE295)-ROW(AE$15),0),15-13*ORÇAMENTO!$AF$11)),
         0)</f>
        <v>0</v>
      </c>
      <c r="AF295" s="454">
        <f ca="1">IF(AND($D295="Serviço",AF$12&lt;&gt;0,$H295&gt;0,OR(AUTOEVENTO&lt;&gt;"manual",$M295&lt;&gt;$A$15)),
        IF(Import.TipoArredondamento&lt;&gt;"TransfereGOV",
              ROUND(OFFSET($P295,0,AF$13),15-13*ORÇAMENTO!$AF$7)/$H295*OFFSET(ORÇAMENTO!$X$15,ROW(AF295)-ROW(AF$15),0),
              ROUND(ROUND(OFFSET($P295,0,AF$13),15-13*ORÇAMENTO!$AF$7)*OFFSET(ORÇAMENTO!$W$15,ROW(AF295)-ROW(AF$15),0),15-13*ORÇAMENTO!$AF$11)),
         0)</f>
        <v>0</v>
      </c>
      <c r="AG295" s="454">
        <f ca="1">IF(AND($D295="Serviço",AG$12&lt;&gt;0,$H295&gt;0,OR(AUTOEVENTO&lt;&gt;"manual",$M295&lt;&gt;$A$15)),
        IF(Import.TipoArredondamento&lt;&gt;"TransfereGOV",
              ROUND(OFFSET($P295,0,AG$13),15-13*ORÇAMENTO!$AF$7)/$H295*OFFSET(ORÇAMENTO!$X$15,ROW(AG295)-ROW(AG$15),0),
              ROUND(ROUND(OFFSET($P295,0,AG$13),15-13*ORÇAMENTO!$AF$7)*OFFSET(ORÇAMENTO!$W$15,ROW(AG295)-ROW(AG$15),0),15-13*ORÇAMENTO!$AF$11)),
         0)</f>
        <v>0</v>
      </c>
      <c r="AH295" s="454">
        <f ca="1">IF(AND($D295="Serviço",AH$12&lt;&gt;0,$H295&gt;0,OR(AUTOEVENTO&lt;&gt;"manual",$M295&lt;&gt;$A$15)),
        IF(Import.TipoArredondamento&lt;&gt;"TransfereGOV",
              ROUND(OFFSET($P295,0,AH$13),15-13*ORÇAMENTO!$AF$7)/$H295*OFFSET(ORÇAMENTO!$X$15,ROW(AH295)-ROW(AH$15),0),
              ROUND(ROUND(OFFSET($P295,0,AH$13),15-13*ORÇAMENTO!$AF$7)*OFFSET(ORÇAMENTO!$W$15,ROW(AH295)-ROW(AH$15),0),15-13*ORÇAMENTO!$AF$11)),
         0)</f>
        <v>0</v>
      </c>
      <c r="AI295" s="454">
        <f ca="1">IF(AND($D295="Serviço",AI$12&lt;&gt;0,$H295&gt;0,OR(AUTOEVENTO&lt;&gt;"manual",$M295&lt;&gt;$A$15)),
        IF(Import.TipoArredondamento&lt;&gt;"TransfereGOV",
              ROUND(OFFSET($P295,0,AI$13),15-13*ORÇAMENTO!$AF$7)/$H295*OFFSET(ORÇAMENTO!$X$15,ROW(AI295)-ROW(AI$15),0),
              ROUND(ROUND(OFFSET($P295,0,AI$13),15-13*ORÇAMENTO!$AF$7)*OFFSET(ORÇAMENTO!$W$15,ROW(AI295)-ROW(AI$15),0),15-13*ORÇAMENTO!$AF$11)),
         0)</f>
        <v>0</v>
      </c>
      <c r="AJ295" s="454">
        <f ca="1">IF(AND($D295="Serviço",AJ$12&lt;&gt;0,$H295&gt;0,OR(AUTOEVENTO&lt;&gt;"manual",$M295&lt;&gt;$A$15)),
        IF(Import.TipoArredondamento&lt;&gt;"TransfereGOV",
              ROUND(OFFSET($P295,0,AJ$13),15-13*ORÇAMENTO!$AF$7)/$H295*OFFSET(ORÇAMENTO!$X$15,ROW(AJ295)-ROW(AJ$15),0),
              ROUND(ROUND(OFFSET($P295,0,AJ$13),15-13*ORÇAMENTO!$AF$7)*OFFSET(ORÇAMENTO!$W$15,ROW(AJ295)-ROW(AJ$15),0),15-13*ORÇAMENTO!$AF$11)),
         0)</f>
        <v>0</v>
      </c>
      <c r="AK295" s="454">
        <f ca="1">IF(AND($D295="Serviço",AK$12&lt;&gt;0,$H295&gt;0,OR(AUTOEVENTO&lt;&gt;"manual",$M295&lt;&gt;$A$15)),
        IF(Import.TipoArredondamento&lt;&gt;"TransfereGOV",
              ROUND(OFFSET($P295,0,AK$13),15-13*ORÇAMENTO!$AF$7)/$H295*OFFSET(ORÇAMENTO!$X$15,ROW(AK295)-ROW(AK$15),0),
              ROUND(ROUND(OFFSET($P295,0,AK$13),15-13*ORÇAMENTO!$AF$7)*OFFSET(ORÇAMENTO!$W$15,ROW(AK295)-ROW(AK$15),0),15-13*ORÇAMENTO!$AF$11)),
         0)</f>
        <v>0</v>
      </c>
      <c r="AM295" s="172">
        <f ca="1">IF(OR($D295&lt;&gt;"Serviço",AND(AUTOEVENTO="Manual",$M295=$A$15)),0,
         IF(OFFSET(CRONOPLE!$F$15,$M295-$A$15,AM$13)="",10^12,OFFSET(CRONOPLE!$F$15,$M295-$A$15,AM$13)))</f>
        <v>1000000000000</v>
      </c>
      <c r="AN295" s="172">
        <f ca="1">IF(OR($D295&lt;&gt;"Serviço",AND(AUTOEVENTO="Manual",$M295=$A$15)),0,
         IF(OFFSET(CRONOPLE!$F$15,$M295-$A$15,AN$13)="",10^12,OFFSET(CRONOPLE!$F$15,$M295-$A$15,AN$13)))</f>
        <v>1000000000000</v>
      </c>
      <c r="AO295" s="172">
        <f ca="1">IF(OR($D295&lt;&gt;"Serviço",AND(AUTOEVENTO="Manual",$M295=$A$15)),0,
         IF(OFFSET(CRONOPLE!$F$15,$M295-$A$15,AO$13)="",10^12,OFFSET(CRONOPLE!$F$15,$M295-$A$15,AO$13)))</f>
        <v>1000000000000</v>
      </c>
      <c r="AP295" s="172">
        <f ca="1">IF(OR($D295&lt;&gt;"Serviço",AND(AUTOEVENTO="Manual",$M295=$A$15)),0,
         IF(OFFSET(CRONOPLE!$F$15,$M295-$A$15,AP$13)="",10^12,OFFSET(CRONOPLE!$F$15,$M295-$A$15,AP$13)))</f>
        <v>1000000000000</v>
      </c>
      <c r="AQ295" s="172">
        <f ca="1">IF(OR($D295&lt;&gt;"Serviço",AND(AUTOEVENTO="Manual",$M295=$A$15)),0,
         IF(OFFSET(CRONOPLE!$F$15,$M295-$A$15,AQ$13)="",10^12,OFFSET(CRONOPLE!$F$15,$M295-$A$15,AQ$13)))</f>
        <v>1000000000000</v>
      </c>
      <c r="AR295" s="172">
        <f ca="1">IF(OR($D295&lt;&gt;"Serviço",AND(AUTOEVENTO="Manual",$M295=$A$15)),0,
         IF(OFFSET(CRONOPLE!$F$15,$M295-$A$15,AR$13)="",10^12,OFFSET(CRONOPLE!$F$15,$M295-$A$15,AR$13)))</f>
        <v>1000000000000</v>
      </c>
      <c r="AS295" s="172">
        <f ca="1">IF(OR($D295&lt;&gt;"Serviço",AND(AUTOEVENTO="Manual",$M295=$A$15)),0,
         IF(OFFSET(CRONOPLE!$F$15,$M295-$A$15,AS$13)="",10^12,OFFSET(CRONOPLE!$F$15,$M295-$A$15,AS$13)))</f>
        <v>1000000000000</v>
      </c>
      <c r="AT295" s="172">
        <f ca="1">IF(OR($D295&lt;&gt;"Serviço",AND(AUTOEVENTO="Manual",$M295=$A$15)),0,
         IF(OFFSET(CRONOPLE!$F$15,$M295-$A$15,AT$13)="",10^12,OFFSET(CRONOPLE!$F$15,$M295-$A$15,AT$13)))</f>
        <v>1000000000000</v>
      </c>
      <c r="AU295" s="172">
        <f ca="1">IF(OR($D295&lt;&gt;"Serviço",AND(AUTOEVENTO="Manual",$M295=$A$15)),0,
         IF(OFFSET(CRONOPLE!$F$15,$M295-$A$15,AU$13)="",10^12,OFFSET(CRONOPLE!$F$15,$M295-$A$15,AU$13)))</f>
        <v>1000000000000</v>
      </c>
      <c r="AV295" s="172">
        <f ca="1">IF(OR($D295&lt;&gt;"Serviço",AND(AUTOEVENTO="Manual",$M295=$A$15)),0,
         IF(OFFSET(CRONOPLE!$F$15,$M295-$A$15,AV$13)="",10^12,OFFSET(CRONOPLE!$F$15,$M295-$A$15,AV$13)))</f>
        <v>1000000000000</v>
      </c>
      <c r="AX295" s="173">
        <f ca="1">IF(OR($D295&lt;&gt;"Serviço",AND(AUTOEVENTO="Manual",$M295=$A$15),$M295&gt;(ROW(PLE.lastrow)-ROW(PLE.firstrow))),0,
           IF(OFFSET(PLE!$G$15,$M295-$A$15,AX$13)="",10^12,OFFSET(PLE!$G$15,$M295-$A$15,AX$13)))</f>
        <v>1000000000000</v>
      </c>
      <c r="AY295" s="173">
        <f ca="1">IF(OR($D295&lt;&gt;"Serviço",AND(AUTOEVENTO="Manual",$M295=$A$15),$M295&gt;(ROW(PLE.lastrow)-ROW(PLE.firstrow))),0,
           IF(OFFSET(PLE!$G$15,$M295-$A$15,AY$13)="",10^12,OFFSET(PLE!$G$15,$M295-$A$15,AY$13)))</f>
        <v>1000000000000</v>
      </c>
      <c r="AZ295" s="173">
        <f ca="1">IF(OR($D295&lt;&gt;"Serviço",AND(AUTOEVENTO="Manual",$M295=$A$15),$M295&gt;(ROW(PLE.lastrow)-ROW(PLE.firstrow))),0,
           IF(OFFSET(PLE!$G$15,$M295-$A$15,AZ$13)="",10^12,OFFSET(PLE!$G$15,$M295-$A$15,AZ$13)))</f>
        <v>1000000000000</v>
      </c>
      <c r="BA295" s="173">
        <f ca="1">IF(OR($D295&lt;&gt;"Serviço",AND(AUTOEVENTO="Manual",$M295=$A$15),$M295&gt;(ROW(PLE.lastrow)-ROW(PLE.firstrow))),0,
           IF(OFFSET(PLE!$G$15,$M295-$A$15,BA$13)="",10^12,OFFSET(PLE!$G$15,$M295-$A$15,BA$13)))</f>
        <v>1000000000000</v>
      </c>
      <c r="BB295" s="173">
        <f ca="1">IF(OR($D295&lt;&gt;"Serviço",AND(AUTOEVENTO="Manual",$M295=$A$15),$M295&gt;(ROW(PLE.lastrow)-ROW(PLE.firstrow))),0,
           IF(OFFSET(PLE!$G$15,$M295-$A$15,BB$13)="",10^12,OFFSET(PLE!$G$15,$M295-$A$15,BB$13)))</f>
        <v>1000000000000</v>
      </c>
      <c r="BC295" s="173">
        <f ca="1">IF(OR($D295&lt;&gt;"Serviço",AND(AUTOEVENTO="Manual",$M295=$A$15),$M295&gt;(ROW(PLE.lastrow)-ROW(PLE.firstrow))),0,
           IF(OFFSET(PLE!$G$15,$M295-$A$15,BC$13)="",10^12,OFFSET(PLE!$G$15,$M295-$A$15,BC$13)))</f>
        <v>1000000000000</v>
      </c>
      <c r="BD295" s="173">
        <f ca="1">IF(OR($D295&lt;&gt;"Serviço",AND(AUTOEVENTO="Manual",$M295=$A$15),$M295&gt;(ROW(PLE.lastrow)-ROW(PLE.firstrow))),0,
           IF(OFFSET(PLE!$G$15,$M295-$A$15,BD$13)="",10^12,OFFSET(PLE!$G$15,$M295-$A$15,BD$13)))</f>
        <v>1000000000000</v>
      </c>
      <c r="BE295" s="173">
        <f ca="1">IF(OR($D295&lt;&gt;"Serviço",AND(AUTOEVENTO="Manual",$M295=$A$15),$M295&gt;(ROW(PLE.lastrow)-ROW(PLE.firstrow))),0,
           IF(OFFSET(PLE!$G$15,$M295-$A$15,BE$13)="",10^12,OFFSET(PLE!$G$15,$M295-$A$15,BE$13)))</f>
        <v>1000000000000</v>
      </c>
      <c r="BF295" s="173">
        <f ca="1">IF(OR($D295&lt;&gt;"Serviço",AND(AUTOEVENTO="Manual",$M295=$A$15),$M295&gt;(ROW(PLE.lastrow)-ROW(PLE.firstrow))),0,
           IF(OFFSET(PLE!$G$15,$M295-$A$15,BF$13)="",10^12,OFFSET(PLE!$G$15,$M295-$A$15,BF$13)))</f>
        <v>1000000000000</v>
      </c>
      <c r="BG295" s="173">
        <f ca="1">IF(OR($D295&lt;&gt;"Serviço",AND(AUTOEVENTO="Manual",$M295=$A$15),$M295&gt;(ROW(PLE.lastrow)-ROW(PLE.firstrow))),0,
           IF(OFFSET(PLE!$G$15,$M295-$A$15,BG$13)="",10^12,OFFSET(PLE!$G$15,$M295-$A$15,BG$13)))</f>
        <v>1000000000000</v>
      </c>
    </row>
    <row r="296" spans="1:59" ht="38.25" x14ac:dyDescent="0.2">
      <c r="A296" s="7" t="str">
        <f t="shared" ca="1" si="12"/>
        <v>253</v>
      </c>
      <c r="B296" s="7" t="str">
        <f ca="1">OFFSET(ORÇAMENTO!C$15,ROW(B296)-ROW(B$15),0)</f>
        <v>S</v>
      </c>
      <c r="C296" s="7" t="str">
        <f ca="1">OFFSET(ORÇAMENTO!L$15,ROW(C296)-ROW(C$15),0)</f>
        <v/>
      </c>
      <c r="D296" s="117" t="str">
        <f ca="1">OFFSET(ORÇAMENTO!N$15,ROW(D296)-ROW(D$15),0)</f>
        <v>Serviço</v>
      </c>
      <c r="E296" s="118" t="str">
        <f ca="1">OFFSET(ORÇAMENTO!O$15,ROW(E296)-ROW(E$15),0)</f>
        <v>-</v>
      </c>
      <c r="F296" s="164" t="str">
        <f ca="1">OFFSET(ORÇAMENTO!R$15,ROW(F296)-ROW(F$15),0)</f>
        <v>NIPLE, EM FERRO GALVANIZADO, CONEXÃO ROSQUEADA, DN 20 (3/4"), INSTALADO EM RAMAIS E SUB-RAMAIS DE GÁS - FORNECIMENTO E INSTALAÇÃO. AF_10/2020</v>
      </c>
      <c r="G296" s="165" t="str">
        <f ca="1">IF($D296&lt;&gt;"Serviço","",OFFSET(ORÇAMENTO!S$15,ROW(G296)-ROW(G$15),0))</f>
        <v>UN</v>
      </c>
      <c r="H296" s="123">
        <f ca="1">IF($D296&lt;&gt;"Serviço",0,IF(ACOMPANHAMENTO="BM",ROUND(OFFSET(ORÇAMENTO!AJ$15,ROW(H296)-ROW(H$15),0),15-13*ORÇAMENTO!$AF$7),SUMPRODUCT(($Q$1:$AA$1=1)*ROUND($Q296:$AA296,15-13*ORÇAMENTO!$AF$7))))</f>
        <v>2</v>
      </c>
      <c r="I296" s="469"/>
      <c r="J296" s="577" t="str" cm="1">
        <f t="array" aca="1" ref="J296" ca="1">IF(B296&lt;&gt;"S","",IF(AND(ACOMPANHAMENTO="PLE",AUTOEVENTO="Manual",OR(H296&gt;0,ORÇAMENTO!AC296="QUANT."),OR(K296="",M296=0,N296="")),"►",IF(AND(ACOMPANHAMENTO="PLE",ORÇAMENTO!AC296="QUANT."),"►►",IF(AND(COUNTIF($P$11:$AA$11,"▼")=0,H296&gt;0,I296=""),"◄",""))))</f>
        <v>◄</v>
      </c>
      <c r="K296" s="626"/>
      <c r="L296" s="166" t="s">
        <v>765</v>
      </c>
      <c r="M296" s="167">
        <f ca="1">IF($D296&lt;&gt;"Serviço","",
          IF(AUTOEVENTO="manual",$A296,
                IF(ISERROR(MATCH($A296,$A$15:OFFSET($A296,-1,0),0)),MAX($M$15:OFFSET(M296,-1,0))+1,
                      INDEX($M$15:OFFSET(M296,-1,0),MATCH($A296,$A$15:OFFSET($A296,-1,0),0)))))</f>
        <v>16</v>
      </c>
      <c r="N296" s="168" t="str">
        <f ca="1">IF($D296&lt;&gt;"Serviço","",
         IF(AUTOEVENTO="Manual",
                IF($A296=0,"&lt;-- defina o número do agrupador",
                       OFFSET(EVENTOS!$D$15,$A296-$A$15,0)),
                OFFSET($F$15,$A296,0)))</f>
        <v>SISTEMAS DE PREVENÇÃO CONTRA INCÊNDIO</v>
      </c>
      <c r="O296" s="169"/>
      <c r="Q296" s="169"/>
      <c r="R296" s="170"/>
      <c r="S296" s="170"/>
      <c r="T296" s="170"/>
      <c r="U296" s="170"/>
      <c r="V296" s="170"/>
      <c r="W296" s="170"/>
      <c r="X296" s="170"/>
      <c r="Y296" s="170"/>
      <c r="Z296" s="171"/>
      <c r="AB296" s="454">
        <f ca="1">IF(AND($D296="Serviço",AB$12&lt;&gt;0,$H296&gt;0,OR(AUTOEVENTO&lt;&gt;"manual",$M296&lt;&gt;$A$15)),
        IF(Import.TipoArredondamento&lt;&gt;"TransfereGOV",
              ROUND(OFFSET($P296,0,AB$13),15-13*ORÇAMENTO!$AF$7)/$H296*OFFSET(ORÇAMENTO!$X$15,ROW(AB296)-ROW(AB$15),0),
              ROUND(ROUND(OFFSET($P296,0,AB$13),15-13*ORÇAMENTO!$AF$7)*OFFSET(ORÇAMENTO!$W$15,ROW(AB296)-ROW(AB$15),0),15-13*ORÇAMENTO!$AF$11)),
         0)</f>
        <v>0</v>
      </c>
      <c r="AC296" s="454">
        <f ca="1">IF(AND($D296="Serviço",AC$12&lt;&gt;0,$H296&gt;0,OR(AUTOEVENTO&lt;&gt;"manual",$M296&lt;&gt;$A$15)),
        IF(Import.TipoArredondamento&lt;&gt;"TransfereGOV",
              ROUND(OFFSET($P296,0,AC$13),15-13*ORÇAMENTO!$AF$7)/$H296*OFFSET(ORÇAMENTO!$X$15,ROW(AC296)-ROW(AC$15),0),
              ROUND(ROUND(OFFSET($P296,0,AC$13),15-13*ORÇAMENTO!$AF$7)*OFFSET(ORÇAMENTO!$W$15,ROW(AC296)-ROW(AC$15),0),15-13*ORÇAMENTO!$AF$11)),
         0)</f>
        <v>0</v>
      </c>
      <c r="AD296" s="454">
        <f ca="1">IF(AND($D296="Serviço",AD$12&lt;&gt;0,$H296&gt;0,OR(AUTOEVENTO&lt;&gt;"manual",$M296&lt;&gt;$A$15)),
        IF(Import.TipoArredondamento&lt;&gt;"TransfereGOV",
              ROUND(OFFSET($P296,0,AD$13),15-13*ORÇAMENTO!$AF$7)/$H296*OFFSET(ORÇAMENTO!$X$15,ROW(AD296)-ROW(AD$15),0),
              ROUND(ROUND(OFFSET($P296,0,AD$13),15-13*ORÇAMENTO!$AF$7)*OFFSET(ORÇAMENTO!$W$15,ROW(AD296)-ROW(AD$15),0),15-13*ORÇAMENTO!$AF$11)),
         0)</f>
        <v>0</v>
      </c>
      <c r="AE296" s="454">
        <f ca="1">IF(AND($D296="Serviço",AE$12&lt;&gt;0,$H296&gt;0,OR(AUTOEVENTO&lt;&gt;"manual",$M296&lt;&gt;$A$15)),
        IF(Import.TipoArredondamento&lt;&gt;"TransfereGOV",
              ROUND(OFFSET($P296,0,AE$13),15-13*ORÇAMENTO!$AF$7)/$H296*OFFSET(ORÇAMENTO!$X$15,ROW(AE296)-ROW(AE$15),0),
              ROUND(ROUND(OFFSET($P296,0,AE$13),15-13*ORÇAMENTO!$AF$7)*OFFSET(ORÇAMENTO!$W$15,ROW(AE296)-ROW(AE$15),0),15-13*ORÇAMENTO!$AF$11)),
         0)</f>
        <v>0</v>
      </c>
      <c r="AF296" s="454">
        <f ca="1">IF(AND($D296="Serviço",AF$12&lt;&gt;0,$H296&gt;0,OR(AUTOEVENTO&lt;&gt;"manual",$M296&lt;&gt;$A$15)),
        IF(Import.TipoArredondamento&lt;&gt;"TransfereGOV",
              ROUND(OFFSET($P296,0,AF$13),15-13*ORÇAMENTO!$AF$7)/$H296*OFFSET(ORÇAMENTO!$X$15,ROW(AF296)-ROW(AF$15),0),
              ROUND(ROUND(OFFSET($P296,0,AF$13),15-13*ORÇAMENTO!$AF$7)*OFFSET(ORÇAMENTO!$W$15,ROW(AF296)-ROW(AF$15),0),15-13*ORÇAMENTO!$AF$11)),
         0)</f>
        <v>0</v>
      </c>
      <c r="AG296" s="454">
        <f ca="1">IF(AND($D296="Serviço",AG$12&lt;&gt;0,$H296&gt;0,OR(AUTOEVENTO&lt;&gt;"manual",$M296&lt;&gt;$A$15)),
        IF(Import.TipoArredondamento&lt;&gt;"TransfereGOV",
              ROUND(OFFSET($P296,0,AG$13),15-13*ORÇAMENTO!$AF$7)/$H296*OFFSET(ORÇAMENTO!$X$15,ROW(AG296)-ROW(AG$15),0),
              ROUND(ROUND(OFFSET($P296,0,AG$13),15-13*ORÇAMENTO!$AF$7)*OFFSET(ORÇAMENTO!$W$15,ROW(AG296)-ROW(AG$15),0),15-13*ORÇAMENTO!$AF$11)),
         0)</f>
        <v>0</v>
      </c>
      <c r="AH296" s="454">
        <f ca="1">IF(AND($D296="Serviço",AH$12&lt;&gt;0,$H296&gt;0,OR(AUTOEVENTO&lt;&gt;"manual",$M296&lt;&gt;$A$15)),
        IF(Import.TipoArredondamento&lt;&gt;"TransfereGOV",
              ROUND(OFFSET($P296,0,AH$13),15-13*ORÇAMENTO!$AF$7)/$H296*OFFSET(ORÇAMENTO!$X$15,ROW(AH296)-ROW(AH$15),0),
              ROUND(ROUND(OFFSET($P296,0,AH$13),15-13*ORÇAMENTO!$AF$7)*OFFSET(ORÇAMENTO!$W$15,ROW(AH296)-ROW(AH$15),0),15-13*ORÇAMENTO!$AF$11)),
         0)</f>
        <v>0</v>
      </c>
      <c r="AI296" s="454">
        <f ca="1">IF(AND($D296="Serviço",AI$12&lt;&gt;0,$H296&gt;0,OR(AUTOEVENTO&lt;&gt;"manual",$M296&lt;&gt;$A$15)),
        IF(Import.TipoArredondamento&lt;&gt;"TransfereGOV",
              ROUND(OFFSET($P296,0,AI$13),15-13*ORÇAMENTO!$AF$7)/$H296*OFFSET(ORÇAMENTO!$X$15,ROW(AI296)-ROW(AI$15),0),
              ROUND(ROUND(OFFSET($P296,0,AI$13),15-13*ORÇAMENTO!$AF$7)*OFFSET(ORÇAMENTO!$W$15,ROW(AI296)-ROW(AI$15),0),15-13*ORÇAMENTO!$AF$11)),
         0)</f>
        <v>0</v>
      </c>
      <c r="AJ296" s="454">
        <f ca="1">IF(AND($D296="Serviço",AJ$12&lt;&gt;0,$H296&gt;0,OR(AUTOEVENTO&lt;&gt;"manual",$M296&lt;&gt;$A$15)),
        IF(Import.TipoArredondamento&lt;&gt;"TransfereGOV",
              ROUND(OFFSET($P296,0,AJ$13),15-13*ORÇAMENTO!$AF$7)/$H296*OFFSET(ORÇAMENTO!$X$15,ROW(AJ296)-ROW(AJ$15),0),
              ROUND(ROUND(OFFSET($P296,0,AJ$13),15-13*ORÇAMENTO!$AF$7)*OFFSET(ORÇAMENTO!$W$15,ROW(AJ296)-ROW(AJ$15),0),15-13*ORÇAMENTO!$AF$11)),
         0)</f>
        <v>0</v>
      </c>
      <c r="AK296" s="454">
        <f ca="1">IF(AND($D296="Serviço",AK$12&lt;&gt;0,$H296&gt;0,OR(AUTOEVENTO&lt;&gt;"manual",$M296&lt;&gt;$A$15)),
        IF(Import.TipoArredondamento&lt;&gt;"TransfereGOV",
              ROUND(OFFSET($P296,0,AK$13),15-13*ORÇAMENTO!$AF$7)/$H296*OFFSET(ORÇAMENTO!$X$15,ROW(AK296)-ROW(AK$15),0),
              ROUND(ROUND(OFFSET($P296,0,AK$13),15-13*ORÇAMENTO!$AF$7)*OFFSET(ORÇAMENTO!$W$15,ROW(AK296)-ROW(AK$15),0),15-13*ORÇAMENTO!$AF$11)),
         0)</f>
        <v>0</v>
      </c>
      <c r="AM296" s="172">
        <f ca="1">IF(OR($D296&lt;&gt;"Serviço",AND(AUTOEVENTO="Manual",$M296=$A$15)),0,
         IF(OFFSET(CRONOPLE!$F$15,$M296-$A$15,AM$13)="",10^12,OFFSET(CRONOPLE!$F$15,$M296-$A$15,AM$13)))</f>
        <v>1000000000000</v>
      </c>
      <c r="AN296" s="172">
        <f ca="1">IF(OR($D296&lt;&gt;"Serviço",AND(AUTOEVENTO="Manual",$M296=$A$15)),0,
         IF(OFFSET(CRONOPLE!$F$15,$M296-$A$15,AN$13)="",10^12,OFFSET(CRONOPLE!$F$15,$M296-$A$15,AN$13)))</f>
        <v>1000000000000</v>
      </c>
      <c r="AO296" s="172">
        <f ca="1">IF(OR($D296&lt;&gt;"Serviço",AND(AUTOEVENTO="Manual",$M296=$A$15)),0,
         IF(OFFSET(CRONOPLE!$F$15,$M296-$A$15,AO$13)="",10^12,OFFSET(CRONOPLE!$F$15,$M296-$A$15,AO$13)))</f>
        <v>1000000000000</v>
      </c>
      <c r="AP296" s="172">
        <f ca="1">IF(OR($D296&lt;&gt;"Serviço",AND(AUTOEVENTO="Manual",$M296=$A$15)),0,
         IF(OFFSET(CRONOPLE!$F$15,$M296-$A$15,AP$13)="",10^12,OFFSET(CRONOPLE!$F$15,$M296-$A$15,AP$13)))</f>
        <v>1000000000000</v>
      </c>
      <c r="AQ296" s="172">
        <f ca="1">IF(OR($D296&lt;&gt;"Serviço",AND(AUTOEVENTO="Manual",$M296=$A$15)),0,
         IF(OFFSET(CRONOPLE!$F$15,$M296-$A$15,AQ$13)="",10^12,OFFSET(CRONOPLE!$F$15,$M296-$A$15,AQ$13)))</f>
        <v>1000000000000</v>
      </c>
      <c r="AR296" s="172">
        <f ca="1">IF(OR($D296&lt;&gt;"Serviço",AND(AUTOEVENTO="Manual",$M296=$A$15)),0,
         IF(OFFSET(CRONOPLE!$F$15,$M296-$A$15,AR$13)="",10^12,OFFSET(CRONOPLE!$F$15,$M296-$A$15,AR$13)))</f>
        <v>1000000000000</v>
      </c>
      <c r="AS296" s="172">
        <f ca="1">IF(OR($D296&lt;&gt;"Serviço",AND(AUTOEVENTO="Manual",$M296=$A$15)),0,
         IF(OFFSET(CRONOPLE!$F$15,$M296-$A$15,AS$13)="",10^12,OFFSET(CRONOPLE!$F$15,$M296-$A$15,AS$13)))</f>
        <v>1000000000000</v>
      </c>
      <c r="AT296" s="172">
        <f ca="1">IF(OR($D296&lt;&gt;"Serviço",AND(AUTOEVENTO="Manual",$M296=$A$15)),0,
         IF(OFFSET(CRONOPLE!$F$15,$M296-$A$15,AT$13)="",10^12,OFFSET(CRONOPLE!$F$15,$M296-$A$15,AT$13)))</f>
        <v>1000000000000</v>
      </c>
      <c r="AU296" s="172">
        <f ca="1">IF(OR($D296&lt;&gt;"Serviço",AND(AUTOEVENTO="Manual",$M296=$A$15)),0,
         IF(OFFSET(CRONOPLE!$F$15,$M296-$A$15,AU$13)="",10^12,OFFSET(CRONOPLE!$F$15,$M296-$A$15,AU$13)))</f>
        <v>1000000000000</v>
      </c>
      <c r="AV296" s="172">
        <f ca="1">IF(OR($D296&lt;&gt;"Serviço",AND(AUTOEVENTO="Manual",$M296=$A$15)),0,
         IF(OFFSET(CRONOPLE!$F$15,$M296-$A$15,AV$13)="",10^12,OFFSET(CRONOPLE!$F$15,$M296-$A$15,AV$13)))</f>
        <v>1000000000000</v>
      </c>
      <c r="AX296" s="173">
        <f ca="1">IF(OR($D296&lt;&gt;"Serviço",AND(AUTOEVENTO="Manual",$M296=$A$15),$M296&gt;(ROW(PLE.lastrow)-ROW(PLE.firstrow))),0,
           IF(OFFSET(PLE!$G$15,$M296-$A$15,AX$13)="",10^12,OFFSET(PLE!$G$15,$M296-$A$15,AX$13)))</f>
        <v>1000000000000</v>
      </c>
      <c r="AY296" s="173">
        <f ca="1">IF(OR($D296&lt;&gt;"Serviço",AND(AUTOEVENTO="Manual",$M296=$A$15),$M296&gt;(ROW(PLE.lastrow)-ROW(PLE.firstrow))),0,
           IF(OFFSET(PLE!$G$15,$M296-$A$15,AY$13)="",10^12,OFFSET(PLE!$G$15,$M296-$A$15,AY$13)))</f>
        <v>1000000000000</v>
      </c>
      <c r="AZ296" s="173">
        <f ca="1">IF(OR($D296&lt;&gt;"Serviço",AND(AUTOEVENTO="Manual",$M296=$A$15),$M296&gt;(ROW(PLE.lastrow)-ROW(PLE.firstrow))),0,
           IF(OFFSET(PLE!$G$15,$M296-$A$15,AZ$13)="",10^12,OFFSET(PLE!$G$15,$M296-$A$15,AZ$13)))</f>
        <v>1000000000000</v>
      </c>
      <c r="BA296" s="173">
        <f ca="1">IF(OR($D296&lt;&gt;"Serviço",AND(AUTOEVENTO="Manual",$M296=$A$15),$M296&gt;(ROW(PLE.lastrow)-ROW(PLE.firstrow))),0,
           IF(OFFSET(PLE!$G$15,$M296-$A$15,BA$13)="",10^12,OFFSET(PLE!$G$15,$M296-$A$15,BA$13)))</f>
        <v>1000000000000</v>
      </c>
      <c r="BB296" s="173">
        <f ca="1">IF(OR($D296&lt;&gt;"Serviço",AND(AUTOEVENTO="Manual",$M296=$A$15),$M296&gt;(ROW(PLE.lastrow)-ROW(PLE.firstrow))),0,
           IF(OFFSET(PLE!$G$15,$M296-$A$15,BB$13)="",10^12,OFFSET(PLE!$G$15,$M296-$A$15,BB$13)))</f>
        <v>1000000000000</v>
      </c>
      <c r="BC296" s="173">
        <f ca="1">IF(OR($D296&lt;&gt;"Serviço",AND(AUTOEVENTO="Manual",$M296=$A$15),$M296&gt;(ROW(PLE.lastrow)-ROW(PLE.firstrow))),0,
           IF(OFFSET(PLE!$G$15,$M296-$A$15,BC$13)="",10^12,OFFSET(PLE!$G$15,$M296-$A$15,BC$13)))</f>
        <v>1000000000000</v>
      </c>
      <c r="BD296" s="173">
        <f ca="1">IF(OR($D296&lt;&gt;"Serviço",AND(AUTOEVENTO="Manual",$M296=$A$15),$M296&gt;(ROW(PLE.lastrow)-ROW(PLE.firstrow))),0,
           IF(OFFSET(PLE!$G$15,$M296-$A$15,BD$13)="",10^12,OFFSET(PLE!$G$15,$M296-$A$15,BD$13)))</f>
        <v>1000000000000</v>
      </c>
      <c r="BE296" s="173">
        <f ca="1">IF(OR($D296&lt;&gt;"Serviço",AND(AUTOEVENTO="Manual",$M296=$A$15),$M296&gt;(ROW(PLE.lastrow)-ROW(PLE.firstrow))),0,
           IF(OFFSET(PLE!$G$15,$M296-$A$15,BE$13)="",10^12,OFFSET(PLE!$G$15,$M296-$A$15,BE$13)))</f>
        <v>1000000000000</v>
      </c>
      <c r="BF296" s="173">
        <f ca="1">IF(OR($D296&lt;&gt;"Serviço",AND(AUTOEVENTO="Manual",$M296=$A$15),$M296&gt;(ROW(PLE.lastrow)-ROW(PLE.firstrow))),0,
           IF(OFFSET(PLE!$G$15,$M296-$A$15,BF$13)="",10^12,OFFSET(PLE!$G$15,$M296-$A$15,BF$13)))</f>
        <v>1000000000000</v>
      </c>
      <c r="BG296" s="173">
        <f ca="1">IF(OR($D296&lt;&gt;"Serviço",AND(AUTOEVENTO="Manual",$M296=$A$15),$M296&gt;(ROW(PLE.lastrow)-ROW(PLE.firstrow))),0,
           IF(OFFSET(PLE!$G$15,$M296-$A$15,BG$13)="",10^12,OFFSET(PLE!$G$15,$M296-$A$15,BG$13)))</f>
        <v>1000000000000</v>
      </c>
    </row>
    <row r="297" spans="1:59" ht="38.25" x14ac:dyDescent="0.2">
      <c r="A297" s="7" t="str">
        <f t="shared" ca="1" si="12"/>
        <v>253</v>
      </c>
      <c r="B297" s="7" t="str">
        <f ca="1">OFFSET(ORÇAMENTO!C$15,ROW(B297)-ROW(B$15),0)</f>
        <v>S</v>
      </c>
      <c r="C297" s="7" t="str">
        <f ca="1">OFFSET(ORÇAMENTO!L$15,ROW(C297)-ROW(C$15),0)</f>
        <v/>
      </c>
      <c r="D297" s="117" t="str">
        <f ca="1">OFFSET(ORÇAMENTO!N$15,ROW(D297)-ROW(D$15),0)</f>
        <v>Serviço</v>
      </c>
      <c r="E297" s="118" t="str">
        <f ca="1">OFFSET(ORÇAMENTO!O$15,ROW(E297)-ROW(E$15),0)</f>
        <v>-</v>
      </c>
      <c r="F297" s="164" t="str">
        <f ca="1">OFFSET(ORÇAMENTO!R$15,ROW(F297)-ROW(F$15),0)</f>
        <v>TÊ, EM FERRO GALVANIZADO, CONEXÃO ROSQUEADA, DN 20 (3/4"), INSTALADO EM RAMAIS E SUB-RAMAIS DE GÁS - FORNECIMENTO E INSTALAÇÃO. AF_10/2020</v>
      </c>
      <c r="G297" s="165" t="str">
        <f ca="1">IF($D297&lt;&gt;"Serviço","",OFFSET(ORÇAMENTO!S$15,ROW(G297)-ROW(G$15),0))</f>
        <v>UN</v>
      </c>
      <c r="H297" s="123">
        <f ca="1">IF($D297&lt;&gt;"Serviço",0,IF(ACOMPANHAMENTO="BM",ROUND(OFFSET(ORÇAMENTO!AJ$15,ROW(H297)-ROW(H$15),0),15-13*ORÇAMENTO!$AF$7),SUMPRODUCT(($Q$1:$AA$1=1)*ROUND($Q297:$AA297,15-13*ORÇAMENTO!$AF$7))))</f>
        <v>1</v>
      </c>
      <c r="I297" s="469"/>
      <c r="J297" s="577" t="str" cm="1">
        <f t="array" aca="1" ref="J297" ca="1">IF(B297&lt;&gt;"S","",IF(AND(ACOMPANHAMENTO="PLE",AUTOEVENTO="Manual",OR(H297&gt;0,ORÇAMENTO!AC297="QUANT."),OR(K297="",M297=0,N297="")),"►",IF(AND(ACOMPANHAMENTO="PLE",ORÇAMENTO!AC297="QUANT."),"►►",IF(AND(COUNTIF($P$11:$AA$11,"▼")=0,H297&gt;0,I297=""),"◄",""))))</f>
        <v>◄</v>
      </c>
      <c r="K297" s="626"/>
      <c r="L297" s="166" t="s">
        <v>765</v>
      </c>
      <c r="M297" s="167">
        <f ca="1">IF($D297&lt;&gt;"Serviço","",
          IF(AUTOEVENTO="manual",$A297,
                IF(ISERROR(MATCH($A297,$A$15:OFFSET($A297,-1,0),0)),MAX($M$15:OFFSET(M297,-1,0))+1,
                      INDEX($M$15:OFFSET(M297,-1,0),MATCH($A297,$A$15:OFFSET($A297,-1,0),0)))))</f>
        <v>16</v>
      </c>
      <c r="N297" s="168" t="str">
        <f ca="1">IF($D297&lt;&gt;"Serviço","",
         IF(AUTOEVENTO="Manual",
                IF($A297=0,"&lt;-- defina o número do agrupador",
                       OFFSET(EVENTOS!$D$15,$A297-$A$15,0)),
                OFFSET($F$15,$A297,0)))</f>
        <v>SISTEMAS DE PREVENÇÃO CONTRA INCÊNDIO</v>
      </c>
      <c r="O297" s="169"/>
      <c r="Q297" s="169"/>
      <c r="R297" s="170"/>
      <c r="S297" s="170"/>
      <c r="T297" s="170"/>
      <c r="U297" s="170"/>
      <c r="V297" s="170"/>
      <c r="W297" s="170"/>
      <c r="X297" s="170"/>
      <c r="Y297" s="170"/>
      <c r="Z297" s="171"/>
      <c r="AB297" s="454">
        <f ca="1">IF(AND($D297="Serviço",AB$12&lt;&gt;0,$H297&gt;0,OR(AUTOEVENTO&lt;&gt;"manual",$M297&lt;&gt;$A$15)),
        IF(Import.TipoArredondamento&lt;&gt;"TransfereGOV",
              ROUND(OFFSET($P297,0,AB$13),15-13*ORÇAMENTO!$AF$7)/$H297*OFFSET(ORÇAMENTO!$X$15,ROW(AB297)-ROW(AB$15),0),
              ROUND(ROUND(OFFSET($P297,0,AB$13),15-13*ORÇAMENTO!$AF$7)*OFFSET(ORÇAMENTO!$W$15,ROW(AB297)-ROW(AB$15),0),15-13*ORÇAMENTO!$AF$11)),
         0)</f>
        <v>0</v>
      </c>
      <c r="AC297" s="454">
        <f ca="1">IF(AND($D297="Serviço",AC$12&lt;&gt;0,$H297&gt;0,OR(AUTOEVENTO&lt;&gt;"manual",$M297&lt;&gt;$A$15)),
        IF(Import.TipoArredondamento&lt;&gt;"TransfereGOV",
              ROUND(OFFSET($P297,0,AC$13),15-13*ORÇAMENTO!$AF$7)/$H297*OFFSET(ORÇAMENTO!$X$15,ROW(AC297)-ROW(AC$15),0),
              ROUND(ROUND(OFFSET($P297,0,AC$13),15-13*ORÇAMENTO!$AF$7)*OFFSET(ORÇAMENTO!$W$15,ROW(AC297)-ROW(AC$15),0),15-13*ORÇAMENTO!$AF$11)),
         0)</f>
        <v>0</v>
      </c>
      <c r="AD297" s="454">
        <f ca="1">IF(AND($D297="Serviço",AD$12&lt;&gt;0,$H297&gt;0,OR(AUTOEVENTO&lt;&gt;"manual",$M297&lt;&gt;$A$15)),
        IF(Import.TipoArredondamento&lt;&gt;"TransfereGOV",
              ROUND(OFFSET($P297,0,AD$13),15-13*ORÇAMENTO!$AF$7)/$H297*OFFSET(ORÇAMENTO!$X$15,ROW(AD297)-ROW(AD$15),0),
              ROUND(ROUND(OFFSET($P297,0,AD$13),15-13*ORÇAMENTO!$AF$7)*OFFSET(ORÇAMENTO!$W$15,ROW(AD297)-ROW(AD$15),0),15-13*ORÇAMENTO!$AF$11)),
         0)</f>
        <v>0</v>
      </c>
      <c r="AE297" s="454">
        <f ca="1">IF(AND($D297="Serviço",AE$12&lt;&gt;0,$H297&gt;0,OR(AUTOEVENTO&lt;&gt;"manual",$M297&lt;&gt;$A$15)),
        IF(Import.TipoArredondamento&lt;&gt;"TransfereGOV",
              ROUND(OFFSET($P297,0,AE$13),15-13*ORÇAMENTO!$AF$7)/$H297*OFFSET(ORÇAMENTO!$X$15,ROW(AE297)-ROW(AE$15),0),
              ROUND(ROUND(OFFSET($P297,0,AE$13),15-13*ORÇAMENTO!$AF$7)*OFFSET(ORÇAMENTO!$W$15,ROW(AE297)-ROW(AE$15),0),15-13*ORÇAMENTO!$AF$11)),
         0)</f>
        <v>0</v>
      </c>
      <c r="AF297" s="454">
        <f ca="1">IF(AND($D297="Serviço",AF$12&lt;&gt;0,$H297&gt;0,OR(AUTOEVENTO&lt;&gt;"manual",$M297&lt;&gt;$A$15)),
        IF(Import.TipoArredondamento&lt;&gt;"TransfereGOV",
              ROUND(OFFSET($P297,0,AF$13),15-13*ORÇAMENTO!$AF$7)/$H297*OFFSET(ORÇAMENTO!$X$15,ROW(AF297)-ROW(AF$15),0),
              ROUND(ROUND(OFFSET($P297,0,AF$13),15-13*ORÇAMENTO!$AF$7)*OFFSET(ORÇAMENTO!$W$15,ROW(AF297)-ROW(AF$15),0),15-13*ORÇAMENTO!$AF$11)),
         0)</f>
        <v>0</v>
      </c>
      <c r="AG297" s="454">
        <f ca="1">IF(AND($D297="Serviço",AG$12&lt;&gt;0,$H297&gt;0,OR(AUTOEVENTO&lt;&gt;"manual",$M297&lt;&gt;$A$15)),
        IF(Import.TipoArredondamento&lt;&gt;"TransfereGOV",
              ROUND(OFFSET($P297,0,AG$13),15-13*ORÇAMENTO!$AF$7)/$H297*OFFSET(ORÇAMENTO!$X$15,ROW(AG297)-ROW(AG$15),0),
              ROUND(ROUND(OFFSET($P297,0,AG$13),15-13*ORÇAMENTO!$AF$7)*OFFSET(ORÇAMENTO!$W$15,ROW(AG297)-ROW(AG$15),0),15-13*ORÇAMENTO!$AF$11)),
         0)</f>
        <v>0</v>
      </c>
      <c r="AH297" s="454">
        <f ca="1">IF(AND($D297="Serviço",AH$12&lt;&gt;0,$H297&gt;0,OR(AUTOEVENTO&lt;&gt;"manual",$M297&lt;&gt;$A$15)),
        IF(Import.TipoArredondamento&lt;&gt;"TransfereGOV",
              ROUND(OFFSET($P297,0,AH$13),15-13*ORÇAMENTO!$AF$7)/$H297*OFFSET(ORÇAMENTO!$X$15,ROW(AH297)-ROW(AH$15),0),
              ROUND(ROUND(OFFSET($P297,0,AH$13),15-13*ORÇAMENTO!$AF$7)*OFFSET(ORÇAMENTO!$W$15,ROW(AH297)-ROW(AH$15),0),15-13*ORÇAMENTO!$AF$11)),
         0)</f>
        <v>0</v>
      </c>
      <c r="AI297" s="454">
        <f ca="1">IF(AND($D297="Serviço",AI$12&lt;&gt;0,$H297&gt;0,OR(AUTOEVENTO&lt;&gt;"manual",$M297&lt;&gt;$A$15)),
        IF(Import.TipoArredondamento&lt;&gt;"TransfereGOV",
              ROUND(OFFSET($P297,0,AI$13),15-13*ORÇAMENTO!$AF$7)/$H297*OFFSET(ORÇAMENTO!$X$15,ROW(AI297)-ROW(AI$15),0),
              ROUND(ROUND(OFFSET($P297,0,AI$13),15-13*ORÇAMENTO!$AF$7)*OFFSET(ORÇAMENTO!$W$15,ROW(AI297)-ROW(AI$15),0),15-13*ORÇAMENTO!$AF$11)),
         0)</f>
        <v>0</v>
      </c>
      <c r="AJ297" s="454">
        <f ca="1">IF(AND($D297="Serviço",AJ$12&lt;&gt;0,$H297&gt;0,OR(AUTOEVENTO&lt;&gt;"manual",$M297&lt;&gt;$A$15)),
        IF(Import.TipoArredondamento&lt;&gt;"TransfereGOV",
              ROUND(OFFSET($P297,0,AJ$13),15-13*ORÇAMENTO!$AF$7)/$H297*OFFSET(ORÇAMENTO!$X$15,ROW(AJ297)-ROW(AJ$15),0),
              ROUND(ROUND(OFFSET($P297,0,AJ$13),15-13*ORÇAMENTO!$AF$7)*OFFSET(ORÇAMENTO!$W$15,ROW(AJ297)-ROW(AJ$15),0),15-13*ORÇAMENTO!$AF$11)),
         0)</f>
        <v>0</v>
      </c>
      <c r="AK297" s="454">
        <f ca="1">IF(AND($D297="Serviço",AK$12&lt;&gt;0,$H297&gt;0,OR(AUTOEVENTO&lt;&gt;"manual",$M297&lt;&gt;$A$15)),
        IF(Import.TipoArredondamento&lt;&gt;"TransfereGOV",
              ROUND(OFFSET($P297,0,AK$13),15-13*ORÇAMENTO!$AF$7)/$H297*OFFSET(ORÇAMENTO!$X$15,ROW(AK297)-ROW(AK$15),0),
              ROUND(ROUND(OFFSET($P297,0,AK$13),15-13*ORÇAMENTO!$AF$7)*OFFSET(ORÇAMENTO!$W$15,ROW(AK297)-ROW(AK$15),0),15-13*ORÇAMENTO!$AF$11)),
         0)</f>
        <v>0</v>
      </c>
      <c r="AM297" s="172">
        <f ca="1">IF(OR($D297&lt;&gt;"Serviço",AND(AUTOEVENTO="Manual",$M297=$A$15)),0,
         IF(OFFSET(CRONOPLE!$F$15,$M297-$A$15,AM$13)="",10^12,OFFSET(CRONOPLE!$F$15,$M297-$A$15,AM$13)))</f>
        <v>1000000000000</v>
      </c>
      <c r="AN297" s="172">
        <f ca="1">IF(OR($D297&lt;&gt;"Serviço",AND(AUTOEVENTO="Manual",$M297=$A$15)),0,
         IF(OFFSET(CRONOPLE!$F$15,$M297-$A$15,AN$13)="",10^12,OFFSET(CRONOPLE!$F$15,$M297-$A$15,AN$13)))</f>
        <v>1000000000000</v>
      </c>
      <c r="AO297" s="172">
        <f ca="1">IF(OR($D297&lt;&gt;"Serviço",AND(AUTOEVENTO="Manual",$M297=$A$15)),0,
         IF(OFFSET(CRONOPLE!$F$15,$M297-$A$15,AO$13)="",10^12,OFFSET(CRONOPLE!$F$15,$M297-$A$15,AO$13)))</f>
        <v>1000000000000</v>
      </c>
      <c r="AP297" s="172">
        <f ca="1">IF(OR($D297&lt;&gt;"Serviço",AND(AUTOEVENTO="Manual",$M297=$A$15)),0,
         IF(OFFSET(CRONOPLE!$F$15,$M297-$A$15,AP$13)="",10^12,OFFSET(CRONOPLE!$F$15,$M297-$A$15,AP$13)))</f>
        <v>1000000000000</v>
      </c>
      <c r="AQ297" s="172">
        <f ca="1">IF(OR($D297&lt;&gt;"Serviço",AND(AUTOEVENTO="Manual",$M297=$A$15)),0,
         IF(OFFSET(CRONOPLE!$F$15,$M297-$A$15,AQ$13)="",10^12,OFFSET(CRONOPLE!$F$15,$M297-$A$15,AQ$13)))</f>
        <v>1000000000000</v>
      </c>
      <c r="AR297" s="172">
        <f ca="1">IF(OR($D297&lt;&gt;"Serviço",AND(AUTOEVENTO="Manual",$M297=$A$15)),0,
         IF(OFFSET(CRONOPLE!$F$15,$M297-$A$15,AR$13)="",10^12,OFFSET(CRONOPLE!$F$15,$M297-$A$15,AR$13)))</f>
        <v>1000000000000</v>
      </c>
      <c r="AS297" s="172">
        <f ca="1">IF(OR($D297&lt;&gt;"Serviço",AND(AUTOEVENTO="Manual",$M297=$A$15)),0,
         IF(OFFSET(CRONOPLE!$F$15,$M297-$A$15,AS$13)="",10^12,OFFSET(CRONOPLE!$F$15,$M297-$A$15,AS$13)))</f>
        <v>1000000000000</v>
      </c>
      <c r="AT297" s="172">
        <f ca="1">IF(OR($D297&lt;&gt;"Serviço",AND(AUTOEVENTO="Manual",$M297=$A$15)),0,
         IF(OFFSET(CRONOPLE!$F$15,$M297-$A$15,AT$13)="",10^12,OFFSET(CRONOPLE!$F$15,$M297-$A$15,AT$13)))</f>
        <v>1000000000000</v>
      </c>
      <c r="AU297" s="172">
        <f ca="1">IF(OR($D297&lt;&gt;"Serviço",AND(AUTOEVENTO="Manual",$M297=$A$15)),0,
         IF(OFFSET(CRONOPLE!$F$15,$M297-$A$15,AU$13)="",10^12,OFFSET(CRONOPLE!$F$15,$M297-$A$15,AU$13)))</f>
        <v>1000000000000</v>
      </c>
      <c r="AV297" s="172">
        <f ca="1">IF(OR($D297&lt;&gt;"Serviço",AND(AUTOEVENTO="Manual",$M297=$A$15)),0,
         IF(OFFSET(CRONOPLE!$F$15,$M297-$A$15,AV$13)="",10^12,OFFSET(CRONOPLE!$F$15,$M297-$A$15,AV$13)))</f>
        <v>1000000000000</v>
      </c>
      <c r="AX297" s="173">
        <f ca="1">IF(OR($D297&lt;&gt;"Serviço",AND(AUTOEVENTO="Manual",$M297=$A$15),$M297&gt;(ROW(PLE.lastrow)-ROW(PLE.firstrow))),0,
           IF(OFFSET(PLE!$G$15,$M297-$A$15,AX$13)="",10^12,OFFSET(PLE!$G$15,$M297-$A$15,AX$13)))</f>
        <v>1000000000000</v>
      </c>
      <c r="AY297" s="173">
        <f ca="1">IF(OR($D297&lt;&gt;"Serviço",AND(AUTOEVENTO="Manual",$M297=$A$15),$M297&gt;(ROW(PLE.lastrow)-ROW(PLE.firstrow))),0,
           IF(OFFSET(PLE!$G$15,$M297-$A$15,AY$13)="",10^12,OFFSET(PLE!$G$15,$M297-$A$15,AY$13)))</f>
        <v>1000000000000</v>
      </c>
      <c r="AZ297" s="173">
        <f ca="1">IF(OR($D297&lt;&gt;"Serviço",AND(AUTOEVENTO="Manual",$M297=$A$15),$M297&gt;(ROW(PLE.lastrow)-ROW(PLE.firstrow))),0,
           IF(OFFSET(PLE!$G$15,$M297-$A$15,AZ$13)="",10^12,OFFSET(PLE!$G$15,$M297-$A$15,AZ$13)))</f>
        <v>1000000000000</v>
      </c>
      <c r="BA297" s="173">
        <f ca="1">IF(OR($D297&lt;&gt;"Serviço",AND(AUTOEVENTO="Manual",$M297=$A$15),$M297&gt;(ROW(PLE.lastrow)-ROW(PLE.firstrow))),0,
           IF(OFFSET(PLE!$G$15,$M297-$A$15,BA$13)="",10^12,OFFSET(PLE!$G$15,$M297-$A$15,BA$13)))</f>
        <v>1000000000000</v>
      </c>
      <c r="BB297" s="173">
        <f ca="1">IF(OR($D297&lt;&gt;"Serviço",AND(AUTOEVENTO="Manual",$M297=$A$15),$M297&gt;(ROW(PLE.lastrow)-ROW(PLE.firstrow))),0,
           IF(OFFSET(PLE!$G$15,$M297-$A$15,BB$13)="",10^12,OFFSET(PLE!$G$15,$M297-$A$15,BB$13)))</f>
        <v>1000000000000</v>
      </c>
      <c r="BC297" s="173">
        <f ca="1">IF(OR($D297&lt;&gt;"Serviço",AND(AUTOEVENTO="Manual",$M297=$A$15),$M297&gt;(ROW(PLE.lastrow)-ROW(PLE.firstrow))),0,
           IF(OFFSET(PLE!$G$15,$M297-$A$15,BC$13)="",10^12,OFFSET(PLE!$G$15,$M297-$A$15,BC$13)))</f>
        <v>1000000000000</v>
      </c>
      <c r="BD297" s="173">
        <f ca="1">IF(OR($D297&lt;&gt;"Serviço",AND(AUTOEVENTO="Manual",$M297=$A$15),$M297&gt;(ROW(PLE.lastrow)-ROW(PLE.firstrow))),0,
           IF(OFFSET(PLE!$G$15,$M297-$A$15,BD$13)="",10^12,OFFSET(PLE!$G$15,$M297-$A$15,BD$13)))</f>
        <v>1000000000000</v>
      </c>
      <c r="BE297" s="173">
        <f ca="1">IF(OR($D297&lt;&gt;"Serviço",AND(AUTOEVENTO="Manual",$M297=$A$15),$M297&gt;(ROW(PLE.lastrow)-ROW(PLE.firstrow))),0,
           IF(OFFSET(PLE!$G$15,$M297-$A$15,BE$13)="",10^12,OFFSET(PLE!$G$15,$M297-$A$15,BE$13)))</f>
        <v>1000000000000</v>
      </c>
      <c r="BF297" s="173">
        <f ca="1">IF(OR($D297&lt;&gt;"Serviço",AND(AUTOEVENTO="Manual",$M297=$A$15),$M297&gt;(ROW(PLE.lastrow)-ROW(PLE.firstrow))),0,
           IF(OFFSET(PLE!$G$15,$M297-$A$15,BF$13)="",10^12,OFFSET(PLE!$G$15,$M297-$A$15,BF$13)))</f>
        <v>1000000000000</v>
      </c>
      <c r="BG297" s="173">
        <f ca="1">IF(OR($D297&lt;&gt;"Serviço",AND(AUTOEVENTO="Manual",$M297=$A$15),$M297&gt;(ROW(PLE.lastrow)-ROW(PLE.firstrow))),0,
           IF(OFFSET(PLE!$G$15,$M297-$A$15,BG$13)="",10^12,OFFSET(PLE!$G$15,$M297-$A$15,BG$13)))</f>
        <v>1000000000000</v>
      </c>
    </row>
    <row r="298" spans="1:59" ht="38.25" x14ac:dyDescent="0.2">
      <c r="A298" s="7" t="str">
        <f t="shared" ca="1" si="12"/>
        <v>253</v>
      </c>
      <c r="B298" s="7" t="str">
        <f ca="1">OFFSET(ORÇAMENTO!C$15,ROW(B298)-ROW(B$15),0)</f>
        <v>S</v>
      </c>
      <c r="C298" s="7" t="str">
        <f ca="1">OFFSET(ORÇAMENTO!L$15,ROW(C298)-ROW(C$15),0)</f>
        <v/>
      </c>
      <c r="D298" s="117" t="str">
        <f ca="1">OFFSET(ORÇAMENTO!N$15,ROW(D298)-ROW(D$15),0)</f>
        <v>Serviço</v>
      </c>
      <c r="E298" s="118" t="str">
        <f ca="1">OFFSET(ORÇAMENTO!O$15,ROW(E298)-ROW(E$15),0)</f>
        <v>-</v>
      </c>
      <c r="F298" s="164" t="str">
        <f ca="1">OFFSET(ORÇAMENTO!R$15,ROW(F298)-ROW(F$15),0)</f>
        <v>TUBO DE AÇO GALVANIZADO COM COSTURA, CLASSE MÉDIA, CONEXÃO ROSQUEADA, DN 15 (1/2"), INSTALADO EM RAMAIS E SUB-RAMAIS DE GÁS - FORNECIMENTO E INSTALAÇÃO. AF_10/2020</v>
      </c>
      <c r="G298" s="165" t="str">
        <f ca="1">IF($D298&lt;&gt;"Serviço","",OFFSET(ORÇAMENTO!S$15,ROW(G298)-ROW(G$15),0))</f>
        <v>M</v>
      </c>
      <c r="H298" s="123">
        <f ca="1">IF($D298&lt;&gt;"Serviço",0,IF(ACOMPANHAMENTO="BM",ROUND(OFFSET(ORÇAMENTO!AJ$15,ROW(H298)-ROW(H$15),0),15-13*ORÇAMENTO!$AF$7),SUMPRODUCT(($Q$1:$AA$1=1)*ROUND($Q298:$AA298,15-13*ORÇAMENTO!$AF$7))))</f>
        <v>1.5</v>
      </c>
      <c r="I298" s="469"/>
      <c r="J298" s="577" t="str" cm="1">
        <f t="array" aca="1" ref="J298" ca="1">IF(B298&lt;&gt;"S","",IF(AND(ACOMPANHAMENTO="PLE",AUTOEVENTO="Manual",OR(H298&gt;0,ORÇAMENTO!AC298="QUANT."),OR(K298="",M298=0,N298="")),"►",IF(AND(ACOMPANHAMENTO="PLE",ORÇAMENTO!AC298="QUANT."),"►►",IF(AND(COUNTIF($P$11:$AA$11,"▼")=0,H298&gt;0,I298=""),"◄",""))))</f>
        <v>◄</v>
      </c>
      <c r="K298" s="626"/>
      <c r="L298" s="166" t="s">
        <v>765</v>
      </c>
      <c r="M298" s="167">
        <f ca="1">IF($D298&lt;&gt;"Serviço","",
          IF(AUTOEVENTO="manual",$A298,
                IF(ISERROR(MATCH($A298,$A$15:OFFSET($A298,-1,0),0)),MAX($M$15:OFFSET(M298,-1,0))+1,
                      INDEX($M$15:OFFSET(M298,-1,0),MATCH($A298,$A$15:OFFSET($A298,-1,0),0)))))</f>
        <v>16</v>
      </c>
      <c r="N298" s="168" t="str">
        <f ca="1">IF($D298&lt;&gt;"Serviço","",
         IF(AUTOEVENTO="Manual",
                IF($A298=0,"&lt;-- defina o número do agrupador",
                       OFFSET(EVENTOS!$D$15,$A298-$A$15,0)),
                OFFSET($F$15,$A298,0)))</f>
        <v>SISTEMAS DE PREVENÇÃO CONTRA INCÊNDIO</v>
      </c>
      <c r="O298" s="169"/>
      <c r="Q298" s="169"/>
      <c r="R298" s="170"/>
      <c r="S298" s="170"/>
      <c r="T298" s="170"/>
      <c r="U298" s="170"/>
      <c r="V298" s="170"/>
      <c r="W298" s="170"/>
      <c r="X298" s="170"/>
      <c r="Y298" s="170"/>
      <c r="Z298" s="171"/>
      <c r="AB298" s="454">
        <f ca="1">IF(AND($D298="Serviço",AB$12&lt;&gt;0,$H298&gt;0,OR(AUTOEVENTO&lt;&gt;"manual",$M298&lt;&gt;$A$15)),
        IF(Import.TipoArredondamento&lt;&gt;"TransfereGOV",
              ROUND(OFFSET($P298,0,AB$13),15-13*ORÇAMENTO!$AF$7)/$H298*OFFSET(ORÇAMENTO!$X$15,ROW(AB298)-ROW(AB$15),0),
              ROUND(ROUND(OFFSET($P298,0,AB$13),15-13*ORÇAMENTO!$AF$7)*OFFSET(ORÇAMENTO!$W$15,ROW(AB298)-ROW(AB$15),0),15-13*ORÇAMENTO!$AF$11)),
         0)</f>
        <v>0</v>
      </c>
      <c r="AC298" s="454">
        <f ca="1">IF(AND($D298="Serviço",AC$12&lt;&gt;0,$H298&gt;0,OR(AUTOEVENTO&lt;&gt;"manual",$M298&lt;&gt;$A$15)),
        IF(Import.TipoArredondamento&lt;&gt;"TransfereGOV",
              ROUND(OFFSET($P298,0,AC$13),15-13*ORÇAMENTO!$AF$7)/$H298*OFFSET(ORÇAMENTO!$X$15,ROW(AC298)-ROW(AC$15),0),
              ROUND(ROUND(OFFSET($P298,0,AC$13),15-13*ORÇAMENTO!$AF$7)*OFFSET(ORÇAMENTO!$W$15,ROW(AC298)-ROW(AC$15),0),15-13*ORÇAMENTO!$AF$11)),
         0)</f>
        <v>0</v>
      </c>
      <c r="AD298" s="454">
        <f ca="1">IF(AND($D298="Serviço",AD$12&lt;&gt;0,$H298&gt;0,OR(AUTOEVENTO&lt;&gt;"manual",$M298&lt;&gt;$A$15)),
        IF(Import.TipoArredondamento&lt;&gt;"TransfereGOV",
              ROUND(OFFSET($P298,0,AD$13),15-13*ORÇAMENTO!$AF$7)/$H298*OFFSET(ORÇAMENTO!$X$15,ROW(AD298)-ROW(AD$15),0),
              ROUND(ROUND(OFFSET($P298,0,AD$13),15-13*ORÇAMENTO!$AF$7)*OFFSET(ORÇAMENTO!$W$15,ROW(AD298)-ROW(AD$15),0),15-13*ORÇAMENTO!$AF$11)),
         0)</f>
        <v>0</v>
      </c>
      <c r="AE298" s="454">
        <f ca="1">IF(AND($D298="Serviço",AE$12&lt;&gt;0,$H298&gt;0,OR(AUTOEVENTO&lt;&gt;"manual",$M298&lt;&gt;$A$15)),
        IF(Import.TipoArredondamento&lt;&gt;"TransfereGOV",
              ROUND(OFFSET($P298,0,AE$13),15-13*ORÇAMENTO!$AF$7)/$H298*OFFSET(ORÇAMENTO!$X$15,ROW(AE298)-ROW(AE$15),0),
              ROUND(ROUND(OFFSET($P298,0,AE$13),15-13*ORÇAMENTO!$AF$7)*OFFSET(ORÇAMENTO!$W$15,ROW(AE298)-ROW(AE$15),0),15-13*ORÇAMENTO!$AF$11)),
         0)</f>
        <v>0</v>
      </c>
      <c r="AF298" s="454">
        <f ca="1">IF(AND($D298="Serviço",AF$12&lt;&gt;0,$H298&gt;0,OR(AUTOEVENTO&lt;&gt;"manual",$M298&lt;&gt;$A$15)),
        IF(Import.TipoArredondamento&lt;&gt;"TransfereGOV",
              ROUND(OFFSET($P298,0,AF$13),15-13*ORÇAMENTO!$AF$7)/$H298*OFFSET(ORÇAMENTO!$X$15,ROW(AF298)-ROW(AF$15),0),
              ROUND(ROUND(OFFSET($P298,0,AF$13),15-13*ORÇAMENTO!$AF$7)*OFFSET(ORÇAMENTO!$W$15,ROW(AF298)-ROW(AF$15),0),15-13*ORÇAMENTO!$AF$11)),
         0)</f>
        <v>0</v>
      </c>
      <c r="AG298" s="454">
        <f ca="1">IF(AND($D298="Serviço",AG$12&lt;&gt;0,$H298&gt;0,OR(AUTOEVENTO&lt;&gt;"manual",$M298&lt;&gt;$A$15)),
        IF(Import.TipoArredondamento&lt;&gt;"TransfereGOV",
              ROUND(OFFSET($P298,0,AG$13),15-13*ORÇAMENTO!$AF$7)/$H298*OFFSET(ORÇAMENTO!$X$15,ROW(AG298)-ROW(AG$15),0),
              ROUND(ROUND(OFFSET($P298,0,AG$13),15-13*ORÇAMENTO!$AF$7)*OFFSET(ORÇAMENTO!$W$15,ROW(AG298)-ROW(AG$15),0),15-13*ORÇAMENTO!$AF$11)),
         0)</f>
        <v>0</v>
      </c>
      <c r="AH298" s="454">
        <f ca="1">IF(AND($D298="Serviço",AH$12&lt;&gt;0,$H298&gt;0,OR(AUTOEVENTO&lt;&gt;"manual",$M298&lt;&gt;$A$15)),
        IF(Import.TipoArredondamento&lt;&gt;"TransfereGOV",
              ROUND(OFFSET($P298,0,AH$13),15-13*ORÇAMENTO!$AF$7)/$H298*OFFSET(ORÇAMENTO!$X$15,ROW(AH298)-ROW(AH$15),0),
              ROUND(ROUND(OFFSET($P298,0,AH$13),15-13*ORÇAMENTO!$AF$7)*OFFSET(ORÇAMENTO!$W$15,ROW(AH298)-ROW(AH$15),0),15-13*ORÇAMENTO!$AF$11)),
         0)</f>
        <v>0</v>
      </c>
      <c r="AI298" s="454">
        <f ca="1">IF(AND($D298="Serviço",AI$12&lt;&gt;0,$H298&gt;0,OR(AUTOEVENTO&lt;&gt;"manual",$M298&lt;&gt;$A$15)),
        IF(Import.TipoArredondamento&lt;&gt;"TransfereGOV",
              ROUND(OFFSET($P298,0,AI$13),15-13*ORÇAMENTO!$AF$7)/$H298*OFFSET(ORÇAMENTO!$X$15,ROW(AI298)-ROW(AI$15),0),
              ROUND(ROUND(OFFSET($P298,0,AI$13),15-13*ORÇAMENTO!$AF$7)*OFFSET(ORÇAMENTO!$W$15,ROW(AI298)-ROW(AI$15),0),15-13*ORÇAMENTO!$AF$11)),
         0)</f>
        <v>0</v>
      </c>
      <c r="AJ298" s="454">
        <f ca="1">IF(AND($D298="Serviço",AJ$12&lt;&gt;0,$H298&gt;0,OR(AUTOEVENTO&lt;&gt;"manual",$M298&lt;&gt;$A$15)),
        IF(Import.TipoArredondamento&lt;&gt;"TransfereGOV",
              ROUND(OFFSET($P298,0,AJ$13),15-13*ORÇAMENTO!$AF$7)/$H298*OFFSET(ORÇAMENTO!$X$15,ROW(AJ298)-ROW(AJ$15),0),
              ROUND(ROUND(OFFSET($P298,0,AJ$13),15-13*ORÇAMENTO!$AF$7)*OFFSET(ORÇAMENTO!$W$15,ROW(AJ298)-ROW(AJ$15),0),15-13*ORÇAMENTO!$AF$11)),
         0)</f>
        <v>0</v>
      </c>
      <c r="AK298" s="454">
        <f ca="1">IF(AND($D298="Serviço",AK$12&lt;&gt;0,$H298&gt;0,OR(AUTOEVENTO&lt;&gt;"manual",$M298&lt;&gt;$A$15)),
        IF(Import.TipoArredondamento&lt;&gt;"TransfereGOV",
              ROUND(OFFSET($P298,0,AK$13),15-13*ORÇAMENTO!$AF$7)/$H298*OFFSET(ORÇAMENTO!$X$15,ROW(AK298)-ROW(AK$15),0),
              ROUND(ROUND(OFFSET($P298,0,AK$13),15-13*ORÇAMENTO!$AF$7)*OFFSET(ORÇAMENTO!$W$15,ROW(AK298)-ROW(AK$15),0),15-13*ORÇAMENTO!$AF$11)),
         0)</f>
        <v>0</v>
      </c>
      <c r="AM298" s="172">
        <f ca="1">IF(OR($D298&lt;&gt;"Serviço",AND(AUTOEVENTO="Manual",$M298=$A$15)),0,
         IF(OFFSET(CRONOPLE!$F$15,$M298-$A$15,AM$13)="",10^12,OFFSET(CRONOPLE!$F$15,$M298-$A$15,AM$13)))</f>
        <v>1000000000000</v>
      </c>
      <c r="AN298" s="172">
        <f ca="1">IF(OR($D298&lt;&gt;"Serviço",AND(AUTOEVENTO="Manual",$M298=$A$15)),0,
         IF(OFFSET(CRONOPLE!$F$15,$M298-$A$15,AN$13)="",10^12,OFFSET(CRONOPLE!$F$15,$M298-$A$15,AN$13)))</f>
        <v>1000000000000</v>
      </c>
      <c r="AO298" s="172">
        <f ca="1">IF(OR($D298&lt;&gt;"Serviço",AND(AUTOEVENTO="Manual",$M298=$A$15)),0,
         IF(OFFSET(CRONOPLE!$F$15,$M298-$A$15,AO$13)="",10^12,OFFSET(CRONOPLE!$F$15,$M298-$A$15,AO$13)))</f>
        <v>1000000000000</v>
      </c>
      <c r="AP298" s="172">
        <f ca="1">IF(OR($D298&lt;&gt;"Serviço",AND(AUTOEVENTO="Manual",$M298=$A$15)),0,
         IF(OFFSET(CRONOPLE!$F$15,$M298-$A$15,AP$13)="",10^12,OFFSET(CRONOPLE!$F$15,$M298-$A$15,AP$13)))</f>
        <v>1000000000000</v>
      </c>
      <c r="AQ298" s="172">
        <f ca="1">IF(OR($D298&lt;&gt;"Serviço",AND(AUTOEVENTO="Manual",$M298=$A$15)),0,
         IF(OFFSET(CRONOPLE!$F$15,$M298-$A$15,AQ$13)="",10^12,OFFSET(CRONOPLE!$F$15,$M298-$A$15,AQ$13)))</f>
        <v>1000000000000</v>
      </c>
      <c r="AR298" s="172">
        <f ca="1">IF(OR($D298&lt;&gt;"Serviço",AND(AUTOEVENTO="Manual",$M298=$A$15)),0,
         IF(OFFSET(CRONOPLE!$F$15,$M298-$A$15,AR$13)="",10^12,OFFSET(CRONOPLE!$F$15,$M298-$A$15,AR$13)))</f>
        <v>1000000000000</v>
      </c>
      <c r="AS298" s="172">
        <f ca="1">IF(OR($D298&lt;&gt;"Serviço",AND(AUTOEVENTO="Manual",$M298=$A$15)),0,
         IF(OFFSET(CRONOPLE!$F$15,$M298-$A$15,AS$13)="",10^12,OFFSET(CRONOPLE!$F$15,$M298-$A$15,AS$13)))</f>
        <v>1000000000000</v>
      </c>
      <c r="AT298" s="172">
        <f ca="1">IF(OR($D298&lt;&gt;"Serviço",AND(AUTOEVENTO="Manual",$M298=$A$15)),0,
         IF(OFFSET(CRONOPLE!$F$15,$M298-$A$15,AT$13)="",10^12,OFFSET(CRONOPLE!$F$15,$M298-$A$15,AT$13)))</f>
        <v>1000000000000</v>
      </c>
      <c r="AU298" s="172">
        <f ca="1">IF(OR($D298&lt;&gt;"Serviço",AND(AUTOEVENTO="Manual",$M298=$A$15)),0,
         IF(OFFSET(CRONOPLE!$F$15,$M298-$A$15,AU$13)="",10^12,OFFSET(CRONOPLE!$F$15,$M298-$A$15,AU$13)))</f>
        <v>1000000000000</v>
      </c>
      <c r="AV298" s="172">
        <f ca="1">IF(OR($D298&lt;&gt;"Serviço",AND(AUTOEVENTO="Manual",$M298=$A$15)),0,
         IF(OFFSET(CRONOPLE!$F$15,$M298-$A$15,AV$13)="",10^12,OFFSET(CRONOPLE!$F$15,$M298-$A$15,AV$13)))</f>
        <v>1000000000000</v>
      </c>
      <c r="AX298" s="173">
        <f ca="1">IF(OR($D298&lt;&gt;"Serviço",AND(AUTOEVENTO="Manual",$M298=$A$15),$M298&gt;(ROW(PLE.lastrow)-ROW(PLE.firstrow))),0,
           IF(OFFSET(PLE!$G$15,$M298-$A$15,AX$13)="",10^12,OFFSET(PLE!$G$15,$M298-$A$15,AX$13)))</f>
        <v>1000000000000</v>
      </c>
      <c r="AY298" s="173">
        <f ca="1">IF(OR($D298&lt;&gt;"Serviço",AND(AUTOEVENTO="Manual",$M298=$A$15),$M298&gt;(ROW(PLE.lastrow)-ROW(PLE.firstrow))),0,
           IF(OFFSET(PLE!$G$15,$M298-$A$15,AY$13)="",10^12,OFFSET(PLE!$G$15,$M298-$A$15,AY$13)))</f>
        <v>1000000000000</v>
      </c>
      <c r="AZ298" s="173">
        <f ca="1">IF(OR($D298&lt;&gt;"Serviço",AND(AUTOEVENTO="Manual",$M298=$A$15),$M298&gt;(ROW(PLE.lastrow)-ROW(PLE.firstrow))),0,
           IF(OFFSET(PLE!$G$15,$M298-$A$15,AZ$13)="",10^12,OFFSET(PLE!$G$15,$M298-$A$15,AZ$13)))</f>
        <v>1000000000000</v>
      </c>
      <c r="BA298" s="173">
        <f ca="1">IF(OR($D298&lt;&gt;"Serviço",AND(AUTOEVENTO="Manual",$M298=$A$15),$M298&gt;(ROW(PLE.lastrow)-ROW(PLE.firstrow))),0,
           IF(OFFSET(PLE!$G$15,$M298-$A$15,BA$13)="",10^12,OFFSET(PLE!$G$15,$M298-$A$15,BA$13)))</f>
        <v>1000000000000</v>
      </c>
      <c r="BB298" s="173">
        <f ca="1">IF(OR($D298&lt;&gt;"Serviço",AND(AUTOEVENTO="Manual",$M298=$A$15),$M298&gt;(ROW(PLE.lastrow)-ROW(PLE.firstrow))),0,
           IF(OFFSET(PLE!$G$15,$M298-$A$15,BB$13)="",10^12,OFFSET(PLE!$G$15,$M298-$A$15,BB$13)))</f>
        <v>1000000000000</v>
      </c>
      <c r="BC298" s="173">
        <f ca="1">IF(OR($D298&lt;&gt;"Serviço",AND(AUTOEVENTO="Manual",$M298=$A$15),$M298&gt;(ROW(PLE.lastrow)-ROW(PLE.firstrow))),0,
           IF(OFFSET(PLE!$G$15,$M298-$A$15,BC$13)="",10^12,OFFSET(PLE!$G$15,$M298-$A$15,BC$13)))</f>
        <v>1000000000000</v>
      </c>
      <c r="BD298" s="173">
        <f ca="1">IF(OR($D298&lt;&gt;"Serviço",AND(AUTOEVENTO="Manual",$M298=$A$15),$M298&gt;(ROW(PLE.lastrow)-ROW(PLE.firstrow))),0,
           IF(OFFSET(PLE!$G$15,$M298-$A$15,BD$13)="",10^12,OFFSET(PLE!$G$15,$M298-$A$15,BD$13)))</f>
        <v>1000000000000</v>
      </c>
      <c r="BE298" s="173">
        <f ca="1">IF(OR($D298&lt;&gt;"Serviço",AND(AUTOEVENTO="Manual",$M298=$A$15),$M298&gt;(ROW(PLE.lastrow)-ROW(PLE.firstrow))),0,
           IF(OFFSET(PLE!$G$15,$M298-$A$15,BE$13)="",10^12,OFFSET(PLE!$G$15,$M298-$A$15,BE$13)))</f>
        <v>1000000000000</v>
      </c>
      <c r="BF298" s="173">
        <f ca="1">IF(OR($D298&lt;&gt;"Serviço",AND(AUTOEVENTO="Manual",$M298=$A$15),$M298&gt;(ROW(PLE.lastrow)-ROW(PLE.firstrow))),0,
           IF(OFFSET(PLE!$G$15,$M298-$A$15,BF$13)="",10^12,OFFSET(PLE!$G$15,$M298-$A$15,BF$13)))</f>
        <v>1000000000000</v>
      </c>
      <c r="BG298" s="173">
        <f ca="1">IF(OR($D298&lt;&gt;"Serviço",AND(AUTOEVENTO="Manual",$M298=$A$15),$M298&gt;(ROW(PLE.lastrow)-ROW(PLE.firstrow))),0,
           IF(OFFSET(PLE!$G$15,$M298-$A$15,BG$13)="",10^12,OFFSET(PLE!$G$15,$M298-$A$15,BG$13)))</f>
        <v>1000000000000</v>
      </c>
    </row>
    <row r="299" spans="1:59" ht="38.25" x14ac:dyDescent="0.2">
      <c r="A299" s="7" t="str">
        <f t="shared" ca="1" si="12"/>
        <v>253</v>
      </c>
      <c r="B299" s="7" t="str">
        <f ca="1">OFFSET(ORÇAMENTO!C$15,ROW(B299)-ROW(B$15),0)</f>
        <v>S</v>
      </c>
      <c r="C299" s="7" t="str">
        <f ca="1">OFFSET(ORÇAMENTO!L$15,ROW(C299)-ROW(C$15),0)</f>
        <v/>
      </c>
      <c r="D299" s="117" t="str">
        <f ca="1">OFFSET(ORÇAMENTO!N$15,ROW(D299)-ROW(D$15),0)</f>
        <v>Serviço</v>
      </c>
      <c r="E299" s="118" t="str">
        <f ca="1">OFFSET(ORÇAMENTO!O$15,ROW(E299)-ROW(E$15),0)</f>
        <v>-</v>
      </c>
      <c r="F299" s="164" t="str">
        <f ca="1">OFFSET(ORÇAMENTO!R$15,ROW(F299)-ROW(F$15),0)</f>
        <v>TUBO DE AÇO GALVANIZADO COM COSTURA, CLASSE MÉDIA, CONEXÃO ROSQUEADA, DN 20 (3/4"), INSTALADO EM RAMAIS E SUB-RAMAIS DE GÁS - FORNECIMENTO E INSTALAÇÃO. AF_10/2020</v>
      </c>
      <c r="G299" s="165" t="str">
        <f ca="1">IF($D299&lt;&gt;"Serviço","",OFFSET(ORÇAMENTO!S$15,ROW(G299)-ROW(G$15),0))</f>
        <v>M</v>
      </c>
      <c r="H299" s="123">
        <f ca="1">IF($D299&lt;&gt;"Serviço",0,IF(ACOMPANHAMENTO="BM",ROUND(OFFSET(ORÇAMENTO!AJ$15,ROW(H299)-ROW(H$15),0),15-13*ORÇAMENTO!$AF$7),SUMPRODUCT(($Q$1:$AA$1=1)*ROUND($Q299:$AA299,15-13*ORÇAMENTO!$AF$7))))</f>
        <v>68.5</v>
      </c>
      <c r="I299" s="469"/>
      <c r="J299" s="577" t="str" cm="1">
        <f t="array" aca="1" ref="J299" ca="1">IF(B299&lt;&gt;"S","",IF(AND(ACOMPANHAMENTO="PLE",AUTOEVENTO="Manual",OR(H299&gt;0,ORÇAMENTO!AC299="QUANT."),OR(K299="",M299=0,N299="")),"►",IF(AND(ACOMPANHAMENTO="PLE",ORÇAMENTO!AC299="QUANT."),"►►",IF(AND(COUNTIF($P$11:$AA$11,"▼")=0,H299&gt;0,I299=""),"◄",""))))</f>
        <v>◄</v>
      </c>
      <c r="K299" s="626"/>
      <c r="L299" s="166" t="s">
        <v>765</v>
      </c>
      <c r="M299" s="167">
        <f ca="1">IF($D299&lt;&gt;"Serviço","",
          IF(AUTOEVENTO="manual",$A299,
                IF(ISERROR(MATCH($A299,$A$15:OFFSET($A299,-1,0),0)),MAX($M$15:OFFSET(M299,-1,0))+1,
                      INDEX($M$15:OFFSET(M299,-1,0),MATCH($A299,$A$15:OFFSET($A299,-1,0),0)))))</f>
        <v>16</v>
      </c>
      <c r="N299" s="168" t="str">
        <f ca="1">IF($D299&lt;&gt;"Serviço","",
         IF(AUTOEVENTO="Manual",
                IF($A299=0,"&lt;-- defina o número do agrupador",
                       OFFSET(EVENTOS!$D$15,$A299-$A$15,0)),
                OFFSET($F$15,$A299,0)))</f>
        <v>SISTEMAS DE PREVENÇÃO CONTRA INCÊNDIO</v>
      </c>
      <c r="O299" s="169"/>
      <c r="Q299" s="169"/>
      <c r="R299" s="170"/>
      <c r="S299" s="170"/>
      <c r="T299" s="170"/>
      <c r="U299" s="170"/>
      <c r="V299" s="170"/>
      <c r="W299" s="170"/>
      <c r="X299" s="170"/>
      <c r="Y299" s="170"/>
      <c r="Z299" s="171"/>
      <c r="AB299" s="454">
        <f ca="1">IF(AND($D299="Serviço",AB$12&lt;&gt;0,$H299&gt;0,OR(AUTOEVENTO&lt;&gt;"manual",$M299&lt;&gt;$A$15)),
        IF(Import.TipoArredondamento&lt;&gt;"TransfereGOV",
              ROUND(OFFSET($P299,0,AB$13),15-13*ORÇAMENTO!$AF$7)/$H299*OFFSET(ORÇAMENTO!$X$15,ROW(AB299)-ROW(AB$15),0),
              ROUND(ROUND(OFFSET($P299,0,AB$13),15-13*ORÇAMENTO!$AF$7)*OFFSET(ORÇAMENTO!$W$15,ROW(AB299)-ROW(AB$15),0),15-13*ORÇAMENTO!$AF$11)),
         0)</f>
        <v>0</v>
      </c>
      <c r="AC299" s="454">
        <f ca="1">IF(AND($D299="Serviço",AC$12&lt;&gt;0,$H299&gt;0,OR(AUTOEVENTO&lt;&gt;"manual",$M299&lt;&gt;$A$15)),
        IF(Import.TipoArredondamento&lt;&gt;"TransfereGOV",
              ROUND(OFFSET($P299,0,AC$13),15-13*ORÇAMENTO!$AF$7)/$H299*OFFSET(ORÇAMENTO!$X$15,ROW(AC299)-ROW(AC$15),0),
              ROUND(ROUND(OFFSET($P299,0,AC$13),15-13*ORÇAMENTO!$AF$7)*OFFSET(ORÇAMENTO!$W$15,ROW(AC299)-ROW(AC$15),0),15-13*ORÇAMENTO!$AF$11)),
         0)</f>
        <v>0</v>
      </c>
      <c r="AD299" s="454">
        <f ca="1">IF(AND($D299="Serviço",AD$12&lt;&gt;0,$H299&gt;0,OR(AUTOEVENTO&lt;&gt;"manual",$M299&lt;&gt;$A$15)),
        IF(Import.TipoArredondamento&lt;&gt;"TransfereGOV",
              ROUND(OFFSET($P299,0,AD$13),15-13*ORÇAMENTO!$AF$7)/$H299*OFFSET(ORÇAMENTO!$X$15,ROW(AD299)-ROW(AD$15),0),
              ROUND(ROUND(OFFSET($P299,0,AD$13),15-13*ORÇAMENTO!$AF$7)*OFFSET(ORÇAMENTO!$W$15,ROW(AD299)-ROW(AD$15),0),15-13*ORÇAMENTO!$AF$11)),
         0)</f>
        <v>0</v>
      </c>
      <c r="AE299" s="454">
        <f ca="1">IF(AND($D299="Serviço",AE$12&lt;&gt;0,$H299&gt;0,OR(AUTOEVENTO&lt;&gt;"manual",$M299&lt;&gt;$A$15)),
        IF(Import.TipoArredondamento&lt;&gt;"TransfereGOV",
              ROUND(OFFSET($P299,0,AE$13),15-13*ORÇAMENTO!$AF$7)/$H299*OFFSET(ORÇAMENTO!$X$15,ROW(AE299)-ROW(AE$15),0),
              ROUND(ROUND(OFFSET($P299,0,AE$13),15-13*ORÇAMENTO!$AF$7)*OFFSET(ORÇAMENTO!$W$15,ROW(AE299)-ROW(AE$15),0),15-13*ORÇAMENTO!$AF$11)),
         0)</f>
        <v>0</v>
      </c>
      <c r="AF299" s="454">
        <f ca="1">IF(AND($D299="Serviço",AF$12&lt;&gt;0,$H299&gt;0,OR(AUTOEVENTO&lt;&gt;"manual",$M299&lt;&gt;$A$15)),
        IF(Import.TipoArredondamento&lt;&gt;"TransfereGOV",
              ROUND(OFFSET($P299,0,AF$13),15-13*ORÇAMENTO!$AF$7)/$H299*OFFSET(ORÇAMENTO!$X$15,ROW(AF299)-ROW(AF$15),0),
              ROUND(ROUND(OFFSET($P299,0,AF$13),15-13*ORÇAMENTO!$AF$7)*OFFSET(ORÇAMENTO!$W$15,ROW(AF299)-ROW(AF$15),0),15-13*ORÇAMENTO!$AF$11)),
         0)</f>
        <v>0</v>
      </c>
      <c r="AG299" s="454">
        <f ca="1">IF(AND($D299="Serviço",AG$12&lt;&gt;0,$H299&gt;0,OR(AUTOEVENTO&lt;&gt;"manual",$M299&lt;&gt;$A$15)),
        IF(Import.TipoArredondamento&lt;&gt;"TransfereGOV",
              ROUND(OFFSET($P299,0,AG$13),15-13*ORÇAMENTO!$AF$7)/$H299*OFFSET(ORÇAMENTO!$X$15,ROW(AG299)-ROW(AG$15),0),
              ROUND(ROUND(OFFSET($P299,0,AG$13),15-13*ORÇAMENTO!$AF$7)*OFFSET(ORÇAMENTO!$W$15,ROW(AG299)-ROW(AG$15),0),15-13*ORÇAMENTO!$AF$11)),
         0)</f>
        <v>0</v>
      </c>
      <c r="AH299" s="454">
        <f ca="1">IF(AND($D299="Serviço",AH$12&lt;&gt;0,$H299&gt;0,OR(AUTOEVENTO&lt;&gt;"manual",$M299&lt;&gt;$A$15)),
        IF(Import.TipoArredondamento&lt;&gt;"TransfereGOV",
              ROUND(OFFSET($P299,0,AH$13),15-13*ORÇAMENTO!$AF$7)/$H299*OFFSET(ORÇAMENTO!$X$15,ROW(AH299)-ROW(AH$15),0),
              ROUND(ROUND(OFFSET($P299,0,AH$13),15-13*ORÇAMENTO!$AF$7)*OFFSET(ORÇAMENTO!$W$15,ROW(AH299)-ROW(AH$15),0),15-13*ORÇAMENTO!$AF$11)),
         0)</f>
        <v>0</v>
      </c>
      <c r="AI299" s="454">
        <f ca="1">IF(AND($D299="Serviço",AI$12&lt;&gt;0,$H299&gt;0,OR(AUTOEVENTO&lt;&gt;"manual",$M299&lt;&gt;$A$15)),
        IF(Import.TipoArredondamento&lt;&gt;"TransfereGOV",
              ROUND(OFFSET($P299,0,AI$13),15-13*ORÇAMENTO!$AF$7)/$H299*OFFSET(ORÇAMENTO!$X$15,ROW(AI299)-ROW(AI$15),0),
              ROUND(ROUND(OFFSET($P299,0,AI$13),15-13*ORÇAMENTO!$AF$7)*OFFSET(ORÇAMENTO!$W$15,ROW(AI299)-ROW(AI$15),0),15-13*ORÇAMENTO!$AF$11)),
         0)</f>
        <v>0</v>
      </c>
      <c r="AJ299" s="454">
        <f ca="1">IF(AND($D299="Serviço",AJ$12&lt;&gt;0,$H299&gt;0,OR(AUTOEVENTO&lt;&gt;"manual",$M299&lt;&gt;$A$15)),
        IF(Import.TipoArredondamento&lt;&gt;"TransfereGOV",
              ROUND(OFFSET($P299,0,AJ$13),15-13*ORÇAMENTO!$AF$7)/$H299*OFFSET(ORÇAMENTO!$X$15,ROW(AJ299)-ROW(AJ$15),0),
              ROUND(ROUND(OFFSET($P299,0,AJ$13),15-13*ORÇAMENTO!$AF$7)*OFFSET(ORÇAMENTO!$W$15,ROW(AJ299)-ROW(AJ$15),0),15-13*ORÇAMENTO!$AF$11)),
         0)</f>
        <v>0</v>
      </c>
      <c r="AK299" s="454">
        <f ca="1">IF(AND($D299="Serviço",AK$12&lt;&gt;0,$H299&gt;0,OR(AUTOEVENTO&lt;&gt;"manual",$M299&lt;&gt;$A$15)),
        IF(Import.TipoArredondamento&lt;&gt;"TransfereGOV",
              ROUND(OFFSET($P299,0,AK$13),15-13*ORÇAMENTO!$AF$7)/$H299*OFFSET(ORÇAMENTO!$X$15,ROW(AK299)-ROW(AK$15),0),
              ROUND(ROUND(OFFSET($P299,0,AK$13),15-13*ORÇAMENTO!$AF$7)*OFFSET(ORÇAMENTO!$W$15,ROW(AK299)-ROW(AK$15),0),15-13*ORÇAMENTO!$AF$11)),
         0)</f>
        <v>0</v>
      </c>
      <c r="AM299" s="172">
        <f ca="1">IF(OR($D299&lt;&gt;"Serviço",AND(AUTOEVENTO="Manual",$M299=$A$15)),0,
         IF(OFFSET(CRONOPLE!$F$15,$M299-$A$15,AM$13)="",10^12,OFFSET(CRONOPLE!$F$15,$M299-$A$15,AM$13)))</f>
        <v>1000000000000</v>
      </c>
      <c r="AN299" s="172">
        <f ca="1">IF(OR($D299&lt;&gt;"Serviço",AND(AUTOEVENTO="Manual",$M299=$A$15)),0,
         IF(OFFSET(CRONOPLE!$F$15,$M299-$A$15,AN$13)="",10^12,OFFSET(CRONOPLE!$F$15,$M299-$A$15,AN$13)))</f>
        <v>1000000000000</v>
      </c>
      <c r="AO299" s="172">
        <f ca="1">IF(OR($D299&lt;&gt;"Serviço",AND(AUTOEVENTO="Manual",$M299=$A$15)),0,
         IF(OFFSET(CRONOPLE!$F$15,$M299-$A$15,AO$13)="",10^12,OFFSET(CRONOPLE!$F$15,$M299-$A$15,AO$13)))</f>
        <v>1000000000000</v>
      </c>
      <c r="AP299" s="172">
        <f ca="1">IF(OR($D299&lt;&gt;"Serviço",AND(AUTOEVENTO="Manual",$M299=$A$15)),0,
         IF(OFFSET(CRONOPLE!$F$15,$M299-$A$15,AP$13)="",10^12,OFFSET(CRONOPLE!$F$15,$M299-$A$15,AP$13)))</f>
        <v>1000000000000</v>
      </c>
      <c r="AQ299" s="172">
        <f ca="1">IF(OR($D299&lt;&gt;"Serviço",AND(AUTOEVENTO="Manual",$M299=$A$15)),0,
         IF(OFFSET(CRONOPLE!$F$15,$M299-$A$15,AQ$13)="",10^12,OFFSET(CRONOPLE!$F$15,$M299-$A$15,AQ$13)))</f>
        <v>1000000000000</v>
      </c>
      <c r="AR299" s="172">
        <f ca="1">IF(OR($D299&lt;&gt;"Serviço",AND(AUTOEVENTO="Manual",$M299=$A$15)),0,
         IF(OFFSET(CRONOPLE!$F$15,$M299-$A$15,AR$13)="",10^12,OFFSET(CRONOPLE!$F$15,$M299-$A$15,AR$13)))</f>
        <v>1000000000000</v>
      </c>
      <c r="AS299" s="172">
        <f ca="1">IF(OR($D299&lt;&gt;"Serviço",AND(AUTOEVENTO="Manual",$M299=$A$15)),0,
         IF(OFFSET(CRONOPLE!$F$15,$M299-$A$15,AS$13)="",10^12,OFFSET(CRONOPLE!$F$15,$M299-$A$15,AS$13)))</f>
        <v>1000000000000</v>
      </c>
      <c r="AT299" s="172">
        <f ca="1">IF(OR($D299&lt;&gt;"Serviço",AND(AUTOEVENTO="Manual",$M299=$A$15)),0,
         IF(OFFSET(CRONOPLE!$F$15,$M299-$A$15,AT$13)="",10^12,OFFSET(CRONOPLE!$F$15,$M299-$A$15,AT$13)))</f>
        <v>1000000000000</v>
      </c>
      <c r="AU299" s="172">
        <f ca="1">IF(OR($D299&lt;&gt;"Serviço",AND(AUTOEVENTO="Manual",$M299=$A$15)),0,
         IF(OFFSET(CRONOPLE!$F$15,$M299-$A$15,AU$13)="",10^12,OFFSET(CRONOPLE!$F$15,$M299-$A$15,AU$13)))</f>
        <v>1000000000000</v>
      </c>
      <c r="AV299" s="172">
        <f ca="1">IF(OR($D299&lt;&gt;"Serviço",AND(AUTOEVENTO="Manual",$M299=$A$15)),0,
         IF(OFFSET(CRONOPLE!$F$15,$M299-$A$15,AV$13)="",10^12,OFFSET(CRONOPLE!$F$15,$M299-$A$15,AV$13)))</f>
        <v>1000000000000</v>
      </c>
      <c r="AX299" s="173">
        <f ca="1">IF(OR($D299&lt;&gt;"Serviço",AND(AUTOEVENTO="Manual",$M299=$A$15),$M299&gt;(ROW(PLE.lastrow)-ROW(PLE.firstrow))),0,
           IF(OFFSET(PLE!$G$15,$M299-$A$15,AX$13)="",10^12,OFFSET(PLE!$G$15,$M299-$A$15,AX$13)))</f>
        <v>1000000000000</v>
      </c>
      <c r="AY299" s="173">
        <f ca="1">IF(OR($D299&lt;&gt;"Serviço",AND(AUTOEVENTO="Manual",$M299=$A$15),$M299&gt;(ROW(PLE.lastrow)-ROW(PLE.firstrow))),0,
           IF(OFFSET(PLE!$G$15,$M299-$A$15,AY$13)="",10^12,OFFSET(PLE!$G$15,$M299-$A$15,AY$13)))</f>
        <v>1000000000000</v>
      </c>
      <c r="AZ299" s="173">
        <f ca="1">IF(OR($D299&lt;&gt;"Serviço",AND(AUTOEVENTO="Manual",$M299=$A$15),$M299&gt;(ROW(PLE.lastrow)-ROW(PLE.firstrow))),0,
           IF(OFFSET(PLE!$G$15,$M299-$A$15,AZ$13)="",10^12,OFFSET(PLE!$G$15,$M299-$A$15,AZ$13)))</f>
        <v>1000000000000</v>
      </c>
      <c r="BA299" s="173">
        <f ca="1">IF(OR($D299&lt;&gt;"Serviço",AND(AUTOEVENTO="Manual",$M299=$A$15),$M299&gt;(ROW(PLE.lastrow)-ROW(PLE.firstrow))),0,
           IF(OFFSET(PLE!$G$15,$M299-$A$15,BA$13)="",10^12,OFFSET(PLE!$G$15,$M299-$A$15,BA$13)))</f>
        <v>1000000000000</v>
      </c>
      <c r="BB299" s="173">
        <f ca="1">IF(OR($D299&lt;&gt;"Serviço",AND(AUTOEVENTO="Manual",$M299=$A$15),$M299&gt;(ROW(PLE.lastrow)-ROW(PLE.firstrow))),0,
           IF(OFFSET(PLE!$G$15,$M299-$A$15,BB$13)="",10^12,OFFSET(PLE!$G$15,$M299-$A$15,BB$13)))</f>
        <v>1000000000000</v>
      </c>
      <c r="BC299" s="173">
        <f ca="1">IF(OR($D299&lt;&gt;"Serviço",AND(AUTOEVENTO="Manual",$M299=$A$15),$M299&gt;(ROW(PLE.lastrow)-ROW(PLE.firstrow))),0,
           IF(OFFSET(PLE!$G$15,$M299-$A$15,BC$13)="",10^12,OFFSET(PLE!$G$15,$M299-$A$15,BC$13)))</f>
        <v>1000000000000</v>
      </c>
      <c r="BD299" s="173">
        <f ca="1">IF(OR($D299&lt;&gt;"Serviço",AND(AUTOEVENTO="Manual",$M299=$A$15),$M299&gt;(ROW(PLE.lastrow)-ROW(PLE.firstrow))),0,
           IF(OFFSET(PLE!$G$15,$M299-$A$15,BD$13)="",10^12,OFFSET(PLE!$G$15,$M299-$A$15,BD$13)))</f>
        <v>1000000000000</v>
      </c>
      <c r="BE299" s="173">
        <f ca="1">IF(OR($D299&lt;&gt;"Serviço",AND(AUTOEVENTO="Manual",$M299=$A$15),$M299&gt;(ROW(PLE.lastrow)-ROW(PLE.firstrow))),0,
           IF(OFFSET(PLE!$G$15,$M299-$A$15,BE$13)="",10^12,OFFSET(PLE!$G$15,$M299-$A$15,BE$13)))</f>
        <v>1000000000000</v>
      </c>
      <c r="BF299" s="173">
        <f ca="1">IF(OR($D299&lt;&gt;"Serviço",AND(AUTOEVENTO="Manual",$M299=$A$15),$M299&gt;(ROW(PLE.lastrow)-ROW(PLE.firstrow))),0,
           IF(OFFSET(PLE!$G$15,$M299-$A$15,BF$13)="",10^12,OFFSET(PLE!$G$15,$M299-$A$15,BF$13)))</f>
        <v>1000000000000</v>
      </c>
      <c r="BG299" s="173">
        <f ca="1">IF(OR($D299&lt;&gt;"Serviço",AND(AUTOEVENTO="Manual",$M299=$A$15),$M299&gt;(ROW(PLE.lastrow)-ROW(PLE.firstrow))),0,
           IF(OFFSET(PLE!$G$15,$M299-$A$15,BG$13)="",10^12,OFFSET(PLE!$G$15,$M299-$A$15,BG$13)))</f>
        <v>1000000000000</v>
      </c>
    </row>
    <row r="300" spans="1:59" ht="25.5" x14ac:dyDescent="0.2">
      <c r="A300" s="7" t="str">
        <f t="shared" ca="1" si="12"/>
        <v>253</v>
      </c>
      <c r="B300" s="7" t="str">
        <f ca="1">OFFSET(ORÇAMENTO!C$15,ROW(B300)-ROW(B$15),0)</f>
        <v>S</v>
      </c>
      <c r="C300" s="7" t="str">
        <f ca="1">OFFSET(ORÇAMENTO!L$15,ROW(C300)-ROW(C$15),0)</f>
        <v/>
      </c>
      <c r="D300" s="117" t="str">
        <f ca="1">OFFSET(ORÇAMENTO!N$15,ROW(D300)-ROW(D$15),0)</f>
        <v>Serviço</v>
      </c>
      <c r="E300" s="118" t="str">
        <f ca="1">OFFSET(ORÇAMENTO!O$15,ROW(E300)-ROW(E$15),0)</f>
        <v>-</v>
      </c>
      <c r="F300" s="164" t="str">
        <f ca="1">OFFSET(ORÇAMENTO!R$15,ROW(F300)-ROW(F$15),0)</f>
        <v>REGISTRO OU REGULADOR DE GÁS DE COZINHA - FORNECIMENTO E INSTALAÇÃO. AF_08/2021</v>
      </c>
      <c r="G300" s="165" t="str">
        <f ca="1">IF($D300&lt;&gt;"Serviço","",OFFSET(ORÇAMENTO!S$15,ROW(G300)-ROW(G$15),0))</f>
        <v>UN</v>
      </c>
      <c r="H300" s="123">
        <f ca="1">IF($D300&lt;&gt;"Serviço",0,IF(ACOMPANHAMENTO="BM",ROUND(OFFSET(ORÇAMENTO!AJ$15,ROW(H300)-ROW(H$15),0),15-13*ORÇAMENTO!$AF$7),SUMPRODUCT(($Q$1:$AA$1=1)*ROUND($Q300:$AA300,15-13*ORÇAMENTO!$AF$7))))</f>
        <v>2</v>
      </c>
      <c r="I300" s="469"/>
      <c r="J300" s="577" t="str" cm="1">
        <f t="array" aca="1" ref="J300" ca="1">IF(B300&lt;&gt;"S","",IF(AND(ACOMPANHAMENTO="PLE",AUTOEVENTO="Manual",OR(H300&gt;0,ORÇAMENTO!AC300="QUANT."),OR(K300="",M300=0,N300="")),"►",IF(AND(ACOMPANHAMENTO="PLE",ORÇAMENTO!AC300="QUANT."),"►►",IF(AND(COUNTIF($P$11:$AA$11,"▼")=0,H300&gt;0,I300=""),"◄",""))))</f>
        <v>◄</v>
      </c>
      <c r="K300" s="626"/>
      <c r="L300" s="166" t="s">
        <v>765</v>
      </c>
      <c r="M300" s="167">
        <f ca="1">IF($D300&lt;&gt;"Serviço","",
          IF(AUTOEVENTO="manual",$A300,
                IF(ISERROR(MATCH($A300,$A$15:OFFSET($A300,-1,0),0)),MAX($M$15:OFFSET(M300,-1,0))+1,
                      INDEX($M$15:OFFSET(M300,-1,0),MATCH($A300,$A$15:OFFSET($A300,-1,0),0)))))</f>
        <v>16</v>
      </c>
      <c r="N300" s="168" t="str">
        <f ca="1">IF($D300&lt;&gt;"Serviço","",
         IF(AUTOEVENTO="Manual",
                IF($A300=0,"&lt;-- defina o número do agrupador",
                       OFFSET(EVENTOS!$D$15,$A300-$A$15,0)),
                OFFSET($F$15,$A300,0)))</f>
        <v>SISTEMAS DE PREVENÇÃO CONTRA INCÊNDIO</v>
      </c>
      <c r="O300" s="169"/>
      <c r="Q300" s="169"/>
      <c r="R300" s="170"/>
      <c r="S300" s="170"/>
      <c r="T300" s="170"/>
      <c r="U300" s="170"/>
      <c r="V300" s="170"/>
      <c r="W300" s="170"/>
      <c r="X300" s="170"/>
      <c r="Y300" s="170"/>
      <c r="Z300" s="171"/>
      <c r="AB300" s="454">
        <f ca="1">IF(AND($D300="Serviço",AB$12&lt;&gt;0,$H300&gt;0,OR(AUTOEVENTO&lt;&gt;"manual",$M300&lt;&gt;$A$15)),
        IF(Import.TipoArredondamento&lt;&gt;"TransfereGOV",
              ROUND(OFFSET($P300,0,AB$13),15-13*ORÇAMENTO!$AF$7)/$H300*OFFSET(ORÇAMENTO!$X$15,ROW(AB300)-ROW(AB$15),0),
              ROUND(ROUND(OFFSET($P300,0,AB$13),15-13*ORÇAMENTO!$AF$7)*OFFSET(ORÇAMENTO!$W$15,ROW(AB300)-ROW(AB$15),0),15-13*ORÇAMENTO!$AF$11)),
         0)</f>
        <v>0</v>
      </c>
      <c r="AC300" s="454">
        <f ca="1">IF(AND($D300="Serviço",AC$12&lt;&gt;0,$H300&gt;0,OR(AUTOEVENTO&lt;&gt;"manual",$M300&lt;&gt;$A$15)),
        IF(Import.TipoArredondamento&lt;&gt;"TransfereGOV",
              ROUND(OFFSET($P300,0,AC$13),15-13*ORÇAMENTO!$AF$7)/$H300*OFFSET(ORÇAMENTO!$X$15,ROW(AC300)-ROW(AC$15),0),
              ROUND(ROUND(OFFSET($P300,0,AC$13),15-13*ORÇAMENTO!$AF$7)*OFFSET(ORÇAMENTO!$W$15,ROW(AC300)-ROW(AC$15),0),15-13*ORÇAMENTO!$AF$11)),
         0)</f>
        <v>0</v>
      </c>
      <c r="AD300" s="454">
        <f ca="1">IF(AND($D300="Serviço",AD$12&lt;&gt;0,$H300&gt;0,OR(AUTOEVENTO&lt;&gt;"manual",$M300&lt;&gt;$A$15)),
        IF(Import.TipoArredondamento&lt;&gt;"TransfereGOV",
              ROUND(OFFSET($P300,0,AD$13),15-13*ORÇAMENTO!$AF$7)/$H300*OFFSET(ORÇAMENTO!$X$15,ROW(AD300)-ROW(AD$15),0),
              ROUND(ROUND(OFFSET($P300,0,AD$13),15-13*ORÇAMENTO!$AF$7)*OFFSET(ORÇAMENTO!$W$15,ROW(AD300)-ROW(AD$15),0),15-13*ORÇAMENTO!$AF$11)),
         0)</f>
        <v>0</v>
      </c>
      <c r="AE300" s="454">
        <f ca="1">IF(AND($D300="Serviço",AE$12&lt;&gt;0,$H300&gt;0,OR(AUTOEVENTO&lt;&gt;"manual",$M300&lt;&gt;$A$15)),
        IF(Import.TipoArredondamento&lt;&gt;"TransfereGOV",
              ROUND(OFFSET($P300,0,AE$13),15-13*ORÇAMENTO!$AF$7)/$H300*OFFSET(ORÇAMENTO!$X$15,ROW(AE300)-ROW(AE$15),0),
              ROUND(ROUND(OFFSET($P300,0,AE$13),15-13*ORÇAMENTO!$AF$7)*OFFSET(ORÇAMENTO!$W$15,ROW(AE300)-ROW(AE$15),0),15-13*ORÇAMENTO!$AF$11)),
         0)</f>
        <v>0</v>
      </c>
      <c r="AF300" s="454">
        <f ca="1">IF(AND($D300="Serviço",AF$12&lt;&gt;0,$H300&gt;0,OR(AUTOEVENTO&lt;&gt;"manual",$M300&lt;&gt;$A$15)),
        IF(Import.TipoArredondamento&lt;&gt;"TransfereGOV",
              ROUND(OFFSET($P300,0,AF$13),15-13*ORÇAMENTO!$AF$7)/$H300*OFFSET(ORÇAMENTO!$X$15,ROW(AF300)-ROW(AF$15),0),
              ROUND(ROUND(OFFSET($P300,0,AF$13),15-13*ORÇAMENTO!$AF$7)*OFFSET(ORÇAMENTO!$W$15,ROW(AF300)-ROW(AF$15),0),15-13*ORÇAMENTO!$AF$11)),
         0)</f>
        <v>0</v>
      </c>
      <c r="AG300" s="454">
        <f ca="1">IF(AND($D300="Serviço",AG$12&lt;&gt;0,$H300&gt;0,OR(AUTOEVENTO&lt;&gt;"manual",$M300&lt;&gt;$A$15)),
        IF(Import.TipoArredondamento&lt;&gt;"TransfereGOV",
              ROUND(OFFSET($P300,0,AG$13),15-13*ORÇAMENTO!$AF$7)/$H300*OFFSET(ORÇAMENTO!$X$15,ROW(AG300)-ROW(AG$15),0),
              ROUND(ROUND(OFFSET($P300,0,AG$13),15-13*ORÇAMENTO!$AF$7)*OFFSET(ORÇAMENTO!$W$15,ROW(AG300)-ROW(AG$15),0),15-13*ORÇAMENTO!$AF$11)),
         0)</f>
        <v>0</v>
      </c>
      <c r="AH300" s="454">
        <f ca="1">IF(AND($D300="Serviço",AH$12&lt;&gt;0,$H300&gt;0,OR(AUTOEVENTO&lt;&gt;"manual",$M300&lt;&gt;$A$15)),
        IF(Import.TipoArredondamento&lt;&gt;"TransfereGOV",
              ROUND(OFFSET($P300,0,AH$13),15-13*ORÇAMENTO!$AF$7)/$H300*OFFSET(ORÇAMENTO!$X$15,ROW(AH300)-ROW(AH$15),0),
              ROUND(ROUND(OFFSET($P300,0,AH$13),15-13*ORÇAMENTO!$AF$7)*OFFSET(ORÇAMENTO!$W$15,ROW(AH300)-ROW(AH$15),0),15-13*ORÇAMENTO!$AF$11)),
         0)</f>
        <v>0</v>
      </c>
      <c r="AI300" s="454">
        <f ca="1">IF(AND($D300="Serviço",AI$12&lt;&gt;0,$H300&gt;0,OR(AUTOEVENTO&lt;&gt;"manual",$M300&lt;&gt;$A$15)),
        IF(Import.TipoArredondamento&lt;&gt;"TransfereGOV",
              ROUND(OFFSET($P300,0,AI$13),15-13*ORÇAMENTO!$AF$7)/$H300*OFFSET(ORÇAMENTO!$X$15,ROW(AI300)-ROW(AI$15),0),
              ROUND(ROUND(OFFSET($P300,0,AI$13),15-13*ORÇAMENTO!$AF$7)*OFFSET(ORÇAMENTO!$W$15,ROW(AI300)-ROW(AI$15),0),15-13*ORÇAMENTO!$AF$11)),
         0)</f>
        <v>0</v>
      </c>
      <c r="AJ300" s="454">
        <f ca="1">IF(AND($D300="Serviço",AJ$12&lt;&gt;0,$H300&gt;0,OR(AUTOEVENTO&lt;&gt;"manual",$M300&lt;&gt;$A$15)),
        IF(Import.TipoArredondamento&lt;&gt;"TransfereGOV",
              ROUND(OFFSET($P300,0,AJ$13),15-13*ORÇAMENTO!$AF$7)/$H300*OFFSET(ORÇAMENTO!$X$15,ROW(AJ300)-ROW(AJ$15),0),
              ROUND(ROUND(OFFSET($P300,0,AJ$13),15-13*ORÇAMENTO!$AF$7)*OFFSET(ORÇAMENTO!$W$15,ROW(AJ300)-ROW(AJ$15),0),15-13*ORÇAMENTO!$AF$11)),
         0)</f>
        <v>0</v>
      </c>
      <c r="AK300" s="454">
        <f ca="1">IF(AND($D300="Serviço",AK$12&lt;&gt;0,$H300&gt;0,OR(AUTOEVENTO&lt;&gt;"manual",$M300&lt;&gt;$A$15)),
        IF(Import.TipoArredondamento&lt;&gt;"TransfereGOV",
              ROUND(OFFSET($P300,0,AK$13),15-13*ORÇAMENTO!$AF$7)/$H300*OFFSET(ORÇAMENTO!$X$15,ROW(AK300)-ROW(AK$15),0),
              ROUND(ROUND(OFFSET($P300,0,AK$13),15-13*ORÇAMENTO!$AF$7)*OFFSET(ORÇAMENTO!$W$15,ROW(AK300)-ROW(AK$15),0),15-13*ORÇAMENTO!$AF$11)),
         0)</f>
        <v>0</v>
      </c>
      <c r="AM300" s="172">
        <f ca="1">IF(OR($D300&lt;&gt;"Serviço",AND(AUTOEVENTO="Manual",$M300=$A$15)),0,
         IF(OFFSET(CRONOPLE!$F$15,$M300-$A$15,AM$13)="",10^12,OFFSET(CRONOPLE!$F$15,$M300-$A$15,AM$13)))</f>
        <v>1000000000000</v>
      </c>
      <c r="AN300" s="172">
        <f ca="1">IF(OR($D300&lt;&gt;"Serviço",AND(AUTOEVENTO="Manual",$M300=$A$15)),0,
         IF(OFFSET(CRONOPLE!$F$15,$M300-$A$15,AN$13)="",10^12,OFFSET(CRONOPLE!$F$15,$M300-$A$15,AN$13)))</f>
        <v>1000000000000</v>
      </c>
      <c r="AO300" s="172">
        <f ca="1">IF(OR($D300&lt;&gt;"Serviço",AND(AUTOEVENTO="Manual",$M300=$A$15)),0,
         IF(OFFSET(CRONOPLE!$F$15,$M300-$A$15,AO$13)="",10^12,OFFSET(CRONOPLE!$F$15,$M300-$A$15,AO$13)))</f>
        <v>1000000000000</v>
      </c>
      <c r="AP300" s="172">
        <f ca="1">IF(OR($D300&lt;&gt;"Serviço",AND(AUTOEVENTO="Manual",$M300=$A$15)),0,
         IF(OFFSET(CRONOPLE!$F$15,$M300-$A$15,AP$13)="",10^12,OFFSET(CRONOPLE!$F$15,$M300-$A$15,AP$13)))</f>
        <v>1000000000000</v>
      </c>
      <c r="AQ300" s="172">
        <f ca="1">IF(OR($D300&lt;&gt;"Serviço",AND(AUTOEVENTO="Manual",$M300=$A$15)),0,
         IF(OFFSET(CRONOPLE!$F$15,$M300-$A$15,AQ$13)="",10^12,OFFSET(CRONOPLE!$F$15,$M300-$A$15,AQ$13)))</f>
        <v>1000000000000</v>
      </c>
      <c r="AR300" s="172">
        <f ca="1">IF(OR($D300&lt;&gt;"Serviço",AND(AUTOEVENTO="Manual",$M300=$A$15)),0,
         IF(OFFSET(CRONOPLE!$F$15,$M300-$A$15,AR$13)="",10^12,OFFSET(CRONOPLE!$F$15,$M300-$A$15,AR$13)))</f>
        <v>1000000000000</v>
      </c>
      <c r="AS300" s="172">
        <f ca="1">IF(OR($D300&lt;&gt;"Serviço",AND(AUTOEVENTO="Manual",$M300=$A$15)),0,
         IF(OFFSET(CRONOPLE!$F$15,$M300-$A$15,AS$13)="",10^12,OFFSET(CRONOPLE!$F$15,$M300-$A$15,AS$13)))</f>
        <v>1000000000000</v>
      </c>
      <c r="AT300" s="172">
        <f ca="1">IF(OR($D300&lt;&gt;"Serviço",AND(AUTOEVENTO="Manual",$M300=$A$15)),0,
         IF(OFFSET(CRONOPLE!$F$15,$M300-$A$15,AT$13)="",10^12,OFFSET(CRONOPLE!$F$15,$M300-$A$15,AT$13)))</f>
        <v>1000000000000</v>
      </c>
      <c r="AU300" s="172">
        <f ca="1">IF(OR($D300&lt;&gt;"Serviço",AND(AUTOEVENTO="Manual",$M300=$A$15)),0,
         IF(OFFSET(CRONOPLE!$F$15,$M300-$A$15,AU$13)="",10^12,OFFSET(CRONOPLE!$F$15,$M300-$A$15,AU$13)))</f>
        <v>1000000000000</v>
      </c>
      <c r="AV300" s="172">
        <f ca="1">IF(OR($D300&lt;&gt;"Serviço",AND(AUTOEVENTO="Manual",$M300=$A$15)),0,
         IF(OFFSET(CRONOPLE!$F$15,$M300-$A$15,AV$13)="",10^12,OFFSET(CRONOPLE!$F$15,$M300-$A$15,AV$13)))</f>
        <v>1000000000000</v>
      </c>
      <c r="AX300" s="173">
        <f ca="1">IF(OR($D300&lt;&gt;"Serviço",AND(AUTOEVENTO="Manual",$M300=$A$15),$M300&gt;(ROW(PLE.lastrow)-ROW(PLE.firstrow))),0,
           IF(OFFSET(PLE!$G$15,$M300-$A$15,AX$13)="",10^12,OFFSET(PLE!$G$15,$M300-$A$15,AX$13)))</f>
        <v>1000000000000</v>
      </c>
      <c r="AY300" s="173">
        <f ca="1">IF(OR($D300&lt;&gt;"Serviço",AND(AUTOEVENTO="Manual",$M300=$A$15),$M300&gt;(ROW(PLE.lastrow)-ROW(PLE.firstrow))),0,
           IF(OFFSET(PLE!$G$15,$M300-$A$15,AY$13)="",10^12,OFFSET(PLE!$G$15,$M300-$A$15,AY$13)))</f>
        <v>1000000000000</v>
      </c>
      <c r="AZ300" s="173">
        <f ca="1">IF(OR($D300&lt;&gt;"Serviço",AND(AUTOEVENTO="Manual",$M300=$A$15),$M300&gt;(ROW(PLE.lastrow)-ROW(PLE.firstrow))),0,
           IF(OFFSET(PLE!$G$15,$M300-$A$15,AZ$13)="",10^12,OFFSET(PLE!$G$15,$M300-$A$15,AZ$13)))</f>
        <v>1000000000000</v>
      </c>
      <c r="BA300" s="173">
        <f ca="1">IF(OR($D300&lt;&gt;"Serviço",AND(AUTOEVENTO="Manual",$M300=$A$15),$M300&gt;(ROW(PLE.lastrow)-ROW(PLE.firstrow))),0,
           IF(OFFSET(PLE!$G$15,$M300-$A$15,BA$13)="",10^12,OFFSET(PLE!$G$15,$M300-$A$15,BA$13)))</f>
        <v>1000000000000</v>
      </c>
      <c r="BB300" s="173">
        <f ca="1">IF(OR($D300&lt;&gt;"Serviço",AND(AUTOEVENTO="Manual",$M300=$A$15),$M300&gt;(ROW(PLE.lastrow)-ROW(PLE.firstrow))),0,
           IF(OFFSET(PLE!$G$15,$M300-$A$15,BB$13)="",10^12,OFFSET(PLE!$G$15,$M300-$A$15,BB$13)))</f>
        <v>1000000000000</v>
      </c>
      <c r="BC300" s="173">
        <f ca="1">IF(OR($D300&lt;&gt;"Serviço",AND(AUTOEVENTO="Manual",$M300=$A$15),$M300&gt;(ROW(PLE.lastrow)-ROW(PLE.firstrow))),0,
           IF(OFFSET(PLE!$G$15,$M300-$A$15,BC$13)="",10^12,OFFSET(PLE!$G$15,$M300-$A$15,BC$13)))</f>
        <v>1000000000000</v>
      </c>
      <c r="BD300" s="173">
        <f ca="1">IF(OR($D300&lt;&gt;"Serviço",AND(AUTOEVENTO="Manual",$M300=$A$15),$M300&gt;(ROW(PLE.lastrow)-ROW(PLE.firstrow))),0,
           IF(OFFSET(PLE!$G$15,$M300-$A$15,BD$13)="",10^12,OFFSET(PLE!$G$15,$M300-$A$15,BD$13)))</f>
        <v>1000000000000</v>
      </c>
      <c r="BE300" s="173">
        <f ca="1">IF(OR($D300&lt;&gt;"Serviço",AND(AUTOEVENTO="Manual",$M300=$A$15),$M300&gt;(ROW(PLE.lastrow)-ROW(PLE.firstrow))),0,
           IF(OFFSET(PLE!$G$15,$M300-$A$15,BE$13)="",10^12,OFFSET(PLE!$G$15,$M300-$A$15,BE$13)))</f>
        <v>1000000000000</v>
      </c>
      <c r="BF300" s="173">
        <f ca="1">IF(OR($D300&lt;&gt;"Serviço",AND(AUTOEVENTO="Manual",$M300=$A$15),$M300&gt;(ROW(PLE.lastrow)-ROW(PLE.firstrow))),0,
           IF(OFFSET(PLE!$G$15,$M300-$A$15,BF$13)="",10^12,OFFSET(PLE!$G$15,$M300-$A$15,BF$13)))</f>
        <v>1000000000000</v>
      </c>
      <c r="BG300" s="173">
        <f ca="1">IF(OR($D300&lt;&gt;"Serviço",AND(AUTOEVENTO="Manual",$M300=$A$15),$M300&gt;(ROW(PLE.lastrow)-ROW(PLE.firstrow))),0,
           IF(OFFSET(PLE!$G$15,$M300-$A$15,BG$13)="",10^12,OFFSET(PLE!$G$15,$M300-$A$15,BG$13)))</f>
        <v>1000000000000</v>
      </c>
    </row>
    <row r="301" spans="1:59" ht="25.5" x14ac:dyDescent="0.2">
      <c r="A301" s="7" t="str">
        <f t="shared" ca="1" si="12"/>
        <v>253</v>
      </c>
      <c r="B301" s="7" t="str">
        <f ca="1">OFFSET(ORÇAMENTO!C$15,ROW(B301)-ROW(B$15),0)</f>
        <v>S</v>
      </c>
      <c r="C301" s="7" t="str">
        <f ca="1">OFFSET(ORÇAMENTO!L$15,ROW(C301)-ROW(C$15),0)</f>
        <v/>
      </c>
      <c r="D301" s="117" t="str">
        <f ca="1">OFFSET(ORÇAMENTO!N$15,ROW(D301)-ROW(D$15),0)</f>
        <v>Serviço</v>
      </c>
      <c r="E301" s="118" t="str">
        <f ca="1">OFFSET(ORÇAMENTO!O$15,ROW(E301)-ROW(E$15),0)</f>
        <v>-</v>
      </c>
      <c r="F301" s="164" t="str">
        <f ca="1">OFFSET(ORÇAMENTO!R$15,ROW(F301)-ROW(F$15),0)</f>
        <v>REGULADOR DE PRIMEIRO ESTÁGIO DE ALTA PRESSÃO ATÉ 1,3 KGF/CM², VAZÃO DE 50 KG/H</v>
      </c>
      <c r="G301" s="165" t="str">
        <f ca="1">IF($D301&lt;&gt;"Serviço","",OFFSET(ORÇAMENTO!S$15,ROW(G301)-ROW(G$15),0))</f>
        <v xml:space="preserve">UN    </v>
      </c>
      <c r="H301" s="123">
        <f ca="1">IF($D301&lt;&gt;"Serviço",0,IF(ACOMPANHAMENTO="BM",ROUND(OFFSET(ORÇAMENTO!AJ$15,ROW(H301)-ROW(H$15),0),15-13*ORÇAMENTO!$AF$7),SUMPRODUCT(($Q$1:$AA$1=1)*ROUND($Q301:$AA301,15-13*ORÇAMENTO!$AF$7))))</f>
        <v>1</v>
      </c>
      <c r="I301" s="469"/>
      <c r="J301" s="577" t="str" cm="1">
        <f t="array" aca="1" ref="J301" ca="1">IF(B301&lt;&gt;"S","",IF(AND(ACOMPANHAMENTO="PLE",AUTOEVENTO="Manual",OR(H301&gt;0,ORÇAMENTO!AC301="QUANT."),OR(K301="",M301=0,N301="")),"►",IF(AND(ACOMPANHAMENTO="PLE",ORÇAMENTO!AC301="QUANT."),"►►",IF(AND(COUNTIF($P$11:$AA$11,"▼")=0,H301&gt;0,I301=""),"◄",""))))</f>
        <v>◄</v>
      </c>
      <c r="K301" s="626"/>
      <c r="L301" s="166" t="s">
        <v>765</v>
      </c>
      <c r="M301" s="167">
        <f ca="1">IF($D301&lt;&gt;"Serviço","",
          IF(AUTOEVENTO="manual",$A301,
                IF(ISERROR(MATCH($A301,$A$15:OFFSET($A301,-1,0),0)),MAX($M$15:OFFSET(M301,-1,0))+1,
                      INDEX($M$15:OFFSET(M301,-1,0),MATCH($A301,$A$15:OFFSET($A301,-1,0),0)))))</f>
        <v>16</v>
      </c>
      <c r="N301" s="168" t="str">
        <f ca="1">IF($D301&lt;&gt;"Serviço","",
         IF(AUTOEVENTO="Manual",
                IF($A301=0,"&lt;-- defina o número do agrupador",
                       OFFSET(EVENTOS!$D$15,$A301-$A$15,0)),
                OFFSET($F$15,$A301,0)))</f>
        <v>SISTEMAS DE PREVENÇÃO CONTRA INCÊNDIO</v>
      </c>
      <c r="O301" s="169"/>
      <c r="Q301" s="169"/>
      <c r="R301" s="170"/>
      <c r="S301" s="170"/>
      <c r="T301" s="170"/>
      <c r="U301" s="170"/>
      <c r="V301" s="170"/>
      <c r="W301" s="170"/>
      <c r="X301" s="170"/>
      <c r="Y301" s="170"/>
      <c r="Z301" s="171"/>
      <c r="AB301" s="454">
        <f ca="1">IF(AND($D301="Serviço",AB$12&lt;&gt;0,$H301&gt;0,OR(AUTOEVENTO&lt;&gt;"manual",$M301&lt;&gt;$A$15)),
        IF(Import.TipoArredondamento&lt;&gt;"TransfereGOV",
              ROUND(OFFSET($P301,0,AB$13),15-13*ORÇAMENTO!$AF$7)/$H301*OFFSET(ORÇAMENTO!$X$15,ROW(AB301)-ROW(AB$15),0),
              ROUND(ROUND(OFFSET($P301,0,AB$13),15-13*ORÇAMENTO!$AF$7)*OFFSET(ORÇAMENTO!$W$15,ROW(AB301)-ROW(AB$15),0),15-13*ORÇAMENTO!$AF$11)),
         0)</f>
        <v>0</v>
      </c>
      <c r="AC301" s="454">
        <f ca="1">IF(AND($D301="Serviço",AC$12&lt;&gt;0,$H301&gt;0,OR(AUTOEVENTO&lt;&gt;"manual",$M301&lt;&gt;$A$15)),
        IF(Import.TipoArredondamento&lt;&gt;"TransfereGOV",
              ROUND(OFFSET($P301,0,AC$13),15-13*ORÇAMENTO!$AF$7)/$H301*OFFSET(ORÇAMENTO!$X$15,ROW(AC301)-ROW(AC$15),0),
              ROUND(ROUND(OFFSET($P301,0,AC$13),15-13*ORÇAMENTO!$AF$7)*OFFSET(ORÇAMENTO!$W$15,ROW(AC301)-ROW(AC$15),0),15-13*ORÇAMENTO!$AF$11)),
         0)</f>
        <v>0</v>
      </c>
      <c r="AD301" s="454">
        <f ca="1">IF(AND($D301="Serviço",AD$12&lt;&gt;0,$H301&gt;0,OR(AUTOEVENTO&lt;&gt;"manual",$M301&lt;&gt;$A$15)),
        IF(Import.TipoArredondamento&lt;&gt;"TransfereGOV",
              ROUND(OFFSET($P301,0,AD$13),15-13*ORÇAMENTO!$AF$7)/$H301*OFFSET(ORÇAMENTO!$X$15,ROW(AD301)-ROW(AD$15),0),
              ROUND(ROUND(OFFSET($P301,0,AD$13),15-13*ORÇAMENTO!$AF$7)*OFFSET(ORÇAMENTO!$W$15,ROW(AD301)-ROW(AD$15),0),15-13*ORÇAMENTO!$AF$11)),
         0)</f>
        <v>0</v>
      </c>
      <c r="AE301" s="454">
        <f ca="1">IF(AND($D301="Serviço",AE$12&lt;&gt;0,$H301&gt;0,OR(AUTOEVENTO&lt;&gt;"manual",$M301&lt;&gt;$A$15)),
        IF(Import.TipoArredondamento&lt;&gt;"TransfereGOV",
              ROUND(OFFSET($P301,0,AE$13),15-13*ORÇAMENTO!$AF$7)/$H301*OFFSET(ORÇAMENTO!$X$15,ROW(AE301)-ROW(AE$15),0),
              ROUND(ROUND(OFFSET($P301,0,AE$13),15-13*ORÇAMENTO!$AF$7)*OFFSET(ORÇAMENTO!$W$15,ROW(AE301)-ROW(AE$15),0),15-13*ORÇAMENTO!$AF$11)),
         0)</f>
        <v>0</v>
      </c>
      <c r="AF301" s="454">
        <f ca="1">IF(AND($D301="Serviço",AF$12&lt;&gt;0,$H301&gt;0,OR(AUTOEVENTO&lt;&gt;"manual",$M301&lt;&gt;$A$15)),
        IF(Import.TipoArredondamento&lt;&gt;"TransfereGOV",
              ROUND(OFFSET($P301,0,AF$13),15-13*ORÇAMENTO!$AF$7)/$H301*OFFSET(ORÇAMENTO!$X$15,ROW(AF301)-ROW(AF$15),0),
              ROUND(ROUND(OFFSET($P301,0,AF$13),15-13*ORÇAMENTO!$AF$7)*OFFSET(ORÇAMENTO!$W$15,ROW(AF301)-ROW(AF$15),0),15-13*ORÇAMENTO!$AF$11)),
         0)</f>
        <v>0</v>
      </c>
      <c r="AG301" s="454">
        <f ca="1">IF(AND($D301="Serviço",AG$12&lt;&gt;0,$H301&gt;0,OR(AUTOEVENTO&lt;&gt;"manual",$M301&lt;&gt;$A$15)),
        IF(Import.TipoArredondamento&lt;&gt;"TransfereGOV",
              ROUND(OFFSET($P301,0,AG$13),15-13*ORÇAMENTO!$AF$7)/$H301*OFFSET(ORÇAMENTO!$X$15,ROW(AG301)-ROW(AG$15),0),
              ROUND(ROUND(OFFSET($P301,0,AG$13),15-13*ORÇAMENTO!$AF$7)*OFFSET(ORÇAMENTO!$W$15,ROW(AG301)-ROW(AG$15),0),15-13*ORÇAMENTO!$AF$11)),
         0)</f>
        <v>0</v>
      </c>
      <c r="AH301" s="454">
        <f ca="1">IF(AND($D301="Serviço",AH$12&lt;&gt;0,$H301&gt;0,OR(AUTOEVENTO&lt;&gt;"manual",$M301&lt;&gt;$A$15)),
        IF(Import.TipoArredondamento&lt;&gt;"TransfereGOV",
              ROUND(OFFSET($P301,0,AH$13),15-13*ORÇAMENTO!$AF$7)/$H301*OFFSET(ORÇAMENTO!$X$15,ROW(AH301)-ROW(AH$15),0),
              ROUND(ROUND(OFFSET($P301,0,AH$13),15-13*ORÇAMENTO!$AF$7)*OFFSET(ORÇAMENTO!$W$15,ROW(AH301)-ROW(AH$15),0),15-13*ORÇAMENTO!$AF$11)),
         0)</f>
        <v>0</v>
      </c>
      <c r="AI301" s="454">
        <f ca="1">IF(AND($D301="Serviço",AI$12&lt;&gt;0,$H301&gt;0,OR(AUTOEVENTO&lt;&gt;"manual",$M301&lt;&gt;$A$15)),
        IF(Import.TipoArredondamento&lt;&gt;"TransfereGOV",
              ROUND(OFFSET($P301,0,AI$13),15-13*ORÇAMENTO!$AF$7)/$H301*OFFSET(ORÇAMENTO!$X$15,ROW(AI301)-ROW(AI$15),0),
              ROUND(ROUND(OFFSET($P301,0,AI$13),15-13*ORÇAMENTO!$AF$7)*OFFSET(ORÇAMENTO!$W$15,ROW(AI301)-ROW(AI$15),0),15-13*ORÇAMENTO!$AF$11)),
         0)</f>
        <v>0</v>
      </c>
      <c r="AJ301" s="454">
        <f ca="1">IF(AND($D301="Serviço",AJ$12&lt;&gt;0,$H301&gt;0,OR(AUTOEVENTO&lt;&gt;"manual",$M301&lt;&gt;$A$15)),
        IF(Import.TipoArredondamento&lt;&gt;"TransfereGOV",
              ROUND(OFFSET($P301,0,AJ$13),15-13*ORÇAMENTO!$AF$7)/$H301*OFFSET(ORÇAMENTO!$X$15,ROW(AJ301)-ROW(AJ$15),0),
              ROUND(ROUND(OFFSET($P301,0,AJ$13),15-13*ORÇAMENTO!$AF$7)*OFFSET(ORÇAMENTO!$W$15,ROW(AJ301)-ROW(AJ$15),0),15-13*ORÇAMENTO!$AF$11)),
         0)</f>
        <v>0</v>
      </c>
      <c r="AK301" s="454">
        <f ca="1">IF(AND($D301="Serviço",AK$12&lt;&gt;0,$H301&gt;0,OR(AUTOEVENTO&lt;&gt;"manual",$M301&lt;&gt;$A$15)),
        IF(Import.TipoArredondamento&lt;&gt;"TransfereGOV",
              ROUND(OFFSET($P301,0,AK$13),15-13*ORÇAMENTO!$AF$7)/$H301*OFFSET(ORÇAMENTO!$X$15,ROW(AK301)-ROW(AK$15),0),
              ROUND(ROUND(OFFSET($P301,0,AK$13),15-13*ORÇAMENTO!$AF$7)*OFFSET(ORÇAMENTO!$W$15,ROW(AK301)-ROW(AK$15),0),15-13*ORÇAMENTO!$AF$11)),
         0)</f>
        <v>0</v>
      </c>
      <c r="AM301" s="172">
        <f ca="1">IF(OR($D301&lt;&gt;"Serviço",AND(AUTOEVENTO="Manual",$M301=$A$15)),0,
         IF(OFFSET(CRONOPLE!$F$15,$M301-$A$15,AM$13)="",10^12,OFFSET(CRONOPLE!$F$15,$M301-$A$15,AM$13)))</f>
        <v>1000000000000</v>
      </c>
      <c r="AN301" s="172">
        <f ca="1">IF(OR($D301&lt;&gt;"Serviço",AND(AUTOEVENTO="Manual",$M301=$A$15)),0,
         IF(OFFSET(CRONOPLE!$F$15,$M301-$A$15,AN$13)="",10^12,OFFSET(CRONOPLE!$F$15,$M301-$A$15,AN$13)))</f>
        <v>1000000000000</v>
      </c>
      <c r="AO301" s="172">
        <f ca="1">IF(OR($D301&lt;&gt;"Serviço",AND(AUTOEVENTO="Manual",$M301=$A$15)),0,
         IF(OFFSET(CRONOPLE!$F$15,$M301-$A$15,AO$13)="",10^12,OFFSET(CRONOPLE!$F$15,$M301-$A$15,AO$13)))</f>
        <v>1000000000000</v>
      </c>
      <c r="AP301" s="172">
        <f ca="1">IF(OR($D301&lt;&gt;"Serviço",AND(AUTOEVENTO="Manual",$M301=$A$15)),0,
         IF(OFFSET(CRONOPLE!$F$15,$M301-$A$15,AP$13)="",10^12,OFFSET(CRONOPLE!$F$15,$M301-$A$15,AP$13)))</f>
        <v>1000000000000</v>
      </c>
      <c r="AQ301" s="172">
        <f ca="1">IF(OR($D301&lt;&gt;"Serviço",AND(AUTOEVENTO="Manual",$M301=$A$15)),0,
         IF(OFFSET(CRONOPLE!$F$15,$M301-$A$15,AQ$13)="",10^12,OFFSET(CRONOPLE!$F$15,$M301-$A$15,AQ$13)))</f>
        <v>1000000000000</v>
      </c>
      <c r="AR301" s="172">
        <f ca="1">IF(OR($D301&lt;&gt;"Serviço",AND(AUTOEVENTO="Manual",$M301=$A$15)),0,
         IF(OFFSET(CRONOPLE!$F$15,$M301-$A$15,AR$13)="",10^12,OFFSET(CRONOPLE!$F$15,$M301-$A$15,AR$13)))</f>
        <v>1000000000000</v>
      </c>
      <c r="AS301" s="172">
        <f ca="1">IF(OR($D301&lt;&gt;"Serviço",AND(AUTOEVENTO="Manual",$M301=$A$15)),0,
         IF(OFFSET(CRONOPLE!$F$15,$M301-$A$15,AS$13)="",10^12,OFFSET(CRONOPLE!$F$15,$M301-$A$15,AS$13)))</f>
        <v>1000000000000</v>
      </c>
      <c r="AT301" s="172">
        <f ca="1">IF(OR($D301&lt;&gt;"Serviço",AND(AUTOEVENTO="Manual",$M301=$A$15)),0,
         IF(OFFSET(CRONOPLE!$F$15,$M301-$A$15,AT$13)="",10^12,OFFSET(CRONOPLE!$F$15,$M301-$A$15,AT$13)))</f>
        <v>1000000000000</v>
      </c>
      <c r="AU301" s="172">
        <f ca="1">IF(OR($D301&lt;&gt;"Serviço",AND(AUTOEVENTO="Manual",$M301=$A$15)),0,
         IF(OFFSET(CRONOPLE!$F$15,$M301-$A$15,AU$13)="",10^12,OFFSET(CRONOPLE!$F$15,$M301-$A$15,AU$13)))</f>
        <v>1000000000000</v>
      </c>
      <c r="AV301" s="172">
        <f ca="1">IF(OR($D301&lt;&gt;"Serviço",AND(AUTOEVENTO="Manual",$M301=$A$15)),0,
         IF(OFFSET(CRONOPLE!$F$15,$M301-$A$15,AV$13)="",10^12,OFFSET(CRONOPLE!$F$15,$M301-$A$15,AV$13)))</f>
        <v>1000000000000</v>
      </c>
      <c r="AX301" s="173">
        <f ca="1">IF(OR($D301&lt;&gt;"Serviço",AND(AUTOEVENTO="Manual",$M301=$A$15),$M301&gt;(ROW(PLE.lastrow)-ROW(PLE.firstrow))),0,
           IF(OFFSET(PLE!$G$15,$M301-$A$15,AX$13)="",10^12,OFFSET(PLE!$G$15,$M301-$A$15,AX$13)))</f>
        <v>1000000000000</v>
      </c>
      <c r="AY301" s="173">
        <f ca="1">IF(OR($D301&lt;&gt;"Serviço",AND(AUTOEVENTO="Manual",$M301=$A$15),$M301&gt;(ROW(PLE.lastrow)-ROW(PLE.firstrow))),0,
           IF(OFFSET(PLE!$G$15,$M301-$A$15,AY$13)="",10^12,OFFSET(PLE!$G$15,$M301-$A$15,AY$13)))</f>
        <v>1000000000000</v>
      </c>
      <c r="AZ301" s="173">
        <f ca="1">IF(OR($D301&lt;&gt;"Serviço",AND(AUTOEVENTO="Manual",$M301=$A$15),$M301&gt;(ROW(PLE.lastrow)-ROW(PLE.firstrow))),0,
           IF(OFFSET(PLE!$G$15,$M301-$A$15,AZ$13)="",10^12,OFFSET(PLE!$G$15,$M301-$A$15,AZ$13)))</f>
        <v>1000000000000</v>
      </c>
      <c r="BA301" s="173">
        <f ca="1">IF(OR($D301&lt;&gt;"Serviço",AND(AUTOEVENTO="Manual",$M301=$A$15),$M301&gt;(ROW(PLE.lastrow)-ROW(PLE.firstrow))),0,
           IF(OFFSET(PLE!$G$15,$M301-$A$15,BA$13)="",10^12,OFFSET(PLE!$G$15,$M301-$A$15,BA$13)))</f>
        <v>1000000000000</v>
      </c>
      <c r="BB301" s="173">
        <f ca="1">IF(OR($D301&lt;&gt;"Serviço",AND(AUTOEVENTO="Manual",$M301=$A$15),$M301&gt;(ROW(PLE.lastrow)-ROW(PLE.firstrow))),0,
           IF(OFFSET(PLE!$G$15,$M301-$A$15,BB$13)="",10^12,OFFSET(PLE!$G$15,$M301-$A$15,BB$13)))</f>
        <v>1000000000000</v>
      </c>
      <c r="BC301" s="173">
        <f ca="1">IF(OR($D301&lt;&gt;"Serviço",AND(AUTOEVENTO="Manual",$M301=$A$15),$M301&gt;(ROW(PLE.lastrow)-ROW(PLE.firstrow))),0,
           IF(OFFSET(PLE!$G$15,$M301-$A$15,BC$13)="",10^12,OFFSET(PLE!$G$15,$M301-$A$15,BC$13)))</f>
        <v>1000000000000</v>
      </c>
      <c r="BD301" s="173">
        <f ca="1">IF(OR($D301&lt;&gt;"Serviço",AND(AUTOEVENTO="Manual",$M301=$A$15),$M301&gt;(ROW(PLE.lastrow)-ROW(PLE.firstrow))),0,
           IF(OFFSET(PLE!$G$15,$M301-$A$15,BD$13)="",10^12,OFFSET(PLE!$G$15,$M301-$A$15,BD$13)))</f>
        <v>1000000000000</v>
      </c>
      <c r="BE301" s="173">
        <f ca="1">IF(OR($D301&lt;&gt;"Serviço",AND(AUTOEVENTO="Manual",$M301=$A$15),$M301&gt;(ROW(PLE.lastrow)-ROW(PLE.firstrow))),0,
           IF(OFFSET(PLE!$G$15,$M301-$A$15,BE$13)="",10^12,OFFSET(PLE!$G$15,$M301-$A$15,BE$13)))</f>
        <v>1000000000000</v>
      </c>
      <c r="BF301" s="173">
        <f ca="1">IF(OR($D301&lt;&gt;"Serviço",AND(AUTOEVENTO="Manual",$M301=$A$15),$M301&gt;(ROW(PLE.lastrow)-ROW(PLE.firstrow))),0,
           IF(OFFSET(PLE!$G$15,$M301-$A$15,BF$13)="",10^12,OFFSET(PLE!$G$15,$M301-$A$15,BF$13)))</f>
        <v>1000000000000</v>
      </c>
      <c r="BG301" s="173">
        <f ca="1">IF(OR($D301&lt;&gt;"Serviço",AND(AUTOEVENTO="Manual",$M301=$A$15),$M301&gt;(ROW(PLE.lastrow)-ROW(PLE.firstrow))),0,
           IF(OFFSET(PLE!$G$15,$M301-$A$15,BG$13)="",10^12,OFFSET(PLE!$G$15,$M301-$A$15,BG$13)))</f>
        <v>1000000000000</v>
      </c>
    </row>
    <row r="302" spans="1:59" ht="25.5" x14ac:dyDescent="0.2">
      <c r="A302" s="7" t="str">
        <f t="shared" ca="1" si="12"/>
        <v>253</v>
      </c>
      <c r="B302" s="7" t="str">
        <f ca="1">OFFSET(ORÇAMENTO!C$15,ROW(B302)-ROW(B$15),0)</f>
        <v>S</v>
      </c>
      <c r="C302" s="7" t="str">
        <f ca="1">OFFSET(ORÇAMENTO!L$15,ROW(C302)-ROW(C$15),0)</f>
        <v/>
      </c>
      <c r="D302" s="117" t="str">
        <f ca="1">OFFSET(ORÇAMENTO!N$15,ROW(D302)-ROW(D$15),0)</f>
        <v>Serviço</v>
      </c>
      <c r="E302" s="118" t="str">
        <f ca="1">OFFSET(ORÇAMENTO!O$15,ROW(E302)-ROW(E$15),0)</f>
        <v>-</v>
      </c>
      <c r="F302" s="164" t="str">
        <f ca="1">OFFSET(ORÇAMENTO!R$15,ROW(F302)-ROW(F$15),0)</f>
        <v>MANGUEIRA PARA GÁS - GLP</v>
      </c>
      <c r="G302" s="165" t="str">
        <f ca="1">IF($D302&lt;&gt;"Serviço","",OFFSET(ORÇAMENTO!S$15,ROW(G302)-ROW(G$15),0))</f>
        <v xml:space="preserve">UN    </v>
      </c>
      <c r="H302" s="123">
        <f ca="1">IF($D302&lt;&gt;"Serviço",0,IF(ACOMPANHAMENTO="BM",ROUND(OFFSET(ORÇAMENTO!AJ$15,ROW(H302)-ROW(H$15),0),15-13*ORÇAMENTO!$AF$7),SUMPRODUCT(($Q$1:$AA$1=1)*ROUND($Q302:$AA302,15-13*ORÇAMENTO!$AF$7))))</f>
        <v>4</v>
      </c>
      <c r="I302" s="469"/>
      <c r="J302" s="577" t="str" cm="1">
        <f t="array" aca="1" ref="J302" ca="1">IF(B302&lt;&gt;"S","",IF(AND(ACOMPANHAMENTO="PLE",AUTOEVENTO="Manual",OR(H302&gt;0,ORÇAMENTO!AC302="QUANT."),OR(K302="",M302=0,N302="")),"►",IF(AND(ACOMPANHAMENTO="PLE",ORÇAMENTO!AC302="QUANT."),"►►",IF(AND(COUNTIF($P$11:$AA$11,"▼")=0,H302&gt;0,I302=""),"◄",""))))</f>
        <v>◄</v>
      </c>
      <c r="K302" s="626"/>
      <c r="L302" s="166" t="s">
        <v>765</v>
      </c>
      <c r="M302" s="167">
        <f ca="1">IF($D302&lt;&gt;"Serviço","",
          IF(AUTOEVENTO="manual",$A302,
                IF(ISERROR(MATCH($A302,$A$15:OFFSET($A302,-1,0),0)),MAX($M$15:OFFSET(M302,-1,0))+1,
                      INDEX($M$15:OFFSET(M302,-1,0),MATCH($A302,$A$15:OFFSET($A302,-1,0),0)))))</f>
        <v>16</v>
      </c>
      <c r="N302" s="168" t="str">
        <f ca="1">IF($D302&lt;&gt;"Serviço","",
         IF(AUTOEVENTO="Manual",
                IF($A302=0,"&lt;-- defina o número do agrupador",
                       OFFSET(EVENTOS!$D$15,$A302-$A$15,0)),
                OFFSET($F$15,$A302,0)))</f>
        <v>SISTEMAS DE PREVENÇÃO CONTRA INCÊNDIO</v>
      </c>
      <c r="O302" s="169"/>
      <c r="Q302" s="169"/>
      <c r="R302" s="170"/>
      <c r="S302" s="170"/>
      <c r="T302" s="170"/>
      <c r="U302" s="170"/>
      <c r="V302" s="170"/>
      <c r="W302" s="170"/>
      <c r="X302" s="170"/>
      <c r="Y302" s="170"/>
      <c r="Z302" s="171"/>
      <c r="AB302" s="454">
        <f ca="1">IF(AND($D302="Serviço",AB$12&lt;&gt;0,$H302&gt;0,OR(AUTOEVENTO&lt;&gt;"manual",$M302&lt;&gt;$A$15)),
        IF(Import.TipoArredondamento&lt;&gt;"TransfereGOV",
              ROUND(OFFSET($P302,0,AB$13),15-13*ORÇAMENTO!$AF$7)/$H302*OFFSET(ORÇAMENTO!$X$15,ROW(AB302)-ROW(AB$15),0),
              ROUND(ROUND(OFFSET($P302,0,AB$13),15-13*ORÇAMENTO!$AF$7)*OFFSET(ORÇAMENTO!$W$15,ROW(AB302)-ROW(AB$15),0),15-13*ORÇAMENTO!$AF$11)),
         0)</f>
        <v>0</v>
      </c>
      <c r="AC302" s="454">
        <f ca="1">IF(AND($D302="Serviço",AC$12&lt;&gt;0,$H302&gt;0,OR(AUTOEVENTO&lt;&gt;"manual",$M302&lt;&gt;$A$15)),
        IF(Import.TipoArredondamento&lt;&gt;"TransfereGOV",
              ROUND(OFFSET($P302,0,AC$13),15-13*ORÇAMENTO!$AF$7)/$H302*OFFSET(ORÇAMENTO!$X$15,ROW(AC302)-ROW(AC$15),0),
              ROUND(ROUND(OFFSET($P302,0,AC$13),15-13*ORÇAMENTO!$AF$7)*OFFSET(ORÇAMENTO!$W$15,ROW(AC302)-ROW(AC$15),0),15-13*ORÇAMENTO!$AF$11)),
         0)</f>
        <v>0</v>
      </c>
      <c r="AD302" s="454">
        <f ca="1">IF(AND($D302="Serviço",AD$12&lt;&gt;0,$H302&gt;0,OR(AUTOEVENTO&lt;&gt;"manual",$M302&lt;&gt;$A$15)),
        IF(Import.TipoArredondamento&lt;&gt;"TransfereGOV",
              ROUND(OFFSET($P302,0,AD$13),15-13*ORÇAMENTO!$AF$7)/$H302*OFFSET(ORÇAMENTO!$X$15,ROW(AD302)-ROW(AD$15),0),
              ROUND(ROUND(OFFSET($P302,0,AD$13),15-13*ORÇAMENTO!$AF$7)*OFFSET(ORÇAMENTO!$W$15,ROW(AD302)-ROW(AD$15),0),15-13*ORÇAMENTO!$AF$11)),
         0)</f>
        <v>0</v>
      </c>
      <c r="AE302" s="454">
        <f ca="1">IF(AND($D302="Serviço",AE$12&lt;&gt;0,$H302&gt;0,OR(AUTOEVENTO&lt;&gt;"manual",$M302&lt;&gt;$A$15)),
        IF(Import.TipoArredondamento&lt;&gt;"TransfereGOV",
              ROUND(OFFSET($P302,0,AE$13),15-13*ORÇAMENTO!$AF$7)/$H302*OFFSET(ORÇAMENTO!$X$15,ROW(AE302)-ROW(AE$15),0),
              ROUND(ROUND(OFFSET($P302,0,AE$13),15-13*ORÇAMENTO!$AF$7)*OFFSET(ORÇAMENTO!$W$15,ROW(AE302)-ROW(AE$15),0),15-13*ORÇAMENTO!$AF$11)),
         0)</f>
        <v>0</v>
      </c>
      <c r="AF302" s="454">
        <f ca="1">IF(AND($D302="Serviço",AF$12&lt;&gt;0,$H302&gt;0,OR(AUTOEVENTO&lt;&gt;"manual",$M302&lt;&gt;$A$15)),
        IF(Import.TipoArredondamento&lt;&gt;"TransfereGOV",
              ROUND(OFFSET($P302,0,AF$13),15-13*ORÇAMENTO!$AF$7)/$H302*OFFSET(ORÇAMENTO!$X$15,ROW(AF302)-ROW(AF$15),0),
              ROUND(ROUND(OFFSET($P302,0,AF$13),15-13*ORÇAMENTO!$AF$7)*OFFSET(ORÇAMENTO!$W$15,ROW(AF302)-ROW(AF$15),0),15-13*ORÇAMENTO!$AF$11)),
         0)</f>
        <v>0</v>
      </c>
      <c r="AG302" s="454">
        <f ca="1">IF(AND($D302="Serviço",AG$12&lt;&gt;0,$H302&gt;0,OR(AUTOEVENTO&lt;&gt;"manual",$M302&lt;&gt;$A$15)),
        IF(Import.TipoArredondamento&lt;&gt;"TransfereGOV",
              ROUND(OFFSET($P302,0,AG$13),15-13*ORÇAMENTO!$AF$7)/$H302*OFFSET(ORÇAMENTO!$X$15,ROW(AG302)-ROW(AG$15),0),
              ROUND(ROUND(OFFSET($P302,0,AG$13),15-13*ORÇAMENTO!$AF$7)*OFFSET(ORÇAMENTO!$W$15,ROW(AG302)-ROW(AG$15),0),15-13*ORÇAMENTO!$AF$11)),
         0)</f>
        <v>0</v>
      </c>
      <c r="AH302" s="454">
        <f ca="1">IF(AND($D302="Serviço",AH$12&lt;&gt;0,$H302&gt;0,OR(AUTOEVENTO&lt;&gt;"manual",$M302&lt;&gt;$A$15)),
        IF(Import.TipoArredondamento&lt;&gt;"TransfereGOV",
              ROUND(OFFSET($P302,0,AH$13),15-13*ORÇAMENTO!$AF$7)/$H302*OFFSET(ORÇAMENTO!$X$15,ROW(AH302)-ROW(AH$15),0),
              ROUND(ROUND(OFFSET($P302,0,AH$13),15-13*ORÇAMENTO!$AF$7)*OFFSET(ORÇAMENTO!$W$15,ROW(AH302)-ROW(AH$15),0),15-13*ORÇAMENTO!$AF$11)),
         0)</f>
        <v>0</v>
      </c>
      <c r="AI302" s="454">
        <f ca="1">IF(AND($D302="Serviço",AI$12&lt;&gt;0,$H302&gt;0,OR(AUTOEVENTO&lt;&gt;"manual",$M302&lt;&gt;$A$15)),
        IF(Import.TipoArredondamento&lt;&gt;"TransfereGOV",
              ROUND(OFFSET($P302,0,AI$13),15-13*ORÇAMENTO!$AF$7)/$H302*OFFSET(ORÇAMENTO!$X$15,ROW(AI302)-ROW(AI$15),0),
              ROUND(ROUND(OFFSET($P302,0,AI$13),15-13*ORÇAMENTO!$AF$7)*OFFSET(ORÇAMENTO!$W$15,ROW(AI302)-ROW(AI$15),0),15-13*ORÇAMENTO!$AF$11)),
         0)</f>
        <v>0</v>
      </c>
      <c r="AJ302" s="454">
        <f ca="1">IF(AND($D302="Serviço",AJ$12&lt;&gt;0,$H302&gt;0,OR(AUTOEVENTO&lt;&gt;"manual",$M302&lt;&gt;$A$15)),
        IF(Import.TipoArredondamento&lt;&gt;"TransfereGOV",
              ROUND(OFFSET($P302,0,AJ$13),15-13*ORÇAMENTO!$AF$7)/$H302*OFFSET(ORÇAMENTO!$X$15,ROW(AJ302)-ROW(AJ$15),0),
              ROUND(ROUND(OFFSET($P302,0,AJ$13),15-13*ORÇAMENTO!$AF$7)*OFFSET(ORÇAMENTO!$W$15,ROW(AJ302)-ROW(AJ$15),0),15-13*ORÇAMENTO!$AF$11)),
         0)</f>
        <v>0</v>
      </c>
      <c r="AK302" s="454">
        <f ca="1">IF(AND($D302="Serviço",AK$12&lt;&gt;0,$H302&gt;0,OR(AUTOEVENTO&lt;&gt;"manual",$M302&lt;&gt;$A$15)),
        IF(Import.TipoArredondamento&lt;&gt;"TransfereGOV",
              ROUND(OFFSET($P302,0,AK$13),15-13*ORÇAMENTO!$AF$7)/$H302*OFFSET(ORÇAMENTO!$X$15,ROW(AK302)-ROW(AK$15),0),
              ROUND(ROUND(OFFSET($P302,0,AK$13),15-13*ORÇAMENTO!$AF$7)*OFFSET(ORÇAMENTO!$W$15,ROW(AK302)-ROW(AK$15),0),15-13*ORÇAMENTO!$AF$11)),
         0)</f>
        <v>0</v>
      </c>
      <c r="AM302" s="172">
        <f ca="1">IF(OR($D302&lt;&gt;"Serviço",AND(AUTOEVENTO="Manual",$M302=$A$15)),0,
         IF(OFFSET(CRONOPLE!$F$15,$M302-$A$15,AM$13)="",10^12,OFFSET(CRONOPLE!$F$15,$M302-$A$15,AM$13)))</f>
        <v>1000000000000</v>
      </c>
      <c r="AN302" s="172">
        <f ca="1">IF(OR($D302&lt;&gt;"Serviço",AND(AUTOEVENTO="Manual",$M302=$A$15)),0,
         IF(OFFSET(CRONOPLE!$F$15,$M302-$A$15,AN$13)="",10^12,OFFSET(CRONOPLE!$F$15,$M302-$A$15,AN$13)))</f>
        <v>1000000000000</v>
      </c>
      <c r="AO302" s="172">
        <f ca="1">IF(OR($D302&lt;&gt;"Serviço",AND(AUTOEVENTO="Manual",$M302=$A$15)),0,
         IF(OFFSET(CRONOPLE!$F$15,$M302-$A$15,AO$13)="",10^12,OFFSET(CRONOPLE!$F$15,$M302-$A$15,AO$13)))</f>
        <v>1000000000000</v>
      </c>
      <c r="AP302" s="172">
        <f ca="1">IF(OR($D302&lt;&gt;"Serviço",AND(AUTOEVENTO="Manual",$M302=$A$15)),0,
         IF(OFFSET(CRONOPLE!$F$15,$M302-$A$15,AP$13)="",10^12,OFFSET(CRONOPLE!$F$15,$M302-$A$15,AP$13)))</f>
        <v>1000000000000</v>
      </c>
      <c r="AQ302" s="172">
        <f ca="1">IF(OR($D302&lt;&gt;"Serviço",AND(AUTOEVENTO="Manual",$M302=$A$15)),0,
         IF(OFFSET(CRONOPLE!$F$15,$M302-$A$15,AQ$13)="",10^12,OFFSET(CRONOPLE!$F$15,$M302-$A$15,AQ$13)))</f>
        <v>1000000000000</v>
      </c>
      <c r="AR302" s="172">
        <f ca="1">IF(OR($D302&lt;&gt;"Serviço",AND(AUTOEVENTO="Manual",$M302=$A$15)),0,
         IF(OFFSET(CRONOPLE!$F$15,$M302-$A$15,AR$13)="",10^12,OFFSET(CRONOPLE!$F$15,$M302-$A$15,AR$13)))</f>
        <v>1000000000000</v>
      </c>
      <c r="AS302" s="172">
        <f ca="1">IF(OR($D302&lt;&gt;"Serviço",AND(AUTOEVENTO="Manual",$M302=$A$15)),0,
         IF(OFFSET(CRONOPLE!$F$15,$M302-$A$15,AS$13)="",10^12,OFFSET(CRONOPLE!$F$15,$M302-$A$15,AS$13)))</f>
        <v>1000000000000</v>
      </c>
      <c r="AT302" s="172">
        <f ca="1">IF(OR($D302&lt;&gt;"Serviço",AND(AUTOEVENTO="Manual",$M302=$A$15)),0,
         IF(OFFSET(CRONOPLE!$F$15,$M302-$A$15,AT$13)="",10^12,OFFSET(CRONOPLE!$F$15,$M302-$A$15,AT$13)))</f>
        <v>1000000000000</v>
      </c>
      <c r="AU302" s="172">
        <f ca="1">IF(OR($D302&lt;&gt;"Serviço",AND(AUTOEVENTO="Manual",$M302=$A$15)),0,
         IF(OFFSET(CRONOPLE!$F$15,$M302-$A$15,AU$13)="",10^12,OFFSET(CRONOPLE!$F$15,$M302-$A$15,AU$13)))</f>
        <v>1000000000000</v>
      </c>
      <c r="AV302" s="172">
        <f ca="1">IF(OR($D302&lt;&gt;"Serviço",AND(AUTOEVENTO="Manual",$M302=$A$15)),0,
         IF(OFFSET(CRONOPLE!$F$15,$M302-$A$15,AV$13)="",10^12,OFFSET(CRONOPLE!$F$15,$M302-$A$15,AV$13)))</f>
        <v>1000000000000</v>
      </c>
      <c r="AX302" s="173">
        <f ca="1">IF(OR($D302&lt;&gt;"Serviço",AND(AUTOEVENTO="Manual",$M302=$A$15),$M302&gt;(ROW(PLE.lastrow)-ROW(PLE.firstrow))),0,
           IF(OFFSET(PLE!$G$15,$M302-$A$15,AX$13)="",10^12,OFFSET(PLE!$G$15,$M302-$A$15,AX$13)))</f>
        <v>1000000000000</v>
      </c>
      <c r="AY302" s="173">
        <f ca="1">IF(OR($D302&lt;&gt;"Serviço",AND(AUTOEVENTO="Manual",$M302=$A$15),$M302&gt;(ROW(PLE.lastrow)-ROW(PLE.firstrow))),0,
           IF(OFFSET(PLE!$G$15,$M302-$A$15,AY$13)="",10^12,OFFSET(PLE!$G$15,$M302-$A$15,AY$13)))</f>
        <v>1000000000000</v>
      </c>
      <c r="AZ302" s="173">
        <f ca="1">IF(OR($D302&lt;&gt;"Serviço",AND(AUTOEVENTO="Manual",$M302=$A$15),$M302&gt;(ROW(PLE.lastrow)-ROW(PLE.firstrow))),0,
           IF(OFFSET(PLE!$G$15,$M302-$A$15,AZ$13)="",10^12,OFFSET(PLE!$G$15,$M302-$A$15,AZ$13)))</f>
        <v>1000000000000</v>
      </c>
      <c r="BA302" s="173">
        <f ca="1">IF(OR($D302&lt;&gt;"Serviço",AND(AUTOEVENTO="Manual",$M302=$A$15),$M302&gt;(ROW(PLE.lastrow)-ROW(PLE.firstrow))),0,
           IF(OFFSET(PLE!$G$15,$M302-$A$15,BA$13)="",10^12,OFFSET(PLE!$G$15,$M302-$A$15,BA$13)))</f>
        <v>1000000000000</v>
      </c>
      <c r="BB302" s="173">
        <f ca="1">IF(OR($D302&lt;&gt;"Serviço",AND(AUTOEVENTO="Manual",$M302=$A$15),$M302&gt;(ROW(PLE.lastrow)-ROW(PLE.firstrow))),0,
           IF(OFFSET(PLE!$G$15,$M302-$A$15,BB$13)="",10^12,OFFSET(PLE!$G$15,$M302-$A$15,BB$13)))</f>
        <v>1000000000000</v>
      </c>
      <c r="BC302" s="173">
        <f ca="1">IF(OR($D302&lt;&gt;"Serviço",AND(AUTOEVENTO="Manual",$M302=$A$15),$M302&gt;(ROW(PLE.lastrow)-ROW(PLE.firstrow))),0,
           IF(OFFSET(PLE!$G$15,$M302-$A$15,BC$13)="",10^12,OFFSET(PLE!$G$15,$M302-$A$15,BC$13)))</f>
        <v>1000000000000</v>
      </c>
      <c r="BD302" s="173">
        <f ca="1">IF(OR($D302&lt;&gt;"Serviço",AND(AUTOEVENTO="Manual",$M302=$A$15),$M302&gt;(ROW(PLE.lastrow)-ROW(PLE.firstrow))),0,
           IF(OFFSET(PLE!$G$15,$M302-$A$15,BD$13)="",10^12,OFFSET(PLE!$G$15,$M302-$A$15,BD$13)))</f>
        <v>1000000000000</v>
      </c>
      <c r="BE302" s="173">
        <f ca="1">IF(OR($D302&lt;&gt;"Serviço",AND(AUTOEVENTO="Manual",$M302=$A$15),$M302&gt;(ROW(PLE.lastrow)-ROW(PLE.firstrow))),0,
           IF(OFFSET(PLE!$G$15,$M302-$A$15,BE$13)="",10^12,OFFSET(PLE!$G$15,$M302-$A$15,BE$13)))</f>
        <v>1000000000000</v>
      </c>
      <c r="BF302" s="173">
        <f ca="1">IF(OR($D302&lt;&gt;"Serviço",AND(AUTOEVENTO="Manual",$M302=$A$15),$M302&gt;(ROW(PLE.lastrow)-ROW(PLE.firstrow))),0,
           IF(OFFSET(PLE!$G$15,$M302-$A$15,BF$13)="",10^12,OFFSET(PLE!$G$15,$M302-$A$15,BF$13)))</f>
        <v>1000000000000</v>
      </c>
      <c r="BG302" s="173">
        <f ca="1">IF(OR($D302&lt;&gt;"Serviço",AND(AUTOEVENTO="Manual",$M302=$A$15),$M302&gt;(ROW(PLE.lastrow)-ROW(PLE.firstrow))),0,
           IF(OFFSET(PLE!$G$15,$M302-$A$15,BG$13)="",10^12,OFFSET(PLE!$G$15,$M302-$A$15,BG$13)))</f>
        <v>1000000000000</v>
      </c>
    </row>
    <row r="303" spans="1:59" ht="12.75" x14ac:dyDescent="0.2">
      <c r="A303" s="7" t="str">
        <f t="shared" ca="1" si="12"/>
        <v>253</v>
      </c>
      <c r="B303" s="7">
        <f ca="1">OFFSET(ORÇAMENTO!C$15,ROW(B303)-ROW(B$15),0)</f>
        <v>3</v>
      </c>
      <c r="C303" s="7" t="str">
        <f ca="1">OFFSET(ORÇAMENTO!L$15,ROW(C303)-ROW(C$15),0)</f>
        <v>F</v>
      </c>
      <c r="D303" s="117" t="str">
        <f ca="1">OFFSET(ORÇAMENTO!N$15,ROW(D303)-ROW(D$15),0)</f>
        <v>Nível 3</v>
      </c>
      <c r="E303" s="118" t="str">
        <f ca="1">OFFSET(ORÇAMENTO!O$15,ROW(E303)-ROW(E$15),0)</f>
        <v>1.16.6.</v>
      </c>
      <c r="F303" s="164" t="str">
        <f ca="1">OFFSET(ORÇAMENTO!R$15,ROW(F303)-ROW(F$15),0)</f>
        <v>SISTEMA HIDRÁULICO PREVENTIVO</v>
      </c>
      <c r="G303" s="165" t="str">
        <f ca="1">IF($D303&lt;&gt;"Serviço","",OFFSET(ORÇAMENTO!S$15,ROW(G303)-ROW(G$15),0))</f>
        <v/>
      </c>
      <c r="H303" s="123">
        <f ca="1">IF($D303&lt;&gt;"Serviço",0,IF(ACOMPANHAMENTO="BM",ROUND(OFFSET(ORÇAMENTO!AJ$15,ROW(H303)-ROW(H$15),0),15-13*ORÇAMENTO!$AF$7),SUMPRODUCT(($Q$1:$AA$1=1)*ROUND($Q303:$AA303,15-13*ORÇAMENTO!$AF$7))))</f>
        <v>0</v>
      </c>
      <c r="I303" s="469"/>
      <c r="J303" s="577" t="str" cm="1">
        <f t="array" aca="1" ref="J303" ca="1">IF(B303&lt;&gt;"S","",IF(AND(ACOMPANHAMENTO="PLE",AUTOEVENTO="Manual",OR(H303&gt;0,ORÇAMENTO!AC303="QUANT."),OR(K303="",M303=0,N303="")),"►",IF(AND(ACOMPANHAMENTO="PLE",ORÇAMENTO!AC303="QUANT."),"►►",IF(AND(COUNTIF($P$11:$AA$11,"▼")=0,H303&gt;0,I303=""),"◄",""))))</f>
        <v/>
      </c>
      <c r="K303" s="626"/>
      <c r="L303" s="166" t="s">
        <v>765</v>
      </c>
      <c r="M303" s="167" t="str">
        <f ca="1">IF($D303&lt;&gt;"Serviço","",
          IF(AUTOEVENTO="manual",$A303,
                IF(ISERROR(MATCH($A303,$A$15:OFFSET($A303,-1,0),0)),MAX($M$15:OFFSET(M303,-1,0))+1,
                      INDEX($M$15:OFFSET(M303,-1,0),MATCH($A303,$A$15:OFFSET($A303,-1,0),0)))))</f>
        <v/>
      </c>
      <c r="N303" s="168" t="str">
        <f ca="1">IF($D303&lt;&gt;"Serviço","",
         IF(AUTOEVENTO="Manual",
                IF($A303=0,"&lt;-- defina o número do agrupador",
                       OFFSET(EVENTOS!$D$15,$A303-$A$15,0)),
                OFFSET($F$15,$A303,0)))</f>
        <v/>
      </c>
      <c r="O303" s="169"/>
      <c r="Q303" s="169"/>
      <c r="R303" s="170"/>
      <c r="S303" s="170"/>
      <c r="T303" s="170"/>
      <c r="U303" s="170"/>
      <c r="V303" s="170"/>
      <c r="W303" s="170"/>
      <c r="X303" s="170"/>
      <c r="Y303" s="170"/>
      <c r="Z303" s="171"/>
      <c r="AB303" s="454">
        <f ca="1">IF(AND($D303="Serviço",AB$12&lt;&gt;0,$H303&gt;0,OR(AUTOEVENTO&lt;&gt;"manual",$M303&lt;&gt;$A$15)),
        IF(Import.TipoArredondamento&lt;&gt;"TransfereGOV",
              ROUND(OFFSET($P303,0,AB$13),15-13*ORÇAMENTO!$AF$7)/$H303*OFFSET(ORÇAMENTO!$X$15,ROW(AB303)-ROW(AB$15),0),
              ROUND(ROUND(OFFSET($P303,0,AB$13),15-13*ORÇAMENTO!$AF$7)*OFFSET(ORÇAMENTO!$W$15,ROW(AB303)-ROW(AB$15),0),15-13*ORÇAMENTO!$AF$11)),
         0)</f>
        <v>0</v>
      </c>
      <c r="AC303" s="454">
        <f ca="1">IF(AND($D303="Serviço",AC$12&lt;&gt;0,$H303&gt;0,OR(AUTOEVENTO&lt;&gt;"manual",$M303&lt;&gt;$A$15)),
        IF(Import.TipoArredondamento&lt;&gt;"TransfereGOV",
              ROUND(OFFSET($P303,0,AC$13),15-13*ORÇAMENTO!$AF$7)/$H303*OFFSET(ORÇAMENTO!$X$15,ROW(AC303)-ROW(AC$15),0),
              ROUND(ROUND(OFFSET($P303,0,AC$13),15-13*ORÇAMENTO!$AF$7)*OFFSET(ORÇAMENTO!$W$15,ROW(AC303)-ROW(AC$15),0),15-13*ORÇAMENTO!$AF$11)),
         0)</f>
        <v>0</v>
      </c>
      <c r="AD303" s="454">
        <f ca="1">IF(AND($D303="Serviço",AD$12&lt;&gt;0,$H303&gt;0,OR(AUTOEVENTO&lt;&gt;"manual",$M303&lt;&gt;$A$15)),
        IF(Import.TipoArredondamento&lt;&gt;"TransfereGOV",
              ROUND(OFFSET($P303,0,AD$13),15-13*ORÇAMENTO!$AF$7)/$H303*OFFSET(ORÇAMENTO!$X$15,ROW(AD303)-ROW(AD$15),0),
              ROUND(ROUND(OFFSET($P303,0,AD$13),15-13*ORÇAMENTO!$AF$7)*OFFSET(ORÇAMENTO!$W$15,ROW(AD303)-ROW(AD$15),0),15-13*ORÇAMENTO!$AF$11)),
         0)</f>
        <v>0</v>
      </c>
      <c r="AE303" s="454">
        <f ca="1">IF(AND($D303="Serviço",AE$12&lt;&gt;0,$H303&gt;0,OR(AUTOEVENTO&lt;&gt;"manual",$M303&lt;&gt;$A$15)),
        IF(Import.TipoArredondamento&lt;&gt;"TransfereGOV",
              ROUND(OFFSET($P303,0,AE$13),15-13*ORÇAMENTO!$AF$7)/$H303*OFFSET(ORÇAMENTO!$X$15,ROW(AE303)-ROW(AE$15),0),
              ROUND(ROUND(OFFSET($P303,0,AE$13),15-13*ORÇAMENTO!$AF$7)*OFFSET(ORÇAMENTO!$W$15,ROW(AE303)-ROW(AE$15),0),15-13*ORÇAMENTO!$AF$11)),
         0)</f>
        <v>0</v>
      </c>
      <c r="AF303" s="454">
        <f ca="1">IF(AND($D303="Serviço",AF$12&lt;&gt;0,$H303&gt;0,OR(AUTOEVENTO&lt;&gt;"manual",$M303&lt;&gt;$A$15)),
        IF(Import.TipoArredondamento&lt;&gt;"TransfereGOV",
              ROUND(OFFSET($P303,0,AF$13),15-13*ORÇAMENTO!$AF$7)/$H303*OFFSET(ORÇAMENTO!$X$15,ROW(AF303)-ROW(AF$15),0),
              ROUND(ROUND(OFFSET($P303,0,AF$13),15-13*ORÇAMENTO!$AF$7)*OFFSET(ORÇAMENTO!$W$15,ROW(AF303)-ROW(AF$15),0),15-13*ORÇAMENTO!$AF$11)),
         0)</f>
        <v>0</v>
      </c>
      <c r="AG303" s="454">
        <f ca="1">IF(AND($D303="Serviço",AG$12&lt;&gt;0,$H303&gt;0,OR(AUTOEVENTO&lt;&gt;"manual",$M303&lt;&gt;$A$15)),
        IF(Import.TipoArredondamento&lt;&gt;"TransfereGOV",
              ROUND(OFFSET($P303,0,AG$13),15-13*ORÇAMENTO!$AF$7)/$H303*OFFSET(ORÇAMENTO!$X$15,ROW(AG303)-ROW(AG$15),0),
              ROUND(ROUND(OFFSET($P303,0,AG$13),15-13*ORÇAMENTO!$AF$7)*OFFSET(ORÇAMENTO!$W$15,ROW(AG303)-ROW(AG$15),0),15-13*ORÇAMENTO!$AF$11)),
         0)</f>
        <v>0</v>
      </c>
      <c r="AH303" s="454">
        <f ca="1">IF(AND($D303="Serviço",AH$12&lt;&gt;0,$H303&gt;0,OR(AUTOEVENTO&lt;&gt;"manual",$M303&lt;&gt;$A$15)),
        IF(Import.TipoArredondamento&lt;&gt;"TransfereGOV",
              ROUND(OFFSET($P303,0,AH$13),15-13*ORÇAMENTO!$AF$7)/$H303*OFFSET(ORÇAMENTO!$X$15,ROW(AH303)-ROW(AH$15),0),
              ROUND(ROUND(OFFSET($P303,0,AH$13),15-13*ORÇAMENTO!$AF$7)*OFFSET(ORÇAMENTO!$W$15,ROW(AH303)-ROW(AH$15),0),15-13*ORÇAMENTO!$AF$11)),
         0)</f>
        <v>0</v>
      </c>
      <c r="AI303" s="454">
        <f ca="1">IF(AND($D303="Serviço",AI$12&lt;&gt;0,$H303&gt;0,OR(AUTOEVENTO&lt;&gt;"manual",$M303&lt;&gt;$A$15)),
        IF(Import.TipoArredondamento&lt;&gt;"TransfereGOV",
              ROUND(OFFSET($P303,0,AI$13),15-13*ORÇAMENTO!$AF$7)/$H303*OFFSET(ORÇAMENTO!$X$15,ROW(AI303)-ROW(AI$15),0),
              ROUND(ROUND(OFFSET($P303,0,AI$13),15-13*ORÇAMENTO!$AF$7)*OFFSET(ORÇAMENTO!$W$15,ROW(AI303)-ROW(AI$15),0),15-13*ORÇAMENTO!$AF$11)),
         0)</f>
        <v>0</v>
      </c>
      <c r="AJ303" s="454">
        <f ca="1">IF(AND($D303="Serviço",AJ$12&lt;&gt;0,$H303&gt;0,OR(AUTOEVENTO&lt;&gt;"manual",$M303&lt;&gt;$A$15)),
        IF(Import.TipoArredondamento&lt;&gt;"TransfereGOV",
              ROUND(OFFSET($P303,0,AJ$13),15-13*ORÇAMENTO!$AF$7)/$H303*OFFSET(ORÇAMENTO!$X$15,ROW(AJ303)-ROW(AJ$15),0),
              ROUND(ROUND(OFFSET($P303,0,AJ$13),15-13*ORÇAMENTO!$AF$7)*OFFSET(ORÇAMENTO!$W$15,ROW(AJ303)-ROW(AJ$15),0),15-13*ORÇAMENTO!$AF$11)),
         0)</f>
        <v>0</v>
      </c>
      <c r="AK303" s="454">
        <f ca="1">IF(AND($D303="Serviço",AK$12&lt;&gt;0,$H303&gt;0,OR(AUTOEVENTO&lt;&gt;"manual",$M303&lt;&gt;$A$15)),
        IF(Import.TipoArredondamento&lt;&gt;"TransfereGOV",
              ROUND(OFFSET($P303,0,AK$13),15-13*ORÇAMENTO!$AF$7)/$H303*OFFSET(ORÇAMENTO!$X$15,ROW(AK303)-ROW(AK$15),0),
              ROUND(ROUND(OFFSET($P303,0,AK$13),15-13*ORÇAMENTO!$AF$7)*OFFSET(ORÇAMENTO!$W$15,ROW(AK303)-ROW(AK$15),0),15-13*ORÇAMENTO!$AF$11)),
         0)</f>
        <v>0</v>
      </c>
      <c r="AM303" s="172">
        <f ca="1">IF(OR($D303&lt;&gt;"Serviço",AND(AUTOEVENTO="Manual",$M303=$A$15)),0,
         IF(OFFSET(CRONOPLE!$F$15,$M303-$A$15,AM$13)="",10^12,OFFSET(CRONOPLE!$F$15,$M303-$A$15,AM$13)))</f>
        <v>0</v>
      </c>
      <c r="AN303" s="172">
        <f ca="1">IF(OR($D303&lt;&gt;"Serviço",AND(AUTOEVENTO="Manual",$M303=$A$15)),0,
         IF(OFFSET(CRONOPLE!$F$15,$M303-$A$15,AN$13)="",10^12,OFFSET(CRONOPLE!$F$15,$M303-$A$15,AN$13)))</f>
        <v>0</v>
      </c>
      <c r="AO303" s="172">
        <f ca="1">IF(OR($D303&lt;&gt;"Serviço",AND(AUTOEVENTO="Manual",$M303=$A$15)),0,
         IF(OFFSET(CRONOPLE!$F$15,$M303-$A$15,AO$13)="",10^12,OFFSET(CRONOPLE!$F$15,$M303-$A$15,AO$13)))</f>
        <v>0</v>
      </c>
      <c r="AP303" s="172">
        <f ca="1">IF(OR($D303&lt;&gt;"Serviço",AND(AUTOEVENTO="Manual",$M303=$A$15)),0,
         IF(OFFSET(CRONOPLE!$F$15,$M303-$A$15,AP$13)="",10^12,OFFSET(CRONOPLE!$F$15,$M303-$A$15,AP$13)))</f>
        <v>0</v>
      </c>
      <c r="AQ303" s="172">
        <f ca="1">IF(OR($D303&lt;&gt;"Serviço",AND(AUTOEVENTO="Manual",$M303=$A$15)),0,
         IF(OFFSET(CRONOPLE!$F$15,$M303-$A$15,AQ$13)="",10^12,OFFSET(CRONOPLE!$F$15,$M303-$A$15,AQ$13)))</f>
        <v>0</v>
      </c>
      <c r="AR303" s="172">
        <f ca="1">IF(OR($D303&lt;&gt;"Serviço",AND(AUTOEVENTO="Manual",$M303=$A$15)),0,
         IF(OFFSET(CRONOPLE!$F$15,$M303-$A$15,AR$13)="",10^12,OFFSET(CRONOPLE!$F$15,$M303-$A$15,AR$13)))</f>
        <v>0</v>
      </c>
      <c r="AS303" s="172">
        <f ca="1">IF(OR($D303&lt;&gt;"Serviço",AND(AUTOEVENTO="Manual",$M303=$A$15)),0,
         IF(OFFSET(CRONOPLE!$F$15,$M303-$A$15,AS$13)="",10^12,OFFSET(CRONOPLE!$F$15,$M303-$A$15,AS$13)))</f>
        <v>0</v>
      </c>
      <c r="AT303" s="172">
        <f ca="1">IF(OR($D303&lt;&gt;"Serviço",AND(AUTOEVENTO="Manual",$M303=$A$15)),0,
         IF(OFFSET(CRONOPLE!$F$15,$M303-$A$15,AT$13)="",10^12,OFFSET(CRONOPLE!$F$15,$M303-$A$15,AT$13)))</f>
        <v>0</v>
      </c>
      <c r="AU303" s="172">
        <f ca="1">IF(OR($D303&lt;&gt;"Serviço",AND(AUTOEVENTO="Manual",$M303=$A$15)),0,
         IF(OFFSET(CRONOPLE!$F$15,$M303-$A$15,AU$13)="",10^12,OFFSET(CRONOPLE!$F$15,$M303-$A$15,AU$13)))</f>
        <v>0</v>
      </c>
      <c r="AV303" s="172">
        <f ca="1">IF(OR($D303&lt;&gt;"Serviço",AND(AUTOEVENTO="Manual",$M303=$A$15)),0,
         IF(OFFSET(CRONOPLE!$F$15,$M303-$A$15,AV$13)="",10^12,OFFSET(CRONOPLE!$F$15,$M303-$A$15,AV$13)))</f>
        <v>0</v>
      </c>
      <c r="AX303" s="173">
        <f ca="1">IF(OR($D303&lt;&gt;"Serviço",AND(AUTOEVENTO="Manual",$M303=$A$15),$M303&gt;(ROW(PLE.lastrow)-ROW(PLE.firstrow))),0,
           IF(OFFSET(PLE!$G$15,$M303-$A$15,AX$13)="",10^12,OFFSET(PLE!$G$15,$M303-$A$15,AX$13)))</f>
        <v>0</v>
      </c>
      <c r="AY303" s="173">
        <f ca="1">IF(OR($D303&lt;&gt;"Serviço",AND(AUTOEVENTO="Manual",$M303=$A$15),$M303&gt;(ROW(PLE.lastrow)-ROW(PLE.firstrow))),0,
           IF(OFFSET(PLE!$G$15,$M303-$A$15,AY$13)="",10^12,OFFSET(PLE!$G$15,$M303-$A$15,AY$13)))</f>
        <v>0</v>
      </c>
      <c r="AZ303" s="173">
        <f ca="1">IF(OR($D303&lt;&gt;"Serviço",AND(AUTOEVENTO="Manual",$M303=$A$15),$M303&gt;(ROW(PLE.lastrow)-ROW(PLE.firstrow))),0,
           IF(OFFSET(PLE!$G$15,$M303-$A$15,AZ$13)="",10^12,OFFSET(PLE!$G$15,$M303-$A$15,AZ$13)))</f>
        <v>0</v>
      </c>
      <c r="BA303" s="173">
        <f ca="1">IF(OR($D303&lt;&gt;"Serviço",AND(AUTOEVENTO="Manual",$M303=$A$15),$M303&gt;(ROW(PLE.lastrow)-ROW(PLE.firstrow))),0,
           IF(OFFSET(PLE!$G$15,$M303-$A$15,BA$13)="",10^12,OFFSET(PLE!$G$15,$M303-$A$15,BA$13)))</f>
        <v>0</v>
      </c>
      <c r="BB303" s="173">
        <f ca="1">IF(OR($D303&lt;&gt;"Serviço",AND(AUTOEVENTO="Manual",$M303=$A$15),$M303&gt;(ROW(PLE.lastrow)-ROW(PLE.firstrow))),0,
           IF(OFFSET(PLE!$G$15,$M303-$A$15,BB$13)="",10^12,OFFSET(PLE!$G$15,$M303-$A$15,BB$13)))</f>
        <v>0</v>
      </c>
      <c r="BC303" s="173">
        <f ca="1">IF(OR($D303&lt;&gt;"Serviço",AND(AUTOEVENTO="Manual",$M303=$A$15),$M303&gt;(ROW(PLE.lastrow)-ROW(PLE.firstrow))),0,
           IF(OFFSET(PLE!$G$15,$M303-$A$15,BC$13)="",10^12,OFFSET(PLE!$G$15,$M303-$A$15,BC$13)))</f>
        <v>0</v>
      </c>
      <c r="BD303" s="173">
        <f ca="1">IF(OR($D303&lt;&gt;"Serviço",AND(AUTOEVENTO="Manual",$M303=$A$15),$M303&gt;(ROW(PLE.lastrow)-ROW(PLE.firstrow))),0,
           IF(OFFSET(PLE!$G$15,$M303-$A$15,BD$13)="",10^12,OFFSET(PLE!$G$15,$M303-$A$15,BD$13)))</f>
        <v>0</v>
      </c>
      <c r="BE303" s="173">
        <f ca="1">IF(OR($D303&lt;&gt;"Serviço",AND(AUTOEVENTO="Manual",$M303=$A$15),$M303&gt;(ROW(PLE.lastrow)-ROW(PLE.firstrow))),0,
           IF(OFFSET(PLE!$G$15,$M303-$A$15,BE$13)="",10^12,OFFSET(PLE!$G$15,$M303-$A$15,BE$13)))</f>
        <v>0</v>
      </c>
      <c r="BF303" s="173">
        <f ca="1">IF(OR($D303&lt;&gt;"Serviço",AND(AUTOEVENTO="Manual",$M303=$A$15),$M303&gt;(ROW(PLE.lastrow)-ROW(PLE.firstrow))),0,
           IF(OFFSET(PLE!$G$15,$M303-$A$15,BF$13)="",10^12,OFFSET(PLE!$G$15,$M303-$A$15,BF$13)))</f>
        <v>0</v>
      </c>
      <c r="BG303" s="173">
        <f ca="1">IF(OR($D303&lt;&gt;"Serviço",AND(AUTOEVENTO="Manual",$M303=$A$15),$M303&gt;(ROW(PLE.lastrow)-ROW(PLE.firstrow))),0,
           IF(OFFSET(PLE!$G$15,$M303-$A$15,BG$13)="",10^12,OFFSET(PLE!$G$15,$M303-$A$15,BG$13)))</f>
        <v>0</v>
      </c>
    </row>
    <row r="304" spans="1:59" ht="51" x14ac:dyDescent="0.2">
      <c r="A304" s="7" t="str">
        <f t="shared" ca="1" si="12"/>
        <v>253</v>
      </c>
      <c r="B304" s="7" t="str">
        <f ca="1">OFFSET(ORÇAMENTO!C$15,ROW(B304)-ROW(B$15),0)</f>
        <v>S</v>
      </c>
      <c r="C304" s="7" t="str">
        <f ca="1">OFFSET(ORÇAMENTO!L$15,ROW(C304)-ROW(C$15),0)</f>
        <v/>
      </c>
      <c r="D304" s="117" t="str">
        <f ca="1">OFFSET(ORÇAMENTO!N$15,ROW(D304)-ROW(D$15),0)</f>
        <v>Serviço</v>
      </c>
      <c r="E304" s="118" t="str">
        <f ca="1">OFFSET(ORÇAMENTO!O$15,ROW(E304)-ROW(E$15),0)</f>
        <v>-</v>
      </c>
      <c r="F304" s="164" t="str">
        <f ca="1">OFFSET(ORÇAMENTO!R$15,ROW(F304)-ROW(F$15),0)</f>
        <v>TUBO DE AÇO GALVANIZADO COM COSTURA, CLASSE MÉDIA, DN 65 (2 1/2"), CONEXÃO ROSQUEADA, INSTALADO EM REDE DE ALIMENTAÇÃO PARA HIDRANTE - FORNECIMENTO E INSTALAÇÃO. AF_10/2020</v>
      </c>
      <c r="G304" s="165" t="str">
        <f ca="1">IF($D304&lt;&gt;"Serviço","",OFFSET(ORÇAMENTO!S$15,ROW(G304)-ROW(G$15),0))</f>
        <v>M</v>
      </c>
      <c r="H304" s="123">
        <f ca="1">IF($D304&lt;&gt;"Serviço",0,IF(ACOMPANHAMENTO="BM",ROUND(OFFSET(ORÇAMENTO!AJ$15,ROW(H304)-ROW(H$15),0),15-13*ORÇAMENTO!$AF$7),SUMPRODUCT(($Q$1:$AA$1=1)*ROUND($Q304:$AA304,15-13*ORÇAMENTO!$AF$7))))</f>
        <v>57.6</v>
      </c>
      <c r="I304" s="469"/>
      <c r="J304" s="577" t="str" cm="1">
        <f t="array" aca="1" ref="J304" ca="1">IF(B304&lt;&gt;"S","",IF(AND(ACOMPANHAMENTO="PLE",AUTOEVENTO="Manual",OR(H304&gt;0,ORÇAMENTO!AC304="QUANT."),OR(K304="",M304=0,N304="")),"►",IF(AND(ACOMPANHAMENTO="PLE",ORÇAMENTO!AC304="QUANT."),"►►",IF(AND(COUNTIF($P$11:$AA$11,"▼")=0,H304&gt;0,I304=""),"◄",""))))</f>
        <v>◄</v>
      </c>
      <c r="K304" s="626"/>
      <c r="L304" s="166" t="s">
        <v>765</v>
      </c>
      <c r="M304" s="167">
        <f ca="1">IF($D304&lt;&gt;"Serviço","",
          IF(AUTOEVENTO="manual",$A304,
                IF(ISERROR(MATCH($A304,$A$15:OFFSET($A304,-1,0),0)),MAX($M$15:OFFSET(M304,-1,0))+1,
                      INDEX($M$15:OFFSET(M304,-1,0),MATCH($A304,$A$15:OFFSET($A304,-1,0),0)))))</f>
        <v>16</v>
      </c>
      <c r="N304" s="168" t="str">
        <f ca="1">IF($D304&lt;&gt;"Serviço","",
         IF(AUTOEVENTO="Manual",
                IF($A304=0,"&lt;-- defina o número do agrupador",
                       OFFSET(EVENTOS!$D$15,$A304-$A$15,0)),
                OFFSET($F$15,$A304,0)))</f>
        <v>SISTEMAS DE PREVENÇÃO CONTRA INCÊNDIO</v>
      </c>
      <c r="O304" s="169"/>
      <c r="Q304" s="169"/>
      <c r="R304" s="170"/>
      <c r="S304" s="170"/>
      <c r="T304" s="170"/>
      <c r="U304" s="170"/>
      <c r="V304" s="170"/>
      <c r="W304" s="170"/>
      <c r="X304" s="170"/>
      <c r="Y304" s="170"/>
      <c r="Z304" s="171"/>
      <c r="AB304" s="454">
        <f ca="1">IF(AND($D304="Serviço",AB$12&lt;&gt;0,$H304&gt;0,OR(AUTOEVENTO&lt;&gt;"manual",$M304&lt;&gt;$A$15)),
        IF(Import.TipoArredondamento&lt;&gt;"TransfereGOV",
              ROUND(OFFSET($P304,0,AB$13),15-13*ORÇAMENTO!$AF$7)/$H304*OFFSET(ORÇAMENTO!$X$15,ROW(AB304)-ROW(AB$15),0),
              ROUND(ROUND(OFFSET($P304,0,AB$13),15-13*ORÇAMENTO!$AF$7)*OFFSET(ORÇAMENTO!$W$15,ROW(AB304)-ROW(AB$15),0),15-13*ORÇAMENTO!$AF$11)),
         0)</f>
        <v>0</v>
      </c>
      <c r="AC304" s="454">
        <f ca="1">IF(AND($D304="Serviço",AC$12&lt;&gt;0,$H304&gt;0,OR(AUTOEVENTO&lt;&gt;"manual",$M304&lt;&gt;$A$15)),
        IF(Import.TipoArredondamento&lt;&gt;"TransfereGOV",
              ROUND(OFFSET($P304,0,AC$13),15-13*ORÇAMENTO!$AF$7)/$H304*OFFSET(ORÇAMENTO!$X$15,ROW(AC304)-ROW(AC$15),0),
              ROUND(ROUND(OFFSET($P304,0,AC$13),15-13*ORÇAMENTO!$AF$7)*OFFSET(ORÇAMENTO!$W$15,ROW(AC304)-ROW(AC$15),0),15-13*ORÇAMENTO!$AF$11)),
         0)</f>
        <v>0</v>
      </c>
      <c r="AD304" s="454">
        <f ca="1">IF(AND($D304="Serviço",AD$12&lt;&gt;0,$H304&gt;0,OR(AUTOEVENTO&lt;&gt;"manual",$M304&lt;&gt;$A$15)),
        IF(Import.TipoArredondamento&lt;&gt;"TransfereGOV",
              ROUND(OFFSET($P304,0,AD$13),15-13*ORÇAMENTO!$AF$7)/$H304*OFFSET(ORÇAMENTO!$X$15,ROW(AD304)-ROW(AD$15),0),
              ROUND(ROUND(OFFSET($P304,0,AD$13),15-13*ORÇAMENTO!$AF$7)*OFFSET(ORÇAMENTO!$W$15,ROW(AD304)-ROW(AD$15),0),15-13*ORÇAMENTO!$AF$11)),
         0)</f>
        <v>0</v>
      </c>
      <c r="AE304" s="454">
        <f ca="1">IF(AND($D304="Serviço",AE$12&lt;&gt;0,$H304&gt;0,OR(AUTOEVENTO&lt;&gt;"manual",$M304&lt;&gt;$A$15)),
        IF(Import.TipoArredondamento&lt;&gt;"TransfereGOV",
              ROUND(OFFSET($P304,0,AE$13),15-13*ORÇAMENTO!$AF$7)/$H304*OFFSET(ORÇAMENTO!$X$15,ROW(AE304)-ROW(AE$15),0),
              ROUND(ROUND(OFFSET($P304,0,AE$13),15-13*ORÇAMENTO!$AF$7)*OFFSET(ORÇAMENTO!$W$15,ROW(AE304)-ROW(AE$15),0),15-13*ORÇAMENTO!$AF$11)),
         0)</f>
        <v>0</v>
      </c>
      <c r="AF304" s="454">
        <f ca="1">IF(AND($D304="Serviço",AF$12&lt;&gt;0,$H304&gt;0,OR(AUTOEVENTO&lt;&gt;"manual",$M304&lt;&gt;$A$15)),
        IF(Import.TipoArredondamento&lt;&gt;"TransfereGOV",
              ROUND(OFFSET($P304,0,AF$13),15-13*ORÇAMENTO!$AF$7)/$H304*OFFSET(ORÇAMENTO!$X$15,ROW(AF304)-ROW(AF$15),0),
              ROUND(ROUND(OFFSET($P304,0,AF$13),15-13*ORÇAMENTO!$AF$7)*OFFSET(ORÇAMENTO!$W$15,ROW(AF304)-ROW(AF$15),0),15-13*ORÇAMENTO!$AF$11)),
         0)</f>
        <v>0</v>
      </c>
      <c r="AG304" s="454">
        <f ca="1">IF(AND($D304="Serviço",AG$12&lt;&gt;0,$H304&gt;0,OR(AUTOEVENTO&lt;&gt;"manual",$M304&lt;&gt;$A$15)),
        IF(Import.TipoArredondamento&lt;&gt;"TransfereGOV",
              ROUND(OFFSET($P304,0,AG$13),15-13*ORÇAMENTO!$AF$7)/$H304*OFFSET(ORÇAMENTO!$X$15,ROW(AG304)-ROW(AG$15),0),
              ROUND(ROUND(OFFSET($P304,0,AG$13),15-13*ORÇAMENTO!$AF$7)*OFFSET(ORÇAMENTO!$W$15,ROW(AG304)-ROW(AG$15),0),15-13*ORÇAMENTO!$AF$11)),
         0)</f>
        <v>0</v>
      </c>
      <c r="AH304" s="454">
        <f ca="1">IF(AND($D304="Serviço",AH$12&lt;&gt;0,$H304&gt;0,OR(AUTOEVENTO&lt;&gt;"manual",$M304&lt;&gt;$A$15)),
        IF(Import.TipoArredondamento&lt;&gt;"TransfereGOV",
              ROUND(OFFSET($P304,0,AH$13),15-13*ORÇAMENTO!$AF$7)/$H304*OFFSET(ORÇAMENTO!$X$15,ROW(AH304)-ROW(AH$15),0),
              ROUND(ROUND(OFFSET($P304,0,AH$13),15-13*ORÇAMENTO!$AF$7)*OFFSET(ORÇAMENTO!$W$15,ROW(AH304)-ROW(AH$15),0),15-13*ORÇAMENTO!$AF$11)),
         0)</f>
        <v>0</v>
      </c>
      <c r="AI304" s="454">
        <f ca="1">IF(AND($D304="Serviço",AI$12&lt;&gt;0,$H304&gt;0,OR(AUTOEVENTO&lt;&gt;"manual",$M304&lt;&gt;$A$15)),
        IF(Import.TipoArredondamento&lt;&gt;"TransfereGOV",
              ROUND(OFFSET($P304,0,AI$13),15-13*ORÇAMENTO!$AF$7)/$H304*OFFSET(ORÇAMENTO!$X$15,ROW(AI304)-ROW(AI$15),0),
              ROUND(ROUND(OFFSET($P304,0,AI$13),15-13*ORÇAMENTO!$AF$7)*OFFSET(ORÇAMENTO!$W$15,ROW(AI304)-ROW(AI$15),0),15-13*ORÇAMENTO!$AF$11)),
         0)</f>
        <v>0</v>
      </c>
      <c r="AJ304" s="454">
        <f ca="1">IF(AND($D304="Serviço",AJ$12&lt;&gt;0,$H304&gt;0,OR(AUTOEVENTO&lt;&gt;"manual",$M304&lt;&gt;$A$15)),
        IF(Import.TipoArredondamento&lt;&gt;"TransfereGOV",
              ROUND(OFFSET($P304,0,AJ$13),15-13*ORÇAMENTO!$AF$7)/$H304*OFFSET(ORÇAMENTO!$X$15,ROW(AJ304)-ROW(AJ$15),0),
              ROUND(ROUND(OFFSET($P304,0,AJ$13),15-13*ORÇAMENTO!$AF$7)*OFFSET(ORÇAMENTO!$W$15,ROW(AJ304)-ROW(AJ$15),0),15-13*ORÇAMENTO!$AF$11)),
         0)</f>
        <v>0</v>
      </c>
      <c r="AK304" s="454">
        <f ca="1">IF(AND($D304="Serviço",AK$12&lt;&gt;0,$H304&gt;0,OR(AUTOEVENTO&lt;&gt;"manual",$M304&lt;&gt;$A$15)),
        IF(Import.TipoArredondamento&lt;&gt;"TransfereGOV",
              ROUND(OFFSET($P304,0,AK$13),15-13*ORÇAMENTO!$AF$7)/$H304*OFFSET(ORÇAMENTO!$X$15,ROW(AK304)-ROW(AK$15),0),
              ROUND(ROUND(OFFSET($P304,0,AK$13),15-13*ORÇAMENTO!$AF$7)*OFFSET(ORÇAMENTO!$W$15,ROW(AK304)-ROW(AK$15),0),15-13*ORÇAMENTO!$AF$11)),
         0)</f>
        <v>0</v>
      </c>
      <c r="AM304" s="172">
        <f ca="1">IF(OR($D304&lt;&gt;"Serviço",AND(AUTOEVENTO="Manual",$M304=$A$15)),0,
         IF(OFFSET(CRONOPLE!$F$15,$M304-$A$15,AM$13)="",10^12,OFFSET(CRONOPLE!$F$15,$M304-$A$15,AM$13)))</f>
        <v>1000000000000</v>
      </c>
      <c r="AN304" s="172">
        <f ca="1">IF(OR($D304&lt;&gt;"Serviço",AND(AUTOEVENTO="Manual",$M304=$A$15)),0,
         IF(OFFSET(CRONOPLE!$F$15,$M304-$A$15,AN$13)="",10^12,OFFSET(CRONOPLE!$F$15,$M304-$A$15,AN$13)))</f>
        <v>1000000000000</v>
      </c>
      <c r="AO304" s="172">
        <f ca="1">IF(OR($D304&lt;&gt;"Serviço",AND(AUTOEVENTO="Manual",$M304=$A$15)),0,
         IF(OFFSET(CRONOPLE!$F$15,$M304-$A$15,AO$13)="",10^12,OFFSET(CRONOPLE!$F$15,$M304-$A$15,AO$13)))</f>
        <v>1000000000000</v>
      </c>
      <c r="AP304" s="172">
        <f ca="1">IF(OR($D304&lt;&gt;"Serviço",AND(AUTOEVENTO="Manual",$M304=$A$15)),0,
         IF(OFFSET(CRONOPLE!$F$15,$M304-$A$15,AP$13)="",10^12,OFFSET(CRONOPLE!$F$15,$M304-$A$15,AP$13)))</f>
        <v>1000000000000</v>
      </c>
      <c r="AQ304" s="172">
        <f ca="1">IF(OR($D304&lt;&gt;"Serviço",AND(AUTOEVENTO="Manual",$M304=$A$15)),0,
         IF(OFFSET(CRONOPLE!$F$15,$M304-$A$15,AQ$13)="",10^12,OFFSET(CRONOPLE!$F$15,$M304-$A$15,AQ$13)))</f>
        <v>1000000000000</v>
      </c>
      <c r="AR304" s="172">
        <f ca="1">IF(OR($D304&lt;&gt;"Serviço",AND(AUTOEVENTO="Manual",$M304=$A$15)),0,
         IF(OFFSET(CRONOPLE!$F$15,$M304-$A$15,AR$13)="",10^12,OFFSET(CRONOPLE!$F$15,$M304-$A$15,AR$13)))</f>
        <v>1000000000000</v>
      </c>
      <c r="AS304" s="172">
        <f ca="1">IF(OR($D304&lt;&gt;"Serviço",AND(AUTOEVENTO="Manual",$M304=$A$15)),0,
         IF(OFFSET(CRONOPLE!$F$15,$M304-$A$15,AS$13)="",10^12,OFFSET(CRONOPLE!$F$15,$M304-$A$15,AS$13)))</f>
        <v>1000000000000</v>
      </c>
      <c r="AT304" s="172">
        <f ca="1">IF(OR($D304&lt;&gt;"Serviço",AND(AUTOEVENTO="Manual",$M304=$A$15)),0,
         IF(OFFSET(CRONOPLE!$F$15,$M304-$A$15,AT$13)="",10^12,OFFSET(CRONOPLE!$F$15,$M304-$A$15,AT$13)))</f>
        <v>1000000000000</v>
      </c>
      <c r="AU304" s="172">
        <f ca="1">IF(OR($D304&lt;&gt;"Serviço",AND(AUTOEVENTO="Manual",$M304=$A$15)),0,
         IF(OFFSET(CRONOPLE!$F$15,$M304-$A$15,AU$13)="",10^12,OFFSET(CRONOPLE!$F$15,$M304-$A$15,AU$13)))</f>
        <v>1000000000000</v>
      </c>
      <c r="AV304" s="172">
        <f ca="1">IF(OR($D304&lt;&gt;"Serviço",AND(AUTOEVENTO="Manual",$M304=$A$15)),0,
         IF(OFFSET(CRONOPLE!$F$15,$M304-$A$15,AV$13)="",10^12,OFFSET(CRONOPLE!$F$15,$M304-$A$15,AV$13)))</f>
        <v>1000000000000</v>
      </c>
      <c r="AX304" s="173">
        <f ca="1">IF(OR($D304&lt;&gt;"Serviço",AND(AUTOEVENTO="Manual",$M304=$A$15),$M304&gt;(ROW(PLE.lastrow)-ROW(PLE.firstrow))),0,
           IF(OFFSET(PLE!$G$15,$M304-$A$15,AX$13)="",10^12,OFFSET(PLE!$G$15,$M304-$A$15,AX$13)))</f>
        <v>1000000000000</v>
      </c>
      <c r="AY304" s="173">
        <f ca="1">IF(OR($D304&lt;&gt;"Serviço",AND(AUTOEVENTO="Manual",$M304=$A$15),$M304&gt;(ROW(PLE.lastrow)-ROW(PLE.firstrow))),0,
           IF(OFFSET(PLE!$G$15,$M304-$A$15,AY$13)="",10^12,OFFSET(PLE!$G$15,$M304-$A$15,AY$13)))</f>
        <v>1000000000000</v>
      </c>
      <c r="AZ304" s="173">
        <f ca="1">IF(OR($D304&lt;&gt;"Serviço",AND(AUTOEVENTO="Manual",$M304=$A$15),$M304&gt;(ROW(PLE.lastrow)-ROW(PLE.firstrow))),0,
           IF(OFFSET(PLE!$G$15,$M304-$A$15,AZ$13)="",10^12,OFFSET(PLE!$G$15,$M304-$A$15,AZ$13)))</f>
        <v>1000000000000</v>
      </c>
      <c r="BA304" s="173">
        <f ca="1">IF(OR($D304&lt;&gt;"Serviço",AND(AUTOEVENTO="Manual",$M304=$A$15),$M304&gt;(ROW(PLE.lastrow)-ROW(PLE.firstrow))),0,
           IF(OFFSET(PLE!$G$15,$M304-$A$15,BA$13)="",10^12,OFFSET(PLE!$G$15,$M304-$A$15,BA$13)))</f>
        <v>1000000000000</v>
      </c>
      <c r="BB304" s="173">
        <f ca="1">IF(OR($D304&lt;&gt;"Serviço",AND(AUTOEVENTO="Manual",$M304=$A$15),$M304&gt;(ROW(PLE.lastrow)-ROW(PLE.firstrow))),0,
           IF(OFFSET(PLE!$G$15,$M304-$A$15,BB$13)="",10^12,OFFSET(PLE!$G$15,$M304-$A$15,BB$13)))</f>
        <v>1000000000000</v>
      </c>
      <c r="BC304" s="173">
        <f ca="1">IF(OR($D304&lt;&gt;"Serviço",AND(AUTOEVENTO="Manual",$M304=$A$15),$M304&gt;(ROW(PLE.lastrow)-ROW(PLE.firstrow))),0,
           IF(OFFSET(PLE!$G$15,$M304-$A$15,BC$13)="",10^12,OFFSET(PLE!$G$15,$M304-$A$15,BC$13)))</f>
        <v>1000000000000</v>
      </c>
      <c r="BD304" s="173">
        <f ca="1">IF(OR($D304&lt;&gt;"Serviço",AND(AUTOEVENTO="Manual",$M304=$A$15),$M304&gt;(ROW(PLE.lastrow)-ROW(PLE.firstrow))),0,
           IF(OFFSET(PLE!$G$15,$M304-$A$15,BD$13)="",10^12,OFFSET(PLE!$G$15,$M304-$A$15,BD$13)))</f>
        <v>1000000000000</v>
      </c>
      <c r="BE304" s="173">
        <f ca="1">IF(OR($D304&lt;&gt;"Serviço",AND(AUTOEVENTO="Manual",$M304=$A$15),$M304&gt;(ROW(PLE.lastrow)-ROW(PLE.firstrow))),0,
           IF(OFFSET(PLE!$G$15,$M304-$A$15,BE$13)="",10^12,OFFSET(PLE!$G$15,$M304-$A$15,BE$13)))</f>
        <v>1000000000000</v>
      </c>
      <c r="BF304" s="173">
        <f ca="1">IF(OR($D304&lt;&gt;"Serviço",AND(AUTOEVENTO="Manual",$M304=$A$15),$M304&gt;(ROW(PLE.lastrow)-ROW(PLE.firstrow))),0,
           IF(OFFSET(PLE!$G$15,$M304-$A$15,BF$13)="",10^12,OFFSET(PLE!$G$15,$M304-$A$15,BF$13)))</f>
        <v>1000000000000</v>
      </c>
      <c r="BG304" s="173">
        <f ca="1">IF(OR($D304&lt;&gt;"Serviço",AND(AUTOEVENTO="Manual",$M304=$A$15),$M304&gt;(ROW(PLE.lastrow)-ROW(PLE.firstrow))),0,
           IF(OFFSET(PLE!$G$15,$M304-$A$15,BG$13)="",10^12,OFFSET(PLE!$G$15,$M304-$A$15,BG$13)))</f>
        <v>1000000000000</v>
      </c>
    </row>
    <row r="305" spans="1:59" ht="38.25" x14ac:dyDescent="0.2">
      <c r="A305" s="7" t="str">
        <f t="shared" ca="1" si="12"/>
        <v>253</v>
      </c>
      <c r="B305" s="7" t="str">
        <f ca="1">OFFSET(ORÇAMENTO!C$15,ROW(B305)-ROW(B$15),0)</f>
        <v>S</v>
      </c>
      <c r="C305" s="7" t="str">
        <f ca="1">OFFSET(ORÇAMENTO!L$15,ROW(C305)-ROW(C$15),0)</f>
        <v/>
      </c>
      <c r="D305" s="117" t="str">
        <f ca="1">OFFSET(ORÇAMENTO!N$15,ROW(D305)-ROW(D$15),0)</f>
        <v>Serviço</v>
      </c>
      <c r="E305" s="118" t="str">
        <f ca="1">OFFSET(ORÇAMENTO!O$15,ROW(E305)-ROW(E$15),0)</f>
        <v>-</v>
      </c>
      <c r="F305" s="164" t="str">
        <f ca="1">OFFSET(ORÇAMENTO!R$15,ROW(F305)-ROW(F$15),0)</f>
        <v>JOELHO 90 GRAUS, EM FERRO GALVANIZADO, DN 65 (2 1/2"), CONEXÃO ROSQUEADA, INSTALADO EM REDE DE ALIMENTAÇÃO PARA HIDRANTE - FORNECIMENTO E INSTALAÇÃO. AF_10/2020</v>
      </c>
      <c r="G305" s="165" t="str">
        <f ca="1">IF($D305&lt;&gt;"Serviço","",OFFSET(ORÇAMENTO!S$15,ROW(G305)-ROW(G$15),0))</f>
        <v>UN</v>
      </c>
      <c r="H305" s="123">
        <f ca="1">IF($D305&lt;&gt;"Serviço",0,IF(ACOMPANHAMENTO="BM",ROUND(OFFSET(ORÇAMENTO!AJ$15,ROW(H305)-ROW(H$15),0),15-13*ORÇAMENTO!$AF$7),SUMPRODUCT(($Q$1:$AA$1=1)*ROUND($Q305:$AA305,15-13*ORÇAMENTO!$AF$7))))</f>
        <v>6</v>
      </c>
      <c r="I305" s="469"/>
      <c r="J305" s="577" t="str" cm="1">
        <f t="array" aca="1" ref="J305" ca="1">IF(B305&lt;&gt;"S","",IF(AND(ACOMPANHAMENTO="PLE",AUTOEVENTO="Manual",OR(H305&gt;0,ORÇAMENTO!AC305="QUANT."),OR(K305="",M305=0,N305="")),"►",IF(AND(ACOMPANHAMENTO="PLE",ORÇAMENTO!AC305="QUANT."),"►►",IF(AND(COUNTIF($P$11:$AA$11,"▼")=0,H305&gt;0,I305=""),"◄",""))))</f>
        <v>◄</v>
      </c>
      <c r="K305" s="626"/>
      <c r="L305" s="166" t="s">
        <v>765</v>
      </c>
      <c r="M305" s="167">
        <f ca="1">IF($D305&lt;&gt;"Serviço","",
          IF(AUTOEVENTO="manual",$A305,
                IF(ISERROR(MATCH($A305,$A$15:OFFSET($A305,-1,0),0)),MAX($M$15:OFFSET(M305,-1,0))+1,
                      INDEX($M$15:OFFSET(M305,-1,0),MATCH($A305,$A$15:OFFSET($A305,-1,0),0)))))</f>
        <v>16</v>
      </c>
      <c r="N305" s="168" t="str">
        <f ca="1">IF($D305&lt;&gt;"Serviço","",
         IF(AUTOEVENTO="Manual",
                IF($A305=0,"&lt;-- defina o número do agrupador",
                       OFFSET(EVENTOS!$D$15,$A305-$A$15,0)),
                OFFSET($F$15,$A305,0)))</f>
        <v>SISTEMAS DE PREVENÇÃO CONTRA INCÊNDIO</v>
      </c>
      <c r="O305" s="169"/>
      <c r="Q305" s="169"/>
      <c r="R305" s="170"/>
      <c r="S305" s="170"/>
      <c r="T305" s="170"/>
      <c r="U305" s="170"/>
      <c r="V305" s="170"/>
      <c r="W305" s="170"/>
      <c r="X305" s="170"/>
      <c r="Y305" s="170"/>
      <c r="Z305" s="171"/>
      <c r="AB305" s="454">
        <f ca="1">IF(AND($D305="Serviço",AB$12&lt;&gt;0,$H305&gt;0,OR(AUTOEVENTO&lt;&gt;"manual",$M305&lt;&gt;$A$15)),
        IF(Import.TipoArredondamento&lt;&gt;"TransfereGOV",
              ROUND(OFFSET($P305,0,AB$13),15-13*ORÇAMENTO!$AF$7)/$H305*OFFSET(ORÇAMENTO!$X$15,ROW(AB305)-ROW(AB$15),0),
              ROUND(ROUND(OFFSET($P305,0,AB$13),15-13*ORÇAMENTO!$AF$7)*OFFSET(ORÇAMENTO!$W$15,ROW(AB305)-ROW(AB$15),0),15-13*ORÇAMENTO!$AF$11)),
         0)</f>
        <v>0</v>
      </c>
      <c r="AC305" s="454">
        <f ca="1">IF(AND($D305="Serviço",AC$12&lt;&gt;0,$H305&gt;0,OR(AUTOEVENTO&lt;&gt;"manual",$M305&lt;&gt;$A$15)),
        IF(Import.TipoArredondamento&lt;&gt;"TransfereGOV",
              ROUND(OFFSET($P305,0,AC$13),15-13*ORÇAMENTO!$AF$7)/$H305*OFFSET(ORÇAMENTO!$X$15,ROW(AC305)-ROW(AC$15),0),
              ROUND(ROUND(OFFSET($P305,0,AC$13),15-13*ORÇAMENTO!$AF$7)*OFFSET(ORÇAMENTO!$W$15,ROW(AC305)-ROW(AC$15),0),15-13*ORÇAMENTO!$AF$11)),
         0)</f>
        <v>0</v>
      </c>
      <c r="AD305" s="454">
        <f ca="1">IF(AND($D305="Serviço",AD$12&lt;&gt;0,$H305&gt;0,OR(AUTOEVENTO&lt;&gt;"manual",$M305&lt;&gt;$A$15)),
        IF(Import.TipoArredondamento&lt;&gt;"TransfereGOV",
              ROUND(OFFSET($P305,0,AD$13),15-13*ORÇAMENTO!$AF$7)/$H305*OFFSET(ORÇAMENTO!$X$15,ROW(AD305)-ROW(AD$15),0),
              ROUND(ROUND(OFFSET($P305,0,AD$13),15-13*ORÇAMENTO!$AF$7)*OFFSET(ORÇAMENTO!$W$15,ROW(AD305)-ROW(AD$15),0),15-13*ORÇAMENTO!$AF$11)),
         0)</f>
        <v>0</v>
      </c>
      <c r="AE305" s="454">
        <f ca="1">IF(AND($D305="Serviço",AE$12&lt;&gt;0,$H305&gt;0,OR(AUTOEVENTO&lt;&gt;"manual",$M305&lt;&gt;$A$15)),
        IF(Import.TipoArredondamento&lt;&gt;"TransfereGOV",
              ROUND(OFFSET($P305,0,AE$13),15-13*ORÇAMENTO!$AF$7)/$H305*OFFSET(ORÇAMENTO!$X$15,ROW(AE305)-ROW(AE$15),0),
              ROUND(ROUND(OFFSET($P305,0,AE$13),15-13*ORÇAMENTO!$AF$7)*OFFSET(ORÇAMENTO!$W$15,ROW(AE305)-ROW(AE$15),0),15-13*ORÇAMENTO!$AF$11)),
         0)</f>
        <v>0</v>
      </c>
      <c r="AF305" s="454">
        <f ca="1">IF(AND($D305="Serviço",AF$12&lt;&gt;0,$H305&gt;0,OR(AUTOEVENTO&lt;&gt;"manual",$M305&lt;&gt;$A$15)),
        IF(Import.TipoArredondamento&lt;&gt;"TransfereGOV",
              ROUND(OFFSET($P305,0,AF$13),15-13*ORÇAMENTO!$AF$7)/$H305*OFFSET(ORÇAMENTO!$X$15,ROW(AF305)-ROW(AF$15),0),
              ROUND(ROUND(OFFSET($P305,0,AF$13),15-13*ORÇAMENTO!$AF$7)*OFFSET(ORÇAMENTO!$W$15,ROW(AF305)-ROW(AF$15),0),15-13*ORÇAMENTO!$AF$11)),
         0)</f>
        <v>0</v>
      </c>
      <c r="AG305" s="454">
        <f ca="1">IF(AND($D305="Serviço",AG$12&lt;&gt;0,$H305&gt;0,OR(AUTOEVENTO&lt;&gt;"manual",$M305&lt;&gt;$A$15)),
        IF(Import.TipoArredondamento&lt;&gt;"TransfereGOV",
              ROUND(OFFSET($P305,0,AG$13),15-13*ORÇAMENTO!$AF$7)/$H305*OFFSET(ORÇAMENTO!$X$15,ROW(AG305)-ROW(AG$15),0),
              ROUND(ROUND(OFFSET($P305,0,AG$13),15-13*ORÇAMENTO!$AF$7)*OFFSET(ORÇAMENTO!$W$15,ROW(AG305)-ROW(AG$15),0),15-13*ORÇAMENTO!$AF$11)),
         0)</f>
        <v>0</v>
      </c>
      <c r="AH305" s="454">
        <f ca="1">IF(AND($D305="Serviço",AH$12&lt;&gt;0,$H305&gt;0,OR(AUTOEVENTO&lt;&gt;"manual",$M305&lt;&gt;$A$15)),
        IF(Import.TipoArredondamento&lt;&gt;"TransfereGOV",
              ROUND(OFFSET($P305,0,AH$13),15-13*ORÇAMENTO!$AF$7)/$H305*OFFSET(ORÇAMENTO!$X$15,ROW(AH305)-ROW(AH$15),0),
              ROUND(ROUND(OFFSET($P305,0,AH$13),15-13*ORÇAMENTO!$AF$7)*OFFSET(ORÇAMENTO!$W$15,ROW(AH305)-ROW(AH$15),0),15-13*ORÇAMENTO!$AF$11)),
         0)</f>
        <v>0</v>
      </c>
      <c r="AI305" s="454">
        <f ca="1">IF(AND($D305="Serviço",AI$12&lt;&gt;0,$H305&gt;0,OR(AUTOEVENTO&lt;&gt;"manual",$M305&lt;&gt;$A$15)),
        IF(Import.TipoArredondamento&lt;&gt;"TransfereGOV",
              ROUND(OFFSET($P305,0,AI$13),15-13*ORÇAMENTO!$AF$7)/$H305*OFFSET(ORÇAMENTO!$X$15,ROW(AI305)-ROW(AI$15),0),
              ROUND(ROUND(OFFSET($P305,0,AI$13),15-13*ORÇAMENTO!$AF$7)*OFFSET(ORÇAMENTO!$W$15,ROW(AI305)-ROW(AI$15),0),15-13*ORÇAMENTO!$AF$11)),
         0)</f>
        <v>0</v>
      </c>
      <c r="AJ305" s="454">
        <f ca="1">IF(AND($D305="Serviço",AJ$12&lt;&gt;0,$H305&gt;0,OR(AUTOEVENTO&lt;&gt;"manual",$M305&lt;&gt;$A$15)),
        IF(Import.TipoArredondamento&lt;&gt;"TransfereGOV",
              ROUND(OFFSET($P305,0,AJ$13),15-13*ORÇAMENTO!$AF$7)/$H305*OFFSET(ORÇAMENTO!$X$15,ROW(AJ305)-ROW(AJ$15),0),
              ROUND(ROUND(OFFSET($P305,0,AJ$13),15-13*ORÇAMENTO!$AF$7)*OFFSET(ORÇAMENTO!$W$15,ROW(AJ305)-ROW(AJ$15),0),15-13*ORÇAMENTO!$AF$11)),
         0)</f>
        <v>0</v>
      </c>
      <c r="AK305" s="454">
        <f ca="1">IF(AND($D305="Serviço",AK$12&lt;&gt;0,$H305&gt;0,OR(AUTOEVENTO&lt;&gt;"manual",$M305&lt;&gt;$A$15)),
        IF(Import.TipoArredondamento&lt;&gt;"TransfereGOV",
              ROUND(OFFSET($P305,0,AK$13),15-13*ORÇAMENTO!$AF$7)/$H305*OFFSET(ORÇAMENTO!$X$15,ROW(AK305)-ROW(AK$15),0),
              ROUND(ROUND(OFFSET($P305,0,AK$13),15-13*ORÇAMENTO!$AF$7)*OFFSET(ORÇAMENTO!$W$15,ROW(AK305)-ROW(AK$15),0),15-13*ORÇAMENTO!$AF$11)),
         0)</f>
        <v>0</v>
      </c>
      <c r="AM305" s="172">
        <f ca="1">IF(OR($D305&lt;&gt;"Serviço",AND(AUTOEVENTO="Manual",$M305=$A$15)),0,
         IF(OFFSET(CRONOPLE!$F$15,$M305-$A$15,AM$13)="",10^12,OFFSET(CRONOPLE!$F$15,$M305-$A$15,AM$13)))</f>
        <v>1000000000000</v>
      </c>
      <c r="AN305" s="172">
        <f ca="1">IF(OR($D305&lt;&gt;"Serviço",AND(AUTOEVENTO="Manual",$M305=$A$15)),0,
         IF(OFFSET(CRONOPLE!$F$15,$M305-$A$15,AN$13)="",10^12,OFFSET(CRONOPLE!$F$15,$M305-$A$15,AN$13)))</f>
        <v>1000000000000</v>
      </c>
      <c r="AO305" s="172">
        <f ca="1">IF(OR($D305&lt;&gt;"Serviço",AND(AUTOEVENTO="Manual",$M305=$A$15)),0,
         IF(OFFSET(CRONOPLE!$F$15,$M305-$A$15,AO$13)="",10^12,OFFSET(CRONOPLE!$F$15,$M305-$A$15,AO$13)))</f>
        <v>1000000000000</v>
      </c>
      <c r="AP305" s="172">
        <f ca="1">IF(OR($D305&lt;&gt;"Serviço",AND(AUTOEVENTO="Manual",$M305=$A$15)),0,
         IF(OFFSET(CRONOPLE!$F$15,$M305-$A$15,AP$13)="",10^12,OFFSET(CRONOPLE!$F$15,$M305-$A$15,AP$13)))</f>
        <v>1000000000000</v>
      </c>
      <c r="AQ305" s="172">
        <f ca="1">IF(OR($D305&lt;&gt;"Serviço",AND(AUTOEVENTO="Manual",$M305=$A$15)),0,
         IF(OFFSET(CRONOPLE!$F$15,$M305-$A$15,AQ$13)="",10^12,OFFSET(CRONOPLE!$F$15,$M305-$A$15,AQ$13)))</f>
        <v>1000000000000</v>
      </c>
      <c r="AR305" s="172">
        <f ca="1">IF(OR($D305&lt;&gt;"Serviço",AND(AUTOEVENTO="Manual",$M305=$A$15)),0,
         IF(OFFSET(CRONOPLE!$F$15,$M305-$A$15,AR$13)="",10^12,OFFSET(CRONOPLE!$F$15,$M305-$A$15,AR$13)))</f>
        <v>1000000000000</v>
      </c>
      <c r="AS305" s="172">
        <f ca="1">IF(OR($D305&lt;&gt;"Serviço",AND(AUTOEVENTO="Manual",$M305=$A$15)),0,
         IF(OFFSET(CRONOPLE!$F$15,$M305-$A$15,AS$13)="",10^12,OFFSET(CRONOPLE!$F$15,$M305-$A$15,AS$13)))</f>
        <v>1000000000000</v>
      </c>
      <c r="AT305" s="172">
        <f ca="1">IF(OR($D305&lt;&gt;"Serviço",AND(AUTOEVENTO="Manual",$M305=$A$15)),0,
         IF(OFFSET(CRONOPLE!$F$15,$M305-$A$15,AT$13)="",10^12,OFFSET(CRONOPLE!$F$15,$M305-$A$15,AT$13)))</f>
        <v>1000000000000</v>
      </c>
      <c r="AU305" s="172">
        <f ca="1">IF(OR($D305&lt;&gt;"Serviço",AND(AUTOEVENTO="Manual",$M305=$A$15)),0,
         IF(OFFSET(CRONOPLE!$F$15,$M305-$A$15,AU$13)="",10^12,OFFSET(CRONOPLE!$F$15,$M305-$A$15,AU$13)))</f>
        <v>1000000000000</v>
      </c>
      <c r="AV305" s="172">
        <f ca="1">IF(OR($D305&lt;&gt;"Serviço",AND(AUTOEVENTO="Manual",$M305=$A$15)),0,
         IF(OFFSET(CRONOPLE!$F$15,$M305-$A$15,AV$13)="",10^12,OFFSET(CRONOPLE!$F$15,$M305-$A$15,AV$13)))</f>
        <v>1000000000000</v>
      </c>
      <c r="AX305" s="173">
        <f ca="1">IF(OR($D305&lt;&gt;"Serviço",AND(AUTOEVENTO="Manual",$M305=$A$15),$M305&gt;(ROW(PLE.lastrow)-ROW(PLE.firstrow))),0,
           IF(OFFSET(PLE!$G$15,$M305-$A$15,AX$13)="",10^12,OFFSET(PLE!$G$15,$M305-$A$15,AX$13)))</f>
        <v>1000000000000</v>
      </c>
      <c r="AY305" s="173">
        <f ca="1">IF(OR($D305&lt;&gt;"Serviço",AND(AUTOEVENTO="Manual",$M305=$A$15),$M305&gt;(ROW(PLE.lastrow)-ROW(PLE.firstrow))),0,
           IF(OFFSET(PLE!$G$15,$M305-$A$15,AY$13)="",10^12,OFFSET(PLE!$G$15,$M305-$A$15,AY$13)))</f>
        <v>1000000000000</v>
      </c>
      <c r="AZ305" s="173">
        <f ca="1">IF(OR($D305&lt;&gt;"Serviço",AND(AUTOEVENTO="Manual",$M305=$A$15),$M305&gt;(ROW(PLE.lastrow)-ROW(PLE.firstrow))),0,
           IF(OFFSET(PLE!$G$15,$M305-$A$15,AZ$13)="",10^12,OFFSET(PLE!$G$15,$M305-$A$15,AZ$13)))</f>
        <v>1000000000000</v>
      </c>
      <c r="BA305" s="173">
        <f ca="1">IF(OR($D305&lt;&gt;"Serviço",AND(AUTOEVENTO="Manual",$M305=$A$15),$M305&gt;(ROW(PLE.lastrow)-ROW(PLE.firstrow))),0,
           IF(OFFSET(PLE!$G$15,$M305-$A$15,BA$13)="",10^12,OFFSET(PLE!$G$15,$M305-$A$15,BA$13)))</f>
        <v>1000000000000</v>
      </c>
      <c r="BB305" s="173">
        <f ca="1">IF(OR($D305&lt;&gt;"Serviço",AND(AUTOEVENTO="Manual",$M305=$A$15),$M305&gt;(ROW(PLE.lastrow)-ROW(PLE.firstrow))),0,
           IF(OFFSET(PLE!$G$15,$M305-$A$15,BB$13)="",10^12,OFFSET(PLE!$G$15,$M305-$A$15,BB$13)))</f>
        <v>1000000000000</v>
      </c>
      <c r="BC305" s="173">
        <f ca="1">IF(OR($D305&lt;&gt;"Serviço",AND(AUTOEVENTO="Manual",$M305=$A$15),$M305&gt;(ROW(PLE.lastrow)-ROW(PLE.firstrow))),0,
           IF(OFFSET(PLE!$G$15,$M305-$A$15,BC$13)="",10^12,OFFSET(PLE!$G$15,$M305-$A$15,BC$13)))</f>
        <v>1000000000000</v>
      </c>
      <c r="BD305" s="173">
        <f ca="1">IF(OR($D305&lt;&gt;"Serviço",AND(AUTOEVENTO="Manual",$M305=$A$15),$M305&gt;(ROW(PLE.lastrow)-ROW(PLE.firstrow))),0,
           IF(OFFSET(PLE!$G$15,$M305-$A$15,BD$13)="",10^12,OFFSET(PLE!$G$15,$M305-$A$15,BD$13)))</f>
        <v>1000000000000</v>
      </c>
      <c r="BE305" s="173">
        <f ca="1">IF(OR($D305&lt;&gt;"Serviço",AND(AUTOEVENTO="Manual",$M305=$A$15),$M305&gt;(ROW(PLE.lastrow)-ROW(PLE.firstrow))),0,
           IF(OFFSET(PLE!$G$15,$M305-$A$15,BE$13)="",10^12,OFFSET(PLE!$G$15,$M305-$A$15,BE$13)))</f>
        <v>1000000000000</v>
      </c>
      <c r="BF305" s="173">
        <f ca="1">IF(OR($D305&lt;&gt;"Serviço",AND(AUTOEVENTO="Manual",$M305=$A$15),$M305&gt;(ROW(PLE.lastrow)-ROW(PLE.firstrow))),0,
           IF(OFFSET(PLE!$G$15,$M305-$A$15,BF$13)="",10^12,OFFSET(PLE!$G$15,$M305-$A$15,BF$13)))</f>
        <v>1000000000000</v>
      </c>
      <c r="BG305" s="173">
        <f ca="1">IF(OR($D305&lt;&gt;"Serviço",AND(AUTOEVENTO="Manual",$M305=$A$15),$M305&gt;(ROW(PLE.lastrow)-ROW(PLE.firstrow))),0,
           IF(OFFSET(PLE!$G$15,$M305-$A$15,BG$13)="",10^12,OFFSET(PLE!$G$15,$M305-$A$15,BG$13)))</f>
        <v>1000000000000</v>
      </c>
    </row>
    <row r="306" spans="1:59" ht="38.25" x14ac:dyDescent="0.2">
      <c r="A306" s="7" t="str">
        <f t="shared" ca="1" si="12"/>
        <v>253</v>
      </c>
      <c r="B306" s="7" t="str">
        <f ca="1">OFFSET(ORÇAMENTO!C$15,ROW(B306)-ROW(B$15),0)</f>
        <v>S</v>
      </c>
      <c r="C306" s="7" t="str">
        <f ca="1">OFFSET(ORÇAMENTO!L$15,ROW(C306)-ROW(C$15),0)</f>
        <v/>
      </c>
      <c r="D306" s="117" t="str">
        <f ca="1">OFFSET(ORÇAMENTO!N$15,ROW(D306)-ROW(D$15),0)</f>
        <v>Serviço</v>
      </c>
      <c r="E306" s="118" t="str">
        <f ca="1">OFFSET(ORÇAMENTO!O$15,ROW(E306)-ROW(E$15),0)</f>
        <v>-</v>
      </c>
      <c r="F306" s="164" t="str">
        <f ca="1">OFFSET(ORÇAMENTO!R$15,ROW(F306)-ROW(F$15),0)</f>
        <v>CURVA 90 GRAUS, EM FERRO GALVANIZADO, CONEXÃO ROSQUEADA, DN 65 MM (2 1/2"), INSTALADO EM RESERVAÇÃO PREDIAL DE ÁGUA - FORNECIMENTO E INSTALAÇÃO. AF_04/2024</v>
      </c>
      <c r="G306" s="165" t="str">
        <f ca="1">IF($D306&lt;&gt;"Serviço","",OFFSET(ORÇAMENTO!S$15,ROW(G306)-ROW(G$15),0))</f>
        <v>UN</v>
      </c>
      <c r="H306" s="123">
        <f ca="1">IF($D306&lt;&gt;"Serviço",0,IF(ACOMPANHAMENTO="BM",ROUND(OFFSET(ORÇAMENTO!AJ$15,ROW(H306)-ROW(H$15),0),15-13*ORÇAMENTO!$AF$7),SUMPRODUCT(($Q$1:$AA$1=1)*ROUND($Q306:$AA306,15-13*ORÇAMENTO!$AF$7))))</f>
        <v>2</v>
      </c>
      <c r="I306" s="469"/>
      <c r="J306" s="577" t="str" cm="1">
        <f t="array" aca="1" ref="J306" ca="1">IF(B306&lt;&gt;"S","",IF(AND(ACOMPANHAMENTO="PLE",AUTOEVENTO="Manual",OR(H306&gt;0,ORÇAMENTO!AC306="QUANT."),OR(K306="",M306=0,N306="")),"►",IF(AND(ACOMPANHAMENTO="PLE",ORÇAMENTO!AC306="QUANT."),"►►",IF(AND(COUNTIF($P$11:$AA$11,"▼")=0,H306&gt;0,I306=""),"◄",""))))</f>
        <v>◄</v>
      </c>
      <c r="K306" s="626"/>
      <c r="L306" s="166" t="s">
        <v>765</v>
      </c>
      <c r="M306" s="167">
        <f ca="1">IF($D306&lt;&gt;"Serviço","",
          IF(AUTOEVENTO="manual",$A306,
                IF(ISERROR(MATCH($A306,$A$15:OFFSET($A306,-1,0),0)),MAX($M$15:OFFSET(M306,-1,0))+1,
                      INDEX($M$15:OFFSET(M306,-1,0),MATCH($A306,$A$15:OFFSET($A306,-1,0),0)))))</f>
        <v>16</v>
      </c>
      <c r="N306" s="168" t="str">
        <f ca="1">IF($D306&lt;&gt;"Serviço","",
         IF(AUTOEVENTO="Manual",
                IF($A306=0,"&lt;-- defina o número do agrupador",
                       OFFSET(EVENTOS!$D$15,$A306-$A$15,0)),
                OFFSET($F$15,$A306,0)))</f>
        <v>SISTEMAS DE PREVENÇÃO CONTRA INCÊNDIO</v>
      </c>
      <c r="O306" s="169"/>
      <c r="Q306" s="169"/>
      <c r="R306" s="170"/>
      <c r="S306" s="170"/>
      <c r="T306" s="170"/>
      <c r="U306" s="170"/>
      <c r="V306" s="170"/>
      <c r="W306" s="170"/>
      <c r="X306" s="170"/>
      <c r="Y306" s="170"/>
      <c r="Z306" s="171"/>
      <c r="AB306" s="454">
        <f ca="1">IF(AND($D306="Serviço",AB$12&lt;&gt;0,$H306&gt;0,OR(AUTOEVENTO&lt;&gt;"manual",$M306&lt;&gt;$A$15)),
        IF(Import.TipoArredondamento&lt;&gt;"TransfereGOV",
              ROUND(OFFSET($P306,0,AB$13),15-13*ORÇAMENTO!$AF$7)/$H306*OFFSET(ORÇAMENTO!$X$15,ROW(AB306)-ROW(AB$15),0),
              ROUND(ROUND(OFFSET($P306,0,AB$13),15-13*ORÇAMENTO!$AF$7)*OFFSET(ORÇAMENTO!$W$15,ROW(AB306)-ROW(AB$15),0),15-13*ORÇAMENTO!$AF$11)),
         0)</f>
        <v>0</v>
      </c>
      <c r="AC306" s="454">
        <f ca="1">IF(AND($D306="Serviço",AC$12&lt;&gt;0,$H306&gt;0,OR(AUTOEVENTO&lt;&gt;"manual",$M306&lt;&gt;$A$15)),
        IF(Import.TipoArredondamento&lt;&gt;"TransfereGOV",
              ROUND(OFFSET($P306,0,AC$13),15-13*ORÇAMENTO!$AF$7)/$H306*OFFSET(ORÇAMENTO!$X$15,ROW(AC306)-ROW(AC$15),0),
              ROUND(ROUND(OFFSET($P306,0,AC$13),15-13*ORÇAMENTO!$AF$7)*OFFSET(ORÇAMENTO!$W$15,ROW(AC306)-ROW(AC$15),0),15-13*ORÇAMENTO!$AF$11)),
         0)</f>
        <v>0</v>
      </c>
      <c r="AD306" s="454">
        <f ca="1">IF(AND($D306="Serviço",AD$12&lt;&gt;0,$H306&gt;0,OR(AUTOEVENTO&lt;&gt;"manual",$M306&lt;&gt;$A$15)),
        IF(Import.TipoArredondamento&lt;&gt;"TransfereGOV",
              ROUND(OFFSET($P306,0,AD$13),15-13*ORÇAMENTO!$AF$7)/$H306*OFFSET(ORÇAMENTO!$X$15,ROW(AD306)-ROW(AD$15),0),
              ROUND(ROUND(OFFSET($P306,0,AD$13),15-13*ORÇAMENTO!$AF$7)*OFFSET(ORÇAMENTO!$W$15,ROW(AD306)-ROW(AD$15),0),15-13*ORÇAMENTO!$AF$11)),
         0)</f>
        <v>0</v>
      </c>
      <c r="AE306" s="454">
        <f ca="1">IF(AND($D306="Serviço",AE$12&lt;&gt;0,$H306&gt;0,OR(AUTOEVENTO&lt;&gt;"manual",$M306&lt;&gt;$A$15)),
        IF(Import.TipoArredondamento&lt;&gt;"TransfereGOV",
              ROUND(OFFSET($P306,0,AE$13),15-13*ORÇAMENTO!$AF$7)/$H306*OFFSET(ORÇAMENTO!$X$15,ROW(AE306)-ROW(AE$15),0),
              ROUND(ROUND(OFFSET($P306,0,AE$13),15-13*ORÇAMENTO!$AF$7)*OFFSET(ORÇAMENTO!$W$15,ROW(AE306)-ROW(AE$15),0),15-13*ORÇAMENTO!$AF$11)),
         0)</f>
        <v>0</v>
      </c>
      <c r="AF306" s="454">
        <f ca="1">IF(AND($D306="Serviço",AF$12&lt;&gt;0,$H306&gt;0,OR(AUTOEVENTO&lt;&gt;"manual",$M306&lt;&gt;$A$15)),
        IF(Import.TipoArredondamento&lt;&gt;"TransfereGOV",
              ROUND(OFFSET($P306,0,AF$13),15-13*ORÇAMENTO!$AF$7)/$H306*OFFSET(ORÇAMENTO!$X$15,ROW(AF306)-ROW(AF$15),0),
              ROUND(ROUND(OFFSET($P306,0,AF$13),15-13*ORÇAMENTO!$AF$7)*OFFSET(ORÇAMENTO!$W$15,ROW(AF306)-ROW(AF$15),0),15-13*ORÇAMENTO!$AF$11)),
         0)</f>
        <v>0</v>
      </c>
      <c r="AG306" s="454">
        <f ca="1">IF(AND($D306="Serviço",AG$12&lt;&gt;0,$H306&gt;0,OR(AUTOEVENTO&lt;&gt;"manual",$M306&lt;&gt;$A$15)),
        IF(Import.TipoArredondamento&lt;&gt;"TransfereGOV",
              ROUND(OFFSET($P306,0,AG$13),15-13*ORÇAMENTO!$AF$7)/$H306*OFFSET(ORÇAMENTO!$X$15,ROW(AG306)-ROW(AG$15),0),
              ROUND(ROUND(OFFSET($P306,0,AG$13),15-13*ORÇAMENTO!$AF$7)*OFFSET(ORÇAMENTO!$W$15,ROW(AG306)-ROW(AG$15),0),15-13*ORÇAMENTO!$AF$11)),
         0)</f>
        <v>0</v>
      </c>
      <c r="AH306" s="454">
        <f ca="1">IF(AND($D306="Serviço",AH$12&lt;&gt;0,$H306&gt;0,OR(AUTOEVENTO&lt;&gt;"manual",$M306&lt;&gt;$A$15)),
        IF(Import.TipoArredondamento&lt;&gt;"TransfereGOV",
              ROUND(OFFSET($P306,0,AH$13),15-13*ORÇAMENTO!$AF$7)/$H306*OFFSET(ORÇAMENTO!$X$15,ROW(AH306)-ROW(AH$15),0),
              ROUND(ROUND(OFFSET($P306,0,AH$13),15-13*ORÇAMENTO!$AF$7)*OFFSET(ORÇAMENTO!$W$15,ROW(AH306)-ROW(AH$15),0),15-13*ORÇAMENTO!$AF$11)),
         0)</f>
        <v>0</v>
      </c>
      <c r="AI306" s="454">
        <f ca="1">IF(AND($D306="Serviço",AI$12&lt;&gt;0,$H306&gt;0,OR(AUTOEVENTO&lt;&gt;"manual",$M306&lt;&gt;$A$15)),
        IF(Import.TipoArredondamento&lt;&gt;"TransfereGOV",
              ROUND(OFFSET($P306,0,AI$13),15-13*ORÇAMENTO!$AF$7)/$H306*OFFSET(ORÇAMENTO!$X$15,ROW(AI306)-ROW(AI$15),0),
              ROUND(ROUND(OFFSET($P306,0,AI$13),15-13*ORÇAMENTO!$AF$7)*OFFSET(ORÇAMENTO!$W$15,ROW(AI306)-ROW(AI$15),0),15-13*ORÇAMENTO!$AF$11)),
         0)</f>
        <v>0</v>
      </c>
      <c r="AJ306" s="454">
        <f ca="1">IF(AND($D306="Serviço",AJ$12&lt;&gt;0,$H306&gt;0,OR(AUTOEVENTO&lt;&gt;"manual",$M306&lt;&gt;$A$15)),
        IF(Import.TipoArredondamento&lt;&gt;"TransfereGOV",
              ROUND(OFFSET($P306,0,AJ$13),15-13*ORÇAMENTO!$AF$7)/$H306*OFFSET(ORÇAMENTO!$X$15,ROW(AJ306)-ROW(AJ$15),0),
              ROUND(ROUND(OFFSET($P306,0,AJ$13),15-13*ORÇAMENTO!$AF$7)*OFFSET(ORÇAMENTO!$W$15,ROW(AJ306)-ROW(AJ$15),0),15-13*ORÇAMENTO!$AF$11)),
         0)</f>
        <v>0</v>
      </c>
      <c r="AK306" s="454">
        <f ca="1">IF(AND($D306="Serviço",AK$12&lt;&gt;0,$H306&gt;0,OR(AUTOEVENTO&lt;&gt;"manual",$M306&lt;&gt;$A$15)),
        IF(Import.TipoArredondamento&lt;&gt;"TransfereGOV",
              ROUND(OFFSET($P306,0,AK$13),15-13*ORÇAMENTO!$AF$7)/$H306*OFFSET(ORÇAMENTO!$X$15,ROW(AK306)-ROW(AK$15),0),
              ROUND(ROUND(OFFSET($P306,0,AK$13),15-13*ORÇAMENTO!$AF$7)*OFFSET(ORÇAMENTO!$W$15,ROW(AK306)-ROW(AK$15),0),15-13*ORÇAMENTO!$AF$11)),
         0)</f>
        <v>0</v>
      </c>
      <c r="AM306" s="172">
        <f ca="1">IF(OR($D306&lt;&gt;"Serviço",AND(AUTOEVENTO="Manual",$M306=$A$15)),0,
         IF(OFFSET(CRONOPLE!$F$15,$M306-$A$15,AM$13)="",10^12,OFFSET(CRONOPLE!$F$15,$M306-$A$15,AM$13)))</f>
        <v>1000000000000</v>
      </c>
      <c r="AN306" s="172">
        <f ca="1">IF(OR($D306&lt;&gt;"Serviço",AND(AUTOEVENTO="Manual",$M306=$A$15)),0,
         IF(OFFSET(CRONOPLE!$F$15,$M306-$A$15,AN$13)="",10^12,OFFSET(CRONOPLE!$F$15,$M306-$A$15,AN$13)))</f>
        <v>1000000000000</v>
      </c>
      <c r="AO306" s="172">
        <f ca="1">IF(OR($D306&lt;&gt;"Serviço",AND(AUTOEVENTO="Manual",$M306=$A$15)),0,
         IF(OFFSET(CRONOPLE!$F$15,$M306-$A$15,AO$13)="",10^12,OFFSET(CRONOPLE!$F$15,$M306-$A$15,AO$13)))</f>
        <v>1000000000000</v>
      </c>
      <c r="AP306" s="172">
        <f ca="1">IF(OR($D306&lt;&gt;"Serviço",AND(AUTOEVENTO="Manual",$M306=$A$15)),0,
         IF(OFFSET(CRONOPLE!$F$15,$M306-$A$15,AP$13)="",10^12,OFFSET(CRONOPLE!$F$15,$M306-$A$15,AP$13)))</f>
        <v>1000000000000</v>
      </c>
      <c r="AQ306" s="172">
        <f ca="1">IF(OR($D306&lt;&gt;"Serviço",AND(AUTOEVENTO="Manual",$M306=$A$15)),0,
         IF(OFFSET(CRONOPLE!$F$15,$M306-$A$15,AQ$13)="",10^12,OFFSET(CRONOPLE!$F$15,$M306-$A$15,AQ$13)))</f>
        <v>1000000000000</v>
      </c>
      <c r="AR306" s="172">
        <f ca="1">IF(OR($D306&lt;&gt;"Serviço",AND(AUTOEVENTO="Manual",$M306=$A$15)),0,
         IF(OFFSET(CRONOPLE!$F$15,$M306-$A$15,AR$13)="",10^12,OFFSET(CRONOPLE!$F$15,$M306-$A$15,AR$13)))</f>
        <v>1000000000000</v>
      </c>
      <c r="AS306" s="172">
        <f ca="1">IF(OR($D306&lt;&gt;"Serviço",AND(AUTOEVENTO="Manual",$M306=$A$15)),0,
         IF(OFFSET(CRONOPLE!$F$15,$M306-$A$15,AS$13)="",10^12,OFFSET(CRONOPLE!$F$15,$M306-$A$15,AS$13)))</f>
        <v>1000000000000</v>
      </c>
      <c r="AT306" s="172">
        <f ca="1">IF(OR($D306&lt;&gt;"Serviço",AND(AUTOEVENTO="Manual",$M306=$A$15)),0,
         IF(OFFSET(CRONOPLE!$F$15,$M306-$A$15,AT$13)="",10^12,OFFSET(CRONOPLE!$F$15,$M306-$A$15,AT$13)))</f>
        <v>1000000000000</v>
      </c>
      <c r="AU306" s="172">
        <f ca="1">IF(OR($D306&lt;&gt;"Serviço",AND(AUTOEVENTO="Manual",$M306=$A$15)),0,
         IF(OFFSET(CRONOPLE!$F$15,$M306-$A$15,AU$13)="",10^12,OFFSET(CRONOPLE!$F$15,$M306-$A$15,AU$13)))</f>
        <v>1000000000000</v>
      </c>
      <c r="AV306" s="172">
        <f ca="1">IF(OR($D306&lt;&gt;"Serviço",AND(AUTOEVENTO="Manual",$M306=$A$15)),0,
         IF(OFFSET(CRONOPLE!$F$15,$M306-$A$15,AV$13)="",10^12,OFFSET(CRONOPLE!$F$15,$M306-$A$15,AV$13)))</f>
        <v>1000000000000</v>
      </c>
      <c r="AX306" s="173">
        <f ca="1">IF(OR($D306&lt;&gt;"Serviço",AND(AUTOEVENTO="Manual",$M306=$A$15),$M306&gt;(ROW(PLE.lastrow)-ROW(PLE.firstrow))),0,
           IF(OFFSET(PLE!$G$15,$M306-$A$15,AX$13)="",10^12,OFFSET(PLE!$G$15,$M306-$A$15,AX$13)))</f>
        <v>1000000000000</v>
      </c>
      <c r="AY306" s="173">
        <f ca="1">IF(OR($D306&lt;&gt;"Serviço",AND(AUTOEVENTO="Manual",$M306=$A$15),$M306&gt;(ROW(PLE.lastrow)-ROW(PLE.firstrow))),0,
           IF(OFFSET(PLE!$G$15,$M306-$A$15,AY$13)="",10^12,OFFSET(PLE!$G$15,$M306-$A$15,AY$13)))</f>
        <v>1000000000000</v>
      </c>
      <c r="AZ306" s="173">
        <f ca="1">IF(OR($D306&lt;&gt;"Serviço",AND(AUTOEVENTO="Manual",$M306=$A$15),$M306&gt;(ROW(PLE.lastrow)-ROW(PLE.firstrow))),0,
           IF(OFFSET(PLE!$G$15,$M306-$A$15,AZ$13)="",10^12,OFFSET(PLE!$G$15,$M306-$A$15,AZ$13)))</f>
        <v>1000000000000</v>
      </c>
      <c r="BA306" s="173">
        <f ca="1">IF(OR($D306&lt;&gt;"Serviço",AND(AUTOEVENTO="Manual",$M306=$A$15),$M306&gt;(ROW(PLE.lastrow)-ROW(PLE.firstrow))),0,
           IF(OFFSET(PLE!$G$15,$M306-$A$15,BA$13)="",10^12,OFFSET(PLE!$G$15,$M306-$A$15,BA$13)))</f>
        <v>1000000000000</v>
      </c>
      <c r="BB306" s="173">
        <f ca="1">IF(OR($D306&lt;&gt;"Serviço",AND(AUTOEVENTO="Manual",$M306=$A$15),$M306&gt;(ROW(PLE.lastrow)-ROW(PLE.firstrow))),0,
           IF(OFFSET(PLE!$G$15,$M306-$A$15,BB$13)="",10^12,OFFSET(PLE!$G$15,$M306-$A$15,BB$13)))</f>
        <v>1000000000000</v>
      </c>
      <c r="BC306" s="173">
        <f ca="1">IF(OR($D306&lt;&gt;"Serviço",AND(AUTOEVENTO="Manual",$M306=$A$15),$M306&gt;(ROW(PLE.lastrow)-ROW(PLE.firstrow))),0,
           IF(OFFSET(PLE!$G$15,$M306-$A$15,BC$13)="",10^12,OFFSET(PLE!$G$15,$M306-$A$15,BC$13)))</f>
        <v>1000000000000</v>
      </c>
      <c r="BD306" s="173">
        <f ca="1">IF(OR($D306&lt;&gt;"Serviço",AND(AUTOEVENTO="Manual",$M306=$A$15),$M306&gt;(ROW(PLE.lastrow)-ROW(PLE.firstrow))),0,
           IF(OFFSET(PLE!$G$15,$M306-$A$15,BD$13)="",10^12,OFFSET(PLE!$G$15,$M306-$A$15,BD$13)))</f>
        <v>1000000000000</v>
      </c>
      <c r="BE306" s="173">
        <f ca="1">IF(OR($D306&lt;&gt;"Serviço",AND(AUTOEVENTO="Manual",$M306=$A$15),$M306&gt;(ROW(PLE.lastrow)-ROW(PLE.firstrow))),0,
           IF(OFFSET(PLE!$G$15,$M306-$A$15,BE$13)="",10^12,OFFSET(PLE!$G$15,$M306-$A$15,BE$13)))</f>
        <v>1000000000000</v>
      </c>
      <c r="BF306" s="173">
        <f ca="1">IF(OR($D306&lt;&gt;"Serviço",AND(AUTOEVENTO="Manual",$M306=$A$15),$M306&gt;(ROW(PLE.lastrow)-ROW(PLE.firstrow))),0,
           IF(OFFSET(PLE!$G$15,$M306-$A$15,BF$13)="",10^12,OFFSET(PLE!$G$15,$M306-$A$15,BF$13)))</f>
        <v>1000000000000</v>
      </c>
      <c r="BG306" s="173">
        <f ca="1">IF(OR($D306&lt;&gt;"Serviço",AND(AUTOEVENTO="Manual",$M306=$A$15),$M306&gt;(ROW(PLE.lastrow)-ROW(PLE.firstrow))),0,
           IF(OFFSET(PLE!$G$15,$M306-$A$15,BG$13)="",10^12,OFFSET(PLE!$G$15,$M306-$A$15,BG$13)))</f>
        <v>1000000000000</v>
      </c>
    </row>
    <row r="307" spans="1:59" ht="38.25" x14ac:dyDescent="0.2">
      <c r="A307" s="7" t="str">
        <f t="shared" ca="1" si="12"/>
        <v>253</v>
      </c>
      <c r="B307" s="7" t="str">
        <f ca="1">OFFSET(ORÇAMENTO!C$15,ROW(B307)-ROW(B$15),0)</f>
        <v>S</v>
      </c>
      <c r="C307" s="7" t="str">
        <f ca="1">OFFSET(ORÇAMENTO!L$15,ROW(C307)-ROW(C$15),0)</f>
        <v/>
      </c>
      <c r="D307" s="117" t="str">
        <f ca="1">OFFSET(ORÇAMENTO!N$15,ROW(D307)-ROW(D$15),0)</f>
        <v>Serviço</v>
      </c>
      <c r="E307" s="118" t="str">
        <f ca="1">OFFSET(ORÇAMENTO!O$15,ROW(E307)-ROW(E$15),0)</f>
        <v>-</v>
      </c>
      <c r="F307" s="164" t="str">
        <f ca="1">OFFSET(ORÇAMENTO!R$15,ROW(F307)-ROW(F$15),0)</f>
        <v>TÊ, EM FERRO GALVANIZADO, CONEXÃO ROSQUEADA, DN 65 (2 1/2"), INSTALADO EM REDE DE ALIMENTAÇÃO PARA HIDRANTE - FORNECIMENTO E INSTALAÇÃO. AF_10/2020</v>
      </c>
      <c r="G307" s="165" t="str">
        <f ca="1">IF($D307&lt;&gt;"Serviço","",OFFSET(ORÇAMENTO!S$15,ROW(G307)-ROW(G$15),0))</f>
        <v>UN</v>
      </c>
      <c r="H307" s="123">
        <f ca="1">IF($D307&lt;&gt;"Serviço",0,IF(ACOMPANHAMENTO="BM",ROUND(OFFSET(ORÇAMENTO!AJ$15,ROW(H307)-ROW(H$15),0),15-13*ORÇAMENTO!$AF$7),SUMPRODUCT(($Q$1:$AA$1=1)*ROUND($Q307:$AA307,15-13*ORÇAMENTO!$AF$7))))</f>
        <v>3</v>
      </c>
      <c r="I307" s="469"/>
      <c r="J307" s="577" t="str" cm="1">
        <f t="array" aca="1" ref="J307" ca="1">IF(B307&lt;&gt;"S","",IF(AND(ACOMPANHAMENTO="PLE",AUTOEVENTO="Manual",OR(H307&gt;0,ORÇAMENTO!AC307="QUANT."),OR(K307="",M307=0,N307="")),"►",IF(AND(ACOMPANHAMENTO="PLE",ORÇAMENTO!AC307="QUANT."),"►►",IF(AND(COUNTIF($P$11:$AA$11,"▼")=0,H307&gt;0,I307=""),"◄",""))))</f>
        <v>◄</v>
      </c>
      <c r="K307" s="626"/>
      <c r="L307" s="166" t="s">
        <v>765</v>
      </c>
      <c r="M307" s="167">
        <f ca="1">IF($D307&lt;&gt;"Serviço","",
          IF(AUTOEVENTO="manual",$A307,
                IF(ISERROR(MATCH($A307,$A$15:OFFSET($A307,-1,0),0)),MAX($M$15:OFFSET(M307,-1,0))+1,
                      INDEX($M$15:OFFSET(M307,-1,0),MATCH($A307,$A$15:OFFSET($A307,-1,0),0)))))</f>
        <v>16</v>
      </c>
      <c r="N307" s="168" t="str">
        <f ca="1">IF($D307&lt;&gt;"Serviço","",
         IF(AUTOEVENTO="Manual",
                IF($A307=0,"&lt;-- defina o número do agrupador",
                       OFFSET(EVENTOS!$D$15,$A307-$A$15,0)),
                OFFSET($F$15,$A307,0)))</f>
        <v>SISTEMAS DE PREVENÇÃO CONTRA INCÊNDIO</v>
      </c>
      <c r="O307" s="169"/>
      <c r="Q307" s="169"/>
      <c r="R307" s="170"/>
      <c r="S307" s="170"/>
      <c r="T307" s="170"/>
      <c r="U307" s="170"/>
      <c r="V307" s="170"/>
      <c r="W307" s="170"/>
      <c r="X307" s="170"/>
      <c r="Y307" s="170"/>
      <c r="Z307" s="171"/>
      <c r="AB307" s="454">
        <f ca="1">IF(AND($D307="Serviço",AB$12&lt;&gt;0,$H307&gt;0,OR(AUTOEVENTO&lt;&gt;"manual",$M307&lt;&gt;$A$15)),
        IF(Import.TipoArredondamento&lt;&gt;"TransfereGOV",
              ROUND(OFFSET($P307,0,AB$13),15-13*ORÇAMENTO!$AF$7)/$H307*OFFSET(ORÇAMENTO!$X$15,ROW(AB307)-ROW(AB$15),0),
              ROUND(ROUND(OFFSET($P307,0,AB$13),15-13*ORÇAMENTO!$AF$7)*OFFSET(ORÇAMENTO!$W$15,ROW(AB307)-ROW(AB$15),0),15-13*ORÇAMENTO!$AF$11)),
         0)</f>
        <v>0</v>
      </c>
      <c r="AC307" s="454">
        <f ca="1">IF(AND($D307="Serviço",AC$12&lt;&gt;0,$H307&gt;0,OR(AUTOEVENTO&lt;&gt;"manual",$M307&lt;&gt;$A$15)),
        IF(Import.TipoArredondamento&lt;&gt;"TransfereGOV",
              ROUND(OFFSET($P307,0,AC$13),15-13*ORÇAMENTO!$AF$7)/$H307*OFFSET(ORÇAMENTO!$X$15,ROW(AC307)-ROW(AC$15),0),
              ROUND(ROUND(OFFSET($P307,0,AC$13),15-13*ORÇAMENTO!$AF$7)*OFFSET(ORÇAMENTO!$W$15,ROW(AC307)-ROW(AC$15),0),15-13*ORÇAMENTO!$AF$11)),
         0)</f>
        <v>0</v>
      </c>
      <c r="AD307" s="454">
        <f ca="1">IF(AND($D307="Serviço",AD$12&lt;&gt;0,$H307&gt;0,OR(AUTOEVENTO&lt;&gt;"manual",$M307&lt;&gt;$A$15)),
        IF(Import.TipoArredondamento&lt;&gt;"TransfereGOV",
              ROUND(OFFSET($P307,0,AD$13),15-13*ORÇAMENTO!$AF$7)/$H307*OFFSET(ORÇAMENTO!$X$15,ROW(AD307)-ROW(AD$15),0),
              ROUND(ROUND(OFFSET($P307,0,AD$13),15-13*ORÇAMENTO!$AF$7)*OFFSET(ORÇAMENTO!$W$15,ROW(AD307)-ROW(AD$15),0),15-13*ORÇAMENTO!$AF$11)),
         0)</f>
        <v>0</v>
      </c>
      <c r="AE307" s="454">
        <f ca="1">IF(AND($D307="Serviço",AE$12&lt;&gt;0,$H307&gt;0,OR(AUTOEVENTO&lt;&gt;"manual",$M307&lt;&gt;$A$15)),
        IF(Import.TipoArredondamento&lt;&gt;"TransfereGOV",
              ROUND(OFFSET($P307,0,AE$13),15-13*ORÇAMENTO!$AF$7)/$H307*OFFSET(ORÇAMENTO!$X$15,ROW(AE307)-ROW(AE$15),0),
              ROUND(ROUND(OFFSET($P307,0,AE$13),15-13*ORÇAMENTO!$AF$7)*OFFSET(ORÇAMENTO!$W$15,ROW(AE307)-ROW(AE$15),0),15-13*ORÇAMENTO!$AF$11)),
         0)</f>
        <v>0</v>
      </c>
      <c r="AF307" s="454">
        <f ca="1">IF(AND($D307="Serviço",AF$12&lt;&gt;0,$H307&gt;0,OR(AUTOEVENTO&lt;&gt;"manual",$M307&lt;&gt;$A$15)),
        IF(Import.TipoArredondamento&lt;&gt;"TransfereGOV",
              ROUND(OFFSET($P307,0,AF$13),15-13*ORÇAMENTO!$AF$7)/$H307*OFFSET(ORÇAMENTO!$X$15,ROW(AF307)-ROW(AF$15),0),
              ROUND(ROUND(OFFSET($P307,0,AF$13),15-13*ORÇAMENTO!$AF$7)*OFFSET(ORÇAMENTO!$W$15,ROW(AF307)-ROW(AF$15),0),15-13*ORÇAMENTO!$AF$11)),
         0)</f>
        <v>0</v>
      </c>
      <c r="AG307" s="454">
        <f ca="1">IF(AND($D307="Serviço",AG$12&lt;&gt;0,$H307&gt;0,OR(AUTOEVENTO&lt;&gt;"manual",$M307&lt;&gt;$A$15)),
        IF(Import.TipoArredondamento&lt;&gt;"TransfereGOV",
              ROUND(OFFSET($P307,0,AG$13),15-13*ORÇAMENTO!$AF$7)/$H307*OFFSET(ORÇAMENTO!$X$15,ROW(AG307)-ROW(AG$15),0),
              ROUND(ROUND(OFFSET($P307,0,AG$13),15-13*ORÇAMENTO!$AF$7)*OFFSET(ORÇAMENTO!$W$15,ROW(AG307)-ROW(AG$15),0),15-13*ORÇAMENTO!$AF$11)),
         0)</f>
        <v>0</v>
      </c>
      <c r="AH307" s="454">
        <f ca="1">IF(AND($D307="Serviço",AH$12&lt;&gt;0,$H307&gt;0,OR(AUTOEVENTO&lt;&gt;"manual",$M307&lt;&gt;$A$15)),
        IF(Import.TipoArredondamento&lt;&gt;"TransfereGOV",
              ROUND(OFFSET($P307,0,AH$13),15-13*ORÇAMENTO!$AF$7)/$H307*OFFSET(ORÇAMENTO!$X$15,ROW(AH307)-ROW(AH$15),0),
              ROUND(ROUND(OFFSET($P307,0,AH$13),15-13*ORÇAMENTO!$AF$7)*OFFSET(ORÇAMENTO!$W$15,ROW(AH307)-ROW(AH$15),0),15-13*ORÇAMENTO!$AF$11)),
         0)</f>
        <v>0</v>
      </c>
      <c r="AI307" s="454">
        <f ca="1">IF(AND($D307="Serviço",AI$12&lt;&gt;0,$H307&gt;0,OR(AUTOEVENTO&lt;&gt;"manual",$M307&lt;&gt;$A$15)),
        IF(Import.TipoArredondamento&lt;&gt;"TransfereGOV",
              ROUND(OFFSET($P307,0,AI$13),15-13*ORÇAMENTO!$AF$7)/$H307*OFFSET(ORÇAMENTO!$X$15,ROW(AI307)-ROW(AI$15),0),
              ROUND(ROUND(OFFSET($P307,0,AI$13),15-13*ORÇAMENTO!$AF$7)*OFFSET(ORÇAMENTO!$W$15,ROW(AI307)-ROW(AI$15),0),15-13*ORÇAMENTO!$AF$11)),
         0)</f>
        <v>0</v>
      </c>
      <c r="AJ307" s="454">
        <f ca="1">IF(AND($D307="Serviço",AJ$12&lt;&gt;0,$H307&gt;0,OR(AUTOEVENTO&lt;&gt;"manual",$M307&lt;&gt;$A$15)),
        IF(Import.TipoArredondamento&lt;&gt;"TransfereGOV",
              ROUND(OFFSET($P307,0,AJ$13),15-13*ORÇAMENTO!$AF$7)/$H307*OFFSET(ORÇAMENTO!$X$15,ROW(AJ307)-ROW(AJ$15),0),
              ROUND(ROUND(OFFSET($P307,0,AJ$13),15-13*ORÇAMENTO!$AF$7)*OFFSET(ORÇAMENTO!$W$15,ROW(AJ307)-ROW(AJ$15),0),15-13*ORÇAMENTO!$AF$11)),
         0)</f>
        <v>0</v>
      </c>
      <c r="AK307" s="454">
        <f ca="1">IF(AND($D307="Serviço",AK$12&lt;&gt;0,$H307&gt;0,OR(AUTOEVENTO&lt;&gt;"manual",$M307&lt;&gt;$A$15)),
        IF(Import.TipoArredondamento&lt;&gt;"TransfereGOV",
              ROUND(OFFSET($P307,0,AK$13),15-13*ORÇAMENTO!$AF$7)/$H307*OFFSET(ORÇAMENTO!$X$15,ROW(AK307)-ROW(AK$15),0),
              ROUND(ROUND(OFFSET($P307,0,AK$13),15-13*ORÇAMENTO!$AF$7)*OFFSET(ORÇAMENTO!$W$15,ROW(AK307)-ROW(AK$15),0),15-13*ORÇAMENTO!$AF$11)),
         0)</f>
        <v>0</v>
      </c>
      <c r="AM307" s="172">
        <f ca="1">IF(OR($D307&lt;&gt;"Serviço",AND(AUTOEVENTO="Manual",$M307=$A$15)),0,
         IF(OFFSET(CRONOPLE!$F$15,$M307-$A$15,AM$13)="",10^12,OFFSET(CRONOPLE!$F$15,$M307-$A$15,AM$13)))</f>
        <v>1000000000000</v>
      </c>
      <c r="AN307" s="172">
        <f ca="1">IF(OR($D307&lt;&gt;"Serviço",AND(AUTOEVENTO="Manual",$M307=$A$15)),0,
         IF(OFFSET(CRONOPLE!$F$15,$M307-$A$15,AN$13)="",10^12,OFFSET(CRONOPLE!$F$15,$M307-$A$15,AN$13)))</f>
        <v>1000000000000</v>
      </c>
      <c r="AO307" s="172">
        <f ca="1">IF(OR($D307&lt;&gt;"Serviço",AND(AUTOEVENTO="Manual",$M307=$A$15)),0,
         IF(OFFSET(CRONOPLE!$F$15,$M307-$A$15,AO$13)="",10^12,OFFSET(CRONOPLE!$F$15,$M307-$A$15,AO$13)))</f>
        <v>1000000000000</v>
      </c>
      <c r="AP307" s="172">
        <f ca="1">IF(OR($D307&lt;&gt;"Serviço",AND(AUTOEVENTO="Manual",$M307=$A$15)),0,
         IF(OFFSET(CRONOPLE!$F$15,$M307-$A$15,AP$13)="",10^12,OFFSET(CRONOPLE!$F$15,$M307-$A$15,AP$13)))</f>
        <v>1000000000000</v>
      </c>
      <c r="AQ307" s="172">
        <f ca="1">IF(OR($D307&lt;&gt;"Serviço",AND(AUTOEVENTO="Manual",$M307=$A$15)),0,
         IF(OFFSET(CRONOPLE!$F$15,$M307-$A$15,AQ$13)="",10^12,OFFSET(CRONOPLE!$F$15,$M307-$A$15,AQ$13)))</f>
        <v>1000000000000</v>
      </c>
      <c r="AR307" s="172">
        <f ca="1">IF(OR($D307&lt;&gt;"Serviço",AND(AUTOEVENTO="Manual",$M307=$A$15)),0,
         IF(OFFSET(CRONOPLE!$F$15,$M307-$A$15,AR$13)="",10^12,OFFSET(CRONOPLE!$F$15,$M307-$A$15,AR$13)))</f>
        <v>1000000000000</v>
      </c>
      <c r="AS307" s="172">
        <f ca="1">IF(OR($D307&lt;&gt;"Serviço",AND(AUTOEVENTO="Manual",$M307=$A$15)),0,
         IF(OFFSET(CRONOPLE!$F$15,$M307-$A$15,AS$13)="",10^12,OFFSET(CRONOPLE!$F$15,$M307-$A$15,AS$13)))</f>
        <v>1000000000000</v>
      </c>
      <c r="AT307" s="172">
        <f ca="1">IF(OR($D307&lt;&gt;"Serviço",AND(AUTOEVENTO="Manual",$M307=$A$15)),0,
         IF(OFFSET(CRONOPLE!$F$15,$M307-$A$15,AT$13)="",10^12,OFFSET(CRONOPLE!$F$15,$M307-$A$15,AT$13)))</f>
        <v>1000000000000</v>
      </c>
      <c r="AU307" s="172">
        <f ca="1">IF(OR($D307&lt;&gt;"Serviço",AND(AUTOEVENTO="Manual",$M307=$A$15)),0,
         IF(OFFSET(CRONOPLE!$F$15,$M307-$A$15,AU$13)="",10^12,OFFSET(CRONOPLE!$F$15,$M307-$A$15,AU$13)))</f>
        <v>1000000000000</v>
      </c>
      <c r="AV307" s="172">
        <f ca="1">IF(OR($D307&lt;&gt;"Serviço",AND(AUTOEVENTO="Manual",$M307=$A$15)),0,
         IF(OFFSET(CRONOPLE!$F$15,$M307-$A$15,AV$13)="",10^12,OFFSET(CRONOPLE!$F$15,$M307-$A$15,AV$13)))</f>
        <v>1000000000000</v>
      </c>
      <c r="AX307" s="173">
        <f ca="1">IF(OR($D307&lt;&gt;"Serviço",AND(AUTOEVENTO="Manual",$M307=$A$15),$M307&gt;(ROW(PLE.lastrow)-ROW(PLE.firstrow))),0,
           IF(OFFSET(PLE!$G$15,$M307-$A$15,AX$13)="",10^12,OFFSET(PLE!$G$15,$M307-$A$15,AX$13)))</f>
        <v>1000000000000</v>
      </c>
      <c r="AY307" s="173">
        <f ca="1">IF(OR($D307&lt;&gt;"Serviço",AND(AUTOEVENTO="Manual",$M307=$A$15),$M307&gt;(ROW(PLE.lastrow)-ROW(PLE.firstrow))),0,
           IF(OFFSET(PLE!$G$15,$M307-$A$15,AY$13)="",10^12,OFFSET(PLE!$G$15,$M307-$A$15,AY$13)))</f>
        <v>1000000000000</v>
      </c>
      <c r="AZ307" s="173">
        <f ca="1">IF(OR($D307&lt;&gt;"Serviço",AND(AUTOEVENTO="Manual",$M307=$A$15),$M307&gt;(ROW(PLE.lastrow)-ROW(PLE.firstrow))),0,
           IF(OFFSET(PLE!$G$15,$M307-$A$15,AZ$13)="",10^12,OFFSET(PLE!$G$15,$M307-$A$15,AZ$13)))</f>
        <v>1000000000000</v>
      </c>
      <c r="BA307" s="173">
        <f ca="1">IF(OR($D307&lt;&gt;"Serviço",AND(AUTOEVENTO="Manual",$M307=$A$15),$M307&gt;(ROW(PLE.lastrow)-ROW(PLE.firstrow))),0,
           IF(OFFSET(PLE!$G$15,$M307-$A$15,BA$13)="",10^12,OFFSET(PLE!$G$15,$M307-$A$15,BA$13)))</f>
        <v>1000000000000</v>
      </c>
      <c r="BB307" s="173">
        <f ca="1">IF(OR($D307&lt;&gt;"Serviço",AND(AUTOEVENTO="Manual",$M307=$A$15),$M307&gt;(ROW(PLE.lastrow)-ROW(PLE.firstrow))),0,
           IF(OFFSET(PLE!$G$15,$M307-$A$15,BB$13)="",10^12,OFFSET(PLE!$G$15,$M307-$A$15,BB$13)))</f>
        <v>1000000000000</v>
      </c>
      <c r="BC307" s="173">
        <f ca="1">IF(OR($D307&lt;&gt;"Serviço",AND(AUTOEVENTO="Manual",$M307=$A$15),$M307&gt;(ROW(PLE.lastrow)-ROW(PLE.firstrow))),0,
           IF(OFFSET(PLE!$G$15,$M307-$A$15,BC$13)="",10^12,OFFSET(PLE!$G$15,$M307-$A$15,BC$13)))</f>
        <v>1000000000000</v>
      </c>
      <c r="BD307" s="173">
        <f ca="1">IF(OR($D307&lt;&gt;"Serviço",AND(AUTOEVENTO="Manual",$M307=$A$15),$M307&gt;(ROW(PLE.lastrow)-ROW(PLE.firstrow))),0,
           IF(OFFSET(PLE!$G$15,$M307-$A$15,BD$13)="",10^12,OFFSET(PLE!$G$15,$M307-$A$15,BD$13)))</f>
        <v>1000000000000</v>
      </c>
      <c r="BE307" s="173">
        <f ca="1">IF(OR($D307&lt;&gt;"Serviço",AND(AUTOEVENTO="Manual",$M307=$A$15),$M307&gt;(ROW(PLE.lastrow)-ROW(PLE.firstrow))),0,
           IF(OFFSET(PLE!$G$15,$M307-$A$15,BE$13)="",10^12,OFFSET(PLE!$G$15,$M307-$A$15,BE$13)))</f>
        <v>1000000000000</v>
      </c>
      <c r="BF307" s="173">
        <f ca="1">IF(OR($D307&lt;&gt;"Serviço",AND(AUTOEVENTO="Manual",$M307=$A$15),$M307&gt;(ROW(PLE.lastrow)-ROW(PLE.firstrow))),0,
           IF(OFFSET(PLE!$G$15,$M307-$A$15,BF$13)="",10^12,OFFSET(PLE!$G$15,$M307-$A$15,BF$13)))</f>
        <v>1000000000000</v>
      </c>
      <c r="BG307" s="173">
        <f ca="1">IF(OR($D307&lt;&gt;"Serviço",AND(AUTOEVENTO="Manual",$M307=$A$15),$M307&gt;(ROW(PLE.lastrow)-ROW(PLE.firstrow))),0,
           IF(OFFSET(PLE!$G$15,$M307-$A$15,BG$13)="",10^12,OFFSET(PLE!$G$15,$M307-$A$15,BG$13)))</f>
        <v>1000000000000</v>
      </c>
    </row>
    <row r="308" spans="1:59" ht="38.25" x14ac:dyDescent="0.2">
      <c r="A308" s="7" t="str">
        <f t="shared" ca="1" si="12"/>
        <v>253</v>
      </c>
      <c r="B308" s="7" t="str">
        <f ca="1">OFFSET(ORÇAMENTO!C$15,ROW(B308)-ROW(B$15),0)</f>
        <v>S</v>
      </c>
      <c r="C308" s="7" t="str">
        <f ca="1">OFFSET(ORÇAMENTO!L$15,ROW(C308)-ROW(C$15),0)</f>
        <v/>
      </c>
      <c r="D308" s="117" t="str">
        <f ca="1">OFFSET(ORÇAMENTO!N$15,ROW(D308)-ROW(D$15),0)</f>
        <v>Serviço</v>
      </c>
      <c r="E308" s="118" t="str">
        <f ca="1">OFFSET(ORÇAMENTO!O$15,ROW(E308)-ROW(E$15),0)</f>
        <v>-</v>
      </c>
      <c r="F308" s="164" t="str">
        <f ca="1">OFFSET(ORÇAMENTO!R$15,ROW(F308)-ROW(F$15),0)</f>
        <v>NIPLE, EM FERRO GALVANIZADO, DN 65 (2 1/2"), CONEXÃO ROSQUEADA, INSTALADO EM REDE DE ALIMENTAÇÃO PARA HIDRANTE - FORNECIMENTO E INSTALAÇÃO. AF_10/2020</v>
      </c>
      <c r="G308" s="165" t="str">
        <f ca="1">IF($D308&lt;&gt;"Serviço","",OFFSET(ORÇAMENTO!S$15,ROW(G308)-ROW(G$15),0))</f>
        <v>UN</v>
      </c>
      <c r="H308" s="123">
        <f ca="1">IF($D308&lt;&gt;"Serviço",0,IF(ACOMPANHAMENTO="BM",ROUND(OFFSET(ORÇAMENTO!AJ$15,ROW(H308)-ROW(H$15),0),15-13*ORÇAMENTO!$AF$7),SUMPRODUCT(($Q$1:$AA$1=1)*ROUND($Q308:$AA308,15-13*ORÇAMENTO!$AF$7))))</f>
        <v>6</v>
      </c>
      <c r="I308" s="469"/>
      <c r="J308" s="577" t="str" cm="1">
        <f t="array" aca="1" ref="J308" ca="1">IF(B308&lt;&gt;"S","",IF(AND(ACOMPANHAMENTO="PLE",AUTOEVENTO="Manual",OR(H308&gt;0,ORÇAMENTO!AC308="QUANT."),OR(K308="",M308=0,N308="")),"►",IF(AND(ACOMPANHAMENTO="PLE",ORÇAMENTO!AC308="QUANT."),"►►",IF(AND(COUNTIF($P$11:$AA$11,"▼")=0,H308&gt;0,I308=""),"◄",""))))</f>
        <v>◄</v>
      </c>
      <c r="K308" s="626"/>
      <c r="L308" s="166" t="s">
        <v>765</v>
      </c>
      <c r="M308" s="167">
        <f ca="1">IF($D308&lt;&gt;"Serviço","",
          IF(AUTOEVENTO="manual",$A308,
                IF(ISERROR(MATCH($A308,$A$15:OFFSET($A308,-1,0),0)),MAX($M$15:OFFSET(M308,-1,0))+1,
                      INDEX($M$15:OFFSET(M308,-1,0),MATCH($A308,$A$15:OFFSET($A308,-1,0),0)))))</f>
        <v>16</v>
      </c>
      <c r="N308" s="168" t="str">
        <f ca="1">IF($D308&lt;&gt;"Serviço","",
         IF(AUTOEVENTO="Manual",
                IF($A308=0,"&lt;-- defina o número do agrupador",
                       OFFSET(EVENTOS!$D$15,$A308-$A$15,0)),
                OFFSET($F$15,$A308,0)))</f>
        <v>SISTEMAS DE PREVENÇÃO CONTRA INCÊNDIO</v>
      </c>
      <c r="O308" s="169"/>
      <c r="Q308" s="169"/>
      <c r="R308" s="170"/>
      <c r="S308" s="170"/>
      <c r="T308" s="170"/>
      <c r="U308" s="170"/>
      <c r="V308" s="170"/>
      <c r="W308" s="170"/>
      <c r="X308" s="170"/>
      <c r="Y308" s="170"/>
      <c r="Z308" s="171"/>
      <c r="AB308" s="454">
        <f ca="1">IF(AND($D308="Serviço",AB$12&lt;&gt;0,$H308&gt;0,OR(AUTOEVENTO&lt;&gt;"manual",$M308&lt;&gt;$A$15)),
        IF(Import.TipoArredondamento&lt;&gt;"TransfereGOV",
              ROUND(OFFSET($P308,0,AB$13),15-13*ORÇAMENTO!$AF$7)/$H308*OFFSET(ORÇAMENTO!$X$15,ROW(AB308)-ROW(AB$15),0),
              ROUND(ROUND(OFFSET($P308,0,AB$13),15-13*ORÇAMENTO!$AF$7)*OFFSET(ORÇAMENTO!$W$15,ROW(AB308)-ROW(AB$15),0),15-13*ORÇAMENTO!$AF$11)),
         0)</f>
        <v>0</v>
      </c>
      <c r="AC308" s="454">
        <f ca="1">IF(AND($D308="Serviço",AC$12&lt;&gt;0,$H308&gt;0,OR(AUTOEVENTO&lt;&gt;"manual",$M308&lt;&gt;$A$15)),
        IF(Import.TipoArredondamento&lt;&gt;"TransfereGOV",
              ROUND(OFFSET($P308,0,AC$13),15-13*ORÇAMENTO!$AF$7)/$H308*OFFSET(ORÇAMENTO!$X$15,ROW(AC308)-ROW(AC$15),0),
              ROUND(ROUND(OFFSET($P308,0,AC$13),15-13*ORÇAMENTO!$AF$7)*OFFSET(ORÇAMENTO!$W$15,ROW(AC308)-ROW(AC$15),0),15-13*ORÇAMENTO!$AF$11)),
         0)</f>
        <v>0</v>
      </c>
      <c r="AD308" s="454">
        <f ca="1">IF(AND($D308="Serviço",AD$12&lt;&gt;0,$H308&gt;0,OR(AUTOEVENTO&lt;&gt;"manual",$M308&lt;&gt;$A$15)),
        IF(Import.TipoArredondamento&lt;&gt;"TransfereGOV",
              ROUND(OFFSET($P308,0,AD$13),15-13*ORÇAMENTO!$AF$7)/$H308*OFFSET(ORÇAMENTO!$X$15,ROW(AD308)-ROW(AD$15),0),
              ROUND(ROUND(OFFSET($P308,0,AD$13),15-13*ORÇAMENTO!$AF$7)*OFFSET(ORÇAMENTO!$W$15,ROW(AD308)-ROW(AD$15),0),15-13*ORÇAMENTO!$AF$11)),
         0)</f>
        <v>0</v>
      </c>
      <c r="AE308" s="454">
        <f ca="1">IF(AND($D308="Serviço",AE$12&lt;&gt;0,$H308&gt;0,OR(AUTOEVENTO&lt;&gt;"manual",$M308&lt;&gt;$A$15)),
        IF(Import.TipoArredondamento&lt;&gt;"TransfereGOV",
              ROUND(OFFSET($P308,0,AE$13),15-13*ORÇAMENTO!$AF$7)/$H308*OFFSET(ORÇAMENTO!$X$15,ROW(AE308)-ROW(AE$15),0),
              ROUND(ROUND(OFFSET($P308,0,AE$13),15-13*ORÇAMENTO!$AF$7)*OFFSET(ORÇAMENTO!$W$15,ROW(AE308)-ROW(AE$15),0),15-13*ORÇAMENTO!$AF$11)),
         0)</f>
        <v>0</v>
      </c>
      <c r="AF308" s="454">
        <f ca="1">IF(AND($D308="Serviço",AF$12&lt;&gt;0,$H308&gt;0,OR(AUTOEVENTO&lt;&gt;"manual",$M308&lt;&gt;$A$15)),
        IF(Import.TipoArredondamento&lt;&gt;"TransfereGOV",
              ROUND(OFFSET($P308,0,AF$13),15-13*ORÇAMENTO!$AF$7)/$H308*OFFSET(ORÇAMENTO!$X$15,ROW(AF308)-ROW(AF$15),0),
              ROUND(ROUND(OFFSET($P308,0,AF$13),15-13*ORÇAMENTO!$AF$7)*OFFSET(ORÇAMENTO!$W$15,ROW(AF308)-ROW(AF$15),0),15-13*ORÇAMENTO!$AF$11)),
         0)</f>
        <v>0</v>
      </c>
      <c r="AG308" s="454">
        <f ca="1">IF(AND($D308="Serviço",AG$12&lt;&gt;0,$H308&gt;0,OR(AUTOEVENTO&lt;&gt;"manual",$M308&lt;&gt;$A$15)),
        IF(Import.TipoArredondamento&lt;&gt;"TransfereGOV",
              ROUND(OFFSET($P308,0,AG$13),15-13*ORÇAMENTO!$AF$7)/$H308*OFFSET(ORÇAMENTO!$X$15,ROW(AG308)-ROW(AG$15),0),
              ROUND(ROUND(OFFSET($P308,0,AG$13),15-13*ORÇAMENTO!$AF$7)*OFFSET(ORÇAMENTO!$W$15,ROW(AG308)-ROW(AG$15),0),15-13*ORÇAMENTO!$AF$11)),
         0)</f>
        <v>0</v>
      </c>
      <c r="AH308" s="454">
        <f ca="1">IF(AND($D308="Serviço",AH$12&lt;&gt;0,$H308&gt;0,OR(AUTOEVENTO&lt;&gt;"manual",$M308&lt;&gt;$A$15)),
        IF(Import.TipoArredondamento&lt;&gt;"TransfereGOV",
              ROUND(OFFSET($P308,0,AH$13),15-13*ORÇAMENTO!$AF$7)/$H308*OFFSET(ORÇAMENTO!$X$15,ROW(AH308)-ROW(AH$15),0),
              ROUND(ROUND(OFFSET($P308,0,AH$13),15-13*ORÇAMENTO!$AF$7)*OFFSET(ORÇAMENTO!$W$15,ROW(AH308)-ROW(AH$15),0),15-13*ORÇAMENTO!$AF$11)),
         0)</f>
        <v>0</v>
      </c>
      <c r="AI308" s="454">
        <f ca="1">IF(AND($D308="Serviço",AI$12&lt;&gt;0,$H308&gt;0,OR(AUTOEVENTO&lt;&gt;"manual",$M308&lt;&gt;$A$15)),
        IF(Import.TipoArredondamento&lt;&gt;"TransfereGOV",
              ROUND(OFFSET($P308,0,AI$13),15-13*ORÇAMENTO!$AF$7)/$H308*OFFSET(ORÇAMENTO!$X$15,ROW(AI308)-ROW(AI$15),0),
              ROUND(ROUND(OFFSET($P308,0,AI$13),15-13*ORÇAMENTO!$AF$7)*OFFSET(ORÇAMENTO!$W$15,ROW(AI308)-ROW(AI$15),0),15-13*ORÇAMENTO!$AF$11)),
         0)</f>
        <v>0</v>
      </c>
      <c r="AJ308" s="454">
        <f ca="1">IF(AND($D308="Serviço",AJ$12&lt;&gt;0,$H308&gt;0,OR(AUTOEVENTO&lt;&gt;"manual",$M308&lt;&gt;$A$15)),
        IF(Import.TipoArredondamento&lt;&gt;"TransfereGOV",
              ROUND(OFFSET($P308,0,AJ$13),15-13*ORÇAMENTO!$AF$7)/$H308*OFFSET(ORÇAMENTO!$X$15,ROW(AJ308)-ROW(AJ$15),0),
              ROUND(ROUND(OFFSET($P308,0,AJ$13),15-13*ORÇAMENTO!$AF$7)*OFFSET(ORÇAMENTO!$W$15,ROW(AJ308)-ROW(AJ$15),0),15-13*ORÇAMENTO!$AF$11)),
         0)</f>
        <v>0</v>
      </c>
      <c r="AK308" s="454">
        <f ca="1">IF(AND($D308="Serviço",AK$12&lt;&gt;0,$H308&gt;0,OR(AUTOEVENTO&lt;&gt;"manual",$M308&lt;&gt;$A$15)),
        IF(Import.TipoArredondamento&lt;&gt;"TransfereGOV",
              ROUND(OFFSET($P308,0,AK$13),15-13*ORÇAMENTO!$AF$7)/$H308*OFFSET(ORÇAMENTO!$X$15,ROW(AK308)-ROW(AK$15),0),
              ROUND(ROUND(OFFSET($P308,0,AK$13),15-13*ORÇAMENTO!$AF$7)*OFFSET(ORÇAMENTO!$W$15,ROW(AK308)-ROW(AK$15),0),15-13*ORÇAMENTO!$AF$11)),
         0)</f>
        <v>0</v>
      </c>
      <c r="AM308" s="172">
        <f ca="1">IF(OR($D308&lt;&gt;"Serviço",AND(AUTOEVENTO="Manual",$M308=$A$15)),0,
         IF(OFFSET(CRONOPLE!$F$15,$M308-$A$15,AM$13)="",10^12,OFFSET(CRONOPLE!$F$15,$M308-$A$15,AM$13)))</f>
        <v>1000000000000</v>
      </c>
      <c r="AN308" s="172">
        <f ca="1">IF(OR($D308&lt;&gt;"Serviço",AND(AUTOEVENTO="Manual",$M308=$A$15)),0,
         IF(OFFSET(CRONOPLE!$F$15,$M308-$A$15,AN$13)="",10^12,OFFSET(CRONOPLE!$F$15,$M308-$A$15,AN$13)))</f>
        <v>1000000000000</v>
      </c>
      <c r="AO308" s="172">
        <f ca="1">IF(OR($D308&lt;&gt;"Serviço",AND(AUTOEVENTO="Manual",$M308=$A$15)),0,
         IF(OFFSET(CRONOPLE!$F$15,$M308-$A$15,AO$13)="",10^12,OFFSET(CRONOPLE!$F$15,$M308-$A$15,AO$13)))</f>
        <v>1000000000000</v>
      </c>
      <c r="AP308" s="172">
        <f ca="1">IF(OR($D308&lt;&gt;"Serviço",AND(AUTOEVENTO="Manual",$M308=$A$15)),0,
         IF(OFFSET(CRONOPLE!$F$15,$M308-$A$15,AP$13)="",10^12,OFFSET(CRONOPLE!$F$15,$M308-$A$15,AP$13)))</f>
        <v>1000000000000</v>
      </c>
      <c r="AQ308" s="172">
        <f ca="1">IF(OR($D308&lt;&gt;"Serviço",AND(AUTOEVENTO="Manual",$M308=$A$15)),0,
         IF(OFFSET(CRONOPLE!$F$15,$M308-$A$15,AQ$13)="",10^12,OFFSET(CRONOPLE!$F$15,$M308-$A$15,AQ$13)))</f>
        <v>1000000000000</v>
      </c>
      <c r="AR308" s="172">
        <f ca="1">IF(OR($D308&lt;&gt;"Serviço",AND(AUTOEVENTO="Manual",$M308=$A$15)),0,
         IF(OFFSET(CRONOPLE!$F$15,$M308-$A$15,AR$13)="",10^12,OFFSET(CRONOPLE!$F$15,$M308-$A$15,AR$13)))</f>
        <v>1000000000000</v>
      </c>
      <c r="AS308" s="172">
        <f ca="1">IF(OR($D308&lt;&gt;"Serviço",AND(AUTOEVENTO="Manual",$M308=$A$15)),0,
         IF(OFFSET(CRONOPLE!$F$15,$M308-$A$15,AS$13)="",10^12,OFFSET(CRONOPLE!$F$15,$M308-$A$15,AS$13)))</f>
        <v>1000000000000</v>
      </c>
      <c r="AT308" s="172">
        <f ca="1">IF(OR($D308&lt;&gt;"Serviço",AND(AUTOEVENTO="Manual",$M308=$A$15)),0,
         IF(OFFSET(CRONOPLE!$F$15,$M308-$A$15,AT$13)="",10^12,OFFSET(CRONOPLE!$F$15,$M308-$A$15,AT$13)))</f>
        <v>1000000000000</v>
      </c>
      <c r="AU308" s="172">
        <f ca="1">IF(OR($D308&lt;&gt;"Serviço",AND(AUTOEVENTO="Manual",$M308=$A$15)),0,
         IF(OFFSET(CRONOPLE!$F$15,$M308-$A$15,AU$13)="",10^12,OFFSET(CRONOPLE!$F$15,$M308-$A$15,AU$13)))</f>
        <v>1000000000000</v>
      </c>
      <c r="AV308" s="172">
        <f ca="1">IF(OR($D308&lt;&gt;"Serviço",AND(AUTOEVENTO="Manual",$M308=$A$15)),0,
         IF(OFFSET(CRONOPLE!$F$15,$M308-$A$15,AV$13)="",10^12,OFFSET(CRONOPLE!$F$15,$M308-$A$15,AV$13)))</f>
        <v>1000000000000</v>
      </c>
      <c r="AX308" s="173">
        <f ca="1">IF(OR($D308&lt;&gt;"Serviço",AND(AUTOEVENTO="Manual",$M308=$A$15),$M308&gt;(ROW(PLE.lastrow)-ROW(PLE.firstrow))),0,
           IF(OFFSET(PLE!$G$15,$M308-$A$15,AX$13)="",10^12,OFFSET(PLE!$G$15,$M308-$A$15,AX$13)))</f>
        <v>1000000000000</v>
      </c>
      <c r="AY308" s="173">
        <f ca="1">IF(OR($D308&lt;&gt;"Serviço",AND(AUTOEVENTO="Manual",$M308=$A$15),$M308&gt;(ROW(PLE.lastrow)-ROW(PLE.firstrow))),0,
           IF(OFFSET(PLE!$G$15,$M308-$A$15,AY$13)="",10^12,OFFSET(PLE!$G$15,$M308-$A$15,AY$13)))</f>
        <v>1000000000000</v>
      </c>
      <c r="AZ308" s="173">
        <f ca="1">IF(OR($D308&lt;&gt;"Serviço",AND(AUTOEVENTO="Manual",$M308=$A$15),$M308&gt;(ROW(PLE.lastrow)-ROW(PLE.firstrow))),0,
           IF(OFFSET(PLE!$G$15,$M308-$A$15,AZ$13)="",10^12,OFFSET(PLE!$G$15,$M308-$A$15,AZ$13)))</f>
        <v>1000000000000</v>
      </c>
      <c r="BA308" s="173">
        <f ca="1">IF(OR($D308&lt;&gt;"Serviço",AND(AUTOEVENTO="Manual",$M308=$A$15),$M308&gt;(ROW(PLE.lastrow)-ROW(PLE.firstrow))),0,
           IF(OFFSET(PLE!$G$15,$M308-$A$15,BA$13)="",10^12,OFFSET(PLE!$G$15,$M308-$A$15,BA$13)))</f>
        <v>1000000000000</v>
      </c>
      <c r="BB308" s="173">
        <f ca="1">IF(OR($D308&lt;&gt;"Serviço",AND(AUTOEVENTO="Manual",$M308=$A$15),$M308&gt;(ROW(PLE.lastrow)-ROW(PLE.firstrow))),0,
           IF(OFFSET(PLE!$G$15,$M308-$A$15,BB$13)="",10^12,OFFSET(PLE!$G$15,$M308-$A$15,BB$13)))</f>
        <v>1000000000000</v>
      </c>
      <c r="BC308" s="173">
        <f ca="1">IF(OR($D308&lt;&gt;"Serviço",AND(AUTOEVENTO="Manual",$M308=$A$15),$M308&gt;(ROW(PLE.lastrow)-ROW(PLE.firstrow))),0,
           IF(OFFSET(PLE!$G$15,$M308-$A$15,BC$13)="",10^12,OFFSET(PLE!$G$15,$M308-$A$15,BC$13)))</f>
        <v>1000000000000</v>
      </c>
      <c r="BD308" s="173">
        <f ca="1">IF(OR($D308&lt;&gt;"Serviço",AND(AUTOEVENTO="Manual",$M308=$A$15),$M308&gt;(ROW(PLE.lastrow)-ROW(PLE.firstrow))),0,
           IF(OFFSET(PLE!$G$15,$M308-$A$15,BD$13)="",10^12,OFFSET(PLE!$G$15,$M308-$A$15,BD$13)))</f>
        <v>1000000000000</v>
      </c>
      <c r="BE308" s="173">
        <f ca="1">IF(OR($D308&lt;&gt;"Serviço",AND(AUTOEVENTO="Manual",$M308=$A$15),$M308&gt;(ROW(PLE.lastrow)-ROW(PLE.firstrow))),0,
           IF(OFFSET(PLE!$G$15,$M308-$A$15,BE$13)="",10^12,OFFSET(PLE!$G$15,$M308-$A$15,BE$13)))</f>
        <v>1000000000000</v>
      </c>
      <c r="BF308" s="173">
        <f ca="1">IF(OR($D308&lt;&gt;"Serviço",AND(AUTOEVENTO="Manual",$M308=$A$15),$M308&gt;(ROW(PLE.lastrow)-ROW(PLE.firstrow))),0,
           IF(OFFSET(PLE!$G$15,$M308-$A$15,BF$13)="",10^12,OFFSET(PLE!$G$15,$M308-$A$15,BF$13)))</f>
        <v>1000000000000</v>
      </c>
      <c r="BG308" s="173">
        <f ca="1">IF(OR($D308&lt;&gt;"Serviço",AND(AUTOEVENTO="Manual",$M308=$A$15),$M308&gt;(ROW(PLE.lastrow)-ROW(PLE.firstrow))),0,
           IF(OFFSET(PLE!$G$15,$M308-$A$15,BG$13)="",10^12,OFFSET(PLE!$G$15,$M308-$A$15,BG$13)))</f>
        <v>1000000000000</v>
      </c>
    </row>
    <row r="309" spans="1:59" ht="25.5" x14ac:dyDescent="0.2">
      <c r="A309" s="7" t="str">
        <f t="shared" ca="1" si="12"/>
        <v>253</v>
      </c>
      <c r="B309" s="7" t="str">
        <f ca="1">OFFSET(ORÇAMENTO!C$15,ROW(B309)-ROW(B$15),0)</f>
        <v>S</v>
      </c>
      <c r="C309" s="7" t="str">
        <f ca="1">OFFSET(ORÇAMENTO!L$15,ROW(C309)-ROW(C$15),0)</f>
        <v/>
      </c>
      <c r="D309" s="117" t="str">
        <f ca="1">OFFSET(ORÇAMENTO!N$15,ROW(D309)-ROW(D$15),0)</f>
        <v>Serviço</v>
      </c>
      <c r="E309" s="118" t="str">
        <f ca="1">OFFSET(ORÇAMENTO!O$15,ROW(E309)-ROW(E$15),0)</f>
        <v>-</v>
      </c>
      <c r="F309" s="164" t="str">
        <f ca="1">OFFSET(ORÇAMENTO!R$15,ROW(F309)-ROW(F$15),0)</f>
        <v xml:space="preserve">ADAPTADOR EM LATAO, ENGATE RAPIDO1 1/2" X ROSCA INTERNA 5 FIOS 2 1/2", PARA INSTALACAO PREDIAL DE COMBATE A INCENDIO                                                                                                                                      </v>
      </c>
      <c r="G309" s="165" t="str">
        <f ca="1">IF($D309&lt;&gt;"Serviço","",OFFSET(ORÇAMENTO!S$15,ROW(G309)-ROW(G$15),0))</f>
        <v xml:space="preserve">UN    </v>
      </c>
      <c r="H309" s="123">
        <f ca="1">IF($D309&lt;&gt;"Serviço",0,IF(ACOMPANHAMENTO="BM",ROUND(OFFSET(ORÇAMENTO!AJ$15,ROW(H309)-ROW(H$15),0),15-13*ORÇAMENTO!$AF$7),SUMPRODUCT(($Q$1:$AA$1=1)*ROUND($Q309:$AA309,15-13*ORÇAMENTO!$AF$7))))</f>
        <v>2</v>
      </c>
      <c r="I309" s="469"/>
      <c r="J309" s="577" t="str" cm="1">
        <f t="array" aca="1" ref="J309" ca="1">IF(B309&lt;&gt;"S","",IF(AND(ACOMPANHAMENTO="PLE",AUTOEVENTO="Manual",OR(H309&gt;0,ORÇAMENTO!AC309="QUANT."),OR(K309="",M309=0,N309="")),"►",IF(AND(ACOMPANHAMENTO="PLE",ORÇAMENTO!AC309="QUANT."),"►►",IF(AND(COUNTIF($P$11:$AA$11,"▼")=0,H309&gt;0,I309=""),"◄",""))))</f>
        <v>◄</v>
      </c>
      <c r="K309" s="626"/>
      <c r="L309" s="166" t="s">
        <v>765</v>
      </c>
      <c r="M309" s="167">
        <f ca="1">IF($D309&lt;&gt;"Serviço","",
          IF(AUTOEVENTO="manual",$A309,
                IF(ISERROR(MATCH($A309,$A$15:OFFSET($A309,-1,0),0)),MAX($M$15:OFFSET(M309,-1,0))+1,
                      INDEX($M$15:OFFSET(M309,-1,0),MATCH($A309,$A$15:OFFSET($A309,-1,0),0)))))</f>
        <v>16</v>
      </c>
      <c r="N309" s="168" t="str">
        <f ca="1">IF($D309&lt;&gt;"Serviço","",
         IF(AUTOEVENTO="Manual",
                IF($A309=0,"&lt;-- defina o número do agrupador",
                       OFFSET(EVENTOS!$D$15,$A309-$A$15,0)),
                OFFSET($F$15,$A309,0)))</f>
        <v>SISTEMAS DE PREVENÇÃO CONTRA INCÊNDIO</v>
      </c>
      <c r="O309" s="169"/>
      <c r="Q309" s="169"/>
      <c r="R309" s="170"/>
      <c r="S309" s="170"/>
      <c r="T309" s="170"/>
      <c r="U309" s="170"/>
      <c r="V309" s="170"/>
      <c r="W309" s="170"/>
      <c r="X309" s="170"/>
      <c r="Y309" s="170"/>
      <c r="Z309" s="171"/>
      <c r="AB309" s="454">
        <f ca="1">IF(AND($D309="Serviço",AB$12&lt;&gt;0,$H309&gt;0,OR(AUTOEVENTO&lt;&gt;"manual",$M309&lt;&gt;$A$15)),
        IF(Import.TipoArredondamento&lt;&gt;"TransfereGOV",
              ROUND(OFFSET($P309,0,AB$13),15-13*ORÇAMENTO!$AF$7)/$H309*OFFSET(ORÇAMENTO!$X$15,ROW(AB309)-ROW(AB$15),0),
              ROUND(ROUND(OFFSET($P309,0,AB$13),15-13*ORÇAMENTO!$AF$7)*OFFSET(ORÇAMENTO!$W$15,ROW(AB309)-ROW(AB$15),0),15-13*ORÇAMENTO!$AF$11)),
         0)</f>
        <v>0</v>
      </c>
      <c r="AC309" s="454">
        <f ca="1">IF(AND($D309="Serviço",AC$12&lt;&gt;0,$H309&gt;0,OR(AUTOEVENTO&lt;&gt;"manual",$M309&lt;&gt;$A$15)),
        IF(Import.TipoArredondamento&lt;&gt;"TransfereGOV",
              ROUND(OFFSET($P309,0,AC$13),15-13*ORÇAMENTO!$AF$7)/$H309*OFFSET(ORÇAMENTO!$X$15,ROW(AC309)-ROW(AC$15),0),
              ROUND(ROUND(OFFSET($P309,0,AC$13),15-13*ORÇAMENTO!$AF$7)*OFFSET(ORÇAMENTO!$W$15,ROW(AC309)-ROW(AC$15),0),15-13*ORÇAMENTO!$AF$11)),
         0)</f>
        <v>0</v>
      </c>
      <c r="AD309" s="454">
        <f ca="1">IF(AND($D309="Serviço",AD$12&lt;&gt;0,$H309&gt;0,OR(AUTOEVENTO&lt;&gt;"manual",$M309&lt;&gt;$A$15)),
        IF(Import.TipoArredondamento&lt;&gt;"TransfereGOV",
              ROUND(OFFSET($P309,0,AD$13),15-13*ORÇAMENTO!$AF$7)/$H309*OFFSET(ORÇAMENTO!$X$15,ROW(AD309)-ROW(AD$15),0),
              ROUND(ROUND(OFFSET($P309,0,AD$13),15-13*ORÇAMENTO!$AF$7)*OFFSET(ORÇAMENTO!$W$15,ROW(AD309)-ROW(AD$15),0),15-13*ORÇAMENTO!$AF$11)),
         0)</f>
        <v>0</v>
      </c>
      <c r="AE309" s="454">
        <f ca="1">IF(AND($D309="Serviço",AE$12&lt;&gt;0,$H309&gt;0,OR(AUTOEVENTO&lt;&gt;"manual",$M309&lt;&gt;$A$15)),
        IF(Import.TipoArredondamento&lt;&gt;"TransfereGOV",
              ROUND(OFFSET($P309,0,AE$13),15-13*ORÇAMENTO!$AF$7)/$H309*OFFSET(ORÇAMENTO!$X$15,ROW(AE309)-ROW(AE$15),0),
              ROUND(ROUND(OFFSET($P309,0,AE$13),15-13*ORÇAMENTO!$AF$7)*OFFSET(ORÇAMENTO!$W$15,ROW(AE309)-ROW(AE$15),0),15-13*ORÇAMENTO!$AF$11)),
         0)</f>
        <v>0</v>
      </c>
      <c r="AF309" s="454">
        <f ca="1">IF(AND($D309="Serviço",AF$12&lt;&gt;0,$H309&gt;0,OR(AUTOEVENTO&lt;&gt;"manual",$M309&lt;&gt;$A$15)),
        IF(Import.TipoArredondamento&lt;&gt;"TransfereGOV",
              ROUND(OFFSET($P309,0,AF$13),15-13*ORÇAMENTO!$AF$7)/$H309*OFFSET(ORÇAMENTO!$X$15,ROW(AF309)-ROW(AF$15),0),
              ROUND(ROUND(OFFSET($P309,0,AF$13),15-13*ORÇAMENTO!$AF$7)*OFFSET(ORÇAMENTO!$W$15,ROW(AF309)-ROW(AF$15),0),15-13*ORÇAMENTO!$AF$11)),
         0)</f>
        <v>0</v>
      </c>
      <c r="AG309" s="454">
        <f ca="1">IF(AND($D309="Serviço",AG$12&lt;&gt;0,$H309&gt;0,OR(AUTOEVENTO&lt;&gt;"manual",$M309&lt;&gt;$A$15)),
        IF(Import.TipoArredondamento&lt;&gt;"TransfereGOV",
              ROUND(OFFSET($P309,0,AG$13),15-13*ORÇAMENTO!$AF$7)/$H309*OFFSET(ORÇAMENTO!$X$15,ROW(AG309)-ROW(AG$15),0),
              ROUND(ROUND(OFFSET($P309,0,AG$13),15-13*ORÇAMENTO!$AF$7)*OFFSET(ORÇAMENTO!$W$15,ROW(AG309)-ROW(AG$15),0),15-13*ORÇAMENTO!$AF$11)),
         0)</f>
        <v>0</v>
      </c>
      <c r="AH309" s="454">
        <f ca="1">IF(AND($D309="Serviço",AH$12&lt;&gt;0,$H309&gt;0,OR(AUTOEVENTO&lt;&gt;"manual",$M309&lt;&gt;$A$15)),
        IF(Import.TipoArredondamento&lt;&gt;"TransfereGOV",
              ROUND(OFFSET($P309,0,AH$13),15-13*ORÇAMENTO!$AF$7)/$H309*OFFSET(ORÇAMENTO!$X$15,ROW(AH309)-ROW(AH$15),0),
              ROUND(ROUND(OFFSET($P309,0,AH$13),15-13*ORÇAMENTO!$AF$7)*OFFSET(ORÇAMENTO!$W$15,ROW(AH309)-ROW(AH$15),0),15-13*ORÇAMENTO!$AF$11)),
         0)</f>
        <v>0</v>
      </c>
      <c r="AI309" s="454">
        <f ca="1">IF(AND($D309="Serviço",AI$12&lt;&gt;0,$H309&gt;0,OR(AUTOEVENTO&lt;&gt;"manual",$M309&lt;&gt;$A$15)),
        IF(Import.TipoArredondamento&lt;&gt;"TransfereGOV",
              ROUND(OFFSET($P309,0,AI$13),15-13*ORÇAMENTO!$AF$7)/$H309*OFFSET(ORÇAMENTO!$X$15,ROW(AI309)-ROW(AI$15),0),
              ROUND(ROUND(OFFSET($P309,0,AI$13),15-13*ORÇAMENTO!$AF$7)*OFFSET(ORÇAMENTO!$W$15,ROW(AI309)-ROW(AI$15),0),15-13*ORÇAMENTO!$AF$11)),
         0)</f>
        <v>0</v>
      </c>
      <c r="AJ309" s="454">
        <f ca="1">IF(AND($D309="Serviço",AJ$12&lt;&gt;0,$H309&gt;0,OR(AUTOEVENTO&lt;&gt;"manual",$M309&lt;&gt;$A$15)),
        IF(Import.TipoArredondamento&lt;&gt;"TransfereGOV",
              ROUND(OFFSET($P309,0,AJ$13),15-13*ORÇAMENTO!$AF$7)/$H309*OFFSET(ORÇAMENTO!$X$15,ROW(AJ309)-ROW(AJ$15),0),
              ROUND(ROUND(OFFSET($P309,0,AJ$13),15-13*ORÇAMENTO!$AF$7)*OFFSET(ORÇAMENTO!$W$15,ROW(AJ309)-ROW(AJ$15),0),15-13*ORÇAMENTO!$AF$11)),
         0)</f>
        <v>0</v>
      </c>
      <c r="AK309" s="454">
        <f ca="1">IF(AND($D309="Serviço",AK$12&lt;&gt;0,$H309&gt;0,OR(AUTOEVENTO&lt;&gt;"manual",$M309&lt;&gt;$A$15)),
        IF(Import.TipoArredondamento&lt;&gt;"TransfereGOV",
              ROUND(OFFSET($P309,0,AK$13),15-13*ORÇAMENTO!$AF$7)/$H309*OFFSET(ORÇAMENTO!$X$15,ROW(AK309)-ROW(AK$15),0),
              ROUND(ROUND(OFFSET($P309,0,AK$13),15-13*ORÇAMENTO!$AF$7)*OFFSET(ORÇAMENTO!$W$15,ROW(AK309)-ROW(AK$15),0),15-13*ORÇAMENTO!$AF$11)),
         0)</f>
        <v>0</v>
      </c>
      <c r="AM309" s="172">
        <f ca="1">IF(OR($D309&lt;&gt;"Serviço",AND(AUTOEVENTO="Manual",$M309=$A$15)),0,
         IF(OFFSET(CRONOPLE!$F$15,$M309-$A$15,AM$13)="",10^12,OFFSET(CRONOPLE!$F$15,$M309-$A$15,AM$13)))</f>
        <v>1000000000000</v>
      </c>
      <c r="AN309" s="172">
        <f ca="1">IF(OR($D309&lt;&gt;"Serviço",AND(AUTOEVENTO="Manual",$M309=$A$15)),0,
         IF(OFFSET(CRONOPLE!$F$15,$M309-$A$15,AN$13)="",10^12,OFFSET(CRONOPLE!$F$15,$M309-$A$15,AN$13)))</f>
        <v>1000000000000</v>
      </c>
      <c r="AO309" s="172">
        <f ca="1">IF(OR($D309&lt;&gt;"Serviço",AND(AUTOEVENTO="Manual",$M309=$A$15)),0,
         IF(OFFSET(CRONOPLE!$F$15,$M309-$A$15,AO$13)="",10^12,OFFSET(CRONOPLE!$F$15,$M309-$A$15,AO$13)))</f>
        <v>1000000000000</v>
      </c>
      <c r="AP309" s="172">
        <f ca="1">IF(OR($D309&lt;&gt;"Serviço",AND(AUTOEVENTO="Manual",$M309=$A$15)),0,
         IF(OFFSET(CRONOPLE!$F$15,$M309-$A$15,AP$13)="",10^12,OFFSET(CRONOPLE!$F$15,$M309-$A$15,AP$13)))</f>
        <v>1000000000000</v>
      </c>
      <c r="AQ309" s="172">
        <f ca="1">IF(OR($D309&lt;&gt;"Serviço",AND(AUTOEVENTO="Manual",$M309=$A$15)),0,
         IF(OFFSET(CRONOPLE!$F$15,$M309-$A$15,AQ$13)="",10^12,OFFSET(CRONOPLE!$F$15,$M309-$A$15,AQ$13)))</f>
        <v>1000000000000</v>
      </c>
      <c r="AR309" s="172">
        <f ca="1">IF(OR($D309&lt;&gt;"Serviço",AND(AUTOEVENTO="Manual",$M309=$A$15)),0,
         IF(OFFSET(CRONOPLE!$F$15,$M309-$A$15,AR$13)="",10^12,OFFSET(CRONOPLE!$F$15,$M309-$A$15,AR$13)))</f>
        <v>1000000000000</v>
      </c>
      <c r="AS309" s="172">
        <f ca="1">IF(OR($D309&lt;&gt;"Serviço",AND(AUTOEVENTO="Manual",$M309=$A$15)),0,
         IF(OFFSET(CRONOPLE!$F$15,$M309-$A$15,AS$13)="",10^12,OFFSET(CRONOPLE!$F$15,$M309-$A$15,AS$13)))</f>
        <v>1000000000000</v>
      </c>
      <c r="AT309" s="172">
        <f ca="1">IF(OR($D309&lt;&gt;"Serviço",AND(AUTOEVENTO="Manual",$M309=$A$15)),0,
         IF(OFFSET(CRONOPLE!$F$15,$M309-$A$15,AT$13)="",10^12,OFFSET(CRONOPLE!$F$15,$M309-$A$15,AT$13)))</f>
        <v>1000000000000</v>
      </c>
      <c r="AU309" s="172">
        <f ca="1">IF(OR($D309&lt;&gt;"Serviço",AND(AUTOEVENTO="Manual",$M309=$A$15)),0,
         IF(OFFSET(CRONOPLE!$F$15,$M309-$A$15,AU$13)="",10^12,OFFSET(CRONOPLE!$F$15,$M309-$A$15,AU$13)))</f>
        <v>1000000000000</v>
      </c>
      <c r="AV309" s="172">
        <f ca="1">IF(OR($D309&lt;&gt;"Serviço",AND(AUTOEVENTO="Manual",$M309=$A$15)),0,
         IF(OFFSET(CRONOPLE!$F$15,$M309-$A$15,AV$13)="",10^12,OFFSET(CRONOPLE!$F$15,$M309-$A$15,AV$13)))</f>
        <v>1000000000000</v>
      </c>
      <c r="AX309" s="173">
        <f ca="1">IF(OR($D309&lt;&gt;"Serviço",AND(AUTOEVENTO="Manual",$M309=$A$15),$M309&gt;(ROW(PLE.lastrow)-ROW(PLE.firstrow))),0,
           IF(OFFSET(PLE!$G$15,$M309-$A$15,AX$13)="",10^12,OFFSET(PLE!$G$15,$M309-$A$15,AX$13)))</f>
        <v>1000000000000</v>
      </c>
      <c r="AY309" s="173">
        <f ca="1">IF(OR($D309&lt;&gt;"Serviço",AND(AUTOEVENTO="Manual",$M309=$A$15),$M309&gt;(ROW(PLE.lastrow)-ROW(PLE.firstrow))),0,
           IF(OFFSET(PLE!$G$15,$M309-$A$15,AY$13)="",10^12,OFFSET(PLE!$G$15,$M309-$A$15,AY$13)))</f>
        <v>1000000000000</v>
      </c>
      <c r="AZ309" s="173">
        <f ca="1">IF(OR($D309&lt;&gt;"Serviço",AND(AUTOEVENTO="Manual",$M309=$A$15),$M309&gt;(ROW(PLE.lastrow)-ROW(PLE.firstrow))),0,
           IF(OFFSET(PLE!$G$15,$M309-$A$15,AZ$13)="",10^12,OFFSET(PLE!$G$15,$M309-$A$15,AZ$13)))</f>
        <v>1000000000000</v>
      </c>
      <c r="BA309" s="173">
        <f ca="1">IF(OR($D309&lt;&gt;"Serviço",AND(AUTOEVENTO="Manual",$M309=$A$15),$M309&gt;(ROW(PLE.lastrow)-ROW(PLE.firstrow))),0,
           IF(OFFSET(PLE!$G$15,$M309-$A$15,BA$13)="",10^12,OFFSET(PLE!$G$15,$M309-$A$15,BA$13)))</f>
        <v>1000000000000</v>
      </c>
      <c r="BB309" s="173">
        <f ca="1">IF(OR($D309&lt;&gt;"Serviço",AND(AUTOEVENTO="Manual",$M309=$A$15),$M309&gt;(ROW(PLE.lastrow)-ROW(PLE.firstrow))),0,
           IF(OFFSET(PLE!$G$15,$M309-$A$15,BB$13)="",10^12,OFFSET(PLE!$G$15,$M309-$A$15,BB$13)))</f>
        <v>1000000000000</v>
      </c>
      <c r="BC309" s="173">
        <f ca="1">IF(OR($D309&lt;&gt;"Serviço",AND(AUTOEVENTO="Manual",$M309=$A$15),$M309&gt;(ROW(PLE.lastrow)-ROW(PLE.firstrow))),0,
           IF(OFFSET(PLE!$G$15,$M309-$A$15,BC$13)="",10^12,OFFSET(PLE!$G$15,$M309-$A$15,BC$13)))</f>
        <v>1000000000000</v>
      </c>
      <c r="BD309" s="173">
        <f ca="1">IF(OR($D309&lt;&gt;"Serviço",AND(AUTOEVENTO="Manual",$M309=$A$15),$M309&gt;(ROW(PLE.lastrow)-ROW(PLE.firstrow))),0,
           IF(OFFSET(PLE!$G$15,$M309-$A$15,BD$13)="",10^12,OFFSET(PLE!$G$15,$M309-$A$15,BD$13)))</f>
        <v>1000000000000</v>
      </c>
      <c r="BE309" s="173">
        <f ca="1">IF(OR($D309&lt;&gt;"Serviço",AND(AUTOEVENTO="Manual",$M309=$A$15),$M309&gt;(ROW(PLE.lastrow)-ROW(PLE.firstrow))),0,
           IF(OFFSET(PLE!$G$15,$M309-$A$15,BE$13)="",10^12,OFFSET(PLE!$G$15,$M309-$A$15,BE$13)))</f>
        <v>1000000000000</v>
      </c>
      <c r="BF309" s="173">
        <f ca="1">IF(OR($D309&lt;&gt;"Serviço",AND(AUTOEVENTO="Manual",$M309=$A$15),$M309&gt;(ROW(PLE.lastrow)-ROW(PLE.firstrow))),0,
           IF(OFFSET(PLE!$G$15,$M309-$A$15,BF$13)="",10^12,OFFSET(PLE!$G$15,$M309-$A$15,BF$13)))</f>
        <v>1000000000000</v>
      </c>
      <c r="BG309" s="173">
        <f ca="1">IF(OR($D309&lt;&gt;"Serviço",AND(AUTOEVENTO="Manual",$M309=$A$15),$M309&gt;(ROW(PLE.lastrow)-ROW(PLE.firstrow))),0,
           IF(OFFSET(PLE!$G$15,$M309-$A$15,BG$13)="",10^12,OFFSET(PLE!$G$15,$M309-$A$15,BG$13)))</f>
        <v>1000000000000</v>
      </c>
    </row>
    <row r="310" spans="1:59" ht="25.5" x14ac:dyDescent="0.2">
      <c r="A310" s="7" t="str">
        <f t="shared" ca="1" si="12"/>
        <v>253</v>
      </c>
      <c r="B310" s="7" t="str">
        <f ca="1">OFFSET(ORÇAMENTO!C$15,ROW(B310)-ROW(B$15),0)</f>
        <v>S</v>
      </c>
      <c r="C310" s="7" t="str">
        <f ca="1">OFFSET(ORÇAMENTO!L$15,ROW(C310)-ROW(C$15),0)</f>
        <v/>
      </c>
      <c r="D310" s="117" t="str">
        <f ca="1">OFFSET(ORÇAMENTO!N$15,ROW(D310)-ROW(D$15),0)</f>
        <v>Serviço</v>
      </c>
      <c r="E310" s="118" t="str">
        <f ca="1">OFFSET(ORÇAMENTO!O$15,ROW(E310)-ROW(E$15),0)</f>
        <v>-</v>
      </c>
      <c r="F310" s="164" t="str">
        <f ca="1">OFFSET(ORÇAMENTO!R$15,ROW(F310)-ROW(F$15),0)</f>
        <v xml:space="preserve">ADAPTADOR EM LATAO, ENGATE RAPIDO 2 1/2" X ROSCA INTERNA 5 FIOS 2 1/2", PARA INSTALACAO PREDIAL DE COMBATE A INCENDIO                                                                                                                                     </v>
      </c>
      <c r="G310" s="165" t="str">
        <f ca="1">IF($D310&lt;&gt;"Serviço","",OFFSET(ORÇAMENTO!S$15,ROW(G310)-ROW(G$15),0))</f>
        <v xml:space="preserve">UN    </v>
      </c>
      <c r="H310" s="123">
        <f ca="1">IF($D310&lt;&gt;"Serviço",0,IF(ACOMPANHAMENTO="BM",ROUND(OFFSET(ORÇAMENTO!AJ$15,ROW(H310)-ROW(H$15),0),15-13*ORÇAMENTO!$AF$7),SUMPRODUCT(($Q$1:$AA$1=1)*ROUND($Q310:$AA310,15-13*ORÇAMENTO!$AF$7))))</f>
        <v>1</v>
      </c>
      <c r="I310" s="469"/>
      <c r="J310" s="577" t="str" cm="1">
        <f t="array" aca="1" ref="J310" ca="1">IF(B310&lt;&gt;"S","",IF(AND(ACOMPANHAMENTO="PLE",AUTOEVENTO="Manual",OR(H310&gt;0,ORÇAMENTO!AC310="QUANT."),OR(K310="",M310=0,N310="")),"►",IF(AND(ACOMPANHAMENTO="PLE",ORÇAMENTO!AC310="QUANT."),"►►",IF(AND(COUNTIF($P$11:$AA$11,"▼")=0,H310&gt;0,I310=""),"◄",""))))</f>
        <v>◄</v>
      </c>
      <c r="K310" s="626"/>
      <c r="L310" s="166" t="s">
        <v>765</v>
      </c>
      <c r="M310" s="167">
        <f ca="1">IF($D310&lt;&gt;"Serviço","",
          IF(AUTOEVENTO="manual",$A310,
                IF(ISERROR(MATCH($A310,$A$15:OFFSET($A310,-1,0),0)),MAX($M$15:OFFSET(M310,-1,0))+1,
                      INDEX($M$15:OFFSET(M310,-1,0),MATCH($A310,$A$15:OFFSET($A310,-1,0),0)))))</f>
        <v>16</v>
      </c>
      <c r="N310" s="168" t="str">
        <f ca="1">IF($D310&lt;&gt;"Serviço","",
         IF(AUTOEVENTO="Manual",
                IF($A310=0,"&lt;-- defina o número do agrupador",
                       OFFSET(EVENTOS!$D$15,$A310-$A$15,0)),
                OFFSET($F$15,$A310,0)))</f>
        <v>SISTEMAS DE PREVENÇÃO CONTRA INCÊNDIO</v>
      </c>
      <c r="O310" s="169"/>
      <c r="Q310" s="169"/>
      <c r="R310" s="170"/>
      <c r="S310" s="170"/>
      <c r="T310" s="170"/>
      <c r="U310" s="170"/>
      <c r="V310" s="170"/>
      <c r="W310" s="170"/>
      <c r="X310" s="170"/>
      <c r="Y310" s="170"/>
      <c r="Z310" s="171"/>
      <c r="AB310" s="454">
        <f ca="1">IF(AND($D310="Serviço",AB$12&lt;&gt;0,$H310&gt;0,OR(AUTOEVENTO&lt;&gt;"manual",$M310&lt;&gt;$A$15)),
        IF(Import.TipoArredondamento&lt;&gt;"TransfereGOV",
              ROUND(OFFSET($P310,0,AB$13),15-13*ORÇAMENTO!$AF$7)/$H310*OFFSET(ORÇAMENTO!$X$15,ROW(AB310)-ROW(AB$15),0),
              ROUND(ROUND(OFFSET($P310,0,AB$13),15-13*ORÇAMENTO!$AF$7)*OFFSET(ORÇAMENTO!$W$15,ROW(AB310)-ROW(AB$15),0),15-13*ORÇAMENTO!$AF$11)),
         0)</f>
        <v>0</v>
      </c>
      <c r="AC310" s="454">
        <f ca="1">IF(AND($D310="Serviço",AC$12&lt;&gt;0,$H310&gt;0,OR(AUTOEVENTO&lt;&gt;"manual",$M310&lt;&gt;$A$15)),
        IF(Import.TipoArredondamento&lt;&gt;"TransfereGOV",
              ROUND(OFFSET($P310,0,AC$13),15-13*ORÇAMENTO!$AF$7)/$H310*OFFSET(ORÇAMENTO!$X$15,ROW(AC310)-ROW(AC$15),0),
              ROUND(ROUND(OFFSET($P310,0,AC$13),15-13*ORÇAMENTO!$AF$7)*OFFSET(ORÇAMENTO!$W$15,ROW(AC310)-ROW(AC$15),0),15-13*ORÇAMENTO!$AF$11)),
         0)</f>
        <v>0</v>
      </c>
      <c r="AD310" s="454">
        <f ca="1">IF(AND($D310="Serviço",AD$12&lt;&gt;0,$H310&gt;0,OR(AUTOEVENTO&lt;&gt;"manual",$M310&lt;&gt;$A$15)),
        IF(Import.TipoArredondamento&lt;&gt;"TransfereGOV",
              ROUND(OFFSET($P310,0,AD$13),15-13*ORÇAMENTO!$AF$7)/$H310*OFFSET(ORÇAMENTO!$X$15,ROW(AD310)-ROW(AD$15),0),
              ROUND(ROUND(OFFSET($P310,0,AD$13),15-13*ORÇAMENTO!$AF$7)*OFFSET(ORÇAMENTO!$W$15,ROW(AD310)-ROW(AD$15),0),15-13*ORÇAMENTO!$AF$11)),
         0)</f>
        <v>0</v>
      </c>
      <c r="AE310" s="454">
        <f ca="1">IF(AND($D310="Serviço",AE$12&lt;&gt;0,$H310&gt;0,OR(AUTOEVENTO&lt;&gt;"manual",$M310&lt;&gt;$A$15)),
        IF(Import.TipoArredondamento&lt;&gt;"TransfereGOV",
              ROUND(OFFSET($P310,0,AE$13),15-13*ORÇAMENTO!$AF$7)/$H310*OFFSET(ORÇAMENTO!$X$15,ROW(AE310)-ROW(AE$15),0),
              ROUND(ROUND(OFFSET($P310,0,AE$13),15-13*ORÇAMENTO!$AF$7)*OFFSET(ORÇAMENTO!$W$15,ROW(AE310)-ROW(AE$15),0),15-13*ORÇAMENTO!$AF$11)),
         0)</f>
        <v>0</v>
      </c>
      <c r="AF310" s="454">
        <f ca="1">IF(AND($D310="Serviço",AF$12&lt;&gt;0,$H310&gt;0,OR(AUTOEVENTO&lt;&gt;"manual",$M310&lt;&gt;$A$15)),
        IF(Import.TipoArredondamento&lt;&gt;"TransfereGOV",
              ROUND(OFFSET($P310,0,AF$13),15-13*ORÇAMENTO!$AF$7)/$H310*OFFSET(ORÇAMENTO!$X$15,ROW(AF310)-ROW(AF$15),0),
              ROUND(ROUND(OFFSET($P310,0,AF$13),15-13*ORÇAMENTO!$AF$7)*OFFSET(ORÇAMENTO!$W$15,ROW(AF310)-ROW(AF$15),0),15-13*ORÇAMENTO!$AF$11)),
         0)</f>
        <v>0</v>
      </c>
      <c r="AG310" s="454">
        <f ca="1">IF(AND($D310="Serviço",AG$12&lt;&gt;0,$H310&gt;0,OR(AUTOEVENTO&lt;&gt;"manual",$M310&lt;&gt;$A$15)),
        IF(Import.TipoArredondamento&lt;&gt;"TransfereGOV",
              ROUND(OFFSET($P310,0,AG$13),15-13*ORÇAMENTO!$AF$7)/$H310*OFFSET(ORÇAMENTO!$X$15,ROW(AG310)-ROW(AG$15),0),
              ROUND(ROUND(OFFSET($P310,0,AG$13),15-13*ORÇAMENTO!$AF$7)*OFFSET(ORÇAMENTO!$W$15,ROW(AG310)-ROW(AG$15),0),15-13*ORÇAMENTO!$AF$11)),
         0)</f>
        <v>0</v>
      </c>
      <c r="AH310" s="454">
        <f ca="1">IF(AND($D310="Serviço",AH$12&lt;&gt;0,$H310&gt;0,OR(AUTOEVENTO&lt;&gt;"manual",$M310&lt;&gt;$A$15)),
        IF(Import.TipoArredondamento&lt;&gt;"TransfereGOV",
              ROUND(OFFSET($P310,0,AH$13),15-13*ORÇAMENTO!$AF$7)/$H310*OFFSET(ORÇAMENTO!$X$15,ROW(AH310)-ROW(AH$15),0),
              ROUND(ROUND(OFFSET($P310,0,AH$13),15-13*ORÇAMENTO!$AF$7)*OFFSET(ORÇAMENTO!$W$15,ROW(AH310)-ROW(AH$15),0),15-13*ORÇAMENTO!$AF$11)),
         0)</f>
        <v>0</v>
      </c>
      <c r="AI310" s="454">
        <f ca="1">IF(AND($D310="Serviço",AI$12&lt;&gt;0,$H310&gt;0,OR(AUTOEVENTO&lt;&gt;"manual",$M310&lt;&gt;$A$15)),
        IF(Import.TipoArredondamento&lt;&gt;"TransfereGOV",
              ROUND(OFFSET($P310,0,AI$13),15-13*ORÇAMENTO!$AF$7)/$H310*OFFSET(ORÇAMENTO!$X$15,ROW(AI310)-ROW(AI$15),0),
              ROUND(ROUND(OFFSET($P310,0,AI$13),15-13*ORÇAMENTO!$AF$7)*OFFSET(ORÇAMENTO!$W$15,ROW(AI310)-ROW(AI$15),0),15-13*ORÇAMENTO!$AF$11)),
         0)</f>
        <v>0</v>
      </c>
      <c r="AJ310" s="454">
        <f ca="1">IF(AND($D310="Serviço",AJ$12&lt;&gt;0,$H310&gt;0,OR(AUTOEVENTO&lt;&gt;"manual",$M310&lt;&gt;$A$15)),
        IF(Import.TipoArredondamento&lt;&gt;"TransfereGOV",
              ROUND(OFFSET($P310,0,AJ$13),15-13*ORÇAMENTO!$AF$7)/$H310*OFFSET(ORÇAMENTO!$X$15,ROW(AJ310)-ROW(AJ$15),0),
              ROUND(ROUND(OFFSET($P310,0,AJ$13),15-13*ORÇAMENTO!$AF$7)*OFFSET(ORÇAMENTO!$W$15,ROW(AJ310)-ROW(AJ$15),0),15-13*ORÇAMENTO!$AF$11)),
         0)</f>
        <v>0</v>
      </c>
      <c r="AK310" s="454">
        <f ca="1">IF(AND($D310="Serviço",AK$12&lt;&gt;0,$H310&gt;0,OR(AUTOEVENTO&lt;&gt;"manual",$M310&lt;&gt;$A$15)),
        IF(Import.TipoArredondamento&lt;&gt;"TransfereGOV",
              ROUND(OFFSET($P310,0,AK$13),15-13*ORÇAMENTO!$AF$7)/$H310*OFFSET(ORÇAMENTO!$X$15,ROW(AK310)-ROW(AK$15),0),
              ROUND(ROUND(OFFSET($P310,0,AK$13),15-13*ORÇAMENTO!$AF$7)*OFFSET(ORÇAMENTO!$W$15,ROW(AK310)-ROW(AK$15),0),15-13*ORÇAMENTO!$AF$11)),
         0)</f>
        <v>0</v>
      </c>
      <c r="AM310" s="172">
        <f ca="1">IF(OR($D310&lt;&gt;"Serviço",AND(AUTOEVENTO="Manual",$M310=$A$15)),0,
         IF(OFFSET(CRONOPLE!$F$15,$M310-$A$15,AM$13)="",10^12,OFFSET(CRONOPLE!$F$15,$M310-$A$15,AM$13)))</f>
        <v>1000000000000</v>
      </c>
      <c r="AN310" s="172">
        <f ca="1">IF(OR($D310&lt;&gt;"Serviço",AND(AUTOEVENTO="Manual",$M310=$A$15)),0,
         IF(OFFSET(CRONOPLE!$F$15,$M310-$A$15,AN$13)="",10^12,OFFSET(CRONOPLE!$F$15,$M310-$A$15,AN$13)))</f>
        <v>1000000000000</v>
      </c>
      <c r="AO310" s="172">
        <f ca="1">IF(OR($D310&lt;&gt;"Serviço",AND(AUTOEVENTO="Manual",$M310=$A$15)),0,
         IF(OFFSET(CRONOPLE!$F$15,$M310-$A$15,AO$13)="",10^12,OFFSET(CRONOPLE!$F$15,$M310-$A$15,AO$13)))</f>
        <v>1000000000000</v>
      </c>
      <c r="AP310" s="172">
        <f ca="1">IF(OR($D310&lt;&gt;"Serviço",AND(AUTOEVENTO="Manual",$M310=$A$15)),0,
         IF(OFFSET(CRONOPLE!$F$15,$M310-$A$15,AP$13)="",10^12,OFFSET(CRONOPLE!$F$15,$M310-$A$15,AP$13)))</f>
        <v>1000000000000</v>
      </c>
      <c r="AQ310" s="172">
        <f ca="1">IF(OR($D310&lt;&gt;"Serviço",AND(AUTOEVENTO="Manual",$M310=$A$15)),0,
         IF(OFFSET(CRONOPLE!$F$15,$M310-$A$15,AQ$13)="",10^12,OFFSET(CRONOPLE!$F$15,$M310-$A$15,AQ$13)))</f>
        <v>1000000000000</v>
      </c>
      <c r="AR310" s="172">
        <f ca="1">IF(OR($D310&lt;&gt;"Serviço",AND(AUTOEVENTO="Manual",$M310=$A$15)),0,
         IF(OFFSET(CRONOPLE!$F$15,$M310-$A$15,AR$13)="",10^12,OFFSET(CRONOPLE!$F$15,$M310-$A$15,AR$13)))</f>
        <v>1000000000000</v>
      </c>
      <c r="AS310" s="172">
        <f ca="1">IF(OR($D310&lt;&gt;"Serviço",AND(AUTOEVENTO="Manual",$M310=$A$15)),0,
         IF(OFFSET(CRONOPLE!$F$15,$M310-$A$15,AS$13)="",10^12,OFFSET(CRONOPLE!$F$15,$M310-$A$15,AS$13)))</f>
        <v>1000000000000</v>
      </c>
      <c r="AT310" s="172">
        <f ca="1">IF(OR($D310&lt;&gt;"Serviço",AND(AUTOEVENTO="Manual",$M310=$A$15)),0,
         IF(OFFSET(CRONOPLE!$F$15,$M310-$A$15,AT$13)="",10^12,OFFSET(CRONOPLE!$F$15,$M310-$A$15,AT$13)))</f>
        <v>1000000000000</v>
      </c>
      <c r="AU310" s="172">
        <f ca="1">IF(OR($D310&lt;&gt;"Serviço",AND(AUTOEVENTO="Manual",$M310=$A$15)),0,
         IF(OFFSET(CRONOPLE!$F$15,$M310-$A$15,AU$13)="",10^12,OFFSET(CRONOPLE!$F$15,$M310-$A$15,AU$13)))</f>
        <v>1000000000000</v>
      </c>
      <c r="AV310" s="172">
        <f ca="1">IF(OR($D310&lt;&gt;"Serviço",AND(AUTOEVENTO="Manual",$M310=$A$15)),0,
         IF(OFFSET(CRONOPLE!$F$15,$M310-$A$15,AV$13)="",10^12,OFFSET(CRONOPLE!$F$15,$M310-$A$15,AV$13)))</f>
        <v>1000000000000</v>
      </c>
      <c r="AX310" s="173">
        <f ca="1">IF(OR($D310&lt;&gt;"Serviço",AND(AUTOEVENTO="Manual",$M310=$A$15),$M310&gt;(ROW(PLE.lastrow)-ROW(PLE.firstrow))),0,
           IF(OFFSET(PLE!$G$15,$M310-$A$15,AX$13)="",10^12,OFFSET(PLE!$G$15,$M310-$A$15,AX$13)))</f>
        <v>1000000000000</v>
      </c>
      <c r="AY310" s="173">
        <f ca="1">IF(OR($D310&lt;&gt;"Serviço",AND(AUTOEVENTO="Manual",$M310=$A$15),$M310&gt;(ROW(PLE.lastrow)-ROW(PLE.firstrow))),0,
           IF(OFFSET(PLE!$G$15,$M310-$A$15,AY$13)="",10^12,OFFSET(PLE!$G$15,$M310-$A$15,AY$13)))</f>
        <v>1000000000000</v>
      </c>
      <c r="AZ310" s="173">
        <f ca="1">IF(OR($D310&lt;&gt;"Serviço",AND(AUTOEVENTO="Manual",$M310=$A$15),$M310&gt;(ROW(PLE.lastrow)-ROW(PLE.firstrow))),0,
           IF(OFFSET(PLE!$G$15,$M310-$A$15,AZ$13)="",10^12,OFFSET(PLE!$G$15,$M310-$A$15,AZ$13)))</f>
        <v>1000000000000</v>
      </c>
      <c r="BA310" s="173">
        <f ca="1">IF(OR($D310&lt;&gt;"Serviço",AND(AUTOEVENTO="Manual",$M310=$A$15),$M310&gt;(ROW(PLE.lastrow)-ROW(PLE.firstrow))),0,
           IF(OFFSET(PLE!$G$15,$M310-$A$15,BA$13)="",10^12,OFFSET(PLE!$G$15,$M310-$A$15,BA$13)))</f>
        <v>1000000000000</v>
      </c>
      <c r="BB310" s="173">
        <f ca="1">IF(OR($D310&lt;&gt;"Serviço",AND(AUTOEVENTO="Manual",$M310=$A$15),$M310&gt;(ROW(PLE.lastrow)-ROW(PLE.firstrow))),0,
           IF(OFFSET(PLE!$G$15,$M310-$A$15,BB$13)="",10^12,OFFSET(PLE!$G$15,$M310-$A$15,BB$13)))</f>
        <v>1000000000000</v>
      </c>
      <c r="BC310" s="173">
        <f ca="1">IF(OR($D310&lt;&gt;"Serviço",AND(AUTOEVENTO="Manual",$M310=$A$15),$M310&gt;(ROW(PLE.lastrow)-ROW(PLE.firstrow))),0,
           IF(OFFSET(PLE!$G$15,$M310-$A$15,BC$13)="",10^12,OFFSET(PLE!$G$15,$M310-$A$15,BC$13)))</f>
        <v>1000000000000</v>
      </c>
      <c r="BD310" s="173">
        <f ca="1">IF(OR($D310&lt;&gt;"Serviço",AND(AUTOEVENTO="Manual",$M310=$A$15),$M310&gt;(ROW(PLE.lastrow)-ROW(PLE.firstrow))),0,
           IF(OFFSET(PLE!$G$15,$M310-$A$15,BD$13)="",10^12,OFFSET(PLE!$G$15,$M310-$A$15,BD$13)))</f>
        <v>1000000000000</v>
      </c>
      <c r="BE310" s="173">
        <f ca="1">IF(OR($D310&lt;&gt;"Serviço",AND(AUTOEVENTO="Manual",$M310=$A$15),$M310&gt;(ROW(PLE.lastrow)-ROW(PLE.firstrow))),0,
           IF(OFFSET(PLE!$G$15,$M310-$A$15,BE$13)="",10^12,OFFSET(PLE!$G$15,$M310-$A$15,BE$13)))</f>
        <v>1000000000000</v>
      </c>
      <c r="BF310" s="173">
        <f ca="1">IF(OR($D310&lt;&gt;"Serviço",AND(AUTOEVENTO="Manual",$M310=$A$15),$M310&gt;(ROW(PLE.lastrow)-ROW(PLE.firstrow))),0,
           IF(OFFSET(PLE!$G$15,$M310-$A$15,BF$13)="",10^12,OFFSET(PLE!$G$15,$M310-$A$15,BF$13)))</f>
        <v>1000000000000</v>
      </c>
      <c r="BG310" s="173">
        <f ca="1">IF(OR($D310&lt;&gt;"Serviço",AND(AUTOEVENTO="Manual",$M310=$A$15),$M310&gt;(ROW(PLE.lastrow)-ROW(PLE.firstrow))),0,
           IF(OFFSET(PLE!$G$15,$M310-$A$15,BG$13)="",10^12,OFFSET(PLE!$G$15,$M310-$A$15,BG$13)))</f>
        <v>1000000000000</v>
      </c>
    </row>
    <row r="311" spans="1:59" ht="38.25" x14ac:dyDescent="0.2">
      <c r="A311" s="7" t="str">
        <f t="shared" ca="1" si="12"/>
        <v>253</v>
      </c>
      <c r="B311" s="7" t="str">
        <f ca="1">OFFSET(ORÇAMENTO!C$15,ROW(B311)-ROW(B$15),0)</f>
        <v>S</v>
      </c>
      <c r="C311" s="7" t="str">
        <f ca="1">OFFSET(ORÇAMENTO!L$15,ROW(C311)-ROW(C$15),0)</f>
        <v/>
      </c>
      <c r="D311" s="117" t="str">
        <f ca="1">OFFSET(ORÇAMENTO!N$15,ROW(D311)-ROW(D$15),0)</f>
        <v>Serviço</v>
      </c>
      <c r="E311" s="118" t="str">
        <f ca="1">OFFSET(ORÇAMENTO!O$15,ROW(E311)-ROW(E$15),0)</f>
        <v>-</v>
      </c>
      <c r="F311" s="164" t="str">
        <f ca="1">OFFSET(ORÇAMENTO!R$15,ROW(F311)-ROW(F$15),0)</f>
        <v xml:space="preserve">BUCHA DE NYLON, DIAMETRO DO FURO 8 MM, COMPRIMENTO 40 MM, COM PARAFUSO DE ROSCA SOBERBA, CABECA CHATA, FENDA SIMPLES, 4,8 X 50 MM                                                                                                                         </v>
      </c>
      <c r="G311" s="165" t="str">
        <f ca="1">IF($D311&lt;&gt;"Serviço","",OFFSET(ORÇAMENTO!S$15,ROW(G311)-ROW(G$15),0))</f>
        <v xml:space="preserve">UN    </v>
      </c>
      <c r="H311" s="123">
        <f ca="1">IF($D311&lt;&gt;"Serviço",0,IF(ACOMPANHAMENTO="BM",ROUND(OFFSET(ORÇAMENTO!AJ$15,ROW(H311)-ROW(H$15),0),15-13*ORÇAMENTO!$AF$7),SUMPRODUCT(($Q$1:$AA$1=1)*ROUND($Q311:$AA311,15-13*ORÇAMENTO!$AF$7))))</f>
        <v>8</v>
      </c>
      <c r="I311" s="469"/>
      <c r="J311" s="577" t="str" cm="1">
        <f t="array" aca="1" ref="J311" ca="1">IF(B311&lt;&gt;"S","",IF(AND(ACOMPANHAMENTO="PLE",AUTOEVENTO="Manual",OR(H311&gt;0,ORÇAMENTO!AC311="QUANT."),OR(K311="",M311=0,N311="")),"►",IF(AND(ACOMPANHAMENTO="PLE",ORÇAMENTO!AC311="QUANT."),"►►",IF(AND(COUNTIF($P$11:$AA$11,"▼")=0,H311&gt;0,I311=""),"◄",""))))</f>
        <v>◄</v>
      </c>
      <c r="K311" s="626"/>
      <c r="L311" s="166" t="s">
        <v>765</v>
      </c>
      <c r="M311" s="167">
        <f ca="1">IF($D311&lt;&gt;"Serviço","",
          IF(AUTOEVENTO="manual",$A311,
                IF(ISERROR(MATCH($A311,$A$15:OFFSET($A311,-1,0),0)),MAX($M$15:OFFSET(M311,-1,0))+1,
                      INDEX($M$15:OFFSET(M311,-1,0),MATCH($A311,$A$15:OFFSET($A311,-1,0),0)))))</f>
        <v>16</v>
      </c>
      <c r="N311" s="168" t="str">
        <f ca="1">IF($D311&lt;&gt;"Serviço","",
         IF(AUTOEVENTO="Manual",
                IF($A311=0,"&lt;-- defina o número do agrupador",
                       OFFSET(EVENTOS!$D$15,$A311-$A$15,0)),
                OFFSET($F$15,$A311,0)))</f>
        <v>SISTEMAS DE PREVENÇÃO CONTRA INCÊNDIO</v>
      </c>
      <c r="O311" s="169"/>
      <c r="Q311" s="169"/>
      <c r="R311" s="170"/>
      <c r="S311" s="170"/>
      <c r="T311" s="170"/>
      <c r="U311" s="170"/>
      <c r="V311" s="170"/>
      <c r="W311" s="170"/>
      <c r="X311" s="170"/>
      <c r="Y311" s="170"/>
      <c r="Z311" s="171"/>
      <c r="AB311" s="454">
        <f ca="1">IF(AND($D311="Serviço",AB$12&lt;&gt;0,$H311&gt;0,OR(AUTOEVENTO&lt;&gt;"manual",$M311&lt;&gt;$A$15)),
        IF(Import.TipoArredondamento&lt;&gt;"TransfereGOV",
              ROUND(OFFSET($P311,0,AB$13),15-13*ORÇAMENTO!$AF$7)/$H311*OFFSET(ORÇAMENTO!$X$15,ROW(AB311)-ROW(AB$15),0),
              ROUND(ROUND(OFFSET($P311,0,AB$13),15-13*ORÇAMENTO!$AF$7)*OFFSET(ORÇAMENTO!$W$15,ROW(AB311)-ROW(AB$15),0),15-13*ORÇAMENTO!$AF$11)),
         0)</f>
        <v>0</v>
      </c>
      <c r="AC311" s="454">
        <f ca="1">IF(AND($D311="Serviço",AC$12&lt;&gt;0,$H311&gt;0,OR(AUTOEVENTO&lt;&gt;"manual",$M311&lt;&gt;$A$15)),
        IF(Import.TipoArredondamento&lt;&gt;"TransfereGOV",
              ROUND(OFFSET($P311,0,AC$13),15-13*ORÇAMENTO!$AF$7)/$H311*OFFSET(ORÇAMENTO!$X$15,ROW(AC311)-ROW(AC$15),0),
              ROUND(ROUND(OFFSET($P311,0,AC$13),15-13*ORÇAMENTO!$AF$7)*OFFSET(ORÇAMENTO!$W$15,ROW(AC311)-ROW(AC$15),0),15-13*ORÇAMENTO!$AF$11)),
         0)</f>
        <v>0</v>
      </c>
      <c r="AD311" s="454">
        <f ca="1">IF(AND($D311="Serviço",AD$12&lt;&gt;0,$H311&gt;0,OR(AUTOEVENTO&lt;&gt;"manual",$M311&lt;&gt;$A$15)),
        IF(Import.TipoArredondamento&lt;&gt;"TransfereGOV",
              ROUND(OFFSET($P311,0,AD$13),15-13*ORÇAMENTO!$AF$7)/$H311*OFFSET(ORÇAMENTO!$X$15,ROW(AD311)-ROW(AD$15),0),
              ROUND(ROUND(OFFSET($P311,0,AD$13),15-13*ORÇAMENTO!$AF$7)*OFFSET(ORÇAMENTO!$W$15,ROW(AD311)-ROW(AD$15),0),15-13*ORÇAMENTO!$AF$11)),
         0)</f>
        <v>0</v>
      </c>
      <c r="AE311" s="454">
        <f ca="1">IF(AND($D311="Serviço",AE$12&lt;&gt;0,$H311&gt;0,OR(AUTOEVENTO&lt;&gt;"manual",$M311&lt;&gt;$A$15)),
        IF(Import.TipoArredondamento&lt;&gt;"TransfereGOV",
              ROUND(OFFSET($P311,0,AE$13),15-13*ORÇAMENTO!$AF$7)/$H311*OFFSET(ORÇAMENTO!$X$15,ROW(AE311)-ROW(AE$15),0),
              ROUND(ROUND(OFFSET($P311,0,AE$13),15-13*ORÇAMENTO!$AF$7)*OFFSET(ORÇAMENTO!$W$15,ROW(AE311)-ROW(AE$15),0),15-13*ORÇAMENTO!$AF$11)),
         0)</f>
        <v>0</v>
      </c>
      <c r="AF311" s="454">
        <f ca="1">IF(AND($D311="Serviço",AF$12&lt;&gt;0,$H311&gt;0,OR(AUTOEVENTO&lt;&gt;"manual",$M311&lt;&gt;$A$15)),
        IF(Import.TipoArredondamento&lt;&gt;"TransfereGOV",
              ROUND(OFFSET($P311,0,AF$13),15-13*ORÇAMENTO!$AF$7)/$H311*OFFSET(ORÇAMENTO!$X$15,ROW(AF311)-ROW(AF$15),0),
              ROUND(ROUND(OFFSET($P311,0,AF$13),15-13*ORÇAMENTO!$AF$7)*OFFSET(ORÇAMENTO!$W$15,ROW(AF311)-ROW(AF$15),0),15-13*ORÇAMENTO!$AF$11)),
         0)</f>
        <v>0</v>
      </c>
      <c r="AG311" s="454">
        <f ca="1">IF(AND($D311="Serviço",AG$12&lt;&gt;0,$H311&gt;0,OR(AUTOEVENTO&lt;&gt;"manual",$M311&lt;&gt;$A$15)),
        IF(Import.TipoArredondamento&lt;&gt;"TransfereGOV",
              ROUND(OFFSET($P311,0,AG$13),15-13*ORÇAMENTO!$AF$7)/$H311*OFFSET(ORÇAMENTO!$X$15,ROW(AG311)-ROW(AG$15),0),
              ROUND(ROUND(OFFSET($P311,0,AG$13),15-13*ORÇAMENTO!$AF$7)*OFFSET(ORÇAMENTO!$W$15,ROW(AG311)-ROW(AG$15),0),15-13*ORÇAMENTO!$AF$11)),
         0)</f>
        <v>0</v>
      </c>
      <c r="AH311" s="454">
        <f ca="1">IF(AND($D311="Serviço",AH$12&lt;&gt;0,$H311&gt;0,OR(AUTOEVENTO&lt;&gt;"manual",$M311&lt;&gt;$A$15)),
        IF(Import.TipoArredondamento&lt;&gt;"TransfereGOV",
              ROUND(OFFSET($P311,0,AH$13),15-13*ORÇAMENTO!$AF$7)/$H311*OFFSET(ORÇAMENTO!$X$15,ROW(AH311)-ROW(AH$15),0),
              ROUND(ROUND(OFFSET($P311,0,AH$13),15-13*ORÇAMENTO!$AF$7)*OFFSET(ORÇAMENTO!$W$15,ROW(AH311)-ROW(AH$15),0),15-13*ORÇAMENTO!$AF$11)),
         0)</f>
        <v>0</v>
      </c>
      <c r="AI311" s="454">
        <f ca="1">IF(AND($D311="Serviço",AI$12&lt;&gt;0,$H311&gt;0,OR(AUTOEVENTO&lt;&gt;"manual",$M311&lt;&gt;$A$15)),
        IF(Import.TipoArredondamento&lt;&gt;"TransfereGOV",
              ROUND(OFFSET($P311,0,AI$13),15-13*ORÇAMENTO!$AF$7)/$H311*OFFSET(ORÇAMENTO!$X$15,ROW(AI311)-ROW(AI$15),0),
              ROUND(ROUND(OFFSET($P311,0,AI$13),15-13*ORÇAMENTO!$AF$7)*OFFSET(ORÇAMENTO!$W$15,ROW(AI311)-ROW(AI$15),0),15-13*ORÇAMENTO!$AF$11)),
         0)</f>
        <v>0</v>
      </c>
      <c r="AJ311" s="454">
        <f ca="1">IF(AND($D311="Serviço",AJ$12&lt;&gt;0,$H311&gt;0,OR(AUTOEVENTO&lt;&gt;"manual",$M311&lt;&gt;$A$15)),
        IF(Import.TipoArredondamento&lt;&gt;"TransfereGOV",
              ROUND(OFFSET($P311,0,AJ$13),15-13*ORÇAMENTO!$AF$7)/$H311*OFFSET(ORÇAMENTO!$X$15,ROW(AJ311)-ROW(AJ$15),0),
              ROUND(ROUND(OFFSET($P311,0,AJ$13),15-13*ORÇAMENTO!$AF$7)*OFFSET(ORÇAMENTO!$W$15,ROW(AJ311)-ROW(AJ$15),0),15-13*ORÇAMENTO!$AF$11)),
         0)</f>
        <v>0</v>
      </c>
      <c r="AK311" s="454">
        <f ca="1">IF(AND($D311="Serviço",AK$12&lt;&gt;0,$H311&gt;0,OR(AUTOEVENTO&lt;&gt;"manual",$M311&lt;&gt;$A$15)),
        IF(Import.TipoArredondamento&lt;&gt;"TransfereGOV",
              ROUND(OFFSET($P311,0,AK$13),15-13*ORÇAMENTO!$AF$7)/$H311*OFFSET(ORÇAMENTO!$X$15,ROW(AK311)-ROW(AK$15),0),
              ROUND(ROUND(OFFSET($P311,0,AK$13),15-13*ORÇAMENTO!$AF$7)*OFFSET(ORÇAMENTO!$W$15,ROW(AK311)-ROW(AK$15),0),15-13*ORÇAMENTO!$AF$11)),
         0)</f>
        <v>0</v>
      </c>
      <c r="AM311" s="172">
        <f ca="1">IF(OR($D311&lt;&gt;"Serviço",AND(AUTOEVENTO="Manual",$M311=$A$15)),0,
         IF(OFFSET(CRONOPLE!$F$15,$M311-$A$15,AM$13)="",10^12,OFFSET(CRONOPLE!$F$15,$M311-$A$15,AM$13)))</f>
        <v>1000000000000</v>
      </c>
      <c r="AN311" s="172">
        <f ca="1">IF(OR($D311&lt;&gt;"Serviço",AND(AUTOEVENTO="Manual",$M311=$A$15)),0,
         IF(OFFSET(CRONOPLE!$F$15,$M311-$A$15,AN$13)="",10^12,OFFSET(CRONOPLE!$F$15,$M311-$A$15,AN$13)))</f>
        <v>1000000000000</v>
      </c>
      <c r="AO311" s="172">
        <f ca="1">IF(OR($D311&lt;&gt;"Serviço",AND(AUTOEVENTO="Manual",$M311=$A$15)),0,
         IF(OFFSET(CRONOPLE!$F$15,$M311-$A$15,AO$13)="",10^12,OFFSET(CRONOPLE!$F$15,$M311-$A$15,AO$13)))</f>
        <v>1000000000000</v>
      </c>
      <c r="AP311" s="172">
        <f ca="1">IF(OR($D311&lt;&gt;"Serviço",AND(AUTOEVENTO="Manual",$M311=$A$15)),0,
         IF(OFFSET(CRONOPLE!$F$15,$M311-$A$15,AP$13)="",10^12,OFFSET(CRONOPLE!$F$15,$M311-$A$15,AP$13)))</f>
        <v>1000000000000</v>
      </c>
      <c r="AQ311" s="172">
        <f ca="1">IF(OR($D311&lt;&gt;"Serviço",AND(AUTOEVENTO="Manual",$M311=$A$15)),0,
         IF(OFFSET(CRONOPLE!$F$15,$M311-$A$15,AQ$13)="",10^12,OFFSET(CRONOPLE!$F$15,$M311-$A$15,AQ$13)))</f>
        <v>1000000000000</v>
      </c>
      <c r="AR311" s="172">
        <f ca="1">IF(OR($D311&lt;&gt;"Serviço",AND(AUTOEVENTO="Manual",$M311=$A$15)),0,
         IF(OFFSET(CRONOPLE!$F$15,$M311-$A$15,AR$13)="",10^12,OFFSET(CRONOPLE!$F$15,$M311-$A$15,AR$13)))</f>
        <v>1000000000000</v>
      </c>
      <c r="AS311" s="172">
        <f ca="1">IF(OR($D311&lt;&gt;"Serviço",AND(AUTOEVENTO="Manual",$M311=$A$15)),0,
         IF(OFFSET(CRONOPLE!$F$15,$M311-$A$15,AS$13)="",10^12,OFFSET(CRONOPLE!$F$15,$M311-$A$15,AS$13)))</f>
        <v>1000000000000</v>
      </c>
      <c r="AT311" s="172">
        <f ca="1">IF(OR($D311&lt;&gt;"Serviço",AND(AUTOEVENTO="Manual",$M311=$A$15)),0,
         IF(OFFSET(CRONOPLE!$F$15,$M311-$A$15,AT$13)="",10^12,OFFSET(CRONOPLE!$F$15,$M311-$A$15,AT$13)))</f>
        <v>1000000000000</v>
      </c>
      <c r="AU311" s="172">
        <f ca="1">IF(OR($D311&lt;&gt;"Serviço",AND(AUTOEVENTO="Manual",$M311=$A$15)),0,
         IF(OFFSET(CRONOPLE!$F$15,$M311-$A$15,AU$13)="",10^12,OFFSET(CRONOPLE!$F$15,$M311-$A$15,AU$13)))</f>
        <v>1000000000000</v>
      </c>
      <c r="AV311" s="172">
        <f ca="1">IF(OR($D311&lt;&gt;"Serviço",AND(AUTOEVENTO="Manual",$M311=$A$15)),0,
         IF(OFFSET(CRONOPLE!$F$15,$M311-$A$15,AV$13)="",10^12,OFFSET(CRONOPLE!$F$15,$M311-$A$15,AV$13)))</f>
        <v>1000000000000</v>
      </c>
      <c r="AX311" s="173">
        <f ca="1">IF(OR($D311&lt;&gt;"Serviço",AND(AUTOEVENTO="Manual",$M311=$A$15),$M311&gt;(ROW(PLE.lastrow)-ROW(PLE.firstrow))),0,
           IF(OFFSET(PLE!$G$15,$M311-$A$15,AX$13)="",10^12,OFFSET(PLE!$G$15,$M311-$A$15,AX$13)))</f>
        <v>1000000000000</v>
      </c>
      <c r="AY311" s="173">
        <f ca="1">IF(OR($D311&lt;&gt;"Serviço",AND(AUTOEVENTO="Manual",$M311=$A$15),$M311&gt;(ROW(PLE.lastrow)-ROW(PLE.firstrow))),0,
           IF(OFFSET(PLE!$G$15,$M311-$A$15,AY$13)="",10^12,OFFSET(PLE!$G$15,$M311-$A$15,AY$13)))</f>
        <v>1000000000000</v>
      </c>
      <c r="AZ311" s="173">
        <f ca="1">IF(OR($D311&lt;&gt;"Serviço",AND(AUTOEVENTO="Manual",$M311=$A$15),$M311&gt;(ROW(PLE.lastrow)-ROW(PLE.firstrow))),0,
           IF(OFFSET(PLE!$G$15,$M311-$A$15,AZ$13)="",10^12,OFFSET(PLE!$G$15,$M311-$A$15,AZ$13)))</f>
        <v>1000000000000</v>
      </c>
      <c r="BA311" s="173">
        <f ca="1">IF(OR($D311&lt;&gt;"Serviço",AND(AUTOEVENTO="Manual",$M311=$A$15),$M311&gt;(ROW(PLE.lastrow)-ROW(PLE.firstrow))),0,
           IF(OFFSET(PLE!$G$15,$M311-$A$15,BA$13)="",10^12,OFFSET(PLE!$G$15,$M311-$A$15,BA$13)))</f>
        <v>1000000000000</v>
      </c>
      <c r="BB311" s="173">
        <f ca="1">IF(OR($D311&lt;&gt;"Serviço",AND(AUTOEVENTO="Manual",$M311=$A$15),$M311&gt;(ROW(PLE.lastrow)-ROW(PLE.firstrow))),0,
           IF(OFFSET(PLE!$G$15,$M311-$A$15,BB$13)="",10^12,OFFSET(PLE!$G$15,$M311-$A$15,BB$13)))</f>
        <v>1000000000000</v>
      </c>
      <c r="BC311" s="173">
        <f ca="1">IF(OR($D311&lt;&gt;"Serviço",AND(AUTOEVENTO="Manual",$M311=$A$15),$M311&gt;(ROW(PLE.lastrow)-ROW(PLE.firstrow))),0,
           IF(OFFSET(PLE!$G$15,$M311-$A$15,BC$13)="",10^12,OFFSET(PLE!$G$15,$M311-$A$15,BC$13)))</f>
        <v>1000000000000</v>
      </c>
      <c r="BD311" s="173">
        <f ca="1">IF(OR($D311&lt;&gt;"Serviço",AND(AUTOEVENTO="Manual",$M311=$A$15),$M311&gt;(ROW(PLE.lastrow)-ROW(PLE.firstrow))),0,
           IF(OFFSET(PLE!$G$15,$M311-$A$15,BD$13)="",10^12,OFFSET(PLE!$G$15,$M311-$A$15,BD$13)))</f>
        <v>1000000000000</v>
      </c>
      <c r="BE311" s="173">
        <f ca="1">IF(OR($D311&lt;&gt;"Serviço",AND(AUTOEVENTO="Manual",$M311=$A$15),$M311&gt;(ROW(PLE.lastrow)-ROW(PLE.firstrow))),0,
           IF(OFFSET(PLE!$G$15,$M311-$A$15,BE$13)="",10^12,OFFSET(PLE!$G$15,$M311-$A$15,BE$13)))</f>
        <v>1000000000000</v>
      </c>
      <c r="BF311" s="173">
        <f ca="1">IF(OR($D311&lt;&gt;"Serviço",AND(AUTOEVENTO="Manual",$M311=$A$15),$M311&gt;(ROW(PLE.lastrow)-ROW(PLE.firstrow))),0,
           IF(OFFSET(PLE!$G$15,$M311-$A$15,BF$13)="",10^12,OFFSET(PLE!$G$15,$M311-$A$15,BF$13)))</f>
        <v>1000000000000</v>
      </c>
      <c r="BG311" s="173">
        <f ca="1">IF(OR($D311&lt;&gt;"Serviço",AND(AUTOEVENTO="Manual",$M311=$A$15),$M311&gt;(ROW(PLE.lastrow)-ROW(PLE.firstrow))),0,
           IF(OFFSET(PLE!$G$15,$M311-$A$15,BG$13)="",10^12,OFFSET(PLE!$G$15,$M311-$A$15,BG$13)))</f>
        <v>1000000000000</v>
      </c>
    </row>
    <row r="312" spans="1:59" ht="51" x14ac:dyDescent="0.2">
      <c r="A312" s="7" t="str">
        <f t="shared" ca="1" si="12"/>
        <v>253</v>
      </c>
      <c r="B312" s="7" t="str">
        <f ca="1">OFFSET(ORÇAMENTO!C$15,ROW(B312)-ROW(B$15),0)</f>
        <v>S</v>
      </c>
      <c r="C312" s="7" t="str">
        <f ca="1">OFFSET(ORÇAMENTO!L$15,ROW(C312)-ROW(C$15),0)</f>
        <v/>
      </c>
      <c r="D312" s="117" t="str">
        <f ca="1">OFFSET(ORÇAMENTO!N$15,ROW(D312)-ROW(D$15),0)</f>
        <v>Serviço</v>
      </c>
      <c r="E312" s="118" t="str">
        <f ca="1">OFFSET(ORÇAMENTO!O$15,ROW(E312)-ROW(E$15),0)</f>
        <v>-</v>
      </c>
      <c r="F312" s="164" t="str">
        <f ca="1">OFFSET(ORÇAMENTO!R$15,ROW(F312)-ROW(F$15),0)</f>
        <v xml:space="preserve">REGISTRO OU VALVULA GLOBO ANGULAR EM LATAO, PARA HIDRANTES EM INSTALACAO PREDIAL DE INCENDIO, 45 GRAUS, DIAMETRO DE 2 1/2", COM VOLANTE, CLASSE DE PRESSAO DE ATE 200 PSI                                                                                 </v>
      </c>
      <c r="G312" s="165" t="str">
        <f ca="1">IF($D312&lt;&gt;"Serviço","",OFFSET(ORÇAMENTO!S$15,ROW(G312)-ROW(G$15),0))</f>
        <v xml:space="preserve">UN    </v>
      </c>
      <c r="H312" s="123">
        <f ca="1">IF($D312&lt;&gt;"Serviço",0,IF(ACOMPANHAMENTO="BM",ROUND(OFFSET(ORÇAMENTO!AJ$15,ROW(H312)-ROW(H$15),0),15-13*ORÇAMENTO!$AF$7),SUMPRODUCT(($Q$1:$AA$1=1)*ROUND($Q312:$AA312,15-13*ORÇAMENTO!$AF$7))))</f>
        <v>3</v>
      </c>
      <c r="I312" s="469"/>
      <c r="J312" s="577" t="str" cm="1">
        <f t="array" aca="1" ref="J312" ca="1">IF(B312&lt;&gt;"S","",IF(AND(ACOMPANHAMENTO="PLE",AUTOEVENTO="Manual",OR(H312&gt;0,ORÇAMENTO!AC312="QUANT."),OR(K312="",M312=0,N312="")),"►",IF(AND(ACOMPANHAMENTO="PLE",ORÇAMENTO!AC312="QUANT."),"►►",IF(AND(COUNTIF($P$11:$AA$11,"▼")=0,H312&gt;0,I312=""),"◄",""))))</f>
        <v>◄</v>
      </c>
      <c r="K312" s="626"/>
      <c r="L312" s="166" t="s">
        <v>765</v>
      </c>
      <c r="M312" s="167">
        <f ca="1">IF($D312&lt;&gt;"Serviço","",
          IF(AUTOEVENTO="manual",$A312,
                IF(ISERROR(MATCH($A312,$A$15:OFFSET($A312,-1,0),0)),MAX($M$15:OFFSET(M312,-1,0))+1,
                      INDEX($M$15:OFFSET(M312,-1,0),MATCH($A312,$A$15:OFFSET($A312,-1,0),0)))))</f>
        <v>16</v>
      </c>
      <c r="N312" s="168" t="str">
        <f ca="1">IF($D312&lt;&gt;"Serviço","",
         IF(AUTOEVENTO="Manual",
                IF($A312=0,"&lt;-- defina o número do agrupador",
                       OFFSET(EVENTOS!$D$15,$A312-$A$15,0)),
                OFFSET($F$15,$A312,0)))</f>
        <v>SISTEMAS DE PREVENÇÃO CONTRA INCÊNDIO</v>
      </c>
      <c r="O312" s="169"/>
      <c r="Q312" s="169"/>
      <c r="R312" s="170"/>
      <c r="S312" s="170"/>
      <c r="T312" s="170"/>
      <c r="U312" s="170"/>
      <c r="V312" s="170"/>
      <c r="W312" s="170"/>
      <c r="X312" s="170"/>
      <c r="Y312" s="170"/>
      <c r="Z312" s="171"/>
      <c r="AB312" s="454">
        <f ca="1">IF(AND($D312="Serviço",AB$12&lt;&gt;0,$H312&gt;0,OR(AUTOEVENTO&lt;&gt;"manual",$M312&lt;&gt;$A$15)),
        IF(Import.TipoArredondamento&lt;&gt;"TransfereGOV",
              ROUND(OFFSET($P312,0,AB$13),15-13*ORÇAMENTO!$AF$7)/$H312*OFFSET(ORÇAMENTO!$X$15,ROW(AB312)-ROW(AB$15),0),
              ROUND(ROUND(OFFSET($P312,0,AB$13),15-13*ORÇAMENTO!$AF$7)*OFFSET(ORÇAMENTO!$W$15,ROW(AB312)-ROW(AB$15),0),15-13*ORÇAMENTO!$AF$11)),
         0)</f>
        <v>0</v>
      </c>
      <c r="AC312" s="454">
        <f ca="1">IF(AND($D312="Serviço",AC$12&lt;&gt;0,$H312&gt;0,OR(AUTOEVENTO&lt;&gt;"manual",$M312&lt;&gt;$A$15)),
        IF(Import.TipoArredondamento&lt;&gt;"TransfereGOV",
              ROUND(OFFSET($P312,0,AC$13),15-13*ORÇAMENTO!$AF$7)/$H312*OFFSET(ORÇAMENTO!$X$15,ROW(AC312)-ROW(AC$15),0),
              ROUND(ROUND(OFFSET($P312,0,AC$13),15-13*ORÇAMENTO!$AF$7)*OFFSET(ORÇAMENTO!$W$15,ROW(AC312)-ROW(AC$15),0),15-13*ORÇAMENTO!$AF$11)),
         0)</f>
        <v>0</v>
      </c>
      <c r="AD312" s="454">
        <f ca="1">IF(AND($D312="Serviço",AD$12&lt;&gt;0,$H312&gt;0,OR(AUTOEVENTO&lt;&gt;"manual",$M312&lt;&gt;$A$15)),
        IF(Import.TipoArredondamento&lt;&gt;"TransfereGOV",
              ROUND(OFFSET($P312,0,AD$13),15-13*ORÇAMENTO!$AF$7)/$H312*OFFSET(ORÇAMENTO!$X$15,ROW(AD312)-ROW(AD$15),0),
              ROUND(ROUND(OFFSET($P312,0,AD$13),15-13*ORÇAMENTO!$AF$7)*OFFSET(ORÇAMENTO!$W$15,ROW(AD312)-ROW(AD$15),0),15-13*ORÇAMENTO!$AF$11)),
         0)</f>
        <v>0</v>
      </c>
      <c r="AE312" s="454">
        <f ca="1">IF(AND($D312="Serviço",AE$12&lt;&gt;0,$H312&gt;0,OR(AUTOEVENTO&lt;&gt;"manual",$M312&lt;&gt;$A$15)),
        IF(Import.TipoArredondamento&lt;&gt;"TransfereGOV",
              ROUND(OFFSET($P312,0,AE$13),15-13*ORÇAMENTO!$AF$7)/$H312*OFFSET(ORÇAMENTO!$X$15,ROW(AE312)-ROW(AE$15),0),
              ROUND(ROUND(OFFSET($P312,0,AE$13),15-13*ORÇAMENTO!$AF$7)*OFFSET(ORÇAMENTO!$W$15,ROW(AE312)-ROW(AE$15),0),15-13*ORÇAMENTO!$AF$11)),
         0)</f>
        <v>0</v>
      </c>
      <c r="AF312" s="454">
        <f ca="1">IF(AND($D312="Serviço",AF$12&lt;&gt;0,$H312&gt;0,OR(AUTOEVENTO&lt;&gt;"manual",$M312&lt;&gt;$A$15)),
        IF(Import.TipoArredondamento&lt;&gt;"TransfereGOV",
              ROUND(OFFSET($P312,0,AF$13),15-13*ORÇAMENTO!$AF$7)/$H312*OFFSET(ORÇAMENTO!$X$15,ROW(AF312)-ROW(AF$15),0),
              ROUND(ROUND(OFFSET($P312,0,AF$13),15-13*ORÇAMENTO!$AF$7)*OFFSET(ORÇAMENTO!$W$15,ROW(AF312)-ROW(AF$15),0),15-13*ORÇAMENTO!$AF$11)),
         0)</f>
        <v>0</v>
      </c>
      <c r="AG312" s="454">
        <f ca="1">IF(AND($D312="Serviço",AG$12&lt;&gt;0,$H312&gt;0,OR(AUTOEVENTO&lt;&gt;"manual",$M312&lt;&gt;$A$15)),
        IF(Import.TipoArredondamento&lt;&gt;"TransfereGOV",
              ROUND(OFFSET($P312,0,AG$13),15-13*ORÇAMENTO!$AF$7)/$H312*OFFSET(ORÇAMENTO!$X$15,ROW(AG312)-ROW(AG$15),0),
              ROUND(ROUND(OFFSET($P312,0,AG$13),15-13*ORÇAMENTO!$AF$7)*OFFSET(ORÇAMENTO!$W$15,ROW(AG312)-ROW(AG$15),0),15-13*ORÇAMENTO!$AF$11)),
         0)</f>
        <v>0</v>
      </c>
      <c r="AH312" s="454">
        <f ca="1">IF(AND($D312="Serviço",AH$12&lt;&gt;0,$H312&gt;0,OR(AUTOEVENTO&lt;&gt;"manual",$M312&lt;&gt;$A$15)),
        IF(Import.TipoArredondamento&lt;&gt;"TransfereGOV",
              ROUND(OFFSET($P312,0,AH$13),15-13*ORÇAMENTO!$AF$7)/$H312*OFFSET(ORÇAMENTO!$X$15,ROW(AH312)-ROW(AH$15),0),
              ROUND(ROUND(OFFSET($P312,0,AH$13),15-13*ORÇAMENTO!$AF$7)*OFFSET(ORÇAMENTO!$W$15,ROW(AH312)-ROW(AH$15),0),15-13*ORÇAMENTO!$AF$11)),
         0)</f>
        <v>0</v>
      </c>
      <c r="AI312" s="454">
        <f ca="1">IF(AND($D312="Serviço",AI$12&lt;&gt;0,$H312&gt;0,OR(AUTOEVENTO&lt;&gt;"manual",$M312&lt;&gt;$A$15)),
        IF(Import.TipoArredondamento&lt;&gt;"TransfereGOV",
              ROUND(OFFSET($P312,0,AI$13),15-13*ORÇAMENTO!$AF$7)/$H312*OFFSET(ORÇAMENTO!$X$15,ROW(AI312)-ROW(AI$15),0),
              ROUND(ROUND(OFFSET($P312,0,AI$13),15-13*ORÇAMENTO!$AF$7)*OFFSET(ORÇAMENTO!$W$15,ROW(AI312)-ROW(AI$15),0),15-13*ORÇAMENTO!$AF$11)),
         0)</f>
        <v>0</v>
      </c>
      <c r="AJ312" s="454">
        <f ca="1">IF(AND($D312="Serviço",AJ$12&lt;&gt;0,$H312&gt;0,OR(AUTOEVENTO&lt;&gt;"manual",$M312&lt;&gt;$A$15)),
        IF(Import.TipoArredondamento&lt;&gt;"TransfereGOV",
              ROUND(OFFSET($P312,0,AJ$13),15-13*ORÇAMENTO!$AF$7)/$H312*OFFSET(ORÇAMENTO!$X$15,ROW(AJ312)-ROW(AJ$15),0),
              ROUND(ROUND(OFFSET($P312,0,AJ$13),15-13*ORÇAMENTO!$AF$7)*OFFSET(ORÇAMENTO!$W$15,ROW(AJ312)-ROW(AJ$15),0),15-13*ORÇAMENTO!$AF$11)),
         0)</f>
        <v>0</v>
      </c>
      <c r="AK312" s="454">
        <f ca="1">IF(AND($D312="Serviço",AK$12&lt;&gt;0,$H312&gt;0,OR(AUTOEVENTO&lt;&gt;"manual",$M312&lt;&gt;$A$15)),
        IF(Import.TipoArredondamento&lt;&gt;"TransfereGOV",
              ROUND(OFFSET($P312,0,AK$13),15-13*ORÇAMENTO!$AF$7)/$H312*OFFSET(ORÇAMENTO!$X$15,ROW(AK312)-ROW(AK$15),0),
              ROUND(ROUND(OFFSET($P312,0,AK$13),15-13*ORÇAMENTO!$AF$7)*OFFSET(ORÇAMENTO!$W$15,ROW(AK312)-ROW(AK$15),0),15-13*ORÇAMENTO!$AF$11)),
         0)</f>
        <v>0</v>
      </c>
      <c r="AM312" s="172">
        <f ca="1">IF(OR($D312&lt;&gt;"Serviço",AND(AUTOEVENTO="Manual",$M312=$A$15)),0,
         IF(OFFSET(CRONOPLE!$F$15,$M312-$A$15,AM$13)="",10^12,OFFSET(CRONOPLE!$F$15,$M312-$A$15,AM$13)))</f>
        <v>1000000000000</v>
      </c>
      <c r="AN312" s="172">
        <f ca="1">IF(OR($D312&lt;&gt;"Serviço",AND(AUTOEVENTO="Manual",$M312=$A$15)),0,
         IF(OFFSET(CRONOPLE!$F$15,$M312-$A$15,AN$13)="",10^12,OFFSET(CRONOPLE!$F$15,$M312-$A$15,AN$13)))</f>
        <v>1000000000000</v>
      </c>
      <c r="AO312" s="172">
        <f ca="1">IF(OR($D312&lt;&gt;"Serviço",AND(AUTOEVENTO="Manual",$M312=$A$15)),0,
         IF(OFFSET(CRONOPLE!$F$15,$M312-$A$15,AO$13)="",10^12,OFFSET(CRONOPLE!$F$15,$M312-$A$15,AO$13)))</f>
        <v>1000000000000</v>
      </c>
      <c r="AP312" s="172">
        <f ca="1">IF(OR($D312&lt;&gt;"Serviço",AND(AUTOEVENTO="Manual",$M312=$A$15)),0,
         IF(OFFSET(CRONOPLE!$F$15,$M312-$A$15,AP$13)="",10^12,OFFSET(CRONOPLE!$F$15,$M312-$A$15,AP$13)))</f>
        <v>1000000000000</v>
      </c>
      <c r="AQ312" s="172">
        <f ca="1">IF(OR($D312&lt;&gt;"Serviço",AND(AUTOEVENTO="Manual",$M312=$A$15)),0,
         IF(OFFSET(CRONOPLE!$F$15,$M312-$A$15,AQ$13)="",10^12,OFFSET(CRONOPLE!$F$15,$M312-$A$15,AQ$13)))</f>
        <v>1000000000000</v>
      </c>
      <c r="AR312" s="172">
        <f ca="1">IF(OR($D312&lt;&gt;"Serviço",AND(AUTOEVENTO="Manual",$M312=$A$15)),0,
         IF(OFFSET(CRONOPLE!$F$15,$M312-$A$15,AR$13)="",10^12,OFFSET(CRONOPLE!$F$15,$M312-$A$15,AR$13)))</f>
        <v>1000000000000</v>
      </c>
      <c r="AS312" s="172">
        <f ca="1">IF(OR($D312&lt;&gt;"Serviço",AND(AUTOEVENTO="Manual",$M312=$A$15)),0,
         IF(OFFSET(CRONOPLE!$F$15,$M312-$A$15,AS$13)="",10^12,OFFSET(CRONOPLE!$F$15,$M312-$A$15,AS$13)))</f>
        <v>1000000000000</v>
      </c>
      <c r="AT312" s="172">
        <f ca="1">IF(OR($D312&lt;&gt;"Serviço",AND(AUTOEVENTO="Manual",$M312=$A$15)),0,
         IF(OFFSET(CRONOPLE!$F$15,$M312-$A$15,AT$13)="",10^12,OFFSET(CRONOPLE!$F$15,$M312-$A$15,AT$13)))</f>
        <v>1000000000000</v>
      </c>
      <c r="AU312" s="172">
        <f ca="1">IF(OR($D312&lt;&gt;"Serviço",AND(AUTOEVENTO="Manual",$M312=$A$15)),0,
         IF(OFFSET(CRONOPLE!$F$15,$M312-$A$15,AU$13)="",10^12,OFFSET(CRONOPLE!$F$15,$M312-$A$15,AU$13)))</f>
        <v>1000000000000</v>
      </c>
      <c r="AV312" s="172">
        <f ca="1">IF(OR($D312&lt;&gt;"Serviço",AND(AUTOEVENTO="Manual",$M312=$A$15)),0,
         IF(OFFSET(CRONOPLE!$F$15,$M312-$A$15,AV$13)="",10^12,OFFSET(CRONOPLE!$F$15,$M312-$A$15,AV$13)))</f>
        <v>1000000000000</v>
      </c>
      <c r="AX312" s="173">
        <f ca="1">IF(OR($D312&lt;&gt;"Serviço",AND(AUTOEVENTO="Manual",$M312=$A$15),$M312&gt;(ROW(PLE.lastrow)-ROW(PLE.firstrow))),0,
           IF(OFFSET(PLE!$G$15,$M312-$A$15,AX$13)="",10^12,OFFSET(PLE!$G$15,$M312-$A$15,AX$13)))</f>
        <v>1000000000000</v>
      </c>
      <c r="AY312" s="173">
        <f ca="1">IF(OR($D312&lt;&gt;"Serviço",AND(AUTOEVENTO="Manual",$M312=$A$15),$M312&gt;(ROW(PLE.lastrow)-ROW(PLE.firstrow))),0,
           IF(OFFSET(PLE!$G$15,$M312-$A$15,AY$13)="",10^12,OFFSET(PLE!$G$15,$M312-$A$15,AY$13)))</f>
        <v>1000000000000</v>
      </c>
      <c r="AZ312" s="173">
        <f ca="1">IF(OR($D312&lt;&gt;"Serviço",AND(AUTOEVENTO="Manual",$M312=$A$15),$M312&gt;(ROW(PLE.lastrow)-ROW(PLE.firstrow))),0,
           IF(OFFSET(PLE!$G$15,$M312-$A$15,AZ$13)="",10^12,OFFSET(PLE!$G$15,$M312-$A$15,AZ$13)))</f>
        <v>1000000000000</v>
      </c>
      <c r="BA312" s="173">
        <f ca="1">IF(OR($D312&lt;&gt;"Serviço",AND(AUTOEVENTO="Manual",$M312=$A$15),$M312&gt;(ROW(PLE.lastrow)-ROW(PLE.firstrow))),0,
           IF(OFFSET(PLE!$G$15,$M312-$A$15,BA$13)="",10^12,OFFSET(PLE!$G$15,$M312-$A$15,BA$13)))</f>
        <v>1000000000000</v>
      </c>
      <c r="BB312" s="173">
        <f ca="1">IF(OR($D312&lt;&gt;"Serviço",AND(AUTOEVENTO="Manual",$M312=$A$15),$M312&gt;(ROW(PLE.lastrow)-ROW(PLE.firstrow))),0,
           IF(OFFSET(PLE!$G$15,$M312-$A$15,BB$13)="",10^12,OFFSET(PLE!$G$15,$M312-$A$15,BB$13)))</f>
        <v>1000000000000</v>
      </c>
      <c r="BC312" s="173">
        <f ca="1">IF(OR($D312&lt;&gt;"Serviço",AND(AUTOEVENTO="Manual",$M312=$A$15),$M312&gt;(ROW(PLE.lastrow)-ROW(PLE.firstrow))),0,
           IF(OFFSET(PLE!$G$15,$M312-$A$15,BC$13)="",10^12,OFFSET(PLE!$G$15,$M312-$A$15,BC$13)))</f>
        <v>1000000000000</v>
      </c>
      <c r="BD312" s="173">
        <f ca="1">IF(OR($D312&lt;&gt;"Serviço",AND(AUTOEVENTO="Manual",$M312=$A$15),$M312&gt;(ROW(PLE.lastrow)-ROW(PLE.firstrow))),0,
           IF(OFFSET(PLE!$G$15,$M312-$A$15,BD$13)="",10^12,OFFSET(PLE!$G$15,$M312-$A$15,BD$13)))</f>
        <v>1000000000000</v>
      </c>
      <c r="BE312" s="173">
        <f ca="1">IF(OR($D312&lt;&gt;"Serviço",AND(AUTOEVENTO="Manual",$M312=$A$15),$M312&gt;(ROW(PLE.lastrow)-ROW(PLE.firstrow))),0,
           IF(OFFSET(PLE!$G$15,$M312-$A$15,BE$13)="",10^12,OFFSET(PLE!$G$15,$M312-$A$15,BE$13)))</f>
        <v>1000000000000</v>
      </c>
      <c r="BF312" s="173">
        <f ca="1">IF(OR($D312&lt;&gt;"Serviço",AND(AUTOEVENTO="Manual",$M312=$A$15),$M312&gt;(ROW(PLE.lastrow)-ROW(PLE.firstrow))),0,
           IF(OFFSET(PLE!$G$15,$M312-$A$15,BF$13)="",10^12,OFFSET(PLE!$G$15,$M312-$A$15,BF$13)))</f>
        <v>1000000000000</v>
      </c>
      <c r="BG312" s="173">
        <f ca="1">IF(OR($D312&lt;&gt;"Serviço",AND(AUTOEVENTO="Manual",$M312=$A$15),$M312&gt;(ROW(PLE.lastrow)-ROW(PLE.firstrow))),0,
           IF(OFFSET(PLE!$G$15,$M312-$A$15,BG$13)="",10^12,OFFSET(PLE!$G$15,$M312-$A$15,BG$13)))</f>
        <v>1000000000000</v>
      </c>
    </row>
    <row r="313" spans="1:59" ht="25.5" x14ac:dyDescent="0.2">
      <c r="A313" s="7" t="str">
        <f t="shared" ca="1" si="12"/>
        <v>253</v>
      </c>
      <c r="B313" s="7" t="str">
        <f ca="1">OFFSET(ORÇAMENTO!C$15,ROW(B313)-ROW(B$15),0)</f>
        <v>S</v>
      </c>
      <c r="C313" s="7" t="str">
        <f ca="1">OFFSET(ORÇAMENTO!L$15,ROW(C313)-ROW(C$15),0)</f>
        <v/>
      </c>
      <c r="D313" s="117" t="str">
        <f ca="1">OFFSET(ORÇAMENTO!N$15,ROW(D313)-ROW(D$15),0)</f>
        <v>Serviço</v>
      </c>
      <c r="E313" s="118" t="str">
        <f ca="1">OFFSET(ORÇAMENTO!O$15,ROW(E313)-ROW(E$15),0)</f>
        <v>-</v>
      </c>
      <c r="F313" s="164" t="str">
        <f ca="1">OFFSET(ORÇAMENTO!R$15,ROW(F313)-ROW(F$15),0)</f>
        <v>CAIXA DE INCÊNDIO 45X75X17CM - FORNECIMENTO E INSTALAÇÃO. AF_10/2020</v>
      </c>
      <c r="G313" s="165" t="str">
        <f ca="1">IF($D313&lt;&gt;"Serviço","",OFFSET(ORÇAMENTO!S$15,ROW(G313)-ROW(G$15),0))</f>
        <v>UN</v>
      </c>
      <c r="H313" s="123">
        <f ca="1">IF($D313&lt;&gt;"Serviço",0,IF(ACOMPANHAMENTO="BM",ROUND(OFFSET(ORÇAMENTO!AJ$15,ROW(H313)-ROW(H$15),0),15-13*ORÇAMENTO!$AF$7),SUMPRODUCT(($Q$1:$AA$1=1)*ROUND($Q313:$AA313,15-13*ORÇAMENTO!$AF$7))))</f>
        <v>2</v>
      </c>
      <c r="I313" s="469"/>
      <c r="J313" s="577" t="str" cm="1">
        <f t="array" aca="1" ref="J313" ca="1">IF(B313&lt;&gt;"S","",IF(AND(ACOMPANHAMENTO="PLE",AUTOEVENTO="Manual",OR(H313&gt;0,ORÇAMENTO!AC313="QUANT."),OR(K313="",M313=0,N313="")),"►",IF(AND(ACOMPANHAMENTO="PLE",ORÇAMENTO!AC313="QUANT."),"►►",IF(AND(COUNTIF($P$11:$AA$11,"▼")=0,H313&gt;0,I313=""),"◄",""))))</f>
        <v>◄</v>
      </c>
      <c r="K313" s="626"/>
      <c r="L313" s="166" t="s">
        <v>765</v>
      </c>
      <c r="M313" s="167">
        <f ca="1">IF($D313&lt;&gt;"Serviço","",
          IF(AUTOEVENTO="manual",$A313,
                IF(ISERROR(MATCH($A313,$A$15:OFFSET($A313,-1,0),0)),MAX($M$15:OFFSET(M313,-1,0))+1,
                      INDEX($M$15:OFFSET(M313,-1,0),MATCH($A313,$A$15:OFFSET($A313,-1,0),0)))))</f>
        <v>16</v>
      </c>
      <c r="N313" s="168" t="str">
        <f ca="1">IF($D313&lt;&gt;"Serviço","",
         IF(AUTOEVENTO="Manual",
                IF($A313=0,"&lt;-- defina o número do agrupador",
                       OFFSET(EVENTOS!$D$15,$A313-$A$15,0)),
                OFFSET($F$15,$A313,0)))</f>
        <v>SISTEMAS DE PREVENÇÃO CONTRA INCÊNDIO</v>
      </c>
      <c r="O313" s="169"/>
      <c r="Q313" s="169"/>
      <c r="R313" s="170"/>
      <c r="S313" s="170"/>
      <c r="T313" s="170"/>
      <c r="U313" s="170"/>
      <c r="V313" s="170"/>
      <c r="W313" s="170"/>
      <c r="X313" s="170"/>
      <c r="Y313" s="170"/>
      <c r="Z313" s="171"/>
      <c r="AB313" s="454">
        <f ca="1">IF(AND($D313="Serviço",AB$12&lt;&gt;0,$H313&gt;0,OR(AUTOEVENTO&lt;&gt;"manual",$M313&lt;&gt;$A$15)),
        IF(Import.TipoArredondamento&lt;&gt;"TransfereGOV",
              ROUND(OFFSET($P313,0,AB$13),15-13*ORÇAMENTO!$AF$7)/$H313*OFFSET(ORÇAMENTO!$X$15,ROW(AB313)-ROW(AB$15),0),
              ROUND(ROUND(OFFSET($P313,0,AB$13),15-13*ORÇAMENTO!$AF$7)*OFFSET(ORÇAMENTO!$W$15,ROW(AB313)-ROW(AB$15),0),15-13*ORÇAMENTO!$AF$11)),
         0)</f>
        <v>0</v>
      </c>
      <c r="AC313" s="454">
        <f ca="1">IF(AND($D313="Serviço",AC$12&lt;&gt;0,$H313&gt;0,OR(AUTOEVENTO&lt;&gt;"manual",$M313&lt;&gt;$A$15)),
        IF(Import.TipoArredondamento&lt;&gt;"TransfereGOV",
              ROUND(OFFSET($P313,0,AC$13),15-13*ORÇAMENTO!$AF$7)/$H313*OFFSET(ORÇAMENTO!$X$15,ROW(AC313)-ROW(AC$15),0),
              ROUND(ROUND(OFFSET($P313,0,AC$13),15-13*ORÇAMENTO!$AF$7)*OFFSET(ORÇAMENTO!$W$15,ROW(AC313)-ROW(AC$15),0),15-13*ORÇAMENTO!$AF$11)),
         0)</f>
        <v>0</v>
      </c>
      <c r="AD313" s="454">
        <f ca="1">IF(AND($D313="Serviço",AD$12&lt;&gt;0,$H313&gt;0,OR(AUTOEVENTO&lt;&gt;"manual",$M313&lt;&gt;$A$15)),
        IF(Import.TipoArredondamento&lt;&gt;"TransfereGOV",
              ROUND(OFFSET($P313,0,AD$13),15-13*ORÇAMENTO!$AF$7)/$H313*OFFSET(ORÇAMENTO!$X$15,ROW(AD313)-ROW(AD$15),0),
              ROUND(ROUND(OFFSET($P313,0,AD$13),15-13*ORÇAMENTO!$AF$7)*OFFSET(ORÇAMENTO!$W$15,ROW(AD313)-ROW(AD$15),0),15-13*ORÇAMENTO!$AF$11)),
         0)</f>
        <v>0</v>
      </c>
      <c r="AE313" s="454">
        <f ca="1">IF(AND($D313="Serviço",AE$12&lt;&gt;0,$H313&gt;0,OR(AUTOEVENTO&lt;&gt;"manual",$M313&lt;&gt;$A$15)),
        IF(Import.TipoArredondamento&lt;&gt;"TransfereGOV",
              ROUND(OFFSET($P313,0,AE$13),15-13*ORÇAMENTO!$AF$7)/$H313*OFFSET(ORÇAMENTO!$X$15,ROW(AE313)-ROW(AE$15),0),
              ROUND(ROUND(OFFSET($P313,0,AE$13),15-13*ORÇAMENTO!$AF$7)*OFFSET(ORÇAMENTO!$W$15,ROW(AE313)-ROW(AE$15),0),15-13*ORÇAMENTO!$AF$11)),
         0)</f>
        <v>0</v>
      </c>
      <c r="AF313" s="454">
        <f ca="1">IF(AND($D313="Serviço",AF$12&lt;&gt;0,$H313&gt;0,OR(AUTOEVENTO&lt;&gt;"manual",$M313&lt;&gt;$A$15)),
        IF(Import.TipoArredondamento&lt;&gt;"TransfereGOV",
              ROUND(OFFSET($P313,0,AF$13),15-13*ORÇAMENTO!$AF$7)/$H313*OFFSET(ORÇAMENTO!$X$15,ROW(AF313)-ROW(AF$15),0),
              ROUND(ROUND(OFFSET($P313,0,AF$13),15-13*ORÇAMENTO!$AF$7)*OFFSET(ORÇAMENTO!$W$15,ROW(AF313)-ROW(AF$15),0),15-13*ORÇAMENTO!$AF$11)),
         0)</f>
        <v>0</v>
      </c>
      <c r="AG313" s="454">
        <f ca="1">IF(AND($D313="Serviço",AG$12&lt;&gt;0,$H313&gt;0,OR(AUTOEVENTO&lt;&gt;"manual",$M313&lt;&gt;$A$15)),
        IF(Import.TipoArredondamento&lt;&gt;"TransfereGOV",
              ROUND(OFFSET($P313,0,AG$13),15-13*ORÇAMENTO!$AF$7)/$H313*OFFSET(ORÇAMENTO!$X$15,ROW(AG313)-ROW(AG$15),0),
              ROUND(ROUND(OFFSET($P313,0,AG$13),15-13*ORÇAMENTO!$AF$7)*OFFSET(ORÇAMENTO!$W$15,ROW(AG313)-ROW(AG$15),0),15-13*ORÇAMENTO!$AF$11)),
         0)</f>
        <v>0</v>
      </c>
      <c r="AH313" s="454">
        <f ca="1">IF(AND($D313="Serviço",AH$12&lt;&gt;0,$H313&gt;0,OR(AUTOEVENTO&lt;&gt;"manual",$M313&lt;&gt;$A$15)),
        IF(Import.TipoArredondamento&lt;&gt;"TransfereGOV",
              ROUND(OFFSET($P313,0,AH$13),15-13*ORÇAMENTO!$AF$7)/$H313*OFFSET(ORÇAMENTO!$X$15,ROW(AH313)-ROW(AH$15),0),
              ROUND(ROUND(OFFSET($P313,0,AH$13),15-13*ORÇAMENTO!$AF$7)*OFFSET(ORÇAMENTO!$W$15,ROW(AH313)-ROW(AH$15),0),15-13*ORÇAMENTO!$AF$11)),
         0)</f>
        <v>0</v>
      </c>
      <c r="AI313" s="454">
        <f ca="1">IF(AND($D313="Serviço",AI$12&lt;&gt;0,$H313&gt;0,OR(AUTOEVENTO&lt;&gt;"manual",$M313&lt;&gt;$A$15)),
        IF(Import.TipoArredondamento&lt;&gt;"TransfereGOV",
              ROUND(OFFSET($P313,0,AI$13),15-13*ORÇAMENTO!$AF$7)/$H313*OFFSET(ORÇAMENTO!$X$15,ROW(AI313)-ROW(AI$15),0),
              ROUND(ROUND(OFFSET($P313,0,AI$13),15-13*ORÇAMENTO!$AF$7)*OFFSET(ORÇAMENTO!$W$15,ROW(AI313)-ROW(AI$15),0),15-13*ORÇAMENTO!$AF$11)),
         0)</f>
        <v>0</v>
      </c>
      <c r="AJ313" s="454">
        <f ca="1">IF(AND($D313="Serviço",AJ$12&lt;&gt;0,$H313&gt;0,OR(AUTOEVENTO&lt;&gt;"manual",$M313&lt;&gt;$A$15)),
        IF(Import.TipoArredondamento&lt;&gt;"TransfereGOV",
              ROUND(OFFSET($P313,0,AJ$13),15-13*ORÇAMENTO!$AF$7)/$H313*OFFSET(ORÇAMENTO!$X$15,ROW(AJ313)-ROW(AJ$15),0),
              ROUND(ROUND(OFFSET($P313,0,AJ$13),15-13*ORÇAMENTO!$AF$7)*OFFSET(ORÇAMENTO!$W$15,ROW(AJ313)-ROW(AJ$15),0),15-13*ORÇAMENTO!$AF$11)),
         0)</f>
        <v>0</v>
      </c>
      <c r="AK313" s="454">
        <f ca="1">IF(AND($D313="Serviço",AK$12&lt;&gt;0,$H313&gt;0,OR(AUTOEVENTO&lt;&gt;"manual",$M313&lt;&gt;$A$15)),
        IF(Import.TipoArredondamento&lt;&gt;"TransfereGOV",
              ROUND(OFFSET($P313,0,AK$13),15-13*ORÇAMENTO!$AF$7)/$H313*OFFSET(ORÇAMENTO!$X$15,ROW(AK313)-ROW(AK$15),0),
              ROUND(ROUND(OFFSET($P313,0,AK$13),15-13*ORÇAMENTO!$AF$7)*OFFSET(ORÇAMENTO!$W$15,ROW(AK313)-ROW(AK$15),0),15-13*ORÇAMENTO!$AF$11)),
         0)</f>
        <v>0</v>
      </c>
      <c r="AM313" s="172">
        <f ca="1">IF(OR($D313&lt;&gt;"Serviço",AND(AUTOEVENTO="Manual",$M313=$A$15)),0,
         IF(OFFSET(CRONOPLE!$F$15,$M313-$A$15,AM$13)="",10^12,OFFSET(CRONOPLE!$F$15,$M313-$A$15,AM$13)))</f>
        <v>1000000000000</v>
      </c>
      <c r="AN313" s="172">
        <f ca="1">IF(OR($D313&lt;&gt;"Serviço",AND(AUTOEVENTO="Manual",$M313=$A$15)),0,
         IF(OFFSET(CRONOPLE!$F$15,$M313-$A$15,AN$13)="",10^12,OFFSET(CRONOPLE!$F$15,$M313-$A$15,AN$13)))</f>
        <v>1000000000000</v>
      </c>
      <c r="AO313" s="172">
        <f ca="1">IF(OR($D313&lt;&gt;"Serviço",AND(AUTOEVENTO="Manual",$M313=$A$15)),0,
         IF(OFFSET(CRONOPLE!$F$15,$M313-$A$15,AO$13)="",10^12,OFFSET(CRONOPLE!$F$15,$M313-$A$15,AO$13)))</f>
        <v>1000000000000</v>
      </c>
      <c r="AP313" s="172">
        <f ca="1">IF(OR($D313&lt;&gt;"Serviço",AND(AUTOEVENTO="Manual",$M313=$A$15)),0,
         IF(OFFSET(CRONOPLE!$F$15,$M313-$A$15,AP$13)="",10^12,OFFSET(CRONOPLE!$F$15,$M313-$A$15,AP$13)))</f>
        <v>1000000000000</v>
      </c>
      <c r="AQ313" s="172">
        <f ca="1">IF(OR($D313&lt;&gt;"Serviço",AND(AUTOEVENTO="Manual",$M313=$A$15)),0,
         IF(OFFSET(CRONOPLE!$F$15,$M313-$A$15,AQ$13)="",10^12,OFFSET(CRONOPLE!$F$15,$M313-$A$15,AQ$13)))</f>
        <v>1000000000000</v>
      </c>
      <c r="AR313" s="172">
        <f ca="1">IF(OR($D313&lt;&gt;"Serviço",AND(AUTOEVENTO="Manual",$M313=$A$15)),0,
         IF(OFFSET(CRONOPLE!$F$15,$M313-$A$15,AR$13)="",10^12,OFFSET(CRONOPLE!$F$15,$M313-$A$15,AR$13)))</f>
        <v>1000000000000</v>
      </c>
      <c r="AS313" s="172">
        <f ca="1">IF(OR($D313&lt;&gt;"Serviço",AND(AUTOEVENTO="Manual",$M313=$A$15)),0,
         IF(OFFSET(CRONOPLE!$F$15,$M313-$A$15,AS$13)="",10^12,OFFSET(CRONOPLE!$F$15,$M313-$A$15,AS$13)))</f>
        <v>1000000000000</v>
      </c>
      <c r="AT313" s="172">
        <f ca="1">IF(OR($D313&lt;&gt;"Serviço",AND(AUTOEVENTO="Manual",$M313=$A$15)),0,
         IF(OFFSET(CRONOPLE!$F$15,$M313-$A$15,AT$13)="",10^12,OFFSET(CRONOPLE!$F$15,$M313-$A$15,AT$13)))</f>
        <v>1000000000000</v>
      </c>
      <c r="AU313" s="172">
        <f ca="1">IF(OR($D313&lt;&gt;"Serviço",AND(AUTOEVENTO="Manual",$M313=$A$15)),0,
         IF(OFFSET(CRONOPLE!$F$15,$M313-$A$15,AU$13)="",10^12,OFFSET(CRONOPLE!$F$15,$M313-$A$15,AU$13)))</f>
        <v>1000000000000</v>
      </c>
      <c r="AV313" s="172">
        <f ca="1">IF(OR($D313&lt;&gt;"Serviço",AND(AUTOEVENTO="Manual",$M313=$A$15)),0,
         IF(OFFSET(CRONOPLE!$F$15,$M313-$A$15,AV$13)="",10^12,OFFSET(CRONOPLE!$F$15,$M313-$A$15,AV$13)))</f>
        <v>1000000000000</v>
      </c>
      <c r="AX313" s="173">
        <f ca="1">IF(OR($D313&lt;&gt;"Serviço",AND(AUTOEVENTO="Manual",$M313=$A$15),$M313&gt;(ROW(PLE.lastrow)-ROW(PLE.firstrow))),0,
           IF(OFFSET(PLE!$G$15,$M313-$A$15,AX$13)="",10^12,OFFSET(PLE!$G$15,$M313-$A$15,AX$13)))</f>
        <v>1000000000000</v>
      </c>
      <c r="AY313" s="173">
        <f ca="1">IF(OR($D313&lt;&gt;"Serviço",AND(AUTOEVENTO="Manual",$M313=$A$15),$M313&gt;(ROW(PLE.lastrow)-ROW(PLE.firstrow))),0,
           IF(OFFSET(PLE!$G$15,$M313-$A$15,AY$13)="",10^12,OFFSET(PLE!$G$15,$M313-$A$15,AY$13)))</f>
        <v>1000000000000</v>
      </c>
      <c r="AZ313" s="173">
        <f ca="1">IF(OR($D313&lt;&gt;"Serviço",AND(AUTOEVENTO="Manual",$M313=$A$15),$M313&gt;(ROW(PLE.lastrow)-ROW(PLE.firstrow))),0,
           IF(OFFSET(PLE!$G$15,$M313-$A$15,AZ$13)="",10^12,OFFSET(PLE!$G$15,$M313-$A$15,AZ$13)))</f>
        <v>1000000000000</v>
      </c>
      <c r="BA313" s="173">
        <f ca="1">IF(OR($D313&lt;&gt;"Serviço",AND(AUTOEVENTO="Manual",$M313=$A$15),$M313&gt;(ROW(PLE.lastrow)-ROW(PLE.firstrow))),0,
           IF(OFFSET(PLE!$G$15,$M313-$A$15,BA$13)="",10^12,OFFSET(PLE!$G$15,$M313-$A$15,BA$13)))</f>
        <v>1000000000000</v>
      </c>
      <c r="BB313" s="173">
        <f ca="1">IF(OR($D313&lt;&gt;"Serviço",AND(AUTOEVENTO="Manual",$M313=$A$15),$M313&gt;(ROW(PLE.lastrow)-ROW(PLE.firstrow))),0,
           IF(OFFSET(PLE!$G$15,$M313-$A$15,BB$13)="",10^12,OFFSET(PLE!$G$15,$M313-$A$15,BB$13)))</f>
        <v>1000000000000</v>
      </c>
      <c r="BC313" s="173">
        <f ca="1">IF(OR($D313&lt;&gt;"Serviço",AND(AUTOEVENTO="Manual",$M313=$A$15),$M313&gt;(ROW(PLE.lastrow)-ROW(PLE.firstrow))),0,
           IF(OFFSET(PLE!$G$15,$M313-$A$15,BC$13)="",10^12,OFFSET(PLE!$G$15,$M313-$A$15,BC$13)))</f>
        <v>1000000000000</v>
      </c>
      <c r="BD313" s="173">
        <f ca="1">IF(OR($D313&lt;&gt;"Serviço",AND(AUTOEVENTO="Manual",$M313=$A$15),$M313&gt;(ROW(PLE.lastrow)-ROW(PLE.firstrow))),0,
           IF(OFFSET(PLE!$G$15,$M313-$A$15,BD$13)="",10^12,OFFSET(PLE!$G$15,$M313-$A$15,BD$13)))</f>
        <v>1000000000000</v>
      </c>
      <c r="BE313" s="173">
        <f ca="1">IF(OR($D313&lt;&gt;"Serviço",AND(AUTOEVENTO="Manual",$M313=$A$15),$M313&gt;(ROW(PLE.lastrow)-ROW(PLE.firstrow))),0,
           IF(OFFSET(PLE!$G$15,$M313-$A$15,BE$13)="",10^12,OFFSET(PLE!$G$15,$M313-$A$15,BE$13)))</f>
        <v>1000000000000</v>
      </c>
      <c r="BF313" s="173">
        <f ca="1">IF(OR($D313&lt;&gt;"Serviço",AND(AUTOEVENTO="Manual",$M313=$A$15),$M313&gt;(ROW(PLE.lastrow)-ROW(PLE.firstrow))),0,
           IF(OFFSET(PLE!$G$15,$M313-$A$15,BF$13)="",10^12,OFFSET(PLE!$G$15,$M313-$A$15,BF$13)))</f>
        <v>1000000000000</v>
      </c>
      <c r="BG313" s="173">
        <f ca="1">IF(OR($D313&lt;&gt;"Serviço",AND(AUTOEVENTO="Manual",$M313=$A$15),$M313&gt;(ROW(PLE.lastrow)-ROW(PLE.firstrow))),0,
           IF(OFFSET(PLE!$G$15,$M313-$A$15,BG$13)="",10^12,OFFSET(PLE!$G$15,$M313-$A$15,BG$13)))</f>
        <v>1000000000000</v>
      </c>
    </row>
    <row r="314" spans="1:59" ht="38.25" x14ac:dyDescent="0.2">
      <c r="A314" s="7" t="str">
        <f t="shared" ca="1" si="12"/>
        <v>253</v>
      </c>
      <c r="B314" s="7" t="str">
        <f ca="1">OFFSET(ORÇAMENTO!C$15,ROW(B314)-ROW(B$15),0)</f>
        <v>S</v>
      </c>
      <c r="C314" s="7" t="str">
        <f ca="1">OFFSET(ORÇAMENTO!L$15,ROW(C314)-ROW(C$15),0)</f>
        <v/>
      </c>
      <c r="D314" s="117" t="str">
        <f ca="1">OFFSET(ORÇAMENTO!N$15,ROW(D314)-ROW(D$15),0)</f>
        <v>Serviço</v>
      </c>
      <c r="E314" s="118" t="str">
        <f ca="1">OFFSET(ORÇAMENTO!O$15,ROW(E314)-ROW(E$15),0)</f>
        <v>-</v>
      </c>
      <c r="F314" s="164" t="str">
        <f ca="1">OFFSET(ORÇAMENTO!R$15,ROW(F314)-ROW(F$15),0)</f>
        <v xml:space="preserve">CHAVE DUPLA PARA CONEXOES TIPO STORZ, ENGATE RAPIDO 1 1/2" X 2 1/2", EM LATAO, PARA INSTALACAO PREDIAL COMBATE A INCENDIO                                                                                                                                 </v>
      </c>
      <c r="G314" s="165" t="str">
        <f ca="1">IF($D314&lt;&gt;"Serviço","",OFFSET(ORÇAMENTO!S$15,ROW(G314)-ROW(G$15),0))</f>
        <v xml:space="preserve">UN    </v>
      </c>
      <c r="H314" s="123">
        <f ca="1">IF($D314&lt;&gt;"Serviço",0,IF(ACOMPANHAMENTO="BM",ROUND(OFFSET(ORÇAMENTO!AJ$15,ROW(H314)-ROW(H$15),0),15-13*ORÇAMENTO!$AF$7),SUMPRODUCT(($Q$1:$AA$1=1)*ROUND($Q314:$AA314,15-13*ORÇAMENTO!$AF$7))))</f>
        <v>2</v>
      </c>
      <c r="I314" s="469"/>
      <c r="J314" s="577" t="str" cm="1">
        <f t="array" aca="1" ref="J314" ca="1">IF(B314&lt;&gt;"S","",IF(AND(ACOMPANHAMENTO="PLE",AUTOEVENTO="Manual",OR(H314&gt;0,ORÇAMENTO!AC314="QUANT."),OR(K314="",M314=0,N314="")),"►",IF(AND(ACOMPANHAMENTO="PLE",ORÇAMENTO!AC314="QUANT."),"►►",IF(AND(COUNTIF($P$11:$AA$11,"▼")=0,H314&gt;0,I314=""),"◄",""))))</f>
        <v>◄</v>
      </c>
      <c r="K314" s="626"/>
      <c r="L314" s="166" t="s">
        <v>765</v>
      </c>
      <c r="M314" s="167">
        <f ca="1">IF($D314&lt;&gt;"Serviço","",
          IF(AUTOEVENTO="manual",$A314,
                IF(ISERROR(MATCH($A314,$A$15:OFFSET($A314,-1,0),0)),MAX($M$15:OFFSET(M314,-1,0))+1,
                      INDEX($M$15:OFFSET(M314,-1,0),MATCH($A314,$A$15:OFFSET($A314,-1,0),0)))))</f>
        <v>16</v>
      </c>
      <c r="N314" s="168" t="str">
        <f ca="1">IF($D314&lt;&gt;"Serviço","",
         IF(AUTOEVENTO="Manual",
                IF($A314=0,"&lt;-- defina o número do agrupador",
                       OFFSET(EVENTOS!$D$15,$A314-$A$15,0)),
                OFFSET($F$15,$A314,0)))</f>
        <v>SISTEMAS DE PREVENÇÃO CONTRA INCÊNDIO</v>
      </c>
      <c r="O314" s="169"/>
      <c r="Q314" s="169"/>
      <c r="R314" s="170"/>
      <c r="S314" s="170"/>
      <c r="T314" s="170"/>
      <c r="U314" s="170"/>
      <c r="V314" s="170"/>
      <c r="W314" s="170"/>
      <c r="X314" s="170"/>
      <c r="Y314" s="170"/>
      <c r="Z314" s="171"/>
      <c r="AB314" s="454">
        <f ca="1">IF(AND($D314="Serviço",AB$12&lt;&gt;0,$H314&gt;0,OR(AUTOEVENTO&lt;&gt;"manual",$M314&lt;&gt;$A$15)),
        IF(Import.TipoArredondamento&lt;&gt;"TransfereGOV",
              ROUND(OFFSET($P314,0,AB$13),15-13*ORÇAMENTO!$AF$7)/$H314*OFFSET(ORÇAMENTO!$X$15,ROW(AB314)-ROW(AB$15),0),
              ROUND(ROUND(OFFSET($P314,0,AB$13),15-13*ORÇAMENTO!$AF$7)*OFFSET(ORÇAMENTO!$W$15,ROW(AB314)-ROW(AB$15),0),15-13*ORÇAMENTO!$AF$11)),
         0)</f>
        <v>0</v>
      </c>
      <c r="AC314" s="454">
        <f ca="1">IF(AND($D314="Serviço",AC$12&lt;&gt;0,$H314&gt;0,OR(AUTOEVENTO&lt;&gt;"manual",$M314&lt;&gt;$A$15)),
        IF(Import.TipoArredondamento&lt;&gt;"TransfereGOV",
              ROUND(OFFSET($P314,0,AC$13),15-13*ORÇAMENTO!$AF$7)/$H314*OFFSET(ORÇAMENTO!$X$15,ROW(AC314)-ROW(AC$15),0),
              ROUND(ROUND(OFFSET($P314,0,AC$13),15-13*ORÇAMENTO!$AF$7)*OFFSET(ORÇAMENTO!$W$15,ROW(AC314)-ROW(AC$15),0),15-13*ORÇAMENTO!$AF$11)),
         0)</f>
        <v>0</v>
      </c>
      <c r="AD314" s="454">
        <f ca="1">IF(AND($D314="Serviço",AD$12&lt;&gt;0,$H314&gt;0,OR(AUTOEVENTO&lt;&gt;"manual",$M314&lt;&gt;$A$15)),
        IF(Import.TipoArredondamento&lt;&gt;"TransfereGOV",
              ROUND(OFFSET($P314,0,AD$13),15-13*ORÇAMENTO!$AF$7)/$H314*OFFSET(ORÇAMENTO!$X$15,ROW(AD314)-ROW(AD$15),0),
              ROUND(ROUND(OFFSET($P314,0,AD$13),15-13*ORÇAMENTO!$AF$7)*OFFSET(ORÇAMENTO!$W$15,ROW(AD314)-ROW(AD$15),0),15-13*ORÇAMENTO!$AF$11)),
         0)</f>
        <v>0</v>
      </c>
      <c r="AE314" s="454">
        <f ca="1">IF(AND($D314="Serviço",AE$12&lt;&gt;0,$H314&gt;0,OR(AUTOEVENTO&lt;&gt;"manual",$M314&lt;&gt;$A$15)),
        IF(Import.TipoArredondamento&lt;&gt;"TransfereGOV",
              ROUND(OFFSET($P314,0,AE$13),15-13*ORÇAMENTO!$AF$7)/$H314*OFFSET(ORÇAMENTO!$X$15,ROW(AE314)-ROW(AE$15),0),
              ROUND(ROUND(OFFSET($P314,0,AE$13),15-13*ORÇAMENTO!$AF$7)*OFFSET(ORÇAMENTO!$W$15,ROW(AE314)-ROW(AE$15),0),15-13*ORÇAMENTO!$AF$11)),
         0)</f>
        <v>0</v>
      </c>
      <c r="AF314" s="454">
        <f ca="1">IF(AND($D314="Serviço",AF$12&lt;&gt;0,$H314&gt;0,OR(AUTOEVENTO&lt;&gt;"manual",$M314&lt;&gt;$A$15)),
        IF(Import.TipoArredondamento&lt;&gt;"TransfereGOV",
              ROUND(OFFSET($P314,0,AF$13),15-13*ORÇAMENTO!$AF$7)/$H314*OFFSET(ORÇAMENTO!$X$15,ROW(AF314)-ROW(AF$15),0),
              ROUND(ROUND(OFFSET($P314,0,AF$13),15-13*ORÇAMENTO!$AF$7)*OFFSET(ORÇAMENTO!$W$15,ROW(AF314)-ROW(AF$15),0),15-13*ORÇAMENTO!$AF$11)),
         0)</f>
        <v>0</v>
      </c>
      <c r="AG314" s="454">
        <f ca="1">IF(AND($D314="Serviço",AG$12&lt;&gt;0,$H314&gt;0,OR(AUTOEVENTO&lt;&gt;"manual",$M314&lt;&gt;$A$15)),
        IF(Import.TipoArredondamento&lt;&gt;"TransfereGOV",
              ROUND(OFFSET($P314,0,AG$13),15-13*ORÇAMENTO!$AF$7)/$H314*OFFSET(ORÇAMENTO!$X$15,ROW(AG314)-ROW(AG$15),0),
              ROUND(ROUND(OFFSET($P314,0,AG$13),15-13*ORÇAMENTO!$AF$7)*OFFSET(ORÇAMENTO!$W$15,ROW(AG314)-ROW(AG$15),0),15-13*ORÇAMENTO!$AF$11)),
         0)</f>
        <v>0</v>
      </c>
      <c r="AH314" s="454">
        <f ca="1">IF(AND($D314="Serviço",AH$12&lt;&gt;0,$H314&gt;0,OR(AUTOEVENTO&lt;&gt;"manual",$M314&lt;&gt;$A$15)),
        IF(Import.TipoArredondamento&lt;&gt;"TransfereGOV",
              ROUND(OFFSET($P314,0,AH$13),15-13*ORÇAMENTO!$AF$7)/$H314*OFFSET(ORÇAMENTO!$X$15,ROW(AH314)-ROW(AH$15),0),
              ROUND(ROUND(OFFSET($P314,0,AH$13),15-13*ORÇAMENTO!$AF$7)*OFFSET(ORÇAMENTO!$W$15,ROW(AH314)-ROW(AH$15),0),15-13*ORÇAMENTO!$AF$11)),
         0)</f>
        <v>0</v>
      </c>
      <c r="AI314" s="454">
        <f ca="1">IF(AND($D314="Serviço",AI$12&lt;&gt;0,$H314&gt;0,OR(AUTOEVENTO&lt;&gt;"manual",$M314&lt;&gt;$A$15)),
        IF(Import.TipoArredondamento&lt;&gt;"TransfereGOV",
              ROUND(OFFSET($P314,0,AI$13),15-13*ORÇAMENTO!$AF$7)/$H314*OFFSET(ORÇAMENTO!$X$15,ROW(AI314)-ROW(AI$15),0),
              ROUND(ROUND(OFFSET($P314,0,AI$13),15-13*ORÇAMENTO!$AF$7)*OFFSET(ORÇAMENTO!$W$15,ROW(AI314)-ROW(AI$15),0),15-13*ORÇAMENTO!$AF$11)),
         0)</f>
        <v>0</v>
      </c>
      <c r="AJ314" s="454">
        <f ca="1">IF(AND($D314="Serviço",AJ$12&lt;&gt;0,$H314&gt;0,OR(AUTOEVENTO&lt;&gt;"manual",$M314&lt;&gt;$A$15)),
        IF(Import.TipoArredondamento&lt;&gt;"TransfereGOV",
              ROUND(OFFSET($P314,0,AJ$13),15-13*ORÇAMENTO!$AF$7)/$H314*OFFSET(ORÇAMENTO!$X$15,ROW(AJ314)-ROW(AJ$15),0),
              ROUND(ROUND(OFFSET($P314,0,AJ$13),15-13*ORÇAMENTO!$AF$7)*OFFSET(ORÇAMENTO!$W$15,ROW(AJ314)-ROW(AJ$15),0),15-13*ORÇAMENTO!$AF$11)),
         0)</f>
        <v>0</v>
      </c>
      <c r="AK314" s="454">
        <f ca="1">IF(AND($D314="Serviço",AK$12&lt;&gt;0,$H314&gt;0,OR(AUTOEVENTO&lt;&gt;"manual",$M314&lt;&gt;$A$15)),
        IF(Import.TipoArredondamento&lt;&gt;"TransfereGOV",
              ROUND(OFFSET($P314,0,AK$13),15-13*ORÇAMENTO!$AF$7)/$H314*OFFSET(ORÇAMENTO!$X$15,ROW(AK314)-ROW(AK$15),0),
              ROUND(ROUND(OFFSET($P314,0,AK$13),15-13*ORÇAMENTO!$AF$7)*OFFSET(ORÇAMENTO!$W$15,ROW(AK314)-ROW(AK$15),0),15-13*ORÇAMENTO!$AF$11)),
         0)</f>
        <v>0</v>
      </c>
      <c r="AM314" s="172">
        <f ca="1">IF(OR($D314&lt;&gt;"Serviço",AND(AUTOEVENTO="Manual",$M314=$A$15)),0,
         IF(OFFSET(CRONOPLE!$F$15,$M314-$A$15,AM$13)="",10^12,OFFSET(CRONOPLE!$F$15,$M314-$A$15,AM$13)))</f>
        <v>1000000000000</v>
      </c>
      <c r="AN314" s="172">
        <f ca="1">IF(OR($D314&lt;&gt;"Serviço",AND(AUTOEVENTO="Manual",$M314=$A$15)),0,
         IF(OFFSET(CRONOPLE!$F$15,$M314-$A$15,AN$13)="",10^12,OFFSET(CRONOPLE!$F$15,$M314-$A$15,AN$13)))</f>
        <v>1000000000000</v>
      </c>
      <c r="AO314" s="172">
        <f ca="1">IF(OR($D314&lt;&gt;"Serviço",AND(AUTOEVENTO="Manual",$M314=$A$15)),0,
         IF(OFFSET(CRONOPLE!$F$15,$M314-$A$15,AO$13)="",10^12,OFFSET(CRONOPLE!$F$15,$M314-$A$15,AO$13)))</f>
        <v>1000000000000</v>
      </c>
      <c r="AP314" s="172">
        <f ca="1">IF(OR($D314&lt;&gt;"Serviço",AND(AUTOEVENTO="Manual",$M314=$A$15)),0,
         IF(OFFSET(CRONOPLE!$F$15,$M314-$A$15,AP$13)="",10^12,OFFSET(CRONOPLE!$F$15,$M314-$A$15,AP$13)))</f>
        <v>1000000000000</v>
      </c>
      <c r="AQ314" s="172">
        <f ca="1">IF(OR($D314&lt;&gt;"Serviço",AND(AUTOEVENTO="Manual",$M314=$A$15)),0,
         IF(OFFSET(CRONOPLE!$F$15,$M314-$A$15,AQ$13)="",10^12,OFFSET(CRONOPLE!$F$15,$M314-$A$15,AQ$13)))</f>
        <v>1000000000000</v>
      </c>
      <c r="AR314" s="172">
        <f ca="1">IF(OR($D314&lt;&gt;"Serviço",AND(AUTOEVENTO="Manual",$M314=$A$15)),0,
         IF(OFFSET(CRONOPLE!$F$15,$M314-$A$15,AR$13)="",10^12,OFFSET(CRONOPLE!$F$15,$M314-$A$15,AR$13)))</f>
        <v>1000000000000</v>
      </c>
      <c r="AS314" s="172">
        <f ca="1">IF(OR($D314&lt;&gt;"Serviço",AND(AUTOEVENTO="Manual",$M314=$A$15)),0,
         IF(OFFSET(CRONOPLE!$F$15,$M314-$A$15,AS$13)="",10^12,OFFSET(CRONOPLE!$F$15,$M314-$A$15,AS$13)))</f>
        <v>1000000000000</v>
      </c>
      <c r="AT314" s="172">
        <f ca="1">IF(OR($D314&lt;&gt;"Serviço",AND(AUTOEVENTO="Manual",$M314=$A$15)),0,
         IF(OFFSET(CRONOPLE!$F$15,$M314-$A$15,AT$13)="",10^12,OFFSET(CRONOPLE!$F$15,$M314-$A$15,AT$13)))</f>
        <v>1000000000000</v>
      </c>
      <c r="AU314" s="172">
        <f ca="1">IF(OR($D314&lt;&gt;"Serviço",AND(AUTOEVENTO="Manual",$M314=$A$15)),0,
         IF(OFFSET(CRONOPLE!$F$15,$M314-$A$15,AU$13)="",10^12,OFFSET(CRONOPLE!$F$15,$M314-$A$15,AU$13)))</f>
        <v>1000000000000</v>
      </c>
      <c r="AV314" s="172">
        <f ca="1">IF(OR($D314&lt;&gt;"Serviço",AND(AUTOEVENTO="Manual",$M314=$A$15)),0,
         IF(OFFSET(CRONOPLE!$F$15,$M314-$A$15,AV$13)="",10^12,OFFSET(CRONOPLE!$F$15,$M314-$A$15,AV$13)))</f>
        <v>1000000000000</v>
      </c>
      <c r="AX314" s="173">
        <f ca="1">IF(OR($D314&lt;&gt;"Serviço",AND(AUTOEVENTO="Manual",$M314=$A$15),$M314&gt;(ROW(PLE.lastrow)-ROW(PLE.firstrow))),0,
           IF(OFFSET(PLE!$G$15,$M314-$A$15,AX$13)="",10^12,OFFSET(PLE!$G$15,$M314-$A$15,AX$13)))</f>
        <v>1000000000000</v>
      </c>
      <c r="AY314" s="173">
        <f ca="1">IF(OR($D314&lt;&gt;"Serviço",AND(AUTOEVENTO="Manual",$M314=$A$15),$M314&gt;(ROW(PLE.lastrow)-ROW(PLE.firstrow))),0,
           IF(OFFSET(PLE!$G$15,$M314-$A$15,AY$13)="",10^12,OFFSET(PLE!$G$15,$M314-$A$15,AY$13)))</f>
        <v>1000000000000</v>
      </c>
      <c r="AZ314" s="173">
        <f ca="1">IF(OR($D314&lt;&gt;"Serviço",AND(AUTOEVENTO="Manual",$M314=$A$15),$M314&gt;(ROW(PLE.lastrow)-ROW(PLE.firstrow))),0,
           IF(OFFSET(PLE!$G$15,$M314-$A$15,AZ$13)="",10^12,OFFSET(PLE!$G$15,$M314-$A$15,AZ$13)))</f>
        <v>1000000000000</v>
      </c>
      <c r="BA314" s="173">
        <f ca="1">IF(OR($D314&lt;&gt;"Serviço",AND(AUTOEVENTO="Manual",$M314=$A$15),$M314&gt;(ROW(PLE.lastrow)-ROW(PLE.firstrow))),0,
           IF(OFFSET(PLE!$G$15,$M314-$A$15,BA$13)="",10^12,OFFSET(PLE!$G$15,$M314-$A$15,BA$13)))</f>
        <v>1000000000000</v>
      </c>
      <c r="BB314" s="173">
        <f ca="1">IF(OR($D314&lt;&gt;"Serviço",AND(AUTOEVENTO="Manual",$M314=$A$15),$M314&gt;(ROW(PLE.lastrow)-ROW(PLE.firstrow))),0,
           IF(OFFSET(PLE!$G$15,$M314-$A$15,BB$13)="",10^12,OFFSET(PLE!$G$15,$M314-$A$15,BB$13)))</f>
        <v>1000000000000</v>
      </c>
      <c r="BC314" s="173">
        <f ca="1">IF(OR($D314&lt;&gt;"Serviço",AND(AUTOEVENTO="Manual",$M314=$A$15),$M314&gt;(ROW(PLE.lastrow)-ROW(PLE.firstrow))),0,
           IF(OFFSET(PLE!$G$15,$M314-$A$15,BC$13)="",10^12,OFFSET(PLE!$G$15,$M314-$A$15,BC$13)))</f>
        <v>1000000000000</v>
      </c>
      <c r="BD314" s="173">
        <f ca="1">IF(OR($D314&lt;&gt;"Serviço",AND(AUTOEVENTO="Manual",$M314=$A$15),$M314&gt;(ROW(PLE.lastrow)-ROW(PLE.firstrow))),0,
           IF(OFFSET(PLE!$G$15,$M314-$A$15,BD$13)="",10^12,OFFSET(PLE!$G$15,$M314-$A$15,BD$13)))</f>
        <v>1000000000000</v>
      </c>
      <c r="BE314" s="173">
        <f ca="1">IF(OR($D314&lt;&gt;"Serviço",AND(AUTOEVENTO="Manual",$M314=$A$15),$M314&gt;(ROW(PLE.lastrow)-ROW(PLE.firstrow))),0,
           IF(OFFSET(PLE!$G$15,$M314-$A$15,BE$13)="",10^12,OFFSET(PLE!$G$15,$M314-$A$15,BE$13)))</f>
        <v>1000000000000</v>
      </c>
      <c r="BF314" s="173">
        <f ca="1">IF(OR($D314&lt;&gt;"Serviço",AND(AUTOEVENTO="Manual",$M314=$A$15),$M314&gt;(ROW(PLE.lastrow)-ROW(PLE.firstrow))),0,
           IF(OFFSET(PLE!$G$15,$M314-$A$15,BF$13)="",10^12,OFFSET(PLE!$G$15,$M314-$A$15,BF$13)))</f>
        <v>1000000000000</v>
      </c>
      <c r="BG314" s="173">
        <f ca="1">IF(OR($D314&lt;&gt;"Serviço",AND(AUTOEVENTO="Manual",$M314=$A$15),$M314&gt;(ROW(PLE.lastrow)-ROW(PLE.firstrow))),0,
           IF(OFFSET(PLE!$G$15,$M314-$A$15,BG$13)="",10^12,OFFSET(PLE!$G$15,$M314-$A$15,BG$13)))</f>
        <v>1000000000000</v>
      </c>
    </row>
    <row r="315" spans="1:59" ht="38.25" x14ac:dyDescent="0.2">
      <c r="A315" s="7" t="str">
        <f t="shared" ca="1" si="12"/>
        <v>253</v>
      </c>
      <c r="B315" s="7" t="str">
        <f ca="1">OFFSET(ORÇAMENTO!C$15,ROW(B315)-ROW(B$15),0)</f>
        <v>S</v>
      </c>
      <c r="C315" s="7" t="str">
        <f ca="1">OFFSET(ORÇAMENTO!L$15,ROW(C315)-ROW(C$15),0)</f>
        <v/>
      </c>
      <c r="D315" s="117" t="str">
        <f ca="1">OFFSET(ORÇAMENTO!N$15,ROW(D315)-ROW(D$15),0)</f>
        <v>Serviço</v>
      </c>
      <c r="E315" s="118" t="str">
        <f ca="1">OFFSET(ORÇAMENTO!O$15,ROW(E315)-ROW(E$15),0)</f>
        <v>-</v>
      </c>
      <c r="F315" s="164" t="str">
        <f ca="1">OFFSET(ORÇAMENTO!R$15,ROW(F315)-ROW(F$15),0)</f>
        <v xml:space="preserve">MANGUEIRA DE INCENDIO, TIPO 2, DE 1 1/2", COMPRIMENTO = 25 M, TECIDO EM FIO DE POLIESTER E TUBO INTERNO EM BORRACHA SINTETICA, COM UNIOES                                                                                                                 </v>
      </c>
      <c r="G315" s="165" t="str">
        <f ca="1">IF($D315&lt;&gt;"Serviço","",OFFSET(ORÇAMENTO!S$15,ROW(G315)-ROW(G$15),0))</f>
        <v xml:space="preserve">UN    </v>
      </c>
      <c r="H315" s="123">
        <f ca="1">IF($D315&lt;&gt;"Serviço",0,IF(ACOMPANHAMENTO="BM",ROUND(OFFSET(ORÇAMENTO!AJ$15,ROW(H315)-ROW(H$15),0),15-13*ORÇAMENTO!$AF$7),SUMPRODUCT(($Q$1:$AA$1=1)*ROUND($Q315:$AA315,15-13*ORÇAMENTO!$AF$7))))</f>
        <v>1</v>
      </c>
      <c r="I315" s="469"/>
      <c r="J315" s="577" t="str" cm="1">
        <f t="array" aca="1" ref="J315" ca="1">IF(B315&lt;&gt;"S","",IF(AND(ACOMPANHAMENTO="PLE",AUTOEVENTO="Manual",OR(H315&gt;0,ORÇAMENTO!AC315="QUANT."),OR(K315="",M315=0,N315="")),"►",IF(AND(ACOMPANHAMENTO="PLE",ORÇAMENTO!AC315="QUANT."),"►►",IF(AND(COUNTIF($P$11:$AA$11,"▼")=0,H315&gt;0,I315=""),"◄",""))))</f>
        <v>◄</v>
      </c>
      <c r="K315" s="626"/>
      <c r="L315" s="166" t="s">
        <v>765</v>
      </c>
      <c r="M315" s="167">
        <f ca="1">IF($D315&lt;&gt;"Serviço","",
          IF(AUTOEVENTO="manual",$A315,
                IF(ISERROR(MATCH($A315,$A$15:OFFSET($A315,-1,0),0)),MAX($M$15:OFFSET(M315,-1,0))+1,
                      INDEX($M$15:OFFSET(M315,-1,0),MATCH($A315,$A$15:OFFSET($A315,-1,0),0)))))</f>
        <v>16</v>
      </c>
      <c r="N315" s="168" t="str">
        <f ca="1">IF($D315&lt;&gt;"Serviço","",
         IF(AUTOEVENTO="Manual",
                IF($A315=0,"&lt;-- defina o número do agrupador",
                       OFFSET(EVENTOS!$D$15,$A315-$A$15,0)),
                OFFSET($F$15,$A315,0)))</f>
        <v>SISTEMAS DE PREVENÇÃO CONTRA INCÊNDIO</v>
      </c>
      <c r="O315" s="169"/>
      <c r="Q315" s="169"/>
      <c r="R315" s="170"/>
      <c r="S315" s="170"/>
      <c r="T315" s="170"/>
      <c r="U315" s="170"/>
      <c r="V315" s="170"/>
      <c r="W315" s="170"/>
      <c r="X315" s="170"/>
      <c r="Y315" s="170"/>
      <c r="Z315" s="171"/>
      <c r="AB315" s="454">
        <f ca="1">IF(AND($D315="Serviço",AB$12&lt;&gt;0,$H315&gt;0,OR(AUTOEVENTO&lt;&gt;"manual",$M315&lt;&gt;$A$15)),
        IF(Import.TipoArredondamento&lt;&gt;"TransfereGOV",
              ROUND(OFFSET($P315,0,AB$13),15-13*ORÇAMENTO!$AF$7)/$H315*OFFSET(ORÇAMENTO!$X$15,ROW(AB315)-ROW(AB$15),0),
              ROUND(ROUND(OFFSET($P315,0,AB$13),15-13*ORÇAMENTO!$AF$7)*OFFSET(ORÇAMENTO!$W$15,ROW(AB315)-ROW(AB$15),0),15-13*ORÇAMENTO!$AF$11)),
         0)</f>
        <v>0</v>
      </c>
      <c r="AC315" s="454">
        <f ca="1">IF(AND($D315="Serviço",AC$12&lt;&gt;0,$H315&gt;0,OR(AUTOEVENTO&lt;&gt;"manual",$M315&lt;&gt;$A$15)),
        IF(Import.TipoArredondamento&lt;&gt;"TransfereGOV",
              ROUND(OFFSET($P315,0,AC$13),15-13*ORÇAMENTO!$AF$7)/$H315*OFFSET(ORÇAMENTO!$X$15,ROW(AC315)-ROW(AC$15),0),
              ROUND(ROUND(OFFSET($P315,0,AC$13),15-13*ORÇAMENTO!$AF$7)*OFFSET(ORÇAMENTO!$W$15,ROW(AC315)-ROW(AC$15),0),15-13*ORÇAMENTO!$AF$11)),
         0)</f>
        <v>0</v>
      </c>
      <c r="AD315" s="454">
        <f ca="1">IF(AND($D315="Serviço",AD$12&lt;&gt;0,$H315&gt;0,OR(AUTOEVENTO&lt;&gt;"manual",$M315&lt;&gt;$A$15)),
        IF(Import.TipoArredondamento&lt;&gt;"TransfereGOV",
              ROUND(OFFSET($P315,0,AD$13),15-13*ORÇAMENTO!$AF$7)/$H315*OFFSET(ORÇAMENTO!$X$15,ROW(AD315)-ROW(AD$15),0),
              ROUND(ROUND(OFFSET($P315,0,AD$13),15-13*ORÇAMENTO!$AF$7)*OFFSET(ORÇAMENTO!$W$15,ROW(AD315)-ROW(AD$15),0),15-13*ORÇAMENTO!$AF$11)),
         0)</f>
        <v>0</v>
      </c>
      <c r="AE315" s="454">
        <f ca="1">IF(AND($D315="Serviço",AE$12&lt;&gt;0,$H315&gt;0,OR(AUTOEVENTO&lt;&gt;"manual",$M315&lt;&gt;$A$15)),
        IF(Import.TipoArredondamento&lt;&gt;"TransfereGOV",
              ROUND(OFFSET($P315,0,AE$13),15-13*ORÇAMENTO!$AF$7)/$H315*OFFSET(ORÇAMENTO!$X$15,ROW(AE315)-ROW(AE$15),0),
              ROUND(ROUND(OFFSET($P315,0,AE$13),15-13*ORÇAMENTO!$AF$7)*OFFSET(ORÇAMENTO!$W$15,ROW(AE315)-ROW(AE$15),0),15-13*ORÇAMENTO!$AF$11)),
         0)</f>
        <v>0</v>
      </c>
      <c r="AF315" s="454">
        <f ca="1">IF(AND($D315="Serviço",AF$12&lt;&gt;0,$H315&gt;0,OR(AUTOEVENTO&lt;&gt;"manual",$M315&lt;&gt;$A$15)),
        IF(Import.TipoArredondamento&lt;&gt;"TransfereGOV",
              ROUND(OFFSET($P315,0,AF$13),15-13*ORÇAMENTO!$AF$7)/$H315*OFFSET(ORÇAMENTO!$X$15,ROW(AF315)-ROW(AF$15),0),
              ROUND(ROUND(OFFSET($P315,0,AF$13),15-13*ORÇAMENTO!$AF$7)*OFFSET(ORÇAMENTO!$W$15,ROW(AF315)-ROW(AF$15),0),15-13*ORÇAMENTO!$AF$11)),
         0)</f>
        <v>0</v>
      </c>
      <c r="AG315" s="454">
        <f ca="1">IF(AND($D315="Serviço",AG$12&lt;&gt;0,$H315&gt;0,OR(AUTOEVENTO&lt;&gt;"manual",$M315&lt;&gt;$A$15)),
        IF(Import.TipoArredondamento&lt;&gt;"TransfereGOV",
              ROUND(OFFSET($P315,0,AG$13),15-13*ORÇAMENTO!$AF$7)/$H315*OFFSET(ORÇAMENTO!$X$15,ROW(AG315)-ROW(AG$15),0),
              ROUND(ROUND(OFFSET($P315,0,AG$13),15-13*ORÇAMENTO!$AF$7)*OFFSET(ORÇAMENTO!$W$15,ROW(AG315)-ROW(AG$15),0),15-13*ORÇAMENTO!$AF$11)),
         0)</f>
        <v>0</v>
      </c>
      <c r="AH315" s="454">
        <f ca="1">IF(AND($D315="Serviço",AH$12&lt;&gt;0,$H315&gt;0,OR(AUTOEVENTO&lt;&gt;"manual",$M315&lt;&gt;$A$15)),
        IF(Import.TipoArredondamento&lt;&gt;"TransfereGOV",
              ROUND(OFFSET($P315,0,AH$13),15-13*ORÇAMENTO!$AF$7)/$H315*OFFSET(ORÇAMENTO!$X$15,ROW(AH315)-ROW(AH$15),0),
              ROUND(ROUND(OFFSET($P315,0,AH$13),15-13*ORÇAMENTO!$AF$7)*OFFSET(ORÇAMENTO!$W$15,ROW(AH315)-ROW(AH$15),0),15-13*ORÇAMENTO!$AF$11)),
         0)</f>
        <v>0</v>
      </c>
      <c r="AI315" s="454">
        <f ca="1">IF(AND($D315="Serviço",AI$12&lt;&gt;0,$H315&gt;0,OR(AUTOEVENTO&lt;&gt;"manual",$M315&lt;&gt;$A$15)),
        IF(Import.TipoArredondamento&lt;&gt;"TransfereGOV",
              ROUND(OFFSET($P315,0,AI$13),15-13*ORÇAMENTO!$AF$7)/$H315*OFFSET(ORÇAMENTO!$X$15,ROW(AI315)-ROW(AI$15),0),
              ROUND(ROUND(OFFSET($P315,0,AI$13),15-13*ORÇAMENTO!$AF$7)*OFFSET(ORÇAMENTO!$W$15,ROW(AI315)-ROW(AI$15),0),15-13*ORÇAMENTO!$AF$11)),
         0)</f>
        <v>0</v>
      </c>
      <c r="AJ315" s="454">
        <f ca="1">IF(AND($D315="Serviço",AJ$12&lt;&gt;0,$H315&gt;0,OR(AUTOEVENTO&lt;&gt;"manual",$M315&lt;&gt;$A$15)),
        IF(Import.TipoArredondamento&lt;&gt;"TransfereGOV",
              ROUND(OFFSET($P315,0,AJ$13),15-13*ORÇAMENTO!$AF$7)/$H315*OFFSET(ORÇAMENTO!$X$15,ROW(AJ315)-ROW(AJ$15),0),
              ROUND(ROUND(OFFSET($P315,0,AJ$13),15-13*ORÇAMENTO!$AF$7)*OFFSET(ORÇAMENTO!$W$15,ROW(AJ315)-ROW(AJ$15),0),15-13*ORÇAMENTO!$AF$11)),
         0)</f>
        <v>0</v>
      </c>
      <c r="AK315" s="454">
        <f ca="1">IF(AND($D315="Serviço",AK$12&lt;&gt;0,$H315&gt;0,OR(AUTOEVENTO&lt;&gt;"manual",$M315&lt;&gt;$A$15)),
        IF(Import.TipoArredondamento&lt;&gt;"TransfereGOV",
              ROUND(OFFSET($P315,0,AK$13),15-13*ORÇAMENTO!$AF$7)/$H315*OFFSET(ORÇAMENTO!$X$15,ROW(AK315)-ROW(AK$15),0),
              ROUND(ROUND(OFFSET($P315,0,AK$13),15-13*ORÇAMENTO!$AF$7)*OFFSET(ORÇAMENTO!$W$15,ROW(AK315)-ROW(AK$15),0),15-13*ORÇAMENTO!$AF$11)),
         0)</f>
        <v>0</v>
      </c>
      <c r="AM315" s="172">
        <f ca="1">IF(OR($D315&lt;&gt;"Serviço",AND(AUTOEVENTO="Manual",$M315=$A$15)),0,
         IF(OFFSET(CRONOPLE!$F$15,$M315-$A$15,AM$13)="",10^12,OFFSET(CRONOPLE!$F$15,$M315-$A$15,AM$13)))</f>
        <v>1000000000000</v>
      </c>
      <c r="AN315" s="172">
        <f ca="1">IF(OR($D315&lt;&gt;"Serviço",AND(AUTOEVENTO="Manual",$M315=$A$15)),0,
         IF(OFFSET(CRONOPLE!$F$15,$M315-$A$15,AN$13)="",10^12,OFFSET(CRONOPLE!$F$15,$M315-$A$15,AN$13)))</f>
        <v>1000000000000</v>
      </c>
      <c r="AO315" s="172">
        <f ca="1">IF(OR($D315&lt;&gt;"Serviço",AND(AUTOEVENTO="Manual",$M315=$A$15)),0,
         IF(OFFSET(CRONOPLE!$F$15,$M315-$A$15,AO$13)="",10^12,OFFSET(CRONOPLE!$F$15,$M315-$A$15,AO$13)))</f>
        <v>1000000000000</v>
      </c>
      <c r="AP315" s="172">
        <f ca="1">IF(OR($D315&lt;&gt;"Serviço",AND(AUTOEVENTO="Manual",$M315=$A$15)),0,
         IF(OFFSET(CRONOPLE!$F$15,$M315-$A$15,AP$13)="",10^12,OFFSET(CRONOPLE!$F$15,$M315-$A$15,AP$13)))</f>
        <v>1000000000000</v>
      </c>
      <c r="AQ315" s="172">
        <f ca="1">IF(OR($D315&lt;&gt;"Serviço",AND(AUTOEVENTO="Manual",$M315=$A$15)),0,
         IF(OFFSET(CRONOPLE!$F$15,$M315-$A$15,AQ$13)="",10^12,OFFSET(CRONOPLE!$F$15,$M315-$A$15,AQ$13)))</f>
        <v>1000000000000</v>
      </c>
      <c r="AR315" s="172">
        <f ca="1">IF(OR($D315&lt;&gt;"Serviço",AND(AUTOEVENTO="Manual",$M315=$A$15)),0,
         IF(OFFSET(CRONOPLE!$F$15,$M315-$A$15,AR$13)="",10^12,OFFSET(CRONOPLE!$F$15,$M315-$A$15,AR$13)))</f>
        <v>1000000000000</v>
      </c>
      <c r="AS315" s="172">
        <f ca="1">IF(OR($D315&lt;&gt;"Serviço",AND(AUTOEVENTO="Manual",$M315=$A$15)),0,
         IF(OFFSET(CRONOPLE!$F$15,$M315-$A$15,AS$13)="",10^12,OFFSET(CRONOPLE!$F$15,$M315-$A$15,AS$13)))</f>
        <v>1000000000000</v>
      </c>
      <c r="AT315" s="172">
        <f ca="1">IF(OR($D315&lt;&gt;"Serviço",AND(AUTOEVENTO="Manual",$M315=$A$15)),0,
         IF(OFFSET(CRONOPLE!$F$15,$M315-$A$15,AT$13)="",10^12,OFFSET(CRONOPLE!$F$15,$M315-$A$15,AT$13)))</f>
        <v>1000000000000</v>
      </c>
      <c r="AU315" s="172">
        <f ca="1">IF(OR($D315&lt;&gt;"Serviço",AND(AUTOEVENTO="Manual",$M315=$A$15)),0,
         IF(OFFSET(CRONOPLE!$F$15,$M315-$A$15,AU$13)="",10^12,OFFSET(CRONOPLE!$F$15,$M315-$A$15,AU$13)))</f>
        <v>1000000000000</v>
      </c>
      <c r="AV315" s="172">
        <f ca="1">IF(OR($D315&lt;&gt;"Serviço",AND(AUTOEVENTO="Manual",$M315=$A$15)),0,
         IF(OFFSET(CRONOPLE!$F$15,$M315-$A$15,AV$13)="",10^12,OFFSET(CRONOPLE!$F$15,$M315-$A$15,AV$13)))</f>
        <v>1000000000000</v>
      </c>
      <c r="AX315" s="173">
        <f ca="1">IF(OR($D315&lt;&gt;"Serviço",AND(AUTOEVENTO="Manual",$M315=$A$15),$M315&gt;(ROW(PLE.lastrow)-ROW(PLE.firstrow))),0,
           IF(OFFSET(PLE!$G$15,$M315-$A$15,AX$13)="",10^12,OFFSET(PLE!$G$15,$M315-$A$15,AX$13)))</f>
        <v>1000000000000</v>
      </c>
      <c r="AY315" s="173">
        <f ca="1">IF(OR($D315&lt;&gt;"Serviço",AND(AUTOEVENTO="Manual",$M315=$A$15),$M315&gt;(ROW(PLE.lastrow)-ROW(PLE.firstrow))),0,
           IF(OFFSET(PLE!$G$15,$M315-$A$15,AY$13)="",10^12,OFFSET(PLE!$G$15,$M315-$A$15,AY$13)))</f>
        <v>1000000000000</v>
      </c>
      <c r="AZ315" s="173">
        <f ca="1">IF(OR($D315&lt;&gt;"Serviço",AND(AUTOEVENTO="Manual",$M315=$A$15),$M315&gt;(ROW(PLE.lastrow)-ROW(PLE.firstrow))),0,
           IF(OFFSET(PLE!$G$15,$M315-$A$15,AZ$13)="",10^12,OFFSET(PLE!$G$15,$M315-$A$15,AZ$13)))</f>
        <v>1000000000000</v>
      </c>
      <c r="BA315" s="173">
        <f ca="1">IF(OR($D315&lt;&gt;"Serviço",AND(AUTOEVENTO="Manual",$M315=$A$15),$M315&gt;(ROW(PLE.lastrow)-ROW(PLE.firstrow))),0,
           IF(OFFSET(PLE!$G$15,$M315-$A$15,BA$13)="",10^12,OFFSET(PLE!$G$15,$M315-$A$15,BA$13)))</f>
        <v>1000000000000</v>
      </c>
      <c r="BB315" s="173">
        <f ca="1">IF(OR($D315&lt;&gt;"Serviço",AND(AUTOEVENTO="Manual",$M315=$A$15),$M315&gt;(ROW(PLE.lastrow)-ROW(PLE.firstrow))),0,
           IF(OFFSET(PLE!$G$15,$M315-$A$15,BB$13)="",10^12,OFFSET(PLE!$G$15,$M315-$A$15,BB$13)))</f>
        <v>1000000000000</v>
      </c>
      <c r="BC315" s="173">
        <f ca="1">IF(OR($D315&lt;&gt;"Serviço",AND(AUTOEVENTO="Manual",$M315=$A$15),$M315&gt;(ROW(PLE.lastrow)-ROW(PLE.firstrow))),0,
           IF(OFFSET(PLE!$G$15,$M315-$A$15,BC$13)="",10^12,OFFSET(PLE!$G$15,$M315-$A$15,BC$13)))</f>
        <v>1000000000000</v>
      </c>
      <c r="BD315" s="173">
        <f ca="1">IF(OR($D315&lt;&gt;"Serviço",AND(AUTOEVENTO="Manual",$M315=$A$15),$M315&gt;(ROW(PLE.lastrow)-ROW(PLE.firstrow))),0,
           IF(OFFSET(PLE!$G$15,$M315-$A$15,BD$13)="",10^12,OFFSET(PLE!$G$15,$M315-$A$15,BD$13)))</f>
        <v>1000000000000</v>
      </c>
      <c r="BE315" s="173">
        <f ca="1">IF(OR($D315&lt;&gt;"Serviço",AND(AUTOEVENTO="Manual",$M315=$A$15),$M315&gt;(ROW(PLE.lastrow)-ROW(PLE.firstrow))),0,
           IF(OFFSET(PLE!$G$15,$M315-$A$15,BE$13)="",10^12,OFFSET(PLE!$G$15,$M315-$A$15,BE$13)))</f>
        <v>1000000000000</v>
      </c>
      <c r="BF315" s="173">
        <f ca="1">IF(OR($D315&lt;&gt;"Serviço",AND(AUTOEVENTO="Manual",$M315=$A$15),$M315&gt;(ROW(PLE.lastrow)-ROW(PLE.firstrow))),0,
           IF(OFFSET(PLE!$G$15,$M315-$A$15,BF$13)="",10^12,OFFSET(PLE!$G$15,$M315-$A$15,BF$13)))</f>
        <v>1000000000000</v>
      </c>
      <c r="BG315" s="173">
        <f ca="1">IF(OR($D315&lt;&gt;"Serviço",AND(AUTOEVENTO="Manual",$M315=$A$15),$M315&gt;(ROW(PLE.lastrow)-ROW(PLE.firstrow))),0,
           IF(OFFSET(PLE!$G$15,$M315-$A$15,BG$13)="",10^12,OFFSET(PLE!$G$15,$M315-$A$15,BG$13)))</f>
        <v>1000000000000</v>
      </c>
    </row>
    <row r="316" spans="1:59" ht="38.25" x14ac:dyDescent="0.2">
      <c r="A316" s="7" t="str">
        <f t="shared" ca="1" si="12"/>
        <v>253</v>
      </c>
      <c r="B316" s="7" t="str">
        <f ca="1">OFFSET(ORÇAMENTO!C$15,ROW(B316)-ROW(B$15),0)</f>
        <v>S</v>
      </c>
      <c r="C316" s="7" t="str">
        <f ca="1">OFFSET(ORÇAMENTO!L$15,ROW(C316)-ROW(C$15),0)</f>
        <v/>
      </c>
      <c r="D316" s="117" t="str">
        <f ca="1">OFFSET(ORÇAMENTO!N$15,ROW(D316)-ROW(D$15),0)</f>
        <v>Serviço</v>
      </c>
      <c r="E316" s="118" t="str">
        <f ca="1">OFFSET(ORÇAMENTO!O$15,ROW(E316)-ROW(E$15),0)</f>
        <v>-</v>
      </c>
      <c r="F316" s="164" t="str">
        <f ca="1">OFFSET(ORÇAMENTO!R$15,ROW(F316)-ROW(F$15),0)</f>
        <v xml:space="preserve">MANGUEIRA DE INCENDIO, TIPO 2, DE 1 1/2", COMPRIMENTO = 15 M, TECIDO EM FIO DE POLIESTER E TUBO INTERNO EM BORRACHA SINTETICA, COM UNIOES ENGATE RAPIDO                                                                                                   </v>
      </c>
      <c r="G316" s="165" t="str">
        <f ca="1">IF($D316&lt;&gt;"Serviço","",OFFSET(ORÇAMENTO!S$15,ROW(G316)-ROW(G$15),0))</f>
        <v xml:space="preserve">UN    </v>
      </c>
      <c r="H316" s="123">
        <f ca="1">IF($D316&lt;&gt;"Serviço",0,IF(ACOMPANHAMENTO="BM",ROUND(OFFSET(ORÇAMENTO!AJ$15,ROW(H316)-ROW(H$15),0),15-13*ORÇAMENTO!$AF$7),SUMPRODUCT(($Q$1:$AA$1=1)*ROUND($Q316:$AA316,15-13*ORÇAMENTO!$AF$7))))</f>
        <v>2</v>
      </c>
      <c r="I316" s="469"/>
      <c r="J316" s="577" t="str" cm="1">
        <f t="array" aca="1" ref="J316" ca="1">IF(B316&lt;&gt;"S","",IF(AND(ACOMPANHAMENTO="PLE",AUTOEVENTO="Manual",OR(H316&gt;0,ORÇAMENTO!AC316="QUANT."),OR(K316="",M316=0,N316="")),"►",IF(AND(ACOMPANHAMENTO="PLE",ORÇAMENTO!AC316="QUANT."),"►►",IF(AND(COUNTIF($P$11:$AA$11,"▼")=0,H316&gt;0,I316=""),"◄",""))))</f>
        <v>◄</v>
      </c>
      <c r="K316" s="626"/>
      <c r="L316" s="166" t="s">
        <v>765</v>
      </c>
      <c r="M316" s="167">
        <f ca="1">IF($D316&lt;&gt;"Serviço","",
          IF(AUTOEVENTO="manual",$A316,
                IF(ISERROR(MATCH($A316,$A$15:OFFSET($A316,-1,0),0)),MAX($M$15:OFFSET(M316,-1,0))+1,
                      INDEX($M$15:OFFSET(M316,-1,0),MATCH($A316,$A$15:OFFSET($A316,-1,0),0)))))</f>
        <v>16</v>
      </c>
      <c r="N316" s="168" t="str">
        <f ca="1">IF($D316&lt;&gt;"Serviço","",
         IF(AUTOEVENTO="Manual",
                IF($A316=0,"&lt;-- defina o número do agrupador",
                       OFFSET(EVENTOS!$D$15,$A316-$A$15,0)),
                OFFSET($F$15,$A316,0)))</f>
        <v>SISTEMAS DE PREVENÇÃO CONTRA INCÊNDIO</v>
      </c>
      <c r="O316" s="169"/>
      <c r="Q316" s="169"/>
      <c r="R316" s="170"/>
      <c r="S316" s="170"/>
      <c r="T316" s="170"/>
      <c r="U316" s="170"/>
      <c r="V316" s="170"/>
      <c r="W316" s="170"/>
      <c r="X316" s="170"/>
      <c r="Y316" s="170"/>
      <c r="Z316" s="171"/>
      <c r="AB316" s="454">
        <f ca="1">IF(AND($D316="Serviço",AB$12&lt;&gt;0,$H316&gt;0,OR(AUTOEVENTO&lt;&gt;"manual",$M316&lt;&gt;$A$15)),
        IF(Import.TipoArredondamento&lt;&gt;"TransfereGOV",
              ROUND(OFFSET($P316,0,AB$13),15-13*ORÇAMENTO!$AF$7)/$H316*OFFSET(ORÇAMENTO!$X$15,ROW(AB316)-ROW(AB$15),0),
              ROUND(ROUND(OFFSET($P316,0,AB$13),15-13*ORÇAMENTO!$AF$7)*OFFSET(ORÇAMENTO!$W$15,ROW(AB316)-ROW(AB$15),0),15-13*ORÇAMENTO!$AF$11)),
         0)</f>
        <v>0</v>
      </c>
      <c r="AC316" s="454">
        <f ca="1">IF(AND($D316="Serviço",AC$12&lt;&gt;0,$H316&gt;0,OR(AUTOEVENTO&lt;&gt;"manual",$M316&lt;&gt;$A$15)),
        IF(Import.TipoArredondamento&lt;&gt;"TransfereGOV",
              ROUND(OFFSET($P316,0,AC$13),15-13*ORÇAMENTO!$AF$7)/$H316*OFFSET(ORÇAMENTO!$X$15,ROW(AC316)-ROW(AC$15),0),
              ROUND(ROUND(OFFSET($P316,0,AC$13),15-13*ORÇAMENTO!$AF$7)*OFFSET(ORÇAMENTO!$W$15,ROW(AC316)-ROW(AC$15),0),15-13*ORÇAMENTO!$AF$11)),
         0)</f>
        <v>0</v>
      </c>
      <c r="AD316" s="454">
        <f ca="1">IF(AND($D316="Serviço",AD$12&lt;&gt;0,$H316&gt;0,OR(AUTOEVENTO&lt;&gt;"manual",$M316&lt;&gt;$A$15)),
        IF(Import.TipoArredondamento&lt;&gt;"TransfereGOV",
              ROUND(OFFSET($P316,0,AD$13),15-13*ORÇAMENTO!$AF$7)/$H316*OFFSET(ORÇAMENTO!$X$15,ROW(AD316)-ROW(AD$15),0),
              ROUND(ROUND(OFFSET($P316,0,AD$13),15-13*ORÇAMENTO!$AF$7)*OFFSET(ORÇAMENTO!$W$15,ROW(AD316)-ROW(AD$15),0),15-13*ORÇAMENTO!$AF$11)),
         0)</f>
        <v>0</v>
      </c>
      <c r="AE316" s="454">
        <f ca="1">IF(AND($D316="Serviço",AE$12&lt;&gt;0,$H316&gt;0,OR(AUTOEVENTO&lt;&gt;"manual",$M316&lt;&gt;$A$15)),
        IF(Import.TipoArredondamento&lt;&gt;"TransfereGOV",
              ROUND(OFFSET($P316,0,AE$13),15-13*ORÇAMENTO!$AF$7)/$H316*OFFSET(ORÇAMENTO!$X$15,ROW(AE316)-ROW(AE$15),0),
              ROUND(ROUND(OFFSET($P316,0,AE$13),15-13*ORÇAMENTO!$AF$7)*OFFSET(ORÇAMENTO!$W$15,ROW(AE316)-ROW(AE$15),0),15-13*ORÇAMENTO!$AF$11)),
         0)</f>
        <v>0</v>
      </c>
      <c r="AF316" s="454">
        <f ca="1">IF(AND($D316="Serviço",AF$12&lt;&gt;0,$H316&gt;0,OR(AUTOEVENTO&lt;&gt;"manual",$M316&lt;&gt;$A$15)),
        IF(Import.TipoArredondamento&lt;&gt;"TransfereGOV",
              ROUND(OFFSET($P316,0,AF$13),15-13*ORÇAMENTO!$AF$7)/$H316*OFFSET(ORÇAMENTO!$X$15,ROW(AF316)-ROW(AF$15),0),
              ROUND(ROUND(OFFSET($P316,0,AF$13),15-13*ORÇAMENTO!$AF$7)*OFFSET(ORÇAMENTO!$W$15,ROW(AF316)-ROW(AF$15),0),15-13*ORÇAMENTO!$AF$11)),
         0)</f>
        <v>0</v>
      </c>
      <c r="AG316" s="454">
        <f ca="1">IF(AND($D316="Serviço",AG$12&lt;&gt;0,$H316&gt;0,OR(AUTOEVENTO&lt;&gt;"manual",$M316&lt;&gt;$A$15)),
        IF(Import.TipoArredondamento&lt;&gt;"TransfereGOV",
              ROUND(OFFSET($P316,0,AG$13),15-13*ORÇAMENTO!$AF$7)/$H316*OFFSET(ORÇAMENTO!$X$15,ROW(AG316)-ROW(AG$15),0),
              ROUND(ROUND(OFFSET($P316,0,AG$13),15-13*ORÇAMENTO!$AF$7)*OFFSET(ORÇAMENTO!$W$15,ROW(AG316)-ROW(AG$15),0),15-13*ORÇAMENTO!$AF$11)),
         0)</f>
        <v>0</v>
      </c>
      <c r="AH316" s="454">
        <f ca="1">IF(AND($D316="Serviço",AH$12&lt;&gt;0,$H316&gt;0,OR(AUTOEVENTO&lt;&gt;"manual",$M316&lt;&gt;$A$15)),
        IF(Import.TipoArredondamento&lt;&gt;"TransfereGOV",
              ROUND(OFFSET($P316,0,AH$13),15-13*ORÇAMENTO!$AF$7)/$H316*OFFSET(ORÇAMENTO!$X$15,ROW(AH316)-ROW(AH$15),0),
              ROUND(ROUND(OFFSET($P316,0,AH$13),15-13*ORÇAMENTO!$AF$7)*OFFSET(ORÇAMENTO!$W$15,ROW(AH316)-ROW(AH$15),0),15-13*ORÇAMENTO!$AF$11)),
         0)</f>
        <v>0</v>
      </c>
      <c r="AI316" s="454">
        <f ca="1">IF(AND($D316="Serviço",AI$12&lt;&gt;0,$H316&gt;0,OR(AUTOEVENTO&lt;&gt;"manual",$M316&lt;&gt;$A$15)),
        IF(Import.TipoArredondamento&lt;&gt;"TransfereGOV",
              ROUND(OFFSET($P316,0,AI$13),15-13*ORÇAMENTO!$AF$7)/$H316*OFFSET(ORÇAMENTO!$X$15,ROW(AI316)-ROW(AI$15),0),
              ROUND(ROUND(OFFSET($P316,0,AI$13),15-13*ORÇAMENTO!$AF$7)*OFFSET(ORÇAMENTO!$W$15,ROW(AI316)-ROW(AI$15),0),15-13*ORÇAMENTO!$AF$11)),
         0)</f>
        <v>0</v>
      </c>
      <c r="AJ316" s="454">
        <f ca="1">IF(AND($D316="Serviço",AJ$12&lt;&gt;0,$H316&gt;0,OR(AUTOEVENTO&lt;&gt;"manual",$M316&lt;&gt;$A$15)),
        IF(Import.TipoArredondamento&lt;&gt;"TransfereGOV",
              ROUND(OFFSET($P316,0,AJ$13),15-13*ORÇAMENTO!$AF$7)/$H316*OFFSET(ORÇAMENTO!$X$15,ROW(AJ316)-ROW(AJ$15),0),
              ROUND(ROUND(OFFSET($P316,0,AJ$13),15-13*ORÇAMENTO!$AF$7)*OFFSET(ORÇAMENTO!$W$15,ROW(AJ316)-ROW(AJ$15),0),15-13*ORÇAMENTO!$AF$11)),
         0)</f>
        <v>0</v>
      </c>
      <c r="AK316" s="454">
        <f ca="1">IF(AND($D316="Serviço",AK$12&lt;&gt;0,$H316&gt;0,OR(AUTOEVENTO&lt;&gt;"manual",$M316&lt;&gt;$A$15)),
        IF(Import.TipoArredondamento&lt;&gt;"TransfereGOV",
              ROUND(OFFSET($P316,0,AK$13),15-13*ORÇAMENTO!$AF$7)/$H316*OFFSET(ORÇAMENTO!$X$15,ROW(AK316)-ROW(AK$15),0),
              ROUND(ROUND(OFFSET($P316,0,AK$13),15-13*ORÇAMENTO!$AF$7)*OFFSET(ORÇAMENTO!$W$15,ROW(AK316)-ROW(AK$15),0),15-13*ORÇAMENTO!$AF$11)),
         0)</f>
        <v>0</v>
      </c>
      <c r="AM316" s="172">
        <f ca="1">IF(OR($D316&lt;&gt;"Serviço",AND(AUTOEVENTO="Manual",$M316=$A$15)),0,
         IF(OFFSET(CRONOPLE!$F$15,$M316-$A$15,AM$13)="",10^12,OFFSET(CRONOPLE!$F$15,$M316-$A$15,AM$13)))</f>
        <v>1000000000000</v>
      </c>
      <c r="AN316" s="172">
        <f ca="1">IF(OR($D316&lt;&gt;"Serviço",AND(AUTOEVENTO="Manual",$M316=$A$15)),0,
         IF(OFFSET(CRONOPLE!$F$15,$M316-$A$15,AN$13)="",10^12,OFFSET(CRONOPLE!$F$15,$M316-$A$15,AN$13)))</f>
        <v>1000000000000</v>
      </c>
      <c r="AO316" s="172">
        <f ca="1">IF(OR($D316&lt;&gt;"Serviço",AND(AUTOEVENTO="Manual",$M316=$A$15)),0,
         IF(OFFSET(CRONOPLE!$F$15,$M316-$A$15,AO$13)="",10^12,OFFSET(CRONOPLE!$F$15,$M316-$A$15,AO$13)))</f>
        <v>1000000000000</v>
      </c>
      <c r="AP316" s="172">
        <f ca="1">IF(OR($D316&lt;&gt;"Serviço",AND(AUTOEVENTO="Manual",$M316=$A$15)),0,
         IF(OFFSET(CRONOPLE!$F$15,$M316-$A$15,AP$13)="",10^12,OFFSET(CRONOPLE!$F$15,$M316-$A$15,AP$13)))</f>
        <v>1000000000000</v>
      </c>
      <c r="AQ316" s="172">
        <f ca="1">IF(OR($D316&lt;&gt;"Serviço",AND(AUTOEVENTO="Manual",$M316=$A$15)),0,
         IF(OFFSET(CRONOPLE!$F$15,$M316-$A$15,AQ$13)="",10^12,OFFSET(CRONOPLE!$F$15,$M316-$A$15,AQ$13)))</f>
        <v>1000000000000</v>
      </c>
      <c r="AR316" s="172">
        <f ca="1">IF(OR($D316&lt;&gt;"Serviço",AND(AUTOEVENTO="Manual",$M316=$A$15)),0,
         IF(OFFSET(CRONOPLE!$F$15,$M316-$A$15,AR$13)="",10^12,OFFSET(CRONOPLE!$F$15,$M316-$A$15,AR$13)))</f>
        <v>1000000000000</v>
      </c>
      <c r="AS316" s="172">
        <f ca="1">IF(OR($D316&lt;&gt;"Serviço",AND(AUTOEVENTO="Manual",$M316=$A$15)),0,
         IF(OFFSET(CRONOPLE!$F$15,$M316-$A$15,AS$13)="",10^12,OFFSET(CRONOPLE!$F$15,$M316-$A$15,AS$13)))</f>
        <v>1000000000000</v>
      </c>
      <c r="AT316" s="172">
        <f ca="1">IF(OR($D316&lt;&gt;"Serviço",AND(AUTOEVENTO="Manual",$M316=$A$15)),0,
         IF(OFFSET(CRONOPLE!$F$15,$M316-$A$15,AT$13)="",10^12,OFFSET(CRONOPLE!$F$15,$M316-$A$15,AT$13)))</f>
        <v>1000000000000</v>
      </c>
      <c r="AU316" s="172">
        <f ca="1">IF(OR($D316&lt;&gt;"Serviço",AND(AUTOEVENTO="Manual",$M316=$A$15)),0,
         IF(OFFSET(CRONOPLE!$F$15,$M316-$A$15,AU$13)="",10^12,OFFSET(CRONOPLE!$F$15,$M316-$A$15,AU$13)))</f>
        <v>1000000000000</v>
      </c>
      <c r="AV316" s="172">
        <f ca="1">IF(OR($D316&lt;&gt;"Serviço",AND(AUTOEVENTO="Manual",$M316=$A$15)),0,
         IF(OFFSET(CRONOPLE!$F$15,$M316-$A$15,AV$13)="",10^12,OFFSET(CRONOPLE!$F$15,$M316-$A$15,AV$13)))</f>
        <v>1000000000000</v>
      </c>
      <c r="AX316" s="173">
        <f ca="1">IF(OR($D316&lt;&gt;"Serviço",AND(AUTOEVENTO="Manual",$M316=$A$15),$M316&gt;(ROW(PLE.lastrow)-ROW(PLE.firstrow))),0,
           IF(OFFSET(PLE!$G$15,$M316-$A$15,AX$13)="",10^12,OFFSET(PLE!$G$15,$M316-$A$15,AX$13)))</f>
        <v>1000000000000</v>
      </c>
      <c r="AY316" s="173">
        <f ca="1">IF(OR($D316&lt;&gt;"Serviço",AND(AUTOEVENTO="Manual",$M316=$A$15),$M316&gt;(ROW(PLE.lastrow)-ROW(PLE.firstrow))),0,
           IF(OFFSET(PLE!$G$15,$M316-$A$15,AY$13)="",10^12,OFFSET(PLE!$G$15,$M316-$A$15,AY$13)))</f>
        <v>1000000000000</v>
      </c>
      <c r="AZ316" s="173">
        <f ca="1">IF(OR($D316&lt;&gt;"Serviço",AND(AUTOEVENTO="Manual",$M316=$A$15),$M316&gt;(ROW(PLE.lastrow)-ROW(PLE.firstrow))),0,
           IF(OFFSET(PLE!$G$15,$M316-$A$15,AZ$13)="",10^12,OFFSET(PLE!$G$15,$M316-$A$15,AZ$13)))</f>
        <v>1000000000000</v>
      </c>
      <c r="BA316" s="173">
        <f ca="1">IF(OR($D316&lt;&gt;"Serviço",AND(AUTOEVENTO="Manual",$M316=$A$15),$M316&gt;(ROW(PLE.lastrow)-ROW(PLE.firstrow))),0,
           IF(OFFSET(PLE!$G$15,$M316-$A$15,BA$13)="",10^12,OFFSET(PLE!$G$15,$M316-$A$15,BA$13)))</f>
        <v>1000000000000</v>
      </c>
      <c r="BB316" s="173">
        <f ca="1">IF(OR($D316&lt;&gt;"Serviço",AND(AUTOEVENTO="Manual",$M316=$A$15),$M316&gt;(ROW(PLE.lastrow)-ROW(PLE.firstrow))),0,
           IF(OFFSET(PLE!$G$15,$M316-$A$15,BB$13)="",10^12,OFFSET(PLE!$G$15,$M316-$A$15,BB$13)))</f>
        <v>1000000000000</v>
      </c>
      <c r="BC316" s="173">
        <f ca="1">IF(OR($D316&lt;&gt;"Serviço",AND(AUTOEVENTO="Manual",$M316=$A$15),$M316&gt;(ROW(PLE.lastrow)-ROW(PLE.firstrow))),0,
           IF(OFFSET(PLE!$G$15,$M316-$A$15,BC$13)="",10^12,OFFSET(PLE!$G$15,$M316-$A$15,BC$13)))</f>
        <v>1000000000000</v>
      </c>
      <c r="BD316" s="173">
        <f ca="1">IF(OR($D316&lt;&gt;"Serviço",AND(AUTOEVENTO="Manual",$M316=$A$15),$M316&gt;(ROW(PLE.lastrow)-ROW(PLE.firstrow))),0,
           IF(OFFSET(PLE!$G$15,$M316-$A$15,BD$13)="",10^12,OFFSET(PLE!$G$15,$M316-$A$15,BD$13)))</f>
        <v>1000000000000</v>
      </c>
      <c r="BE316" s="173">
        <f ca="1">IF(OR($D316&lt;&gt;"Serviço",AND(AUTOEVENTO="Manual",$M316=$A$15),$M316&gt;(ROW(PLE.lastrow)-ROW(PLE.firstrow))),0,
           IF(OFFSET(PLE!$G$15,$M316-$A$15,BE$13)="",10^12,OFFSET(PLE!$G$15,$M316-$A$15,BE$13)))</f>
        <v>1000000000000</v>
      </c>
      <c r="BF316" s="173">
        <f ca="1">IF(OR($D316&lt;&gt;"Serviço",AND(AUTOEVENTO="Manual",$M316=$A$15),$M316&gt;(ROW(PLE.lastrow)-ROW(PLE.firstrow))),0,
           IF(OFFSET(PLE!$G$15,$M316-$A$15,BF$13)="",10^12,OFFSET(PLE!$G$15,$M316-$A$15,BF$13)))</f>
        <v>1000000000000</v>
      </c>
      <c r="BG316" s="173">
        <f ca="1">IF(OR($D316&lt;&gt;"Serviço",AND(AUTOEVENTO="Manual",$M316=$A$15),$M316&gt;(ROW(PLE.lastrow)-ROW(PLE.firstrow))),0,
           IF(OFFSET(PLE!$G$15,$M316-$A$15,BG$13)="",10^12,OFFSET(PLE!$G$15,$M316-$A$15,BG$13)))</f>
        <v>1000000000000</v>
      </c>
    </row>
    <row r="317" spans="1:59" ht="38.25" x14ac:dyDescent="0.2">
      <c r="A317" s="7" t="str">
        <f t="shared" ca="1" si="12"/>
        <v>253</v>
      </c>
      <c r="B317" s="7" t="str">
        <f ca="1">OFFSET(ORÇAMENTO!C$15,ROW(B317)-ROW(B$15),0)</f>
        <v>S</v>
      </c>
      <c r="C317" s="7" t="str">
        <f ca="1">OFFSET(ORÇAMENTO!L$15,ROW(C317)-ROW(C$15),0)</f>
        <v/>
      </c>
      <c r="D317" s="117" t="str">
        <f ca="1">OFFSET(ORÇAMENTO!N$15,ROW(D317)-ROW(D$15),0)</f>
        <v>Serviço</v>
      </c>
      <c r="E317" s="118" t="str">
        <f ca="1">OFFSET(ORÇAMENTO!O$15,ROW(E317)-ROW(E$15),0)</f>
        <v>-</v>
      </c>
      <c r="F317" s="164" t="str">
        <f ca="1">OFFSET(ORÇAMENTO!R$15,ROW(F317)-ROW(F$15),0)</f>
        <v xml:space="preserve">ESGUICHO TIPO JATO SOLIDO, EM LATAO, ENGATE RAPIDO 1 1/2" X 13 MM, PARA MANGUEIRA EM INSTALACAO PREDIAL COMBATE A INCENDIO                                                                                                                                </v>
      </c>
      <c r="G317" s="165" t="str">
        <f ca="1">IF($D317&lt;&gt;"Serviço","",OFFSET(ORÇAMENTO!S$15,ROW(G317)-ROW(G$15),0))</f>
        <v xml:space="preserve">UN    </v>
      </c>
      <c r="H317" s="123">
        <f ca="1">IF($D317&lt;&gt;"Serviço",0,IF(ACOMPANHAMENTO="BM",ROUND(OFFSET(ORÇAMENTO!AJ$15,ROW(H317)-ROW(H$15),0),15-13*ORÇAMENTO!$AF$7),SUMPRODUCT(($Q$1:$AA$1=1)*ROUND($Q317:$AA317,15-13*ORÇAMENTO!$AF$7))))</f>
        <v>2</v>
      </c>
      <c r="I317" s="469"/>
      <c r="J317" s="577" t="str" cm="1">
        <f t="array" aca="1" ref="J317" ca="1">IF(B317&lt;&gt;"S","",IF(AND(ACOMPANHAMENTO="PLE",AUTOEVENTO="Manual",OR(H317&gt;0,ORÇAMENTO!AC317="QUANT."),OR(K317="",M317=0,N317="")),"►",IF(AND(ACOMPANHAMENTO="PLE",ORÇAMENTO!AC317="QUANT."),"►►",IF(AND(COUNTIF($P$11:$AA$11,"▼")=0,H317&gt;0,I317=""),"◄",""))))</f>
        <v>◄</v>
      </c>
      <c r="K317" s="626"/>
      <c r="L317" s="166" t="s">
        <v>765</v>
      </c>
      <c r="M317" s="167">
        <f ca="1">IF($D317&lt;&gt;"Serviço","",
          IF(AUTOEVENTO="manual",$A317,
                IF(ISERROR(MATCH($A317,$A$15:OFFSET($A317,-1,0),0)),MAX($M$15:OFFSET(M317,-1,0))+1,
                      INDEX($M$15:OFFSET(M317,-1,0),MATCH($A317,$A$15:OFFSET($A317,-1,0),0)))))</f>
        <v>16</v>
      </c>
      <c r="N317" s="168" t="str">
        <f ca="1">IF($D317&lt;&gt;"Serviço","",
         IF(AUTOEVENTO="Manual",
                IF($A317=0,"&lt;-- defina o número do agrupador",
                       OFFSET(EVENTOS!$D$15,$A317-$A$15,0)),
                OFFSET($F$15,$A317,0)))</f>
        <v>SISTEMAS DE PREVENÇÃO CONTRA INCÊNDIO</v>
      </c>
      <c r="O317" s="169"/>
      <c r="Q317" s="169"/>
      <c r="R317" s="170"/>
      <c r="S317" s="170"/>
      <c r="T317" s="170"/>
      <c r="U317" s="170"/>
      <c r="V317" s="170"/>
      <c r="W317" s="170"/>
      <c r="X317" s="170"/>
      <c r="Y317" s="170"/>
      <c r="Z317" s="171"/>
      <c r="AB317" s="454">
        <f ca="1">IF(AND($D317="Serviço",AB$12&lt;&gt;0,$H317&gt;0,OR(AUTOEVENTO&lt;&gt;"manual",$M317&lt;&gt;$A$15)),
        IF(Import.TipoArredondamento&lt;&gt;"TransfereGOV",
              ROUND(OFFSET($P317,0,AB$13),15-13*ORÇAMENTO!$AF$7)/$H317*OFFSET(ORÇAMENTO!$X$15,ROW(AB317)-ROW(AB$15),0),
              ROUND(ROUND(OFFSET($P317,0,AB$13),15-13*ORÇAMENTO!$AF$7)*OFFSET(ORÇAMENTO!$W$15,ROW(AB317)-ROW(AB$15),0),15-13*ORÇAMENTO!$AF$11)),
         0)</f>
        <v>0</v>
      </c>
      <c r="AC317" s="454">
        <f ca="1">IF(AND($D317="Serviço",AC$12&lt;&gt;0,$H317&gt;0,OR(AUTOEVENTO&lt;&gt;"manual",$M317&lt;&gt;$A$15)),
        IF(Import.TipoArredondamento&lt;&gt;"TransfereGOV",
              ROUND(OFFSET($P317,0,AC$13),15-13*ORÇAMENTO!$AF$7)/$H317*OFFSET(ORÇAMENTO!$X$15,ROW(AC317)-ROW(AC$15),0),
              ROUND(ROUND(OFFSET($P317,0,AC$13),15-13*ORÇAMENTO!$AF$7)*OFFSET(ORÇAMENTO!$W$15,ROW(AC317)-ROW(AC$15),0),15-13*ORÇAMENTO!$AF$11)),
         0)</f>
        <v>0</v>
      </c>
      <c r="AD317" s="454">
        <f ca="1">IF(AND($D317="Serviço",AD$12&lt;&gt;0,$H317&gt;0,OR(AUTOEVENTO&lt;&gt;"manual",$M317&lt;&gt;$A$15)),
        IF(Import.TipoArredondamento&lt;&gt;"TransfereGOV",
              ROUND(OFFSET($P317,0,AD$13),15-13*ORÇAMENTO!$AF$7)/$H317*OFFSET(ORÇAMENTO!$X$15,ROW(AD317)-ROW(AD$15),0),
              ROUND(ROUND(OFFSET($P317,0,AD$13),15-13*ORÇAMENTO!$AF$7)*OFFSET(ORÇAMENTO!$W$15,ROW(AD317)-ROW(AD$15),0),15-13*ORÇAMENTO!$AF$11)),
         0)</f>
        <v>0</v>
      </c>
      <c r="AE317" s="454">
        <f ca="1">IF(AND($D317="Serviço",AE$12&lt;&gt;0,$H317&gt;0,OR(AUTOEVENTO&lt;&gt;"manual",$M317&lt;&gt;$A$15)),
        IF(Import.TipoArredondamento&lt;&gt;"TransfereGOV",
              ROUND(OFFSET($P317,0,AE$13),15-13*ORÇAMENTO!$AF$7)/$H317*OFFSET(ORÇAMENTO!$X$15,ROW(AE317)-ROW(AE$15),0),
              ROUND(ROUND(OFFSET($P317,0,AE$13),15-13*ORÇAMENTO!$AF$7)*OFFSET(ORÇAMENTO!$W$15,ROW(AE317)-ROW(AE$15),0),15-13*ORÇAMENTO!$AF$11)),
         0)</f>
        <v>0</v>
      </c>
      <c r="AF317" s="454">
        <f ca="1">IF(AND($D317="Serviço",AF$12&lt;&gt;0,$H317&gt;0,OR(AUTOEVENTO&lt;&gt;"manual",$M317&lt;&gt;$A$15)),
        IF(Import.TipoArredondamento&lt;&gt;"TransfereGOV",
              ROUND(OFFSET($P317,0,AF$13),15-13*ORÇAMENTO!$AF$7)/$H317*OFFSET(ORÇAMENTO!$X$15,ROW(AF317)-ROW(AF$15),0),
              ROUND(ROUND(OFFSET($P317,0,AF$13),15-13*ORÇAMENTO!$AF$7)*OFFSET(ORÇAMENTO!$W$15,ROW(AF317)-ROW(AF$15),0),15-13*ORÇAMENTO!$AF$11)),
         0)</f>
        <v>0</v>
      </c>
      <c r="AG317" s="454">
        <f ca="1">IF(AND($D317="Serviço",AG$12&lt;&gt;0,$H317&gt;0,OR(AUTOEVENTO&lt;&gt;"manual",$M317&lt;&gt;$A$15)),
        IF(Import.TipoArredondamento&lt;&gt;"TransfereGOV",
              ROUND(OFFSET($P317,0,AG$13),15-13*ORÇAMENTO!$AF$7)/$H317*OFFSET(ORÇAMENTO!$X$15,ROW(AG317)-ROW(AG$15),0),
              ROUND(ROUND(OFFSET($P317,0,AG$13),15-13*ORÇAMENTO!$AF$7)*OFFSET(ORÇAMENTO!$W$15,ROW(AG317)-ROW(AG$15),0),15-13*ORÇAMENTO!$AF$11)),
         0)</f>
        <v>0</v>
      </c>
      <c r="AH317" s="454">
        <f ca="1">IF(AND($D317="Serviço",AH$12&lt;&gt;0,$H317&gt;0,OR(AUTOEVENTO&lt;&gt;"manual",$M317&lt;&gt;$A$15)),
        IF(Import.TipoArredondamento&lt;&gt;"TransfereGOV",
              ROUND(OFFSET($P317,0,AH$13),15-13*ORÇAMENTO!$AF$7)/$H317*OFFSET(ORÇAMENTO!$X$15,ROW(AH317)-ROW(AH$15),0),
              ROUND(ROUND(OFFSET($P317,0,AH$13),15-13*ORÇAMENTO!$AF$7)*OFFSET(ORÇAMENTO!$W$15,ROW(AH317)-ROW(AH$15),0),15-13*ORÇAMENTO!$AF$11)),
         0)</f>
        <v>0</v>
      </c>
      <c r="AI317" s="454">
        <f ca="1">IF(AND($D317="Serviço",AI$12&lt;&gt;0,$H317&gt;0,OR(AUTOEVENTO&lt;&gt;"manual",$M317&lt;&gt;$A$15)),
        IF(Import.TipoArredondamento&lt;&gt;"TransfereGOV",
              ROUND(OFFSET($P317,0,AI$13),15-13*ORÇAMENTO!$AF$7)/$H317*OFFSET(ORÇAMENTO!$X$15,ROW(AI317)-ROW(AI$15),0),
              ROUND(ROUND(OFFSET($P317,0,AI$13),15-13*ORÇAMENTO!$AF$7)*OFFSET(ORÇAMENTO!$W$15,ROW(AI317)-ROW(AI$15),0),15-13*ORÇAMENTO!$AF$11)),
         0)</f>
        <v>0</v>
      </c>
      <c r="AJ317" s="454">
        <f ca="1">IF(AND($D317="Serviço",AJ$12&lt;&gt;0,$H317&gt;0,OR(AUTOEVENTO&lt;&gt;"manual",$M317&lt;&gt;$A$15)),
        IF(Import.TipoArredondamento&lt;&gt;"TransfereGOV",
              ROUND(OFFSET($P317,0,AJ$13),15-13*ORÇAMENTO!$AF$7)/$H317*OFFSET(ORÇAMENTO!$X$15,ROW(AJ317)-ROW(AJ$15),0),
              ROUND(ROUND(OFFSET($P317,0,AJ$13),15-13*ORÇAMENTO!$AF$7)*OFFSET(ORÇAMENTO!$W$15,ROW(AJ317)-ROW(AJ$15),0),15-13*ORÇAMENTO!$AF$11)),
         0)</f>
        <v>0</v>
      </c>
      <c r="AK317" s="454">
        <f ca="1">IF(AND($D317="Serviço",AK$12&lt;&gt;0,$H317&gt;0,OR(AUTOEVENTO&lt;&gt;"manual",$M317&lt;&gt;$A$15)),
        IF(Import.TipoArredondamento&lt;&gt;"TransfereGOV",
              ROUND(OFFSET($P317,0,AK$13),15-13*ORÇAMENTO!$AF$7)/$H317*OFFSET(ORÇAMENTO!$X$15,ROW(AK317)-ROW(AK$15),0),
              ROUND(ROUND(OFFSET($P317,0,AK$13),15-13*ORÇAMENTO!$AF$7)*OFFSET(ORÇAMENTO!$W$15,ROW(AK317)-ROW(AK$15),0),15-13*ORÇAMENTO!$AF$11)),
         0)</f>
        <v>0</v>
      </c>
      <c r="AM317" s="172">
        <f ca="1">IF(OR($D317&lt;&gt;"Serviço",AND(AUTOEVENTO="Manual",$M317=$A$15)),0,
         IF(OFFSET(CRONOPLE!$F$15,$M317-$A$15,AM$13)="",10^12,OFFSET(CRONOPLE!$F$15,$M317-$A$15,AM$13)))</f>
        <v>1000000000000</v>
      </c>
      <c r="AN317" s="172">
        <f ca="1">IF(OR($D317&lt;&gt;"Serviço",AND(AUTOEVENTO="Manual",$M317=$A$15)),0,
         IF(OFFSET(CRONOPLE!$F$15,$M317-$A$15,AN$13)="",10^12,OFFSET(CRONOPLE!$F$15,$M317-$A$15,AN$13)))</f>
        <v>1000000000000</v>
      </c>
      <c r="AO317" s="172">
        <f ca="1">IF(OR($D317&lt;&gt;"Serviço",AND(AUTOEVENTO="Manual",$M317=$A$15)),0,
         IF(OFFSET(CRONOPLE!$F$15,$M317-$A$15,AO$13)="",10^12,OFFSET(CRONOPLE!$F$15,$M317-$A$15,AO$13)))</f>
        <v>1000000000000</v>
      </c>
      <c r="AP317" s="172">
        <f ca="1">IF(OR($D317&lt;&gt;"Serviço",AND(AUTOEVENTO="Manual",$M317=$A$15)),0,
         IF(OFFSET(CRONOPLE!$F$15,$M317-$A$15,AP$13)="",10^12,OFFSET(CRONOPLE!$F$15,$M317-$A$15,AP$13)))</f>
        <v>1000000000000</v>
      </c>
      <c r="AQ317" s="172">
        <f ca="1">IF(OR($D317&lt;&gt;"Serviço",AND(AUTOEVENTO="Manual",$M317=$A$15)),0,
         IF(OFFSET(CRONOPLE!$F$15,$M317-$A$15,AQ$13)="",10^12,OFFSET(CRONOPLE!$F$15,$M317-$A$15,AQ$13)))</f>
        <v>1000000000000</v>
      </c>
      <c r="AR317" s="172">
        <f ca="1">IF(OR($D317&lt;&gt;"Serviço",AND(AUTOEVENTO="Manual",$M317=$A$15)),0,
         IF(OFFSET(CRONOPLE!$F$15,$M317-$A$15,AR$13)="",10^12,OFFSET(CRONOPLE!$F$15,$M317-$A$15,AR$13)))</f>
        <v>1000000000000</v>
      </c>
      <c r="AS317" s="172">
        <f ca="1">IF(OR($D317&lt;&gt;"Serviço",AND(AUTOEVENTO="Manual",$M317=$A$15)),0,
         IF(OFFSET(CRONOPLE!$F$15,$M317-$A$15,AS$13)="",10^12,OFFSET(CRONOPLE!$F$15,$M317-$A$15,AS$13)))</f>
        <v>1000000000000</v>
      </c>
      <c r="AT317" s="172">
        <f ca="1">IF(OR($D317&lt;&gt;"Serviço",AND(AUTOEVENTO="Manual",$M317=$A$15)),0,
         IF(OFFSET(CRONOPLE!$F$15,$M317-$A$15,AT$13)="",10^12,OFFSET(CRONOPLE!$F$15,$M317-$A$15,AT$13)))</f>
        <v>1000000000000</v>
      </c>
      <c r="AU317" s="172">
        <f ca="1">IF(OR($D317&lt;&gt;"Serviço",AND(AUTOEVENTO="Manual",$M317=$A$15)),0,
         IF(OFFSET(CRONOPLE!$F$15,$M317-$A$15,AU$13)="",10^12,OFFSET(CRONOPLE!$F$15,$M317-$A$15,AU$13)))</f>
        <v>1000000000000</v>
      </c>
      <c r="AV317" s="172">
        <f ca="1">IF(OR($D317&lt;&gt;"Serviço",AND(AUTOEVENTO="Manual",$M317=$A$15)),0,
         IF(OFFSET(CRONOPLE!$F$15,$M317-$A$15,AV$13)="",10^12,OFFSET(CRONOPLE!$F$15,$M317-$A$15,AV$13)))</f>
        <v>1000000000000</v>
      </c>
      <c r="AX317" s="173">
        <f ca="1">IF(OR($D317&lt;&gt;"Serviço",AND(AUTOEVENTO="Manual",$M317=$A$15),$M317&gt;(ROW(PLE.lastrow)-ROW(PLE.firstrow))),0,
           IF(OFFSET(PLE!$G$15,$M317-$A$15,AX$13)="",10^12,OFFSET(PLE!$G$15,$M317-$A$15,AX$13)))</f>
        <v>1000000000000</v>
      </c>
      <c r="AY317" s="173">
        <f ca="1">IF(OR($D317&lt;&gt;"Serviço",AND(AUTOEVENTO="Manual",$M317=$A$15),$M317&gt;(ROW(PLE.lastrow)-ROW(PLE.firstrow))),0,
           IF(OFFSET(PLE!$G$15,$M317-$A$15,AY$13)="",10^12,OFFSET(PLE!$G$15,$M317-$A$15,AY$13)))</f>
        <v>1000000000000</v>
      </c>
      <c r="AZ317" s="173">
        <f ca="1">IF(OR($D317&lt;&gt;"Serviço",AND(AUTOEVENTO="Manual",$M317=$A$15),$M317&gt;(ROW(PLE.lastrow)-ROW(PLE.firstrow))),0,
           IF(OFFSET(PLE!$G$15,$M317-$A$15,AZ$13)="",10^12,OFFSET(PLE!$G$15,$M317-$A$15,AZ$13)))</f>
        <v>1000000000000</v>
      </c>
      <c r="BA317" s="173">
        <f ca="1">IF(OR($D317&lt;&gt;"Serviço",AND(AUTOEVENTO="Manual",$M317=$A$15),$M317&gt;(ROW(PLE.lastrow)-ROW(PLE.firstrow))),0,
           IF(OFFSET(PLE!$G$15,$M317-$A$15,BA$13)="",10^12,OFFSET(PLE!$G$15,$M317-$A$15,BA$13)))</f>
        <v>1000000000000</v>
      </c>
      <c r="BB317" s="173">
        <f ca="1">IF(OR($D317&lt;&gt;"Serviço",AND(AUTOEVENTO="Manual",$M317=$A$15),$M317&gt;(ROW(PLE.lastrow)-ROW(PLE.firstrow))),0,
           IF(OFFSET(PLE!$G$15,$M317-$A$15,BB$13)="",10^12,OFFSET(PLE!$G$15,$M317-$A$15,BB$13)))</f>
        <v>1000000000000</v>
      </c>
      <c r="BC317" s="173">
        <f ca="1">IF(OR($D317&lt;&gt;"Serviço",AND(AUTOEVENTO="Manual",$M317=$A$15),$M317&gt;(ROW(PLE.lastrow)-ROW(PLE.firstrow))),0,
           IF(OFFSET(PLE!$G$15,$M317-$A$15,BC$13)="",10^12,OFFSET(PLE!$G$15,$M317-$A$15,BC$13)))</f>
        <v>1000000000000</v>
      </c>
      <c r="BD317" s="173">
        <f ca="1">IF(OR($D317&lt;&gt;"Serviço",AND(AUTOEVENTO="Manual",$M317=$A$15),$M317&gt;(ROW(PLE.lastrow)-ROW(PLE.firstrow))),0,
           IF(OFFSET(PLE!$G$15,$M317-$A$15,BD$13)="",10^12,OFFSET(PLE!$G$15,$M317-$A$15,BD$13)))</f>
        <v>1000000000000</v>
      </c>
      <c r="BE317" s="173">
        <f ca="1">IF(OR($D317&lt;&gt;"Serviço",AND(AUTOEVENTO="Manual",$M317=$A$15),$M317&gt;(ROW(PLE.lastrow)-ROW(PLE.firstrow))),0,
           IF(OFFSET(PLE!$G$15,$M317-$A$15,BE$13)="",10^12,OFFSET(PLE!$G$15,$M317-$A$15,BE$13)))</f>
        <v>1000000000000</v>
      </c>
      <c r="BF317" s="173">
        <f ca="1">IF(OR($D317&lt;&gt;"Serviço",AND(AUTOEVENTO="Manual",$M317=$A$15),$M317&gt;(ROW(PLE.lastrow)-ROW(PLE.firstrow))),0,
           IF(OFFSET(PLE!$G$15,$M317-$A$15,BF$13)="",10^12,OFFSET(PLE!$G$15,$M317-$A$15,BF$13)))</f>
        <v>1000000000000</v>
      </c>
      <c r="BG317" s="173">
        <f ca="1">IF(OR($D317&lt;&gt;"Serviço",AND(AUTOEVENTO="Manual",$M317=$A$15),$M317&gt;(ROW(PLE.lastrow)-ROW(PLE.firstrow))),0,
           IF(OFFSET(PLE!$G$15,$M317-$A$15,BG$13)="",10^12,OFFSET(PLE!$G$15,$M317-$A$15,BG$13)))</f>
        <v>1000000000000</v>
      </c>
    </row>
    <row r="318" spans="1:59" ht="25.5" x14ac:dyDescent="0.2">
      <c r="A318" s="7" t="str">
        <f t="shared" ca="1" si="12"/>
        <v>253</v>
      </c>
      <c r="B318" s="7" t="str">
        <f ca="1">OFFSET(ORÇAMENTO!C$15,ROW(B318)-ROW(B$15),0)</f>
        <v>S</v>
      </c>
      <c r="C318" s="7" t="str">
        <f ca="1">OFFSET(ORÇAMENTO!L$15,ROW(C318)-ROW(C$15),0)</f>
        <v/>
      </c>
      <c r="D318" s="117" t="str">
        <f ca="1">OFFSET(ORÇAMENTO!N$15,ROW(D318)-ROW(D$15),0)</f>
        <v>Serviço</v>
      </c>
      <c r="E318" s="118" t="str">
        <f ca="1">OFFSET(ORÇAMENTO!O$15,ROW(E318)-ROW(E$15),0)</f>
        <v>-</v>
      </c>
      <c r="F318" s="164" t="str">
        <f ca="1">OFFSET(ORÇAMENTO!R$15,ROW(F318)-ROW(F$15),0)</f>
        <v>REGISTRO DE GAVETA BRUTO, LATÃO, ROSCÁVEL, 2 1/2" - FORNECIMENTO E INSTALAÇÃO. AF_08/2021</v>
      </c>
      <c r="G318" s="165" t="str">
        <f ca="1">IF($D318&lt;&gt;"Serviço","",OFFSET(ORÇAMENTO!S$15,ROW(G318)-ROW(G$15),0))</f>
        <v>UN</v>
      </c>
      <c r="H318" s="123">
        <f ca="1">IF($D318&lt;&gt;"Serviço",0,IF(ACOMPANHAMENTO="BM",ROUND(OFFSET(ORÇAMENTO!AJ$15,ROW(H318)-ROW(H$15),0),15-13*ORÇAMENTO!$AF$7),SUMPRODUCT(($Q$1:$AA$1=1)*ROUND($Q318:$AA318,15-13*ORÇAMENTO!$AF$7))))</f>
        <v>2</v>
      </c>
      <c r="I318" s="469"/>
      <c r="J318" s="577" t="str" cm="1">
        <f t="array" aca="1" ref="J318" ca="1">IF(B318&lt;&gt;"S","",IF(AND(ACOMPANHAMENTO="PLE",AUTOEVENTO="Manual",OR(H318&gt;0,ORÇAMENTO!AC318="QUANT."),OR(K318="",M318=0,N318="")),"►",IF(AND(ACOMPANHAMENTO="PLE",ORÇAMENTO!AC318="QUANT."),"►►",IF(AND(COUNTIF($P$11:$AA$11,"▼")=0,H318&gt;0,I318=""),"◄",""))))</f>
        <v>◄</v>
      </c>
      <c r="K318" s="626"/>
      <c r="L318" s="166" t="s">
        <v>765</v>
      </c>
      <c r="M318" s="167">
        <f ca="1">IF($D318&lt;&gt;"Serviço","",
          IF(AUTOEVENTO="manual",$A318,
                IF(ISERROR(MATCH($A318,$A$15:OFFSET($A318,-1,0),0)),MAX($M$15:OFFSET(M318,-1,0))+1,
                      INDEX($M$15:OFFSET(M318,-1,0),MATCH($A318,$A$15:OFFSET($A318,-1,0),0)))))</f>
        <v>16</v>
      </c>
      <c r="N318" s="168" t="str">
        <f ca="1">IF($D318&lt;&gt;"Serviço","",
         IF(AUTOEVENTO="Manual",
                IF($A318=0,"&lt;-- defina o número do agrupador",
                       OFFSET(EVENTOS!$D$15,$A318-$A$15,0)),
                OFFSET($F$15,$A318,0)))</f>
        <v>SISTEMAS DE PREVENÇÃO CONTRA INCÊNDIO</v>
      </c>
      <c r="O318" s="169"/>
      <c r="Q318" s="169"/>
      <c r="R318" s="170"/>
      <c r="S318" s="170"/>
      <c r="T318" s="170"/>
      <c r="U318" s="170"/>
      <c r="V318" s="170"/>
      <c r="W318" s="170"/>
      <c r="X318" s="170"/>
      <c r="Y318" s="170"/>
      <c r="Z318" s="171"/>
      <c r="AB318" s="454">
        <f ca="1">IF(AND($D318="Serviço",AB$12&lt;&gt;0,$H318&gt;0,OR(AUTOEVENTO&lt;&gt;"manual",$M318&lt;&gt;$A$15)),
        IF(Import.TipoArredondamento&lt;&gt;"TransfereGOV",
              ROUND(OFFSET($P318,0,AB$13),15-13*ORÇAMENTO!$AF$7)/$H318*OFFSET(ORÇAMENTO!$X$15,ROW(AB318)-ROW(AB$15),0),
              ROUND(ROUND(OFFSET($P318,0,AB$13),15-13*ORÇAMENTO!$AF$7)*OFFSET(ORÇAMENTO!$W$15,ROW(AB318)-ROW(AB$15),0),15-13*ORÇAMENTO!$AF$11)),
         0)</f>
        <v>0</v>
      </c>
      <c r="AC318" s="454">
        <f ca="1">IF(AND($D318="Serviço",AC$12&lt;&gt;0,$H318&gt;0,OR(AUTOEVENTO&lt;&gt;"manual",$M318&lt;&gt;$A$15)),
        IF(Import.TipoArredondamento&lt;&gt;"TransfereGOV",
              ROUND(OFFSET($P318,0,AC$13),15-13*ORÇAMENTO!$AF$7)/$H318*OFFSET(ORÇAMENTO!$X$15,ROW(AC318)-ROW(AC$15),0),
              ROUND(ROUND(OFFSET($P318,0,AC$13),15-13*ORÇAMENTO!$AF$7)*OFFSET(ORÇAMENTO!$W$15,ROW(AC318)-ROW(AC$15),0),15-13*ORÇAMENTO!$AF$11)),
         0)</f>
        <v>0</v>
      </c>
      <c r="AD318" s="454">
        <f ca="1">IF(AND($D318="Serviço",AD$12&lt;&gt;0,$H318&gt;0,OR(AUTOEVENTO&lt;&gt;"manual",$M318&lt;&gt;$A$15)),
        IF(Import.TipoArredondamento&lt;&gt;"TransfereGOV",
              ROUND(OFFSET($P318,0,AD$13),15-13*ORÇAMENTO!$AF$7)/$H318*OFFSET(ORÇAMENTO!$X$15,ROW(AD318)-ROW(AD$15),0),
              ROUND(ROUND(OFFSET($P318,0,AD$13),15-13*ORÇAMENTO!$AF$7)*OFFSET(ORÇAMENTO!$W$15,ROW(AD318)-ROW(AD$15),0),15-13*ORÇAMENTO!$AF$11)),
         0)</f>
        <v>0</v>
      </c>
      <c r="AE318" s="454">
        <f ca="1">IF(AND($D318="Serviço",AE$12&lt;&gt;0,$H318&gt;0,OR(AUTOEVENTO&lt;&gt;"manual",$M318&lt;&gt;$A$15)),
        IF(Import.TipoArredondamento&lt;&gt;"TransfereGOV",
              ROUND(OFFSET($P318,0,AE$13),15-13*ORÇAMENTO!$AF$7)/$H318*OFFSET(ORÇAMENTO!$X$15,ROW(AE318)-ROW(AE$15),0),
              ROUND(ROUND(OFFSET($P318,0,AE$13),15-13*ORÇAMENTO!$AF$7)*OFFSET(ORÇAMENTO!$W$15,ROW(AE318)-ROW(AE$15),0),15-13*ORÇAMENTO!$AF$11)),
         0)</f>
        <v>0</v>
      </c>
      <c r="AF318" s="454">
        <f ca="1">IF(AND($D318="Serviço",AF$12&lt;&gt;0,$H318&gt;0,OR(AUTOEVENTO&lt;&gt;"manual",$M318&lt;&gt;$A$15)),
        IF(Import.TipoArredondamento&lt;&gt;"TransfereGOV",
              ROUND(OFFSET($P318,0,AF$13),15-13*ORÇAMENTO!$AF$7)/$H318*OFFSET(ORÇAMENTO!$X$15,ROW(AF318)-ROW(AF$15),0),
              ROUND(ROUND(OFFSET($P318,0,AF$13),15-13*ORÇAMENTO!$AF$7)*OFFSET(ORÇAMENTO!$W$15,ROW(AF318)-ROW(AF$15),0),15-13*ORÇAMENTO!$AF$11)),
         0)</f>
        <v>0</v>
      </c>
      <c r="AG318" s="454">
        <f ca="1">IF(AND($D318="Serviço",AG$12&lt;&gt;0,$H318&gt;0,OR(AUTOEVENTO&lt;&gt;"manual",$M318&lt;&gt;$A$15)),
        IF(Import.TipoArredondamento&lt;&gt;"TransfereGOV",
              ROUND(OFFSET($P318,0,AG$13),15-13*ORÇAMENTO!$AF$7)/$H318*OFFSET(ORÇAMENTO!$X$15,ROW(AG318)-ROW(AG$15),0),
              ROUND(ROUND(OFFSET($P318,0,AG$13),15-13*ORÇAMENTO!$AF$7)*OFFSET(ORÇAMENTO!$W$15,ROW(AG318)-ROW(AG$15),0),15-13*ORÇAMENTO!$AF$11)),
         0)</f>
        <v>0</v>
      </c>
      <c r="AH318" s="454">
        <f ca="1">IF(AND($D318="Serviço",AH$12&lt;&gt;0,$H318&gt;0,OR(AUTOEVENTO&lt;&gt;"manual",$M318&lt;&gt;$A$15)),
        IF(Import.TipoArredondamento&lt;&gt;"TransfereGOV",
              ROUND(OFFSET($P318,0,AH$13),15-13*ORÇAMENTO!$AF$7)/$H318*OFFSET(ORÇAMENTO!$X$15,ROW(AH318)-ROW(AH$15),0),
              ROUND(ROUND(OFFSET($P318,0,AH$13),15-13*ORÇAMENTO!$AF$7)*OFFSET(ORÇAMENTO!$W$15,ROW(AH318)-ROW(AH$15),0),15-13*ORÇAMENTO!$AF$11)),
         0)</f>
        <v>0</v>
      </c>
      <c r="AI318" s="454">
        <f ca="1">IF(AND($D318="Serviço",AI$12&lt;&gt;0,$H318&gt;0,OR(AUTOEVENTO&lt;&gt;"manual",$M318&lt;&gt;$A$15)),
        IF(Import.TipoArredondamento&lt;&gt;"TransfereGOV",
              ROUND(OFFSET($P318,0,AI$13),15-13*ORÇAMENTO!$AF$7)/$H318*OFFSET(ORÇAMENTO!$X$15,ROW(AI318)-ROW(AI$15),0),
              ROUND(ROUND(OFFSET($P318,0,AI$13),15-13*ORÇAMENTO!$AF$7)*OFFSET(ORÇAMENTO!$W$15,ROW(AI318)-ROW(AI$15),0),15-13*ORÇAMENTO!$AF$11)),
         0)</f>
        <v>0</v>
      </c>
      <c r="AJ318" s="454">
        <f ca="1">IF(AND($D318="Serviço",AJ$12&lt;&gt;0,$H318&gt;0,OR(AUTOEVENTO&lt;&gt;"manual",$M318&lt;&gt;$A$15)),
        IF(Import.TipoArredondamento&lt;&gt;"TransfereGOV",
              ROUND(OFFSET($P318,0,AJ$13),15-13*ORÇAMENTO!$AF$7)/$H318*OFFSET(ORÇAMENTO!$X$15,ROW(AJ318)-ROW(AJ$15),0),
              ROUND(ROUND(OFFSET($P318,0,AJ$13),15-13*ORÇAMENTO!$AF$7)*OFFSET(ORÇAMENTO!$W$15,ROW(AJ318)-ROW(AJ$15),0),15-13*ORÇAMENTO!$AF$11)),
         0)</f>
        <v>0</v>
      </c>
      <c r="AK318" s="454">
        <f ca="1">IF(AND($D318="Serviço",AK$12&lt;&gt;0,$H318&gt;0,OR(AUTOEVENTO&lt;&gt;"manual",$M318&lt;&gt;$A$15)),
        IF(Import.TipoArredondamento&lt;&gt;"TransfereGOV",
              ROUND(OFFSET($P318,0,AK$13),15-13*ORÇAMENTO!$AF$7)/$H318*OFFSET(ORÇAMENTO!$X$15,ROW(AK318)-ROW(AK$15),0),
              ROUND(ROUND(OFFSET($P318,0,AK$13),15-13*ORÇAMENTO!$AF$7)*OFFSET(ORÇAMENTO!$W$15,ROW(AK318)-ROW(AK$15),0),15-13*ORÇAMENTO!$AF$11)),
         0)</f>
        <v>0</v>
      </c>
      <c r="AM318" s="172">
        <f ca="1">IF(OR($D318&lt;&gt;"Serviço",AND(AUTOEVENTO="Manual",$M318=$A$15)),0,
         IF(OFFSET(CRONOPLE!$F$15,$M318-$A$15,AM$13)="",10^12,OFFSET(CRONOPLE!$F$15,$M318-$A$15,AM$13)))</f>
        <v>1000000000000</v>
      </c>
      <c r="AN318" s="172">
        <f ca="1">IF(OR($D318&lt;&gt;"Serviço",AND(AUTOEVENTO="Manual",$M318=$A$15)),0,
         IF(OFFSET(CRONOPLE!$F$15,$M318-$A$15,AN$13)="",10^12,OFFSET(CRONOPLE!$F$15,$M318-$A$15,AN$13)))</f>
        <v>1000000000000</v>
      </c>
      <c r="AO318" s="172">
        <f ca="1">IF(OR($D318&lt;&gt;"Serviço",AND(AUTOEVENTO="Manual",$M318=$A$15)),0,
         IF(OFFSET(CRONOPLE!$F$15,$M318-$A$15,AO$13)="",10^12,OFFSET(CRONOPLE!$F$15,$M318-$A$15,AO$13)))</f>
        <v>1000000000000</v>
      </c>
      <c r="AP318" s="172">
        <f ca="1">IF(OR($D318&lt;&gt;"Serviço",AND(AUTOEVENTO="Manual",$M318=$A$15)),0,
         IF(OFFSET(CRONOPLE!$F$15,$M318-$A$15,AP$13)="",10^12,OFFSET(CRONOPLE!$F$15,$M318-$A$15,AP$13)))</f>
        <v>1000000000000</v>
      </c>
      <c r="AQ318" s="172">
        <f ca="1">IF(OR($D318&lt;&gt;"Serviço",AND(AUTOEVENTO="Manual",$M318=$A$15)),0,
         IF(OFFSET(CRONOPLE!$F$15,$M318-$A$15,AQ$13)="",10^12,OFFSET(CRONOPLE!$F$15,$M318-$A$15,AQ$13)))</f>
        <v>1000000000000</v>
      </c>
      <c r="AR318" s="172">
        <f ca="1">IF(OR($D318&lt;&gt;"Serviço",AND(AUTOEVENTO="Manual",$M318=$A$15)),0,
         IF(OFFSET(CRONOPLE!$F$15,$M318-$A$15,AR$13)="",10^12,OFFSET(CRONOPLE!$F$15,$M318-$A$15,AR$13)))</f>
        <v>1000000000000</v>
      </c>
      <c r="AS318" s="172">
        <f ca="1">IF(OR($D318&lt;&gt;"Serviço",AND(AUTOEVENTO="Manual",$M318=$A$15)),0,
         IF(OFFSET(CRONOPLE!$F$15,$M318-$A$15,AS$13)="",10^12,OFFSET(CRONOPLE!$F$15,$M318-$A$15,AS$13)))</f>
        <v>1000000000000</v>
      </c>
      <c r="AT318" s="172">
        <f ca="1">IF(OR($D318&lt;&gt;"Serviço",AND(AUTOEVENTO="Manual",$M318=$A$15)),0,
         IF(OFFSET(CRONOPLE!$F$15,$M318-$A$15,AT$13)="",10^12,OFFSET(CRONOPLE!$F$15,$M318-$A$15,AT$13)))</f>
        <v>1000000000000</v>
      </c>
      <c r="AU318" s="172">
        <f ca="1">IF(OR($D318&lt;&gt;"Serviço",AND(AUTOEVENTO="Manual",$M318=$A$15)),0,
         IF(OFFSET(CRONOPLE!$F$15,$M318-$A$15,AU$13)="",10^12,OFFSET(CRONOPLE!$F$15,$M318-$A$15,AU$13)))</f>
        <v>1000000000000</v>
      </c>
      <c r="AV318" s="172">
        <f ca="1">IF(OR($D318&lt;&gt;"Serviço",AND(AUTOEVENTO="Manual",$M318=$A$15)),0,
         IF(OFFSET(CRONOPLE!$F$15,$M318-$A$15,AV$13)="",10^12,OFFSET(CRONOPLE!$F$15,$M318-$A$15,AV$13)))</f>
        <v>1000000000000</v>
      </c>
      <c r="AX318" s="173">
        <f ca="1">IF(OR($D318&lt;&gt;"Serviço",AND(AUTOEVENTO="Manual",$M318=$A$15),$M318&gt;(ROW(PLE.lastrow)-ROW(PLE.firstrow))),0,
           IF(OFFSET(PLE!$G$15,$M318-$A$15,AX$13)="",10^12,OFFSET(PLE!$G$15,$M318-$A$15,AX$13)))</f>
        <v>1000000000000</v>
      </c>
      <c r="AY318" s="173">
        <f ca="1">IF(OR($D318&lt;&gt;"Serviço",AND(AUTOEVENTO="Manual",$M318=$A$15),$M318&gt;(ROW(PLE.lastrow)-ROW(PLE.firstrow))),0,
           IF(OFFSET(PLE!$G$15,$M318-$A$15,AY$13)="",10^12,OFFSET(PLE!$G$15,$M318-$A$15,AY$13)))</f>
        <v>1000000000000</v>
      </c>
      <c r="AZ318" s="173">
        <f ca="1">IF(OR($D318&lt;&gt;"Serviço",AND(AUTOEVENTO="Manual",$M318=$A$15),$M318&gt;(ROW(PLE.lastrow)-ROW(PLE.firstrow))),0,
           IF(OFFSET(PLE!$G$15,$M318-$A$15,AZ$13)="",10^12,OFFSET(PLE!$G$15,$M318-$A$15,AZ$13)))</f>
        <v>1000000000000</v>
      </c>
      <c r="BA318" s="173">
        <f ca="1">IF(OR($D318&lt;&gt;"Serviço",AND(AUTOEVENTO="Manual",$M318=$A$15),$M318&gt;(ROW(PLE.lastrow)-ROW(PLE.firstrow))),0,
           IF(OFFSET(PLE!$G$15,$M318-$A$15,BA$13)="",10^12,OFFSET(PLE!$G$15,$M318-$A$15,BA$13)))</f>
        <v>1000000000000</v>
      </c>
      <c r="BB318" s="173">
        <f ca="1">IF(OR($D318&lt;&gt;"Serviço",AND(AUTOEVENTO="Manual",$M318=$A$15),$M318&gt;(ROW(PLE.lastrow)-ROW(PLE.firstrow))),0,
           IF(OFFSET(PLE!$G$15,$M318-$A$15,BB$13)="",10^12,OFFSET(PLE!$G$15,$M318-$A$15,BB$13)))</f>
        <v>1000000000000</v>
      </c>
      <c r="BC318" s="173">
        <f ca="1">IF(OR($D318&lt;&gt;"Serviço",AND(AUTOEVENTO="Manual",$M318=$A$15),$M318&gt;(ROW(PLE.lastrow)-ROW(PLE.firstrow))),0,
           IF(OFFSET(PLE!$G$15,$M318-$A$15,BC$13)="",10^12,OFFSET(PLE!$G$15,$M318-$A$15,BC$13)))</f>
        <v>1000000000000</v>
      </c>
      <c r="BD318" s="173">
        <f ca="1">IF(OR($D318&lt;&gt;"Serviço",AND(AUTOEVENTO="Manual",$M318=$A$15),$M318&gt;(ROW(PLE.lastrow)-ROW(PLE.firstrow))),0,
           IF(OFFSET(PLE!$G$15,$M318-$A$15,BD$13)="",10^12,OFFSET(PLE!$G$15,$M318-$A$15,BD$13)))</f>
        <v>1000000000000</v>
      </c>
      <c r="BE318" s="173">
        <f ca="1">IF(OR($D318&lt;&gt;"Serviço",AND(AUTOEVENTO="Manual",$M318=$A$15),$M318&gt;(ROW(PLE.lastrow)-ROW(PLE.firstrow))),0,
           IF(OFFSET(PLE!$G$15,$M318-$A$15,BE$13)="",10^12,OFFSET(PLE!$G$15,$M318-$A$15,BE$13)))</f>
        <v>1000000000000</v>
      </c>
      <c r="BF318" s="173">
        <f ca="1">IF(OR($D318&lt;&gt;"Serviço",AND(AUTOEVENTO="Manual",$M318=$A$15),$M318&gt;(ROW(PLE.lastrow)-ROW(PLE.firstrow))),0,
           IF(OFFSET(PLE!$G$15,$M318-$A$15,BF$13)="",10^12,OFFSET(PLE!$G$15,$M318-$A$15,BF$13)))</f>
        <v>1000000000000</v>
      </c>
      <c r="BG318" s="173">
        <f ca="1">IF(OR($D318&lt;&gt;"Serviço",AND(AUTOEVENTO="Manual",$M318=$A$15),$M318&gt;(ROW(PLE.lastrow)-ROW(PLE.firstrow))),0,
           IF(OFFSET(PLE!$G$15,$M318-$A$15,BG$13)="",10^12,OFFSET(PLE!$G$15,$M318-$A$15,BG$13)))</f>
        <v>1000000000000</v>
      </c>
    </row>
    <row r="319" spans="1:59" ht="25.5" x14ac:dyDescent="0.2">
      <c r="A319" s="7" t="str">
        <f t="shared" ca="1" si="12"/>
        <v>253</v>
      </c>
      <c r="B319" s="7" t="str">
        <f ca="1">OFFSET(ORÇAMENTO!C$15,ROW(B319)-ROW(B$15),0)</f>
        <v>S</v>
      </c>
      <c r="C319" s="7" t="str">
        <f ca="1">OFFSET(ORÇAMENTO!L$15,ROW(C319)-ROW(C$15),0)</f>
        <v/>
      </c>
      <c r="D319" s="117" t="str">
        <f ca="1">OFFSET(ORÇAMENTO!N$15,ROW(D319)-ROW(D$15),0)</f>
        <v>Serviço</v>
      </c>
      <c r="E319" s="118" t="str">
        <f ca="1">OFFSET(ORÇAMENTO!O$15,ROW(E319)-ROW(E$15),0)</f>
        <v>-</v>
      </c>
      <c r="F319" s="164" t="str">
        <f ca="1">OFFSET(ORÇAMENTO!R$15,ROW(F319)-ROW(F$15),0)</f>
        <v>VÁLVULA DE RETENÇÃO VERTICAL, DE BRONZE, ROSCÁVEL, 2 1/2" - FORNECIMENTO E INSTALAÇÃO. AF_08/2021</v>
      </c>
      <c r="G319" s="165" t="str">
        <f ca="1">IF($D319&lt;&gt;"Serviço","",OFFSET(ORÇAMENTO!S$15,ROW(G319)-ROW(G$15),0))</f>
        <v>UN</v>
      </c>
      <c r="H319" s="123">
        <f ca="1">IF($D319&lt;&gt;"Serviço",0,IF(ACOMPANHAMENTO="BM",ROUND(OFFSET(ORÇAMENTO!AJ$15,ROW(H319)-ROW(H$15),0),15-13*ORÇAMENTO!$AF$7),SUMPRODUCT(($Q$1:$AA$1=1)*ROUND($Q319:$AA319,15-13*ORÇAMENTO!$AF$7))))</f>
        <v>1</v>
      </c>
      <c r="I319" s="469"/>
      <c r="J319" s="577" t="str" cm="1">
        <f t="array" aca="1" ref="J319" ca="1">IF(B319&lt;&gt;"S","",IF(AND(ACOMPANHAMENTO="PLE",AUTOEVENTO="Manual",OR(H319&gt;0,ORÇAMENTO!AC319="QUANT."),OR(K319="",M319=0,N319="")),"►",IF(AND(ACOMPANHAMENTO="PLE",ORÇAMENTO!AC319="QUANT."),"►►",IF(AND(COUNTIF($P$11:$AA$11,"▼")=0,H319&gt;0,I319=""),"◄",""))))</f>
        <v>◄</v>
      </c>
      <c r="K319" s="626"/>
      <c r="L319" s="166" t="s">
        <v>765</v>
      </c>
      <c r="M319" s="167">
        <f ca="1">IF($D319&lt;&gt;"Serviço","",
          IF(AUTOEVENTO="manual",$A319,
                IF(ISERROR(MATCH($A319,$A$15:OFFSET($A319,-1,0),0)),MAX($M$15:OFFSET(M319,-1,0))+1,
                      INDEX($M$15:OFFSET(M319,-1,0),MATCH($A319,$A$15:OFFSET($A319,-1,0),0)))))</f>
        <v>16</v>
      </c>
      <c r="N319" s="168" t="str">
        <f ca="1">IF($D319&lt;&gt;"Serviço","",
         IF(AUTOEVENTO="Manual",
                IF($A319=0,"&lt;-- defina o número do agrupador",
                       OFFSET(EVENTOS!$D$15,$A319-$A$15,0)),
                OFFSET($F$15,$A319,0)))</f>
        <v>SISTEMAS DE PREVENÇÃO CONTRA INCÊNDIO</v>
      </c>
      <c r="O319" s="169"/>
      <c r="Q319" s="169"/>
      <c r="R319" s="170"/>
      <c r="S319" s="170"/>
      <c r="T319" s="170"/>
      <c r="U319" s="170"/>
      <c r="V319" s="170"/>
      <c r="W319" s="170"/>
      <c r="X319" s="170"/>
      <c r="Y319" s="170"/>
      <c r="Z319" s="171"/>
      <c r="AB319" s="454">
        <f ca="1">IF(AND($D319="Serviço",AB$12&lt;&gt;0,$H319&gt;0,OR(AUTOEVENTO&lt;&gt;"manual",$M319&lt;&gt;$A$15)),
        IF(Import.TipoArredondamento&lt;&gt;"TransfereGOV",
              ROUND(OFFSET($P319,0,AB$13),15-13*ORÇAMENTO!$AF$7)/$H319*OFFSET(ORÇAMENTO!$X$15,ROW(AB319)-ROW(AB$15),0),
              ROUND(ROUND(OFFSET($P319,0,AB$13),15-13*ORÇAMENTO!$AF$7)*OFFSET(ORÇAMENTO!$W$15,ROW(AB319)-ROW(AB$15),0),15-13*ORÇAMENTO!$AF$11)),
         0)</f>
        <v>0</v>
      </c>
      <c r="AC319" s="454">
        <f ca="1">IF(AND($D319="Serviço",AC$12&lt;&gt;0,$H319&gt;0,OR(AUTOEVENTO&lt;&gt;"manual",$M319&lt;&gt;$A$15)),
        IF(Import.TipoArredondamento&lt;&gt;"TransfereGOV",
              ROUND(OFFSET($P319,0,AC$13),15-13*ORÇAMENTO!$AF$7)/$H319*OFFSET(ORÇAMENTO!$X$15,ROW(AC319)-ROW(AC$15),0),
              ROUND(ROUND(OFFSET($P319,0,AC$13),15-13*ORÇAMENTO!$AF$7)*OFFSET(ORÇAMENTO!$W$15,ROW(AC319)-ROW(AC$15),0),15-13*ORÇAMENTO!$AF$11)),
         0)</f>
        <v>0</v>
      </c>
      <c r="AD319" s="454">
        <f ca="1">IF(AND($D319="Serviço",AD$12&lt;&gt;0,$H319&gt;0,OR(AUTOEVENTO&lt;&gt;"manual",$M319&lt;&gt;$A$15)),
        IF(Import.TipoArredondamento&lt;&gt;"TransfereGOV",
              ROUND(OFFSET($P319,0,AD$13),15-13*ORÇAMENTO!$AF$7)/$H319*OFFSET(ORÇAMENTO!$X$15,ROW(AD319)-ROW(AD$15),0),
              ROUND(ROUND(OFFSET($P319,0,AD$13),15-13*ORÇAMENTO!$AF$7)*OFFSET(ORÇAMENTO!$W$15,ROW(AD319)-ROW(AD$15),0),15-13*ORÇAMENTO!$AF$11)),
         0)</f>
        <v>0</v>
      </c>
      <c r="AE319" s="454">
        <f ca="1">IF(AND($D319="Serviço",AE$12&lt;&gt;0,$H319&gt;0,OR(AUTOEVENTO&lt;&gt;"manual",$M319&lt;&gt;$A$15)),
        IF(Import.TipoArredondamento&lt;&gt;"TransfereGOV",
              ROUND(OFFSET($P319,0,AE$13),15-13*ORÇAMENTO!$AF$7)/$H319*OFFSET(ORÇAMENTO!$X$15,ROW(AE319)-ROW(AE$15),0),
              ROUND(ROUND(OFFSET($P319,0,AE$13),15-13*ORÇAMENTO!$AF$7)*OFFSET(ORÇAMENTO!$W$15,ROW(AE319)-ROW(AE$15),0),15-13*ORÇAMENTO!$AF$11)),
         0)</f>
        <v>0</v>
      </c>
      <c r="AF319" s="454">
        <f ca="1">IF(AND($D319="Serviço",AF$12&lt;&gt;0,$H319&gt;0,OR(AUTOEVENTO&lt;&gt;"manual",$M319&lt;&gt;$A$15)),
        IF(Import.TipoArredondamento&lt;&gt;"TransfereGOV",
              ROUND(OFFSET($P319,0,AF$13),15-13*ORÇAMENTO!$AF$7)/$H319*OFFSET(ORÇAMENTO!$X$15,ROW(AF319)-ROW(AF$15),0),
              ROUND(ROUND(OFFSET($P319,0,AF$13),15-13*ORÇAMENTO!$AF$7)*OFFSET(ORÇAMENTO!$W$15,ROW(AF319)-ROW(AF$15),0),15-13*ORÇAMENTO!$AF$11)),
         0)</f>
        <v>0</v>
      </c>
      <c r="AG319" s="454">
        <f ca="1">IF(AND($D319="Serviço",AG$12&lt;&gt;0,$H319&gt;0,OR(AUTOEVENTO&lt;&gt;"manual",$M319&lt;&gt;$A$15)),
        IF(Import.TipoArredondamento&lt;&gt;"TransfereGOV",
              ROUND(OFFSET($P319,0,AG$13),15-13*ORÇAMENTO!$AF$7)/$H319*OFFSET(ORÇAMENTO!$X$15,ROW(AG319)-ROW(AG$15),0),
              ROUND(ROUND(OFFSET($P319,0,AG$13),15-13*ORÇAMENTO!$AF$7)*OFFSET(ORÇAMENTO!$W$15,ROW(AG319)-ROW(AG$15),0),15-13*ORÇAMENTO!$AF$11)),
         0)</f>
        <v>0</v>
      </c>
      <c r="AH319" s="454">
        <f ca="1">IF(AND($D319="Serviço",AH$12&lt;&gt;0,$H319&gt;0,OR(AUTOEVENTO&lt;&gt;"manual",$M319&lt;&gt;$A$15)),
        IF(Import.TipoArredondamento&lt;&gt;"TransfereGOV",
              ROUND(OFFSET($P319,0,AH$13),15-13*ORÇAMENTO!$AF$7)/$H319*OFFSET(ORÇAMENTO!$X$15,ROW(AH319)-ROW(AH$15),0),
              ROUND(ROUND(OFFSET($P319,0,AH$13),15-13*ORÇAMENTO!$AF$7)*OFFSET(ORÇAMENTO!$W$15,ROW(AH319)-ROW(AH$15),0),15-13*ORÇAMENTO!$AF$11)),
         0)</f>
        <v>0</v>
      </c>
      <c r="AI319" s="454">
        <f ca="1">IF(AND($D319="Serviço",AI$12&lt;&gt;0,$H319&gt;0,OR(AUTOEVENTO&lt;&gt;"manual",$M319&lt;&gt;$A$15)),
        IF(Import.TipoArredondamento&lt;&gt;"TransfereGOV",
              ROUND(OFFSET($P319,0,AI$13),15-13*ORÇAMENTO!$AF$7)/$H319*OFFSET(ORÇAMENTO!$X$15,ROW(AI319)-ROW(AI$15),0),
              ROUND(ROUND(OFFSET($P319,0,AI$13),15-13*ORÇAMENTO!$AF$7)*OFFSET(ORÇAMENTO!$W$15,ROW(AI319)-ROW(AI$15),0),15-13*ORÇAMENTO!$AF$11)),
         0)</f>
        <v>0</v>
      </c>
      <c r="AJ319" s="454">
        <f ca="1">IF(AND($D319="Serviço",AJ$12&lt;&gt;0,$H319&gt;0,OR(AUTOEVENTO&lt;&gt;"manual",$M319&lt;&gt;$A$15)),
        IF(Import.TipoArredondamento&lt;&gt;"TransfereGOV",
              ROUND(OFFSET($P319,0,AJ$13),15-13*ORÇAMENTO!$AF$7)/$H319*OFFSET(ORÇAMENTO!$X$15,ROW(AJ319)-ROW(AJ$15),0),
              ROUND(ROUND(OFFSET($P319,0,AJ$13),15-13*ORÇAMENTO!$AF$7)*OFFSET(ORÇAMENTO!$W$15,ROW(AJ319)-ROW(AJ$15),0),15-13*ORÇAMENTO!$AF$11)),
         0)</f>
        <v>0</v>
      </c>
      <c r="AK319" s="454">
        <f ca="1">IF(AND($D319="Serviço",AK$12&lt;&gt;0,$H319&gt;0,OR(AUTOEVENTO&lt;&gt;"manual",$M319&lt;&gt;$A$15)),
        IF(Import.TipoArredondamento&lt;&gt;"TransfereGOV",
              ROUND(OFFSET($P319,0,AK$13),15-13*ORÇAMENTO!$AF$7)/$H319*OFFSET(ORÇAMENTO!$X$15,ROW(AK319)-ROW(AK$15),0),
              ROUND(ROUND(OFFSET($P319,0,AK$13),15-13*ORÇAMENTO!$AF$7)*OFFSET(ORÇAMENTO!$W$15,ROW(AK319)-ROW(AK$15),0),15-13*ORÇAMENTO!$AF$11)),
         0)</f>
        <v>0</v>
      </c>
      <c r="AM319" s="172">
        <f ca="1">IF(OR($D319&lt;&gt;"Serviço",AND(AUTOEVENTO="Manual",$M319=$A$15)),0,
         IF(OFFSET(CRONOPLE!$F$15,$M319-$A$15,AM$13)="",10^12,OFFSET(CRONOPLE!$F$15,$M319-$A$15,AM$13)))</f>
        <v>1000000000000</v>
      </c>
      <c r="AN319" s="172">
        <f ca="1">IF(OR($D319&lt;&gt;"Serviço",AND(AUTOEVENTO="Manual",$M319=$A$15)),0,
         IF(OFFSET(CRONOPLE!$F$15,$M319-$A$15,AN$13)="",10^12,OFFSET(CRONOPLE!$F$15,$M319-$A$15,AN$13)))</f>
        <v>1000000000000</v>
      </c>
      <c r="AO319" s="172">
        <f ca="1">IF(OR($D319&lt;&gt;"Serviço",AND(AUTOEVENTO="Manual",$M319=$A$15)),0,
         IF(OFFSET(CRONOPLE!$F$15,$M319-$A$15,AO$13)="",10^12,OFFSET(CRONOPLE!$F$15,$M319-$A$15,AO$13)))</f>
        <v>1000000000000</v>
      </c>
      <c r="AP319" s="172">
        <f ca="1">IF(OR($D319&lt;&gt;"Serviço",AND(AUTOEVENTO="Manual",$M319=$A$15)),0,
         IF(OFFSET(CRONOPLE!$F$15,$M319-$A$15,AP$13)="",10^12,OFFSET(CRONOPLE!$F$15,$M319-$A$15,AP$13)))</f>
        <v>1000000000000</v>
      </c>
      <c r="AQ319" s="172">
        <f ca="1">IF(OR($D319&lt;&gt;"Serviço",AND(AUTOEVENTO="Manual",$M319=$A$15)),0,
         IF(OFFSET(CRONOPLE!$F$15,$M319-$A$15,AQ$13)="",10^12,OFFSET(CRONOPLE!$F$15,$M319-$A$15,AQ$13)))</f>
        <v>1000000000000</v>
      </c>
      <c r="AR319" s="172">
        <f ca="1">IF(OR($D319&lt;&gt;"Serviço",AND(AUTOEVENTO="Manual",$M319=$A$15)),0,
         IF(OFFSET(CRONOPLE!$F$15,$M319-$A$15,AR$13)="",10^12,OFFSET(CRONOPLE!$F$15,$M319-$A$15,AR$13)))</f>
        <v>1000000000000</v>
      </c>
      <c r="AS319" s="172">
        <f ca="1">IF(OR($D319&lt;&gt;"Serviço",AND(AUTOEVENTO="Manual",$M319=$A$15)),0,
         IF(OFFSET(CRONOPLE!$F$15,$M319-$A$15,AS$13)="",10^12,OFFSET(CRONOPLE!$F$15,$M319-$A$15,AS$13)))</f>
        <v>1000000000000</v>
      </c>
      <c r="AT319" s="172">
        <f ca="1">IF(OR($D319&lt;&gt;"Serviço",AND(AUTOEVENTO="Manual",$M319=$A$15)),0,
         IF(OFFSET(CRONOPLE!$F$15,$M319-$A$15,AT$13)="",10^12,OFFSET(CRONOPLE!$F$15,$M319-$A$15,AT$13)))</f>
        <v>1000000000000</v>
      </c>
      <c r="AU319" s="172">
        <f ca="1">IF(OR($D319&lt;&gt;"Serviço",AND(AUTOEVENTO="Manual",$M319=$A$15)),0,
         IF(OFFSET(CRONOPLE!$F$15,$M319-$A$15,AU$13)="",10^12,OFFSET(CRONOPLE!$F$15,$M319-$A$15,AU$13)))</f>
        <v>1000000000000</v>
      </c>
      <c r="AV319" s="172">
        <f ca="1">IF(OR($D319&lt;&gt;"Serviço",AND(AUTOEVENTO="Manual",$M319=$A$15)),0,
         IF(OFFSET(CRONOPLE!$F$15,$M319-$A$15,AV$13)="",10^12,OFFSET(CRONOPLE!$F$15,$M319-$A$15,AV$13)))</f>
        <v>1000000000000</v>
      </c>
      <c r="AX319" s="173">
        <f ca="1">IF(OR($D319&lt;&gt;"Serviço",AND(AUTOEVENTO="Manual",$M319=$A$15),$M319&gt;(ROW(PLE.lastrow)-ROW(PLE.firstrow))),0,
           IF(OFFSET(PLE!$G$15,$M319-$A$15,AX$13)="",10^12,OFFSET(PLE!$G$15,$M319-$A$15,AX$13)))</f>
        <v>1000000000000</v>
      </c>
      <c r="AY319" s="173">
        <f ca="1">IF(OR($D319&lt;&gt;"Serviço",AND(AUTOEVENTO="Manual",$M319=$A$15),$M319&gt;(ROW(PLE.lastrow)-ROW(PLE.firstrow))),0,
           IF(OFFSET(PLE!$G$15,$M319-$A$15,AY$13)="",10^12,OFFSET(PLE!$G$15,$M319-$A$15,AY$13)))</f>
        <v>1000000000000</v>
      </c>
      <c r="AZ319" s="173">
        <f ca="1">IF(OR($D319&lt;&gt;"Serviço",AND(AUTOEVENTO="Manual",$M319=$A$15),$M319&gt;(ROW(PLE.lastrow)-ROW(PLE.firstrow))),0,
           IF(OFFSET(PLE!$G$15,$M319-$A$15,AZ$13)="",10^12,OFFSET(PLE!$G$15,$M319-$A$15,AZ$13)))</f>
        <v>1000000000000</v>
      </c>
      <c r="BA319" s="173">
        <f ca="1">IF(OR($D319&lt;&gt;"Serviço",AND(AUTOEVENTO="Manual",$M319=$A$15),$M319&gt;(ROW(PLE.lastrow)-ROW(PLE.firstrow))),0,
           IF(OFFSET(PLE!$G$15,$M319-$A$15,BA$13)="",10^12,OFFSET(PLE!$G$15,$M319-$A$15,BA$13)))</f>
        <v>1000000000000</v>
      </c>
      <c r="BB319" s="173">
        <f ca="1">IF(OR($D319&lt;&gt;"Serviço",AND(AUTOEVENTO="Manual",$M319=$A$15),$M319&gt;(ROW(PLE.lastrow)-ROW(PLE.firstrow))),0,
           IF(OFFSET(PLE!$G$15,$M319-$A$15,BB$13)="",10^12,OFFSET(PLE!$G$15,$M319-$A$15,BB$13)))</f>
        <v>1000000000000</v>
      </c>
      <c r="BC319" s="173">
        <f ca="1">IF(OR($D319&lt;&gt;"Serviço",AND(AUTOEVENTO="Manual",$M319=$A$15),$M319&gt;(ROW(PLE.lastrow)-ROW(PLE.firstrow))),0,
           IF(OFFSET(PLE!$G$15,$M319-$A$15,BC$13)="",10^12,OFFSET(PLE!$G$15,$M319-$A$15,BC$13)))</f>
        <v>1000000000000</v>
      </c>
      <c r="BD319" s="173">
        <f ca="1">IF(OR($D319&lt;&gt;"Serviço",AND(AUTOEVENTO="Manual",$M319=$A$15),$M319&gt;(ROW(PLE.lastrow)-ROW(PLE.firstrow))),0,
           IF(OFFSET(PLE!$G$15,$M319-$A$15,BD$13)="",10^12,OFFSET(PLE!$G$15,$M319-$A$15,BD$13)))</f>
        <v>1000000000000</v>
      </c>
      <c r="BE319" s="173">
        <f ca="1">IF(OR($D319&lt;&gt;"Serviço",AND(AUTOEVENTO="Manual",$M319=$A$15),$M319&gt;(ROW(PLE.lastrow)-ROW(PLE.firstrow))),0,
           IF(OFFSET(PLE!$G$15,$M319-$A$15,BE$13)="",10^12,OFFSET(PLE!$G$15,$M319-$A$15,BE$13)))</f>
        <v>1000000000000</v>
      </c>
      <c r="BF319" s="173">
        <f ca="1">IF(OR($D319&lt;&gt;"Serviço",AND(AUTOEVENTO="Manual",$M319=$A$15),$M319&gt;(ROW(PLE.lastrow)-ROW(PLE.firstrow))),0,
           IF(OFFSET(PLE!$G$15,$M319-$A$15,BF$13)="",10^12,OFFSET(PLE!$G$15,$M319-$A$15,BF$13)))</f>
        <v>1000000000000</v>
      </c>
      <c r="BG319" s="173">
        <f ca="1">IF(OR($D319&lt;&gt;"Serviço",AND(AUTOEVENTO="Manual",$M319=$A$15),$M319&gt;(ROW(PLE.lastrow)-ROW(PLE.firstrow))),0,
           IF(OFFSET(PLE!$G$15,$M319-$A$15,BG$13)="",10^12,OFFSET(PLE!$G$15,$M319-$A$15,BG$13)))</f>
        <v>1000000000000</v>
      </c>
    </row>
    <row r="320" spans="1:59" ht="25.5" x14ac:dyDescent="0.2">
      <c r="A320" s="7" t="str">
        <f t="shared" ca="1" si="12"/>
        <v>253</v>
      </c>
      <c r="B320" s="7" t="str">
        <f ca="1">OFFSET(ORÇAMENTO!C$15,ROW(B320)-ROW(B$15),0)</f>
        <v>S</v>
      </c>
      <c r="C320" s="7" t="str">
        <f ca="1">OFFSET(ORÇAMENTO!L$15,ROW(C320)-ROW(C$15),0)</f>
        <v/>
      </c>
      <c r="D320" s="117" t="str">
        <f ca="1">OFFSET(ORÇAMENTO!N$15,ROW(D320)-ROW(D$15),0)</f>
        <v>Serviço</v>
      </c>
      <c r="E320" s="118" t="str">
        <f ca="1">OFFSET(ORÇAMENTO!O$15,ROW(E320)-ROW(E$15),0)</f>
        <v>-</v>
      </c>
      <c r="F320" s="164" t="str">
        <f ca="1">OFFSET(ORÇAMENTO!R$15,ROW(F320)-ROW(F$15),0)</f>
        <v>VÁLVULA DE RETENÇÃO HORIZONTAL, DE BRONZE, ROSCÁVEL, 2 1/2" - FORNECIMENTO E INSTALAÇÃO. AF_08/2021</v>
      </c>
      <c r="G320" s="165" t="str">
        <f ca="1">IF($D320&lt;&gt;"Serviço","",OFFSET(ORÇAMENTO!S$15,ROW(G320)-ROW(G$15),0))</f>
        <v>UN</v>
      </c>
      <c r="H320" s="123">
        <f ca="1">IF($D320&lt;&gt;"Serviço",0,IF(ACOMPANHAMENTO="BM",ROUND(OFFSET(ORÇAMENTO!AJ$15,ROW(H320)-ROW(H$15),0),15-13*ORÇAMENTO!$AF$7),SUMPRODUCT(($Q$1:$AA$1=1)*ROUND($Q320:$AA320,15-13*ORÇAMENTO!$AF$7))))</f>
        <v>1</v>
      </c>
      <c r="I320" s="469"/>
      <c r="J320" s="577" t="str" cm="1">
        <f t="array" aca="1" ref="J320" ca="1">IF(B320&lt;&gt;"S","",IF(AND(ACOMPANHAMENTO="PLE",AUTOEVENTO="Manual",OR(H320&gt;0,ORÇAMENTO!AC320="QUANT."),OR(K320="",M320=0,N320="")),"►",IF(AND(ACOMPANHAMENTO="PLE",ORÇAMENTO!AC320="QUANT."),"►►",IF(AND(COUNTIF($P$11:$AA$11,"▼")=0,H320&gt;0,I320=""),"◄",""))))</f>
        <v>◄</v>
      </c>
      <c r="K320" s="626"/>
      <c r="L320" s="166" t="s">
        <v>765</v>
      </c>
      <c r="M320" s="167">
        <f ca="1">IF($D320&lt;&gt;"Serviço","",
          IF(AUTOEVENTO="manual",$A320,
                IF(ISERROR(MATCH($A320,$A$15:OFFSET($A320,-1,0),0)),MAX($M$15:OFFSET(M320,-1,0))+1,
                      INDEX($M$15:OFFSET(M320,-1,0),MATCH($A320,$A$15:OFFSET($A320,-1,0),0)))))</f>
        <v>16</v>
      </c>
      <c r="N320" s="168" t="str">
        <f ca="1">IF($D320&lt;&gt;"Serviço","",
         IF(AUTOEVENTO="Manual",
                IF($A320=0,"&lt;-- defina o número do agrupador",
                       OFFSET(EVENTOS!$D$15,$A320-$A$15,0)),
                OFFSET($F$15,$A320,0)))</f>
        <v>SISTEMAS DE PREVENÇÃO CONTRA INCÊNDIO</v>
      </c>
      <c r="O320" s="169"/>
      <c r="Q320" s="169"/>
      <c r="R320" s="170"/>
      <c r="S320" s="170"/>
      <c r="T320" s="170"/>
      <c r="U320" s="170"/>
      <c r="V320" s="170"/>
      <c r="W320" s="170"/>
      <c r="X320" s="170"/>
      <c r="Y320" s="170"/>
      <c r="Z320" s="171"/>
      <c r="AB320" s="454">
        <f ca="1">IF(AND($D320="Serviço",AB$12&lt;&gt;0,$H320&gt;0,OR(AUTOEVENTO&lt;&gt;"manual",$M320&lt;&gt;$A$15)),
        IF(Import.TipoArredondamento&lt;&gt;"TransfereGOV",
              ROUND(OFFSET($P320,0,AB$13),15-13*ORÇAMENTO!$AF$7)/$H320*OFFSET(ORÇAMENTO!$X$15,ROW(AB320)-ROW(AB$15),0),
              ROUND(ROUND(OFFSET($P320,0,AB$13),15-13*ORÇAMENTO!$AF$7)*OFFSET(ORÇAMENTO!$W$15,ROW(AB320)-ROW(AB$15),0),15-13*ORÇAMENTO!$AF$11)),
         0)</f>
        <v>0</v>
      </c>
      <c r="AC320" s="454">
        <f ca="1">IF(AND($D320="Serviço",AC$12&lt;&gt;0,$H320&gt;0,OR(AUTOEVENTO&lt;&gt;"manual",$M320&lt;&gt;$A$15)),
        IF(Import.TipoArredondamento&lt;&gt;"TransfereGOV",
              ROUND(OFFSET($P320,0,AC$13),15-13*ORÇAMENTO!$AF$7)/$H320*OFFSET(ORÇAMENTO!$X$15,ROW(AC320)-ROW(AC$15),0),
              ROUND(ROUND(OFFSET($P320,0,AC$13),15-13*ORÇAMENTO!$AF$7)*OFFSET(ORÇAMENTO!$W$15,ROW(AC320)-ROW(AC$15),0),15-13*ORÇAMENTO!$AF$11)),
         0)</f>
        <v>0</v>
      </c>
      <c r="AD320" s="454">
        <f ca="1">IF(AND($D320="Serviço",AD$12&lt;&gt;0,$H320&gt;0,OR(AUTOEVENTO&lt;&gt;"manual",$M320&lt;&gt;$A$15)),
        IF(Import.TipoArredondamento&lt;&gt;"TransfereGOV",
              ROUND(OFFSET($P320,0,AD$13),15-13*ORÇAMENTO!$AF$7)/$H320*OFFSET(ORÇAMENTO!$X$15,ROW(AD320)-ROW(AD$15),0),
              ROUND(ROUND(OFFSET($P320,0,AD$13),15-13*ORÇAMENTO!$AF$7)*OFFSET(ORÇAMENTO!$W$15,ROW(AD320)-ROW(AD$15),0),15-13*ORÇAMENTO!$AF$11)),
         0)</f>
        <v>0</v>
      </c>
      <c r="AE320" s="454">
        <f ca="1">IF(AND($D320="Serviço",AE$12&lt;&gt;0,$H320&gt;0,OR(AUTOEVENTO&lt;&gt;"manual",$M320&lt;&gt;$A$15)),
        IF(Import.TipoArredondamento&lt;&gt;"TransfereGOV",
              ROUND(OFFSET($P320,0,AE$13),15-13*ORÇAMENTO!$AF$7)/$H320*OFFSET(ORÇAMENTO!$X$15,ROW(AE320)-ROW(AE$15),0),
              ROUND(ROUND(OFFSET($P320,0,AE$13),15-13*ORÇAMENTO!$AF$7)*OFFSET(ORÇAMENTO!$W$15,ROW(AE320)-ROW(AE$15),0),15-13*ORÇAMENTO!$AF$11)),
         0)</f>
        <v>0</v>
      </c>
      <c r="AF320" s="454">
        <f ca="1">IF(AND($D320="Serviço",AF$12&lt;&gt;0,$H320&gt;0,OR(AUTOEVENTO&lt;&gt;"manual",$M320&lt;&gt;$A$15)),
        IF(Import.TipoArredondamento&lt;&gt;"TransfereGOV",
              ROUND(OFFSET($P320,0,AF$13),15-13*ORÇAMENTO!$AF$7)/$H320*OFFSET(ORÇAMENTO!$X$15,ROW(AF320)-ROW(AF$15),0),
              ROUND(ROUND(OFFSET($P320,0,AF$13),15-13*ORÇAMENTO!$AF$7)*OFFSET(ORÇAMENTO!$W$15,ROW(AF320)-ROW(AF$15),0),15-13*ORÇAMENTO!$AF$11)),
         0)</f>
        <v>0</v>
      </c>
      <c r="AG320" s="454">
        <f ca="1">IF(AND($D320="Serviço",AG$12&lt;&gt;0,$H320&gt;0,OR(AUTOEVENTO&lt;&gt;"manual",$M320&lt;&gt;$A$15)),
        IF(Import.TipoArredondamento&lt;&gt;"TransfereGOV",
              ROUND(OFFSET($P320,0,AG$13),15-13*ORÇAMENTO!$AF$7)/$H320*OFFSET(ORÇAMENTO!$X$15,ROW(AG320)-ROW(AG$15),0),
              ROUND(ROUND(OFFSET($P320,0,AG$13),15-13*ORÇAMENTO!$AF$7)*OFFSET(ORÇAMENTO!$W$15,ROW(AG320)-ROW(AG$15),0),15-13*ORÇAMENTO!$AF$11)),
         0)</f>
        <v>0</v>
      </c>
      <c r="AH320" s="454">
        <f ca="1">IF(AND($D320="Serviço",AH$12&lt;&gt;0,$H320&gt;0,OR(AUTOEVENTO&lt;&gt;"manual",$M320&lt;&gt;$A$15)),
        IF(Import.TipoArredondamento&lt;&gt;"TransfereGOV",
              ROUND(OFFSET($P320,0,AH$13),15-13*ORÇAMENTO!$AF$7)/$H320*OFFSET(ORÇAMENTO!$X$15,ROW(AH320)-ROW(AH$15),0),
              ROUND(ROUND(OFFSET($P320,0,AH$13),15-13*ORÇAMENTO!$AF$7)*OFFSET(ORÇAMENTO!$W$15,ROW(AH320)-ROW(AH$15),0),15-13*ORÇAMENTO!$AF$11)),
         0)</f>
        <v>0</v>
      </c>
      <c r="AI320" s="454">
        <f ca="1">IF(AND($D320="Serviço",AI$12&lt;&gt;0,$H320&gt;0,OR(AUTOEVENTO&lt;&gt;"manual",$M320&lt;&gt;$A$15)),
        IF(Import.TipoArredondamento&lt;&gt;"TransfereGOV",
              ROUND(OFFSET($P320,0,AI$13),15-13*ORÇAMENTO!$AF$7)/$H320*OFFSET(ORÇAMENTO!$X$15,ROW(AI320)-ROW(AI$15),0),
              ROUND(ROUND(OFFSET($P320,0,AI$13),15-13*ORÇAMENTO!$AF$7)*OFFSET(ORÇAMENTO!$W$15,ROW(AI320)-ROW(AI$15),0),15-13*ORÇAMENTO!$AF$11)),
         0)</f>
        <v>0</v>
      </c>
      <c r="AJ320" s="454">
        <f ca="1">IF(AND($D320="Serviço",AJ$12&lt;&gt;0,$H320&gt;0,OR(AUTOEVENTO&lt;&gt;"manual",$M320&lt;&gt;$A$15)),
        IF(Import.TipoArredondamento&lt;&gt;"TransfereGOV",
              ROUND(OFFSET($P320,0,AJ$13),15-13*ORÇAMENTO!$AF$7)/$H320*OFFSET(ORÇAMENTO!$X$15,ROW(AJ320)-ROW(AJ$15),0),
              ROUND(ROUND(OFFSET($P320,0,AJ$13),15-13*ORÇAMENTO!$AF$7)*OFFSET(ORÇAMENTO!$W$15,ROW(AJ320)-ROW(AJ$15),0),15-13*ORÇAMENTO!$AF$11)),
         0)</f>
        <v>0</v>
      </c>
      <c r="AK320" s="454">
        <f ca="1">IF(AND($D320="Serviço",AK$12&lt;&gt;0,$H320&gt;0,OR(AUTOEVENTO&lt;&gt;"manual",$M320&lt;&gt;$A$15)),
        IF(Import.TipoArredondamento&lt;&gt;"TransfereGOV",
              ROUND(OFFSET($P320,0,AK$13),15-13*ORÇAMENTO!$AF$7)/$H320*OFFSET(ORÇAMENTO!$X$15,ROW(AK320)-ROW(AK$15),0),
              ROUND(ROUND(OFFSET($P320,0,AK$13),15-13*ORÇAMENTO!$AF$7)*OFFSET(ORÇAMENTO!$W$15,ROW(AK320)-ROW(AK$15),0),15-13*ORÇAMENTO!$AF$11)),
         0)</f>
        <v>0</v>
      </c>
      <c r="AM320" s="172">
        <f ca="1">IF(OR($D320&lt;&gt;"Serviço",AND(AUTOEVENTO="Manual",$M320=$A$15)),0,
         IF(OFFSET(CRONOPLE!$F$15,$M320-$A$15,AM$13)="",10^12,OFFSET(CRONOPLE!$F$15,$M320-$A$15,AM$13)))</f>
        <v>1000000000000</v>
      </c>
      <c r="AN320" s="172">
        <f ca="1">IF(OR($D320&lt;&gt;"Serviço",AND(AUTOEVENTO="Manual",$M320=$A$15)),0,
         IF(OFFSET(CRONOPLE!$F$15,$M320-$A$15,AN$13)="",10^12,OFFSET(CRONOPLE!$F$15,$M320-$A$15,AN$13)))</f>
        <v>1000000000000</v>
      </c>
      <c r="AO320" s="172">
        <f ca="1">IF(OR($D320&lt;&gt;"Serviço",AND(AUTOEVENTO="Manual",$M320=$A$15)),0,
         IF(OFFSET(CRONOPLE!$F$15,$M320-$A$15,AO$13)="",10^12,OFFSET(CRONOPLE!$F$15,$M320-$A$15,AO$13)))</f>
        <v>1000000000000</v>
      </c>
      <c r="AP320" s="172">
        <f ca="1">IF(OR($D320&lt;&gt;"Serviço",AND(AUTOEVENTO="Manual",$M320=$A$15)),0,
         IF(OFFSET(CRONOPLE!$F$15,$M320-$A$15,AP$13)="",10^12,OFFSET(CRONOPLE!$F$15,$M320-$A$15,AP$13)))</f>
        <v>1000000000000</v>
      </c>
      <c r="AQ320" s="172">
        <f ca="1">IF(OR($D320&lt;&gt;"Serviço",AND(AUTOEVENTO="Manual",$M320=$A$15)),0,
         IF(OFFSET(CRONOPLE!$F$15,$M320-$A$15,AQ$13)="",10^12,OFFSET(CRONOPLE!$F$15,$M320-$A$15,AQ$13)))</f>
        <v>1000000000000</v>
      </c>
      <c r="AR320" s="172">
        <f ca="1">IF(OR($D320&lt;&gt;"Serviço",AND(AUTOEVENTO="Manual",$M320=$A$15)),0,
         IF(OFFSET(CRONOPLE!$F$15,$M320-$A$15,AR$13)="",10^12,OFFSET(CRONOPLE!$F$15,$M320-$A$15,AR$13)))</f>
        <v>1000000000000</v>
      </c>
      <c r="AS320" s="172">
        <f ca="1">IF(OR($D320&lt;&gt;"Serviço",AND(AUTOEVENTO="Manual",$M320=$A$15)),0,
         IF(OFFSET(CRONOPLE!$F$15,$M320-$A$15,AS$13)="",10^12,OFFSET(CRONOPLE!$F$15,$M320-$A$15,AS$13)))</f>
        <v>1000000000000</v>
      </c>
      <c r="AT320" s="172">
        <f ca="1">IF(OR($D320&lt;&gt;"Serviço",AND(AUTOEVENTO="Manual",$M320=$A$15)),0,
         IF(OFFSET(CRONOPLE!$F$15,$M320-$A$15,AT$13)="",10^12,OFFSET(CRONOPLE!$F$15,$M320-$A$15,AT$13)))</f>
        <v>1000000000000</v>
      </c>
      <c r="AU320" s="172">
        <f ca="1">IF(OR($D320&lt;&gt;"Serviço",AND(AUTOEVENTO="Manual",$M320=$A$15)),0,
         IF(OFFSET(CRONOPLE!$F$15,$M320-$A$15,AU$13)="",10^12,OFFSET(CRONOPLE!$F$15,$M320-$A$15,AU$13)))</f>
        <v>1000000000000</v>
      </c>
      <c r="AV320" s="172">
        <f ca="1">IF(OR($D320&lt;&gt;"Serviço",AND(AUTOEVENTO="Manual",$M320=$A$15)),0,
         IF(OFFSET(CRONOPLE!$F$15,$M320-$A$15,AV$13)="",10^12,OFFSET(CRONOPLE!$F$15,$M320-$A$15,AV$13)))</f>
        <v>1000000000000</v>
      </c>
      <c r="AX320" s="173">
        <f ca="1">IF(OR($D320&lt;&gt;"Serviço",AND(AUTOEVENTO="Manual",$M320=$A$15),$M320&gt;(ROW(PLE.lastrow)-ROW(PLE.firstrow))),0,
           IF(OFFSET(PLE!$G$15,$M320-$A$15,AX$13)="",10^12,OFFSET(PLE!$G$15,$M320-$A$15,AX$13)))</f>
        <v>1000000000000</v>
      </c>
      <c r="AY320" s="173">
        <f ca="1">IF(OR($D320&lt;&gt;"Serviço",AND(AUTOEVENTO="Manual",$M320=$A$15),$M320&gt;(ROW(PLE.lastrow)-ROW(PLE.firstrow))),0,
           IF(OFFSET(PLE!$G$15,$M320-$A$15,AY$13)="",10^12,OFFSET(PLE!$G$15,$M320-$A$15,AY$13)))</f>
        <v>1000000000000</v>
      </c>
      <c r="AZ320" s="173">
        <f ca="1">IF(OR($D320&lt;&gt;"Serviço",AND(AUTOEVENTO="Manual",$M320=$A$15),$M320&gt;(ROW(PLE.lastrow)-ROW(PLE.firstrow))),0,
           IF(OFFSET(PLE!$G$15,$M320-$A$15,AZ$13)="",10^12,OFFSET(PLE!$G$15,$M320-$A$15,AZ$13)))</f>
        <v>1000000000000</v>
      </c>
      <c r="BA320" s="173">
        <f ca="1">IF(OR($D320&lt;&gt;"Serviço",AND(AUTOEVENTO="Manual",$M320=$A$15),$M320&gt;(ROW(PLE.lastrow)-ROW(PLE.firstrow))),0,
           IF(OFFSET(PLE!$G$15,$M320-$A$15,BA$13)="",10^12,OFFSET(PLE!$G$15,$M320-$A$15,BA$13)))</f>
        <v>1000000000000</v>
      </c>
      <c r="BB320" s="173">
        <f ca="1">IF(OR($D320&lt;&gt;"Serviço",AND(AUTOEVENTO="Manual",$M320=$A$15),$M320&gt;(ROW(PLE.lastrow)-ROW(PLE.firstrow))),0,
           IF(OFFSET(PLE!$G$15,$M320-$A$15,BB$13)="",10^12,OFFSET(PLE!$G$15,$M320-$A$15,BB$13)))</f>
        <v>1000000000000</v>
      </c>
      <c r="BC320" s="173">
        <f ca="1">IF(OR($D320&lt;&gt;"Serviço",AND(AUTOEVENTO="Manual",$M320=$A$15),$M320&gt;(ROW(PLE.lastrow)-ROW(PLE.firstrow))),0,
           IF(OFFSET(PLE!$G$15,$M320-$A$15,BC$13)="",10^12,OFFSET(PLE!$G$15,$M320-$A$15,BC$13)))</f>
        <v>1000000000000</v>
      </c>
      <c r="BD320" s="173">
        <f ca="1">IF(OR($D320&lt;&gt;"Serviço",AND(AUTOEVENTO="Manual",$M320=$A$15),$M320&gt;(ROW(PLE.lastrow)-ROW(PLE.firstrow))),0,
           IF(OFFSET(PLE!$G$15,$M320-$A$15,BD$13)="",10^12,OFFSET(PLE!$G$15,$M320-$A$15,BD$13)))</f>
        <v>1000000000000</v>
      </c>
      <c r="BE320" s="173">
        <f ca="1">IF(OR($D320&lt;&gt;"Serviço",AND(AUTOEVENTO="Manual",$M320=$A$15),$M320&gt;(ROW(PLE.lastrow)-ROW(PLE.firstrow))),0,
           IF(OFFSET(PLE!$G$15,$M320-$A$15,BE$13)="",10^12,OFFSET(PLE!$G$15,$M320-$A$15,BE$13)))</f>
        <v>1000000000000</v>
      </c>
      <c r="BF320" s="173">
        <f ca="1">IF(OR($D320&lt;&gt;"Serviço",AND(AUTOEVENTO="Manual",$M320=$A$15),$M320&gt;(ROW(PLE.lastrow)-ROW(PLE.firstrow))),0,
           IF(OFFSET(PLE!$G$15,$M320-$A$15,BF$13)="",10^12,OFFSET(PLE!$G$15,$M320-$A$15,BF$13)))</f>
        <v>1000000000000</v>
      </c>
      <c r="BG320" s="173">
        <f ca="1">IF(OR($D320&lt;&gt;"Serviço",AND(AUTOEVENTO="Manual",$M320=$A$15),$M320&gt;(ROW(PLE.lastrow)-ROW(PLE.firstrow))),0,
           IF(OFFSET(PLE!$G$15,$M320-$A$15,BG$13)="",10^12,OFFSET(PLE!$G$15,$M320-$A$15,BG$13)))</f>
        <v>1000000000000</v>
      </c>
    </row>
    <row r="321" spans="1:59" ht="25.5" x14ac:dyDescent="0.2">
      <c r="A321" s="7" t="str">
        <f t="shared" ca="1" si="12"/>
        <v>253</v>
      </c>
      <c r="B321" s="7" t="str">
        <f ca="1">OFFSET(ORÇAMENTO!C$15,ROW(B321)-ROW(B$15),0)</f>
        <v>S</v>
      </c>
      <c r="C321" s="7" t="str">
        <f ca="1">OFFSET(ORÇAMENTO!L$15,ROW(C321)-ROW(C$15),0)</f>
        <v/>
      </c>
      <c r="D321" s="117" t="str">
        <f ca="1">OFFSET(ORÇAMENTO!N$15,ROW(D321)-ROW(D$15),0)</f>
        <v>Serviço</v>
      </c>
      <c r="E321" s="118" t="str">
        <f ca="1">OFFSET(ORÇAMENTO!O$15,ROW(E321)-ROW(E$15),0)</f>
        <v>-</v>
      </c>
      <c r="F321" s="164" t="str">
        <f ca="1">OFFSET(ORÇAMENTO!R$15,ROW(F321)-ROW(F$15),0)</f>
        <v xml:space="preserve">TAMPAO COM CORRENTE, EM LATAO, ENGATE RAPIDO 2 1/2", PARA INSTALACAO PREDIAL DE COMBATE A INCENDIO                                                                                                                                                        </v>
      </c>
      <c r="G321" s="165" t="str">
        <f ca="1">IF($D321&lt;&gt;"Serviço","",OFFSET(ORÇAMENTO!S$15,ROW(G321)-ROW(G$15),0))</f>
        <v xml:space="preserve">UN    </v>
      </c>
      <c r="H321" s="123">
        <f ca="1">IF($D321&lt;&gt;"Serviço",0,IF(ACOMPANHAMENTO="BM",ROUND(OFFSET(ORÇAMENTO!AJ$15,ROW(H321)-ROW(H$15),0),15-13*ORÇAMENTO!$AF$7),SUMPRODUCT(($Q$1:$AA$1=1)*ROUND($Q321:$AA321,15-13*ORÇAMENTO!$AF$7))))</f>
        <v>1</v>
      </c>
      <c r="I321" s="469"/>
      <c r="J321" s="577" t="str" cm="1">
        <f t="array" aca="1" ref="J321" ca="1">IF(B321&lt;&gt;"S","",IF(AND(ACOMPANHAMENTO="PLE",AUTOEVENTO="Manual",OR(H321&gt;0,ORÇAMENTO!AC321="QUANT."),OR(K321="",M321=0,N321="")),"►",IF(AND(ACOMPANHAMENTO="PLE",ORÇAMENTO!AC321="QUANT."),"►►",IF(AND(COUNTIF($P$11:$AA$11,"▼")=0,H321&gt;0,I321=""),"◄",""))))</f>
        <v>◄</v>
      </c>
      <c r="K321" s="626"/>
      <c r="L321" s="166" t="s">
        <v>765</v>
      </c>
      <c r="M321" s="167">
        <f ca="1">IF($D321&lt;&gt;"Serviço","",
          IF(AUTOEVENTO="manual",$A321,
                IF(ISERROR(MATCH($A321,$A$15:OFFSET($A321,-1,0),0)),MAX($M$15:OFFSET(M321,-1,0))+1,
                      INDEX($M$15:OFFSET(M321,-1,0),MATCH($A321,$A$15:OFFSET($A321,-1,0),0)))))</f>
        <v>16</v>
      </c>
      <c r="N321" s="168" t="str">
        <f ca="1">IF($D321&lt;&gt;"Serviço","",
         IF(AUTOEVENTO="Manual",
                IF($A321=0,"&lt;-- defina o número do agrupador",
                       OFFSET(EVENTOS!$D$15,$A321-$A$15,0)),
                OFFSET($F$15,$A321,0)))</f>
        <v>SISTEMAS DE PREVENÇÃO CONTRA INCÊNDIO</v>
      </c>
      <c r="O321" s="169"/>
      <c r="Q321" s="169"/>
      <c r="R321" s="170"/>
      <c r="S321" s="170"/>
      <c r="T321" s="170"/>
      <c r="U321" s="170"/>
      <c r="V321" s="170"/>
      <c r="W321" s="170"/>
      <c r="X321" s="170"/>
      <c r="Y321" s="170"/>
      <c r="Z321" s="171"/>
      <c r="AB321" s="454">
        <f ca="1">IF(AND($D321="Serviço",AB$12&lt;&gt;0,$H321&gt;0,OR(AUTOEVENTO&lt;&gt;"manual",$M321&lt;&gt;$A$15)),
        IF(Import.TipoArredondamento&lt;&gt;"TransfereGOV",
              ROUND(OFFSET($P321,0,AB$13),15-13*ORÇAMENTO!$AF$7)/$H321*OFFSET(ORÇAMENTO!$X$15,ROW(AB321)-ROW(AB$15),0),
              ROUND(ROUND(OFFSET($P321,0,AB$13),15-13*ORÇAMENTO!$AF$7)*OFFSET(ORÇAMENTO!$W$15,ROW(AB321)-ROW(AB$15),0),15-13*ORÇAMENTO!$AF$11)),
         0)</f>
        <v>0</v>
      </c>
      <c r="AC321" s="454">
        <f ca="1">IF(AND($D321="Serviço",AC$12&lt;&gt;0,$H321&gt;0,OR(AUTOEVENTO&lt;&gt;"manual",$M321&lt;&gt;$A$15)),
        IF(Import.TipoArredondamento&lt;&gt;"TransfereGOV",
              ROUND(OFFSET($P321,0,AC$13),15-13*ORÇAMENTO!$AF$7)/$H321*OFFSET(ORÇAMENTO!$X$15,ROW(AC321)-ROW(AC$15),0),
              ROUND(ROUND(OFFSET($P321,0,AC$13),15-13*ORÇAMENTO!$AF$7)*OFFSET(ORÇAMENTO!$W$15,ROW(AC321)-ROW(AC$15),0),15-13*ORÇAMENTO!$AF$11)),
         0)</f>
        <v>0</v>
      </c>
      <c r="AD321" s="454">
        <f ca="1">IF(AND($D321="Serviço",AD$12&lt;&gt;0,$H321&gt;0,OR(AUTOEVENTO&lt;&gt;"manual",$M321&lt;&gt;$A$15)),
        IF(Import.TipoArredondamento&lt;&gt;"TransfereGOV",
              ROUND(OFFSET($P321,0,AD$13),15-13*ORÇAMENTO!$AF$7)/$H321*OFFSET(ORÇAMENTO!$X$15,ROW(AD321)-ROW(AD$15),0),
              ROUND(ROUND(OFFSET($P321,0,AD$13),15-13*ORÇAMENTO!$AF$7)*OFFSET(ORÇAMENTO!$W$15,ROW(AD321)-ROW(AD$15),0),15-13*ORÇAMENTO!$AF$11)),
         0)</f>
        <v>0</v>
      </c>
      <c r="AE321" s="454">
        <f ca="1">IF(AND($D321="Serviço",AE$12&lt;&gt;0,$H321&gt;0,OR(AUTOEVENTO&lt;&gt;"manual",$M321&lt;&gt;$A$15)),
        IF(Import.TipoArredondamento&lt;&gt;"TransfereGOV",
              ROUND(OFFSET($P321,0,AE$13),15-13*ORÇAMENTO!$AF$7)/$H321*OFFSET(ORÇAMENTO!$X$15,ROW(AE321)-ROW(AE$15),0),
              ROUND(ROUND(OFFSET($P321,0,AE$13),15-13*ORÇAMENTO!$AF$7)*OFFSET(ORÇAMENTO!$W$15,ROW(AE321)-ROW(AE$15),0),15-13*ORÇAMENTO!$AF$11)),
         0)</f>
        <v>0</v>
      </c>
      <c r="AF321" s="454">
        <f ca="1">IF(AND($D321="Serviço",AF$12&lt;&gt;0,$H321&gt;0,OR(AUTOEVENTO&lt;&gt;"manual",$M321&lt;&gt;$A$15)),
        IF(Import.TipoArredondamento&lt;&gt;"TransfereGOV",
              ROUND(OFFSET($P321,0,AF$13),15-13*ORÇAMENTO!$AF$7)/$H321*OFFSET(ORÇAMENTO!$X$15,ROW(AF321)-ROW(AF$15),0),
              ROUND(ROUND(OFFSET($P321,0,AF$13),15-13*ORÇAMENTO!$AF$7)*OFFSET(ORÇAMENTO!$W$15,ROW(AF321)-ROW(AF$15),0),15-13*ORÇAMENTO!$AF$11)),
         0)</f>
        <v>0</v>
      </c>
      <c r="AG321" s="454">
        <f ca="1">IF(AND($D321="Serviço",AG$12&lt;&gt;0,$H321&gt;0,OR(AUTOEVENTO&lt;&gt;"manual",$M321&lt;&gt;$A$15)),
        IF(Import.TipoArredondamento&lt;&gt;"TransfereGOV",
              ROUND(OFFSET($P321,0,AG$13),15-13*ORÇAMENTO!$AF$7)/$H321*OFFSET(ORÇAMENTO!$X$15,ROW(AG321)-ROW(AG$15),0),
              ROUND(ROUND(OFFSET($P321,0,AG$13),15-13*ORÇAMENTO!$AF$7)*OFFSET(ORÇAMENTO!$W$15,ROW(AG321)-ROW(AG$15),0),15-13*ORÇAMENTO!$AF$11)),
         0)</f>
        <v>0</v>
      </c>
      <c r="AH321" s="454">
        <f ca="1">IF(AND($D321="Serviço",AH$12&lt;&gt;0,$H321&gt;0,OR(AUTOEVENTO&lt;&gt;"manual",$M321&lt;&gt;$A$15)),
        IF(Import.TipoArredondamento&lt;&gt;"TransfereGOV",
              ROUND(OFFSET($P321,0,AH$13),15-13*ORÇAMENTO!$AF$7)/$H321*OFFSET(ORÇAMENTO!$X$15,ROW(AH321)-ROW(AH$15),0),
              ROUND(ROUND(OFFSET($P321,0,AH$13),15-13*ORÇAMENTO!$AF$7)*OFFSET(ORÇAMENTO!$W$15,ROW(AH321)-ROW(AH$15),0),15-13*ORÇAMENTO!$AF$11)),
         0)</f>
        <v>0</v>
      </c>
      <c r="AI321" s="454">
        <f ca="1">IF(AND($D321="Serviço",AI$12&lt;&gt;0,$H321&gt;0,OR(AUTOEVENTO&lt;&gt;"manual",$M321&lt;&gt;$A$15)),
        IF(Import.TipoArredondamento&lt;&gt;"TransfereGOV",
              ROUND(OFFSET($P321,0,AI$13),15-13*ORÇAMENTO!$AF$7)/$H321*OFFSET(ORÇAMENTO!$X$15,ROW(AI321)-ROW(AI$15),0),
              ROUND(ROUND(OFFSET($P321,0,AI$13),15-13*ORÇAMENTO!$AF$7)*OFFSET(ORÇAMENTO!$W$15,ROW(AI321)-ROW(AI$15),0),15-13*ORÇAMENTO!$AF$11)),
         0)</f>
        <v>0</v>
      </c>
      <c r="AJ321" s="454">
        <f ca="1">IF(AND($D321="Serviço",AJ$12&lt;&gt;0,$H321&gt;0,OR(AUTOEVENTO&lt;&gt;"manual",$M321&lt;&gt;$A$15)),
        IF(Import.TipoArredondamento&lt;&gt;"TransfereGOV",
              ROUND(OFFSET($P321,0,AJ$13),15-13*ORÇAMENTO!$AF$7)/$H321*OFFSET(ORÇAMENTO!$X$15,ROW(AJ321)-ROW(AJ$15),0),
              ROUND(ROUND(OFFSET($P321,0,AJ$13),15-13*ORÇAMENTO!$AF$7)*OFFSET(ORÇAMENTO!$W$15,ROW(AJ321)-ROW(AJ$15),0),15-13*ORÇAMENTO!$AF$11)),
         0)</f>
        <v>0</v>
      </c>
      <c r="AK321" s="454">
        <f ca="1">IF(AND($D321="Serviço",AK$12&lt;&gt;0,$H321&gt;0,OR(AUTOEVENTO&lt;&gt;"manual",$M321&lt;&gt;$A$15)),
        IF(Import.TipoArredondamento&lt;&gt;"TransfereGOV",
              ROUND(OFFSET($P321,0,AK$13),15-13*ORÇAMENTO!$AF$7)/$H321*OFFSET(ORÇAMENTO!$X$15,ROW(AK321)-ROW(AK$15),0),
              ROUND(ROUND(OFFSET($P321,0,AK$13),15-13*ORÇAMENTO!$AF$7)*OFFSET(ORÇAMENTO!$W$15,ROW(AK321)-ROW(AK$15),0),15-13*ORÇAMENTO!$AF$11)),
         0)</f>
        <v>0</v>
      </c>
      <c r="AM321" s="172">
        <f ca="1">IF(OR($D321&lt;&gt;"Serviço",AND(AUTOEVENTO="Manual",$M321=$A$15)),0,
         IF(OFFSET(CRONOPLE!$F$15,$M321-$A$15,AM$13)="",10^12,OFFSET(CRONOPLE!$F$15,$M321-$A$15,AM$13)))</f>
        <v>1000000000000</v>
      </c>
      <c r="AN321" s="172">
        <f ca="1">IF(OR($D321&lt;&gt;"Serviço",AND(AUTOEVENTO="Manual",$M321=$A$15)),0,
         IF(OFFSET(CRONOPLE!$F$15,$M321-$A$15,AN$13)="",10^12,OFFSET(CRONOPLE!$F$15,$M321-$A$15,AN$13)))</f>
        <v>1000000000000</v>
      </c>
      <c r="AO321" s="172">
        <f ca="1">IF(OR($D321&lt;&gt;"Serviço",AND(AUTOEVENTO="Manual",$M321=$A$15)),0,
         IF(OFFSET(CRONOPLE!$F$15,$M321-$A$15,AO$13)="",10^12,OFFSET(CRONOPLE!$F$15,$M321-$A$15,AO$13)))</f>
        <v>1000000000000</v>
      </c>
      <c r="AP321" s="172">
        <f ca="1">IF(OR($D321&lt;&gt;"Serviço",AND(AUTOEVENTO="Manual",$M321=$A$15)),0,
         IF(OFFSET(CRONOPLE!$F$15,$M321-$A$15,AP$13)="",10^12,OFFSET(CRONOPLE!$F$15,$M321-$A$15,AP$13)))</f>
        <v>1000000000000</v>
      </c>
      <c r="AQ321" s="172">
        <f ca="1">IF(OR($D321&lt;&gt;"Serviço",AND(AUTOEVENTO="Manual",$M321=$A$15)),0,
         IF(OFFSET(CRONOPLE!$F$15,$M321-$A$15,AQ$13)="",10^12,OFFSET(CRONOPLE!$F$15,$M321-$A$15,AQ$13)))</f>
        <v>1000000000000</v>
      </c>
      <c r="AR321" s="172">
        <f ca="1">IF(OR($D321&lt;&gt;"Serviço",AND(AUTOEVENTO="Manual",$M321=$A$15)),0,
         IF(OFFSET(CRONOPLE!$F$15,$M321-$A$15,AR$13)="",10^12,OFFSET(CRONOPLE!$F$15,$M321-$A$15,AR$13)))</f>
        <v>1000000000000</v>
      </c>
      <c r="AS321" s="172">
        <f ca="1">IF(OR($D321&lt;&gt;"Serviço",AND(AUTOEVENTO="Manual",$M321=$A$15)),0,
         IF(OFFSET(CRONOPLE!$F$15,$M321-$A$15,AS$13)="",10^12,OFFSET(CRONOPLE!$F$15,$M321-$A$15,AS$13)))</f>
        <v>1000000000000</v>
      </c>
      <c r="AT321" s="172">
        <f ca="1">IF(OR($D321&lt;&gt;"Serviço",AND(AUTOEVENTO="Manual",$M321=$A$15)),0,
         IF(OFFSET(CRONOPLE!$F$15,$M321-$A$15,AT$13)="",10^12,OFFSET(CRONOPLE!$F$15,$M321-$A$15,AT$13)))</f>
        <v>1000000000000</v>
      </c>
      <c r="AU321" s="172">
        <f ca="1">IF(OR($D321&lt;&gt;"Serviço",AND(AUTOEVENTO="Manual",$M321=$A$15)),0,
         IF(OFFSET(CRONOPLE!$F$15,$M321-$A$15,AU$13)="",10^12,OFFSET(CRONOPLE!$F$15,$M321-$A$15,AU$13)))</f>
        <v>1000000000000</v>
      </c>
      <c r="AV321" s="172">
        <f ca="1">IF(OR($D321&lt;&gt;"Serviço",AND(AUTOEVENTO="Manual",$M321=$A$15)),0,
         IF(OFFSET(CRONOPLE!$F$15,$M321-$A$15,AV$13)="",10^12,OFFSET(CRONOPLE!$F$15,$M321-$A$15,AV$13)))</f>
        <v>1000000000000</v>
      </c>
      <c r="AX321" s="173">
        <f ca="1">IF(OR($D321&lt;&gt;"Serviço",AND(AUTOEVENTO="Manual",$M321=$A$15),$M321&gt;(ROW(PLE.lastrow)-ROW(PLE.firstrow))),0,
           IF(OFFSET(PLE!$G$15,$M321-$A$15,AX$13)="",10^12,OFFSET(PLE!$G$15,$M321-$A$15,AX$13)))</f>
        <v>1000000000000</v>
      </c>
      <c r="AY321" s="173">
        <f ca="1">IF(OR($D321&lt;&gt;"Serviço",AND(AUTOEVENTO="Manual",$M321=$A$15),$M321&gt;(ROW(PLE.lastrow)-ROW(PLE.firstrow))),0,
           IF(OFFSET(PLE!$G$15,$M321-$A$15,AY$13)="",10^12,OFFSET(PLE!$G$15,$M321-$A$15,AY$13)))</f>
        <v>1000000000000</v>
      </c>
      <c r="AZ321" s="173">
        <f ca="1">IF(OR($D321&lt;&gt;"Serviço",AND(AUTOEVENTO="Manual",$M321=$A$15),$M321&gt;(ROW(PLE.lastrow)-ROW(PLE.firstrow))),0,
           IF(OFFSET(PLE!$G$15,$M321-$A$15,AZ$13)="",10^12,OFFSET(PLE!$G$15,$M321-$A$15,AZ$13)))</f>
        <v>1000000000000</v>
      </c>
      <c r="BA321" s="173">
        <f ca="1">IF(OR($D321&lt;&gt;"Serviço",AND(AUTOEVENTO="Manual",$M321=$A$15),$M321&gt;(ROW(PLE.lastrow)-ROW(PLE.firstrow))),0,
           IF(OFFSET(PLE!$G$15,$M321-$A$15,BA$13)="",10^12,OFFSET(PLE!$G$15,$M321-$A$15,BA$13)))</f>
        <v>1000000000000</v>
      </c>
      <c r="BB321" s="173">
        <f ca="1">IF(OR($D321&lt;&gt;"Serviço",AND(AUTOEVENTO="Manual",$M321=$A$15),$M321&gt;(ROW(PLE.lastrow)-ROW(PLE.firstrow))),0,
           IF(OFFSET(PLE!$G$15,$M321-$A$15,BB$13)="",10^12,OFFSET(PLE!$G$15,$M321-$A$15,BB$13)))</f>
        <v>1000000000000</v>
      </c>
      <c r="BC321" s="173">
        <f ca="1">IF(OR($D321&lt;&gt;"Serviço",AND(AUTOEVENTO="Manual",$M321=$A$15),$M321&gt;(ROW(PLE.lastrow)-ROW(PLE.firstrow))),0,
           IF(OFFSET(PLE!$G$15,$M321-$A$15,BC$13)="",10^12,OFFSET(PLE!$G$15,$M321-$A$15,BC$13)))</f>
        <v>1000000000000</v>
      </c>
      <c r="BD321" s="173">
        <f ca="1">IF(OR($D321&lt;&gt;"Serviço",AND(AUTOEVENTO="Manual",$M321=$A$15),$M321&gt;(ROW(PLE.lastrow)-ROW(PLE.firstrow))),0,
           IF(OFFSET(PLE!$G$15,$M321-$A$15,BD$13)="",10^12,OFFSET(PLE!$G$15,$M321-$A$15,BD$13)))</f>
        <v>1000000000000</v>
      </c>
      <c r="BE321" s="173">
        <f ca="1">IF(OR($D321&lt;&gt;"Serviço",AND(AUTOEVENTO="Manual",$M321=$A$15),$M321&gt;(ROW(PLE.lastrow)-ROW(PLE.firstrow))),0,
           IF(OFFSET(PLE!$G$15,$M321-$A$15,BE$13)="",10^12,OFFSET(PLE!$G$15,$M321-$A$15,BE$13)))</f>
        <v>1000000000000</v>
      </c>
      <c r="BF321" s="173">
        <f ca="1">IF(OR($D321&lt;&gt;"Serviço",AND(AUTOEVENTO="Manual",$M321=$A$15),$M321&gt;(ROW(PLE.lastrow)-ROW(PLE.firstrow))),0,
           IF(OFFSET(PLE!$G$15,$M321-$A$15,BF$13)="",10^12,OFFSET(PLE!$G$15,$M321-$A$15,BF$13)))</f>
        <v>1000000000000</v>
      </c>
      <c r="BG321" s="173">
        <f ca="1">IF(OR($D321&lt;&gt;"Serviço",AND(AUTOEVENTO="Manual",$M321=$A$15),$M321&gt;(ROW(PLE.lastrow)-ROW(PLE.firstrow))),0,
           IF(OFFSET(PLE!$G$15,$M321-$A$15,BG$13)="",10^12,OFFSET(PLE!$G$15,$M321-$A$15,BG$13)))</f>
        <v>1000000000000</v>
      </c>
    </row>
    <row r="322" spans="1:59" ht="38.25" x14ac:dyDescent="0.2">
      <c r="A322" s="7" t="str">
        <f t="shared" ca="1" si="12"/>
        <v>253</v>
      </c>
      <c r="B322" s="7" t="str">
        <f ca="1">OFFSET(ORÇAMENTO!C$15,ROW(B322)-ROW(B$15),0)</f>
        <v>S</v>
      </c>
      <c r="C322" s="7" t="str">
        <f ca="1">OFFSET(ORÇAMENTO!L$15,ROW(C322)-ROW(C$15),0)</f>
        <v/>
      </c>
      <c r="D322" s="117" t="str">
        <f ca="1">OFFSET(ORÇAMENTO!N$15,ROW(D322)-ROW(D$15),0)</f>
        <v>Serviço</v>
      </c>
      <c r="E322" s="118" t="str">
        <f ca="1">OFFSET(ORÇAMENTO!O$15,ROW(E322)-ROW(E$15),0)</f>
        <v>-</v>
      </c>
      <c r="F322" s="164" t="str">
        <f ca="1">OFFSET(ORÇAMENTO!R$15,ROW(F322)-ROW(F$15),0)</f>
        <v>UNIÃO, EM FERRO GALVANIZADO, DN 65 (2 1/2"), CONEXÃO ROSQUEADA, INSTALADO EM REDE DE ALIMENTAÇÃO PARA HIDRANTE - FORNECIMENTO E INSTALAÇÃO. AF_10/2020</v>
      </c>
      <c r="G322" s="165" t="str">
        <f ca="1">IF($D322&lt;&gt;"Serviço","",OFFSET(ORÇAMENTO!S$15,ROW(G322)-ROW(G$15),0))</f>
        <v>UN</v>
      </c>
      <c r="H322" s="123">
        <f ca="1">IF($D322&lt;&gt;"Serviço",0,IF(ACOMPANHAMENTO="BM",ROUND(OFFSET(ORÇAMENTO!AJ$15,ROW(H322)-ROW(H$15),0),15-13*ORÇAMENTO!$AF$7),SUMPRODUCT(($Q$1:$AA$1=1)*ROUND($Q322:$AA322,15-13*ORÇAMENTO!$AF$7))))</f>
        <v>10</v>
      </c>
      <c r="I322" s="469"/>
      <c r="J322" s="577" t="str" cm="1">
        <f t="array" aca="1" ref="J322" ca="1">IF(B322&lt;&gt;"S","",IF(AND(ACOMPANHAMENTO="PLE",AUTOEVENTO="Manual",OR(H322&gt;0,ORÇAMENTO!AC322="QUANT."),OR(K322="",M322=0,N322="")),"►",IF(AND(ACOMPANHAMENTO="PLE",ORÇAMENTO!AC322="QUANT."),"►►",IF(AND(COUNTIF($P$11:$AA$11,"▼")=0,H322&gt;0,I322=""),"◄",""))))</f>
        <v>◄</v>
      </c>
      <c r="K322" s="626"/>
      <c r="L322" s="166" t="s">
        <v>765</v>
      </c>
      <c r="M322" s="167">
        <f ca="1">IF($D322&lt;&gt;"Serviço","",
          IF(AUTOEVENTO="manual",$A322,
                IF(ISERROR(MATCH($A322,$A$15:OFFSET($A322,-1,0),0)),MAX($M$15:OFFSET(M322,-1,0))+1,
                      INDEX($M$15:OFFSET(M322,-1,0),MATCH($A322,$A$15:OFFSET($A322,-1,0),0)))))</f>
        <v>16</v>
      </c>
      <c r="N322" s="168" t="str">
        <f ca="1">IF($D322&lt;&gt;"Serviço","",
         IF(AUTOEVENTO="Manual",
                IF($A322=0,"&lt;-- defina o número do agrupador",
                       OFFSET(EVENTOS!$D$15,$A322-$A$15,0)),
                OFFSET($F$15,$A322,0)))</f>
        <v>SISTEMAS DE PREVENÇÃO CONTRA INCÊNDIO</v>
      </c>
      <c r="O322" s="169"/>
      <c r="Q322" s="169"/>
      <c r="R322" s="170"/>
      <c r="S322" s="170"/>
      <c r="T322" s="170"/>
      <c r="U322" s="170"/>
      <c r="V322" s="170"/>
      <c r="W322" s="170"/>
      <c r="X322" s="170"/>
      <c r="Y322" s="170"/>
      <c r="Z322" s="171"/>
      <c r="AB322" s="454">
        <f ca="1">IF(AND($D322="Serviço",AB$12&lt;&gt;0,$H322&gt;0,OR(AUTOEVENTO&lt;&gt;"manual",$M322&lt;&gt;$A$15)),
        IF(Import.TipoArredondamento&lt;&gt;"TransfereGOV",
              ROUND(OFFSET($P322,0,AB$13),15-13*ORÇAMENTO!$AF$7)/$H322*OFFSET(ORÇAMENTO!$X$15,ROW(AB322)-ROW(AB$15),0),
              ROUND(ROUND(OFFSET($P322,0,AB$13),15-13*ORÇAMENTO!$AF$7)*OFFSET(ORÇAMENTO!$W$15,ROW(AB322)-ROW(AB$15),0),15-13*ORÇAMENTO!$AF$11)),
         0)</f>
        <v>0</v>
      </c>
      <c r="AC322" s="454">
        <f ca="1">IF(AND($D322="Serviço",AC$12&lt;&gt;0,$H322&gt;0,OR(AUTOEVENTO&lt;&gt;"manual",$M322&lt;&gt;$A$15)),
        IF(Import.TipoArredondamento&lt;&gt;"TransfereGOV",
              ROUND(OFFSET($P322,0,AC$13),15-13*ORÇAMENTO!$AF$7)/$H322*OFFSET(ORÇAMENTO!$X$15,ROW(AC322)-ROW(AC$15),0),
              ROUND(ROUND(OFFSET($P322,0,AC$13),15-13*ORÇAMENTO!$AF$7)*OFFSET(ORÇAMENTO!$W$15,ROW(AC322)-ROW(AC$15),0),15-13*ORÇAMENTO!$AF$11)),
         0)</f>
        <v>0</v>
      </c>
      <c r="AD322" s="454">
        <f ca="1">IF(AND($D322="Serviço",AD$12&lt;&gt;0,$H322&gt;0,OR(AUTOEVENTO&lt;&gt;"manual",$M322&lt;&gt;$A$15)),
        IF(Import.TipoArredondamento&lt;&gt;"TransfereGOV",
              ROUND(OFFSET($P322,0,AD$13),15-13*ORÇAMENTO!$AF$7)/$H322*OFFSET(ORÇAMENTO!$X$15,ROW(AD322)-ROW(AD$15),0),
              ROUND(ROUND(OFFSET($P322,0,AD$13),15-13*ORÇAMENTO!$AF$7)*OFFSET(ORÇAMENTO!$W$15,ROW(AD322)-ROW(AD$15),0),15-13*ORÇAMENTO!$AF$11)),
         0)</f>
        <v>0</v>
      </c>
      <c r="AE322" s="454">
        <f ca="1">IF(AND($D322="Serviço",AE$12&lt;&gt;0,$H322&gt;0,OR(AUTOEVENTO&lt;&gt;"manual",$M322&lt;&gt;$A$15)),
        IF(Import.TipoArredondamento&lt;&gt;"TransfereGOV",
              ROUND(OFFSET($P322,0,AE$13),15-13*ORÇAMENTO!$AF$7)/$H322*OFFSET(ORÇAMENTO!$X$15,ROW(AE322)-ROW(AE$15),0),
              ROUND(ROUND(OFFSET($P322,0,AE$13),15-13*ORÇAMENTO!$AF$7)*OFFSET(ORÇAMENTO!$W$15,ROW(AE322)-ROW(AE$15),0),15-13*ORÇAMENTO!$AF$11)),
         0)</f>
        <v>0</v>
      </c>
      <c r="AF322" s="454">
        <f ca="1">IF(AND($D322="Serviço",AF$12&lt;&gt;0,$H322&gt;0,OR(AUTOEVENTO&lt;&gt;"manual",$M322&lt;&gt;$A$15)),
        IF(Import.TipoArredondamento&lt;&gt;"TransfereGOV",
              ROUND(OFFSET($P322,0,AF$13),15-13*ORÇAMENTO!$AF$7)/$H322*OFFSET(ORÇAMENTO!$X$15,ROW(AF322)-ROW(AF$15),0),
              ROUND(ROUND(OFFSET($P322,0,AF$13),15-13*ORÇAMENTO!$AF$7)*OFFSET(ORÇAMENTO!$W$15,ROW(AF322)-ROW(AF$15),0),15-13*ORÇAMENTO!$AF$11)),
         0)</f>
        <v>0</v>
      </c>
      <c r="AG322" s="454">
        <f ca="1">IF(AND($D322="Serviço",AG$12&lt;&gt;0,$H322&gt;0,OR(AUTOEVENTO&lt;&gt;"manual",$M322&lt;&gt;$A$15)),
        IF(Import.TipoArredondamento&lt;&gt;"TransfereGOV",
              ROUND(OFFSET($P322,0,AG$13),15-13*ORÇAMENTO!$AF$7)/$H322*OFFSET(ORÇAMENTO!$X$15,ROW(AG322)-ROW(AG$15),0),
              ROUND(ROUND(OFFSET($P322,0,AG$13),15-13*ORÇAMENTO!$AF$7)*OFFSET(ORÇAMENTO!$W$15,ROW(AG322)-ROW(AG$15),0),15-13*ORÇAMENTO!$AF$11)),
         0)</f>
        <v>0</v>
      </c>
      <c r="AH322" s="454">
        <f ca="1">IF(AND($D322="Serviço",AH$12&lt;&gt;0,$H322&gt;0,OR(AUTOEVENTO&lt;&gt;"manual",$M322&lt;&gt;$A$15)),
        IF(Import.TipoArredondamento&lt;&gt;"TransfereGOV",
              ROUND(OFFSET($P322,0,AH$13),15-13*ORÇAMENTO!$AF$7)/$H322*OFFSET(ORÇAMENTO!$X$15,ROW(AH322)-ROW(AH$15),0),
              ROUND(ROUND(OFFSET($P322,0,AH$13),15-13*ORÇAMENTO!$AF$7)*OFFSET(ORÇAMENTO!$W$15,ROW(AH322)-ROW(AH$15),0),15-13*ORÇAMENTO!$AF$11)),
         0)</f>
        <v>0</v>
      </c>
      <c r="AI322" s="454">
        <f ca="1">IF(AND($D322="Serviço",AI$12&lt;&gt;0,$H322&gt;0,OR(AUTOEVENTO&lt;&gt;"manual",$M322&lt;&gt;$A$15)),
        IF(Import.TipoArredondamento&lt;&gt;"TransfereGOV",
              ROUND(OFFSET($P322,0,AI$13),15-13*ORÇAMENTO!$AF$7)/$H322*OFFSET(ORÇAMENTO!$X$15,ROW(AI322)-ROW(AI$15),0),
              ROUND(ROUND(OFFSET($P322,0,AI$13),15-13*ORÇAMENTO!$AF$7)*OFFSET(ORÇAMENTO!$W$15,ROW(AI322)-ROW(AI$15),0),15-13*ORÇAMENTO!$AF$11)),
         0)</f>
        <v>0</v>
      </c>
      <c r="AJ322" s="454">
        <f ca="1">IF(AND($D322="Serviço",AJ$12&lt;&gt;0,$H322&gt;0,OR(AUTOEVENTO&lt;&gt;"manual",$M322&lt;&gt;$A$15)),
        IF(Import.TipoArredondamento&lt;&gt;"TransfereGOV",
              ROUND(OFFSET($P322,0,AJ$13),15-13*ORÇAMENTO!$AF$7)/$H322*OFFSET(ORÇAMENTO!$X$15,ROW(AJ322)-ROW(AJ$15),0),
              ROUND(ROUND(OFFSET($P322,0,AJ$13),15-13*ORÇAMENTO!$AF$7)*OFFSET(ORÇAMENTO!$W$15,ROW(AJ322)-ROW(AJ$15),0),15-13*ORÇAMENTO!$AF$11)),
         0)</f>
        <v>0</v>
      </c>
      <c r="AK322" s="454">
        <f ca="1">IF(AND($D322="Serviço",AK$12&lt;&gt;0,$H322&gt;0,OR(AUTOEVENTO&lt;&gt;"manual",$M322&lt;&gt;$A$15)),
        IF(Import.TipoArredondamento&lt;&gt;"TransfereGOV",
              ROUND(OFFSET($P322,0,AK$13),15-13*ORÇAMENTO!$AF$7)/$H322*OFFSET(ORÇAMENTO!$X$15,ROW(AK322)-ROW(AK$15),0),
              ROUND(ROUND(OFFSET($P322,0,AK$13),15-13*ORÇAMENTO!$AF$7)*OFFSET(ORÇAMENTO!$W$15,ROW(AK322)-ROW(AK$15),0),15-13*ORÇAMENTO!$AF$11)),
         0)</f>
        <v>0</v>
      </c>
      <c r="AM322" s="172">
        <f ca="1">IF(OR($D322&lt;&gt;"Serviço",AND(AUTOEVENTO="Manual",$M322=$A$15)),0,
         IF(OFFSET(CRONOPLE!$F$15,$M322-$A$15,AM$13)="",10^12,OFFSET(CRONOPLE!$F$15,$M322-$A$15,AM$13)))</f>
        <v>1000000000000</v>
      </c>
      <c r="AN322" s="172">
        <f ca="1">IF(OR($D322&lt;&gt;"Serviço",AND(AUTOEVENTO="Manual",$M322=$A$15)),0,
         IF(OFFSET(CRONOPLE!$F$15,$M322-$A$15,AN$13)="",10^12,OFFSET(CRONOPLE!$F$15,$M322-$A$15,AN$13)))</f>
        <v>1000000000000</v>
      </c>
      <c r="AO322" s="172">
        <f ca="1">IF(OR($D322&lt;&gt;"Serviço",AND(AUTOEVENTO="Manual",$M322=$A$15)),0,
         IF(OFFSET(CRONOPLE!$F$15,$M322-$A$15,AO$13)="",10^12,OFFSET(CRONOPLE!$F$15,$M322-$A$15,AO$13)))</f>
        <v>1000000000000</v>
      </c>
      <c r="AP322" s="172">
        <f ca="1">IF(OR($D322&lt;&gt;"Serviço",AND(AUTOEVENTO="Manual",$M322=$A$15)),0,
         IF(OFFSET(CRONOPLE!$F$15,$M322-$A$15,AP$13)="",10^12,OFFSET(CRONOPLE!$F$15,$M322-$A$15,AP$13)))</f>
        <v>1000000000000</v>
      </c>
      <c r="AQ322" s="172">
        <f ca="1">IF(OR($D322&lt;&gt;"Serviço",AND(AUTOEVENTO="Manual",$M322=$A$15)),0,
         IF(OFFSET(CRONOPLE!$F$15,$M322-$A$15,AQ$13)="",10^12,OFFSET(CRONOPLE!$F$15,$M322-$A$15,AQ$13)))</f>
        <v>1000000000000</v>
      </c>
      <c r="AR322" s="172">
        <f ca="1">IF(OR($D322&lt;&gt;"Serviço",AND(AUTOEVENTO="Manual",$M322=$A$15)),0,
         IF(OFFSET(CRONOPLE!$F$15,$M322-$A$15,AR$13)="",10^12,OFFSET(CRONOPLE!$F$15,$M322-$A$15,AR$13)))</f>
        <v>1000000000000</v>
      </c>
      <c r="AS322" s="172">
        <f ca="1">IF(OR($D322&lt;&gt;"Serviço",AND(AUTOEVENTO="Manual",$M322=$A$15)),0,
         IF(OFFSET(CRONOPLE!$F$15,$M322-$A$15,AS$13)="",10^12,OFFSET(CRONOPLE!$F$15,$M322-$A$15,AS$13)))</f>
        <v>1000000000000</v>
      </c>
      <c r="AT322" s="172">
        <f ca="1">IF(OR($D322&lt;&gt;"Serviço",AND(AUTOEVENTO="Manual",$M322=$A$15)),0,
         IF(OFFSET(CRONOPLE!$F$15,$M322-$A$15,AT$13)="",10^12,OFFSET(CRONOPLE!$F$15,$M322-$A$15,AT$13)))</f>
        <v>1000000000000</v>
      </c>
      <c r="AU322" s="172">
        <f ca="1">IF(OR($D322&lt;&gt;"Serviço",AND(AUTOEVENTO="Manual",$M322=$A$15)),0,
         IF(OFFSET(CRONOPLE!$F$15,$M322-$A$15,AU$13)="",10^12,OFFSET(CRONOPLE!$F$15,$M322-$A$15,AU$13)))</f>
        <v>1000000000000</v>
      </c>
      <c r="AV322" s="172">
        <f ca="1">IF(OR($D322&lt;&gt;"Serviço",AND(AUTOEVENTO="Manual",$M322=$A$15)),0,
         IF(OFFSET(CRONOPLE!$F$15,$M322-$A$15,AV$13)="",10^12,OFFSET(CRONOPLE!$F$15,$M322-$A$15,AV$13)))</f>
        <v>1000000000000</v>
      </c>
      <c r="AX322" s="173">
        <f ca="1">IF(OR($D322&lt;&gt;"Serviço",AND(AUTOEVENTO="Manual",$M322=$A$15),$M322&gt;(ROW(PLE.lastrow)-ROW(PLE.firstrow))),0,
           IF(OFFSET(PLE!$G$15,$M322-$A$15,AX$13)="",10^12,OFFSET(PLE!$G$15,$M322-$A$15,AX$13)))</f>
        <v>1000000000000</v>
      </c>
      <c r="AY322" s="173">
        <f ca="1">IF(OR($D322&lt;&gt;"Serviço",AND(AUTOEVENTO="Manual",$M322=$A$15),$M322&gt;(ROW(PLE.lastrow)-ROW(PLE.firstrow))),0,
           IF(OFFSET(PLE!$G$15,$M322-$A$15,AY$13)="",10^12,OFFSET(PLE!$G$15,$M322-$A$15,AY$13)))</f>
        <v>1000000000000</v>
      </c>
      <c r="AZ322" s="173">
        <f ca="1">IF(OR($D322&lt;&gt;"Serviço",AND(AUTOEVENTO="Manual",$M322=$A$15),$M322&gt;(ROW(PLE.lastrow)-ROW(PLE.firstrow))),0,
           IF(OFFSET(PLE!$G$15,$M322-$A$15,AZ$13)="",10^12,OFFSET(PLE!$G$15,$M322-$A$15,AZ$13)))</f>
        <v>1000000000000</v>
      </c>
      <c r="BA322" s="173">
        <f ca="1">IF(OR($D322&lt;&gt;"Serviço",AND(AUTOEVENTO="Manual",$M322=$A$15),$M322&gt;(ROW(PLE.lastrow)-ROW(PLE.firstrow))),0,
           IF(OFFSET(PLE!$G$15,$M322-$A$15,BA$13)="",10^12,OFFSET(PLE!$G$15,$M322-$A$15,BA$13)))</f>
        <v>1000000000000</v>
      </c>
      <c r="BB322" s="173">
        <f ca="1">IF(OR($D322&lt;&gt;"Serviço",AND(AUTOEVENTO="Manual",$M322=$A$15),$M322&gt;(ROW(PLE.lastrow)-ROW(PLE.firstrow))),0,
           IF(OFFSET(PLE!$G$15,$M322-$A$15,BB$13)="",10^12,OFFSET(PLE!$G$15,$M322-$A$15,BB$13)))</f>
        <v>1000000000000</v>
      </c>
      <c r="BC322" s="173">
        <f ca="1">IF(OR($D322&lt;&gt;"Serviço",AND(AUTOEVENTO="Manual",$M322=$A$15),$M322&gt;(ROW(PLE.lastrow)-ROW(PLE.firstrow))),0,
           IF(OFFSET(PLE!$G$15,$M322-$A$15,BC$13)="",10^12,OFFSET(PLE!$G$15,$M322-$A$15,BC$13)))</f>
        <v>1000000000000</v>
      </c>
      <c r="BD322" s="173">
        <f ca="1">IF(OR($D322&lt;&gt;"Serviço",AND(AUTOEVENTO="Manual",$M322=$A$15),$M322&gt;(ROW(PLE.lastrow)-ROW(PLE.firstrow))),0,
           IF(OFFSET(PLE!$G$15,$M322-$A$15,BD$13)="",10^12,OFFSET(PLE!$G$15,$M322-$A$15,BD$13)))</f>
        <v>1000000000000</v>
      </c>
      <c r="BE322" s="173">
        <f ca="1">IF(OR($D322&lt;&gt;"Serviço",AND(AUTOEVENTO="Manual",$M322=$A$15),$M322&gt;(ROW(PLE.lastrow)-ROW(PLE.firstrow))),0,
           IF(OFFSET(PLE!$G$15,$M322-$A$15,BE$13)="",10^12,OFFSET(PLE!$G$15,$M322-$A$15,BE$13)))</f>
        <v>1000000000000</v>
      </c>
      <c r="BF322" s="173">
        <f ca="1">IF(OR($D322&lt;&gt;"Serviço",AND(AUTOEVENTO="Manual",$M322=$A$15),$M322&gt;(ROW(PLE.lastrow)-ROW(PLE.firstrow))),0,
           IF(OFFSET(PLE!$G$15,$M322-$A$15,BF$13)="",10^12,OFFSET(PLE!$G$15,$M322-$A$15,BF$13)))</f>
        <v>1000000000000</v>
      </c>
      <c r="BG322" s="173">
        <f ca="1">IF(OR($D322&lt;&gt;"Serviço",AND(AUTOEVENTO="Manual",$M322=$A$15),$M322&gt;(ROW(PLE.lastrow)-ROW(PLE.firstrow))),0,
           IF(OFFSET(PLE!$G$15,$M322-$A$15,BG$13)="",10^12,OFFSET(PLE!$G$15,$M322-$A$15,BG$13)))</f>
        <v>1000000000000</v>
      </c>
    </row>
    <row r="323" spans="1:59" ht="25.5" x14ac:dyDescent="0.2">
      <c r="A323" s="7" t="str">
        <f t="shared" ca="1" si="12"/>
        <v>253</v>
      </c>
      <c r="B323" s="7" t="str">
        <f ca="1">OFFSET(ORÇAMENTO!C$15,ROW(B323)-ROW(B$15),0)</f>
        <v>S</v>
      </c>
      <c r="C323" s="7" t="str">
        <f ca="1">OFFSET(ORÇAMENTO!L$15,ROW(C323)-ROW(C$15),0)</f>
        <v/>
      </c>
      <c r="D323" s="117" t="str">
        <f ca="1">OFFSET(ORÇAMENTO!N$15,ROW(D323)-ROW(D$15),0)</f>
        <v>Serviço</v>
      </c>
      <c r="E323" s="118" t="str">
        <f ca="1">OFFSET(ORÇAMENTO!O$15,ROW(E323)-ROW(E$15),0)</f>
        <v>-</v>
      </c>
      <c r="F323" s="164" t="str">
        <f ca="1">OFFSET(ORÇAMENTO!R$15,ROW(F323)-ROW(F$15),0)</f>
        <v>AUXILIAR DE ENCANADOR OU BOMBEIRO HIDRÁULICO COM ENCARGOS COMPLEMENTARES</v>
      </c>
      <c r="G323" s="165" t="str">
        <f ca="1">IF($D323&lt;&gt;"Serviço","",OFFSET(ORÇAMENTO!S$15,ROW(G323)-ROW(G$15),0))</f>
        <v>H</v>
      </c>
      <c r="H323" s="123">
        <f ca="1">IF($D323&lt;&gt;"Serviço",0,IF(ACOMPANHAMENTO="BM",ROUND(OFFSET(ORÇAMENTO!AJ$15,ROW(H323)-ROW(H$15),0),15-13*ORÇAMENTO!$AF$7),SUMPRODUCT(($Q$1:$AA$1=1)*ROUND($Q323:$AA323,15-13*ORÇAMENTO!$AF$7))))</f>
        <v>80</v>
      </c>
      <c r="I323" s="469"/>
      <c r="J323" s="577" t="str" cm="1">
        <f t="array" aca="1" ref="J323" ca="1">IF(B323&lt;&gt;"S","",IF(AND(ACOMPANHAMENTO="PLE",AUTOEVENTO="Manual",OR(H323&gt;0,ORÇAMENTO!AC323="QUANT."),OR(K323="",M323=0,N323="")),"►",IF(AND(ACOMPANHAMENTO="PLE",ORÇAMENTO!AC323="QUANT."),"►►",IF(AND(COUNTIF($P$11:$AA$11,"▼")=0,H323&gt;0,I323=""),"◄",""))))</f>
        <v>◄</v>
      </c>
      <c r="K323" s="626"/>
      <c r="L323" s="166" t="s">
        <v>765</v>
      </c>
      <c r="M323" s="167">
        <f ca="1">IF($D323&lt;&gt;"Serviço","",
          IF(AUTOEVENTO="manual",$A323,
                IF(ISERROR(MATCH($A323,$A$15:OFFSET($A323,-1,0),0)),MAX($M$15:OFFSET(M323,-1,0))+1,
                      INDEX($M$15:OFFSET(M323,-1,0),MATCH($A323,$A$15:OFFSET($A323,-1,0),0)))))</f>
        <v>16</v>
      </c>
      <c r="N323" s="168" t="str">
        <f ca="1">IF($D323&lt;&gt;"Serviço","",
         IF(AUTOEVENTO="Manual",
                IF($A323=0,"&lt;-- defina o número do agrupador",
                       OFFSET(EVENTOS!$D$15,$A323-$A$15,0)),
                OFFSET($F$15,$A323,0)))</f>
        <v>SISTEMAS DE PREVENÇÃO CONTRA INCÊNDIO</v>
      </c>
      <c r="O323" s="169"/>
      <c r="Q323" s="169"/>
      <c r="R323" s="170"/>
      <c r="S323" s="170"/>
      <c r="T323" s="170"/>
      <c r="U323" s="170"/>
      <c r="V323" s="170"/>
      <c r="W323" s="170"/>
      <c r="X323" s="170"/>
      <c r="Y323" s="170"/>
      <c r="Z323" s="171"/>
      <c r="AB323" s="454">
        <f ca="1">IF(AND($D323="Serviço",AB$12&lt;&gt;0,$H323&gt;0,OR(AUTOEVENTO&lt;&gt;"manual",$M323&lt;&gt;$A$15)),
        IF(Import.TipoArredondamento&lt;&gt;"TransfereGOV",
              ROUND(OFFSET($P323,0,AB$13),15-13*ORÇAMENTO!$AF$7)/$H323*OFFSET(ORÇAMENTO!$X$15,ROW(AB323)-ROW(AB$15),0),
              ROUND(ROUND(OFFSET($P323,0,AB$13),15-13*ORÇAMENTO!$AF$7)*OFFSET(ORÇAMENTO!$W$15,ROW(AB323)-ROW(AB$15),0),15-13*ORÇAMENTO!$AF$11)),
         0)</f>
        <v>0</v>
      </c>
      <c r="AC323" s="454">
        <f ca="1">IF(AND($D323="Serviço",AC$12&lt;&gt;0,$H323&gt;0,OR(AUTOEVENTO&lt;&gt;"manual",$M323&lt;&gt;$A$15)),
        IF(Import.TipoArredondamento&lt;&gt;"TransfereGOV",
              ROUND(OFFSET($P323,0,AC$13),15-13*ORÇAMENTO!$AF$7)/$H323*OFFSET(ORÇAMENTO!$X$15,ROW(AC323)-ROW(AC$15),0),
              ROUND(ROUND(OFFSET($P323,0,AC$13),15-13*ORÇAMENTO!$AF$7)*OFFSET(ORÇAMENTO!$W$15,ROW(AC323)-ROW(AC$15),0),15-13*ORÇAMENTO!$AF$11)),
         0)</f>
        <v>0</v>
      </c>
      <c r="AD323" s="454">
        <f ca="1">IF(AND($D323="Serviço",AD$12&lt;&gt;0,$H323&gt;0,OR(AUTOEVENTO&lt;&gt;"manual",$M323&lt;&gt;$A$15)),
        IF(Import.TipoArredondamento&lt;&gt;"TransfereGOV",
              ROUND(OFFSET($P323,0,AD$13),15-13*ORÇAMENTO!$AF$7)/$H323*OFFSET(ORÇAMENTO!$X$15,ROW(AD323)-ROW(AD$15),0),
              ROUND(ROUND(OFFSET($P323,0,AD$13),15-13*ORÇAMENTO!$AF$7)*OFFSET(ORÇAMENTO!$W$15,ROW(AD323)-ROW(AD$15),0),15-13*ORÇAMENTO!$AF$11)),
         0)</f>
        <v>0</v>
      </c>
      <c r="AE323" s="454">
        <f ca="1">IF(AND($D323="Serviço",AE$12&lt;&gt;0,$H323&gt;0,OR(AUTOEVENTO&lt;&gt;"manual",$M323&lt;&gt;$A$15)),
        IF(Import.TipoArredondamento&lt;&gt;"TransfereGOV",
              ROUND(OFFSET($P323,0,AE$13),15-13*ORÇAMENTO!$AF$7)/$H323*OFFSET(ORÇAMENTO!$X$15,ROW(AE323)-ROW(AE$15),0),
              ROUND(ROUND(OFFSET($P323,0,AE$13),15-13*ORÇAMENTO!$AF$7)*OFFSET(ORÇAMENTO!$W$15,ROW(AE323)-ROW(AE$15),0),15-13*ORÇAMENTO!$AF$11)),
         0)</f>
        <v>0</v>
      </c>
      <c r="AF323" s="454">
        <f ca="1">IF(AND($D323="Serviço",AF$12&lt;&gt;0,$H323&gt;0,OR(AUTOEVENTO&lt;&gt;"manual",$M323&lt;&gt;$A$15)),
        IF(Import.TipoArredondamento&lt;&gt;"TransfereGOV",
              ROUND(OFFSET($P323,0,AF$13),15-13*ORÇAMENTO!$AF$7)/$H323*OFFSET(ORÇAMENTO!$X$15,ROW(AF323)-ROW(AF$15),0),
              ROUND(ROUND(OFFSET($P323,0,AF$13),15-13*ORÇAMENTO!$AF$7)*OFFSET(ORÇAMENTO!$W$15,ROW(AF323)-ROW(AF$15),0),15-13*ORÇAMENTO!$AF$11)),
         0)</f>
        <v>0</v>
      </c>
      <c r="AG323" s="454">
        <f ca="1">IF(AND($D323="Serviço",AG$12&lt;&gt;0,$H323&gt;0,OR(AUTOEVENTO&lt;&gt;"manual",$M323&lt;&gt;$A$15)),
        IF(Import.TipoArredondamento&lt;&gt;"TransfereGOV",
              ROUND(OFFSET($P323,0,AG$13),15-13*ORÇAMENTO!$AF$7)/$H323*OFFSET(ORÇAMENTO!$X$15,ROW(AG323)-ROW(AG$15),0),
              ROUND(ROUND(OFFSET($P323,0,AG$13),15-13*ORÇAMENTO!$AF$7)*OFFSET(ORÇAMENTO!$W$15,ROW(AG323)-ROW(AG$15),0),15-13*ORÇAMENTO!$AF$11)),
         0)</f>
        <v>0</v>
      </c>
      <c r="AH323" s="454">
        <f ca="1">IF(AND($D323="Serviço",AH$12&lt;&gt;0,$H323&gt;0,OR(AUTOEVENTO&lt;&gt;"manual",$M323&lt;&gt;$A$15)),
        IF(Import.TipoArredondamento&lt;&gt;"TransfereGOV",
              ROUND(OFFSET($P323,0,AH$13),15-13*ORÇAMENTO!$AF$7)/$H323*OFFSET(ORÇAMENTO!$X$15,ROW(AH323)-ROW(AH$15),0),
              ROUND(ROUND(OFFSET($P323,0,AH$13),15-13*ORÇAMENTO!$AF$7)*OFFSET(ORÇAMENTO!$W$15,ROW(AH323)-ROW(AH$15),0),15-13*ORÇAMENTO!$AF$11)),
         0)</f>
        <v>0</v>
      </c>
      <c r="AI323" s="454">
        <f ca="1">IF(AND($D323="Serviço",AI$12&lt;&gt;0,$H323&gt;0,OR(AUTOEVENTO&lt;&gt;"manual",$M323&lt;&gt;$A$15)),
        IF(Import.TipoArredondamento&lt;&gt;"TransfereGOV",
              ROUND(OFFSET($P323,0,AI$13),15-13*ORÇAMENTO!$AF$7)/$H323*OFFSET(ORÇAMENTO!$X$15,ROW(AI323)-ROW(AI$15),0),
              ROUND(ROUND(OFFSET($P323,0,AI$13),15-13*ORÇAMENTO!$AF$7)*OFFSET(ORÇAMENTO!$W$15,ROW(AI323)-ROW(AI$15),0),15-13*ORÇAMENTO!$AF$11)),
         0)</f>
        <v>0</v>
      </c>
      <c r="AJ323" s="454">
        <f ca="1">IF(AND($D323="Serviço",AJ$12&lt;&gt;0,$H323&gt;0,OR(AUTOEVENTO&lt;&gt;"manual",$M323&lt;&gt;$A$15)),
        IF(Import.TipoArredondamento&lt;&gt;"TransfereGOV",
              ROUND(OFFSET($P323,0,AJ$13),15-13*ORÇAMENTO!$AF$7)/$H323*OFFSET(ORÇAMENTO!$X$15,ROW(AJ323)-ROW(AJ$15),0),
              ROUND(ROUND(OFFSET($P323,0,AJ$13),15-13*ORÇAMENTO!$AF$7)*OFFSET(ORÇAMENTO!$W$15,ROW(AJ323)-ROW(AJ$15),0),15-13*ORÇAMENTO!$AF$11)),
         0)</f>
        <v>0</v>
      </c>
      <c r="AK323" s="454">
        <f ca="1">IF(AND($D323="Serviço",AK$12&lt;&gt;0,$H323&gt;0,OR(AUTOEVENTO&lt;&gt;"manual",$M323&lt;&gt;$A$15)),
        IF(Import.TipoArredondamento&lt;&gt;"TransfereGOV",
              ROUND(OFFSET($P323,0,AK$13),15-13*ORÇAMENTO!$AF$7)/$H323*OFFSET(ORÇAMENTO!$X$15,ROW(AK323)-ROW(AK$15),0),
              ROUND(ROUND(OFFSET($P323,0,AK$13),15-13*ORÇAMENTO!$AF$7)*OFFSET(ORÇAMENTO!$W$15,ROW(AK323)-ROW(AK$15),0),15-13*ORÇAMENTO!$AF$11)),
         0)</f>
        <v>0</v>
      </c>
      <c r="AM323" s="172">
        <f ca="1">IF(OR($D323&lt;&gt;"Serviço",AND(AUTOEVENTO="Manual",$M323=$A$15)),0,
         IF(OFFSET(CRONOPLE!$F$15,$M323-$A$15,AM$13)="",10^12,OFFSET(CRONOPLE!$F$15,$M323-$A$15,AM$13)))</f>
        <v>1000000000000</v>
      </c>
      <c r="AN323" s="172">
        <f ca="1">IF(OR($D323&lt;&gt;"Serviço",AND(AUTOEVENTO="Manual",$M323=$A$15)),0,
         IF(OFFSET(CRONOPLE!$F$15,$M323-$A$15,AN$13)="",10^12,OFFSET(CRONOPLE!$F$15,$M323-$A$15,AN$13)))</f>
        <v>1000000000000</v>
      </c>
      <c r="AO323" s="172">
        <f ca="1">IF(OR($D323&lt;&gt;"Serviço",AND(AUTOEVENTO="Manual",$M323=$A$15)),0,
         IF(OFFSET(CRONOPLE!$F$15,$M323-$A$15,AO$13)="",10^12,OFFSET(CRONOPLE!$F$15,$M323-$A$15,AO$13)))</f>
        <v>1000000000000</v>
      </c>
      <c r="AP323" s="172">
        <f ca="1">IF(OR($D323&lt;&gt;"Serviço",AND(AUTOEVENTO="Manual",$M323=$A$15)),0,
         IF(OFFSET(CRONOPLE!$F$15,$M323-$A$15,AP$13)="",10^12,OFFSET(CRONOPLE!$F$15,$M323-$A$15,AP$13)))</f>
        <v>1000000000000</v>
      </c>
      <c r="AQ323" s="172">
        <f ca="1">IF(OR($D323&lt;&gt;"Serviço",AND(AUTOEVENTO="Manual",$M323=$A$15)),0,
         IF(OFFSET(CRONOPLE!$F$15,$M323-$A$15,AQ$13)="",10^12,OFFSET(CRONOPLE!$F$15,$M323-$A$15,AQ$13)))</f>
        <v>1000000000000</v>
      </c>
      <c r="AR323" s="172">
        <f ca="1">IF(OR($D323&lt;&gt;"Serviço",AND(AUTOEVENTO="Manual",$M323=$A$15)),0,
         IF(OFFSET(CRONOPLE!$F$15,$M323-$A$15,AR$13)="",10^12,OFFSET(CRONOPLE!$F$15,$M323-$A$15,AR$13)))</f>
        <v>1000000000000</v>
      </c>
      <c r="AS323" s="172">
        <f ca="1">IF(OR($D323&lt;&gt;"Serviço",AND(AUTOEVENTO="Manual",$M323=$A$15)),0,
         IF(OFFSET(CRONOPLE!$F$15,$M323-$A$15,AS$13)="",10^12,OFFSET(CRONOPLE!$F$15,$M323-$A$15,AS$13)))</f>
        <v>1000000000000</v>
      </c>
      <c r="AT323" s="172">
        <f ca="1">IF(OR($D323&lt;&gt;"Serviço",AND(AUTOEVENTO="Manual",$M323=$A$15)),0,
         IF(OFFSET(CRONOPLE!$F$15,$M323-$A$15,AT$13)="",10^12,OFFSET(CRONOPLE!$F$15,$M323-$A$15,AT$13)))</f>
        <v>1000000000000</v>
      </c>
      <c r="AU323" s="172">
        <f ca="1">IF(OR($D323&lt;&gt;"Serviço",AND(AUTOEVENTO="Manual",$M323=$A$15)),0,
         IF(OFFSET(CRONOPLE!$F$15,$M323-$A$15,AU$13)="",10^12,OFFSET(CRONOPLE!$F$15,$M323-$A$15,AU$13)))</f>
        <v>1000000000000</v>
      </c>
      <c r="AV323" s="172">
        <f ca="1">IF(OR($D323&lt;&gt;"Serviço",AND(AUTOEVENTO="Manual",$M323=$A$15)),0,
         IF(OFFSET(CRONOPLE!$F$15,$M323-$A$15,AV$13)="",10^12,OFFSET(CRONOPLE!$F$15,$M323-$A$15,AV$13)))</f>
        <v>1000000000000</v>
      </c>
      <c r="AX323" s="173">
        <f ca="1">IF(OR($D323&lt;&gt;"Serviço",AND(AUTOEVENTO="Manual",$M323=$A$15),$M323&gt;(ROW(PLE.lastrow)-ROW(PLE.firstrow))),0,
           IF(OFFSET(PLE!$G$15,$M323-$A$15,AX$13)="",10^12,OFFSET(PLE!$G$15,$M323-$A$15,AX$13)))</f>
        <v>1000000000000</v>
      </c>
      <c r="AY323" s="173">
        <f ca="1">IF(OR($D323&lt;&gt;"Serviço",AND(AUTOEVENTO="Manual",$M323=$A$15),$M323&gt;(ROW(PLE.lastrow)-ROW(PLE.firstrow))),0,
           IF(OFFSET(PLE!$G$15,$M323-$A$15,AY$13)="",10^12,OFFSET(PLE!$G$15,$M323-$A$15,AY$13)))</f>
        <v>1000000000000</v>
      </c>
      <c r="AZ323" s="173">
        <f ca="1">IF(OR($D323&lt;&gt;"Serviço",AND(AUTOEVENTO="Manual",$M323=$A$15),$M323&gt;(ROW(PLE.lastrow)-ROW(PLE.firstrow))),0,
           IF(OFFSET(PLE!$G$15,$M323-$A$15,AZ$13)="",10^12,OFFSET(PLE!$G$15,$M323-$A$15,AZ$13)))</f>
        <v>1000000000000</v>
      </c>
      <c r="BA323" s="173">
        <f ca="1">IF(OR($D323&lt;&gt;"Serviço",AND(AUTOEVENTO="Manual",$M323=$A$15),$M323&gt;(ROW(PLE.lastrow)-ROW(PLE.firstrow))),0,
           IF(OFFSET(PLE!$G$15,$M323-$A$15,BA$13)="",10^12,OFFSET(PLE!$G$15,$M323-$A$15,BA$13)))</f>
        <v>1000000000000</v>
      </c>
      <c r="BB323" s="173">
        <f ca="1">IF(OR($D323&lt;&gt;"Serviço",AND(AUTOEVENTO="Manual",$M323=$A$15),$M323&gt;(ROW(PLE.lastrow)-ROW(PLE.firstrow))),0,
           IF(OFFSET(PLE!$G$15,$M323-$A$15,BB$13)="",10^12,OFFSET(PLE!$G$15,$M323-$A$15,BB$13)))</f>
        <v>1000000000000</v>
      </c>
      <c r="BC323" s="173">
        <f ca="1">IF(OR($D323&lt;&gt;"Serviço",AND(AUTOEVENTO="Manual",$M323=$A$15),$M323&gt;(ROW(PLE.lastrow)-ROW(PLE.firstrow))),0,
           IF(OFFSET(PLE!$G$15,$M323-$A$15,BC$13)="",10^12,OFFSET(PLE!$G$15,$M323-$A$15,BC$13)))</f>
        <v>1000000000000</v>
      </c>
      <c r="BD323" s="173">
        <f ca="1">IF(OR($D323&lt;&gt;"Serviço",AND(AUTOEVENTO="Manual",$M323=$A$15),$M323&gt;(ROW(PLE.lastrow)-ROW(PLE.firstrow))),0,
           IF(OFFSET(PLE!$G$15,$M323-$A$15,BD$13)="",10^12,OFFSET(PLE!$G$15,$M323-$A$15,BD$13)))</f>
        <v>1000000000000</v>
      </c>
      <c r="BE323" s="173">
        <f ca="1">IF(OR($D323&lt;&gt;"Serviço",AND(AUTOEVENTO="Manual",$M323=$A$15),$M323&gt;(ROW(PLE.lastrow)-ROW(PLE.firstrow))),0,
           IF(OFFSET(PLE!$G$15,$M323-$A$15,BE$13)="",10^12,OFFSET(PLE!$G$15,$M323-$A$15,BE$13)))</f>
        <v>1000000000000</v>
      </c>
      <c r="BF323" s="173">
        <f ca="1">IF(OR($D323&lt;&gt;"Serviço",AND(AUTOEVENTO="Manual",$M323=$A$15),$M323&gt;(ROW(PLE.lastrow)-ROW(PLE.firstrow))),0,
           IF(OFFSET(PLE!$G$15,$M323-$A$15,BF$13)="",10^12,OFFSET(PLE!$G$15,$M323-$A$15,BF$13)))</f>
        <v>1000000000000</v>
      </c>
      <c r="BG323" s="173">
        <f ca="1">IF(OR($D323&lt;&gt;"Serviço",AND(AUTOEVENTO="Manual",$M323=$A$15),$M323&gt;(ROW(PLE.lastrow)-ROW(PLE.firstrow))),0,
           IF(OFFSET(PLE!$G$15,$M323-$A$15,BG$13)="",10^12,OFFSET(PLE!$G$15,$M323-$A$15,BG$13)))</f>
        <v>1000000000000</v>
      </c>
    </row>
    <row r="324" spans="1:59" ht="25.5" x14ac:dyDescent="0.2">
      <c r="A324" s="7" t="str">
        <f t="shared" ca="1" si="12"/>
        <v>253</v>
      </c>
      <c r="B324" s="7" t="str">
        <f ca="1">OFFSET(ORÇAMENTO!C$15,ROW(B324)-ROW(B$15),0)</f>
        <v>S</v>
      </c>
      <c r="C324" s="7" t="str">
        <f ca="1">OFFSET(ORÇAMENTO!L$15,ROW(C324)-ROW(C$15),0)</f>
        <v/>
      </c>
      <c r="D324" s="117" t="str">
        <f ca="1">OFFSET(ORÇAMENTO!N$15,ROW(D324)-ROW(D$15),0)</f>
        <v>Serviço</v>
      </c>
      <c r="E324" s="118" t="str">
        <f ca="1">OFFSET(ORÇAMENTO!O$15,ROW(E324)-ROW(E$15),0)</f>
        <v>-</v>
      </c>
      <c r="F324" s="164" t="str">
        <f ca="1">OFFSET(ORÇAMENTO!R$15,ROW(F324)-ROW(F$15),0)</f>
        <v>ENCANADOR OU BOMBEIRO HIDRÁULICO COM ENCARGOS COMPLEMENTARES</v>
      </c>
      <c r="G324" s="165" t="str">
        <f ca="1">IF($D324&lt;&gt;"Serviço","",OFFSET(ORÇAMENTO!S$15,ROW(G324)-ROW(G$15),0))</f>
        <v>H</v>
      </c>
      <c r="H324" s="123">
        <f ca="1">IF($D324&lt;&gt;"Serviço",0,IF(ACOMPANHAMENTO="BM",ROUND(OFFSET(ORÇAMENTO!AJ$15,ROW(H324)-ROW(H$15),0),15-13*ORÇAMENTO!$AF$7),SUMPRODUCT(($Q$1:$AA$1=1)*ROUND($Q324:$AA324,15-13*ORÇAMENTO!$AF$7))))</f>
        <v>80</v>
      </c>
      <c r="I324" s="469"/>
      <c r="J324" s="577" t="str" cm="1">
        <f t="array" aca="1" ref="J324" ca="1">IF(B324&lt;&gt;"S","",IF(AND(ACOMPANHAMENTO="PLE",AUTOEVENTO="Manual",OR(H324&gt;0,ORÇAMENTO!AC324="QUANT."),OR(K324="",M324=0,N324="")),"►",IF(AND(ACOMPANHAMENTO="PLE",ORÇAMENTO!AC324="QUANT."),"►►",IF(AND(COUNTIF($P$11:$AA$11,"▼")=0,H324&gt;0,I324=""),"◄",""))))</f>
        <v>◄</v>
      </c>
      <c r="K324" s="626"/>
      <c r="L324" s="166" t="s">
        <v>765</v>
      </c>
      <c r="M324" s="167">
        <f ca="1">IF($D324&lt;&gt;"Serviço","",
          IF(AUTOEVENTO="manual",$A324,
                IF(ISERROR(MATCH($A324,$A$15:OFFSET($A324,-1,0),0)),MAX($M$15:OFFSET(M324,-1,0))+1,
                      INDEX($M$15:OFFSET(M324,-1,0),MATCH($A324,$A$15:OFFSET($A324,-1,0),0)))))</f>
        <v>16</v>
      </c>
      <c r="N324" s="168" t="str">
        <f ca="1">IF($D324&lt;&gt;"Serviço","",
         IF(AUTOEVENTO="Manual",
                IF($A324=0,"&lt;-- defina o número do agrupador",
                       OFFSET(EVENTOS!$D$15,$A324-$A$15,0)),
                OFFSET($F$15,$A324,0)))</f>
        <v>SISTEMAS DE PREVENÇÃO CONTRA INCÊNDIO</v>
      </c>
      <c r="O324" s="169"/>
      <c r="Q324" s="169"/>
      <c r="R324" s="170"/>
      <c r="S324" s="170"/>
      <c r="T324" s="170"/>
      <c r="U324" s="170"/>
      <c r="V324" s="170"/>
      <c r="W324" s="170"/>
      <c r="X324" s="170"/>
      <c r="Y324" s="170"/>
      <c r="Z324" s="171"/>
      <c r="AB324" s="454">
        <f ca="1">IF(AND($D324="Serviço",AB$12&lt;&gt;0,$H324&gt;0,OR(AUTOEVENTO&lt;&gt;"manual",$M324&lt;&gt;$A$15)),
        IF(Import.TipoArredondamento&lt;&gt;"TransfereGOV",
              ROUND(OFFSET($P324,0,AB$13),15-13*ORÇAMENTO!$AF$7)/$H324*OFFSET(ORÇAMENTO!$X$15,ROW(AB324)-ROW(AB$15),0),
              ROUND(ROUND(OFFSET($P324,0,AB$13),15-13*ORÇAMENTO!$AF$7)*OFFSET(ORÇAMENTO!$W$15,ROW(AB324)-ROW(AB$15),0),15-13*ORÇAMENTO!$AF$11)),
         0)</f>
        <v>0</v>
      </c>
      <c r="AC324" s="454">
        <f ca="1">IF(AND($D324="Serviço",AC$12&lt;&gt;0,$H324&gt;0,OR(AUTOEVENTO&lt;&gt;"manual",$M324&lt;&gt;$A$15)),
        IF(Import.TipoArredondamento&lt;&gt;"TransfereGOV",
              ROUND(OFFSET($P324,0,AC$13),15-13*ORÇAMENTO!$AF$7)/$H324*OFFSET(ORÇAMENTO!$X$15,ROW(AC324)-ROW(AC$15),0),
              ROUND(ROUND(OFFSET($P324,0,AC$13),15-13*ORÇAMENTO!$AF$7)*OFFSET(ORÇAMENTO!$W$15,ROW(AC324)-ROW(AC$15),0),15-13*ORÇAMENTO!$AF$11)),
         0)</f>
        <v>0</v>
      </c>
      <c r="AD324" s="454">
        <f ca="1">IF(AND($D324="Serviço",AD$12&lt;&gt;0,$H324&gt;0,OR(AUTOEVENTO&lt;&gt;"manual",$M324&lt;&gt;$A$15)),
        IF(Import.TipoArredondamento&lt;&gt;"TransfereGOV",
              ROUND(OFFSET($P324,0,AD$13),15-13*ORÇAMENTO!$AF$7)/$H324*OFFSET(ORÇAMENTO!$X$15,ROW(AD324)-ROW(AD$15),0),
              ROUND(ROUND(OFFSET($P324,0,AD$13),15-13*ORÇAMENTO!$AF$7)*OFFSET(ORÇAMENTO!$W$15,ROW(AD324)-ROW(AD$15),0),15-13*ORÇAMENTO!$AF$11)),
         0)</f>
        <v>0</v>
      </c>
      <c r="AE324" s="454">
        <f ca="1">IF(AND($D324="Serviço",AE$12&lt;&gt;0,$H324&gt;0,OR(AUTOEVENTO&lt;&gt;"manual",$M324&lt;&gt;$A$15)),
        IF(Import.TipoArredondamento&lt;&gt;"TransfereGOV",
              ROUND(OFFSET($P324,0,AE$13),15-13*ORÇAMENTO!$AF$7)/$H324*OFFSET(ORÇAMENTO!$X$15,ROW(AE324)-ROW(AE$15),0),
              ROUND(ROUND(OFFSET($P324,0,AE$13),15-13*ORÇAMENTO!$AF$7)*OFFSET(ORÇAMENTO!$W$15,ROW(AE324)-ROW(AE$15),0),15-13*ORÇAMENTO!$AF$11)),
         0)</f>
        <v>0</v>
      </c>
      <c r="AF324" s="454">
        <f ca="1">IF(AND($D324="Serviço",AF$12&lt;&gt;0,$H324&gt;0,OR(AUTOEVENTO&lt;&gt;"manual",$M324&lt;&gt;$A$15)),
        IF(Import.TipoArredondamento&lt;&gt;"TransfereGOV",
              ROUND(OFFSET($P324,0,AF$13),15-13*ORÇAMENTO!$AF$7)/$H324*OFFSET(ORÇAMENTO!$X$15,ROW(AF324)-ROW(AF$15),0),
              ROUND(ROUND(OFFSET($P324,0,AF$13),15-13*ORÇAMENTO!$AF$7)*OFFSET(ORÇAMENTO!$W$15,ROW(AF324)-ROW(AF$15),0),15-13*ORÇAMENTO!$AF$11)),
         0)</f>
        <v>0</v>
      </c>
      <c r="AG324" s="454">
        <f ca="1">IF(AND($D324="Serviço",AG$12&lt;&gt;0,$H324&gt;0,OR(AUTOEVENTO&lt;&gt;"manual",$M324&lt;&gt;$A$15)),
        IF(Import.TipoArredondamento&lt;&gt;"TransfereGOV",
              ROUND(OFFSET($P324,0,AG$13),15-13*ORÇAMENTO!$AF$7)/$H324*OFFSET(ORÇAMENTO!$X$15,ROW(AG324)-ROW(AG$15),0),
              ROUND(ROUND(OFFSET($P324,0,AG$13),15-13*ORÇAMENTO!$AF$7)*OFFSET(ORÇAMENTO!$W$15,ROW(AG324)-ROW(AG$15),0),15-13*ORÇAMENTO!$AF$11)),
         0)</f>
        <v>0</v>
      </c>
      <c r="AH324" s="454">
        <f ca="1">IF(AND($D324="Serviço",AH$12&lt;&gt;0,$H324&gt;0,OR(AUTOEVENTO&lt;&gt;"manual",$M324&lt;&gt;$A$15)),
        IF(Import.TipoArredondamento&lt;&gt;"TransfereGOV",
              ROUND(OFFSET($P324,0,AH$13),15-13*ORÇAMENTO!$AF$7)/$H324*OFFSET(ORÇAMENTO!$X$15,ROW(AH324)-ROW(AH$15),0),
              ROUND(ROUND(OFFSET($P324,0,AH$13),15-13*ORÇAMENTO!$AF$7)*OFFSET(ORÇAMENTO!$W$15,ROW(AH324)-ROW(AH$15),0),15-13*ORÇAMENTO!$AF$11)),
         0)</f>
        <v>0</v>
      </c>
      <c r="AI324" s="454">
        <f ca="1">IF(AND($D324="Serviço",AI$12&lt;&gt;0,$H324&gt;0,OR(AUTOEVENTO&lt;&gt;"manual",$M324&lt;&gt;$A$15)),
        IF(Import.TipoArredondamento&lt;&gt;"TransfereGOV",
              ROUND(OFFSET($P324,0,AI$13),15-13*ORÇAMENTO!$AF$7)/$H324*OFFSET(ORÇAMENTO!$X$15,ROW(AI324)-ROW(AI$15),0),
              ROUND(ROUND(OFFSET($P324,0,AI$13),15-13*ORÇAMENTO!$AF$7)*OFFSET(ORÇAMENTO!$W$15,ROW(AI324)-ROW(AI$15),0),15-13*ORÇAMENTO!$AF$11)),
         0)</f>
        <v>0</v>
      </c>
      <c r="AJ324" s="454">
        <f ca="1">IF(AND($D324="Serviço",AJ$12&lt;&gt;0,$H324&gt;0,OR(AUTOEVENTO&lt;&gt;"manual",$M324&lt;&gt;$A$15)),
        IF(Import.TipoArredondamento&lt;&gt;"TransfereGOV",
              ROUND(OFFSET($P324,0,AJ$13),15-13*ORÇAMENTO!$AF$7)/$H324*OFFSET(ORÇAMENTO!$X$15,ROW(AJ324)-ROW(AJ$15),0),
              ROUND(ROUND(OFFSET($P324,0,AJ$13),15-13*ORÇAMENTO!$AF$7)*OFFSET(ORÇAMENTO!$W$15,ROW(AJ324)-ROW(AJ$15),0),15-13*ORÇAMENTO!$AF$11)),
         0)</f>
        <v>0</v>
      </c>
      <c r="AK324" s="454">
        <f ca="1">IF(AND($D324="Serviço",AK$12&lt;&gt;0,$H324&gt;0,OR(AUTOEVENTO&lt;&gt;"manual",$M324&lt;&gt;$A$15)),
        IF(Import.TipoArredondamento&lt;&gt;"TransfereGOV",
              ROUND(OFFSET($P324,0,AK$13),15-13*ORÇAMENTO!$AF$7)/$H324*OFFSET(ORÇAMENTO!$X$15,ROW(AK324)-ROW(AK$15),0),
              ROUND(ROUND(OFFSET($P324,0,AK$13),15-13*ORÇAMENTO!$AF$7)*OFFSET(ORÇAMENTO!$W$15,ROW(AK324)-ROW(AK$15),0),15-13*ORÇAMENTO!$AF$11)),
         0)</f>
        <v>0</v>
      </c>
      <c r="AM324" s="172">
        <f ca="1">IF(OR($D324&lt;&gt;"Serviço",AND(AUTOEVENTO="Manual",$M324=$A$15)),0,
         IF(OFFSET(CRONOPLE!$F$15,$M324-$A$15,AM$13)="",10^12,OFFSET(CRONOPLE!$F$15,$M324-$A$15,AM$13)))</f>
        <v>1000000000000</v>
      </c>
      <c r="AN324" s="172">
        <f ca="1">IF(OR($D324&lt;&gt;"Serviço",AND(AUTOEVENTO="Manual",$M324=$A$15)),0,
         IF(OFFSET(CRONOPLE!$F$15,$M324-$A$15,AN$13)="",10^12,OFFSET(CRONOPLE!$F$15,$M324-$A$15,AN$13)))</f>
        <v>1000000000000</v>
      </c>
      <c r="AO324" s="172">
        <f ca="1">IF(OR($D324&lt;&gt;"Serviço",AND(AUTOEVENTO="Manual",$M324=$A$15)),0,
         IF(OFFSET(CRONOPLE!$F$15,$M324-$A$15,AO$13)="",10^12,OFFSET(CRONOPLE!$F$15,$M324-$A$15,AO$13)))</f>
        <v>1000000000000</v>
      </c>
      <c r="AP324" s="172">
        <f ca="1">IF(OR($D324&lt;&gt;"Serviço",AND(AUTOEVENTO="Manual",$M324=$A$15)),0,
         IF(OFFSET(CRONOPLE!$F$15,$M324-$A$15,AP$13)="",10^12,OFFSET(CRONOPLE!$F$15,$M324-$A$15,AP$13)))</f>
        <v>1000000000000</v>
      </c>
      <c r="AQ324" s="172">
        <f ca="1">IF(OR($D324&lt;&gt;"Serviço",AND(AUTOEVENTO="Manual",$M324=$A$15)),0,
         IF(OFFSET(CRONOPLE!$F$15,$M324-$A$15,AQ$13)="",10^12,OFFSET(CRONOPLE!$F$15,$M324-$A$15,AQ$13)))</f>
        <v>1000000000000</v>
      </c>
      <c r="AR324" s="172">
        <f ca="1">IF(OR($D324&lt;&gt;"Serviço",AND(AUTOEVENTO="Manual",$M324=$A$15)),0,
         IF(OFFSET(CRONOPLE!$F$15,$M324-$A$15,AR$13)="",10^12,OFFSET(CRONOPLE!$F$15,$M324-$A$15,AR$13)))</f>
        <v>1000000000000</v>
      </c>
      <c r="AS324" s="172">
        <f ca="1">IF(OR($D324&lt;&gt;"Serviço",AND(AUTOEVENTO="Manual",$M324=$A$15)),0,
         IF(OFFSET(CRONOPLE!$F$15,$M324-$A$15,AS$13)="",10^12,OFFSET(CRONOPLE!$F$15,$M324-$A$15,AS$13)))</f>
        <v>1000000000000</v>
      </c>
      <c r="AT324" s="172">
        <f ca="1">IF(OR($D324&lt;&gt;"Serviço",AND(AUTOEVENTO="Manual",$M324=$A$15)),0,
         IF(OFFSET(CRONOPLE!$F$15,$M324-$A$15,AT$13)="",10^12,OFFSET(CRONOPLE!$F$15,$M324-$A$15,AT$13)))</f>
        <v>1000000000000</v>
      </c>
      <c r="AU324" s="172">
        <f ca="1">IF(OR($D324&lt;&gt;"Serviço",AND(AUTOEVENTO="Manual",$M324=$A$15)),0,
         IF(OFFSET(CRONOPLE!$F$15,$M324-$A$15,AU$13)="",10^12,OFFSET(CRONOPLE!$F$15,$M324-$A$15,AU$13)))</f>
        <v>1000000000000</v>
      </c>
      <c r="AV324" s="172">
        <f ca="1">IF(OR($D324&lt;&gt;"Serviço",AND(AUTOEVENTO="Manual",$M324=$A$15)),0,
         IF(OFFSET(CRONOPLE!$F$15,$M324-$A$15,AV$13)="",10^12,OFFSET(CRONOPLE!$F$15,$M324-$A$15,AV$13)))</f>
        <v>1000000000000</v>
      </c>
      <c r="AX324" s="173">
        <f ca="1">IF(OR($D324&lt;&gt;"Serviço",AND(AUTOEVENTO="Manual",$M324=$A$15),$M324&gt;(ROW(PLE.lastrow)-ROW(PLE.firstrow))),0,
           IF(OFFSET(PLE!$G$15,$M324-$A$15,AX$13)="",10^12,OFFSET(PLE!$G$15,$M324-$A$15,AX$13)))</f>
        <v>1000000000000</v>
      </c>
      <c r="AY324" s="173">
        <f ca="1">IF(OR($D324&lt;&gt;"Serviço",AND(AUTOEVENTO="Manual",$M324=$A$15),$M324&gt;(ROW(PLE.lastrow)-ROW(PLE.firstrow))),0,
           IF(OFFSET(PLE!$G$15,$M324-$A$15,AY$13)="",10^12,OFFSET(PLE!$G$15,$M324-$A$15,AY$13)))</f>
        <v>1000000000000</v>
      </c>
      <c r="AZ324" s="173">
        <f ca="1">IF(OR($D324&lt;&gt;"Serviço",AND(AUTOEVENTO="Manual",$M324=$A$15),$M324&gt;(ROW(PLE.lastrow)-ROW(PLE.firstrow))),0,
           IF(OFFSET(PLE!$G$15,$M324-$A$15,AZ$13)="",10^12,OFFSET(PLE!$G$15,$M324-$A$15,AZ$13)))</f>
        <v>1000000000000</v>
      </c>
      <c r="BA324" s="173">
        <f ca="1">IF(OR($D324&lt;&gt;"Serviço",AND(AUTOEVENTO="Manual",$M324=$A$15),$M324&gt;(ROW(PLE.lastrow)-ROW(PLE.firstrow))),0,
           IF(OFFSET(PLE!$G$15,$M324-$A$15,BA$13)="",10^12,OFFSET(PLE!$G$15,$M324-$A$15,BA$13)))</f>
        <v>1000000000000</v>
      </c>
      <c r="BB324" s="173">
        <f ca="1">IF(OR($D324&lt;&gt;"Serviço",AND(AUTOEVENTO="Manual",$M324=$A$15),$M324&gt;(ROW(PLE.lastrow)-ROW(PLE.firstrow))),0,
           IF(OFFSET(PLE!$G$15,$M324-$A$15,BB$13)="",10^12,OFFSET(PLE!$G$15,$M324-$A$15,BB$13)))</f>
        <v>1000000000000</v>
      </c>
      <c r="BC324" s="173">
        <f ca="1">IF(OR($D324&lt;&gt;"Serviço",AND(AUTOEVENTO="Manual",$M324=$A$15),$M324&gt;(ROW(PLE.lastrow)-ROW(PLE.firstrow))),0,
           IF(OFFSET(PLE!$G$15,$M324-$A$15,BC$13)="",10^12,OFFSET(PLE!$G$15,$M324-$A$15,BC$13)))</f>
        <v>1000000000000</v>
      </c>
      <c r="BD324" s="173">
        <f ca="1">IF(OR($D324&lt;&gt;"Serviço",AND(AUTOEVENTO="Manual",$M324=$A$15),$M324&gt;(ROW(PLE.lastrow)-ROW(PLE.firstrow))),0,
           IF(OFFSET(PLE!$G$15,$M324-$A$15,BD$13)="",10^12,OFFSET(PLE!$G$15,$M324-$A$15,BD$13)))</f>
        <v>1000000000000</v>
      </c>
      <c r="BE324" s="173">
        <f ca="1">IF(OR($D324&lt;&gt;"Serviço",AND(AUTOEVENTO="Manual",$M324=$A$15),$M324&gt;(ROW(PLE.lastrow)-ROW(PLE.firstrow))),0,
           IF(OFFSET(PLE!$G$15,$M324-$A$15,BE$13)="",10^12,OFFSET(PLE!$G$15,$M324-$A$15,BE$13)))</f>
        <v>1000000000000</v>
      </c>
      <c r="BF324" s="173">
        <f ca="1">IF(OR($D324&lt;&gt;"Serviço",AND(AUTOEVENTO="Manual",$M324=$A$15),$M324&gt;(ROW(PLE.lastrow)-ROW(PLE.firstrow))),0,
           IF(OFFSET(PLE!$G$15,$M324-$A$15,BF$13)="",10^12,OFFSET(PLE!$G$15,$M324-$A$15,BF$13)))</f>
        <v>1000000000000</v>
      </c>
      <c r="BG324" s="173">
        <f ca="1">IF(OR($D324&lt;&gt;"Serviço",AND(AUTOEVENTO="Manual",$M324=$A$15),$M324&gt;(ROW(PLE.lastrow)-ROW(PLE.firstrow))),0,
           IF(OFFSET(PLE!$G$15,$M324-$A$15,BG$13)="",10^12,OFFSET(PLE!$G$15,$M324-$A$15,BG$13)))</f>
        <v>1000000000000</v>
      </c>
    </row>
    <row r="325" spans="1:59" ht="12.75" x14ac:dyDescent="0.2">
      <c r="A325" s="7" t="str">
        <f t="shared" ca="1" si="12"/>
        <v>310.</v>
      </c>
      <c r="B325" s="7">
        <f ca="1">OFFSET(ORÇAMENTO!C$15,ROW(B325)-ROW(B$15),0)</f>
        <v>2</v>
      </c>
      <c r="C325" s="7" t="str">
        <f ca="1">OFFSET(ORÇAMENTO!L$15,ROW(C325)-ROW(C$15),0)</f>
        <v>F</v>
      </c>
      <c r="D325" s="117" t="str">
        <f ca="1">OFFSET(ORÇAMENTO!N$15,ROW(D325)-ROW(D$15),0)</f>
        <v>Nível 2</v>
      </c>
      <c r="E325" s="118" t="str">
        <f ca="1">OFFSET(ORÇAMENTO!O$15,ROW(E325)-ROW(E$15),0)</f>
        <v>1.17.</v>
      </c>
      <c r="F325" s="164" t="str">
        <f ca="1">OFFSET(ORÇAMENTO!R$15,ROW(F325)-ROW(F$15),0)</f>
        <v>CENTRAL DE GLP, ABRIGO DE LIXO E SOLÁRIOS</v>
      </c>
      <c r="G325" s="165" t="str">
        <f ca="1">IF($D325&lt;&gt;"Serviço","",OFFSET(ORÇAMENTO!S$15,ROW(G325)-ROW(G$15),0))</f>
        <v/>
      </c>
      <c r="H325" s="123">
        <f ca="1">IF($D325&lt;&gt;"Serviço",0,IF(ACOMPANHAMENTO="BM",ROUND(OFFSET(ORÇAMENTO!AJ$15,ROW(H325)-ROW(H$15),0),15-13*ORÇAMENTO!$AF$7),SUMPRODUCT(($Q$1:$AA$1=1)*ROUND($Q325:$AA325,15-13*ORÇAMENTO!$AF$7))))</f>
        <v>0</v>
      </c>
      <c r="I325" s="469"/>
      <c r="J325" s="577" t="str" cm="1">
        <f t="array" aca="1" ref="J325" ca="1">IF(B325&lt;&gt;"S","",IF(AND(ACOMPANHAMENTO="PLE",AUTOEVENTO="Manual",OR(H325&gt;0,ORÇAMENTO!AC325="QUANT."),OR(K325="",M325=0,N325="")),"►",IF(AND(ACOMPANHAMENTO="PLE",ORÇAMENTO!AC325="QUANT."),"►►",IF(AND(COUNTIF($P$11:$AA$11,"▼")=0,H325&gt;0,I325=""),"◄",""))))</f>
        <v/>
      </c>
      <c r="K325" s="626"/>
      <c r="L325" s="166" t="s">
        <v>765</v>
      </c>
      <c r="M325" s="167" t="str">
        <f ca="1">IF($D325&lt;&gt;"Serviço","",
          IF(AUTOEVENTO="manual",$A325,
                IF(ISERROR(MATCH($A325,$A$15:OFFSET($A325,-1,0),0)),MAX($M$15:OFFSET(M325,-1,0))+1,
                      INDEX($M$15:OFFSET(M325,-1,0),MATCH($A325,$A$15:OFFSET($A325,-1,0),0)))))</f>
        <v/>
      </c>
      <c r="N325" s="168" t="str">
        <f ca="1">IF($D325&lt;&gt;"Serviço","",
         IF(AUTOEVENTO="Manual",
                IF($A325=0,"&lt;-- defina o número do agrupador",
                       OFFSET(EVENTOS!$D$15,$A325-$A$15,0)),
                OFFSET($F$15,$A325,0)))</f>
        <v/>
      </c>
      <c r="O325" s="169"/>
      <c r="Q325" s="169"/>
      <c r="R325" s="170"/>
      <c r="S325" s="170"/>
      <c r="T325" s="170"/>
      <c r="U325" s="170"/>
      <c r="V325" s="170"/>
      <c r="W325" s="170"/>
      <c r="X325" s="170"/>
      <c r="Y325" s="170"/>
      <c r="Z325" s="171"/>
      <c r="AB325" s="454">
        <f ca="1">IF(AND($D325="Serviço",AB$12&lt;&gt;0,$H325&gt;0,OR(AUTOEVENTO&lt;&gt;"manual",$M325&lt;&gt;$A$15)),
        IF(Import.TipoArredondamento&lt;&gt;"TransfereGOV",
              ROUND(OFFSET($P325,0,AB$13),15-13*ORÇAMENTO!$AF$7)/$H325*OFFSET(ORÇAMENTO!$X$15,ROW(AB325)-ROW(AB$15),0),
              ROUND(ROUND(OFFSET($P325,0,AB$13),15-13*ORÇAMENTO!$AF$7)*OFFSET(ORÇAMENTO!$W$15,ROW(AB325)-ROW(AB$15),0),15-13*ORÇAMENTO!$AF$11)),
         0)</f>
        <v>0</v>
      </c>
      <c r="AC325" s="454">
        <f ca="1">IF(AND($D325="Serviço",AC$12&lt;&gt;0,$H325&gt;0,OR(AUTOEVENTO&lt;&gt;"manual",$M325&lt;&gt;$A$15)),
        IF(Import.TipoArredondamento&lt;&gt;"TransfereGOV",
              ROUND(OFFSET($P325,0,AC$13),15-13*ORÇAMENTO!$AF$7)/$H325*OFFSET(ORÇAMENTO!$X$15,ROW(AC325)-ROW(AC$15),0),
              ROUND(ROUND(OFFSET($P325,0,AC$13),15-13*ORÇAMENTO!$AF$7)*OFFSET(ORÇAMENTO!$W$15,ROW(AC325)-ROW(AC$15),0),15-13*ORÇAMENTO!$AF$11)),
         0)</f>
        <v>0</v>
      </c>
      <c r="AD325" s="454">
        <f ca="1">IF(AND($D325="Serviço",AD$12&lt;&gt;0,$H325&gt;0,OR(AUTOEVENTO&lt;&gt;"manual",$M325&lt;&gt;$A$15)),
        IF(Import.TipoArredondamento&lt;&gt;"TransfereGOV",
              ROUND(OFFSET($P325,0,AD$13),15-13*ORÇAMENTO!$AF$7)/$H325*OFFSET(ORÇAMENTO!$X$15,ROW(AD325)-ROW(AD$15),0),
              ROUND(ROUND(OFFSET($P325,0,AD$13),15-13*ORÇAMENTO!$AF$7)*OFFSET(ORÇAMENTO!$W$15,ROW(AD325)-ROW(AD$15),0),15-13*ORÇAMENTO!$AF$11)),
         0)</f>
        <v>0</v>
      </c>
      <c r="AE325" s="454">
        <f ca="1">IF(AND($D325="Serviço",AE$12&lt;&gt;0,$H325&gt;0,OR(AUTOEVENTO&lt;&gt;"manual",$M325&lt;&gt;$A$15)),
        IF(Import.TipoArredondamento&lt;&gt;"TransfereGOV",
              ROUND(OFFSET($P325,0,AE$13),15-13*ORÇAMENTO!$AF$7)/$H325*OFFSET(ORÇAMENTO!$X$15,ROW(AE325)-ROW(AE$15),0),
              ROUND(ROUND(OFFSET($P325,0,AE$13),15-13*ORÇAMENTO!$AF$7)*OFFSET(ORÇAMENTO!$W$15,ROW(AE325)-ROW(AE$15),0),15-13*ORÇAMENTO!$AF$11)),
         0)</f>
        <v>0</v>
      </c>
      <c r="AF325" s="454">
        <f ca="1">IF(AND($D325="Serviço",AF$12&lt;&gt;0,$H325&gt;0,OR(AUTOEVENTO&lt;&gt;"manual",$M325&lt;&gt;$A$15)),
        IF(Import.TipoArredondamento&lt;&gt;"TransfereGOV",
              ROUND(OFFSET($P325,0,AF$13),15-13*ORÇAMENTO!$AF$7)/$H325*OFFSET(ORÇAMENTO!$X$15,ROW(AF325)-ROW(AF$15),0),
              ROUND(ROUND(OFFSET($P325,0,AF$13),15-13*ORÇAMENTO!$AF$7)*OFFSET(ORÇAMENTO!$W$15,ROW(AF325)-ROW(AF$15),0),15-13*ORÇAMENTO!$AF$11)),
         0)</f>
        <v>0</v>
      </c>
      <c r="AG325" s="454">
        <f ca="1">IF(AND($D325="Serviço",AG$12&lt;&gt;0,$H325&gt;0,OR(AUTOEVENTO&lt;&gt;"manual",$M325&lt;&gt;$A$15)),
        IF(Import.TipoArredondamento&lt;&gt;"TransfereGOV",
              ROUND(OFFSET($P325,0,AG$13),15-13*ORÇAMENTO!$AF$7)/$H325*OFFSET(ORÇAMENTO!$X$15,ROW(AG325)-ROW(AG$15),0),
              ROUND(ROUND(OFFSET($P325,0,AG$13),15-13*ORÇAMENTO!$AF$7)*OFFSET(ORÇAMENTO!$W$15,ROW(AG325)-ROW(AG$15),0),15-13*ORÇAMENTO!$AF$11)),
         0)</f>
        <v>0</v>
      </c>
      <c r="AH325" s="454">
        <f ca="1">IF(AND($D325="Serviço",AH$12&lt;&gt;0,$H325&gt;0,OR(AUTOEVENTO&lt;&gt;"manual",$M325&lt;&gt;$A$15)),
        IF(Import.TipoArredondamento&lt;&gt;"TransfereGOV",
              ROUND(OFFSET($P325,0,AH$13),15-13*ORÇAMENTO!$AF$7)/$H325*OFFSET(ORÇAMENTO!$X$15,ROW(AH325)-ROW(AH$15),0),
              ROUND(ROUND(OFFSET($P325,0,AH$13),15-13*ORÇAMENTO!$AF$7)*OFFSET(ORÇAMENTO!$W$15,ROW(AH325)-ROW(AH$15),0),15-13*ORÇAMENTO!$AF$11)),
         0)</f>
        <v>0</v>
      </c>
      <c r="AI325" s="454">
        <f ca="1">IF(AND($D325="Serviço",AI$12&lt;&gt;0,$H325&gt;0,OR(AUTOEVENTO&lt;&gt;"manual",$M325&lt;&gt;$A$15)),
        IF(Import.TipoArredondamento&lt;&gt;"TransfereGOV",
              ROUND(OFFSET($P325,0,AI$13),15-13*ORÇAMENTO!$AF$7)/$H325*OFFSET(ORÇAMENTO!$X$15,ROW(AI325)-ROW(AI$15),0),
              ROUND(ROUND(OFFSET($P325,0,AI$13),15-13*ORÇAMENTO!$AF$7)*OFFSET(ORÇAMENTO!$W$15,ROW(AI325)-ROW(AI$15),0),15-13*ORÇAMENTO!$AF$11)),
         0)</f>
        <v>0</v>
      </c>
      <c r="AJ325" s="454">
        <f ca="1">IF(AND($D325="Serviço",AJ$12&lt;&gt;0,$H325&gt;0,OR(AUTOEVENTO&lt;&gt;"manual",$M325&lt;&gt;$A$15)),
        IF(Import.TipoArredondamento&lt;&gt;"TransfereGOV",
              ROUND(OFFSET($P325,0,AJ$13),15-13*ORÇAMENTO!$AF$7)/$H325*OFFSET(ORÇAMENTO!$X$15,ROW(AJ325)-ROW(AJ$15),0),
              ROUND(ROUND(OFFSET($P325,0,AJ$13),15-13*ORÇAMENTO!$AF$7)*OFFSET(ORÇAMENTO!$W$15,ROW(AJ325)-ROW(AJ$15),0),15-13*ORÇAMENTO!$AF$11)),
         0)</f>
        <v>0</v>
      </c>
      <c r="AK325" s="454">
        <f ca="1">IF(AND($D325="Serviço",AK$12&lt;&gt;0,$H325&gt;0,OR(AUTOEVENTO&lt;&gt;"manual",$M325&lt;&gt;$A$15)),
        IF(Import.TipoArredondamento&lt;&gt;"TransfereGOV",
              ROUND(OFFSET($P325,0,AK$13),15-13*ORÇAMENTO!$AF$7)/$H325*OFFSET(ORÇAMENTO!$X$15,ROW(AK325)-ROW(AK$15),0),
              ROUND(ROUND(OFFSET($P325,0,AK$13),15-13*ORÇAMENTO!$AF$7)*OFFSET(ORÇAMENTO!$W$15,ROW(AK325)-ROW(AK$15),0),15-13*ORÇAMENTO!$AF$11)),
         0)</f>
        <v>0</v>
      </c>
      <c r="AM325" s="172">
        <f ca="1">IF(OR($D325&lt;&gt;"Serviço",AND(AUTOEVENTO="Manual",$M325=$A$15)),0,
         IF(OFFSET(CRONOPLE!$F$15,$M325-$A$15,AM$13)="",10^12,OFFSET(CRONOPLE!$F$15,$M325-$A$15,AM$13)))</f>
        <v>0</v>
      </c>
      <c r="AN325" s="172">
        <f ca="1">IF(OR($D325&lt;&gt;"Serviço",AND(AUTOEVENTO="Manual",$M325=$A$15)),0,
         IF(OFFSET(CRONOPLE!$F$15,$M325-$A$15,AN$13)="",10^12,OFFSET(CRONOPLE!$F$15,$M325-$A$15,AN$13)))</f>
        <v>0</v>
      </c>
      <c r="AO325" s="172">
        <f ca="1">IF(OR($D325&lt;&gt;"Serviço",AND(AUTOEVENTO="Manual",$M325=$A$15)),0,
         IF(OFFSET(CRONOPLE!$F$15,$M325-$A$15,AO$13)="",10^12,OFFSET(CRONOPLE!$F$15,$M325-$A$15,AO$13)))</f>
        <v>0</v>
      </c>
      <c r="AP325" s="172">
        <f ca="1">IF(OR($D325&lt;&gt;"Serviço",AND(AUTOEVENTO="Manual",$M325=$A$15)),0,
         IF(OFFSET(CRONOPLE!$F$15,$M325-$A$15,AP$13)="",10^12,OFFSET(CRONOPLE!$F$15,$M325-$A$15,AP$13)))</f>
        <v>0</v>
      </c>
      <c r="AQ325" s="172">
        <f ca="1">IF(OR($D325&lt;&gt;"Serviço",AND(AUTOEVENTO="Manual",$M325=$A$15)),0,
         IF(OFFSET(CRONOPLE!$F$15,$M325-$A$15,AQ$13)="",10^12,OFFSET(CRONOPLE!$F$15,$M325-$A$15,AQ$13)))</f>
        <v>0</v>
      </c>
      <c r="AR325" s="172">
        <f ca="1">IF(OR($D325&lt;&gt;"Serviço",AND(AUTOEVENTO="Manual",$M325=$A$15)),0,
         IF(OFFSET(CRONOPLE!$F$15,$M325-$A$15,AR$13)="",10^12,OFFSET(CRONOPLE!$F$15,$M325-$A$15,AR$13)))</f>
        <v>0</v>
      </c>
      <c r="AS325" s="172">
        <f ca="1">IF(OR($D325&lt;&gt;"Serviço",AND(AUTOEVENTO="Manual",$M325=$A$15)),0,
         IF(OFFSET(CRONOPLE!$F$15,$M325-$A$15,AS$13)="",10^12,OFFSET(CRONOPLE!$F$15,$M325-$A$15,AS$13)))</f>
        <v>0</v>
      </c>
      <c r="AT325" s="172">
        <f ca="1">IF(OR($D325&lt;&gt;"Serviço",AND(AUTOEVENTO="Manual",$M325=$A$15)),0,
         IF(OFFSET(CRONOPLE!$F$15,$M325-$A$15,AT$13)="",10^12,OFFSET(CRONOPLE!$F$15,$M325-$A$15,AT$13)))</f>
        <v>0</v>
      </c>
      <c r="AU325" s="172">
        <f ca="1">IF(OR($D325&lt;&gt;"Serviço",AND(AUTOEVENTO="Manual",$M325=$A$15)),0,
         IF(OFFSET(CRONOPLE!$F$15,$M325-$A$15,AU$13)="",10^12,OFFSET(CRONOPLE!$F$15,$M325-$A$15,AU$13)))</f>
        <v>0</v>
      </c>
      <c r="AV325" s="172">
        <f ca="1">IF(OR($D325&lt;&gt;"Serviço",AND(AUTOEVENTO="Manual",$M325=$A$15)),0,
         IF(OFFSET(CRONOPLE!$F$15,$M325-$A$15,AV$13)="",10^12,OFFSET(CRONOPLE!$F$15,$M325-$A$15,AV$13)))</f>
        <v>0</v>
      </c>
      <c r="AX325" s="173">
        <f ca="1">IF(OR($D325&lt;&gt;"Serviço",AND(AUTOEVENTO="Manual",$M325=$A$15),$M325&gt;(ROW(PLE.lastrow)-ROW(PLE.firstrow))),0,
           IF(OFFSET(PLE!$G$15,$M325-$A$15,AX$13)="",10^12,OFFSET(PLE!$G$15,$M325-$A$15,AX$13)))</f>
        <v>0</v>
      </c>
      <c r="AY325" s="173">
        <f ca="1">IF(OR($D325&lt;&gt;"Serviço",AND(AUTOEVENTO="Manual",$M325=$A$15),$M325&gt;(ROW(PLE.lastrow)-ROW(PLE.firstrow))),0,
           IF(OFFSET(PLE!$G$15,$M325-$A$15,AY$13)="",10^12,OFFSET(PLE!$G$15,$M325-$A$15,AY$13)))</f>
        <v>0</v>
      </c>
      <c r="AZ325" s="173">
        <f ca="1">IF(OR($D325&lt;&gt;"Serviço",AND(AUTOEVENTO="Manual",$M325=$A$15),$M325&gt;(ROW(PLE.lastrow)-ROW(PLE.firstrow))),0,
           IF(OFFSET(PLE!$G$15,$M325-$A$15,AZ$13)="",10^12,OFFSET(PLE!$G$15,$M325-$A$15,AZ$13)))</f>
        <v>0</v>
      </c>
      <c r="BA325" s="173">
        <f ca="1">IF(OR($D325&lt;&gt;"Serviço",AND(AUTOEVENTO="Manual",$M325=$A$15),$M325&gt;(ROW(PLE.lastrow)-ROW(PLE.firstrow))),0,
           IF(OFFSET(PLE!$G$15,$M325-$A$15,BA$13)="",10^12,OFFSET(PLE!$G$15,$M325-$A$15,BA$13)))</f>
        <v>0</v>
      </c>
      <c r="BB325" s="173">
        <f ca="1">IF(OR($D325&lt;&gt;"Serviço",AND(AUTOEVENTO="Manual",$M325=$A$15),$M325&gt;(ROW(PLE.lastrow)-ROW(PLE.firstrow))),0,
           IF(OFFSET(PLE!$G$15,$M325-$A$15,BB$13)="",10^12,OFFSET(PLE!$G$15,$M325-$A$15,BB$13)))</f>
        <v>0</v>
      </c>
      <c r="BC325" s="173">
        <f ca="1">IF(OR($D325&lt;&gt;"Serviço",AND(AUTOEVENTO="Manual",$M325=$A$15),$M325&gt;(ROW(PLE.lastrow)-ROW(PLE.firstrow))),0,
           IF(OFFSET(PLE!$G$15,$M325-$A$15,BC$13)="",10^12,OFFSET(PLE!$G$15,$M325-$A$15,BC$13)))</f>
        <v>0</v>
      </c>
      <c r="BD325" s="173">
        <f ca="1">IF(OR($D325&lt;&gt;"Serviço",AND(AUTOEVENTO="Manual",$M325=$A$15),$M325&gt;(ROW(PLE.lastrow)-ROW(PLE.firstrow))),0,
           IF(OFFSET(PLE!$G$15,$M325-$A$15,BD$13)="",10^12,OFFSET(PLE!$G$15,$M325-$A$15,BD$13)))</f>
        <v>0</v>
      </c>
      <c r="BE325" s="173">
        <f ca="1">IF(OR($D325&lt;&gt;"Serviço",AND(AUTOEVENTO="Manual",$M325=$A$15),$M325&gt;(ROW(PLE.lastrow)-ROW(PLE.firstrow))),0,
           IF(OFFSET(PLE!$G$15,$M325-$A$15,BE$13)="",10^12,OFFSET(PLE!$G$15,$M325-$A$15,BE$13)))</f>
        <v>0</v>
      </c>
      <c r="BF325" s="173">
        <f ca="1">IF(OR($D325&lt;&gt;"Serviço",AND(AUTOEVENTO="Manual",$M325=$A$15),$M325&gt;(ROW(PLE.lastrow)-ROW(PLE.firstrow))),0,
           IF(OFFSET(PLE!$G$15,$M325-$A$15,BF$13)="",10^12,OFFSET(PLE!$G$15,$M325-$A$15,BF$13)))</f>
        <v>0</v>
      </c>
      <c r="BG325" s="173">
        <f ca="1">IF(OR($D325&lt;&gt;"Serviço",AND(AUTOEVENTO="Manual",$M325=$A$15),$M325&gt;(ROW(PLE.lastrow)-ROW(PLE.firstrow))),0,
           IF(OFFSET(PLE!$G$15,$M325-$A$15,BG$13)="",10^12,OFFSET(PLE!$G$15,$M325-$A$15,BG$13)))</f>
        <v>0</v>
      </c>
    </row>
    <row r="326" spans="1:59" ht="25.5" x14ac:dyDescent="0.2">
      <c r="A326" s="7" t="str">
        <f t="shared" ca="1" si="12"/>
        <v>310</v>
      </c>
      <c r="B326" s="7" t="str">
        <f ca="1">OFFSET(ORÇAMENTO!C$15,ROW(B326)-ROW(B$15),0)</f>
        <v>S</v>
      </c>
      <c r="C326" s="7" t="str">
        <f ca="1">OFFSET(ORÇAMENTO!L$15,ROW(C326)-ROW(C$15),0)</f>
        <v/>
      </c>
      <c r="D326" s="117" t="str">
        <f ca="1">OFFSET(ORÇAMENTO!N$15,ROW(D326)-ROW(D$15),0)</f>
        <v>Serviço</v>
      </c>
      <c r="E326" s="118" t="str">
        <f ca="1">OFFSET(ORÇAMENTO!O$15,ROW(E326)-ROW(E$15),0)</f>
        <v>-</v>
      </c>
      <c r="F326" s="164" t="str">
        <f ca="1">OFFSET(ORÇAMENTO!R$15,ROW(F326)-ROW(F$15),0)</f>
        <v xml:space="preserve">TUBO PVC SERIE NORMAL, DN 150 MM, PARA ESGOTO PREDIAL (NBR 5688)                                                                                                                                                                                          </v>
      </c>
      <c r="G326" s="165" t="str">
        <f ca="1">IF($D326&lt;&gt;"Serviço","",OFFSET(ORÇAMENTO!S$15,ROW(G326)-ROW(G$15),0))</f>
        <v xml:space="preserve">M     </v>
      </c>
      <c r="H326" s="123">
        <f ca="1">IF($D326&lt;&gt;"Serviço",0,IF(ACOMPANHAMENTO="BM",ROUND(OFFSET(ORÇAMENTO!AJ$15,ROW(H326)-ROW(H$15),0),15-13*ORÇAMENTO!$AF$7),SUMPRODUCT(($Q$1:$AA$1=1)*ROUND($Q326:$AA326,15-13*ORÇAMENTO!$AF$7))))</f>
        <v>1</v>
      </c>
      <c r="I326" s="469"/>
      <c r="J326" s="577" t="str" cm="1">
        <f t="array" aca="1" ref="J326" ca="1">IF(B326&lt;&gt;"S","",IF(AND(ACOMPANHAMENTO="PLE",AUTOEVENTO="Manual",OR(H326&gt;0,ORÇAMENTO!AC326="QUANT."),OR(K326="",M326=0,N326="")),"►",IF(AND(ACOMPANHAMENTO="PLE",ORÇAMENTO!AC326="QUANT."),"►►",IF(AND(COUNTIF($P$11:$AA$11,"▼")=0,H326&gt;0,I326=""),"◄",""))))</f>
        <v>◄</v>
      </c>
      <c r="K326" s="626"/>
      <c r="L326" s="166" t="s">
        <v>765</v>
      </c>
      <c r="M326" s="167">
        <f ca="1">IF($D326&lt;&gt;"Serviço","",
          IF(AUTOEVENTO="manual",$A326,
                IF(ISERROR(MATCH($A326,$A$15:OFFSET($A326,-1,0),0)),MAX($M$15:OFFSET(M326,-1,0))+1,
                      INDEX($M$15:OFFSET(M326,-1,0),MATCH($A326,$A$15:OFFSET($A326,-1,0),0)))))</f>
        <v>17</v>
      </c>
      <c r="N326" s="168" t="str">
        <f ca="1">IF($D326&lt;&gt;"Serviço","",
         IF(AUTOEVENTO="Manual",
                IF($A326=0,"&lt;-- defina o número do agrupador",
                       OFFSET(EVENTOS!$D$15,$A326-$A$15,0)),
                OFFSET($F$15,$A326,0)))</f>
        <v>CENTRAL DE GLP, ABRIGO DE LIXO E SOLÁRIOS</v>
      </c>
      <c r="O326" s="169"/>
      <c r="Q326" s="169"/>
      <c r="R326" s="170"/>
      <c r="S326" s="170"/>
      <c r="T326" s="170"/>
      <c r="U326" s="170"/>
      <c r="V326" s="170"/>
      <c r="W326" s="170"/>
      <c r="X326" s="170"/>
      <c r="Y326" s="170"/>
      <c r="Z326" s="171"/>
      <c r="AB326" s="454">
        <f ca="1">IF(AND($D326="Serviço",AB$12&lt;&gt;0,$H326&gt;0,OR(AUTOEVENTO&lt;&gt;"manual",$M326&lt;&gt;$A$15)),
        IF(Import.TipoArredondamento&lt;&gt;"TransfereGOV",
              ROUND(OFFSET($P326,0,AB$13),15-13*ORÇAMENTO!$AF$7)/$H326*OFFSET(ORÇAMENTO!$X$15,ROW(AB326)-ROW(AB$15),0),
              ROUND(ROUND(OFFSET($P326,0,AB$13),15-13*ORÇAMENTO!$AF$7)*OFFSET(ORÇAMENTO!$W$15,ROW(AB326)-ROW(AB$15),0),15-13*ORÇAMENTO!$AF$11)),
         0)</f>
        <v>0</v>
      </c>
      <c r="AC326" s="454">
        <f ca="1">IF(AND($D326="Serviço",AC$12&lt;&gt;0,$H326&gt;0,OR(AUTOEVENTO&lt;&gt;"manual",$M326&lt;&gt;$A$15)),
        IF(Import.TipoArredondamento&lt;&gt;"TransfereGOV",
              ROUND(OFFSET($P326,0,AC$13),15-13*ORÇAMENTO!$AF$7)/$H326*OFFSET(ORÇAMENTO!$X$15,ROW(AC326)-ROW(AC$15),0),
              ROUND(ROUND(OFFSET($P326,0,AC$13),15-13*ORÇAMENTO!$AF$7)*OFFSET(ORÇAMENTO!$W$15,ROW(AC326)-ROW(AC$15),0),15-13*ORÇAMENTO!$AF$11)),
         0)</f>
        <v>0</v>
      </c>
      <c r="AD326" s="454">
        <f ca="1">IF(AND($D326="Serviço",AD$12&lt;&gt;0,$H326&gt;0,OR(AUTOEVENTO&lt;&gt;"manual",$M326&lt;&gt;$A$15)),
        IF(Import.TipoArredondamento&lt;&gt;"TransfereGOV",
              ROUND(OFFSET($P326,0,AD$13),15-13*ORÇAMENTO!$AF$7)/$H326*OFFSET(ORÇAMENTO!$X$15,ROW(AD326)-ROW(AD$15),0),
              ROUND(ROUND(OFFSET($P326,0,AD$13),15-13*ORÇAMENTO!$AF$7)*OFFSET(ORÇAMENTO!$W$15,ROW(AD326)-ROW(AD$15),0),15-13*ORÇAMENTO!$AF$11)),
         0)</f>
        <v>0</v>
      </c>
      <c r="AE326" s="454">
        <f ca="1">IF(AND($D326="Serviço",AE$12&lt;&gt;0,$H326&gt;0,OR(AUTOEVENTO&lt;&gt;"manual",$M326&lt;&gt;$A$15)),
        IF(Import.TipoArredondamento&lt;&gt;"TransfereGOV",
              ROUND(OFFSET($P326,0,AE$13),15-13*ORÇAMENTO!$AF$7)/$H326*OFFSET(ORÇAMENTO!$X$15,ROW(AE326)-ROW(AE$15),0),
              ROUND(ROUND(OFFSET($P326,0,AE$13),15-13*ORÇAMENTO!$AF$7)*OFFSET(ORÇAMENTO!$W$15,ROW(AE326)-ROW(AE$15),0),15-13*ORÇAMENTO!$AF$11)),
         0)</f>
        <v>0</v>
      </c>
      <c r="AF326" s="454">
        <f ca="1">IF(AND($D326="Serviço",AF$12&lt;&gt;0,$H326&gt;0,OR(AUTOEVENTO&lt;&gt;"manual",$M326&lt;&gt;$A$15)),
        IF(Import.TipoArredondamento&lt;&gt;"TransfereGOV",
              ROUND(OFFSET($P326,0,AF$13),15-13*ORÇAMENTO!$AF$7)/$H326*OFFSET(ORÇAMENTO!$X$15,ROW(AF326)-ROW(AF$15),0),
              ROUND(ROUND(OFFSET($P326,0,AF$13),15-13*ORÇAMENTO!$AF$7)*OFFSET(ORÇAMENTO!$W$15,ROW(AF326)-ROW(AF$15),0),15-13*ORÇAMENTO!$AF$11)),
         0)</f>
        <v>0</v>
      </c>
      <c r="AG326" s="454">
        <f ca="1">IF(AND($D326="Serviço",AG$12&lt;&gt;0,$H326&gt;0,OR(AUTOEVENTO&lt;&gt;"manual",$M326&lt;&gt;$A$15)),
        IF(Import.TipoArredondamento&lt;&gt;"TransfereGOV",
              ROUND(OFFSET($P326,0,AG$13),15-13*ORÇAMENTO!$AF$7)/$H326*OFFSET(ORÇAMENTO!$X$15,ROW(AG326)-ROW(AG$15),0),
              ROUND(ROUND(OFFSET($P326,0,AG$13),15-13*ORÇAMENTO!$AF$7)*OFFSET(ORÇAMENTO!$W$15,ROW(AG326)-ROW(AG$15),0),15-13*ORÇAMENTO!$AF$11)),
         0)</f>
        <v>0</v>
      </c>
      <c r="AH326" s="454">
        <f ca="1">IF(AND($D326="Serviço",AH$12&lt;&gt;0,$H326&gt;0,OR(AUTOEVENTO&lt;&gt;"manual",$M326&lt;&gt;$A$15)),
        IF(Import.TipoArredondamento&lt;&gt;"TransfereGOV",
              ROUND(OFFSET($P326,0,AH$13),15-13*ORÇAMENTO!$AF$7)/$H326*OFFSET(ORÇAMENTO!$X$15,ROW(AH326)-ROW(AH$15),0),
              ROUND(ROUND(OFFSET($P326,0,AH$13),15-13*ORÇAMENTO!$AF$7)*OFFSET(ORÇAMENTO!$W$15,ROW(AH326)-ROW(AH$15),0),15-13*ORÇAMENTO!$AF$11)),
         0)</f>
        <v>0</v>
      </c>
      <c r="AI326" s="454">
        <f ca="1">IF(AND($D326="Serviço",AI$12&lt;&gt;0,$H326&gt;0,OR(AUTOEVENTO&lt;&gt;"manual",$M326&lt;&gt;$A$15)),
        IF(Import.TipoArredondamento&lt;&gt;"TransfereGOV",
              ROUND(OFFSET($P326,0,AI$13),15-13*ORÇAMENTO!$AF$7)/$H326*OFFSET(ORÇAMENTO!$X$15,ROW(AI326)-ROW(AI$15),0),
              ROUND(ROUND(OFFSET($P326,0,AI$13),15-13*ORÇAMENTO!$AF$7)*OFFSET(ORÇAMENTO!$W$15,ROW(AI326)-ROW(AI$15),0),15-13*ORÇAMENTO!$AF$11)),
         0)</f>
        <v>0</v>
      </c>
      <c r="AJ326" s="454">
        <f ca="1">IF(AND($D326="Serviço",AJ$12&lt;&gt;0,$H326&gt;0,OR(AUTOEVENTO&lt;&gt;"manual",$M326&lt;&gt;$A$15)),
        IF(Import.TipoArredondamento&lt;&gt;"TransfereGOV",
              ROUND(OFFSET($P326,0,AJ$13),15-13*ORÇAMENTO!$AF$7)/$H326*OFFSET(ORÇAMENTO!$X$15,ROW(AJ326)-ROW(AJ$15),0),
              ROUND(ROUND(OFFSET($P326,0,AJ$13),15-13*ORÇAMENTO!$AF$7)*OFFSET(ORÇAMENTO!$W$15,ROW(AJ326)-ROW(AJ$15),0),15-13*ORÇAMENTO!$AF$11)),
         0)</f>
        <v>0</v>
      </c>
      <c r="AK326" s="454">
        <f ca="1">IF(AND($D326="Serviço",AK$12&lt;&gt;0,$H326&gt;0,OR(AUTOEVENTO&lt;&gt;"manual",$M326&lt;&gt;$A$15)),
        IF(Import.TipoArredondamento&lt;&gt;"TransfereGOV",
              ROUND(OFFSET($P326,0,AK$13),15-13*ORÇAMENTO!$AF$7)/$H326*OFFSET(ORÇAMENTO!$X$15,ROW(AK326)-ROW(AK$15),0),
              ROUND(ROUND(OFFSET($P326,0,AK$13),15-13*ORÇAMENTO!$AF$7)*OFFSET(ORÇAMENTO!$W$15,ROW(AK326)-ROW(AK$15),0),15-13*ORÇAMENTO!$AF$11)),
         0)</f>
        <v>0</v>
      </c>
      <c r="AM326" s="172">
        <f ca="1">IF(OR($D326&lt;&gt;"Serviço",AND(AUTOEVENTO="Manual",$M326=$A$15)),0,
         IF(OFFSET(CRONOPLE!$F$15,$M326-$A$15,AM$13)="",10^12,OFFSET(CRONOPLE!$F$15,$M326-$A$15,AM$13)))</f>
        <v>1000000000000</v>
      </c>
      <c r="AN326" s="172">
        <f ca="1">IF(OR($D326&lt;&gt;"Serviço",AND(AUTOEVENTO="Manual",$M326=$A$15)),0,
         IF(OFFSET(CRONOPLE!$F$15,$M326-$A$15,AN$13)="",10^12,OFFSET(CRONOPLE!$F$15,$M326-$A$15,AN$13)))</f>
        <v>1000000000000</v>
      </c>
      <c r="AO326" s="172">
        <f ca="1">IF(OR($D326&lt;&gt;"Serviço",AND(AUTOEVENTO="Manual",$M326=$A$15)),0,
         IF(OFFSET(CRONOPLE!$F$15,$M326-$A$15,AO$13)="",10^12,OFFSET(CRONOPLE!$F$15,$M326-$A$15,AO$13)))</f>
        <v>1000000000000</v>
      </c>
      <c r="AP326" s="172">
        <f ca="1">IF(OR($D326&lt;&gt;"Serviço",AND(AUTOEVENTO="Manual",$M326=$A$15)),0,
         IF(OFFSET(CRONOPLE!$F$15,$M326-$A$15,AP$13)="",10^12,OFFSET(CRONOPLE!$F$15,$M326-$A$15,AP$13)))</f>
        <v>1000000000000</v>
      </c>
      <c r="AQ326" s="172">
        <f ca="1">IF(OR($D326&lt;&gt;"Serviço",AND(AUTOEVENTO="Manual",$M326=$A$15)),0,
         IF(OFFSET(CRONOPLE!$F$15,$M326-$A$15,AQ$13)="",10^12,OFFSET(CRONOPLE!$F$15,$M326-$A$15,AQ$13)))</f>
        <v>1000000000000</v>
      </c>
      <c r="AR326" s="172">
        <f ca="1">IF(OR($D326&lt;&gt;"Serviço",AND(AUTOEVENTO="Manual",$M326=$A$15)),0,
         IF(OFFSET(CRONOPLE!$F$15,$M326-$A$15,AR$13)="",10^12,OFFSET(CRONOPLE!$F$15,$M326-$A$15,AR$13)))</f>
        <v>1000000000000</v>
      </c>
      <c r="AS326" s="172">
        <f ca="1">IF(OR($D326&lt;&gt;"Serviço",AND(AUTOEVENTO="Manual",$M326=$A$15)),0,
         IF(OFFSET(CRONOPLE!$F$15,$M326-$A$15,AS$13)="",10^12,OFFSET(CRONOPLE!$F$15,$M326-$A$15,AS$13)))</f>
        <v>1000000000000</v>
      </c>
      <c r="AT326" s="172">
        <f ca="1">IF(OR($D326&lt;&gt;"Serviço",AND(AUTOEVENTO="Manual",$M326=$A$15)),0,
         IF(OFFSET(CRONOPLE!$F$15,$M326-$A$15,AT$13)="",10^12,OFFSET(CRONOPLE!$F$15,$M326-$A$15,AT$13)))</f>
        <v>1000000000000</v>
      </c>
      <c r="AU326" s="172">
        <f ca="1">IF(OR($D326&lt;&gt;"Serviço",AND(AUTOEVENTO="Manual",$M326=$A$15)),0,
         IF(OFFSET(CRONOPLE!$F$15,$M326-$A$15,AU$13)="",10^12,OFFSET(CRONOPLE!$F$15,$M326-$A$15,AU$13)))</f>
        <v>1000000000000</v>
      </c>
      <c r="AV326" s="172">
        <f ca="1">IF(OR($D326&lt;&gt;"Serviço",AND(AUTOEVENTO="Manual",$M326=$A$15)),0,
         IF(OFFSET(CRONOPLE!$F$15,$M326-$A$15,AV$13)="",10^12,OFFSET(CRONOPLE!$F$15,$M326-$A$15,AV$13)))</f>
        <v>1000000000000</v>
      </c>
      <c r="AX326" s="173">
        <f ca="1">IF(OR($D326&lt;&gt;"Serviço",AND(AUTOEVENTO="Manual",$M326=$A$15),$M326&gt;(ROW(PLE.lastrow)-ROW(PLE.firstrow))),0,
           IF(OFFSET(PLE!$G$15,$M326-$A$15,AX$13)="",10^12,OFFSET(PLE!$G$15,$M326-$A$15,AX$13)))</f>
        <v>1000000000000</v>
      </c>
      <c r="AY326" s="173">
        <f ca="1">IF(OR($D326&lt;&gt;"Serviço",AND(AUTOEVENTO="Manual",$M326=$A$15),$M326&gt;(ROW(PLE.lastrow)-ROW(PLE.firstrow))),0,
           IF(OFFSET(PLE!$G$15,$M326-$A$15,AY$13)="",10^12,OFFSET(PLE!$G$15,$M326-$A$15,AY$13)))</f>
        <v>1000000000000</v>
      </c>
      <c r="AZ326" s="173">
        <f ca="1">IF(OR($D326&lt;&gt;"Serviço",AND(AUTOEVENTO="Manual",$M326=$A$15),$M326&gt;(ROW(PLE.lastrow)-ROW(PLE.firstrow))),0,
           IF(OFFSET(PLE!$G$15,$M326-$A$15,AZ$13)="",10^12,OFFSET(PLE!$G$15,$M326-$A$15,AZ$13)))</f>
        <v>1000000000000</v>
      </c>
      <c r="BA326" s="173">
        <f ca="1">IF(OR($D326&lt;&gt;"Serviço",AND(AUTOEVENTO="Manual",$M326=$A$15),$M326&gt;(ROW(PLE.lastrow)-ROW(PLE.firstrow))),0,
           IF(OFFSET(PLE!$G$15,$M326-$A$15,BA$13)="",10^12,OFFSET(PLE!$G$15,$M326-$A$15,BA$13)))</f>
        <v>1000000000000</v>
      </c>
      <c r="BB326" s="173">
        <f ca="1">IF(OR($D326&lt;&gt;"Serviço",AND(AUTOEVENTO="Manual",$M326=$A$15),$M326&gt;(ROW(PLE.lastrow)-ROW(PLE.firstrow))),0,
           IF(OFFSET(PLE!$G$15,$M326-$A$15,BB$13)="",10^12,OFFSET(PLE!$G$15,$M326-$A$15,BB$13)))</f>
        <v>1000000000000</v>
      </c>
      <c r="BC326" s="173">
        <f ca="1">IF(OR($D326&lt;&gt;"Serviço",AND(AUTOEVENTO="Manual",$M326=$A$15),$M326&gt;(ROW(PLE.lastrow)-ROW(PLE.firstrow))),0,
           IF(OFFSET(PLE!$G$15,$M326-$A$15,BC$13)="",10^12,OFFSET(PLE!$G$15,$M326-$A$15,BC$13)))</f>
        <v>1000000000000</v>
      </c>
      <c r="BD326" s="173">
        <f ca="1">IF(OR($D326&lt;&gt;"Serviço",AND(AUTOEVENTO="Manual",$M326=$A$15),$M326&gt;(ROW(PLE.lastrow)-ROW(PLE.firstrow))),0,
           IF(OFFSET(PLE!$G$15,$M326-$A$15,BD$13)="",10^12,OFFSET(PLE!$G$15,$M326-$A$15,BD$13)))</f>
        <v>1000000000000</v>
      </c>
      <c r="BE326" s="173">
        <f ca="1">IF(OR($D326&lt;&gt;"Serviço",AND(AUTOEVENTO="Manual",$M326=$A$15),$M326&gt;(ROW(PLE.lastrow)-ROW(PLE.firstrow))),0,
           IF(OFFSET(PLE!$G$15,$M326-$A$15,BE$13)="",10^12,OFFSET(PLE!$G$15,$M326-$A$15,BE$13)))</f>
        <v>1000000000000</v>
      </c>
      <c r="BF326" s="173">
        <f ca="1">IF(OR($D326&lt;&gt;"Serviço",AND(AUTOEVENTO="Manual",$M326=$A$15),$M326&gt;(ROW(PLE.lastrow)-ROW(PLE.firstrow))),0,
           IF(OFFSET(PLE!$G$15,$M326-$A$15,BF$13)="",10^12,OFFSET(PLE!$G$15,$M326-$A$15,BF$13)))</f>
        <v>1000000000000</v>
      </c>
      <c r="BG326" s="173">
        <f ca="1">IF(OR($D326&lt;&gt;"Serviço",AND(AUTOEVENTO="Manual",$M326=$A$15),$M326&gt;(ROW(PLE.lastrow)-ROW(PLE.firstrow))),0,
           IF(OFFSET(PLE!$G$15,$M326-$A$15,BG$13)="",10^12,OFFSET(PLE!$G$15,$M326-$A$15,BG$13)))</f>
        <v>1000000000000</v>
      </c>
    </row>
    <row r="327" spans="1:59" ht="51" x14ac:dyDescent="0.2">
      <c r="A327" s="7" t="str">
        <f t="shared" ca="1" si="12"/>
        <v>310</v>
      </c>
      <c r="B327" s="7" t="str">
        <f ca="1">OFFSET(ORÇAMENTO!C$15,ROW(B327)-ROW(B$15),0)</f>
        <v>S</v>
      </c>
      <c r="C327" s="7" t="str">
        <f ca="1">OFFSET(ORÇAMENTO!L$15,ROW(C327)-ROW(C$15),0)</f>
        <v/>
      </c>
      <c r="D327" s="117" t="str">
        <f ca="1">OFFSET(ORÇAMENTO!N$15,ROW(D327)-ROW(D$15),0)</f>
        <v>Serviço</v>
      </c>
      <c r="E327" s="118" t="str">
        <f ca="1">OFFSET(ORÇAMENTO!O$15,ROW(E327)-ROW(E$15),0)</f>
        <v>-</v>
      </c>
      <c r="F327" s="164" t="str">
        <f ca="1">OFFSET(ORÇAMENTO!R$15,ROW(F327)-ROW(F$15),0)</f>
        <v>ALVENARIA DE VEDAÇÃO DE BLOCOS CERÂMICOS FURADOS NA HORIZONTAL DE 11,5X19X19 CM (ESPESSURA 11,5 CM) E ARGAMASSA DE ASSENTAMENTO COM PREPARO MANUAL. AF_12/2021</v>
      </c>
      <c r="G327" s="165" t="str">
        <f ca="1">IF($D327&lt;&gt;"Serviço","",OFFSET(ORÇAMENTO!S$15,ROW(G327)-ROW(G$15),0))</f>
        <v>M2</v>
      </c>
      <c r="H327" s="123">
        <f ca="1">IF($D327&lt;&gt;"Serviço",0,IF(ACOMPANHAMENTO="BM",ROUND(OFFSET(ORÇAMENTO!AJ$15,ROW(H327)-ROW(H$15),0),15-13*ORÇAMENTO!$AF$7),SUMPRODUCT(($Q$1:$AA$1=1)*ROUND($Q327:$AA327,15-13*ORÇAMENTO!$AF$7))))</f>
        <v>106.61</v>
      </c>
      <c r="I327" s="469"/>
      <c r="J327" s="577" t="str" cm="1">
        <f t="array" aca="1" ref="J327" ca="1">IF(B327&lt;&gt;"S","",IF(AND(ACOMPANHAMENTO="PLE",AUTOEVENTO="Manual",OR(H327&gt;0,ORÇAMENTO!AC327="QUANT."),OR(K327="",M327=0,N327="")),"►",IF(AND(ACOMPANHAMENTO="PLE",ORÇAMENTO!AC327="QUANT."),"►►",IF(AND(COUNTIF($P$11:$AA$11,"▼")=0,H327&gt;0,I327=""),"◄",""))))</f>
        <v>◄</v>
      </c>
      <c r="K327" s="626"/>
      <c r="L327" s="166" t="s">
        <v>765</v>
      </c>
      <c r="M327" s="167">
        <f ca="1">IF($D327&lt;&gt;"Serviço","",
          IF(AUTOEVENTO="manual",$A327,
                IF(ISERROR(MATCH($A327,$A$15:OFFSET($A327,-1,0),0)),MAX($M$15:OFFSET(M327,-1,0))+1,
                      INDEX($M$15:OFFSET(M327,-1,0),MATCH($A327,$A$15:OFFSET($A327,-1,0),0)))))</f>
        <v>17</v>
      </c>
      <c r="N327" s="168" t="str">
        <f ca="1">IF($D327&lt;&gt;"Serviço","",
         IF(AUTOEVENTO="Manual",
                IF($A327=0,"&lt;-- defina o número do agrupador",
                       OFFSET(EVENTOS!$D$15,$A327-$A$15,0)),
                OFFSET($F$15,$A327,0)))</f>
        <v>CENTRAL DE GLP, ABRIGO DE LIXO E SOLÁRIOS</v>
      </c>
      <c r="O327" s="169"/>
      <c r="Q327" s="169"/>
      <c r="R327" s="170"/>
      <c r="S327" s="170"/>
      <c r="T327" s="170"/>
      <c r="U327" s="170"/>
      <c r="V327" s="170"/>
      <c r="W327" s="170"/>
      <c r="X327" s="170"/>
      <c r="Y327" s="170"/>
      <c r="Z327" s="171"/>
      <c r="AB327" s="454">
        <f ca="1">IF(AND($D327="Serviço",AB$12&lt;&gt;0,$H327&gt;0,OR(AUTOEVENTO&lt;&gt;"manual",$M327&lt;&gt;$A$15)),
        IF(Import.TipoArredondamento&lt;&gt;"TransfereGOV",
              ROUND(OFFSET($P327,0,AB$13),15-13*ORÇAMENTO!$AF$7)/$H327*OFFSET(ORÇAMENTO!$X$15,ROW(AB327)-ROW(AB$15),0),
              ROUND(ROUND(OFFSET($P327,0,AB$13),15-13*ORÇAMENTO!$AF$7)*OFFSET(ORÇAMENTO!$W$15,ROW(AB327)-ROW(AB$15),0),15-13*ORÇAMENTO!$AF$11)),
         0)</f>
        <v>0</v>
      </c>
      <c r="AC327" s="454">
        <f ca="1">IF(AND($D327="Serviço",AC$12&lt;&gt;0,$H327&gt;0,OR(AUTOEVENTO&lt;&gt;"manual",$M327&lt;&gt;$A$15)),
        IF(Import.TipoArredondamento&lt;&gt;"TransfereGOV",
              ROUND(OFFSET($P327,0,AC$13),15-13*ORÇAMENTO!$AF$7)/$H327*OFFSET(ORÇAMENTO!$X$15,ROW(AC327)-ROW(AC$15),0),
              ROUND(ROUND(OFFSET($P327,0,AC$13),15-13*ORÇAMENTO!$AF$7)*OFFSET(ORÇAMENTO!$W$15,ROW(AC327)-ROW(AC$15),0),15-13*ORÇAMENTO!$AF$11)),
         0)</f>
        <v>0</v>
      </c>
      <c r="AD327" s="454">
        <f ca="1">IF(AND($D327="Serviço",AD$12&lt;&gt;0,$H327&gt;0,OR(AUTOEVENTO&lt;&gt;"manual",$M327&lt;&gt;$A$15)),
        IF(Import.TipoArredondamento&lt;&gt;"TransfereGOV",
              ROUND(OFFSET($P327,0,AD$13),15-13*ORÇAMENTO!$AF$7)/$H327*OFFSET(ORÇAMENTO!$X$15,ROW(AD327)-ROW(AD$15),0),
              ROUND(ROUND(OFFSET($P327,0,AD$13),15-13*ORÇAMENTO!$AF$7)*OFFSET(ORÇAMENTO!$W$15,ROW(AD327)-ROW(AD$15),0),15-13*ORÇAMENTO!$AF$11)),
         0)</f>
        <v>0</v>
      </c>
      <c r="AE327" s="454">
        <f ca="1">IF(AND($D327="Serviço",AE$12&lt;&gt;0,$H327&gt;0,OR(AUTOEVENTO&lt;&gt;"manual",$M327&lt;&gt;$A$15)),
        IF(Import.TipoArredondamento&lt;&gt;"TransfereGOV",
              ROUND(OFFSET($P327,0,AE$13),15-13*ORÇAMENTO!$AF$7)/$H327*OFFSET(ORÇAMENTO!$X$15,ROW(AE327)-ROW(AE$15),0),
              ROUND(ROUND(OFFSET($P327,0,AE$13),15-13*ORÇAMENTO!$AF$7)*OFFSET(ORÇAMENTO!$W$15,ROW(AE327)-ROW(AE$15),0),15-13*ORÇAMENTO!$AF$11)),
         0)</f>
        <v>0</v>
      </c>
      <c r="AF327" s="454">
        <f ca="1">IF(AND($D327="Serviço",AF$12&lt;&gt;0,$H327&gt;0,OR(AUTOEVENTO&lt;&gt;"manual",$M327&lt;&gt;$A$15)),
        IF(Import.TipoArredondamento&lt;&gt;"TransfereGOV",
              ROUND(OFFSET($P327,0,AF$13),15-13*ORÇAMENTO!$AF$7)/$H327*OFFSET(ORÇAMENTO!$X$15,ROW(AF327)-ROW(AF$15),0),
              ROUND(ROUND(OFFSET($P327,0,AF$13),15-13*ORÇAMENTO!$AF$7)*OFFSET(ORÇAMENTO!$W$15,ROW(AF327)-ROW(AF$15),0),15-13*ORÇAMENTO!$AF$11)),
         0)</f>
        <v>0</v>
      </c>
      <c r="AG327" s="454">
        <f ca="1">IF(AND($D327="Serviço",AG$12&lt;&gt;0,$H327&gt;0,OR(AUTOEVENTO&lt;&gt;"manual",$M327&lt;&gt;$A$15)),
        IF(Import.TipoArredondamento&lt;&gt;"TransfereGOV",
              ROUND(OFFSET($P327,0,AG$13),15-13*ORÇAMENTO!$AF$7)/$H327*OFFSET(ORÇAMENTO!$X$15,ROW(AG327)-ROW(AG$15),0),
              ROUND(ROUND(OFFSET($P327,0,AG$13),15-13*ORÇAMENTO!$AF$7)*OFFSET(ORÇAMENTO!$W$15,ROW(AG327)-ROW(AG$15),0),15-13*ORÇAMENTO!$AF$11)),
         0)</f>
        <v>0</v>
      </c>
      <c r="AH327" s="454">
        <f ca="1">IF(AND($D327="Serviço",AH$12&lt;&gt;0,$H327&gt;0,OR(AUTOEVENTO&lt;&gt;"manual",$M327&lt;&gt;$A$15)),
        IF(Import.TipoArredondamento&lt;&gt;"TransfereGOV",
              ROUND(OFFSET($P327,0,AH$13),15-13*ORÇAMENTO!$AF$7)/$H327*OFFSET(ORÇAMENTO!$X$15,ROW(AH327)-ROW(AH$15),0),
              ROUND(ROUND(OFFSET($P327,0,AH$13),15-13*ORÇAMENTO!$AF$7)*OFFSET(ORÇAMENTO!$W$15,ROW(AH327)-ROW(AH$15),0),15-13*ORÇAMENTO!$AF$11)),
         0)</f>
        <v>0</v>
      </c>
      <c r="AI327" s="454">
        <f ca="1">IF(AND($D327="Serviço",AI$12&lt;&gt;0,$H327&gt;0,OR(AUTOEVENTO&lt;&gt;"manual",$M327&lt;&gt;$A$15)),
        IF(Import.TipoArredondamento&lt;&gt;"TransfereGOV",
              ROUND(OFFSET($P327,0,AI$13),15-13*ORÇAMENTO!$AF$7)/$H327*OFFSET(ORÇAMENTO!$X$15,ROW(AI327)-ROW(AI$15),0),
              ROUND(ROUND(OFFSET($P327,0,AI$13),15-13*ORÇAMENTO!$AF$7)*OFFSET(ORÇAMENTO!$W$15,ROW(AI327)-ROW(AI$15),0),15-13*ORÇAMENTO!$AF$11)),
         0)</f>
        <v>0</v>
      </c>
      <c r="AJ327" s="454">
        <f ca="1">IF(AND($D327="Serviço",AJ$12&lt;&gt;0,$H327&gt;0,OR(AUTOEVENTO&lt;&gt;"manual",$M327&lt;&gt;$A$15)),
        IF(Import.TipoArredondamento&lt;&gt;"TransfereGOV",
              ROUND(OFFSET($P327,0,AJ$13),15-13*ORÇAMENTO!$AF$7)/$H327*OFFSET(ORÇAMENTO!$X$15,ROW(AJ327)-ROW(AJ$15),0),
              ROUND(ROUND(OFFSET($P327,0,AJ$13),15-13*ORÇAMENTO!$AF$7)*OFFSET(ORÇAMENTO!$W$15,ROW(AJ327)-ROW(AJ$15),0),15-13*ORÇAMENTO!$AF$11)),
         0)</f>
        <v>0</v>
      </c>
      <c r="AK327" s="454">
        <f ca="1">IF(AND($D327="Serviço",AK$12&lt;&gt;0,$H327&gt;0,OR(AUTOEVENTO&lt;&gt;"manual",$M327&lt;&gt;$A$15)),
        IF(Import.TipoArredondamento&lt;&gt;"TransfereGOV",
              ROUND(OFFSET($P327,0,AK$13),15-13*ORÇAMENTO!$AF$7)/$H327*OFFSET(ORÇAMENTO!$X$15,ROW(AK327)-ROW(AK$15),0),
              ROUND(ROUND(OFFSET($P327,0,AK$13),15-13*ORÇAMENTO!$AF$7)*OFFSET(ORÇAMENTO!$W$15,ROW(AK327)-ROW(AK$15),0),15-13*ORÇAMENTO!$AF$11)),
         0)</f>
        <v>0</v>
      </c>
      <c r="AM327" s="172">
        <f ca="1">IF(OR($D327&lt;&gt;"Serviço",AND(AUTOEVENTO="Manual",$M327=$A$15)),0,
         IF(OFFSET(CRONOPLE!$F$15,$M327-$A$15,AM$13)="",10^12,OFFSET(CRONOPLE!$F$15,$M327-$A$15,AM$13)))</f>
        <v>1000000000000</v>
      </c>
      <c r="AN327" s="172">
        <f ca="1">IF(OR($D327&lt;&gt;"Serviço",AND(AUTOEVENTO="Manual",$M327=$A$15)),0,
         IF(OFFSET(CRONOPLE!$F$15,$M327-$A$15,AN$13)="",10^12,OFFSET(CRONOPLE!$F$15,$M327-$A$15,AN$13)))</f>
        <v>1000000000000</v>
      </c>
      <c r="AO327" s="172">
        <f ca="1">IF(OR($D327&lt;&gt;"Serviço",AND(AUTOEVENTO="Manual",$M327=$A$15)),0,
         IF(OFFSET(CRONOPLE!$F$15,$M327-$A$15,AO$13)="",10^12,OFFSET(CRONOPLE!$F$15,$M327-$A$15,AO$13)))</f>
        <v>1000000000000</v>
      </c>
      <c r="AP327" s="172">
        <f ca="1">IF(OR($D327&lt;&gt;"Serviço",AND(AUTOEVENTO="Manual",$M327=$A$15)),0,
         IF(OFFSET(CRONOPLE!$F$15,$M327-$A$15,AP$13)="",10^12,OFFSET(CRONOPLE!$F$15,$M327-$A$15,AP$13)))</f>
        <v>1000000000000</v>
      </c>
      <c r="AQ327" s="172">
        <f ca="1">IF(OR($D327&lt;&gt;"Serviço",AND(AUTOEVENTO="Manual",$M327=$A$15)),0,
         IF(OFFSET(CRONOPLE!$F$15,$M327-$A$15,AQ$13)="",10^12,OFFSET(CRONOPLE!$F$15,$M327-$A$15,AQ$13)))</f>
        <v>1000000000000</v>
      </c>
      <c r="AR327" s="172">
        <f ca="1">IF(OR($D327&lt;&gt;"Serviço",AND(AUTOEVENTO="Manual",$M327=$A$15)),0,
         IF(OFFSET(CRONOPLE!$F$15,$M327-$A$15,AR$13)="",10^12,OFFSET(CRONOPLE!$F$15,$M327-$A$15,AR$13)))</f>
        <v>1000000000000</v>
      </c>
      <c r="AS327" s="172">
        <f ca="1">IF(OR($D327&lt;&gt;"Serviço",AND(AUTOEVENTO="Manual",$M327=$A$15)),0,
         IF(OFFSET(CRONOPLE!$F$15,$M327-$A$15,AS$13)="",10^12,OFFSET(CRONOPLE!$F$15,$M327-$A$15,AS$13)))</f>
        <v>1000000000000</v>
      </c>
      <c r="AT327" s="172">
        <f ca="1">IF(OR($D327&lt;&gt;"Serviço",AND(AUTOEVENTO="Manual",$M327=$A$15)),0,
         IF(OFFSET(CRONOPLE!$F$15,$M327-$A$15,AT$13)="",10^12,OFFSET(CRONOPLE!$F$15,$M327-$A$15,AT$13)))</f>
        <v>1000000000000</v>
      </c>
      <c r="AU327" s="172">
        <f ca="1">IF(OR($D327&lt;&gt;"Serviço",AND(AUTOEVENTO="Manual",$M327=$A$15)),0,
         IF(OFFSET(CRONOPLE!$F$15,$M327-$A$15,AU$13)="",10^12,OFFSET(CRONOPLE!$F$15,$M327-$A$15,AU$13)))</f>
        <v>1000000000000</v>
      </c>
      <c r="AV327" s="172">
        <f ca="1">IF(OR($D327&lt;&gt;"Serviço",AND(AUTOEVENTO="Manual",$M327=$A$15)),0,
         IF(OFFSET(CRONOPLE!$F$15,$M327-$A$15,AV$13)="",10^12,OFFSET(CRONOPLE!$F$15,$M327-$A$15,AV$13)))</f>
        <v>1000000000000</v>
      </c>
      <c r="AX327" s="173">
        <f ca="1">IF(OR($D327&lt;&gt;"Serviço",AND(AUTOEVENTO="Manual",$M327=$A$15),$M327&gt;(ROW(PLE.lastrow)-ROW(PLE.firstrow))),0,
           IF(OFFSET(PLE!$G$15,$M327-$A$15,AX$13)="",10^12,OFFSET(PLE!$G$15,$M327-$A$15,AX$13)))</f>
        <v>1000000000000</v>
      </c>
      <c r="AY327" s="173">
        <f ca="1">IF(OR($D327&lt;&gt;"Serviço",AND(AUTOEVENTO="Manual",$M327=$A$15),$M327&gt;(ROW(PLE.lastrow)-ROW(PLE.firstrow))),0,
           IF(OFFSET(PLE!$G$15,$M327-$A$15,AY$13)="",10^12,OFFSET(PLE!$G$15,$M327-$A$15,AY$13)))</f>
        <v>1000000000000</v>
      </c>
      <c r="AZ327" s="173">
        <f ca="1">IF(OR($D327&lt;&gt;"Serviço",AND(AUTOEVENTO="Manual",$M327=$A$15),$M327&gt;(ROW(PLE.lastrow)-ROW(PLE.firstrow))),0,
           IF(OFFSET(PLE!$G$15,$M327-$A$15,AZ$13)="",10^12,OFFSET(PLE!$G$15,$M327-$A$15,AZ$13)))</f>
        <v>1000000000000</v>
      </c>
      <c r="BA327" s="173">
        <f ca="1">IF(OR($D327&lt;&gt;"Serviço",AND(AUTOEVENTO="Manual",$M327=$A$15),$M327&gt;(ROW(PLE.lastrow)-ROW(PLE.firstrow))),0,
           IF(OFFSET(PLE!$G$15,$M327-$A$15,BA$13)="",10^12,OFFSET(PLE!$G$15,$M327-$A$15,BA$13)))</f>
        <v>1000000000000</v>
      </c>
      <c r="BB327" s="173">
        <f ca="1">IF(OR($D327&lt;&gt;"Serviço",AND(AUTOEVENTO="Manual",$M327=$A$15),$M327&gt;(ROW(PLE.lastrow)-ROW(PLE.firstrow))),0,
           IF(OFFSET(PLE!$G$15,$M327-$A$15,BB$13)="",10^12,OFFSET(PLE!$G$15,$M327-$A$15,BB$13)))</f>
        <v>1000000000000</v>
      </c>
      <c r="BC327" s="173">
        <f ca="1">IF(OR($D327&lt;&gt;"Serviço",AND(AUTOEVENTO="Manual",$M327=$A$15),$M327&gt;(ROW(PLE.lastrow)-ROW(PLE.firstrow))),0,
           IF(OFFSET(PLE!$G$15,$M327-$A$15,BC$13)="",10^12,OFFSET(PLE!$G$15,$M327-$A$15,BC$13)))</f>
        <v>1000000000000</v>
      </c>
      <c r="BD327" s="173">
        <f ca="1">IF(OR($D327&lt;&gt;"Serviço",AND(AUTOEVENTO="Manual",$M327=$A$15),$M327&gt;(ROW(PLE.lastrow)-ROW(PLE.firstrow))),0,
           IF(OFFSET(PLE!$G$15,$M327-$A$15,BD$13)="",10^12,OFFSET(PLE!$G$15,$M327-$A$15,BD$13)))</f>
        <v>1000000000000</v>
      </c>
      <c r="BE327" s="173">
        <f ca="1">IF(OR($D327&lt;&gt;"Serviço",AND(AUTOEVENTO="Manual",$M327=$A$15),$M327&gt;(ROW(PLE.lastrow)-ROW(PLE.firstrow))),0,
           IF(OFFSET(PLE!$G$15,$M327-$A$15,BE$13)="",10^12,OFFSET(PLE!$G$15,$M327-$A$15,BE$13)))</f>
        <v>1000000000000</v>
      </c>
      <c r="BF327" s="173">
        <f ca="1">IF(OR($D327&lt;&gt;"Serviço",AND(AUTOEVENTO="Manual",$M327=$A$15),$M327&gt;(ROW(PLE.lastrow)-ROW(PLE.firstrow))),0,
           IF(OFFSET(PLE!$G$15,$M327-$A$15,BF$13)="",10^12,OFFSET(PLE!$G$15,$M327-$A$15,BF$13)))</f>
        <v>1000000000000</v>
      </c>
      <c r="BG327" s="173">
        <f ca="1">IF(OR($D327&lt;&gt;"Serviço",AND(AUTOEVENTO="Manual",$M327=$A$15),$M327&gt;(ROW(PLE.lastrow)-ROW(PLE.firstrow))),0,
           IF(OFFSET(PLE!$G$15,$M327-$A$15,BG$13)="",10^12,OFFSET(PLE!$G$15,$M327-$A$15,BG$13)))</f>
        <v>1000000000000</v>
      </c>
    </row>
    <row r="328" spans="1:59" ht="38.25" x14ac:dyDescent="0.2">
      <c r="A328" s="7" t="str">
        <f t="shared" ca="1" si="12"/>
        <v>310</v>
      </c>
      <c r="B328" s="7" t="str">
        <f ca="1">OFFSET(ORÇAMENTO!C$15,ROW(B328)-ROW(B$15),0)</f>
        <v>S</v>
      </c>
      <c r="C328" s="7" t="str">
        <f ca="1">OFFSET(ORÇAMENTO!L$15,ROW(C328)-ROW(C$15),0)</f>
        <v/>
      </c>
      <c r="D328" s="117" t="str">
        <f ca="1">OFFSET(ORÇAMENTO!N$15,ROW(D328)-ROW(D$15),0)</f>
        <v>Serviço</v>
      </c>
      <c r="E328" s="118" t="str">
        <f ca="1">OFFSET(ORÇAMENTO!O$15,ROW(E328)-ROW(E$15),0)</f>
        <v>-</v>
      </c>
      <c r="F328" s="164" t="str">
        <f ca="1">OFFSET(ORÇAMENTO!R$15,ROW(F328)-ROW(F$15),0)</f>
        <v>CHAPISCO APLICADO EM ALVENARIAS E ESTRUTURAS DE CONCRETO INTERNAS, COM COLHER DE PEDREIRO.  ARGAMASSA TRAÇO 1:3 COM PREPARO EM BETONEIRA 400L. AF_10/2022</v>
      </c>
      <c r="G328" s="165" t="str">
        <f ca="1">IF($D328&lt;&gt;"Serviço","",OFFSET(ORÇAMENTO!S$15,ROW(G328)-ROW(G$15),0))</f>
        <v>M2</v>
      </c>
      <c r="H328" s="123">
        <f ca="1">IF($D328&lt;&gt;"Serviço",0,IF(ACOMPANHAMENTO="BM",ROUND(OFFSET(ORÇAMENTO!AJ$15,ROW(H328)-ROW(H$15),0),15-13*ORÇAMENTO!$AF$7),SUMPRODUCT(($Q$1:$AA$1=1)*ROUND($Q328:$AA328,15-13*ORÇAMENTO!$AF$7))))</f>
        <v>227.58</v>
      </c>
      <c r="I328" s="469"/>
      <c r="J328" s="577" t="str" cm="1">
        <f t="array" aca="1" ref="J328" ca="1">IF(B328&lt;&gt;"S","",IF(AND(ACOMPANHAMENTO="PLE",AUTOEVENTO="Manual",OR(H328&gt;0,ORÇAMENTO!AC328="QUANT."),OR(K328="",M328=0,N328="")),"►",IF(AND(ACOMPANHAMENTO="PLE",ORÇAMENTO!AC328="QUANT."),"►►",IF(AND(COUNTIF($P$11:$AA$11,"▼")=0,H328&gt;0,I328=""),"◄",""))))</f>
        <v>◄</v>
      </c>
      <c r="K328" s="626"/>
      <c r="L328" s="166" t="s">
        <v>765</v>
      </c>
      <c r="M328" s="167">
        <f ca="1">IF($D328&lt;&gt;"Serviço","",
          IF(AUTOEVENTO="manual",$A328,
                IF(ISERROR(MATCH($A328,$A$15:OFFSET($A328,-1,0),0)),MAX($M$15:OFFSET(M328,-1,0))+1,
                      INDEX($M$15:OFFSET(M328,-1,0),MATCH($A328,$A$15:OFFSET($A328,-1,0),0)))))</f>
        <v>17</v>
      </c>
      <c r="N328" s="168" t="str">
        <f ca="1">IF($D328&lt;&gt;"Serviço","",
         IF(AUTOEVENTO="Manual",
                IF($A328=0,"&lt;-- defina o número do agrupador",
                       OFFSET(EVENTOS!$D$15,$A328-$A$15,0)),
                OFFSET($F$15,$A328,0)))</f>
        <v>CENTRAL DE GLP, ABRIGO DE LIXO E SOLÁRIOS</v>
      </c>
      <c r="O328" s="169"/>
      <c r="Q328" s="169"/>
      <c r="R328" s="170"/>
      <c r="S328" s="170"/>
      <c r="T328" s="170"/>
      <c r="U328" s="170"/>
      <c r="V328" s="170"/>
      <c r="W328" s="170"/>
      <c r="X328" s="170"/>
      <c r="Y328" s="170"/>
      <c r="Z328" s="171"/>
      <c r="AB328" s="454">
        <f ca="1">IF(AND($D328="Serviço",AB$12&lt;&gt;0,$H328&gt;0,OR(AUTOEVENTO&lt;&gt;"manual",$M328&lt;&gt;$A$15)),
        IF(Import.TipoArredondamento&lt;&gt;"TransfereGOV",
              ROUND(OFFSET($P328,0,AB$13),15-13*ORÇAMENTO!$AF$7)/$H328*OFFSET(ORÇAMENTO!$X$15,ROW(AB328)-ROW(AB$15),0),
              ROUND(ROUND(OFFSET($P328,0,AB$13),15-13*ORÇAMENTO!$AF$7)*OFFSET(ORÇAMENTO!$W$15,ROW(AB328)-ROW(AB$15),0),15-13*ORÇAMENTO!$AF$11)),
         0)</f>
        <v>0</v>
      </c>
      <c r="AC328" s="454">
        <f ca="1">IF(AND($D328="Serviço",AC$12&lt;&gt;0,$H328&gt;0,OR(AUTOEVENTO&lt;&gt;"manual",$M328&lt;&gt;$A$15)),
        IF(Import.TipoArredondamento&lt;&gt;"TransfereGOV",
              ROUND(OFFSET($P328,0,AC$13),15-13*ORÇAMENTO!$AF$7)/$H328*OFFSET(ORÇAMENTO!$X$15,ROW(AC328)-ROW(AC$15),0),
              ROUND(ROUND(OFFSET($P328,0,AC$13),15-13*ORÇAMENTO!$AF$7)*OFFSET(ORÇAMENTO!$W$15,ROW(AC328)-ROW(AC$15),0),15-13*ORÇAMENTO!$AF$11)),
         0)</f>
        <v>0</v>
      </c>
      <c r="AD328" s="454">
        <f ca="1">IF(AND($D328="Serviço",AD$12&lt;&gt;0,$H328&gt;0,OR(AUTOEVENTO&lt;&gt;"manual",$M328&lt;&gt;$A$15)),
        IF(Import.TipoArredondamento&lt;&gt;"TransfereGOV",
              ROUND(OFFSET($P328,0,AD$13),15-13*ORÇAMENTO!$AF$7)/$H328*OFFSET(ORÇAMENTO!$X$15,ROW(AD328)-ROW(AD$15),0),
              ROUND(ROUND(OFFSET($P328,0,AD$13),15-13*ORÇAMENTO!$AF$7)*OFFSET(ORÇAMENTO!$W$15,ROW(AD328)-ROW(AD$15),0),15-13*ORÇAMENTO!$AF$11)),
         0)</f>
        <v>0</v>
      </c>
      <c r="AE328" s="454">
        <f ca="1">IF(AND($D328="Serviço",AE$12&lt;&gt;0,$H328&gt;0,OR(AUTOEVENTO&lt;&gt;"manual",$M328&lt;&gt;$A$15)),
        IF(Import.TipoArredondamento&lt;&gt;"TransfereGOV",
              ROUND(OFFSET($P328,0,AE$13),15-13*ORÇAMENTO!$AF$7)/$H328*OFFSET(ORÇAMENTO!$X$15,ROW(AE328)-ROW(AE$15),0),
              ROUND(ROUND(OFFSET($P328,0,AE$13),15-13*ORÇAMENTO!$AF$7)*OFFSET(ORÇAMENTO!$W$15,ROW(AE328)-ROW(AE$15),0),15-13*ORÇAMENTO!$AF$11)),
         0)</f>
        <v>0</v>
      </c>
      <c r="AF328" s="454">
        <f ca="1">IF(AND($D328="Serviço",AF$12&lt;&gt;0,$H328&gt;0,OR(AUTOEVENTO&lt;&gt;"manual",$M328&lt;&gt;$A$15)),
        IF(Import.TipoArredondamento&lt;&gt;"TransfereGOV",
              ROUND(OFFSET($P328,0,AF$13),15-13*ORÇAMENTO!$AF$7)/$H328*OFFSET(ORÇAMENTO!$X$15,ROW(AF328)-ROW(AF$15),0),
              ROUND(ROUND(OFFSET($P328,0,AF$13),15-13*ORÇAMENTO!$AF$7)*OFFSET(ORÇAMENTO!$W$15,ROW(AF328)-ROW(AF$15),0),15-13*ORÇAMENTO!$AF$11)),
         0)</f>
        <v>0</v>
      </c>
      <c r="AG328" s="454">
        <f ca="1">IF(AND($D328="Serviço",AG$12&lt;&gt;0,$H328&gt;0,OR(AUTOEVENTO&lt;&gt;"manual",$M328&lt;&gt;$A$15)),
        IF(Import.TipoArredondamento&lt;&gt;"TransfereGOV",
              ROUND(OFFSET($P328,0,AG$13),15-13*ORÇAMENTO!$AF$7)/$H328*OFFSET(ORÇAMENTO!$X$15,ROW(AG328)-ROW(AG$15),0),
              ROUND(ROUND(OFFSET($P328,0,AG$13),15-13*ORÇAMENTO!$AF$7)*OFFSET(ORÇAMENTO!$W$15,ROW(AG328)-ROW(AG$15),0),15-13*ORÇAMENTO!$AF$11)),
         0)</f>
        <v>0</v>
      </c>
      <c r="AH328" s="454">
        <f ca="1">IF(AND($D328="Serviço",AH$12&lt;&gt;0,$H328&gt;0,OR(AUTOEVENTO&lt;&gt;"manual",$M328&lt;&gt;$A$15)),
        IF(Import.TipoArredondamento&lt;&gt;"TransfereGOV",
              ROUND(OFFSET($P328,0,AH$13),15-13*ORÇAMENTO!$AF$7)/$H328*OFFSET(ORÇAMENTO!$X$15,ROW(AH328)-ROW(AH$15),0),
              ROUND(ROUND(OFFSET($P328,0,AH$13),15-13*ORÇAMENTO!$AF$7)*OFFSET(ORÇAMENTO!$W$15,ROW(AH328)-ROW(AH$15),0),15-13*ORÇAMENTO!$AF$11)),
         0)</f>
        <v>0</v>
      </c>
      <c r="AI328" s="454">
        <f ca="1">IF(AND($D328="Serviço",AI$12&lt;&gt;0,$H328&gt;0,OR(AUTOEVENTO&lt;&gt;"manual",$M328&lt;&gt;$A$15)),
        IF(Import.TipoArredondamento&lt;&gt;"TransfereGOV",
              ROUND(OFFSET($P328,0,AI$13),15-13*ORÇAMENTO!$AF$7)/$H328*OFFSET(ORÇAMENTO!$X$15,ROW(AI328)-ROW(AI$15),0),
              ROUND(ROUND(OFFSET($P328,0,AI$13),15-13*ORÇAMENTO!$AF$7)*OFFSET(ORÇAMENTO!$W$15,ROW(AI328)-ROW(AI$15),0),15-13*ORÇAMENTO!$AF$11)),
         0)</f>
        <v>0</v>
      </c>
      <c r="AJ328" s="454">
        <f ca="1">IF(AND($D328="Serviço",AJ$12&lt;&gt;0,$H328&gt;0,OR(AUTOEVENTO&lt;&gt;"manual",$M328&lt;&gt;$A$15)),
        IF(Import.TipoArredondamento&lt;&gt;"TransfereGOV",
              ROUND(OFFSET($P328,0,AJ$13),15-13*ORÇAMENTO!$AF$7)/$H328*OFFSET(ORÇAMENTO!$X$15,ROW(AJ328)-ROW(AJ$15),0),
              ROUND(ROUND(OFFSET($P328,0,AJ$13),15-13*ORÇAMENTO!$AF$7)*OFFSET(ORÇAMENTO!$W$15,ROW(AJ328)-ROW(AJ$15),0),15-13*ORÇAMENTO!$AF$11)),
         0)</f>
        <v>0</v>
      </c>
      <c r="AK328" s="454">
        <f ca="1">IF(AND($D328="Serviço",AK$12&lt;&gt;0,$H328&gt;0,OR(AUTOEVENTO&lt;&gt;"manual",$M328&lt;&gt;$A$15)),
        IF(Import.TipoArredondamento&lt;&gt;"TransfereGOV",
              ROUND(OFFSET($P328,0,AK$13),15-13*ORÇAMENTO!$AF$7)/$H328*OFFSET(ORÇAMENTO!$X$15,ROW(AK328)-ROW(AK$15),0),
              ROUND(ROUND(OFFSET($P328,0,AK$13),15-13*ORÇAMENTO!$AF$7)*OFFSET(ORÇAMENTO!$W$15,ROW(AK328)-ROW(AK$15),0),15-13*ORÇAMENTO!$AF$11)),
         0)</f>
        <v>0</v>
      </c>
      <c r="AM328" s="172">
        <f ca="1">IF(OR($D328&lt;&gt;"Serviço",AND(AUTOEVENTO="Manual",$M328=$A$15)),0,
         IF(OFFSET(CRONOPLE!$F$15,$M328-$A$15,AM$13)="",10^12,OFFSET(CRONOPLE!$F$15,$M328-$A$15,AM$13)))</f>
        <v>1000000000000</v>
      </c>
      <c r="AN328" s="172">
        <f ca="1">IF(OR($D328&lt;&gt;"Serviço",AND(AUTOEVENTO="Manual",$M328=$A$15)),0,
         IF(OFFSET(CRONOPLE!$F$15,$M328-$A$15,AN$13)="",10^12,OFFSET(CRONOPLE!$F$15,$M328-$A$15,AN$13)))</f>
        <v>1000000000000</v>
      </c>
      <c r="AO328" s="172">
        <f ca="1">IF(OR($D328&lt;&gt;"Serviço",AND(AUTOEVENTO="Manual",$M328=$A$15)),0,
         IF(OFFSET(CRONOPLE!$F$15,$M328-$A$15,AO$13)="",10^12,OFFSET(CRONOPLE!$F$15,$M328-$A$15,AO$13)))</f>
        <v>1000000000000</v>
      </c>
      <c r="AP328" s="172">
        <f ca="1">IF(OR($D328&lt;&gt;"Serviço",AND(AUTOEVENTO="Manual",$M328=$A$15)),0,
         IF(OFFSET(CRONOPLE!$F$15,$M328-$A$15,AP$13)="",10^12,OFFSET(CRONOPLE!$F$15,$M328-$A$15,AP$13)))</f>
        <v>1000000000000</v>
      </c>
      <c r="AQ328" s="172">
        <f ca="1">IF(OR($D328&lt;&gt;"Serviço",AND(AUTOEVENTO="Manual",$M328=$A$15)),0,
         IF(OFFSET(CRONOPLE!$F$15,$M328-$A$15,AQ$13)="",10^12,OFFSET(CRONOPLE!$F$15,$M328-$A$15,AQ$13)))</f>
        <v>1000000000000</v>
      </c>
      <c r="AR328" s="172">
        <f ca="1">IF(OR($D328&lt;&gt;"Serviço",AND(AUTOEVENTO="Manual",$M328=$A$15)),0,
         IF(OFFSET(CRONOPLE!$F$15,$M328-$A$15,AR$13)="",10^12,OFFSET(CRONOPLE!$F$15,$M328-$A$15,AR$13)))</f>
        <v>1000000000000</v>
      </c>
      <c r="AS328" s="172">
        <f ca="1">IF(OR($D328&lt;&gt;"Serviço",AND(AUTOEVENTO="Manual",$M328=$A$15)),0,
         IF(OFFSET(CRONOPLE!$F$15,$M328-$A$15,AS$13)="",10^12,OFFSET(CRONOPLE!$F$15,$M328-$A$15,AS$13)))</f>
        <v>1000000000000</v>
      </c>
      <c r="AT328" s="172">
        <f ca="1">IF(OR($D328&lt;&gt;"Serviço",AND(AUTOEVENTO="Manual",$M328=$A$15)),0,
         IF(OFFSET(CRONOPLE!$F$15,$M328-$A$15,AT$13)="",10^12,OFFSET(CRONOPLE!$F$15,$M328-$A$15,AT$13)))</f>
        <v>1000000000000</v>
      </c>
      <c r="AU328" s="172">
        <f ca="1">IF(OR($D328&lt;&gt;"Serviço",AND(AUTOEVENTO="Manual",$M328=$A$15)),0,
         IF(OFFSET(CRONOPLE!$F$15,$M328-$A$15,AU$13)="",10^12,OFFSET(CRONOPLE!$F$15,$M328-$A$15,AU$13)))</f>
        <v>1000000000000</v>
      </c>
      <c r="AV328" s="172">
        <f ca="1">IF(OR($D328&lt;&gt;"Serviço",AND(AUTOEVENTO="Manual",$M328=$A$15)),0,
         IF(OFFSET(CRONOPLE!$F$15,$M328-$A$15,AV$13)="",10^12,OFFSET(CRONOPLE!$F$15,$M328-$A$15,AV$13)))</f>
        <v>1000000000000</v>
      </c>
      <c r="AX328" s="173">
        <f ca="1">IF(OR($D328&lt;&gt;"Serviço",AND(AUTOEVENTO="Manual",$M328=$A$15),$M328&gt;(ROW(PLE.lastrow)-ROW(PLE.firstrow))),0,
           IF(OFFSET(PLE!$G$15,$M328-$A$15,AX$13)="",10^12,OFFSET(PLE!$G$15,$M328-$A$15,AX$13)))</f>
        <v>1000000000000</v>
      </c>
      <c r="AY328" s="173">
        <f ca="1">IF(OR($D328&lt;&gt;"Serviço",AND(AUTOEVENTO="Manual",$M328=$A$15),$M328&gt;(ROW(PLE.lastrow)-ROW(PLE.firstrow))),0,
           IF(OFFSET(PLE!$G$15,$M328-$A$15,AY$13)="",10^12,OFFSET(PLE!$G$15,$M328-$A$15,AY$13)))</f>
        <v>1000000000000</v>
      </c>
      <c r="AZ328" s="173">
        <f ca="1">IF(OR($D328&lt;&gt;"Serviço",AND(AUTOEVENTO="Manual",$M328=$A$15),$M328&gt;(ROW(PLE.lastrow)-ROW(PLE.firstrow))),0,
           IF(OFFSET(PLE!$G$15,$M328-$A$15,AZ$13)="",10^12,OFFSET(PLE!$G$15,$M328-$A$15,AZ$13)))</f>
        <v>1000000000000</v>
      </c>
      <c r="BA328" s="173">
        <f ca="1">IF(OR($D328&lt;&gt;"Serviço",AND(AUTOEVENTO="Manual",$M328=$A$15),$M328&gt;(ROW(PLE.lastrow)-ROW(PLE.firstrow))),0,
           IF(OFFSET(PLE!$G$15,$M328-$A$15,BA$13)="",10^12,OFFSET(PLE!$G$15,$M328-$A$15,BA$13)))</f>
        <v>1000000000000</v>
      </c>
      <c r="BB328" s="173">
        <f ca="1">IF(OR($D328&lt;&gt;"Serviço",AND(AUTOEVENTO="Manual",$M328=$A$15),$M328&gt;(ROW(PLE.lastrow)-ROW(PLE.firstrow))),0,
           IF(OFFSET(PLE!$G$15,$M328-$A$15,BB$13)="",10^12,OFFSET(PLE!$G$15,$M328-$A$15,BB$13)))</f>
        <v>1000000000000</v>
      </c>
      <c r="BC328" s="173">
        <f ca="1">IF(OR($D328&lt;&gt;"Serviço",AND(AUTOEVENTO="Manual",$M328=$A$15),$M328&gt;(ROW(PLE.lastrow)-ROW(PLE.firstrow))),0,
           IF(OFFSET(PLE!$G$15,$M328-$A$15,BC$13)="",10^12,OFFSET(PLE!$G$15,$M328-$A$15,BC$13)))</f>
        <v>1000000000000</v>
      </c>
      <c r="BD328" s="173">
        <f ca="1">IF(OR($D328&lt;&gt;"Serviço",AND(AUTOEVENTO="Manual",$M328=$A$15),$M328&gt;(ROW(PLE.lastrow)-ROW(PLE.firstrow))),0,
           IF(OFFSET(PLE!$G$15,$M328-$A$15,BD$13)="",10^12,OFFSET(PLE!$G$15,$M328-$A$15,BD$13)))</f>
        <v>1000000000000</v>
      </c>
      <c r="BE328" s="173">
        <f ca="1">IF(OR($D328&lt;&gt;"Serviço",AND(AUTOEVENTO="Manual",$M328=$A$15),$M328&gt;(ROW(PLE.lastrow)-ROW(PLE.firstrow))),0,
           IF(OFFSET(PLE!$G$15,$M328-$A$15,BE$13)="",10^12,OFFSET(PLE!$G$15,$M328-$A$15,BE$13)))</f>
        <v>1000000000000</v>
      </c>
      <c r="BF328" s="173">
        <f ca="1">IF(OR($D328&lt;&gt;"Serviço",AND(AUTOEVENTO="Manual",$M328=$A$15),$M328&gt;(ROW(PLE.lastrow)-ROW(PLE.firstrow))),0,
           IF(OFFSET(PLE!$G$15,$M328-$A$15,BF$13)="",10^12,OFFSET(PLE!$G$15,$M328-$A$15,BF$13)))</f>
        <v>1000000000000</v>
      </c>
      <c r="BG328" s="173">
        <f ca="1">IF(OR($D328&lt;&gt;"Serviço",AND(AUTOEVENTO="Manual",$M328=$A$15),$M328&gt;(ROW(PLE.lastrow)-ROW(PLE.firstrow))),0,
           IF(OFFSET(PLE!$G$15,$M328-$A$15,BG$13)="",10^12,OFFSET(PLE!$G$15,$M328-$A$15,BG$13)))</f>
        <v>1000000000000</v>
      </c>
    </row>
    <row r="329" spans="1:59" ht="51" x14ac:dyDescent="0.2">
      <c r="A329" s="7" t="str">
        <f t="shared" ca="1" si="12"/>
        <v>310</v>
      </c>
      <c r="B329" s="7" t="str">
        <f ca="1">OFFSET(ORÇAMENTO!C$15,ROW(B329)-ROW(B$15),0)</f>
        <v>S</v>
      </c>
      <c r="C329" s="7" t="str">
        <f ca="1">OFFSET(ORÇAMENTO!L$15,ROW(C329)-ROW(C$15),0)</f>
        <v/>
      </c>
      <c r="D329" s="117" t="str">
        <f ca="1">OFFSET(ORÇAMENTO!N$15,ROW(D329)-ROW(D$15),0)</f>
        <v>Serviço</v>
      </c>
      <c r="E329" s="118" t="str">
        <f ca="1">OFFSET(ORÇAMENTO!O$15,ROW(E329)-ROW(E$15),0)</f>
        <v>-</v>
      </c>
      <c r="F329" s="164" t="str">
        <f ca="1">OFFSET(ORÇAMENTO!R$15,ROW(F329)-ROW(F$15),0)</f>
        <v>EMBOÇO OU MASSA ÚNICA EM ARGAMASSA TRAÇO 1:2:8, PREPARO MECÂNICO COM BETONEIRA 400 L, APLICADA MANUALMENTE EM PANOS DE FACHADA COM PRESENÇA DE VÃOS, ESPESSURA DE 25 MM. AF_08/2022</v>
      </c>
      <c r="G329" s="165" t="str">
        <f ca="1">IF($D329&lt;&gt;"Serviço","",OFFSET(ORÇAMENTO!S$15,ROW(G329)-ROW(G$15),0))</f>
        <v>M2</v>
      </c>
      <c r="H329" s="123">
        <f ca="1">IF($D329&lt;&gt;"Serviço",0,IF(ACOMPANHAMENTO="BM",ROUND(OFFSET(ORÇAMENTO!AJ$15,ROW(H329)-ROW(H$15),0),15-13*ORÇAMENTO!$AF$7),SUMPRODUCT(($Q$1:$AA$1=1)*ROUND($Q329:$AA329,15-13*ORÇAMENTO!$AF$7))))</f>
        <v>227.58</v>
      </c>
      <c r="I329" s="469"/>
      <c r="J329" s="577" t="str" cm="1">
        <f t="array" aca="1" ref="J329" ca="1">IF(B329&lt;&gt;"S","",IF(AND(ACOMPANHAMENTO="PLE",AUTOEVENTO="Manual",OR(H329&gt;0,ORÇAMENTO!AC329="QUANT."),OR(K329="",M329=0,N329="")),"►",IF(AND(ACOMPANHAMENTO="PLE",ORÇAMENTO!AC329="QUANT."),"►►",IF(AND(COUNTIF($P$11:$AA$11,"▼")=0,H329&gt;0,I329=""),"◄",""))))</f>
        <v>◄</v>
      </c>
      <c r="K329" s="626"/>
      <c r="L329" s="166" t="s">
        <v>765</v>
      </c>
      <c r="M329" s="167">
        <f ca="1">IF($D329&lt;&gt;"Serviço","",
          IF(AUTOEVENTO="manual",$A329,
                IF(ISERROR(MATCH($A329,$A$15:OFFSET($A329,-1,0),0)),MAX($M$15:OFFSET(M329,-1,0))+1,
                      INDEX($M$15:OFFSET(M329,-1,0),MATCH($A329,$A$15:OFFSET($A329,-1,0),0)))))</f>
        <v>17</v>
      </c>
      <c r="N329" s="168" t="str">
        <f ca="1">IF($D329&lt;&gt;"Serviço","",
         IF(AUTOEVENTO="Manual",
                IF($A329=0,"&lt;-- defina o número do agrupador",
                       OFFSET(EVENTOS!$D$15,$A329-$A$15,0)),
                OFFSET($F$15,$A329,0)))</f>
        <v>CENTRAL DE GLP, ABRIGO DE LIXO E SOLÁRIOS</v>
      </c>
      <c r="O329" s="169"/>
      <c r="Q329" s="169"/>
      <c r="R329" s="170"/>
      <c r="S329" s="170"/>
      <c r="T329" s="170"/>
      <c r="U329" s="170"/>
      <c r="V329" s="170"/>
      <c r="W329" s="170"/>
      <c r="X329" s="170"/>
      <c r="Y329" s="170"/>
      <c r="Z329" s="171"/>
      <c r="AB329" s="454">
        <f ca="1">IF(AND($D329="Serviço",AB$12&lt;&gt;0,$H329&gt;0,OR(AUTOEVENTO&lt;&gt;"manual",$M329&lt;&gt;$A$15)),
        IF(Import.TipoArredondamento&lt;&gt;"TransfereGOV",
              ROUND(OFFSET($P329,0,AB$13),15-13*ORÇAMENTO!$AF$7)/$H329*OFFSET(ORÇAMENTO!$X$15,ROW(AB329)-ROW(AB$15),0),
              ROUND(ROUND(OFFSET($P329,0,AB$13),15-13*ORÇAMENTO!$AF$7)*OFFSET(ORÇAMENTO!$W$15,ROW(AB329)-ROW(AB$15),0),15-13*ORÇAMENTO!$AF$11)),
         0)</f>
        <v>0</v>
      </c>
      <c r="AC329" s="454">
        <f ca="1">IF(AND($D329="Serviço",AC$12&lt;&gt;0,$H329&gt;0,OR(AUTOEVENTO&lt;&gt;"manual",$M329&lt;&gt;$A$15)),
        IF(Import.TipoArredondamento&lt;&gt;"TransfereGOV",
              ROUND(OFFSET($P329,0,AC$13),15-13*ORÇAMENTO!$AF$7)/$H329*OFFSET(ORÇAMENTO!$X$15,ROW(AC329)-ROW(AC$15),0),
              ROUND(ROUND(OFFSET($P329,0,AC$13),15-13*ORÇAMENTO!$AF$7)*OFFSET(ORÇAMENTO!$W$15,ROW(AC329)-ROW(AC$15),0),15-13*ORÇAMENTO!$AF$11)),
         0)</f>
        <v>0</v>
      </c>
      <c r="AD329" s="454">
        <f ca="1">IF(AND($D329="Serviço",AD$12&lt;&gt;0,$H329&gt;0,OR(AUTOEVENTO&lt;&gt;"manual",$M329&lt;&gt;$A$15)),
        IF(Import.TipoArredondamento&lt;&gt;"TransfereGOV",
              ROUND(OFFSET($P329,0,AD$13),15-13*ORÇAMENTO!$AF$7)/$H329*OFFSET(ORÇAMENTO!$X$15,ROW(AD329)-ROW(AD$15),0),
              ROUND(ROUND(OFFSET($P329,0,AD$13),15-13*ORÇAMENTO!$AF$7)*OFFSET(ORÇAMENTO!$W$15,ROW(AD329)-ROW(AD$15),0),15-13*ORÇAMENTO!$AF$11)),
         0)</f>
        <v>0</v>
      </c>
      <c r="AE329" s="454">
        <f ca="1">IF(AND($D329="Serviço",AE$12&lt;&gt;0,$H329&gt;0,OR(AUTOEVENTO&lt;&gt;"manual",$M329&lt;&gt;$A$15)),
        IF(Import.TipoArredondamento&lt;&gt;"TransfereGOV",
              ROUND(OFFSET($P329,0,AE$13),15-13*ORÇAMENTO!$AF$7)/$H329*OFFSET(ORÇAMENTO!$X$15,ROW(AE329)-ROW(AE$15),0),
              ROUND(ROUND(OFFSET($P329,0,AE$13),15-13*ORÇAMENTO!$AF$7)*OFFSET(ORÇAMENTO!$W$15,ROW(AE329)-ROW(AE$15),0),15-13*ORÇAMENTO!$AF$11)),
         0)</f>
        <v>0</v>
      </c>
      <c r="AF329" s="454">
        <f ca="1">IF(AND($D329="Serviço",AF$12&lt;&gt;0,$H329&gt;0,OR(AUTOEVENTO&lt;&gt;"manual",$M329&lt;&gt;$A$15)),
        IF(Import.TipoArredondamento&lt;&gt;"TransfereGOV",
              ROUND(OFFSET($P329,0,AF$13),15-13*ORÇAMENTO!$AF$7)/$H329*OFFSET(ORÇAMENTO!$X$15,ROW(AF329)-ROW(AF$15),0),
              ROUND(ROUND(OFFSET($P329,0,AF$13),15-13*ORÇAMENTO!$AF$7)*OFFSET(ORÇAMENTO!$W$15,ROW(AF329)-ROW(AF$15),0),15-13*ORÇAMENTO!$AF$11)),
         0)</f>
        <v>0</v>
      </c>
      <c r="AG329" s="454">
        <f ca="1">IF(AND($D329="Serviço",AG$12&lt;&gt;0,$H329&gt;0,OR(AUTOEVENTO&lt;&gt;"manual",$M329&lt;&gt;$A$15)),
        IF(Import.TipoArredondamento&lt;&gt;"TransfereGOV",
              ROUND(OFFSET($P329,0,AG$13),15-13*ORÇAMENTO!$AF$7)/$H329*OFFSET(ORÇAMENTO!$X$15,ROW(AG329)-ROW(AG$15),0),
              ROUND(ROUND(OFFSET($P329,0,AG$13),15-13*ORÇAMENTO!$AF$7)*OFFSET(ORÇAMENTO!$W$15,ROW(AG329)-ROW(AG$15),0),15-13*ORÇAMENTO!$AF$11)),
         0)</f>
        <v>0</v>
      </c>
      <c r="AH329" s="454">
        <f ca="1">IF(AND($D329="Serviço",AH$12&lt;&gt;0,$H329&gt;0,OR(AUTOEVENTO&lt;&gt;"manual",$M329&lt;&gt;$A$15)),
        IF(Import.TipoArredondamento&lt;&gt;"TransfereGOV",
              ROUND(OFFSET($P329,0,AH$13),15-13*ORÇAMENTO!$AF$7)/$H329*OFFSET(ORÇAMENTO!$X$15,ROW(AH329)-ROW(AH$15),0),
              ROUND(ROUND(OFFSET($P329,0,AH$13),15-13*ORÇAMENTO!$AF$7)*OFFSET(ORÇAMENTO!$W$15,ROW(AH329)-ROW(AH$15),0),15-13*ORÇAMENTO!$AF$11)),
         0)</f>
        <v>0</v>
      </c>
      <c r="AI329" s="454">
        <f ca="1">IF(AND($D329="Serviço",AI$12&lt;&gt;0,$H329&gt;0,OR(AUTOEVENTO&lt;&gt;"manual",$M329&lt;&gt;$A$15)),
        IF(Import.TipoArredondamento&lt;&gt;"TransfereGOV",
              ROUND(OFFSET($P329,0,AI$13),15-13*ORÇAMENTO!$AF$7)/$H329*OFFSET(ORÇAMENTO!$X$15,ROW(AI329)-ROW(AI$15),0),
              ROUND(ROUND(OFFSET($P329,0,AI$13),15-13*ORÇAMENTO!$AF$7)*OFFSET(ORÇAMENTO!$W$15,ROW(AI329)-ROW(AI$15),0),15-13*ORÇAMENTO!$AF$11)),
         0)</f>
        <v>0</v>
      </c>
      <c r="AJ329" s="454">
        <f ca="1">IF(AND($D329="Serviço",AJ$12&lt;&gt;0,$H329&gt;0,OR(AUTOEVENTO&lt;&gt;"manual",$M329&lt;&gt;$A$15)),
        IF(Import.TipoArredondamento&lt;&gt;"TransfereGOV",
              ROUND(OFFSET($P329,0,AJ$13),15-13*ORÇAMENTO!$AF$7)/$H329*OFFSET(ORÇAMENTO!$X$15,ROW(AJ329)-ROW(AJ$15),0),
              ROUND(ROUND(OFFSET($P329,0,AJ$13),15-13*ORÇAMENTO!$AF$7)*OFFSET(ORÇAMENTO!$W$15,ROW(AJ329)-ROW(AJ$15),0),15-13*ORÇAMENTO!$AF$11)),
         0)</f>
        <v>0</v>
      </c>
      <c r="AK329" s="454">
        <f ca="1">IF(AND($D329="Serviço",AK$12&lt;&gt;0,$H329&gt;0,OR(AUTOEVENTO&lt;&gt;"manual",$M329&lt;&gt;$A$15)),
        IF(Import.TipoArredondamento&lt;&gt;"TransfereGOV",
              ROUND(OFFSET($P329,0,AK$13),15-13*ORÇAMENTO!$AF$7)/$H329*OFFSET(ORÇAMENTO!$X$15,ROW(AK329)-ROW(AK$15),0),
              ROUND(ROUND(OFFSET($P329,0,AK$13),15-13*ORÇAMENTO!$AF$7)*OFFSET(ORÇAMENTO!$W$15,ROW(AK329)-ROW(AK$15),0),15-13*ORÇAMENTO!$AF$11)),
         0)</f>
        <v>0</v>
      </c>
      <c r="AM329" s="172">
        <f ca="1">IF(OR($D329&lt;&gt;"Serviço",AND(AUTOEVENTO="Manual",$M329=$A$15)),0,
         IF(OFFSET(CRONOPLE!$F$15,$M329-$A$15,AM$13)="",10^12,OFFSET(CRONOPLE!$F$15,$M329-$A$15,AM$13)))</f>
        <v>1000000000000</v>
      </c>
      <c r="AN329" s="172">
        <f ca="1">IF(OR($D329&lt;&gt;"Serviço",AND(AUTOEVENTO="Manual",$M329=$A$15)),0,
         IF(OFFSET(CRONOPLE!$F$15,$M329-$A$15,AN$13)="",10^12,OFFSET(CRONOPLE!$F$15,$M329-$A$15,AN$13)))</f>
        <v>1000000000000</v>
      </c>
      <c r="AO329" s="172">
        <f ca="1">IF(OR($D329&lt;&gt;"Serviço",AND(AUTOEVENTO="Manual",$M329=$A$15)),0,
         IF(OFFSET(CRONOPLE!$F$15,$M329-$A$15,AO$13)="",10^12,OFFSET(CRONOPLE!$F$15,$M329-$A$15,AO$13)))</f>
        <v>1000000000000</v>
      </c>
      <c r="AP329" s="172">
        <f ca="1">IF(OR($D329&lt;&gt;"Serviço",AND(AUTOEVENTO="Manual",$M329=$A$15)),0,
         IF(OFFSET(CRONOPLE!$F$15,$M329-$A$15,AP$13)="",10^12,OFFSET(CRONOPLE!$F$15,$M329-$A$15,AP$13)))</f>
        <v>1000000000000</v>
      </c>
      <c r="AQ329" s="172">
        <f ca="1">IF(OR($D329&lt;&gt;"Serviço",AND(AUTOEVENTO="Manual",$M329=$A$15)),0,
         IF(OFFSET(CRONOPLE!$F$15,$M329-$A$15,AQ$13)="",10^12,OFFSET(CRONOPLE!$F$15,$M329-$A$15,AQ$13)))</f>
        <v>1000000000000</v>
      </c>
      <c r="AR329" s="172">
        <f ca="1">IF(OR($D329&lt;&gt;"Serviço",AND(AUTOEVENTO="Manual",$M329=$A$15)),0,
         IF(OFFSET(CRONOPLE!$F$15,$M329-$A$15,AR$13)="",10^12,OFFSET(CRONOPLE!$F$15,$M329-$A$15,AR$13)))</f>
        <v>1000000000000</v>
      </c>
      <c r="AS329" s="172">
        <f ca="1">IF(OR($D329&lt;&gt;"Serviço",AND(AUTOEVENTO="Manual",$M329=$A$15)),0,
         IF(OFFSET(CRONOPLE!$F$15,$M329-$A$15,AS$13)="",10^12,OFFSET(CRONOPLE!$F$15,$M329-$A$15,AS$13)))</f>
        <v>1000000000000</v>
      </c>
      <c r="AT329" s="172">
        <f ca="1">IF(OR($D329&lt;&gt;"Serviço",AND(AUTOEVENTO="Manual",$M329=$A$15)),0,
         IF(OFFSET(CRONOPLE!$F$15,$M329-$A$15,AT$13)="",10^12,OFFSET(CRONOPLE!$F$15,$M329-$A$15,AT$13)))</f>
        <v>1000000000000</v>
      </c>
      <c r="AU329" s="172">
        <f ca="1">IF(OR($D329&lt;&gt;"Serviço",AND(AUTOEVENTO="Manual",$M329=$A$15)),0,
         IF(OFFSET(CRONOPLE!$F$15,$M329-$A$15,AU$13)="",10^12,OFFSET(CRONOPLE!$F$15,$M329-$A$15,AU$13)))</f>
        <v>1000000000000</v>
      </c>
      <c r="AV329" s="172">
        <f ca="1">IF(OR($D329&lt;&gt;"Serviço",AND(AUTOEVENTO="Manual",$M329=$A$15)),0,
         IF(OFFSET(CRONOPLE!$F$15,$M329-$A$15,AV$13)="",10^12,OFFSET(CRONOPLE!$F$15,$M329-$A$15,AV$13)))</f>
        <v>1000000000000</v>
      </c>
      <c r="AX329" s="173">
        <f ca="1">IF(OR($D329&lt;&gt;"Serviço",AND(AUTOEVENTO="Manual",$M329=$A$15),$M329&gt;(ROW(PLE.lastrow)-ROW(PLE.firstrow))),0,
           IF(OFFSET(PLE!$G$15,$M329-$A$15,AX$13)="",10^12,OFFSET(PLE!$G$15,$M329-$A$15,AX$13)))</f>
        <v>1000000000000</v>
      </c>
      <c r="AY329" s="173">
        <f ca="1">IF(OR($D329&lt;&gt;"Serviço",AND(AUTOEVENTO="Manual",$M329=$A$15),$M329&gt;(ROW(PLE.lastrow)-ROW(PLE.firstrow))),0,
           IF(OFFSET(PLE!$G$15,$M329-$A$15,AY$13)="",10^12,OFFSET(PLE!$G$15,$M329-$A$15,AY$13)))</f>
        <v>1000000000000</v>
      </c>
      <c r="AZ329" s="173">
        <f ca="1">IF(OR($D329&lt;&gt;"Serviço",AND(AUTOEVENTO="Manual",$M329=$A$15),$M329&gt;(ROW(PLE.lastrow)-ROW(PLE.firstrow))),0,
           IF(OFFSET(PLE!$G$15,$M329-$A$15,AZ$13)="",10^12,OFFSET(PLE!$G$15,$M329-$A$15,AZ$13)))</f>
        <v>1000000000000</v>
      </c>
      <c r="BA329" s="173">
        <f ca="1">IF(OR($D329&lt;&gt;"Serviço",AND(AUTOEVENTO="Manual",$M329=$A$15),$M329&gt;(ROW(PLE.lastrow)-ROW(PLE.firstrow))),0,
           IF(OFFSET(PLE!$G$15,$M329-$A$15,BA$13)="",10^12,OFFSET(PLE!$G$15,$M329-$A$15,BA$13)))</f>
        <v>1000000000000</v>
      </c>
      <c r="BB329" s="173">
        <f ca="1">IF(OR($D329&lt;&gt;"Serviço",AND(AUTOEVENTO="Manual",$M329=$A$15),$M329&gt;(ROW(PLE.lastrow)-ROW(PLE.firstrow))),0,
           IF(OFFSET(PLE!$G$15,$M329-$A$15,BB$13)="",10^12,OFFSET(PLE!$G$15,$M329-$A$15,BB$13)))</f>
        <v>1000000000000</v>
      </c>
      <c r="BC329" s="173">
        <f ca="1">IF(OR($D329&lt;&gt;"Serviço",AND(AUTOEVENTO="Manual",$M329=$A$15),$M329&gt;(ROW(PLE.lastrow)-ROW(PLE.firstrow))),0,
           IF(OFFSET(PLE!$G$15,$M329-$A$15,BC$13)="",10^12,OFFSET(PLE!$G$15,$M329-$A$15,BC$13)))</f>
        <v>1000000000000</v>
      </c>
      <c r="BD329" s="173">
        <f ca="1">IF(OR($D329&lt;&gt;"Serviço",AND(AUTOEVENTO="Manual",$M329=$A$15),$M329&gt;(ROW(PLE.lastrow)-ROW(PLE.firstrow))),0,
           IF(OFFSET(PLE!$G$15,$M329-$A$15,BD$13)="",10^12,OFFSET(PLE!$G$15,$M329-$A$15,BD$13)))</f>
        <v>1000000000000</v>
      </c>
      <c r="BE329" s="173">
        <f ca="1">IF(OR($D329&lt;&gt;"Serviço",AND(AUTOEVENTO="Manual",$M329=$A$15),$M329&gt;(ROW(PLE.lastrow)-ROW(PLE.firstrow))),0,
           IF(OFFSET(PLE!$G$15,$M329-$A$15,BE$13)="",10^12,OFFSET(PLE!$G$15,$M329-$A$15,BE$13)))</f>
        <v>1000000000000</v>
      </c>
      <c r="BF329" s="173">
        <f ca="1">IF(OR($D329&lt;&gt;"Serviço",AND(AUTOEVENTO="Manual",$M329=$A$15),$M329&gt;(ROW(PLE.lastrow)-ROW(PLE.firstrow))),0,
           IF(OFFSET(PLE!$G$15,$M329-$A$15,BF$13)="",10^12,OFFSET(PLE!$G$15,$M329-$A$15,BF$13)))</f>
        <v>1000000000000</v>
      </c>
      <c r="BG329" s="173">
        <f ca="1">IF(OR($D329&lt;&gt;"Serviço",AND(AUTOEVENTO="Manual",$M329=$A$15),$M329&gt;(ROW(PLE.lastrow)-ROW(PLE.firstrow))),0,
           IF(OFFSET(PLE!$G$15,$M329-$A$15,BG$13)="",10^12,OFFSET(PLE!$G$15,$M329-$A$15,BG$13)))</f>
        <v>1000000000000</v>
      </c>
    </row>
    <row r="330" spans="1:59" ht="25.5" x14ac:dyDescent="0.2">
      <c r="A330" s="7" t="str">
        <f t="shared" ca="1" si="12"/>
        <v>310</v>
      </c>
      <c r="B330" s="7" t="str">
        <f ca="1">OFFSET(ORÇAMENTO!C$15,ROW(B330)-ROW(B$15),0)</f>
        <v>S</v>
      </c>
      <c r="C330" s="7" t="str">
        <f ca="1">OFFSET(ORÇAMENTO!L$15,ROW(C330)-ROW(C$15),0)</f>
        <v/>
      </c>
      <c r="D330" s="117" t="str">
        <f ca="1">OFFSET(ORÇAMENTO!N$15,ROW(D330)-ROW(D$15),0)</f>
        <v>Serviço</v>
      </c>
      <c r="E330" s="118" t="str">
        <f ca="1">OFFSET(ORÇAMENTO!O$15,ROW(E330)-ROW(E$15),0)</f>
        <v>-</v>
      </c>
      <c r="F330" s="164" t="str">
        <f ca="1">OFFSET(ORÇAMENTO!R$15,ROW(F330)-ROW(F$15),0)</f>
        <v>FUNDO SELADOR ACRÍLICO, APLICAÇÃO MANUAL EM PAREDE, UMA DEMÃO. AF_04/2023</v>
      </c>
      <c r="G330" s="165" t="str">
        <f ca="1">IF($D330&lt;&gt;"Serviço","",OFFSET(ORÇAMENTO!S$15,ROW(G330)-ROW(G$15),0))</f>
        <v>M2</v>
      </c>
      <c r="H330" s="123">
        <f ca="1">IF($D330&lt;&gt;"Serviço",0,IF(ACOMPANHAMENTO="BM",ROUND(OFFSET(ORÇAMENTO!AJ$15,ROW(H330)-ROW(H$15),0),15-13*ORÇAMENTO!$AF$7),SUMPRODUCT(($Q$1:$AA$1=1)*ROUND($Q330:$AA330,15-13*ORÇAMENTO!$AF$7))))</f>
        <v>227.58</v>
      </c>
      <c r="I330" s="469"/>
      <c r="J330" s="577" t="str" cm="1">
        <f t="array" aca="1" ref="J330" ca="1">IF(B330&lt;&gt;"S","",IF(AND(ACOMPANHAMENTO="PLE",AUTOEVENTO="Manual",OR(H330&gt;0,ORÇAMENTO!AC330="QUANT."),OR(K330="",M330=0,N330="")),"►",IF(AND(ACOMPANHAMENTO="PLE",ORÇAMENTO!AC330="QUANT."),"►►",IF(AND(COUNTIF($P$11:$AA$11,"▼")=0,H330&gt;0,I330=""),"◄",""))))</f>
        <v>◄</v>
      </c>
      <c r="K330" s="626"/>
      <c r="L330" s="166" t="s">
        <v>765</v>
      </c>
      <c r="M330" s="167">
        <f ca="1">IF($D330&lt;&gt;"Serviço","",
          IF(AUTOEVENTO="manual",$A330,
                IF(ISERROR(MATCH($A330,$A$15:OFFSET($A330,-1,0),0)),MAX($M$15:OFFSET(M330,-1,0))+1,
                      INDEX($M$15:OFFSET(M330,-1,0),MATCH($A330,$A$15:OFFSET($A330,-1,0),0)))))</f>
        <v>17</v>
      </c>
      <c r="N330" s="168" t="str">
        <f ca="1">IF($D330&lt;&gt;"Serviço","",
         IF(AUTOEVENTO="Manual",
                IF($A330=0,"&lt;-- defina o número do agrupador",
                       OFFSET(EVENTOS!$D$15,$A330-$A$15,0)),
                OFFSET($F$15,$A330,0)))</f>
        <v>CENTRAL DE GLP, ABRIGO DE LIXO E SOLÁRIOS</v>
      </c>
      <c r="O330" s="169"/>
      <c r="Q330" s="169"/>
      <c r="R330" s="170"/>
      <c r="S330" s="170"/>
      <c r="T330" s="170"/>
      <c r="U330" s="170"/>
      <c r="V330" s="170"/>
      <c r="W330" s="170"/>
      <c r="X330" s="170"/>
      <c r="Y330" s="170"/>
      <c r="Z330" s="171"/>
      <c r="AB330" s="454">
        <f ca="1">IF(AND($D330="Serviço",AB$12&lt;&gt;0,$H330&gt;0,OR(AUTOEVENTO&lt;&gt;"manual",$M330&lt;&gt;$A$15)),
        IF(Import.TipoArredondamento&lt;&gt;"TransfereGOV",
              ROUND(OFFSET($P330,0,AB$13),15-13*ORÇAMENTO!$AF$7)/$H330*OFFSET(ORÇAMENTO!$X$15,ROW(AB330)-ROW(AB$15),0),
              ROUND(ROUND(OFFSET($P330,0,AB$13),15-13*ORÇAMENTO!$AF$7)*OFFSET(ORÇAMENTO!$W$15,ROW(AB330)-ROW(AB$15),0),15-13*ORÇAMENTO!$AF$11)),
         0)</f>
        <v>0</v>
      </c>
      <c r="AC330" s="454">
        <f ca="1">IF(AND($D330="Serviço",AC$12&lt;&gt;0,$H330&gt;0,OR(AUTOEVENTO&lt;&gt;"manual",$M330&lt;&gt;$A$15)),
        IF(Import.TipoArredondamento&lt;&gt;"TransfereGOV",
              ROUND(OFFSET($P330,0,AC$13),15-13*ORÇAMENTO!$AF$7)/$H330*OFFSET(ORÇAMENTO!$X$15,ROW(AC330)-ROW(AC$15),0),
              ROUND(ROUND(OFFSET($P330,0,AC$13),15-13*ORÇAMENTO!$AF$7)*OFFSET(ORÇAMENTO!$W$15,ROW(AC330)-ROW(AC$15),0),15-13*ORÇAMENTO!$AF$11)),
         0)</f>
        <v>0</v>
      </c>
      <c r="AD330" s="454">
        <f ca="1">IF(AND($D330="Serviço",AD$12&lt;&gt;0,$H330&gt;0,OR(AUTOEVENTO&lt;&gt;"manual",$M330&lt;&gt;$A$15)),
        IF(Import.TipoArredondamento&lt;&gt;"TransfereGOV",
              ROUND(OFFSET($P330,0,AD$13),15-13*ORÇAMENTO!$AF$7)/$H330*OFFSET(ORÇAMENTO!$X$15,ROW(AD330)-ROW(AD$15),0),
              ROUND(ROUND(OFFSET($P330,0,AD$13),15-13*ORÇAMENTO!$AF$7)*OFFSET(ORÇAMENTO!$W$15,ROW(AD330)-ROW(AD$15),0),15-13*ORÇAMENTO!$AF$11)),
         0)</f>
        <v>0</v>
      </c>
      <c r="AE330" s="454">
        <f ca="1">IF(AND($D330="Serviço",AE$12&lt;&gt;0,$H330&gt;0,OR(AUTOEVENTO&lt;&gt;"manual",$M330&lt;&gt;$A$15)),
        IF(Import.TipoArredondamento&lt;&gt;"TransfereGOV",
              ROUND(OFFSET($P330,0,AE$13),15-13*ORÇAMENTO!$AF$7)/$H330*OFFSET(ORÇAMENTO!$X$15,ROW(AE330)-ROW(AE$15),0),
              ROUND(ROUND(OFFSET($P330,0,AE$13),15-13*ORÇAMENTO!$AF$7)*OFFSET(ORÇAMENTO!$W$15,ROW(AE330)-ROW(AE$15),0),15-13*ORÇAMENTO!$AF$11)),
         0)</f>
        <v>0</v>
      </c>
      <c r="AF330" s="454">
        <f ca="1">IF(AND($D330="Serviço",AF$12&lt;&gt;0,$H330&gt;0,OR(AUTOEVENTO&lt;&gt;"manual",$M330&lt;&gt;$A$15)),
        IF(Import.TipoArredondamento&lt;&gt;"TransfereGOV",
              ROUND(OFFSET($P330,0,AF$13),15-13*ORÇAMENTO!$AF$7)/$H330*OFFSET(ORÇAMENTO!$X$15,ROW(AF330)-ROW(AF$15),0),
              ROUND(ROUND(OFFSET($P330,0,AF$13),15-13*ORÇAMENTO!$AF$7)*OFFSET(ORÇAMENTO!$W$15,ROW(AF330)-ROW(AF$15),0),15-13*ORÇAMENTO!$AF$11)),
         0)</f>
        <v>0</v>
      </c>
      <c r="AG330" s="454">
        <f ca="1">IF(AND($D330="Serviço",AG$12&lt;&gt;0,$H330&gt;0,OR(AUTOEVENTO&lt;&gt;"manual",$M330&lt;&gt;$A$15)),
        IF(Import.TipoArredondamento&lt;&gt;"TransfereGOV",
              ROUND(OFFSET($P330,0,AG$13),15-13*ORÇAMENTO!$AF$7)/$H330*OFFSET(ORÇAMENTO!$X$15,ROW(AG330)-ROW(AG$15),0),
              ROUND(ROUND(OFFSET($P330,0,AG$13),15-13*ORÇAMENTO!$AF$7)*OFFSET(ORÇAMENTO!$W$15,ROW(AG330)-ROW(AG$15),0),15-13*ORÇAMENTO!$AF$11)),
         0)</f>
        <v>0</v>
      </c>
      <c r="AH330" s="454">
        <f ca="1">IF(AND($D330="Serviço",AH$12&lt;&gt;0,$H330&gt;0,OR(AUTOEVENTO&lt;&gt;"manual",$M330&lt;&gt;$A$15)),
        IF(Import.TipoArredondamento&lt;&gt;"TransfereGOV",
              ROUND(OFFSET($P330,0,AH$13),15-13*ORÇAMENTO!$AF$7)/$H330*OFFSET(ORÇAMENTO!$X$15,ROW(AH330)-ROW(AH$15),0),
              ROUND(ROUND(OFFSET($P330,0,AH$13),15-13*ORÇAMENTO!$AF$7)*OFFSET(ORÇAMENTO!$W$15,ROW(AH330)-ROW(AH$15),0),15-13*ORÇAMENTO!$AF$11)),
         0)</f>
        <v>0</v>
      </c>
      <c r="AI330" s="454">
        <f ca="1">IF(AND($D330="Serviço",AI$12&lt;&gt;0,$H330&gt;0,OR(AUTOEVENTO&lt;&gt;"manual",$M330&lt;&gt;$A$15)),
        IF(Import.TipoArredondamento&lt;&gt;"TransfereGOV",
              ROUND(OFFSET($P330,0,AI$13),15-13*ORÇAMENTO!$AF$7)/$H330*OFFSET(ORÇAMENTO!$X$15,ROW(AI330)-ROW(AI$15),0),
              ROUND(ROUND(OFFSET($P330,0,AI$13),15-13*ORÇAMENTO!$AF$7)*OFFSET(ORÇAMENTO!$W$15,ROW(AI330)-ROW(AI$15),0),15-13*ORÇAMENTO!$AF$11)),
         0)</f>
        <v>0</v>
      </c>
      <c r="AJ330" s="454">
        <f ca="1">IF(AND($D330="Serviço",AJ$12&lt;&gt;0,$H330&gt;0,OR(AUTOEVENTO&lt;&gt;"manual",$M330&lt;&gt;$A$15)),
        IF(Import.TipoArredondamento&lt;&gt;"TransfereGOV",
              ROUND(OFFSET($P330,0,AJ$13),15-13*ORÇAMENTO!$AF$7)/$H330*OFFSET(ORÇAMENTO!$X$15,ROW(AJ330)-ROW(AJ$15),0),
              ROUND(ROUND(OFFSET($P330,0,AJ$13),15-13*ORÇAMENTO!$AF$7)*OFFSET(ORÇAMENTO!$W$15,ROW(AJ330)-ROW(AJ$15),0),15-13*ORÇAMENTO!$AF$11)),
         0)</f>
        <v>0</v>
      </c>
      <c r="AK330" s="454">
        <f ca="1">IF(AND($D330="Serviço",AK$12&lt;&gt;0,$H330&gt;0,OR(AUTOEVENTO&lt;&gt;"manual",$M330&lt;&gt;$A$15)),
        IF(Import.TipoArredondamento&lt;&gt;"TransfereGOV",
              ROUND(OFFSET($P330,0,AK$13),15-13*ORÇAMENTO!$AF$7)/$H330*OFFSET(ORÇAMENTO!$X$15,ROW(AK330)-ROW(AK$15),0),
              ROUND(ROUND(OFFSET($P330,0,AK$13),15-13*ORÇAMENTO!$AF$7)*OFFSET(ORÇAMENTO!$W$15,ROW(AK330)-ROW(AK$15),0),15-13*ORÇAMENTO!$AF$11)),
         0)</f>
        <v>0</v>
      </c>
      <c r="AM330" s="172">
        <f ca="1">IF(OR($D330&lt;&gt;"Serviço",AND(AUTOEVENTO="Manual",$M330=$A$15)),0,
         IF(OFFSET(CRONOPLE!$F$15,$M330-$A$15,AM$13)="",10^12,OFFSET(CRONOPLE!$F$15,$M330-$A$15,AM$13)))</f>
        <v>1000000000000</v>
      </c>
      <c r="AN330" s="172">
        <f ca="1">IF(OR($D330&lt;&gt;"Serviço",AND(AUTOEVENTO="Manual",$M330=$A$15)),0,
         IF(OFFSET(CRONOPLE!$F$15,$M330-$A$15,AN$13)="",10^12,OFFSET(CRONOPLE!$F$15,$M330-$A$15,AN$13)))</f>
        <v>1000000000000</v>
      </c>
      <c r="AO330" s="172">
        <f ca="1">IF(OR($D330&lt;&gt;"Serviço",AND(AUTOEVENTO="Manual",$M330=$A$15)),0,
         IF(OFFSET(CRONOPLE!$F$15,$M330-$A$15,AO$13)="",10^12,OFFSET(CRONOPLE!$F$15,$M330-$A$15,AO$13)))</f>
        <v>1000000000000</v>
      </c>
      <c r="AP330" s="172">
        <f ca="1">IF(OR($D330&lt;&gt;"Serviço",AND(AUTOEVENTO="Manual",$M330=$A$15)),0,
         IF(OFFSET(CRONOPLE!$F$15,$M330-$A$15,AP$13)="",10^12,OFFSET(CRONOPLE!$F$15,$M330-$A$15,AP$13)))</f>
        <v>1000000000000</v>
      </c>
      <c r="AQ330" s="172">
        <f ca="1">IF(OR($D330&lt;&gt;"Serviço",AND(AUTOEVENTO="Manual",$M330=$A$15)),0,
         IF(OFFSET(CRONOPLE!$F$15,$M330-$A$15,AQ$13)="",10^12,OFFSET(CRONOPLE!$F$15,$M330-$A$15,AQ$13)))</f>
        <v>1000000000000</v>
      </c>
      <c r="AR330" s="172">
        <f ca="1">IF(OR($D330&lt;&gt;"Serviço",AND(AUTOEVENTO="Manual",$M330=$A$15)),0,
         IF(OFFSET(CRONOPLE!$F$15,$M330-$A$15,AR$13)="",10^12,OFFSET(CRONOPLE!$F$15,$M330-$A$15,AR$13)))</f>
        <v>1000000000000</v>
      </c>
      <c r="AS330" s="172">
        <f ca="1">IF(OR($D330&lt;&gt;"Serviço",AND(AUTOEVENTO="Manual",$M330=$A$15)),0,
         IF(OFFSET(CRONOPLE!$F$15,$M330-$A$15,AS$13)="",10^12,OFFSET(CRONOPLE!$F$15,$M330-$A$15,AS$13)))</f>
        <v>1000000000000</v>
      </c>
      <c r="AT330" s="172">
        <f ca="1">IF(OR($D330&lt;&gt;"Serviço",AND(AUTOEVENTO="Manual",$M330=$A$15)),0,
         IF(OFFSET(CRONOPLE!$F$15,$M330-$A$15,AT$13)="",10^12,OFFSET(CRONOPLE!$F$15,$M330-$A$15,AT$13)))</f>
        <v>1000000000000</v>
      </c>
      <c r="AU330" s="172">
        <f ca="1">IF(OR($D330&lt;&gt;"Serviço",AND(AUTOEVENTO="Manual",$M330=$A$15)),0,
         IF(OFFSET(CRONOPLE!$F$15,$M330-$A$15,AU$13)="",10^12,OFFSET(CRONOPLE!$F$15,$M330-$A$15,AU$13)))</f>
        <v>1000000000000</v>
      </c>
      <c r="AV330" s="172">
        <f ca="1">IF(OR($D330&lt;&gt;"Serviço",AND(AUTOEVENTO="Manual",$M330=$A$15)),0,
         IF(OFFSET(CRONOPLE!$F$15,$M330-$A$15,AV$13)="",10^12,OFFSET(CRONOPLE!$F$15,$M330-$A$15,AV$13)))</f>
        <v>1000000000000</v>
      </c>
      <c r="AX330" s="173">
        <f ca="1">IF(OR($D330&lt;&gt;"Serviço",AND(AUTOEVENTO="Manual",$M330=$A$15),$M330&gt;(ROW(PLE.lastrow)-ROW(PLE.firstrow))),0,
           IF(OFFSET(PLE!$G$15,$M330-$A$15,AX$13)="",10^12,OFFSET(PLE!$G$15,$M330-$A$15,AX$13)))</f>
        <v>1000000000000</v>
      </c>
      <c r="AY330" s="173">
        <f ca="1">IF(OR($D330&lt;&gt;"Serviço",AND(AUTOEVENTO="Manual",$M330=$A$15),$M330&gt;(ROW(PLE.lastrow)-ROW(PLE.firstrow))),0,
           IF(OFFSET(PLE!$G$15,$M330-$A$15,AY$13)="",10^12,OFFSET(PLE!$G$15,$M330-$A$15,AY$13)))</f>
        <v>1000000000000</v>
      </c>
      <c r="AZ330" s="173">
        <f ca="1">IF(OR($D330&lt;&gt;"Serviço",AND(AUTOEVENTO="Manual",$M330=$A$15),$M330&gt;(ROW(PLE.lastrow)-ROW(PLE.firstrow))),0,
           IF(OFFSET(PLE!$G$15,$M330-$A$15,AZ$13)="",10^12,OFFSET(PLE!$G$15,$M330-$A$15,AZ$13)))</f>
        <v>1000000000000</v>
      </c>
      <c r="BA330" s="173">
        <f ca="1">IF(OR($D330&lt;&gt;"Serviço",AND(AUTOEVENTO="Manual",$M330=$A$15),$M330&gt;(ROW(PLE.lastrow)-ROW(PLE.firstrow))),0,
           IF(OFFSET(PLE!$G$15,$M330-$A$15,BA$13)="",10^12,OFFSET(PLE!$G$15,$M330-$A$15,BA$13)))</f>
        <v>1000000000000</v>
      </c>
      <c r="BB330" s="173">
        <f ca="1">IF(OR($D330&lt;&gt;"Serviço",AND(AUTOEVENTO="Manual",$M330=$A$15),$M330&gt;(ROW(PLE.lastrow)-ROW(PLE.firstrow))),0,
           IF(OFFSET(PLE!$G$15,$M330-$A$15,BB$13)="",10^12,OFFSET(PLE!$G$15,$M330-$A$15,BB$13)))</f>
        <v>1000000000000</v>
      </c>
      <c r="BC330" s="173">
        <f ca="1">IF(OR($D330&lt;&gt;"Serviço",AND(AUTOEVENTO="Manual",$M330=$A$15),$M330&gt;(ROW(PLE.lastrow)-ROW(PLE.firstrow))),0,
           IF(OFFSET(PLE!$G$15,$M330-$A$15,BC$13)="",10^12,OFFSET(PLE!$G$15,$M330-$A$15,BC$13)))</f>
        <v>1000000000000</v>
      </c>
      <c r="BD330" s="173">
        <f ca="1">IF(OR($D330&lt;&gt;"Serviço",AND(AUTOEVENTO="Manual",$M330=$A$15),$M330&gt;(ROW(PLE.lastrow)-ROW(PLE.firstrow))),0,
           IF(OFFSET(PLE!$G$15,$M330-$A$15,BD$13)="",10^12,OFFSET(PLE!$G$15,$M330-$A$15,BD$13)))</f>
        <v>1000000000000</v>
      </c>
      <c r="BE330" s="173">
        <f ca="1">IF(OR($D330&lt;&gt;"Serviço",AND(AUTOEVENTO="Manual",$M330=$A$15),$M330&gt;(ROW(PLE.lastrow)-ROW(PLE.firstrow))),0,
           IF(OFFSET(PLE!$G$15,$M330-$A$15,BE$13)="",10^12,OFFSET(PLE!$G$15,$M330-$A$15,BE$13)))</f>
        <v>1000000000000</v>
      </c>
      <c r="BF330" s="173">
        <f ca="1">IF(OR($D330&lt;&gt;"Serviço",AND(AUTOEVENTO="Manual",$M330=$A$15),$M330&gt;(ROW(PLE.lastrow)-ROW(PLE.firstrow))),0,
           IF(OFFSET(PLE!$G$15,$M330-$A$15,BF$13)="",10^12,OFFSET(PLE!$G$15,$M330-$A$15,BF$13)))</f>
        <v>1000000000000</v>
      </c>
      <c r="BG330" s="173">
        <f ca="1">IF(OR($D330&lt;&gt;"Serviço",AND(AUTOEVENTO="Manual",$M330=$A$15),$M330&gt;(ROW(PLE.lastrow)-ROW(PLE.firstrow))),0,
           IF(OFFSET(PLE!$G$15,$M330-$A$15,BG$13)="",10^12,OFFSET(PLE!$G$15,$M330-$A$15,BG$13)))</f>
        <v>1000000000000</v>
      </c>
    </row>
    <row r="331" spans="1:59" ht="25.5" x14ac:dyDescent="0.2">
      <c r="A331" s="7" t="str">
        <f t="shared" ca="1" si="12"/>
        <v>310</v>
      </c>
      <c r="B331" s="7" t="str">
        <f ca="1">OFFSET(ORÇAMENTO!C$15,ROW(B331)-ROW(B$15),0)</f>
        <v>S</v>
      </c>
      <c r="C331" s="7" t="str">
        <f ca="1">OFFSET(ORÇAMENTO!L$15,ROW(C331)-ROW(C$15),0)</f>
        <v/>
      </c>
      <c r="D331" s="117" t="str">
        <f ca="1">OFFSET(ORÇAMENTO!N$15,ROW(D331)-ROW(D$15),0)</f>
        <v>Serviço</v>
      </c>
      <c r="E331" s="118" t="str">
        <f ca="1">OFFSET(ORÇAMENTO!O$15,ROW(E331)-ROW(E$15),0)</f>
        <v>-</v>
      </c>
      <c r="F331" s="164" t="str">
        <f ca="1">OFFSET(ORÇAMENTO!R$15,ROW(F331)-ROW(F$15),0)</f>
        <v>PINTURA LÁTEX ACRÍLICA PREMIUM, APLICAÇÃO MANUAL EM PAREDES, DUAS DEMÃOS. AF_04/2023</v>
      </c>
      <c r="G331" s="165" t="str">
        <f ca="1">IF($D331&lt;&gt;"Serviço","",OFFSET(ORÇAMENTO!S$15,ROW(G331)-ROW(G$15),0))</f>
        <v>M2</v>
      </c>
      <c r="H331" s="123">
        <f ca="1">IF($D331&lt;&gt;"Serviço",0,IF(ACOMPANHAMENTO="BM",ROUND(OFFSET(ORÇAMENTO!AJ$15,ROW(H331)-ROW(H$15),0),15-13*ORÇAMENTO!$AF$7),SUMPRODUCT(($Q$1:$AA$1=1)*ROUND($Q331:$AA331,15-13*ORÇAMENTO!$AF$7))))</f>
        <v>227.58</v>
      </c>
      <c r="I331" s="469"/>
      <c r="J331" s="577" t="str" cm="1">
        <f t="array" aca="1" ref="J331" ca="1">IF(B331&lt;&gt;"S","",IF(AND(ACOMPANHAMENTO="PLE",AUTOEVENTO="Manual",OR(H331&gt;0,ORÇAMENTO!AC331="QUANT."),OR(K331="",M331=0,N331="")),"►",IF(AND(ACOMPANHAMENTO="PLE",ORÇAMENTO!AC331="QUANT."),"►►",IF(AND(COUNTIF($P$11:$AA$11,"▼")=0,H331&gt;0,I331=""),"◄",""))))</f>
        <v>◄</v>
      </c>
      <c r="K331" s="626"/>
      <c r="L331" s="166" t="s">
        <v>765</v>
      </c>
      <c r="M331" s="167">
        <f ca="1">IF($D331&lt;&gt;"Serviço","",
          IF(AUTOEVENTO="manual",$A331,
                IF(ISERROR(MATCH($A331,$A$15:OFFSET($A331,-1,0),0)),MAX($M$15:OFFSET(M331,-1,0))+1,
                      INDEX($M$15:OFFSET(M331,-1,0),MATCH($A331,$A$15:OFFSET($A331,-1,0),0)))))</f>
        <v>17</v>
      </c>
      <c r="N331" s="168" t="str">
        <f ca="1">IF($D331&lt;&gt;"Serviço","",
         IF(AUTOEVENTO="Manual",
                IF($A331=0,"&lt;-- defina o número do agrupador",
                       OFFSET(EVENTOS!$D$15,$A331-$A$15,0)),
                OFFSET($F$15,$A331,0)))</f>
        <v>CENTRAL DE GLP, ABRIGO DE LIXO E SOLÁRIOS</v>
      </c>
      <c r="O331" s="169"/>
      <c r="Q331" s="169"/>
      <c r="R331" s="170"/>
      <c r="S331" s="170"/>
      <c r="T331" s="170"/>
      <c r="U331" s="170"/>
      <c r="V331" s="170"/>
      <c r="W331" s="170"/>
      <c r="X331" s="170"/>
      <c r="Y331" s="170"/>
      <c r="Z331" s="171"/>
      <c r="AB331" s="454">
        <f ca="1">IF(AND($D331="Serviço",AB$12&lt;&gt;0,$H331&gt;0,OR(AUTOEVENTO&lt;&gt;"manual",$M331&lt;&gt;$A$15)),
        IF(Import.TipoArredondamento&lt;&gt;"TransfereGOV",
              ROUND(OFFSET($P331,0,AB$13),15-13*ORÇAMENTO!$AF$7)/$H331*OFFSET(ORÇAMENTO!$X$15,ROW(AB331)-ROW(AB$15),0),
              ROUND(ROUND(OFFSET($P331,0,AB$13),15-13*ORÇAMENTO!$AF$7)*OFFSET(ORÇAMENTO!$W$15,ROW(AB331)-ROW(AB$15),0),15-13*ORÇAMENTO!$AF$11)),
         0)</f>
        <v>0</v>
      </c>
      <c r="AC331" s="454">
        <f ca="1">IF(AND($D331="Serviço",AC$12&lt;&gt;0,$H331&gt;0,OR(AUTOEVENTO&lt;&gt;"manual",$M331&lt;&gt;$A$15)),
        IF(Import.TipoArredondamento&lt;&gt;"TransfereGOV",
              ROUND(OFFSET($P331,0,AC$13),15-13*ORÇAMENTO!$AF$7)/$H331*OFFSET(ORÇAMENTO!$X$15,ROW(AC331)-ROW(AC$15),0),
              ROUND(ROUND(OFFSET($P331,0,AC$13),15-13*ORÇAMENTO!$AF$7)*OFFSET(ORÇAMENTO!$W$15,ROW(AC331)-ROW(AC$15),0),15-13*ORÇAMENTO!$AF$11)),
         0)</f>
        <v>0</v>
      </c>
      <c r="AD331" s="454">
        <f ca="1">IF(AND($D331="Serviço",AD$12&lt;&gt;0,$H331&gt;0,OR(AUTOEVENTO&lt;&gt;"manual",$M331&lt;&gt;$A$15)),
        IF(Import.TipoArredondamento&lt;&gt;"TransfereGOV",
              ROUND(OFFSET($P331,0,AD$13),15-13*ORÇAMENTO!$AF$7)/$H331*OFFSET(ORÇAMENTO!$X$15,ROW(AD331)-ROW(AD$15),0),
              ROUND(ROUND(OFFSET($P331,0,AD$13),15-13*ORÇAMENTO!$AF$7)*OFFSET(ORÇAMENTO!$W$15,ROW(AD331)-ROW(AD$15),0),15-13*ORÇAMENTO!$AF$11)),
         0)</f>
        <v>0</v>
      </c>
      <c r="AE331" s="454">
        <f ca="1">IF(AND($D331="Serviço",AE$12&lt;&gt;0,$H331&gt;0,OR(AUTOEVENTO&lt;&gt;"manual",$M331&lt;&gt;$A$15)),
        IF(Import.TipoArredondamento&lt;&gt;"TransfereGOV",
              ROUND(OFFSET($P331,0,AE$13),15-13*ORÇAMENTO!$AF$7)/$H331*OFFSET(ORÇAMENTO!$X$15,ROW(AE331)-ROW(AE$15),0),
              ROUND(ROUND(OFFSET($P331,0,AE$13),15-13*ORÇAMENTO!$AF$7)*OFFSET(ORÇAMENTO!$W$15,ROW(AE331)-ROW(AE$15),0),15-13*ORÇAMENTO!$AF$11)),
         0)</f>
        <v>0</v>
      </c>
      <c r="AF331" s="454">
        <f ca="1">IF(AND($D331="Serviço",AF$12&lt;&gt;0,$H331&gt;0,OR(AUTOEVENTO&lt;&gt;"manual",$M331&lt;&gt;$A$15)),
        IF(Import.TipoArredondamento&lt;&gt;"TransfereGOV",
              ROUND(OFFSET($P331,0,AF$13),15-13*ORÇAMENTO!$AF$7)/$H331*OFFSET(ORÇAMENTO!$X$15,ROW(AF331)-ROW(AF$15),0),
              ROUND(ROUND(OFFSET($P331,0,AF$13),15-13*ORÇAMENTO!$AF$7)*OFFSET(ORÇAMENTO!$W$15,ROW(AF331)-ROW(AF$15),0),15-13*ORÇAMENTO!$AF$11)),
         0)</f>
        <v>0</v>
      </c>
      <c r="AG331" s="454">
        <f ca="1">IF(AND($D331="Serviço",AG$12&lt;&gt;0,$H331&gt;0,OR(AUTOEVENTO&lt;&gt;"manual",$M331&lt;&gt;$A$15)),
        IF(Import.TipoArredondamento&lt;&gt;"TransfereGOV",
              ROUND(OFFSET($P331,0,AG$13),15-13*ORÇAMENTO!$AF$7)/$H331*OFFSET(ORÇAMENTO!$X$15,ROW(AG331)-ROW(AG$15),0),
              ROUND(ROUND(OFFSET($P331,0,AG$13),15-13*ORÇAMENTO!$AF$7)*OFFSET(ORÇAMENTO!$W$15,ROW(AG331)-ROW(AG$15),0),15-13*ORÇAMENTO!$AF$11)),
         0)</f>
        <v>0</v>
      </c>
      <c r="AH331" s="454">
        <f ca="1">IF(AND($D331="Serviço",AH$12&lt;&gt;0,$H331&gt;0,OR(AUTOEVENTO&lt;&gt;"manual",$M331&lt;&gt;$A$15)),
        IF(Import.TipoArredondamento&lt;&gt;"TransfereGOV",
              ROUND(OFFSET($P331,0,AH$13),15-13*ORÇAMENTO!$AF$7)/$H331*OFFSET(ORÇAMENTO!$X$15,ROW(AH331)-ROW(AH$15),0),
              ROUND(ROUND(OFFSET($P331,0,AH$13),15-13*ORÇAMENTO!$AF$7)*OFFSET(ORÇAMENTO!$W$15,ROW(AH331)-ROW(AH$15),0),15-13*ORÇAMENTO!$AF$11)),
         0)</f>
        <v>0</v>
      </c>
      <c r="AI331" s="454">
        <f ca="1">IF(AND($D331="Serviço",AI$12&lt;&gt;0,$H331&gt;0,OR(AUTOEVENTO&lt;&gt;"manual",$M331&lt;&gt;$A$15)),
        IF(Import.TipoArredondamento&lt;&gt;"TransfereGOV",
              ROUND(OFFSET($P331,0,AI$13),15-13*ORÇAMENTO!$AF$7)/$H331*OFFSET(ORÇAMENTO!$X$15,ROW(AI331)-ROW(AI$15),0),
              ROUND(ROUND(OFFSET($P331,0,AI$13),15-13*ORÇAMENTO!$AF$7)*OFFSET(ORÇAMENTO!$W$15,ROW(AI331)-ROW(AI$15),0),15-13*ORÇAMENTO!$AF$11)),
         0)</f>
        <v>0</v>
      </c>
      <c r="AJ331" s="454">
        <f ca="1">IF(AND($D331="Serviço",AJ$12&lt;&gt;0,$H331&gt;0,OR(AUTOEVENTO&lt;&gt;"manual",$M331&lt;&gt;$A$15)),
        IF(Import.TipoArredondamento&lt;&gt;"TransfereGOV",
              ROUND(OFFSET($P331,0,AJ$13),15-13*ORÇAMENTO!$AF$7)/$H331*OFFSET(ORÇAMENTO!$X$15,ROW(AJ331)-ROW(AJ$15),0),
              ROUND(ROUND(OFFSET($P331,0,AJ$13),15-13*ORÇAMENTO!$AF$7)*OFFSET(ORÇAMENTO!$W$15,ROW(AJ331)-ROW(AJ$15),0),15-13*ORÇAMENTO!$AF$11)),
         0)</f>
        <v>0</v>
      </c>
      <c r="AK331" s="454">
        <f ca="1">IF(AND($D331="Serviço",AK$12&lt;&gt;0,$H331&gt;0,OR(AUTOEVENTO&lt;&gt;"manual",$M331&lt;&gt;$A$15)),
        IF(Import.TipoArredondamento&lt;&gt;"TransfereGOV",
              ROUND(OFFSET($P331,0,AK$13),15-13*ORÇAMENTO!$AF$7)/$H331*OFFSET(ORÇAMENTO!$X$15,ROW(AK331)-ROW(AK$15),0),
              ROUND(ROUND(OFFSET($P331,0,AK$13),15-13*ORÇAMENTO!$AF$7)*OFFSET(ORÇAMENTO!$W$15,ROW(AK331)-ROW(AK$15),0),15-13*ORÇAMENTO!$AF$11)),
         0)</f>
        <v>0</v>
      </c>
      <c r="AM331" s="172">
        <f ca="1">IF(OR($D331&lt;&gt;"Serviço",AND(AUTOEVENTO="Manual",$M331=$A$15)),0,
         IF(OFFSET(CRONOPLE!$F$15,$M331-$A$15,AM$13)="",10^12,OFFSET(CRONOPLE!$F$15,$M331-$A$15,AM$13)))</f>
        <v>1000000000000</v>
      </c>
      <c r="AN331" s="172">
        <f ca="1">IF(OR($D331&lt;&gt;"Serviço",AND(AUTOEVENTO="Manual",$M331=$A$15)),0,
         IF(OFFSET(CRONOPLE!$F$15,$M331-$A$15,AN$13)="",10^12,OFFSET(CRONOPLE!$F$15,$M331-$A$15,AN$13)))</f>
        <v>1000000000000</v>
      </c>
      <c r="AO331" s="172">
        <f ca="1">IF(OR($D331&lt;&gt;"Serviço",AND(AUTOEVENTO="Manual",$M331=$A$15)),0,
         IF(OFFSET(CRONOPLE!$F$15,$M331-$A$15,AO$13)="",10^12,OFFSET(CRONOPLE!$F$15,$M331-$A$15,AO$13)))</f>
        <v>1000000000000</v>
      </c>
      <c r="AP331" s="172">
        <f ca="1">IF(OR($D331&lt;&gt;"Serviço",AND(AUTOEVENTO="Manual",$M331=$A$15)),0,
         IF(OFFSET(CRONOPLE!$F$15,$M331-$A$15,AP$13)="",10^12,OFFSET(CRONOPLE!$F$15,$M331-$A$15,AP$13)))</f>
        <v>1000000000000</v>
      </c>
      <c r="AQ331" s="172">
        <f ca="1">IF(OR($D331&lt;&gt;"Serviço",AND(AUTOEVENTO="Manual",$M331=$A$15)),0,
         IF(OFFSET(CRONOPLE!$F$15,$M331-$A$15,AQ$13)="",10^12,OFFSET(CRONOPLE!$F$15,$M331-$A$15,AQ$13)))</f>
        <v>1000000000000</v>
      </c>
      <c r="AR331" s="172">
        <f ca="1">IF(OR($D331&lt;&gt;"Serviço",AND(AUTOEVENTO="Manual",$M331=$A$15)),0,
         IF(OFFSET(CRONOPLE!$F$15,$M331-$A$15,AR$13)="",10^12,OFFSET(CRONOPLE!$F$15,$M331-$A$15,AR$13)))</f>
        <v>1000000000000</v>
      </c>
      <c r="AS331" s="172">
        <f ca="1">IF(OR($D331&lt;&gt;"Serviço",AND(AUTOEVENTO="Manual",$M331=$A$15)),0,
         IF(OFFSET(CRONOPLE!$F$15,$M331-$A$15,AS$13)="",10^12,OFFSET(CRONOPLE!$F$15,$M331-$A$15,AS$13)))</f>
        <v>1000000000000</v>
      </c>
      <c r="AT331" s="172">
        <f ca="1">IF(OR($D331&lt;&gt;"Serviço",AND(AUTOEVENTO="Manual",$M331=$A$15)),0,
         IF(OFFSET(CRONOPLE!$F$15,$M331-$A$15,AT$13)="",10^12,OFFSET(CRONOPLE!$F$15,$M331-$A$15,AT$13)))</f>
        <v>1000000000000</v>
      </c>
      <c r="AU331" s="172">
        <f ca="1">IF(OR($D331&lt;&gt;"Serviço",AND(AUTOEVENTO="Manual",$M331=$A$15)),0,
         IF(OFFSET(CRONOPLE!$F$15,$M331-$A$15,AU$13)="",10^12,OFFSET(CRONOPLE!$F$15,$M331-$A$15,AU$13)))</f>
        <v>1000000000000</v>
      </c>
      <c r="AV331" s="172">
        <f ca="1">IF(OR($D331&lt;&gt;"Serviço",AND(AUTOEVENTO="Manual",$M331=$A$15)),0,
         IF(OFFSET(CRONOPLE!$F$15,$M331-$A$15,AV$13)="",10^12,OFFSET(CRONOPLE!$F$15,$M331-$A$15,AV$13)))</f>
        <v>1000000000000</v>
      </c>
      <c r="AX331" s="173">
        <f ca="1">IF(OR($D331&lt;&gt;"Serviço",AND(AUTOEVENTO="Manual",$M331=$A$15),$M331&gt;(ROW(PLE.lastrow)-ROW(PLE.firstrow))),0,
           IF(OFFSET(PLE!$G$15,$M331-$A$15,AX$13)="",10^12,OFFSET(PLE!$G$15,$M331-$A$15,AX$13)))</f>
        <v>1000000000000</v>
      </c>
      <c r="AY331" s="173">
        <f ca="1">IF(OR($D331&lt;&gt;"Serviço",AND(AUTOEVENTO="Manual",$M331=$A$15),$M331&gt;(ROW(PLE.lastrow)-ROW(PLE.firstrow))),0,
           IF(OFFSET(PLE!$G$15,$M331-$A$15,AY$13)="",10^12,OFFSET(PLE!$G$15,$M331-$A$15,AY$13)))</f>
        <v>1000000000000</v>
      </c>
      <c r="AZ331" s="173">
        <f ca="1">IF(OR($D331&lt;&gt;"Serviço",AND(AUTOEVENTO="Manual",$M331=$A$15),$M331&gt;(ROW(PLE.lastrow)-ROW(PLE.firstrow))),0,
           IF(OFFSET(PLE!$G$15,$M331-$A$15,AZ$13)="",10^12,OFFSET(PLE!$G$15,$M331-$A$15,AZ$13)))</f>
        <v>1000000000000</v>
      </c>
      <c r="BA331" s="173">
        <f ca="1">IF(OR($D331&lt;&gt;"Serviço",AND(AUTOEVENTO="Manual",$M331=$A$15),$M331&gt;(ROW(PLE.lastrow)-ROW(PLE.firstrow))),0,
           IF(OFFSET(PLE!$G$15,$M331-$A$15,BA$13)="",10^12,OFFSET(PLE!$G$15,$M331-$A$15,BA$13)))</f>
        <v>1000000000000</v>
      </c>
      <c r="BB331" s="173">
        <f ca="1">IF(OR($D331&lt;&gt;"Serviço",AND(AUTOEVENTO="Manual",$M331=$A$15),$M331&gt;(ROW(PLE.lastrow)-ROW(PLE.firstrow))),0,
           IF(OFFSET(PLE!$G$15,$M331-$A$15,BB$13)="",10^12,OFFSET(PLE!$G$15,$M331-$A$15,BB$13)))</f>
        <v>1000000000000</v>
      </c>
      <c r="BC331" s="173">
        <f ca="1">IF(OR($D331&lt;&gt;"Serviço",AND(AUTOEVENTO="Manual",$M331=$A$15),$M331&gt;(ROW(PLE.lastrow)-ROW(PLE.firstrow))),0,
           IF(OFFSET(PLE!$G$15,$M331-$A$15,BC$13)="",10^12,OFFSET(PLE!$G$15,$M331-$A$15,BC$13)))</f>
        <v>1000000000000</v>
      </c>
      <c r="BD331" s="173">
        <f ca="1">IF(OR($D331&lt;&gt;"Serviço",AND(AUTOEVENTO="Manual",$M331=$A$15),$M331&gt;(ROW(PLE.lastrow)-ROW(PLE.firstrow))),0,
           IF(OFFSET(PLE!$G$15,$M331-$A$15,BD$13)="",10^12,OFFSET(PLE!$G$15,$M331-$A$15,BD$13)))</f>
        <v>1000000000000</v>
      </c>
      <c r="BE331" s="173">
        <f ca="1">IF(OR($D331&lt;&gt;"Serviço",AND(AUTOEVENTO="Manual",$M331=$A$15),$M331&gt;(ROW(PLE.lastrow)-ROW(PLE.firstrow))),0,
           IF(OFFSET(PLE!$G$15,$M331-$A$15,BE$13)="",10^12,OFFSET(PLE!$G$15,$M331-$A$15,BE$13)))</f>
        <v>1000000000000</v>
      </c>
      <c r="BF331" s="173">
        <f ca="1">IF(OR($D331&lt;&gt;"Serviço",AND(AUTOEVENTO="Manual",$M331=$A$15),$M331&gt;(ROW(PLE.lastrow)-ROW(PLE.firstrow))),0,
           IF(OFFSET(PLE!$G$15,$M331-$A$15,BF$13)="",10^12,OFFSET(PLE!$G$15,$M331-$A$15,BF$13)))</f>
        <v>1000000000000</v>
      </c>
      <c r="BG331" s="173">
        <f ca="1">IF(OR($D331&lt;&gt;"Serviço",AND(AUTOEVENTO="Manual",$M331=$A$15),$M331&gt;(ROW(PLE.lastrow)-ROW(PLE.firstrow))),0,
           IF(OFFSET(PLE!$G$15,$M331-$A$15,BG$13)="",10^12,OFFSET(PLE!$G$15,$M331-$A$15,BG$13)))</f>
        <v>1000000000000</v>
      </c>
    </row>
    <row r="332" spans="1:59" ht="25.5" x14ac:dyDescent="0.2">
      <c r="A332" s="7" t="str">
        <f t="shared" ca="1" si="12"/>
        <v>310</v>
      </c>
      <c r="B332" s="7" t="str">
        <f ca="1">OFFSET(ORÇAMENTO!C$15,ROW(B332)-ROW(B$15),0)</f>
        <v>S</v>
      </c>
      <c r="C332" s="7" t="str">
        <f ca="1">OFFSET(ORÇAMENTO!L$15,ROW(C332)-ROW(C$15),0)</f>
        <v/>
      </c>
      <c r="D332" s="117" t="str">
        <f ca="1">OFFSET(ORÇAMENTO!N$15,ROW(D332)-ROW(D$15),0)</f>
        <v>Serviço</v>
      </c>
      <c r="E332" s="118" t="str">
        <f ca="1">OFFSET(ORÇAMENTO!O$15,ROW(E332)-ROW(E$15),0)</f>
        <v>-</v>
      </c>
      <c r="F332" s="164" t="str">
        <f ca="1">OFFSET(ORÇAMENTO!R$15,ROW(F332)-ROW(F$15),0)</f>
        <v>MONTAGEM E DESMONTAGEM DE FÔRMA DE LAJE MACIÇA, PÉ-DIREITO SIMPLES, EM MADEIRA SERRADA, 1 UTILIZAÇÃO. AF_09/2020</v>
      </c>
      <c r="G332" s="165" t="str">
        <f ca="1">IF($D332&lt;&gt;"Serviço","",OFFSET(ORÇAMENTO!S$15,ROW(G332)-ROW(G$15),0))</f>
        <v>M2</v>
      </c>
      <c r="H332" s="123">
        <f ca="1">IF($D332&lt;&gt;"Serviço",0,IF(ACOMPANHAMENTO="BM",ROUND(OFFSET(ORÇAMENTO!AJ$15,ROW(H332)-ROW(H$15),0),15-13*ORÇAMENTO!$AF$7),SUMPRODUCT(($Q$1:$AA$1=1)*ROUND($Q332:$AA332,15-13*ORÇAMENTO!$AF$7))))</f>
        <v>2.95</v>
      </c>
      <c r="I332" s="469"/>
      <c r="J332" s="577" t="str" cm="1">
        <f t="array" aca="1" ref="J332" ca="1">IF(B332&lt;&gt;"S","",IF(AND(ACOMPANHAMENTO="PLE",AUTOEVENTO="Manual",OR(H332&gt;0,ORÇAMENTO!AC332="QUANT."),OR(K332="",M332=0,N332="")),"►",IF(AND(ACOMPANHAMENTO="PLE",ORÇAMENTO!AC332="QUANT."),"►►",IF(AND(COUNTIF($P$11:$AA$11,"▼")=0,H332&gt;0,I332=""),"◄",""))))</f>
        <v>◄</v>
      </c>
      <c r="K332" s="626"/>
      <c r="L332" s="166" t="s">
        <v>765</v>
      </c>
      <c r="M332" s="167">
        <f ca="1">IF($D332&lt;&gt;"Serviço","",
          IF(AUTOEVENTO="manual",$A332,
                IF(ISERROR(MATCH($A332,$A$15:OFFSET($A332,-1,0),0)),MAX($M$15:OFFSET(M332,-1,0))+1,
                      INDEX($M$15:OFFSET(M332,-1,0),MATCH($A332,$A$15:OFFSET($A332,-1,0),0)))))</f>
        <v>17</v>
      </c>
      <c r="N332" s="168" t="str">
        <f ca="1">IF($D332&lt;&gt;"Serviço","",
         IF(AUTOEVENTO="Manual",
                IF($A332=0,"&lt;-- defina o número do agrupador",
                       OFFSET(EVENTOS!$D$15,$A332-$A$15,0)),
                OFFSET($F$15,$A332,0)))</f>
        <v>CENTRAL DE GLP, ABRIGO DE LIXO E SOLÁRIOS</v>
      </c>
      <c r="O332" s="169"/>
      <c r="Q332" s="169"/>
      <c r="R332" s="170"/>
      <c r="S332" s="170"/>
      <c r="T332" s="170"/>
      <c r="U332" s="170"/>
      <c r="V332" s="170"/>
      <c r="W332" s="170"/>
      <c r="X332" s="170"/>
      <c r="Y332" s="170"/>
      <c r="Z332" s="171"/>
      <c r="AB332" s="454">
        <f ca="1">IF(AND($D332="Serviço",AB$12&lt;&gt;0,$H332&gt;0,OR(AUTOEVENTO&lt;&gt;"manual",$M332&lt;&gt;$A$15)),
        IF(Import.TipoArredondamento&lt;&gt;"TransfereGOV",
              ROUND(OFFSET($P332,0,AB$13),15-13*ORÇAMENTO!$AF$7)/$H332*OFFSET(ORÇAMENTO!$X$15,ROW(AB332)-ROW(AB$15),0),
              ROUND(ROUND(OFFSET($P332,0,AB$13),15-13*ORÇAMENTO!$AF$7)*OFFSET(ORÇAMENTO!$W$15,ROW(AB332)-ROW(AB$15),0),15-13*ORÇAMENTO!$AF$11)),
         0)</f>
        <v>0</v>
      </c>
      <c r="AC332" s="454">
        <f ca="1">IF(AND($D332="Serviço",AC$12&lt;&gt;0,$H332&gt;0,OR(AUTOEVENTO&lt;&gt;"manual",$M332&lt;&gt;$A$15)),
        IF(Import.TipoArredondamento&lt;&gt;"TransfereGOV",
              ROUND(OFFSET($P332,0,AC$13),15-13*ORÇAMENTO!$AF$7)/$H332*OFFSET(ORÇAMENTO!$X$15,ROW(AC332)-ROW(AC$15),0),
              ROUND(ROUND(OFFSET($P332,0,AC$13),15-13*ORÇAMENTO!$AF$7)*OFFSET(ORÇAMENTO!$W$15,ROW(AC332)-ROW(AC$15),0),15-13*ORÇAMENTO!$AF$11)),
         0)</f>
        <v>0</v>
      </c>
      <c r="AD332" s="454">
        <f ca="1">IF(AND($D332="Serviço",AD$12&lt;&gt;0,$H332&gt;0,OR(AUTOEVENTO&lt;&gt;"manual",$M332&lt;&gt;$A$15)),
        IF(Import.TipoArredondamento&lt;&gt;"TransfereGOV",
              ROUND(OFFSET($P332,0,AD$13),15-13*ORÇAMENTO!$AF$7)/$H332*OFFSET(ORÇAMENTO!$X$15,ROW(AD332)-ROW(AD$15),0),
              ROUND(ROUND(OFFSET($P332,0,AD$13),15-13*ORÇAMENTO!$AF$7)*OFFSET(ORÇAMENTO!$W$15,ROW(AD332)-ROW(AD$15),0),15-13*ORÇAMENTO!$AF$11)),
         0)</f>
        <v>0</v>
      </c>
      <c r="AE332" s="454">
        <f ca="1">IF(AND($D332="Serviço",AE$12&lt;&gt;0,$H332&gt;0,OR(AUTOEVENTO&lt;&gt;"manual",$M332&lt;&gt;$A$15)),
        IF(Import.TipoArredondamento&lt;&gt;"TransfereGOV",
              ROUND(OFFSET($P332,0,AE$13),15-13*ORÇAMENTO!$AF$7)/$H332*OFFSET(ORÇAMENTO!$X$15,ROW(AE332)-ROW(AE$15),0),
              ROUND(ROUND(OFFSET($P332,0,AE$13),15-13*ORÇAMENTO!$AF$7)*OFFSET(ORÇAMENTO!$W$15,ROW(AE332)-ROW(AE$15),0),15-13*ORÇAMENTO!$AF$11)),
         0)</f>
        <v>0</v>
      </c>
      <c r="AF332" s="454">
        <f ca="1">IF(AND($D332="Serviço",AF$12&lt;&gt;0,$H332&gt;0,OR(AUTOEVENTO&lt;&gt;"manual",$M332&lt;&gt;$A$15)),
        IF(Import.TipoArredondamento&lt;&gt;"TransfereGOV",
              ROUND(OFFSET($P332,0,AF$13),15-13*ORÇAMENTO!$AF$7)/$H332*OFFSET(ORÇAMENTO!$X$15,ROW(AF332)-ROW(AF$15),0),
              ROUND(ROUND(OFFSET($P332,0,AF$13),15-13*ORÇAMENTO!$AF$7)*OFFSET(ORÇAMENTO!$W$15,ROW(AF332)-ROW(AF$15),0),15-13*ORÇAMENTO!$AF$11)),
         0)</f>
        <v>0</v>
      </c>
      <c r="AG332" s="454">
        <f ca="1">IF(AND($D332="Serviço",AG$12&lt;&gt;0,$H332&gt;0,OR(AUTOEVENTO&lt;&gt;"manual",$M332&lt;&gt;$A$15)),
        IF(Import.TipoArredondamento&lt;&gt;"TransfereGOV",
              ROUND(OFFSET($P332,0,AG$13),15-13*ORÇAMENTO!$AF$7)/$H332*OFFSET(ORÇAMENTO!$X$15,ROW(AG332)-ROW(AG$15),0),
              ROUND(ROUND(OFFSET($P332,0,AG$13),15-13*ORÇAMENTO!$AF$7)*OFFSET(ORÇAMENTO!$W$15,ROW(AG332)-ROW(AG$15),0),15-13*ORÇAMENTO!$AF$11)),
         0)</f>
        <v>0</v>
      </c>
      <c r="AH332" s="454">
        <f ca="1">IF(AND($D332="Serviço",AH$12&lt;&gt;0,$H332&gt;0,OR(AUTOEVENTO&lt;&gt;"manual",$M332&lt;&gt;$A$15)),
        IF(Import.TipoArredondamento&lt;&gt;"TransfereGOV",
              ROUND(OFFSET($P332,0,AH$13),15-13*ORÇAMENTO!$AF$7)/$H332*OFFSET(ORÇAMENTO!$X$15,ROW(AH332)-ROW(AH$15),0),
              ROUND(ROUND(OFFSET($P332,0,AH$13),15-13*ORÇAMENTO!$AF$7)*OFFSET(ORÇAMENTO!$W$15,ROW(AH332)-ROW(AH$15),0),15-13*ORÇAMENTO!$AF$11)),
         0)</f>
        <v>0</v>
      </c>
      <c r="AI332" s="454">
        <f ca="1">IF(AND($D332="Serviço",AI$12&lt;&gt;0,$H332&gt;0,OR(AUTOEVENTO&lt;&gt;"manual",$M332&lt;&gt;$A$15)),
        IF(Import.TipoArredondamento&lt;&gt;"TransfereGOV",
              ROUND(OFFSET($P332,0,AI$13),15-13*ORÇAMENTO!$AF$7)/$H332*OFFSET(ORÇAMENTO!$X$15,ROW(AI332)-ROW(AI$15),0),
              ROUND(ROUND(OFFSET($P332,0,AI$13),15-13*ORÇAMENTO!$AF$7)*OFFSET(ORÇAMENTO!$W$15,ROW(AI332)-ROW(AI$15),0),15-13*ORÇAMENTO!$AF$11)),
         0)</f>
        <v>0</v>
      </c>
      <c r="AJ332" s="454">
        <f ca="1">IF(AND($D332="Serviço",AJ$12&lt;&gt;0,$H332&gt;0,OR(AUTOEVENTO&lt;&gt;"manual",$M332&lt;&gt;$A$15)),
        IF(Import.TipoArredondamento&lt;&gt;"TransfereGOV",
              ROUND(OFFSET($P332,0,AJ$13),15-13*ORÇAMENTO!$AF$7)/$H332*OFFSET(ORÇAMENTO!$X$15,ROW(AJ332)-ROW(AJ$15),0),
              ROUND(ROUND(OFFSET($P332,0,AJ$13),15-13*ORÇAMENTO!$AF$7)*OFFSET(ORÇAMENTO!$W$15,ROW(AJ332)-ROW(AJ$15),0),15-13*ORÇAMENTO!$AF$11)),
         0)</f>
        <v>0</v>
      </c>
      <c r="AK332" s="454">
        <f ca="1">IF(AND($D332="Serviço",AK$12&lt;&gt;0,$H332&gt;0,OR(AUTOEVENTO&lt;&gt;"manual",$M332&lt;&gt;$A$15)),
        IF(Import.TipoArredondamento&lt;&gt;"TransfereGOV",
              ROUND(OFFSET($P332,0,AK$13),15-13*ORÇAMENTO!$AF$7)/$H332*OFFSET(ORÇAMENTO!$X$15,ROW(AK332)-ROW(AK$15),0),
              ROUND(ROUND(OFFSET($P332,0,AK$13),15-13*ORÇAMENTO!$AF$7)*OFFSET(ORÇAMENTO!$W$15,ROW(AK332)-ROW(AK$15),0),15-13*ORÇAMENTO!$AF$11)),
         0)</f>
        <v>0</v>
      </c>
      <c r="AM332" s="172">
        <f ca="1">IF(OR($D332&lt;&gt;"Serviço",AND(AUTOEVENTO="Manual",$M332=$A$15)),0,
         IF(OFFSET(CRONOPLE!$F$15,$M332-$A$15,AM$13)="",10^12,OFFSET(CRONOPLE!$F$15,$M332-$A$15,AM$13)))</f>
        <v>1000000000000</v>
      </c>
      <c r="AN332" s="172">
        <f ca="1">IF(OR($D332&lt;&gt;"Serviço",AND(AUTOEVENTO="Manual",$M332=$A$15)),0,
         IF(OFFSET(CRONOPLE!$F$15,$M332-$A$15,AN$13)="",10^12,OFFSET(CRONOPLE!$F$15,$M332-$A$15,AN$13)))</f>
        <v>1000000000000</v>
      </c>
      <c r="AO332" s="172">
        <f ca="1">IF(OR($D332&lt;&gt;"Serviço",AND(AUTOEVENTO="Manual",$M332=$A$15)),0,
         IF(OFFSET(CRONOPLE!$F$15,$M332-$A$15,AO$13)="",10^12,OFFSET(CRONOPLE!$F$15,$M332-$A$15,AO$13)))</f>
        <v>1000000000000</v>
      </c>
      <c r="AP332" s="172">
        <f ca="1">IF(OR($D332&lt;&gt;"Serviço",AND(AUTOEVENTO="Manual",$M332=$A$15)),0,
         IF(OFFSET(CRONOPLE!$F$15,$M332-$A$15,AP$13)="",10^12,OFFSET(CRONOPLE!$F$15,$M332-$A$15,AP$13)))</f>
        <v>1000000000000</v>
      </c>
      <c r="AQ332" s="172">
        <f ca="1">IF(OR($D332&lt;&gt;"Serviço",AND(AUTOEVENTO="Manual",$M332=$A$15)),0,
         IF(OFFSET(CRONOPLE!$F$15,$M332-$A$15,AQ$13)="",10^12,OFFSET(CRONOPLE!$F$15,$M332-$A$15,AQ$13)))</f>
        <v>1000000000000</v>
      </c>
      <c r="AR332" s="172">
        <f ca="1">IF(OR($D332&lt;&gt;"Serviço",AND(AUTOEVENTO="Manual",$M332=$A$15)),0,
         IF(OFFSET(CRONOPLE!$F$15,$M332-$A$15,AR$13)="",10^12,OFFSET(CRONOPLE!$F$15,$M332-$A$15,AR$13)))</f>
        <v>1000000000000</v>
      </c>
      <c r="AS332" s="172">
        <f ca="1">IF(OR($D332&lt;&gt;"Serviço",AND(AUTOEVENTO="Manual",$M332=$A$15)),0,
         IF(OFFSET(CRONOPLE!$F$15,$M332-$A$15,AS$13)="",10^12,OFFSET(CRONOPLE!$F$15,$M332-$A$15,AS$13)))</f>
        <v>1000000000000</v>
      </c>
      <c r="AT332" s="172">
        <f ca="1">IF(OR($D332&lt;&gt;"Serviço",AND(AUTOEVENTO="Manual",$M332=$A$15)),0,
         IF(OFFSET(CRONOPLE!$F$15,$M332-$A$15,AT$13)="",10^12,OFFSET(CRONOPLE!$F$15,$M332-$A$15,AT$13)))</f>
        <v>1000000000000</v>
      </c>
      <c r="AU332" s="172">
        <f ca="1">IF(OR($D332&lt;&gt;"Serviço",AND(AUTOEVENTO="Manual",$M332=$A$15)),0,
         IF(OFFSET(CRONOPLE!$F$15,$M332-$A$15,AU$13)="",10^12,OFFSET(CRONOPLE!$F$15,$M332-$A$15,AU$13)))</f>
        <v>1000000000000</v>
      </c>
      <c r="AV332" s="172">
        <f ca="1">IF(OR($D332&lt;&gt;"Serviço",AND(AUTOEVENTO="Manual",$M332=$A$15)),0,
         IF(OFFSET(CRONOPLE!$F$15,$M332-$A$15,AV$13)="",10^12,OFFSET(CRONOPLE!$F$15,$M332-$A$15,AV$13)))</f>
        <v>1000000000000</v>
      </c>
      <c r="AX332" s="173">
        <f ca="1">IF(OR($D332&lt;&gt;"Serviço",AND(AUTOEVENTO="Manual",$M332=$A$15),$M332&gt;(ROW(PLE.lastrow)-ROW(PLE.firstrow))),0,
           IF(OFFSET(PLE!$G$15,$M332-$A$15,AX$13)="",10^12,OFFSET(PLE!$G$15,$M332-$A$15,AX$13)))</f>
        <v>1000000000000</v>
      </c>
      <c r="AY332" s="173">
        <f ca="1">IF(OR($D332&lt;&gt;"Serviço",AND(AUTOEVENTO="Manual",$M332=$A$15),$M332&gt;(ROW(PLE.lastrow)-ROW(PLE.firstrow))),0,
           IF(OFFSET(PLE!$G$15,$M332-$A$15,AY$13)="",10^12,OFFSET(PLE!$G$15,$M332-$A$15,AY$13)))</f>
        <v>1000000000000</v>
      </c>
      <c r="AZ332" s="173">
        <f ca="1">IF(OR($D332&lt;&gt;"Serviço",AND(AUTOEVENTO="Manual",$M332=$A$15),$M332&gt;(ROW(PLE.lastrow)-ROW(PLE.firstrow))),0,
           IF(OFFSET(PLE!$G$15,$M332-$A$15,AZ$13)="",10^12,OFFSET(PLE!$G$15,$M332-$A$15,AZ$13)))</f>
        <v>1000000000000</v>
      </c>
      <c r="BA332" s="173">
        <f ca="1">IF(OR($D332&lt;&gt;"Serviço",AND(AUTOEVENTO="Manual",$M332=$A$15),$M332&gt;(ROW(PLE.lastrow)-ROW(PLE.firstrow))),0,
           IF(OFFSET(PLE!$G$15,$M332-$A$15,BA$13)="",10^12,OFFSET(PLE!$G$15,$M332-$A$15,BA$13)))</f>
        <v>1000000000000</v>
      </c>
      <c r="BB332" s="173">
        <f ca="1">IF(OR($D332&lt;&gt;"Serviço",AND(AUTOEVENTO="Manual",$M332=$A$15),$M332&gt;(ROW(PLE.lastrow)-ROW(PLE.firstrow))),0,
           IF(OFFSET(PLE!$G$15,$M332-$A$15,BB$13)="",10^12,OFFSET(PLE!$G$15,$M332-$A$15,BB$13)))</f>
        <v>1000000000000</v>
      </c>
      <c r="BC332" s="173">
        <f ca="1">IF(OR($D332&lt;&gt;"Serviço",AND(AUTOEVENTO="Manual",$M332=$A$15),$M332&gt;(ROW(PLE.lastrow)-ROW(PLE.firstrow))),0,
           IF(OFFSET(PLE!$G$15,$M332-$A$15,BC$13)="",10^12,OFFSET(PLE!$G$15,$M332-$A$15,BC$13)))</f>
        <v>1000000000000</v>
      </c>
      <c r="BD332" s="173">
        <f ca="1">IF(OR($D332&lt;&gt;"Serviço",AND(AUTOEVENTO="Manual",$M332=$A$15),$M332&gt;(ROW(PLE.lastrow)-ROW(PLE.firstrow))),0,
           IF(OFFSET(PLE!$G$15,$M332-$A$15,BD$13)="",10^12,OFFSET(PLE!$G$15,$M332-$A$15,BD$13)))</f>
        <v>1000000000000</v>
      </c>
      <c r="BE332" s="173">
        <f ca="1">IF(OR($D332&lt;&gt;"Serviço",AND(AUTOEVENTO="Manual",$M332=$A$15),$M332&gt;(ROW(PLE.lastrow)-ROW(PLE.firstrow))),0,
           IF(OFFSET(PLE!$G$15,$M332-$A$15,BE$13)="",10^12,OFFSET(PLE!$G$15,$M332-$A$15,BE$13)))</f>
        <v>1000000000000</v>
      </c>
      <c r="BF332" s="173">
        <f ca="1">IF(OR($D332&lt;&gt;"Serviço",AND(AUTOEVENTO="Manual",$M332=$A$15),$M332&gt;(ROW(PLE.lastrow)-ROW(PLE.firstrow))),0,
           IF(OFFSET(PLE!$G$15,$M332-$A$15,BF$13)="",10^12,OFFSET(PLE!$G$15,$M332-$A$15,BF$13)))</f>
        <v>1000000000000</v>
      </c>
      <c r="BG332" s="173">
        <f ca="1">IF(OR($D332&lt;&gt;"Serviço",AND(AUTOEVENTO="Manual",$M332=$A$15),$M332&gt;(ROW(PLE.lastrow)-ROW(PLE.firstrow))),0,
           IF(OFFSET(PLE!$G$15,$M332-$A$15,BG$13)="",10^12,OFFSET(PLE!$G$15,$M332-$A$15,BG$13)))</f>
        <v>1000000000000</v>
      </c>
    </row>
    <row r="333" spans="1:59" ht="38.25" x14ac:dyDescent="0.2">
      <c r="A333" s="7" t="str">
        <f t="shared" ca="1" si="12"/>
        <v>310</v>
      </c>
      <c r="B333" s="7" t="str">
        <f ca="1">OFFSET(ORÇAMENTO!C$15,ROW(B333)-ROW(B$15),0)</f>
        <v>S</v>
      </c>
      <c r="C333" s="7" t="str">
        <f ca="1">OFFSET(ORÇAMENTO!L$15,ROW(C333)-ROW(C$15),0)</f>
        <v/>
      </c>
      <c r="D333" s="117" t="str">
        <f ca="1">OFFSET(ORÇAMENTO!N$15,ROW(D333)-ROW(D$15),0)</f>
        <v>Serviço</v>
      </c>
      <c r="E333" s="118" t="str">
        <f ca="1">OFFSET(ORÇAMENTO!O$15,ROW(E333)-ROW(E$15),0)</f>
        <v>-</v>
      </c>
      <c r="F333" s="164" t="str">
        <f ca="1">OFFSET(ORÇAMENTO!R$15,ROW(F333)-ROW(F$15),0)</f>
        <v>CONCRETAGEM DE VIGAS E LAJES, FCK=25 MPA, PARA QUALQUER TIPO DE LAJE COM BALDES EM EDIFICAÇÃO TÉRREA - LANÇAMENTO, ADENSAMENTO E ACABAMENTO. AF_02/2022</v>
      </c>
      <c r="G333" s="165" t="str">
        <f ca="1">IF($D333&lt;&gt;"Serviço","",OFFSET(ORÇAMENTO!S$15,ROW(G333)-ROW(G$15),0))</f>
        <v>M3</v>
      </c>
      <c r="H333" s="123">
        <f ca="1">IF($D333&lt;&gt;"Serviço",0,IF(ACOMPANHAMENTO="BM",ROUND(OFFSET(ORÇAMENTO!AJ$15,ROW(H333)-ROW(H$15),0),15-13*ORÇAMENTO!$AF$7),SUMPRODUCT(($Q$1:$AA$1=1)*ROUND($Q333:$AA333,15-13*ORÇAMENTO!$AF$7))))</f>
        <v>0.5</v>
      </c>
      <c r="I333" s="469"/>
      <c r="J333" s="577" t="str" cm="1">
        <f t="array" aca="1" ref="J333" ca="1">IF(B333&lt;&gt;"S","",IF(AND(ACOMPANHAMENTO="PLE",AUTOEVENTO="Manual",OR(H333&gt;0,ORÇAMENTO!AC333="QUANT."),OR(K333="",M333=0,N333="")),"►",IF(AND(ACOMPANHAMENTO="PLE",ORÇAMENTO!AC333="QUANT."),"►►",IF(AND(COUNTIF($P$11:$AA$11,"▼")=0,H333&gt;0,I333=""),"◄",""))))</f>
        <v>◄</v>
      </c>
      <c r="K333" s="626"/>
      <c r="L333" s="166" t="s">
        <v>765</v>
      </c>
      <c r="M333" s="167">
        <f ca="1">IF($D333&lt;&gt;"Serviço","",
          IF(AUTOEVENTO="manual",$A333,
                IF(ISERROR(MATCH($A333,$A$15:OFFSET($A333,-1,0),0)),MAX($M$15:OFFSET(M333,-1,0))+1,
                      INDEX($M$15:OFFSET(M333,-1,0),MATCH($A333,$A$15:OFFSET($A333,-1,0),0)))))</f>
        <v>17</v>
      </c>
      <c r="N333" s="168" t="str">
        <f ca="1">IF($D333&lt;&gt;"Serviço","",
         IF(AUTOEVENTO="Manual",
                IF($A333=0,"&lt;-- defina o número do agrupador",
                       OFFSET(EVENTOS!$D$15,$A333-$A$15,0)),
                OFFSET($F$15,$A333,0)))</f>
        <v>CENTRAL DE GLP, ABRIGO DE LIXO E SOLÁRIOS</v>
      </c>
      <c r="O333" s="169"/>
      <c r="Q333" s="169"/>
      <c r="R333" s="170"/>
      <c r="S333" s="170"/>
      <c r="T333" s="170"/>
      <c r="U333" s="170"/>
      <c r="V333" s="170"/>
      <c r="W333" s="170"/>
      <c r="X333" s="170"/>
      <c r="Y333" s="170"/>
      <c r="Z333" s="171"/>
      <c r="AB333" s="454">
        <f ca="1">IF(AND($D333="Serviço",AB$12&lt;&gt;0,$H333&gt;0,OR(AUTOEVENTO&lt;&gt;"manual",$M333&lt;&gt;$A$15)),
        IF(Import.TipoArredondamento&lt;&gt;"TransfereGOV",
              ROUND(OFFSET($P333,0,AB$13),15-13*ORÇAMENTO!$AF$7)/$H333*OFFSET(ORÇAMENTO!$X$15,ROW(AB333)-ROW(AB$15),0),
              ROUND(ROUND(OFFSET($P333,0,AB$13),15-13*ORÇAMENTO!$AF$7)*OFFSET(ORÇAMENTO!$W$15,ROW(AB333)-ROW(AB$15),0),15-13*ORÇAMENTO!$AF$11)),
         0)</f>
        <v>0</v>
      </c>
      <c r="AC333" s="454">
        <f ca="1">IF(AND($D333="Serviço",AC$12&lt;&gt;0,$H333&gt;0,OR(AUTOEVENTO&lt;&gt;"manual",$M333&lt;&gt;$A$15)),
        IF(Import.TipoArredondamento&lt;&gt;"TransfereGOV",
              ROUND(OFFSET($P333,0,AC$13),15-13*ORÇAMENTO!$AF$7)/$H333*OFFSET(ORÇAMENTO!$X$15,ROW(AC333)-ROW(AC$15),0),
              ROUND(ROUND(OFFSET($P333,0,AC$13),15-13*ORÇAMENTO!$AF$7)*OFFSET(ORÇAMENTO!$W$15,ROW(AC333)-ROW(AC$15),0),15-13*ORÇAMENTO!$AF$11)),
         0)</f>
        <v>0</v>
      </c>
      <c r="AD333" s="454">
        <f ca="1">IF(AND($D333="Serviço",AD$12&lt;&gt;0,$H333&gt;0,OR(AUTOEVENTO&lt;&gt;"manual",$M333&lt;&gt;$A$15)),
        IF(Import.TipoArredondamento&lt;&gt;"TransfereGOV",
              ROUND(OFFSET($P333,0,AD$13),15-13*ORÇAMENTO!$AF$7)/$H333*OFFSET(ORÇAMENTO!$X$15,ROW(AD333)-ROW(AD$15),0),
              ROUND(ROUND(OFFSET($P333,0,AD$13),15-13*ORÇAMENTO!$AF$7)*OFFSET(ORÇAMENTO!$W$15,ROW(AD333)-ROW(AD$15),0),15-13*ORÇAMENTO!$AF$11)),
         0)</f>
        <v>0</v>
      </c>
      <c r="AE333" s="454">
        <f ca="1">IF(AND($D333="Serviço",AE$12&lt;&gt;0,$H333&gt;0,OR(AUTOEVENTO&lt;&gt;"manual",$M333&lt;&gt;$A$15)),
        IF(Import.TipoArredondamento&lt;&gt;"TransfereGOV",
              ROUND(OFFSET($P333,0,AE$13),15-13*ORÇAMENTO!$AF$7)/$H333*OFFSET(ORÇAMENTO!$X$15,ROW(AE333)-ROW(AE$15),0),
              ROUND(ROUND(OFFSET($P333,0,AE$13),15-13*ORÇAMENTO!$AF$7)*OFFSET(ORÇAMENTO!$W$15,ROW(AE333)-ROW(AE$15),0),15-13*ORÇAMENTO!$AF$11)),
         0)</f>
        <v>0</v>
      </c>
      <c r="AF333" s="454">
        <f ca="1">IF(AND($D333="Serviço",AF$12&lt;&gt;0,$H333&gt;0,OR(AUTOEVENTO&lt;&gt;"manual",$M333&lt;&gt;$A$15)),
        IF(Import.TipoArredondamento&lt;&gt;"TransfereGOV",
              ROUND(OFFSET($P333,0,AF$13),15-13*ORÇAMENTO!$AF$7)/$H333*OFFSET(ORÇAMENTO!$X$15,ROW(AF333)-ROW(AF$15),0),
              ROUND(ROUND(OFFSET($P333,0,AF$13),15-13*ORÇAMENTO!$AF$7)*OFFSET(ORÇAMENTO!$W$15,ROW(AF333)-ROW(AF$15),0),15-13*ORÇAMENTO!$AF$11)),
         0)</f>
        <v>0</v>
      </c>
      <c r="AG333" s="454">
        <f ca="1">IF(AND($D333="Serviço",AG$12&lt;&gt;0,$H333&gt;0,OR(AUTOEVENTO&lt;&gt;"manual",$M333&lt;&gt;$A$15)),
        IF(Import.TipoArredondamento&lt;&gt;"TransfereGOV",
              ROUND(OFFSET($P333,0,AG$13),15-13*ORÇAMENTO!$AF$7)/$H333*OFFSET(ORÇAMENTO!$X$15,ROW(AG333)-ROW(AG$15),0),
              ROUND(ROUND(OFFSET($P333,0,AG$13),15-13*ORÇAMENTO!$AF$7)*OFFSET(ORÇAMENTO!$W$15,ROW(AG333)-ROW(AG$15),0),15-13*ORÇAMENTO!$AF$11)),
         0)</f>
        <v>0</v>
      </c>
      <c r="AH333" s="454">
        <f ca="1">IF(AND($D333="Serviço",AH$12&lt;&gt;0,$H333&gt;0,OR(AUTOEVENTO&lt;&gt;"manual",$M333&lt;&gt;$A$15)),
        IF(Import.TipoArredondamento&lt;&gt;"TransfereGOV",
              ROUND(OFFSET($P333,0,AH$13),15-13*ORÇAMENTO!$AF$7)/$H333*OFFSET(ORÇAMENTO!$X$15,ROW(AH333)-ROW(AH$15),0),
              ROUND(ROUND(OFFSET($P333,0,AH$13),15-13*ORÇAMENTO!$AF$7)*OFFSET(ORÇAMENTO!$W$15,ROW(AH333)-ROW(AH$15),0),15-13*ORÇAMENTO!$AF$11)),
         0)</f>
        <v>0</v>
      </c>
      <c r="AI333" s="454">
        <f ca="1">IF(AND($D333="Serviço",AI$12&lt;&gt;0,$H333&gt;0,OR(AUTOEVENTO&lt;&gt;"manual",$M333&lt;&gt;$A$15)),
        IF(Import.TipoArredondamento&lt;&gt;"TransfereGOV",
              ROUND(OFFSET($P333,0,AI$13),15-13*ORÇAMENTO!$AF$7)/$H333*OFFSET(ORÇAMENTO!$X$15,ROW(AI333)-ROW(AI$15),0),
              ROUND(ROUND(OFFSET($P333,0,AI$13),15-13*ORÇAMENTO!$AF$7)*OFFSET(ORÇAMENTO!$W$15,ROW(AI333)-ROW(AI$15),0),15-13*ORÇAMENTO!$AF$11)),
         0)</f>
        <v>0</v>
      </c>
      <c r="AJ333" s="454">
        <f ca="1">IF(AND($D333="Serviço",AJ$12&lt;&gt;0,$H333&gt;0,OR(AUTOEVENTO&lt;&gt;"manual",$M333&lt;&gt;$A$15)),
        IF(Import.TipoArredondamento&lt;&gt;"TransfereGOV",
              ROUND(OFFSET($P333,0,AJ$13),15-13*ORÇAMENTO!$AF$7)/$H333*OFFSET(ORÇAMENTO!$X$15,ROW(AJ333)-ROW(AJ$15),0),
              ROUND(ROUND(OFFSET($P333,0,AJ$13),15-13*ORÇAMENTO!$AF$7)*OFFSET(ORÇAMENTO!$W$15,ROW(AJ333)-ROW(AJ$15),0),15-13*ORÇAMENTO!$AF$11)),
         0)</f>
        <v>0</v>
      </c>
      <c r="AK333" s="454">
        <f ca="1">IF(AND($D333="Serviço",AK$12&lt;&gt;0,$H333&gt;0,OR(AUTOEVENTO&lt;&gt;"manual",$M333&lt;&gt;$A$15)),
        IF(Import.TipoArredondamento&lt;&gt;"TransfereGOV",
              ROUND(OFFSET($P333,0,AK$13),15-13*ORÇAMENTO!$AF$7)/$H333*OFFSET(ORÇAMENTO!$X$15,ROW(AK333)-ROW(AK$15),0),
              ROUND(ROUND(OFFSET($P333,0,AK$13),15-13*ORÇAMENTO!$AF$7)*OFFSET(ORÇAMENTO!$W$15,ROW(AK333)-ROW(AK$15),0),15-13*ORÇAMENTO!$AF$11)),
         0)</f>
        <v>0</v>
      </c>
      <c r="AM333" s="172">
        <f ca="1">IF(OR($D333&lt;&gt;"Serviço",AND(AUTOEVENTO="Manual",$M333=$A$15)),0,
         IF(OFFSET(CRONOPLE!$F$15,$M333-$A$15,AM$13)="",10^12,OFFSET(CRONOPLE!$F$15,$M333-$A$15,AM$13)))</f>
        <v>1000000000000</v>
      </c>
      <c r="AN333" s="172">
        <f ca="1">IF(OR($D333&lt;&gt;"Serviço",AND(AUTOEVENTO="Manual",$M333=$A$15)),0,
         IF(OFFSET(CRONOPLE!$F$15,$M333-$A$15,AN$13)="",10^12,OFFSET(CRONOPLE!$F$15,$M333-$A$15,AN$13)))</f>
        <v>1000000000000</v>
      </c>
      <c r="AO333" s="172">
        <f ca="1">IF(OR($D333&lt;&gt;"Serviço",AND(AUTOEVENTO="Manual",$M333=$A$15)),0,
         IF(OFFSET(CRONOPLE!$F$15,$M333-$A$15,AO$13)="",10^12,OFFSET(CRONOPLE!$F$15,$M333-$A$15,AO$13)))</f>
        <v>1000000000000</v>
      </c>
      <c r="AP333" s="172">
        <f ca="1">IF(OR($D333&lt;&gt;"Serviço",AND(AUTOEVENTO="Manual",$M333=$A$15)),0,
         IF(OFFSET(CRONOPLE!$F$15,$M333-$A$15,AP$13)="",10^12,OFFSET(CRONOPLE!$F$15,$M333-$A$15,AP$13)))</f>
        <v>1000000000000</v>
      </c>
      <c r="AQ333" s="172">
        <f ca="1">IF(OR($D333&lt;&gt;"Serviço",AND(AUTOEVENTO="Manual",$M333=$A$15)),0,
         IF(OFFSET(CRONOPLE!$F$15,$M333-$A$15,AQ$13)="",10^12,OFFSET(CRONOPLE!$F$15,$M333-$A$15,AQ$13)))</f>
        <v>1000000000000</v>
      </c>
      <c r="AR333" s="172">
        <f ca="1">IF(OR($D333&lt;&gt;"Serviço",AND(AUTOEVENTO="Manual",$M333=$A$15)),0,
         IF(OFFSET(CRONOPLE!$F$15,$M333-$A$15,AR$13)="",10^12,OFFSET(CRONOPLE!$F$15,$M333-$A$15,AR$13)))</f>
        <v>1000000000000</v>
      </c>
      <c r="AS333" s="172">
        <f ca="1">IF(OR($D333&lt;&gt;"Serviço",AND(AUTOEVENTO="Manual",$M333=$A$15)),0,
         IF(OFFSET(CRONOPLE!$F$15,$M333-$A$15,AS$13)="",10^12,OFFSET(CRONOPLE!$F$15,$M333-$A$15,AS$13)))</f>
        <v>1000000000000</v>
      </c>
      <c r="AT333" s="172">
        <f ca="1">IF(OR($D333&lt;&gt;"Serviço",AND(AUTOEVENTO="Manual",$M333=$A$15)),0,
         IF(OFFSET(CRONOPLE!$F$15,$M333-$A$15,AT$13)="",10^12,OFFSET(CRONOPLE!$F$15,$M333-$A$15,AT$13)))</f>
        <v>1000000000000</v>
      </c>
      <c r="AU333" s="172">
        <f ca="1">IF(OR($D333&lt;&gt;"Serviço",AND(AUTOEVENTO="Manual",$M333=$A$15)),0,
         IF(OFFSET(CRONOPLE!$F$15,$M333-$A$15,AU$13)="",10^12,OFFSET(CRONOPLE!$F$15,$M333-$A$15,AU$13)))</f>
        <v>1000000000000</v>
      </c>
      <c r="AV333" s="172">
        <f ca="1">IF(OR($D333&lt;&gt;"Serviço",AND(AUTOEVENTO="Manual",$M333=$A$15)),0,
         IF(OFFSET(CRONOPLE!$F$15,$M333-$A$15,AV$13)="",10^12,OFFSET(CRONOPLE!$F$15,$M333-$A$15,AV$13)))</f>
        <v>1000000000000</v>
      </c>
      <c r="AX333" s="173">
        <f ca="1">IF(OR($D333&lt;&gt;"Serviço",AND(AUTOEVENTO="Manual",$M333=$A$15),$M333&gt;(ROW(PLE.lastrow)-ROW(PLE.firstrow))),0,
           IF(OFFSET(PLE!$G$15,$M333-$A$15,AX$13)="",10^12,OFFSET(PLE!$G$15,$M333-$A$15,AX$13)))</f>
        <v>1000000000000</v>
      </c>
      <c r="AY333" s="173">
        <f ca="1">IF(OR($D333&lt;&gt;"Serviço",AND(AUTOEVENTO="Manual",$M333=$A$15),$M333&gt;(ROW(PLE.lastrow)-ROW(PLE.firstrow))),0,
           IF(OFFSET(PLE!$G$15,$M333-$A$15,AY$13)="",10^12,OFFSET(PLE!$G$15,$M333-$A$15,AY$13)))</f>
        <v>1000000000000</v>
      </c>
      <c r="AZ333" s="173">
        <f ca="1">IF(OR($D333&lt;&gt;"Serviço",AND(AUTOEVENTO="Manual",$M333=$A$15),$M333&gt;(ROW(PLE.lastrow)-ROW(PLE.firstrow))),0,
           IF(OFFSET(PLE!$G$15,$M333-$A$15,AZ$13)="",10^12,OFFSET(PLE!$G$15,$M333-$A$15,AZ$13)))</f>
        <v>1000000000000</v>
      </c>
      <c r="BA333" s="173">
        <f ca="1">IF(OR($D333&lt;&gt;"Serviço",AND(AUTOEVENTO="Manual",$M333=$A$15),$M333&gt;(ROW(PLE.lastrow)-ROW(PLE.firstrow))),0,
           IF(OFFSET(PLE!$G$15,$M333-$A$15,BA$13)="",10^12,OFFSET(PLE!$G$15,$M333-$A$15,BA$13)))</f>
        <v>1000000000000</v>
      </c>
      <c r="BB333" s="173">
        <f ca="1">IF(OR($D333&lt;&gt;"Serviço",AND(AUTOEVENTO="Manual",$M333=$A$15),$M333&gt;(ROW(PLE.lastrow)-ROW(PLE.firstrow))),0,
           IF(OFFSET(PLE!$G$15,$M333-$A$15,BB$13)="",10^12,OFFSET(PLE!$G$15,$M333-$A$15,BB$13)))</f>
        <v>1000000000000</v>
      </c>
      <c r="BC333" s="173">
        <f ca="1">IF(OR($D333&lt;&gt;"Serviço",AND(AUTOEVENTO="Manual",$M333=$A$15),$M333&gt;(ROW(PLE.lastrow)-ROW(PLE.firstrow))),0,
           IF(OFFSET(PLE!$G$15,$M333-$A$15,BC$13)="",10^12,OFFSET(PLE!$G$15,$M333-$A$15,BC$13)))</f>
        <v>1000000000000</v>
      </c>
      <c r="BD333" s="173">
        <f ca="1">IF(OR($D333&lt;&gt;"Serviço",AND(AUTOEVENTO="Manual",$M333=$A$15),$M333&gt;(ROW(PLE.lastrow)-ROW(PLE.firstrow))),0,
           IF(OFFSET(PLE!$G$15,$M333-$A$15,BD$13)="",10^12,OFFSET(PLE!$G$15,$M333-$A$15,BD$13)))</f>
        <v>1000000000000</v>
      </c>
      <c r="BE333" s="173">
        <f ca="1">IF(OR($D333&lt;&gt;"Serviço",AND(AUTOEVENTO="Manual",$M333=$A$15),$M333&gt;(ROW(PLE.lastrow)-ROW(PLE.firstrow))),0,
           IF(OFFSET(PLE!$G$15,$M333-$A$15,BE$13)="",10^12,OFFSET(PLE!$G$15,$M333-$A$15,BE$13)))</f>
        <v>1000000000000</v>
      </c>
      <c r="BF333" s="173">
        <f ca="1">IF(OR($D333&lt;&gt;"Serviço",AND(AUTOEVENTO="Manual",$M333=$A$15),$M333&gt;(ROW(PLE.lastrow)-ROW(PLE.firstrow))),0,
           IF(OFFSET(PLE!$G$15,$M333-$A$15,BF$13)="",10^12,OFFSET(PLE!$G$15,$M333-$A$15,BF$13)))</f>
        <v>1000000000000</v>
      </c>
      <c r="BG333" s="173">
        <f ca="1">IF(OR($D333&lt;&gt;"Serviço",AND(AUTOEVENTO="Manual",$M333=$A$15),$M333&gt;(ROW(PLE.lastrow)-ROW(PLE.firstrow))),0,
           IF(OFFSET(PLE!$G$15,$M333-$A$15,BG$13)="",10^12,OFFSET(PLE!$G$15,$M333-$A$15,BG$13)))</f>
        <v>1000000000000</v>
      </c>
    </row>
    <row r="334" spans="1:59" ht="38.25" x14ac:dyDescent="0.2">
      <c r="A334" s="7" t="str">
        <f t="shared" ca="1" si="12"/>
        <v>310</v>
      </c>
      <c r="B334" s="7" t="str">
        <f ca="1">OFFSET(ORÇAMENTO!C$15,ROW(B334)-ROW(B$15),0)</f>
        <v>S</v>
      </c>
      <c r="C334" s="7" t="str">
        <f ca="1">OFFSET(ORÇAMENTO!L$15,ROW(C334)-ROW(C$15),0)</f>
        <v/>
      </c>
      <c r="D334" s="117" t="str">
        <f ca="1">OFFSET(ORÇAMENTO!N$15,ROW(D334)-ROW(D$15),0)</f>
        <v>Serviço</v>
      </c>
      <c r="E334" s="118" t="str">
        <f ca="1">OFFSET(ORÇAMENTO!O$15,ROW(E334)-ROW(E$15),0)</f>
        <v>-</v>
      </c>
      <c r="F334" s="164" t="str">
        <f ca="1">OFFSET(ORÇAMENTO!R$15,ROW(F334)-ROW(F$15),0)</f>
        <v>PORTA EM ALUMÍNIO DE ABRIR TIPO VENEZIANA COM GUARNIÇÃO, FIXAÇÃO COM PARAFUSOS - FORNECIMENTO E INSTALAÇÃO. AF_12/2019</v>
      </c>
      <c r="G334" s="165" t="str">
        <f ca="1">IF($D334&lt;&gt;"Serviço","",OFFSET(ORÇAMENTO!S$15,ROW(G334)-ROW(G$15),0))</f>
        <v>M2</v>
      </c>
      <c r="H334" s="123">
        <f ca="1">IF($D334&lt;&gt;"Serviço",0,IF(ACOMPANHAMENTO="BM",ROUND(OFFSET(ORÇAMENTO!AJ$15,ROW(H334)-ROW(H$15),0),15-13*ORÇAMENTO!$AF$7),SUMPRODUCT(($Q$1:$AA$1=1)*ROUND($Q334:$AA334,15-13*ORÇAMENTO!$AF$7))))</f>
        <v>1.53</v>
      </c>
      <c r="I334" s="469"/>
      <c r="J334" s="577" t="str" cm="1">
        <f t="array" aca="1" ref="J334" ca="1">IF(B334&lt;&gt;"S","",IF(AND(ACOMPANHAMENTO="PLE",AUTOEVENTO="Manual",OR(H334&gt;0,ORÇAMENTO!AC334="QUANT."),OR(K334="",M334=0,N334="")),"►",IF(AND(ACOMPANHAMENTO="PLE",ORÇAMENTO!AC334="QUANT."),"►►",IF(AND(COUNTIF($P$11:$AA$11,"▼")=0,H334&gt;0,I334=""),"◄",""))))</f>
        <v>◄</v>
      </c>
      <c r="K334" s="626"/>
      <c r="L334" s="166" t="s">
        <v>765</v>
      </c>
      <c r="M334" s="167">
        <f ca="1">IF($D334&lt;&gt;"Serviço","",
          IF(AUTOEVENTO="manual",$A334,
                IF(ISERROR(MATCH($A334,$A$15:OFFSET($A334,-1,0),0)),MAX($M$15:OFFSET(M334,-1,0))+1,
                      INDEX($M$15:OFFSET(M334,-1,0),MATCH($A334,$A$15:OFFSET($A334,-1,0),0)))))</f>
        <v>17</v>
      </c>
      <c r="N334" s="168" t="str">
        <f ca="1">IF($D334&lt;&gt;"Serviço","",
         IF(AUTOEVENTO="Manual",
                IF($A334=0,"&lt;-- defina o número do agrupador",
                       OFFSET(EVENTOS!$D$15,$A334-$A$15,0)),
                OFFSET($F$15,$A334,0)))</f>
        <v>CENTRAL DE GLP, ABRIGO DE LIXO E SOLÁRIOS</v>
      </c>
      <c r="O334" s="169"/>
      <c r="Q334" s="169"/>
      <c r="R334" s="170"/>
      <c r="S334" s="170"/>
      <c r="T334" s="170"/>
      <c r="U334" s="170"/>
      <c r="V334" s="170"/>
      <c r="W334" s="170"/>
      <c r="X334" s="170"/>
      <c r="Y334" s="170"/>
      <c r="Z334" s="171"/>
      <c r="AB334" s="454">
        <f ca="1">IF(AND($D334="Serviço",AB$12&lt;&gt;0,$H334&gt;0,OR(AUTOEVENTO&lt;&gt;"manual",$M334&lt;&gt;$A$15)),
        IF(Import.TipoArredondamento&lt;&gt;"TransfereGOV",
              ROUND(OFFSET($P334,0,AB$13),15-13*ORÇAMENTO!$AF$7)/$H334*OFFSET(ORÇAMENTO!$X$15,ROW(AB334)-ROW(AB$15),0),
              ROUND(ROUND(OFFSET($P334,0,AB$13),15-13*ORÇAMENTO!$AF$7)*OFFSET(ORÇAMENTO!$W$15,ROW(AB334)-ROW(AB$15),0),15-13*ORÇAMENTO!$AF$11)),
         0)</f>
        <v>0</v>
      </c>
      <c r="AC334" s="454">
        <f ca="1">IF(AND($D334="Serviço",AC$12&lt;&gt;0,$H334&gt;0,OR(AUTOEVENTO&lt;&gt;"manual",$M334&lt;&gt;$A$15)),
        IF(Import.TipoArredondamento&lt;&gt;"TransfereGOV",
              ROUND(OFFSET($P334,0,AC$13),15-13*ORÇAMENTO!$AF$7)/$H334*OFFSET(ORÇAMENTO!$X$15,ROW(AC334)-ROW(AC$15),0),
              ROUND(ROUND(OFFSET($P334,0,AC$13),15-13*ORÇAMENTO!$AF$7)*OFFSET(ORÇAMENTO!$W$15,ROW(AC334)-ROW(AC$15),0),15-13*ORÇAMENTO!$AF$11)),
         0)</f>
        <v>0</v>
      </c>
      <c r="AD334" s="454">
        <f ca="1">IF(AND($D334="Serviço",AD$12&lt;&gt;0,$H334&gt;0,OR(AUTOEVENTO&lt;&gt;"manual",$M334&lt;&gt;$A$15)),
        IF(Import.TipoArredondamento&lt;&gt;"TransfereGOV",
              ROUND(OFFSET($P334,0,AD$13),15-13*ORÇAMENTO!$AF$7)/$H334*OFFSET(ORÇAMENTO!$X$15,ROW(AD334)-ROW(AD$15),0),
              ROUND(ROUND(OFFSET($P334,0,AD$13),15-13*ORÇAMENTO!$AF$7)*OFFSET(ORÇAMENTO!$W$15,ROW(AD334)-ROW(AD$15),0),15-13*ORÇAMENTO!$AF$11)),
         0)</f>
        <v>0</v>
      </c>
      <c r="AE334" s="454">
        <f ca="1">IF(AND($D334="Serviço",AE$12&lt;&gt;0,$H334&gt;0,OR(AUTOEVENTO&lt;&gt;"manual",$M334&lt;&gt;$A$15)),
        IF(Import.TipoArredondamento&lt;&gt;"TransfereGOV",
              ROUND(OFFSET($P334,0,AE$13),15-13*ORÇAMENTO!$AF$7)/$H334*OFFSET(ORÇAMENTO!$X$15,ROW(AE334)-ROW(AE$15),0),
              ROUND(ROUND(OFFSET($P334,0,AE$13),15-13*ORÇAMENTO!$AF$7)*OFFSET(ORÇAMENTO!$W$15,ROW(AE334)-ROW(AE$15),0),15-13*ORÇAMENTO!$AF$11)),
         0)</f>
        <v>0</v>
      </c>
      <c r="AF334" s="454">
        <f ca="1">IF(AND($D334="Serviço",AF$12&lt;&gt;0,$H334&gt;0,OR(AUTOEVENTO&lt;&gt;"manual",$M334&lt;&gt;$A$15)),
        IF(Import.TipoArredondamento&lt;&gt;"TransfereGOV",
              ROUND(OFFSET($P334,0,AF$13),15-13*ORÇAMENTO!$AF$7)/$H334*OFFSET(ORÇAMENTO!$X$15,ROW(AF334)-ROW(AF$15),0),
              ROUND(ROUND(OFFSET($P334,0,AF$13),15-13*ORÇAMENTO!$AF$7)*OFFSET(ORÇAMENTO!$W$15,ROW(AF334)-ROW(AF$15),0),15-13*ORÇAMENTO!$AF$11)),
         0)</f>
        <v>0</v>
      </c>
      <c r="AG334" s="454">
        <f ca="1">IF(AND($D334="Serviço",AG$12&lt;&gt;0,$H334&gt;0,OR(AUTOEVENTO&lt;&gt;"manual",$M334&lt;&gt;$A$15)),
        IF(Import.TipoArredondamento&lt;&gt;"TransfereGOV",
              ROUND(OFFSET($P334,0,AG$13),15-13*ORÇAMENTO!$AF$7)/$H334*OFFSET(ORÇAMENTO!$X$15,ROW(AG334)-ROW(AG$15),0),
              ROUND(ROUND(OFFSET($P334,0,AG$13),15-13*ORÇAMENTO!$AF$7)*OFFSET(ORÇAMENTO!$W$15,ROW(AG334)-ROW(AG$15),0),15-13*ORÇAMENTO!$AF$11)),
         0)</f>
        <v>0</v>
      </c>
      <c r="AH334" s="454">
        <f ca="1">IF(AND($D334="Serviço",AH$12&lt;&gt;0,$H334&gt;0,OR(AUTOEVENTO&lt;&gt;"manual",$M334&lt;&gt;$A$15)),
        IF(Import.TipoArredondamento&lt;&gt;"TransfereGOV",
              ROUND(OFFSET($P334,0,AH$13),15-13*ORÇAMENTO!$AF$7)/$H334*OFFSET(ORÇAMENTO!$X$15,ROW(AH334)-ROW(AH$15),0),
              ROUND(ROUND(OFFSET($P334,0,AH$13),15-13*ORÇAMENTO!$AF$7)*OFFSET(ORÇAMENTO!$W$15,ROW(AH334)-ROW(AH$15),0),15-13*ORÇAMENTO!$AF$11)),
         0)</f>
        <v>0</v>
      </c>
      <c r="AI334" s="454">
        <f ca="1">IF(AND($D334="Serviço",AI$12&lt;&gt;0,$H334&gt;0,OR(AUTOEVENTO&lt;&gt;"manual",$M334&lt;&gt;$A$15)),
        IF(Import.TipoArredondamento&lt;&gt;"TransfereGOV",
              ROUND(OFFSET($P334,0,AI$13),15-13*ORÇAMENTO!$AF$7)/$H334*OFFSET(ORÇAMENTO!$X$15,ROW(AI334)-ROW(AI$15),0),
              ROUND(ROUND(OFFSET($P334,0,AI$13),15-13*ORÇAMENTO!$AF$7)*OFFSET(ORÇAMENTO!$W$15,ROW(AI334)-ROW(AI$15),0),15-13*ORÇAMENTO!$AF$11)),
         0)</f>
        <v>0</v>
      </c>
      <c r="AJ334" s="454">
        <f ca="1">IF(AND($D334="Serviço",AJ$12&lt;&gt;0,$H334&gt;0,OR(AUTOEVENTO&lt;&gt;"manual",$M334&lt;&gt;$A$15)),
        IF(Import.TipoArredondamento&lt;&gt;"TransfereGOV",
              ROUND(OFFSET($P334,0,AJ$13),15-13*ORÇAMENTO!$AF$7)/$H334*OFFSET(ORÇAMENTO!$X$15,ROW(AJ334)-ROW(AJ$15),0),
              ROUND(ROUND(OFFSET($P334,0,AJ$13),15-13*ORÇAMENTO!$AF$7)*OFFSET(ORÇAMENTO!$W$15,ROW(AJ334)-ROW(AJ$15),0),15-13*ORÇAMENTO!$AF$11)),
         0)</f>
        <v>0</v>
      </c>
      <c r="AK334" s="454">
        <f ca="1">IF(AND($D334="Serviço",AK$12&lt;&gt;0,$H334&gt;0,OR(AUTOEVENTO&lt;&gt;"manual",$M334&lt;&gt;$A$15)),
        IF(Import.TipoArredondamento&lt;&gt;"TransfereGOV",
              ROUND(OFFSET($P334,0,AK$13),15-13*ORÇAMENTO!$AF$7)/$H334*OFFSET(ORÇAMENTO!$X$15,ROW(AK334)-ROW(AK$15),0),
              ROUND(ROUND(OFFSET($P334,0,AK$13),15-13*ORÇAMENTO!$AF$7)*OFFSET(ORÇAMENTO!$W$15,ROW(AK334)-ROW(AK$15),0),15-13*ORÇAMENTO!$AF$11)),
         0)</f>
        <v>0</v>
      </c>
      <c r="AM334" s="172">
        <f ca="1">IF(OR($D334&lt;&gt;"Serviço",AND(AUTOEVENTO="Manual",$M334=$A$15)),0,
         IF(OFFSET(CRONOPLE!$F$15,$M334-$A$15,AM$13)="",10^12,OFFSET(CRONOPLE!$F$15,$M334-$A$15,AM$13)))</f>
        <v>1000000000000</v>
      </c>
      <c r="AN334" s="172">
        <f ca="1">IF(OR($D334&lt;&gt;"Serviço",AND(AUTOEVENTO="Manual",$M334=$A$15)),0,
         IF(OFFSET(CRONOPLE!$F$15,$M334-$A$15,AN$13)="",10^12,OFFSET(CRONOPLE!$F$15,$M334-$A$15,AN$13)))</f>
        <v>1000000000000</v>
      </c>
      <c r="AO334" s="172">
        <f ca="1">IF(OR($D334&lt;&gt;"Serviço",AND(AUTOEVENTO="Manual",$M334=$A$15)),0,
         IF(OFFSET(CRONOPLE!$F$15,$M334-$A$15,AO$13)="",10^12,OFFSET(CRONOPLE!$F$15,$M334-$A$15,AO$13)))</f>
        <v>1000000000000</v>
      </c>
      <c r="AP334" s="172">
        <f ca="1">IF(OR($D334&lt;&gt;"Serviço",AND(AUTOEVENTO="Manual",$M334=$A$15)),0,
         IF(OFFSET(CRONOPLE!$F$15,$M334-$A$15,AP$13)="",10^12,OFFSET(CRONOPLE!$F$15,$M334-$A$15,AP$13)))</f>
        <v>1000000000000</v>
      </c>
      <c r="AQ334" s="172">
        <f ca="1">IF(OR($D334&lt;&gt;"Serviço",AND(AUTOEVENTO="Manual",$M334=$A$15)),0,
         IF(OFFSET(CRONOPLE!$F$15,$M334-$A$15,AQ$13)="",10^12,OFFSET(CRONOPLE!$F$15,$M334-$A$15,AQ$13)))</f>
        <v>1000000000000</v>
      </c>
      <c r="AR334" s="172">
        <f ca="1">IF(OR($D334&lt;&gt;"Serviço",AND(AUTOEVENTO="Manual",$M334=$A$15)),0,
         IF(OFFSET(CRONOPLE!$F$15,$M334-$A$15,AR$13)="",10^12,OFFSET(CRONOPLE!$F$15,$M334-$A$15,AR$13)))</f>
        <v>1000000000000</v>
      </c>
      <c r="AS334" s="172">
        <f ca="1">IF(OR($D334&lt;&gt;"Serviço",AND(AUTOEVENTO="Manual",$M334=$A$15)),0,
         IF(OFFSET(CRONOPLE!$F$15,$M334-$A$15,AS$13)="",10^12,OFFSET(CRONOPLE!$F$15,$M334-$A$15,AS$13)))</f>
        <v>1000000000000</v>
      </c>
      <c r="AT334" s="172">
        <f ca="1">IF(OR($D334&lt;&gt;"Serviço",AND(AUTOEVENTO="Manual",$M334=$A$15)),0,
         IF(OFFSET(CRONOPLE!$F$15,$M334-$A$15,AT$13)="",10^12,OFFSET(CRONOPLE!$F$15,$M334-$A$15,AT$13)))</f>
        <v>1000000000000</v>
      </c>
      <c r="AU334" s="172">
        <f ca="1">IF(OR($D334&lt;&gt;"Serviço",AND(AUTOEVENTO="Manual",$M334=$A$15)),0,
         IF(OFFSET(CRONOPLE!$F$15,$M334-$A$15,AU$13)="",10^12,OFFSET(CRONOPLE!$F$15,$M334-$A$15,AU$13)))</f>
        <v>1000000000000</v>
      </c>
      <c r="AV334" s="172">
        <f ca="1">IF(OR($D334&lt;&gt;"Serviço",AND(AUTOEVENTO="Manual",$M334=$A$15)),0,
         IF(OFFSET(CRONOPLE!$F$15,$M334-$A$15,AV$13)="",10^12,OFFSET(CRONOPLE!$F$15,$M334-$A$15,AV$13)))</f>
        <v>1000000000000</v>
      </c>
      <c r="AX334" s="173">
        <f ca="1">IF(OR($D334&lt;&gt;"Serviço",AND(AUTOEVENTO="Manual",$M334=$A$15),$M334&gt;(ROW(PLE.lastrow)-ROW(PLE.firstrow))),0,
           IF(OFFSET(PLE!$G$15,$M334-$A$15,AX$13)="",10^12,OFFSET(PLE!$G$15,$M334-$A$15,AX$13)))</f>
        <v>1000000000000</v>
      </c>
      <c r="AY334" s="173">
        <f ca="1">IF(OR($D334&lt;&gt;"Serviço",AND(AUTOEVENTO="Manual",$M334=$A$15),$M334&gt;(ROW(PLE.lastrow)-ROW(PLE.firstrow))),0,
           IF(OFFSET(PLE!$G$15,$M334-$A$15,AY$13)="",10^12,OFFSET(PLE!$G$15,$M334-$A$15,AY$13)))</f>
        <v>1000000000000</v>
      </c>
      <c r="AZ334" s="173">
        <f ca="1">IF(OR($D334&lt;&gt;"Serviço",AND(AUTOEVENTO="Manual",$M334=$A$15),$M334&gt;(ROW(PLE.lastrow)-ROW(PLE.firstrow))),0,
           IF(OFFSET(PLE!$G$15,$M334-$A$15,AZ$13)="",10^12,OFFSET(PLE!$G$15,$M334-$A$15,AZ$13)))</f>
        <v>1000000000000</v>
      </c>
      <c r="BA334" s="173">
        <f ca="1">IF(OR($D334&lt;&gt;"Serviço",AND(AUTOEVENTO="Manual",$M334=$A$15),$M334&gt;(ROW(PLE.lastrow)-ROW(PLE.firstrow))),0,
           IF(OFFSET(PLE!$G$15,$M334-$A$15,BA$13)="",10^12,OFFSET(PLE!$G$15,$M334-$A$15,BA$13)))</f>
        <v>1000000000000</v>
      </c>
      <c r="BB334" s="173">
        <f ca="1">IF(OR($D334&lt;&gt;"Serviço",AND(AUTOEVENTO="Manual",$M334=$A$15),$M334&gt;(ROW(PLE.lastrow)-ROW(PLE.firstrow))),0,
           IF(OFFSET(PLE!$G$15,$M334-$A$15,BB$13)="",10^12,OFFSET(PLE!$G$15,$M334-$A$15,BB$13)))</f>
        <v>1000000000000</v>
      </c>
      <c r="BC334" s="173">
        <f ca="1">IF(OR($D334&lt;&gt;"Serviço",AND(AUTOEVENTO="Manual",$M334=$A$15),$M334&gt;(ROW(PLE.lastrow)-ROW(PLE.firstrow))),0,
           IF(OFFSET(PLE!$G$15,$M334-$A$15,BC$13)="",10^12,OFFSET(PLE!$G$15,$M334-$A$15,BC$13)))</f>
        <v>1000000000000</v>
      </c>
      <c r="BD334" s="173">
        <f ca="1">IF(OR($D334&lt;&gt;"Serviço",AND(AUTOEVENTO="Manual",$M334=$A$15),$M334&gt;(ROW(PLE.lastrow)-ROW(PLE.firstrow))),0,
           IF(OFFSET(PLE!$G$15,$M334-$A$15,BD$13)="",10^12,OFFSET(PLE!$G$15,$M334-$A$15,BD$13)))</f>
        <v>1000000000000</v>
      </c>
      <c r="BE334" s="173">
        <f ca="1">IF(OR($D334&lt;&gt;"Serviço",AND(AUTOEVENTO="Manual",$M334=$A$15),$M334&gt;(ROW(PLE.lastrow)-ROW(PLE.firstrow))),0,
           IF(OFFSET(PLE!$G$15,$M334-$A$15,BE$13)="",10^12,OFFSET(PLE!$G$15,$M334-$A$15,BE$13)))</f>
        <v>1000000000000</v>
      </c>
      <c r="BF334" s="173">
        <f ca="1">IF(OR($D334&lt;&gt;"Serviço",AND(AUTOEVENTO="Manual",$M334=$A$15),$M334&gt;(ROW(PLE.lastrow)-ROW(PLE.firstrow))),0,
           IF(OFFSET(PLE!$G$15,$M334-$A$15,BF$13)="",10^12,OFFSET(PLE!$G$15,$M334-$A$15,BF$13)))</f>
        <v>1000000000000</v>
      </c>
      <c r="BG334" s="173">
        <f ca="1">IF(OR($D334&lt;&gt;"Serviço",AND(AUTOEVENTO="Manual",$M334=$A$15),$M334&gt;(ROW(PLE.lastrow)-ROW(PLE.firstrow))),0,
           IF(OFFSET(PLE!$G$15,$M334-$A$15,BG$13)="",10^12,OFFSET(PLE!$G$15,$M334-$A$15,BG$13)))</f>
        <v>1000000000000</v>
      </c>
    </row>
    <row r="335" spans="1:59" ht="38.25" x14ac:dyDescent="0.2">
      <c r="A335" s="7" t="str">
        <f t="shared" ca="1" si="12"/>
        <v>310</v>
      </c>
      <c r="B335" s="7" t="str">
        <f ca="1">OFFSET(ORÇAMENTO!C$15,ROW(B335)-ROW(B$15),0)</f>
        <v>S</v>
      </c>
      <c r="C335" s="7" t="str">
        <f ca="1">OFFSET(ORÇAMENTO!L$15,ROW(C335)-ROW(C$15),0)</f>
        <v/>
      </c>
      <c r="D335" s="117" t="str">
        <f ca="1">OFFSET(ORÇAMENTO!N$15,ROW(D335)-ROW(D$15),0)</f>
        <v>Serviço</v>
      </c>
      <c r="E335" s="118" t="str">
        <f ca="1">OFFSET(ORÇAMENTO!O$15,ROW(E335)-ROW(E$15),0)</f>
        <v>-</v>
      </c>
      <c r="F335" s="164" t="str">
        <f ca="1">OFFSET(ORÇAMENTO!R$15,ROW(F335)-ROW(F$15),0)</f>
        <v>PORTA EM ALUMÍNIO DE ABRIR TIPO VENEZIANA COM GUARNIÇÃO, FIXAÇÃO COM PARAFUSOS - FORNECIMENTO E INSTALAÇÃO. AF_12/2019</v>
      </c>
      <c r="G335" s="165" t="str">
        <f ca="1">IF($D335&lt;&gt;"Serviço","",OFFSET(ORÇAMENTO!S$15,ROW(G335)-ROW(G$15),0))</f>
        <v>M2</v>
      </c>
      <c r="H335" s="123">
        <f ca="1">IF($D335&lt;&gt;"Serviço",0,IF(ACOMPANHAMENTO="BM",ROUND(OFFSET(ORÇAMENTO!AJ$15,ROW(H335)-ROW(H$15),0),15-13*ORÇAMENTO!$AF$7),SUMPRODUCT(($Q$1:$AA$1=1)*ROUND($Q335:$AA335,15-13*ORÇAMENTO!$AF$7))))</f>
        <v>2.72</v>
      </c>
      <c r="I335" s="469"/>
      <c r="J335" s="577" t="str" cm="1">
        <f t="array" aca="1" ref="J335" ca="1">IF(B335&lt;&gt;"S","",IF(AND(ACOMPANHAMENTO="PLE",AUTOEVENTO="Manual",OR(H335&gt;0,ORÇAMENTO!AC335="QUANT."),OR(K335="",M335=0,N335="")),"►",IF(AND(ACOMPANHAMENTO="PLE",ORÇAMENTO!AC335="QUANT."),"►►",IF(AND(COUNTIF($P$11:$AA$11,"▼")=0,H335&gt;0,I335=""),"◄",""))))</f>
        <v>◄</v>
      </c>
      <c r="K335" s="626"/>
      <c r="L335" s="166" t="s">
        <v>765</v>
      </c>
      <c r="M335" s="167">
        <f ca="1">IF($D335&lt;&gt;"Serviço","",
          IF(AUTOEVENTO="manual",$A335,
                IF(ISERROR(MATCH($A335,$A$15:OFFSET($A335,-1,0),0)),MAX($M$15:OFFSET(M335,-1,0))+1,
                      INDEX($M$15:OFFSET(M335,-1,0),MATCH($A335,$A$15:OFFSET($A335,-1,0),0)))))</f>
        <v>17</v>
      </c>
      <c r="N335" s="168" t="str">
        <f ca="1">IF($D335&lt;&gt;"Serviço","",
         IF(AUTOEVENTO="Manual",
                IF($A335=0,"&lt;-- defina o número do agrupador",
                       OFFSET(EVENTOS!$D$15,$A335-$A$15,0)),
                OFFSET($F$15,$A335,0)))</f>
        <v>CENTRAL DE GLP, ABRIGO DE LIXO E SOLÁRIOS</v>
      </c>
      <c r="O335" s="169"/>
      <c r="Q335" s="169"/>
      <c r="R335" s="170"/>
      <c r="S335" s="170"/>
      <c r="T335" s="170"/>
      <c r="U335" s="170"/>
      <c r="V335" s="170"/>
      <c r="W335" s="170"/>
      <c r="X335" s="170"/>
      <c r="Y335" s="170"/>
      <c r="Z335" s="171"/>
      <c r="AB335" s="454">
        <f ca="1">IF(AND($D335="Serviço",AB$12&lt;&gt;0,$H335&gt;0,OR(AUTOEVENTO&lt;&gt;"manual",$M335&lt;&gt;$A$15)),
        IF(Import.TipoArredondamento&lt;&gt;"TransfereGOV",
              ROUND(OFFSET($P335,0,AB$13),15-13*ORÇAMENTO!$AF$7)/$H335*OFFSET(ORÇAMENTO!$X$15,ROW(AB335)-ROW(AB$15),0),
              ROUND(ROUND(OFFSET($P335,0,AB$13),15-13*ORÇAMENTO!$AF$7)*OFFSET(ORÇAMENTO!$W$15,ROW(AB335)-ROW(AB$15),0),15-13*ORÇAMENTO!$AF$11)),
         0)</f>
        <v>0</v>
      </c>
      <c r="AC335" s="454">
        <f ca="1">IF(AND($D335="Serviço",AC$12&lt;&gt;0,$H335&gt;0,OR(AUTOEVENTO&lt;&gt;"manual",$M335&lt;&gt;$A$15)),
        IF(Import.TipoArredondamento&lt;&gt;"TransfereGOV",
              ROUND(OFFSET($P335,0,AC$13),15-13*ORÇAMENTO!$AF$7)/$H335*OFFSET(ORÇAMENTO!$X$15,ROW(AC335)-ROW(AC$15),0),
              ROUND(ROUND(OFFSET($P335,0,AC$13),15-13*ORÇAMENTO!$AF$7)*OFFSET(ORÇAMENTO!$W$15,ROW(AC335)-ROW(AC$15),0),15-13*ORÇAMENTO!$AF$11)),
         0)</f>
        <v>0</v>
      </c>
      <c r="AD335" s="454">
        <f ca="1">IF(AND($D335="Serviço",AD$12&lt;&gt;0,$H335&gt;0,OR(AUTOEVENTO&lt;&gt;"manual",$M335&lt;&gt;$A$15)),
        IF(Import.TipoArredondamento&lt;&gt;"TransfereGOV",
              ROUND(OFFSET($P335,0,AD$13),15-13*ORÇAMENTO!$AF$7)/$H335*OFFSET(ORÇAMENTO!$X$15,ROW(AD335)-ROW(AD$15),0),
              ROUND(ROUND(OFFSET($P335,0,AD$13),15-13*ORÇAMENTO!$AF$7)*OFFSET(ORÇAMENTO!$W$15,ROW(AD335)-ROW(AD$15),0),15-13*ORÇAMENTO!$AF$11)),
         0)</f>
        <v>0</v>
      </c>
      <c r="AE335" s="454">
        <f ca="1">IF(AND($D335="Serviço",AE$12&lt;&gt;0,$H335&gt;0,OR(AUTOEVENTO&lt;&gt;"manual",$M335&lt;&gt;$A$15)),
        IF(Import.TipoArredondamento&lt;&gt;"TransfereGOV",
              ROUND(OFFSET($P335,0,AE$13),15-13*ORÇAMENTO!$AF$7)/$H335*OFFSET(ORÇAMENTO!$X$15,ROW(AE335)-ROW(AE$15),0),
              ROUND(ROUND(OFFSET($P335,0,AE$13),15-13*ORÇAMENTO!$AF$7)*OFFSET(ORÇAMENTO!$W$15,ROW(AE335)-ROW(AE$15),0),15-13*ORÇAMENTO!$AF$11)),
         0)</f>
        <v>0</v>
      </c>
      <c r="AF335" s="454">
        <f ca="1">IF(AND($D335="Serviço",AF$12&lt;&gt;0,$H335&gt;0,OR(AUTOEVENTO&lt;&gt;"manual",$M335&lt;&gt;$A$15)),
        IF(Import.TipoArredondamento&lt;&gt;"TransfereGOV",
              ROUND(OFFSET($P335,0,AF$13),15-13*ORÇAMENTO!$AF$7)/$H335*OFFSET(ORÇAMENTO!$X$15,ROW(AF335)-ROW(AF$15),0),
              ROUND(ROUND(OFFSET($P335,0,AF$13),15-13*ORÇAMENTO!$AF$7)*OFFSET(ORÇAMENTO!$W$15,ROW(AF335)-ROW(AF$15),0),15-13*ORÇAMENTO!$AF$11)),
         0)</f>
        <v>0</v>
      </c>
      <c r="AG335" s="454">
        <f ca="1">IF(AND($D335="Serviço",AG$12&lt;&gt;0,$H335&gt;0,OR(AUTOEVENTO&lt;&gt;"manual",$M335&lt;&gt;$A$15)),
        IF(Import.TipoArredondamento&lt;&gt;"TransfereGOV",
              ROUND(OFFSET($P335,0,AG$13),15-13*ORÇAMENTO!$AF$7)/$H335*OFFSET(ORÇAMENTO!$X$15,ROW(AG335)-ROW(AG$15),0),
              ROUND(ROUND(OFFSET($P335,0,AG$13),15-13*ORÇAMENTO!$AF$7)*OFFSET(ORÇAMENTO!$W$15,ROW(AG335)-ROW(AG$15),0),15-13*ORÇAMENTO!$AF$11)),
         0)</f>
        <v>0</v>
      </c>
      <c r="AH335" s="454">
        <f ca="1">IF(AND($D335="Serviço",AH$12&lt;&gt;0,$H335&gt;0,OR(AUTOEVENTO&lt;&gt;"manual",$M335&lt;&gt;$A$15)),
        IF(Import.TipoArredondamento&lt;&gt;"TransfereGOV",
              ROUND(OFFSET($P335,0,AH$13),15-13*ORÇAMENTO!$AF$7)/$H335*OFFSET(ORÇAMENTO!$X$15,ROW(AH335)-ROW(AH$15),0),
              ROUND(ROUND(OFFSET($P335,0,AH$13),15-13*ORÇAMENTO!$AF$7)*OFFSET(ORÇAMENTO!$W$15,ROW(AH335)-ROW(AH$15),0),15-13*ORÇAMENTO!$AF$11)),
         0)</f>
        <v>0</v>
      </c>
      <c r="AI335" s="454">
        <f ca="1">IF(AND($D335="Serviço",AI$12&lt;&gt;0,$H335&gt;0,OR(AUTOEVENTO&lt;&gt;"manual",$M335&lt;&gt;$A$15)),
        IF(Import.TipoArredondamento&lt;&gt;"TransfereGOV",
              ROUND(OFFSET($P335,0,AI$13),15-13*ORÇAMENTO!$AF$7)/$H335*OFFSET(ORÇAMENTO!$X$15,ROW(AI335)-ROW(AI$15),0),
              ROUND(ROUND(OFFSET($P335,0,AI$13),15-13*ORÇAMENTO!$AF$7)*OFFSET(ORÇAMENTO!$W$15,ROW(AI335)-ROW(AI$15),0),15-13*ORÇAMENTO!$AF$11)),
         0)</f>
        <v>0</v>
      </c>
      <c r="AJ335" s="454">
        <f ca="1">IF(AND($D335="Serviço",AJ$12&lt;&gt;0,$H335&gt;0,OR(AUTOEVENTO&lt;&gt;"manual",$M335&lt;&gt;$A$15)),
        IF(Import.TipoArredondamento&lt;&gt;"TransfereGOV",
              ROUND(OFFSET($P335,0,AJ$13),15-13*ORÇAMENTO!$AF$7)/$H335*OFFSET(ORÇAMENTO!$X$15,ROW(AJ335)-ROW(AJ$15),0),
              ROUND(ROUND(OFFSET($P335,0,AJ$13),15-13*ORÇAMENTO!$AF$7)*OFFSET(ORÇAMENTO!$W$15,ROW(AJ335)-ROW(AJ$15),0),15-13*ORÇAMENTO!$AF$11)),
         0)</f>
        <v>0</v>
      </c>
      <c r="AK335" s="454">
        <f ca="1">IF(AND($D335="Serviço",AK$12&lt;&gt;0,$H335&gt;0,OR(AUTOEVENTO&lt;&gt;"manual",$M335&lt;&gt;$A$15)),
        IF(Import.TipoArredondamento&lt;&gt;"TransfereGOV",
              ROUND(OFFSET($P335,0,AK$13),15-13*ORÇAMENTO!$AF$7)/$H335*OFFSET(ORÇAMENTO!$X$15,ROW(AK335)-ROW(AK$15),0),
              ROUND(ROUND(OFFSET($P335,0,AK$13),15-13*ORÇAMENTO!$AF$7)*OFFSET(ORÇAMENTO!$W$15,ROW(AK335)-ROW(AK$15),0),15-13*ORÇAMENTO!$AF$11)),
         0)</f>
        <v>0</v>
      </c>
      <c r="AM335" s="172">
        <f ca="1">IF(OR($D335&lt;&gt;"Serviço",AND(AUTOEVENTO="Manual",$M335=$A$15)),0,
         IF(OFFSET(CRONOPLE!$F$15,$M335-$A$15,AM$13)="",10^12,OFFSET(CRONOPLE!$F$15,$M335-$A$15,AM$13)))</f>
        <v>1000000000000</v>
      </c>
      <c r="AN335" s="172">
        <f ca="1">IF(OR($D335&lt;&gt;"Serviço",AND(AUTOEVENTO="Manual",$M335=$A$15)),0,
         IF(OFFSET(CRONOPLE!$F$15,$M335-$A$15,AN$13)="",10^12,OFFSET(CRONOPLE!$F$15,$M335-$A$15,AN$13)))</f>
        <v>1000000000000</v>
      </c>
      <c r="AO335" s="172">
        <f ca="1">IF(OR($D335&lt;&gt;"Serviço",AND(AUTOEVENTO="Manual",$M335=$A$15)),0,
         IF(OFFSET(CRONOPLE!$F$15,$M335-$A$15,AO$13)="",10^12,OFFSET(CRONOPLE!$F$15,$M335-$A$15,AO$13)))</f>
        <v>1000000000000</v>
      </c>
      <c r="AP335" s="172">
        <f ca="1">IF(OR($D335&lt;&gt;"Serviço",AND(AUTOEVENTO="Manual",$M335=$A$15)),0,
         IF(OFFSET(CRONOPLE!$F$15,$M335-$A$15,AP$13)="",10^12,OFFSET(CRONOPLE!$F$15,$M335-$A$15,AP$13)))</f>
        <v>1000000000000</v>
      </c>
      <c r="AQ335" s="172">
        <f ca="1">IF(OR($D335&lt;&gt;"Serviço",AND(AUTOEVENTO="Manual",$M335=$A$15)),0,
         IF(OFFSET(CRONOPLE!$F$15,$M335-$A$15,AQ$13)="",10^12,OFFSET(CRONOPLE!$F$15,$M335-$A$15,AQ$13)))</f>
        <v>1000000000000</v>
      </c>
      <c r="AR335" s="172">
        <f ca="1">IF(OR($D335&lt;&gt;"Serviço",AND(AUTOEVENTO="Manual",$M335=$A$15)),0,
         IF(OFFSET(CRONOPLE!$F$15,$M335-$A$15,AR$13)="",10^12,OFFSET(CRONOPLE!$F$15,$M335-$A$15,AR$13)))</f>
        <v>1000000000000</v>
      </c>
      <c r="AS335" s="172">
        <f ca="1">IF(OR($D335&lt;&gt;"Serviço",AND(AUTOEVENTO="Manual",$M335=$A$15)),0,
         IF(OFFSET(CRONOPLE!$F$15,$M335-$A$15,AS$13)="",10^12,OFFSET(CRONOPLE!$F$15,$M335-$A$15,AS$13)))</f>
        <v>1000000000000</v>
      </c>
      <c r="AT335" s="172">
        <f ca="1">IF(OR($D335&lt;&gt;"Serviço",AND(AUTOEVENTO="Manual",$M335=$A$15)),0,
         IF(OFFSET(CRONOPLE!$F$15,$M335-$A$15,AT$13)="",10^12,OFFSET(CRONOPLE!$F$15,$M335-$A$15,AT$13)))</f>
        <v>1000000000000</v>
      </c>
      <c r="AU335" s="172">
        <f ca="1">IF(OR($D335&lt;&gt;"Serviço",AND(AUTOEVENTO="Manual",$M335=$A$15)),0,
         IF(OFFSET(CRONOPLE!$F$15,$M335-$A$15,AU$13)="",10^12,OFFSET(CRONOPLE!$F$15,$M335-$A$15,AU$13)))</f>
        <v>1000000000000</v>
      </c>
      <c r="AV335" s="172">
        <f ca="1">IF(OR($D335&lt;&gt;"Serviço",AND(AUTOEVENTO="Manual",$M335=$A$15)),0,
         IF(OFFSET(CRONOPLE!$F$15,$M335-$A$15,AV$13)="",10^12,OFFSET(CRONOPLE!$F$15,$M335-$A$15,AV$13)))</f>
        <v>1000000000000</v>
      </c>
      <c r="AX335" s="173">
        <f ca="1">IF(OR($D335&lt;&gt;"Serviço",AND(AUTOEVENTO="Manual",$M335=$A$15),$M335&gt;(ROW(PLE.lastrow)-ROW(PLE.firstrow))),0,
           IF(OFFSET(PLE!$G$15,$M335-$A$15,AX$13)="",10^12,OFFSET(PLE!$G$15,$M335-$A$15,AX$13)))</f>
        <v>1000000000000</v>
      </c>
      <c r="AY335" s="173">
        <f ca="1">IF(OR($D335&lt;&gt;"Serviço",AND(AUTOEVENTO="Manual",$M335=$A$15),$M335&gt;(ROW(PLE.lastrow)-ROW(PLE.firstrow))),0,
           IF(OFFSET(PLE!$G$15,$M335-$A$15,AY$13)="",10^12,OFFSET(PLE!$G$15,$M335-$A$15,AY$13)))</f>
        <v>1000000000000</v>
      </c>
      <c r="AZ335" s="173">
        <f ca="1">IF(OR($D335&lt;&gt;"Serviço",AND(AUTOEVENTO="Manual",$M335=$A$15),$M335&gt;(ROW(PLE.lastrow)-ROW(PLE.firstrow))),0,
           IF(OFFSET(PLE!$G$15,$M335-$A$15,AZ$13)="",10^12,OFFSET(PLE!$G$15,$M335-$A$15,AZ$13)))</f>
        <v>1000000000000</v>
      </c>
      <c r="BA335" s="173">
        <f ca="1">IF(OR($D335&lt;&gt;"Serviço",AND(AUTOEVENTO="Manual",$M335=$A$15),$M335&gt;(ROW(PLE.lastrow)-ROW(PLE.firstrow))),0,
           IF(OFFSET(PLE!$G$15,$M335-$A$15,BA$13)="",10^12,OFFSET(PLE!$G$15,$M335-$A$15,BA$13)))</f>
        <v>1000000000000</v>
      </c>
      <c r="BB335" s="173">
        <f ca="1">IF(OR($D335&lt;&gt;"Serviço",AND(AUTOEVENTO="Manual",$M335=$A$15),$M335&gt;(ROW(PLE.lastrow)-ROW(PLE.firstrow))),0,
           IF(OFFSET(PLE!$G$15,$M335-$A$15,BB$13)="",10^12,OFFSET(PLE!$G$15,$M335-$A$15,BB$13)))</f>
        <v>1000000000000</v>
      </c>
      <c r="BC335" s="173">
        <f ca="1">IF(OR($D335&lt;&gt;"Serviço",AND(AUTOEVENTO="Manual",$M335=$A$15),$M335&gt;(ROW(PLE.lastrow)-ROW(PLE.firstrow))),0,
           IF(OFFSET(PLE!$G$15,$M335-$A$15,BC$13)="",10^12,OFFSET(PLE!$G$15,$M335-$A$15,BC$13)))</f>
        <v>1000000000000</v>
      </c>
      <c r="BD335" s="173">
        <f ca="1">IF(OR($D335&lt;&gt;"Serviço",AND(AUTOEVENTO="Manual",$M335=$A$15),$M335&gt;(ROW(PLE.lastrow)-ROW(PLE.firstrow))),0,
           IF(OFFSET(PLE!$G$15,$M335-$A$15,BD$13)="",10^12,OFFSET(PLE!$G$15,$M335-$A$15,BD$13)))</f>
        <v>1000000000000</v>
      </c>
      <c r="BE335" s="173">
        <f ca="1">IF(OR($D335&lt;&gt;"Serviço",AND(AUTOEVENTO="Manual",$M335=$A$15),$M335&gt;(ROW(PLE.lastrow)-ROW(PLE.firstrow))),0,
           IF(OFFSET(PLE!$G$15,$M335-$A$15,BE$13)="",10^12,OFFSET(PLE!$G$15,$M335-$A$15,BE$13)))</f>
        <v>1000000000000</v>
      </c>
      <c r="BF335" s="173">
        <f ca="1">IF(OR($D335&lt;&gt;"Serviço",AND(AUTOEVENTO="Manual",$M335=$A$15),$M335&gt;(ROW(PLE.lastrow)-ROW(PLE.firstrow))),0,
           IF(OFFSET(PLE!$G$15,$M335-$A$15,BF$13)="",10^12,OFFSET(PLE!$G$15,$M335-$A$15,BF$13)))</f>
        <v>1000000000000</v>
      </c>
      <c r="BG335" s="173">
        <f ca="1">IF(OR($D335&lt;&gt;"Serviço",AND(AUTOEVENTO="Manual",$M335=$A$15),$M335&gt;(ROW(PLE.lastrow)-ROW(PLE.firstrow))),0,
           IF(OFFSET(PLE!$G$15,$M335-$A$15,BG$13)="",10^12,OFFSET(PLE!$G$15,$M335-$A$15,BG$13)))</f>
        <v>1000000000000</v>
      </c>
    </row>
    <row r="336" spans="1:59" ht="38.25" x14ac:dyDescent="0.2">
      <c r="A336" s="7" t="str">
        <f t="shared" ref="A336:A404" ca="1" si="13">IF(AUTOEVENTO="Manual",IF(K336&lt;&gt;"",MIN(VALUE(LEFT(K336,FIND(".",K336)-1)),COUNTA(EVENTOS.Lista)),0),IF(OR($B336&gt;AUTOEVENTO,$B336="S",$B336=0),SUBSTITUTE(OFFSET($A336,-1,0),IF($D336="Serviço",".",""),""),ROW(A336)-ROW($A$15)&amp;"."))</f>
        <v>310</v>
      </c>
      <c r="B336" s="7" t="str">
        <f ca="1">OFFSET(ORÇAMENTO!C$15,ROW(B336)-ROW(B$15),0)</f>
        <v>S</v>
      </c>
      <c r="C336" s="7" t="str">
        <f ca="1">OFFSET(ORÇAMENTO!L$15,ROW(C336)-ROW(C$15),0)</f>
        <v/>
      </c>
      <c r="D336" s="117" t="str">
        <f ca="1">OFFSET(ORÇAMENTO!N$15,ROW(D336)-ROW(D$15),0)</f>
        <v>Serviço</v>
      </c>
      <c r="E336" s="118" t="str">
        <f ca="1">OFFSET(ORÇAMENTO!O$15,ROW(E336)-ROW(E$15),0)</f>
        <v>-</v>
      </c>
      <c r="F336" s="164" t="str">
        <f ca="1">OFFSET(ORÇAMENTO!R$15,ROW(F336)-ROW(F$15),0)</f>
        <v xml:space="preserve">PORTAO DE ABRIR / GIRO, EM GRADIL DE METALON REDONDO DE 3/4" VERTICAL, COM REQUADRO, ACABAMENTO NATURAL - COMPLETO                                                                                                                                        </v>
      </c>
      <c r="G336" s="165" t="str">
        <f ca="1">IF($D336&lt;&gt;"Serviço","",OFFSET(ORÇAMENTO!S$15,ROW(G336)-ROW(G$15),0))</f>
        <v xml:space="preserve">M2    </v>
      </c>
      <c r="H336" s="123">
        <f ca="1">IF($D336&lt;&gt;"Serviço",0,IF(ACOMPANHAMENTO="BM",ROUND(OFFSET(ORÇAMENTO!AJ$15,ROW(H336)-ROW(H$15),0),15-13*ORÇAMENTO!$AF$7),SUMPRODUCT(($Q$1:$AA$1=1)*ROUND($Q336:$AA336,15-13*ORÇAMENTO!$AF$7))))</f>
        <v>2.0699999999999998</v>
      </c>
      <c r="I336" s="469"/>
      <c r="J336" s="577" t="str" cm="1">
        <f t="array" aca="1" ref="J336" ca="1">IF(B336&lt;&gt;"S","",IF(AND(ACOMPANHAMENTO="PLE",AUTOEVENTO="Manual",OR(H336&gt;0,ORÇAMENTO!AC336="QUANT."),OR(K336="",M336=0,N336="")),"►",IF(AND(ACOMPANHAMENTO="PLE",ORÇAMENTO!AC336="QUANT."),"►►",IF(AND(COUNTIF($P$11:$AA$11,"▼")=0,H336&gt;0,I336=""),"◄",""))))</f>
        <v>◄</v>
      </c>
      <c r="K336" s="626"/>
      <c r="L336" s="166" t="s">
        <v>765</v>
      </c>
      <c r="M336" s="167">
        <f ca="1">IF($D336&lt;&gt;"Serviço","",
          IF(AUTOEVENTO="manual",$A336,
                IF(ISERROR(MATCH($A336,$A$15:OFFSET($A336,-1,0),0)),MAX($M$15:OFFSET(M336,-1,0))+1,
                      INDEX($M$15:OFFSET(M336,-1,0),MATCH($A336,$A$15:OFFSET($A336,-1,0),0)))))</f>
        <v>17</v>
      </c>
      <c r="N336" s="168" t="str">
        <f ca="1">IF($D336&lt;&gt;"Serviço","",
         IF(AUTOEVENTO="Manual",
                IF($A336=0,"&lt;-- defina o número do agrupador",
                       OFFSET(EVENTOS!$D$15,$A336-$A$15,0)),
                OFFSET($F$15,$A336,0)))</f>
        <v>CENTRAL DE GLP, ABRIGO DE LIXO E SOLÁRIOS</v>
      </c>
      <c r="O336" s="169"/>
      <c r="Q336" s="169"/>
      <c r="R336" s="170"/>
      <c r="S336" s="170"/>
      <c r="T336" s="170"/>
      <c r="U336" s="170"/>
      <c r="V336" s="170"/>
      <c r="W336" s="170"/>
      <c r="X336" s="170"/>
      <c r="Y336" s="170"/>
      <c r="Z336" s="171"/>
      <c r="AB336" s="454">
        <f ca="1">IF(AND($D336="Serviço",AB$12&lt;&gt;0,$H336&gt;0,OR(AUTOEVENTO&lt;&gt;"manual",$M336&lt;&gt;$A$15)),
        IF(Import.TipoArredondamento&lt;&gt;"TransfereGOV",
              ROUND(OFFSET($P336,0,AB$13),15-13*ORÇAMENTO!$AF$7)/$H336*OFFSET(ORÇAMENTO!$X$15,ROW(AB336)-ROW(AB$15),0),
              ROUND(ROUND(OFFSET($P336,0,AB$13),15-13*ORÇAMENTO!$AF$7)*OFFSET(ORÇAMENTO!$W$15,ROW(AB336)-ROW(AB$15),0),15-13*ORÇAMENTO!$AF$11)),
         0)</f>
        <v>0</v>
      </c>
      <c r="AC336" s="454">
        <f ca="1">IF(AND($D336="Serviço",AC$12&lt;&gt;0,$H336&gt;0,OR(AUTOEVENTO&lt;&gt;"manual",$M336&lt;&gt;$A$15)),
        IF(Import.TipoArredondamento&lt;&gt;"TransfereGOV",
              ROUND(OFFSET($P336,0,AC$13),15-13*ORÇAMENTO!$AF$7)/$H336*OFFSET(ORÇAMENTO!$X$15,ROW(AC336)-ROW(AC$15),0),
              ROUND(ROUND(OFFSET($P336,0,AC$13),15-13*ORÇAMENTO!$AF$7)*OFFSET(ORÇAMENTO!$W$15,ROW(AC336)-ROW(AC$15),0),15-13*ORÇAMENTO!$AF$11)),
         0)</f>
        <v>0</v>
      </c>
      <c r="AD336" s="454">
        <f ca="1">IF(AND($D336="Serviço",AD$12&lt;&gt;0,$H336&gt;0,OR(AUTOEVENTO&lt;&gt;"manual",$M336&lt;&gt;$A$15)),
        IF(Import.TipoArredondamento&lt;&gt;"TransfereGOV",
              ROUND(OFFSET($P336,0,AD$13),15-13*ORÇAMENTO!$AF$7)/$H336*OFFSET(ORÇAMENTO!$X$15,ROW(AD336)-ROW(AD$15),0),
              ROUND(ROUND(OFFSET($P336,0,AD$13),15-13*ORÇAMENTO!$AF$7)*OFFSET(ORÇAMENTO!$W$15,ROW(AD336)-ROW(AD$15),0),15-13*ORÇAMENTO!$AF$11)),
         0)</f>
        <v>0</v>
      </c>
      <c r="AE336" s="454">
        <f ca="1">IF(AND($D336="Serviço",AE$12&lt;&gt;0,$H336&gt;0,OR(AUTOEVENTO&lt;&gt;"manual",$M336&lt;&gt;$A$15)),
        IF(Import.TipoArredondamento&lt;&gt;"TransfereGOV",
              ROUND(OFFSET($P336,0,AE$13),15-13*ORÇAMENTO!$AF$7)/$H336*OFFSET(ORÇAMENTO!$X$15,ROW(AE336)-ROW(AE$15),0),
              ROUND(ROUND(OFFSET($P336,0,AE$13),15-13*ORÇAMENTO!$AF$7)*OFFSET(ORÇAMENTO!$W$15,ROW(AE336)-ROW(AE$15),0),15-13*ORÇAMENTO!$AF$11)),
         0)</f>
        <v>0</v>
      </c>
      <c r="AF336" s="454">
        <f ca="1">IF(AND($D336="Serviço",AF$12&lt;&gt;0,$H336&gt;0,OR(AUTOEVENTO&lt;&gt;"manual",$M336&lt;&gt;$A$15)),
        IF(Import.TipoArredondamento&lt;&gt;"TransfereGOV",
              ROUND(OFFSET($P336,0,AF$13),15-13*ORÇAMENTO!$AF$7)/$H336*OFFSET(ORÇAMENTO!$X$15,ROW(AF336)-ROW(AF$15),0),
              ROUND(ROUND(OFFSET($P336,0,AF$13),15-13*ORÇAMENTO!$AF$7)*OFFSET(ORÇAMENTO!$W$15,ROW(AF336)-ROW(AF$15),0),15-13*ORÇAMENTO!$AF$11)),
         0)</f>
        <v>0</v>
      </c>
      <c r="AG336" s="454">
        <f ca="1">IF(AND($D336="Serviço",AG$12&lt;&gt;0,$H336&gt;0,OR(AUTOEVENTO&lt;&gt;"manual",$M336&lt;&gt;$A$15)),
        IF(Import.TipoArredondamento&lt;&gt;"TransfereGOV",
              ROUND(OFFSET($P336,0,AG$13),15-13*ORÇAMENTO!$AF$7)/$H336*OFFSET(ORÇAMENTO!$X$15,ROW(AG336)-ROW(AG$15),0),
              ROUND(ROUND(OFFSET($P336,0,AG$13),15-13*ORÇAMENTO!$AF$7)*OFFSET(ORÇAMENTO!$W$15,ROW(AG336)-ROW(AG$15),0),15-13*ORÇAMENTO!$AF$11)),
         0)</f>
        <v>0</v>
      </c>
      <c r="AH336" s="454">
        <f ca="1">IF(AND($D336="Serviço",AH$12&lt;&gt;0,$H336&gt;0,OR(AUTOEVENTO&lt;&gt;"manual",$M336&lt;&gt;$A$15)),
        IF(Import.TipoArredondamento&lt;&gt;"TransfereGOV",
              ROUND(OFFSET($P336,0,AH$13),15-13*ORÇAMENTO!$AF$7)/$H336*OFFSET(ORÇAMENTO!$X$15,ROW(AH336)-ROW(AH$15),0),
              ROUND(ROUND(OFFSET($P336,0,AH$13),15-13*ORÇAMENTO!$AF$7)*OFFSET(ORÇAMENTO!$W$15,ROW(AH336)-ROW(AH$15),0),15-13*ORÇAMENTO!$AF$11)),
         0)</f>
        <v>0</v>
      </c>
      <c r="AI336" s="454">
        <f ca="1">IF(AND($D336="Serviço",AI$12&lt;&gt;0,$H336&gt;0,OR(AUTOEVENTO&lt;&gt;"manual",$M336&lt;&gt;$A$15)),
        IF(Import.TipoArredondamento&lt;&gt;"TransfereGOV",
              ROUND(OFFSET($P336,0,AI$13),15-13*ORÇAMENTO!$AF$7)/$H336*OFFSET(ORÇAMENTO!$X$15,ROW(AI336)-ROW(AI$15),0),
              ROUND(ROUND(OFFSET($P336,0,AI$13),15-13*ORÇAMENTO!$AF$7)*OFFSET(ORÇAMENTO!$W$15,ROW(AI336)-ROW(AI$15),0),15-13*ORÇAMENTO!$AF$11)),
         0)</f>
        <v>0</v>
      </c>
      <c r="AJ336" s="454">
        <f ca="1">IF(AND($D336="Serviço",AJ$12&lt;&gt;0,$H336&gt;0,OR(AUTOEVENTO&lt;&gt;"manual",$M336&lt;&gt;$A$15)),
        IF(Import.TipoArredondamento&lt;&gt;"TransfereGOV",
              ROUND(OFFSET($P336,0,AJ$13),15-13*ORÇAMENTO!$AF$7)/$H336*OFFSET(ORÇAMENTO!$X$15,ROW(AJ336)-ROW(AJ$15),0),
              ROUND(ROUND(OFFSET($P336,0,AJ$13),15-13*ORÇAMENTO!$AF$7)*OFFSET(ORÇAMENTO!$W$15,ROW(AJ336)-ROW(AJ$15),0),15-13*ORÇAMENTO!$AF$11)),
         0)</f>
        <v>0</v>
      </c>
      <c r="AK336" s="454">
        <f ca="1">IF(AND($D336="Serviço",AK$12&lt;&gt;0,$H336&gt;0,OR(AUTOEVENTO&lt;&gt;"manual",$M336&lt;&gt;$A$15)),
        IF(Import.TipoArredondamento&lt;&gt;"TransfereGOV",
              ROUND(OFFSET($P336,0,AK$13),15-13*ORÇAMENTO!$AF$7)/$H336*OFFSET(ORÇAMENTO!$X$15,ROW(AK336)-ROW(AK$15),0),
              ROUND(ROUND(OFFSET($P336,0,AK$13),15-13*ORÇAMENTO!$AF$7)*OFFSET(ORÇAMENTO!$W$15,ROW(AK336)-ROW(AK$15),0),15-13*ORÇAMENTO!$AF$11)),
         0)</f>
        <v>0</v>
      </c>
      <c r="AM336" s="172">
        <f ca="1">IF(OR($D336&lt;&gt;"Serviço",AND(AUTOEVENTO="Manual",$M336=$A$15)),0,
         IF(OFFSET(CRONOPLE!$F$15,$M336-$A$15,AM$13)="",10^12,OFFSET(CRONOPLE!$F$15,$M336-$A$15,AM$13)))</f>
        <v>1000000000000</v>
      </c>
      <c r="AN336" s="172">
        <f ca="1">IF(OR($D336&lt;&gt;"Serviço",AND(AUTOEVENTO="Manual",$M336=$A$15)),0,
         IF(OFFSET(CRONOPLE!$F$15,$M336-$A$15,AN$13)="",10^12,OFFSET(CRONOPLE!$F$15,$M336-$A$15,AN$13)))</f>
        <v>1000000000000</v>
      </c>
      <c r="AO336" s="172">
        <f ca="1">IF(OR($D336&lt;&gt;"Serviço",AND(AUTOEVENTO="Manual",$M336=$A$15)),0,
         IF(OFFSET(CRONOPLE!$F$15,$M336-$A$15,AO$13)="",10^12,OFFSET(CRONOPLE!$F$15,$M336-$A$15,AO$13)))</f>
        <v>1000000000000</v>
      </c>
      <c r="AP336" s="172">
        <f ca="1">IF(OR($D336&lt;&gt;"Serviço",AND(AUTOEVENTO="Manual",$M336=$A$15)),0,
         IF(OFFSET(CRONOPLE!$F$15,$M336-$A$15,AP$13)="",10^12,OFFSET(CRONOPLE!$F$15,$M336-$A$15,AP$13)))</f>
        <v>1000000000000</v>
      </c>
      <c r="AQ336" s="172">
        <f ca="1">IF(OR($D336&lt;&gt;"Serviço",AND(AUTOEVENTO="Manual",$M336=$A$15)),0,
         IF(OFFSET(CRONOPLE!$F$15,$M336-$A$15,AQ$13)="",10^12,OFFSET(CRONOPLE!$F$15,$M336-$A$15,AQ$13)))</f>
        <v>1000000000000</v>
      </c>
      <c r="AR336" s="172">
        <f ca="1">IF(OR($D336&lt;&gt;"Serviço",AND(AUTOEVENTO="Manual",$M336=$A$15)),0,
         IF(OFFSET(CRONOPLE!$F$15,$M336-$A$15,AR$13)="",10^12,OFFSET(CRONOPLE!$F$15,$M336-$A$15,AR$13)))</f>
        <v>1000000000000</v>
      </c>
      <c r="AS336" s="172">
        <f ca="1">IF(OR($D336&lt;&gt;"Serviço",AND(AUTOEVENTO="Manual",$M336=$A$15)),0,
         IF(OFFSET(CRONOPLE!$F$15,$M336-$A$15,AS$13)="",10^12,OFFSET(CRONOPLE!$F$15,$M336-$A$15,AS$13)))</f>
        <v>1000000000000</v>
      </c>
      <c r="AT336" s="172">
        <f ca="1">IF(OR($D336&lt;&gt;"Serviço",AND(AUTOEVENTO="Manual",$M336=$A$15)),0,
         IF(OFFSET(CRONOPLE!$F$15,$M336-$A$15,AT$13)="",10^12,OFFSET(CRONOPLE!$F$15,$M336-$A$15,AT$13)))</f>
        <v>1000000000000</v>
      </c>
      <c r="AU336" s="172">
        <f ca="1">IF(OR($D336&lt;&gt;"Serviço",AND(AUTOEVENTO="Manual",$M336=$A$15)),0,
         IF(OFFSET(CRONOPLE!$F$15,$M336-$A$15,AU$13)="",10^12,OFFSET(CRONOPLE!$F$15,$M336-$A$15,AU$13)))</f>
        <v>1000000000000</v>
      </c>
      <c r="AV336" s="172">
        <f ca="1">IF(OR($D336&lt;&gt;"Serviço",AND(AUTOEVENTO="Manual",$M336=$A$15)),0,
         IF(OFFSET(CRONOPLE!$F$15,$M336-$A$15,AV$13)="",10^12,OFFSET(CRONOPLE!$F$15,$M336-$A$15,AV$13)))</f>
        <v>1000000000000</v>
      </c>
      <c r="AX336" s="173">
        <f ca="1">IF(OR($D336&lt;&gt;"Serviço",AND(AUTOEVENTO="Manual",$M336=$A$15),$M336&gt;(ROW(PLE.lastrow)-ROW(PLE.firstrow))),0,
           IF(OFFSET(PLE!$G$15,$M336-$A$15,AX$13)="",10^12,OFFSET(PLE!$G$15,$M336-$A$15,AX$13)))</f>
        <v>1000000000000</v>
      </c>
      <c r="AY336" s="173">
        <f ca="1">IF(OR($D336&lt;&gt;"Serviço",AND(AUTOEVENTO="Manual",$M336=$A$15),$M336&gt;(ROW(PLE.lastrow)-ROW(PLE.firstrow))),0,
           IF(OFFSET(PLE!$G$15,$M336-$A$15,AY$13)="",10^12,OFFSET(PLE!$G$15,$M336-$A$15,AY$13)))</f>
        <v>1000000000000</v>
      </c>
      <c r="AZ336" s="173">
        <f ca="1">IF(OR($D336&lt;&gt;"Serviço",AND(AUTOEVENTO="Manual",$M336=$A$15),$M336&gt;(ROW(PLE.lastrow)-ROW(PLE.firstrow))),0,
           IF(OFFSET(PLE!$G$15,$M336-$A$15,AZ$13)="",10^12,OFFSET(PLE!$G$15,$M336-$A$15,AZ$13)))</f>
        <v>1000000000000</v>
      </c>
      <c r="BA336" s="173">
        <f ca="1">IF(OR($D336&lt;&gt;"Serviço",AND(AUTOEVENTO="Manual",$M336=$A$15),$M336&gt;(ROW(PLE.lastrow)-ROW(PLE.firstrow))),0,
           IF(OFFSET(PLE!$G$15,$M336-$A$15,BA$13)="",10^12,OFFSET(PLE!$G$15,$M336-$A$15,BA$13)))</f>
        <v>1000000000000</v>
      </c>
      <c r="BB336" s="173">
        <f ca="1">IF(OR($D336&lt;&gt;"Serviço",AND(AUTOEVENTO="Manual",$M336=$A$15),$M336&gt;(ROW(PLE.lastrow)-ROW(PLE.firstrow))),0,
           IF(OFFSET(PLE!$G$15,$M336-$A$15,BB$13)="",10^12,OFFSET(PLE!$G$15,$M336-$A$15,BB$13)))</f>
        <v>1000000000000</v>
      </c>
      <c r="BC336" s="173">
        <f ca="1">IF(OR($D336&lt;&gt;"Serviço",AND(AUTOEVENTO="Manual",$M336=$A$15),$M336&gt;(ROW(PLE.lastrow)-ROW(PLE.firstrow))),0,
           IF(OFFSET(PLE!$G$15,$M336-$A$15,BC$13)="",10^12,OFFSET(PLE!$G$15,$M336-$A$15,BC$13)))</f>
        <v>1000000000000</v>
      </c>
      <c r="BD336" s="173">
        <f ca="1">IF(OR($D336&lt;&gt;"Serviço",AND(AUTOEVENTO="Manual",$M336=$A$15),$M336&gt;(ROW(PLE.lastrow)-ROW(PLE.firstrow))),0,
           IF(OFFSET(PLE!$G$15,$M336-$A$15,BD$13)="",10^12,OFFSET(PLE!$G$15,$M336-$A$15,BD$13)))</f>
        <v>1000000000000</v>
      </c>
      <c r="BE336" s="173">
        <f ca="1">IF(OR($D336&lt;&gt;"Serviço",AND(AUTOEVENTO="Manual",$M336=$A$15),$M336&gt;(ROW(PLE.lastrow)-ROW(PLE.firstrow))),0,
           IF(OFFSET(PLE!$G$15,$M336-$A$15,BE$13)="",10^12,OFFSET(PLE!$G$15,$M336-$A$15,BE$13)))</f>
        <v>1000000000000</v>
      </c>
      <c r="BF336" s="173">
        <f ca="1">IF(OR($D336&lt;&gt;"Serviço",AND(AUTOEVENTO="Manual",$M336=$A$15),$M336&gt;(ROW(PLE.lastrow)-ROW(PLE.firstrow))),0,
           IF(OFFSET(PLE!$G$15,$M336-$A$15,BF$13)="",10^12,OFFSET(PLE!$G$15,$M336-$A$15,BF$13)))</f>
        <v>1000000000000</v>
      </c>
      <c r="BG336" s="173">
        <f ca="1">IF(OR($D336&lt;&gt;"Serviço",AND(AUTOEVENTO="Manual",$M336=$A$15),$M336&gt;(ROW(PLE.lastrow)-ROW(PLE.firstrow))),0,
           IF(OFFSET(PLE!$G$15,$M336-$A$15,BG$13)="",10^12,OFFSET(PLE!$G$15,$M336-$A$15,BG$13)))</f>
        <v>1000000000000</v>
      </c>
    </row>
    <row r="337" spans="1:59" ht="38.25" x14ac:dyDescent="0.2">
      <c r="A337" s="7" t="str">
        <f t="shared" ca="1" si="13"/>
        <v>310</v>
      </c>
      <c r="B337" s="7" t="str">
        <f ca="1">OFFSET(ORÇAMENTO!C$15,ROW(B337)-ROW(B$15),0)</f>
        <v>S</v>
      </c>
      <c r="C337" s="7" t="str">
        <f ca="1">OFFSET(ORÇAMENTO!L$15,ROW(C337)-ROW(C$15),0)</f>
        <v/>
      </c>
      <c r="D337" s="117" t="str">
        <f ca="1">OFFSET(ORÇAMENTO!N$15,ROW(D337)-ROW(D$15),0)</f>
        <v>Serviço</v>
      </c>
      <c r="E337" s="118" t="str">
        <f ca="1">OFFSET(ORÇAMENTO!O$15,ROW(E337)-ROW(E$15),0)</f>
        <v>-</v>
      </c>
      <c r="F337" s="164" t="str">
        <f ca="1">OFFSET(ORÇAMENTO!R$15,ROW(F337)-ROW(F$15),0)</f>
        <v xml:space="preserve">CHAPA DE ACO CARBONO GALVANIZADA, PERFURADA (GRADE FUROS) E = 1,5 MM, DIAMETRO DO FURO = 9,52 MM (FUROS ALTERNADOS HORIZ.)                                                                                                                                </v>
      </c>
      <c r="G337" s="165" t="str">
        <f ca="1">IF($D337&lt;&gt;"Serviço","",OFFSET(ORÇAMENTO!S$15,ROW(G337)-ROW(G$15),0))</f>
        <v xml:space="preserve">KG    </v>
      </c>
      <c r="H337" s="123">
        <f ca="1">IF($D337&lt;&gt;"Serviço",0,IF(ACOMPANHAMENTO="BM",ROUND(OFFSET(ORÇAMENTO!AJ$15,ROW(H337)-ROW(H$15),0),15-13*ORÇAMENTO!$AF$7),SUMPRODUCT(($Q$1:$AA$1=1)*ROUND($Q337:$AA337,15-13*ORÇAMENTO!$AF$7))))</f>
        <v>320</v>
      </c>
      <c r="I337" s="469"/>
      <c r="J337" s="577" t="str" cm="1">
        <f t="array" aca="1" ref="J337" ca="1">IF(B337&lt;&gt;"S","",IF(AND(ACOMPANHAMENTO="PLE",AUTOEVENTO="Manual",OR(H337&gt;0,ORÇAMENTO!AC337="QUANT."),OR(K337="",M337=0,N337="")),"►",IF(AND(ACOMPANHAMENTO="PLE",ORÇAMENTO!AC337="QUANT."),"►►",IF(AND(COUNTIF($P$11:$AA$11,"▼")=0,H337&gt;0,I337=""),"◄",""))))</f>
        <v>◄</v>
      </c>
      <c r="K337" s="626"/>
      <c r="L337" s="166" t="s">
        <v>765</v>
      </c>
      <c r="M337" s="167">
        <f ca="1">IF($D337&lt;&gt;"Serviço","",
          IF(AUTOEVENTO="manual",$A337,
                IF(ISERROR(MATCH($A337,$A$15:OFFSET($A337,-1,0),0)),MAX($M$15:OFFSET(M337,-1,0))+1,
                      INDEX($M$15:OFFSET(M337,-1,0),MATCH($A337,$A$15:OFFSET($A337,-1,0),0)))))</f>
        <v>17</v>
      </c>
      <c r="N337" s="168" t="str">
        <f ca="1">IF($D337&lt;&gt;"Serviço","",
         IF(AUTOEVENTO="Manual",
                IF($A337=0,"&lt;-- defina o número do agrupador",
                       OFFSET(EVENTOS!$D$15,$A337-$A$15,0)),
                OFFSET($F$15,$A337,0)))</f>
        <v>CENTRAL DE GLP, ABRIGO DE LIXO E SOLÁRIOS</v>
      </c>
      <c r="O337" s="169"/>
      <c r="Q337" s="169"/>
      <c r="R337" s="170"/>
      <c r="S337" s="170"/>
      <c r="T337" s="170"/>
      <c r="U337" s="170"/>
      <c r="V337" s="170"/>
      <c r="W337" s="170"/>
      <c r="X337" s="170"/>
      <c r="Y337" s="170"/>
      <c r="Z337" s="171"/>
      <c r="AB337" s="454">
        <f ca="1">IF(AND($D337="Serviço",AB$12&lt;&gt;0,$H337&gt;0,OR(AUTOEVENTO&lt;&gt;"manual",$M337&lt;&gt;$A$15)),
        IF(Import.TipoArredondamento&lt;&gt;"TransfereGOV",
              ROUND(OFFSET($P337,0,AB$13),15-13*ORÇAMENTO!$AF$7)/$H337*OFFSET(ORÇAMENTO!$X$15,ROW(AB337)-ROW(AB$15),0),
              ROUND(ROUND(OFFSET($P337,0,AB$13),15-13*ORÇAMENTO!$AF$7)*OFFSET(ORÇAMENTO!$W$15,ROW(AB337)-ROW(AB$15),0),15-13*ORÇAMENTO!$AF$11)),
         0)</f>
        <v>0</v>
      </c>
      <c r="AC337" s="454">
        <f ca="1">IF(AND($D337="Serviço",AC$12&lt;&gt;0,$H337&gt;0,OR(AUTOEVENTO&lt;&gt;"manual",$M337&lt;&gt;$A$15)),
        IF(Import.TipoArredondamento&lt;&gt;"TransfereGOV",
              ROUND(OFFSET($P337,0,AC$13),15-13*ORÇAMENTO!$AF$7)/$H337*OFFSET(ORÇAMENTO!$X$15,ROW(AC337)-ROW(AC$15),0),
              ROUND(ROUND(OFFSET($P337,0,AC$13),15-13*ORÇAMENTO!$AF$7)*OFFSET(ORÇAMENTO!$W$15,ROW(AC337)-ROW(AC$15),0),15-13*ORÇAMENTO!$AF$11)),
         0)</f>
        <v>0</v>
      </c>
      <c r="AD337" s="454">
        <f ca="1">IF(AND($D337="Serviço",AD$12&lt;&gt;0,$H337&gt;0,OR(AUTOEVENTO&lt;&gt;"manual",$M337&lt;&gt;$A$15)),
        IF(Import.TipoArredondamento&lt;&gt;"TransfereGOV",
              ROUND(OFFSET($P337,0,AD$13),15-13*ORÇAMENTO!$AF$7)/$H337*OFFSET(ORÇAMENTO!$X$15,ROW(AD337)-ROW(AD$15),0),
              ROUND(ROUND(OFFSET($P337,0,AD$13),15-13*ORÇAMENTO!$AF$7)*OFFSET(ORÇAMENTO!$W$15,ROW(AD337)-ROW(AD$15),0),15-13*ORÇAMENTO!$AF$11)),
         0)</f>
        <v>0</v>
      </c>
      <c r="AE337" s="454">
        <f ca="1">IF(AND($D337="Serviço",AE$12&lt;&gt;0,$H337&gt;0,OR(AUTOEVENTO&lt;&gt;"manual",$M337&lt;&gt;$A$15)),
        IF(Import.TipoArredondamento&lt;&gt;"TransfereGOV",
              ROUND(OFFSET($P337,0,AE$13),15-13*ORÇAMENTO!$AF$7)/$H337*OFFSET(ORÇAMENTO!$X$15,ROW(AE337)-ROW(AE$15),0),
              ROUND(ROUND(OFFSET($P337,0,AE$13),15-13*ORÇAMENTO!$AF$7)*OFFSET(ORÇAMENTO!$W$15,ROW(AE337)-ROW(AE$15),0),15-13*ORÇAMENTO!$AF$11)),
         0)</f>
        <v>0</v>
      </c>
      <c r="AF337" s="454">
        <f ca="1">IF(AND($D337="Serviço",AF$12&lt;&gt;0,$H337&gt;0,OR(AUTOEVENTO&lt;&gt;"manual",$M337&lt;&gt;$A$15)),
        IF(Import.TipoArredondamento&lt;&gt;"TransfereGOV",
              ROUND(OFFSET($P337,0,AF$13),15-13*ORÇAMENTO!$AF$7)/$H337*OFFSET(ORÇAMENTO!$X$15,ROW(AF337)-ROW(AF$15),0),
              ROUND(ROUND(OFFSET($P337,0,AF$13),15-13*ORÇAMENTO!$AF$7)*OFFSET(ORÇAMENTO!$W$15,ROW(AF337)-ROW(AF$15),0),15-13*ORÇAMENTO!$AF$11)),
         0)</f>
        <v>0</v>
      </c>
      <c r="AG337" s="454">
        <f ca="1">IF(AND($D337="Serviço",AG$12&lt;&gt;0,$H337&gt;0,OR(AUTOEVENTO&lt;&gt;"manual",$M337&lt;&gt;$A$15)),
        IF(Import.TipoArredondamento&lt;&gt;"TransfereGOV",
              ROUND(OFFSET($P337,0,AG$13),15-13*ORÇAMENTO!$AF$7)/$H337*OFFSET(ORÇAMENTO!$X$15,ROW(AG337)-ROW(AG$15),0),
              ROUND(ROUND(OFFSET($P337,0,AG$13),15-13*ORÇAMENTO!$AF$7)*OFFSET(ORÇAMENTO!$W$15,ROW(AG337)-ROW(AG$15),0),15-13*ORÇAMENTO!$AF$11)),
         0)</f>
        <v>0</v>
      </c>
      <c r="AH337" s="454">
        <f ca="1">IF(AND($D337="Serviço",AH$12&lt;&gt;0,$H337&gt;0,OR(AUTOEVENTO&lt;&gt;"manual",$M337&lt;&gt;$A$15)),
        IF(Import.TipoArredondamento&lt;&gt;"TransfereGOV",
              ROUND(OFFSET($P337,0,AH$13),15-13*ORÇAMENTO!$AF$7)/$H337*OFFSET(ORÇAMENTO!$X$15,ROW(AH337)-ROW(AH$15),0),
              ROUND(ROUND(OFFSET($P337,0,AH$13),15-13*ORÇAMENTO!$AF$7)*OFFSET(ORÇAMENTO!$W$15,ROW(AH337)-ROW(AH$15),0),15-13*ORÇAMENTO!$AF$11)),
         0)</f>
        <v>0</v>
      </c>
      <c r="AI337" s="454">
        <f ca="1">IF(AND($D337="Serviço",AI$12&lt;&gt;0,$H337&gt;0,OR(AUTOEVENTO&lt;&gt;"manual",$M337&lt;&gt;$A$15)),
        IF(Import.TipoArredondamento&lt;&gt;"TransfereGOV",
              ROUND(OFFSET($P337,0,AI$13),15-13*ORÇAMENTO!$AF$7)/$H337*OFFSET(ORÇAMENTO!$X$15,ROW(AI337)-ROW(AI$15),0),
              ROUND(ROUND(OFFSET($P337,0,AI$13),15-13*ORÇAMENTO!$AF$7)*OFFSET(ORÇAMENTO!$W$15,ROW(AI337)-ROW(AI$15),0),15-13*ORÇAMENTO!$AF$11)),
         0)</f>
        <v>0</v>
      </c>
      <c r="AJ337" s="454">
        <f ca="1">IF(AND($D337="Serviço",AJ$12&lt;&gt;0,$H337&gt;0,OR(AUTOEVENTO&lt;&gt;"manual",$M337&lt;&gt;$A$15)),
        IF(Import.TipoArredondamento&lt;&gt;"TransfereGOV",
              ROUND(OFFSET($P337,0,AJ$13),15-13*ORÇAMENTO!$AF$7)/$H337*OFFSET(ORÇAMENTO!$X$15,ROW(AJ337)-ROW(AJ$15),0),
              ROUND(ROUND(OFFSET($P337,0,AJ$13),15-13*ORÇAMENTO!$AF$7)*OFFSET(ORÇAMENTO!$W$15,ROW(AJ337)-ROW(AJ$15),0),15-13*ORÇAMENTO!$AF$11)),
         0)</f>
        <v>0</v>
      </c>
      <c r="AK337" s="454">
        <f ca="1">IF(AND($D337="Serviço",AK$12&lt;&gt;0,$H337&gt;0,OR(AUTOEVENTO&lt;&gt;"manual",$M337&lt;&gt;$A$15)),
        IF(Import.TipoArredondamento&lt;&gt;"TransfereGOV",
              ROUND(OFFSET($P337,0,AK$13),15-13*ORÇAMENTO!$AF$7)/$H337*OFFSET(ORÇAMENTO!$X$15,ROW(AK337)-ROW(AK$15),0),
              ROUND(ROUND(OFFSET($P337,0,AK$13),15-13*ORÇAMENTO!$AF$7)*OFFSET(ORÇAMENTO!$W$15,ROW(AK337)-ROW(AK$15),0),15-13*ORÇAMENTO!$AF$11)),
         0)</f>
        <v>0</v>
      </c>
      <c r="AM337" s="172">
        <f ca="1">IF(OR($D337&lt;&gt;"Serviço",AND(AUTOEVENTO="Manual",$M337=$A$15)),0,
         IF(OFFSET(CRONOPLE!$F$15,$M337-$A$15,AM$13)="",10^12,OFFSET(CRONOPLE!$F$15,$M337-$A$15,AM$13)))</f>
        <v>1000000000000</v>
      </c>
      <c r="AN337" s="172">
        <f ca="1">IF(OR($D337&lt;&gt;"Serviço",AND(AUTOEVENTO="Manual",$M337=$A$15)),0,
         IF(OFFSET(CRONOPLE!$F$15,$M337-$A$15,AN$13)="",10^12,OFFSET(CRONOPLE!$F$15,$M337-$A$15,AN$13)))</f>
        <v>1000000000000</v>
      </c>
      <c r="AO337" s="172">
        <f ca="1">IF(OR($D337&lt;&gt;"Serviço",AND(AUTOEVENTO="Manual",$M337=$A$15)),0,
         IF(OFFSET(CRONOPLE!$F$15,$M337-$A$15,AO$13)="",10^12,OFFSET(CRONOPLE!$F$15,$M337-$A$15,AO$13)))</f>
        <v>1000000000000</v>
      </c>
      <c r="AP337" s="172">
        <f ca="1">IF(OR($D337&lt;&gt;"Serviço",AND(AUTOEVENTO="Manual",$M337=$A$15)),0,
         IF(OFFSET(CRONOPLE!$F$15,$M337-$A$15,AP$13)="",10^12,OFFSET(CRONOPLE!$F$15,$M337-$A$15,AP$13)))</f>
        <v>1000000000000</v>
      </c>
      <c r="AQ337" s="172">
        <f ca="1">IF(OR($D337&lt;&gt;"Serviço",AND(AUTOEVENTO="Manual",$M337=$A$15)),0,
         IF(OFFSET(CRONOPLE!$F$15,$M337-$A$15,AQ$13)="",10^12,OFFSET(CRONOPLE!$F$15,$M337-$A$15,AQ$13)))</f>
        <v>1000000000000</v>
      </c>
      <c r="AR337" s="172">
        <f ca="1">IF(OR($D337&lt;&gt;"Serviço",AND(AUTOEVENTO="Manual",$M337=$A$15)),0,
         IF(OFFSET(CRONOPLE!$F$15,$M337-$A$15,AR$13)="",10^12,OFFSET(CRONOPLE!$F$15,$M337-$A$15,AR$13)))</f>
        <v>1000000000000</v>
      </c>
      <c r="AS337" s="172">
        <f ca="1">IF(OR($D337&lt;&gt;"Serviço",AND(AUTOEVENTO="Manual",$M337=$A$15)),0,
         IF(OFFSET(CRONOPLE!$F$15,$M337-$A$15,AS$13)="",10^12,OFFSET(CRONOPLE!$F$15,$M337-$A$15,AS$13)))</f>
        <v>1000000000000</v>
      </c>
      <c r="AT337" s="172">
        <f ca="1">IF(OR($D337&lt;&gt;"Serviço",AND(AUTOEVENTO="Manual",$M337=$A$15)),0,
         IF(OFFSET(CRONOPLE!$F$15,$M337-$A$15,AT$13)="",10^12,OFFSET(CRONOPLE!$F$15,$M337-$A$15,AT$13)))</f>
        <v>1000000000000</v>
      </c>
      <c r="AU337" s="172">
        <f ca="1">IF(OR($D337&lt;&gt;"Serviço",AND(AUTOEVENTO="Manual",$M337=$A$15)),0,
         IF(OFFSET(CRONOPLE!$F$15,$M337-$A$15,AU$13)="",10^12,OFFSET(CRONOPLE!$F$15,$M337-$A$15,AU$13)))</f>
        <v>1000000000000</v>
      </c>
      <c r="AV337" s="172">
        <f ca="1">IF(OR($D337&lt;&gt;"Serviço",AND(AUTOEVENTO="Manual",$M337=$A$15)),0,
         IF(OFFSET(CRONOPLE!$F$15,$M337-$A$15,AV$13)="",10^12,OFFSET(CRONOPLE!$F$15,$M337-$A$15,AV$13)))</f>
        <v>1000000000000</v>
      </c>
      <c r="AX337" s="173">
        <f ca="1">IF(OR($D337&lt;&gt;"Serviço",AND(AUTOEVENTO="Manual",$M337=$A$15),$M337&gt;(ROW(PLE.lastrow)-ROW(PLE.firstrow))),0,
           IF(OFFSET(PLE!$G$15,$M337-$A$15,AX$13)="",10^12,OFFSET(PLE!$G$15,$M337-$A$15,AX$13)))</f>
        <v>1000000000000</v>
      </c>
      <c r="AY337" s="173">
        <f ca="1">IF(OR($D337&lt;&gt;"Serviço",AND(AUTOEVENTO="Manual",$M337=$A$15),$M337&gt;(ROW(PLE.lastrow)-ROW(PLE.firstrow))),0,
           IF(OFFSET(PLE!$G$15,$M337-$A$15,AY$13)="",10^12,OFFSET(PLE!$G$15,$M337-$A$15,AY$13)))</f>
        <v>1000000000000</v>
      </c>
      <c r="AZ337" s="173">
        <f ca="1">IF(OR($D337&lt;&gt;"Serviço",AND(AUTOEVENTO="Manual",$M337=$A$15),$M337&gt;(ROW(PLE.lastrow)-ROW(PLE.firstrow))),0,
           IF(OFFSET(PLE!$G$15,$M337-$A$15,AZ$13)="",10^12,OFFSET(PLE!$G$15,$M337-$A$15,AZ$13)))</f>
        <v>1000000000000</v>
      </c>
      <c r="BA337" s="173">
        <f ca="1">IF(OR($D337&lt;&gt;"Serviço",AND(AUTOEVENTO="Manual",$M337=$A$15),$M337&gt;(ROW(PLE.lastrow)-ROW(PLE.firstrow))),0,
           IF(OFFSET(PLE!$G$15,$M337-$A$15,BA$13)="",10^12,OFFSET(PLE!$G$15,$M337-$A$15,BA$13)))</f>
        <v>1000000000000</v>
      </c>
      <c r="BB337" s="173">
        <f ca="1">IF(OR($D337&lt;&gt;"Serviço",AND(AUTOEVENTO="Manual",$M337=$A$15),$M337&gt;(ROW(PLE.lastrow)-ROW(PLE.firstrow))),0,
           IF(OFFSET(PLE!$G$15,$M337-$A$15,BB$13)="",10^12,OFFSET(PLE!$G$15,$M337-$A$15,BB$13)))</f>
        <v>1000000000000</v>
      </c>
      <c r="BC337" s="173">
        <f ca="1">IF(OR($D337&lt;&gt;"Serviço",AND(AUTOEVENTO="Manual",$M337=$A$15),$M337&gt;(ROW(PLE.lastrow)-ROW(PLE.firstrow))),0,
           IF(OFFSET(PLE!$G$15,$M337-$A$15,BC$13)="",10^12,OFFSET(PLE!$G$15,$M337-$A$15,BC$13)))</f>
        <v>1000000000000</v>
      </c>
      <c r="BD337" s="173">
        <f ca="1">IF(OR($D337&lt;&gt;"Serviço",AND(AUTOEVENTO="Manual",$M337=$A$15),$M337&gt;(ROW(PLE.lastrow)-ROW(PLE.firstrow))),0,
           IF(OFFSET(PLE!$G$15,$M337-$A$15,BD$13)="",10^12,OFFSET(PLE!$G$15,$M337-$A$15,BD$13)))</f>
        <v>1000000000000</v>
      </c>
      <c r="BE337" s="173">
        <f ca="1">IF(OR($D337&lt;&gt;"Serviço",AND(AUTOEVENTO="Manual",$M337=$A$15),$M337&gt;(ROW(PLE.lastrow)-ROW(PLE.firstrow))),0,
           IF(OFFSET(PLE!$G$15,$M337-$A$15,BE$13)="",10^12,OFFSET(PLE!$G$15,$M337-$A$15,BE$13)))</f>
        <v>1000000000000</v>
      </c>
      <c r="BF337" s="173">
        <f ca="1">IF(OR($D337&lt;&gt;"Serviço",AND(AUTOEVENTO="Manual",$M337=$A$15),$M337&gt;(ROW(PLE.lastrow)-ROW(PLE.firstrow))),0,
           IF(OFFSET(PLE!$G$15,$M337-$A$15,BF$13)="",10^12,OFFSET(PLE!$G$15,$M337-$A$15,BF$13)))</f>
        <v>1000000000000</v>
      </c>
      <c r="BG337" s="173">
        <f ca="1">IF(OR($D337&lt;&gt;"Serviço",AND(AUTOEVENTO="Manual",$M337=$A$15),$M337&gt;(ROW(PLE.lastrow)-ROW(PLE.firstrow))),0,
           IF(OFFSET(PLE!$G$15,$M337-$A$15,BG$13)="",10^12,OFFSET(PLE!$G$15,$M337-$A$15,BG$13)))</f>
        <v>1000000000000</v>
      </c>
    </row>
    <row r="338" spans="1:59" ht="38.25" x14ac:dyDescent="0.2">
      <c r="A338" s="7" t="str">
        <f t="shared" ca="1" si="13"/>
        <v>310</v>
      </c>
      <c r="B338" s="7" t="str">
        <f ca="1">OFFSET(ORÇAMENTO!C$15,ROW(B338)-ROW(B$15),0)</f>
        <v>S</v>
      </c>
      <c r="C338" s="7" t="str">
        <f ca="1">OFFSET(ORÇAMENTO!L$15,ROW(C338)-ROW(C$15),0)</f>
        <v/>
      </c>
      <c r="D338" s="117" t="str">
        <f ca="1">OFFSET(ORÇAMENTO!N$15,ROW(D338)-ROW(D$15),0)</f>
        <v>Serviço</v>
      </c>
      <c r="E338" s="118" t="str">
        <f ca="1">OFFSET(ORÇAMENTO!O$15,ROW(E338)-ROW(E$15),0)</f>
        <v>-</v>
      </c>
      <c r="F338" s="164" t="str">
        <f ca="1">OFFSET(ORÇAMENTO!R$15,ROW(F338)-ROW(F$15),0)</f>
        <v>PINTURA COM TINTA ALQUÍDICA DE FUNDO (TIPO ZARCÃO) PULVERIZADA SOBRE SUPERFÍCIES METÁLICAS (EXCETO PERFIL) EXECUTADO EM OBRA (POR DEMÃO). AF_01/2020_PE</v>
      </c>
      <c r="G338" s="165" t="str">
        <f ca="1">IF($D338&lt;&gt;"Serviço","",OFFSET(ORÇAMENTO!S$15,ROW(G338)-ROW(G$15),0))</f>
        <v>M2</v>
      </c>
      <c r="H338" s="123">
        <f ca="1">IF($D338&lt;&gt;"Serviço",0,IF(ACOMPANHAMENTO="BM",ROUND(OFFSET(ORÇAMENTO!AJ$15,ROW(H338)-ROW(H$15),0),15-13*ORÇAMENTO!$AF$7),SUMPRODUCT(($Q$1:$AA$1=1)*ROUND($Q338:$AA338,15-13*ORÇAMENTO!$AF$7))))</f>
        <v>84</v>
      </c>
      <c r="I338" s="469"/>
      <c r="J338" s="577" t="str" cm="1">
        <f t="array" aca="1" ref="J338" ca="1">IF(B338&lt;&gt;"S","",IF(AND(ACOMPANHAMENTO="PLE",AUTOEVENTO="Manual",OR(H338&gt;0,ORÇAMENTO!AC338="QUANT."),OR(K338="",M338=0,N338="")),"►",IF(AND(ACOMPANHAMENTO="PLE",ORÇAMENTO!AC338="QUANT."),"►►",IF(AND(COUNTIF($P$11:$AA$11,"▼")=0,H338&gt;0,I338=""),"◄",""))))</f>
        <v>◄</v>
      </c>
      <c r="K338" s="626"/>
      <c r="L338" s="166" t="s">
        <v>765</v>
      </c>
      <c r="M338" s="167">
        <f ca="1">IF($D338&lt;&gt;"Serviço","",
          IF(AUTOEVENTO="manual",$A338,
                IF(ISERROR(MATCH($A338,$A$15:OFFSET($A338,-1,0),0)),MAX($M$15:OFFSET(M338,-1,0))+1,
                      INDEX($M$15:OFFSET(M338,-1,0),MATCH($A338,$A$15:OFFSET($A338,-1,0),0)))))</f>
        <v>17</v>
      </c>
      <c r="N338" s="168" t="str">
        <f ca="1">IF($D338&lt;&gt;"Serviço","",
         IF(AUTOEVENTO="Manual",
                IF($A338=0,"&lt;-- defina o número do agrupador",
                       OFFSET(EVENTOS!$D$15,$A338-$A$15,0)),
                OFFSET($F$15,$A338,0)))</f>
        <v>CENTRAL DE GLP, ABRIGO DE LIXO E SOLÁRIOS</v>
      </c>
      <c r="O338" s="169"/>
      <c r="Q338" s="169"/>
      <c r="R338" s="170"/>
      <c r="S338" s="170"/>
      <c r="T338" s="170"/>
      <c r="U338" s="170"/>
      <c r="V338" s="170"/>
      <c r="W338" s="170"/>
      <c r="X338" s="170"/>
      <c r="Y338" s="170"/>
      <c r="Z338" s="171"/>
      <c r="AB338" s="454">
        <f ca="1">IF(AND($D338="Serviço",AB$12&lt;&gt;0,$H338&gt;0,OR(AUTOEVENTO&lt;&gt;"manual",$M338&lt;&gt;$A$15)),
        IF(Import.TipoArredondamento&lt;&gt;"TransfereGOV",
              ROUND(OFFSET($P338,0,AB$13),15-13*ORÇAMENTO!$AF$7)/$H338*OFFSET(ORÇAMENTO!$X$15,ROW(AB338)-ROW(AB$15),0),
              ROUND(ROUND(OFFSET($P338,0,AB$13),15-13*ORÇAMENTO!$AF$7)*OFFSET(ORÇAMENTO!$W$15,ROW(AB338)-ROW(AB$15),0),15-13*ORÇAMENTO!$AF$11)),
         0)</f>
        <v>0</v>
      </c>
      <c r="AC338" s="454">
        <f ca="1">IF(AND($D338="Serviço",AC$12&lt;&gt;0,$H338&gt;0,OR(AUTOEVENTO&lt;&gt;"manual",$M338&lt;&gt;$A$15)),
        IF(Import.TipoArredondamento&lt;&gt;"TransfereGOV",
              ROUND(OFFSET($P338,0,AC$13),15-13*ORÇAMENTO!$AF$7)/$H338*OFFSET(ORÇAMENTO!$X$15,ROW(AC338)-ROW(AC$15),0),
              ROUND(ROUND(OFFSET($P338,0,AC$13),15-13*ORÇAMENTO!$AF$7)*OFFSET(ORÇAMENTO!$W$15,ROW(AC338)-ROW(AC$15),0),15-13*ORÇAMENTO!$AF$11)),
         0)</f>
        <v>0</v>
      </c>
      <c r="AD338" s="454">
        <f ca="1">IF(AND($D338="Serviço",AD$12&lt;&gt;0,$H338&gt;0,OR(AUTOEVENTO&lt;&gt;"manual",$M338&lt;&gt;$A$15)),
        IF(Import.TipoArredondamento&lt;&gt;"TransfereGOV",
              ROUND(OFFSET($P338,0,AD$13),15-13*ORÇAMENTO!$AF$7)/$H338*OFFSET(ORÇAMENTO!$X$15,ROW(AD338)-ROW(AD$15),0),
              ROUND(ROUND(OFFSET($P338,0,AD$13),15-13*ORÇAMENTO!$AF$7)*OFFSET(ORÇAMENTO!$W$15,ROW(AD338)-ROW(AD$15),0),15-13*ORÇAMENTO!$AF$11)),
         0)</f>
        <v>0</v>
      </c>
      <c r="AE338" s="454">
        <f ca="1">IF(AND($D338="Serviço",AE$12&lt;&gt;0,$H338&gt;0,OR(AUTOEVENTO&lt;&gt;"manual",$M338&lt;&gt;$A$15)),
        IF(Import.TipoArredondamento&lt;&gt;"TransfereGOV",
              ROUND(OFFSET($P338,0,AE$13),15-13*ORÇAMENTO!$AF$7)/$H338*OFFSET(ORÇAMENTO!$X$15,ROW(AE338)-ROW(AE$15),0),
              ROUND(ROUND(OFFSET($P338,0,AE$13),15-13*ORÇAMENTO!$AF$7)*OFFSET(ORÇAMENTO!$W$15,ROW(AE338)-ROW(AE$15),0),15-13*ORÇAMENTO!$AF$11)),
         0)</f>
        <v>0</v>
      </c>
      <c r="AF338" s="454">
        <f ca="1">IF(AND($D338="Serviço",AF$12&lt;&gt;0,$H338&gt;0,OR(AUTOEVENTO&lt;&gt;"manual",$M338&lt;&gt;$A$15)),
        IF(Import.TipoArredondamento&lt;&gt;"TransfereGOV",
              ROUND(OFFSET($P338,0,AF$13),15-13*ORÇAMENTO!$AF$7)/$H338*OFFSET(ORÇAMENTO!$X$15,ROW(AF338)-ROW(AF$15),0),
              ROUND(ROUND(OFFSET($P338,0,AF$13),15-13*ORÇAMENTO!$AF$7)*OFFSET(ORÇAMENTO!$W$15,ROW(AF338)-ROW(AF$15),0),15-13*ORÇAMENTO!$AF$11)),
         0)</f>
        <v>0</v>
      </c>
      <c r="AG338" s="454">
        <f ca="1">IF(AND($D338="Serviço",AG$12&lt;&gt;0,$H338&gt;0,OR(AUTOEVENTO&lt;&gt;"manual",$M338&lt;&gt;$A$15)),
        IF(Import.TipoArredondamento&lt;&gt;"TransfereGOV",
              ROUND(OFFSET($P338,0,AG$13),15-13*ORÇAMENTO!$AF$7)/$H338*OFFSET(ORÇAMENTO!$X$15,ROW(AG338)-ROW(AG$15),0),
              ROUND(ROUND(OFFSET($P338,0,AG$13),15-13*ORÇAMENTO!$AF$7)*OFFSET(ORÇAMENTO!$W$15,ROW(AG338)-ROW(AG$15),0),15-13*ORÇAMENTO!$AF$11)),
         0)</f>
        <v>0</v>
      </c>
      <c r="AH338" s="454">
        <f ca="1">IF(AND($D338="Serviço",AH$12&lt;&gt;0,$H338&gt;0,OR(AUTOEVENTO&lt;&gt;"manual",$M338&lt;&gt;$A$15)),
        IF(Import.TipoArredondamento&lt;&gt;"TransfereGOV",
              ROUND(OFFSET($P338,0,AH$13),15-13*ORÇAMENTO!$AF$7)/$H338*OFFSET(ORÇAMENTO!$X$15,ROW(AH338)-ROW(AH$15),0),
              ROUND(ROUND(OFFSET($P338,0,AH$13),15-13*ORÇAMENTO!$AF$7)*OFFSET(ORÇAMENTO!$W$15,ROW(AH338)-ROW(AH$15),0),15-13*ORÇAMENTO!$AF$11)),
         0)</f>
        <v>0</v>
      </c>
      <c r="AI338" s="454">
        <f ca="1">IF(AND($D338="Serviço",AI$12&lt;&gt;0,$H338&gt;0,OR(AUTOEVENTO&lt;&gt;"manual",$M338&lt;&gt;$A$15)),
        IF(Import.TipoArredondamento&lt;&gt;"TransfereGOV",
              ROUND(OFFSET($P338,0,AI$13),15-13*ORÇAMENTO!$AF$7)/$H338*OFFSET(ORÇAMENTO!$X$15,ROW(AI338)-ROW(AI$15),0),
              ROUND(ROUND(OFFSET($P338,0,AI$13),15-13*ORÇAMENTO!$AF$7)*OFFSET(ORÇAMENTO!$W$15,ROW(AI338)-ROW(AI$15),0),15-13*ORÇAMENTO!$AF$11)),
         0)</f>
        <v>0</v>
      </c>
      <c r="AJ338" s="454">
        <f ca="1">IF(AND($D338="Serviço",AJ$12&lt;&gt;0,$H338&gt;0,OR(AUTOEVENTO&lt;&gt;"manual",$M338&lt;&gt;$A$15)),
        IF(Import.TipoArredondamento&lt;&gt;"TransfereGOV",
              ROUND(OFFSET($P338,0,AJ$13),15-13*ORÇAMENTO!$AF$7)/$H338*OFFSET(ORÇAMENTO!$X$15,ROW(AJ338)-ROW(AJ$15),0),
              ROUND(ROUND(OFFSET($P338,0,AJ$13),15-13*ORÇAMENTO!$AF$7)*OFFSET(ORÇAMENTO!$W$15,ROW(AJ338)-ROW(AJ$15),0),15-13*ORÇAMENTO!$AF$11)),
         0)</f>
        <v>0</v>
      </c>
      <c r="AK338" s="454">
        <f ca="1">IF(AND($D338="Serviço",AK$12&lt;&gt;0,$H338&gt;0,OR(AUTOEVENTO&lt;&gt;"manual",$M338&lt;&gt;$A$15)),
        IF(Import.TipoArredondamento&lt;&gt;"TransfereGOV",
              ROUND(OFFSET($P338,0,AK$13),15-13*ORÇAMENTO!$AF$7)/$H338*OFFSET(ORÇAMENTO!$X$15,ROW(AK338)-ROW(AK$15),0),
              ROUND(ROUND(OFFSET($P338,0,AK$13),15-13*ORÇAMENTO!$AF$7)*OFFSET(ORÇAMENTO!$W$15,ROW(AK338)-ROW(AK$15),0),15-13*ORÇAMENTO!$AF$11)),
         0)</f>
        <v>0</v>
      </c>
      <c r="AM338" s="172">
        <f ca="1">IF(OR($D338&lt;&gt;"Serviço",AND(AUTOEVENTO="Manual",$M338=$A$15)),0,
         IF(OFFSET(CRONOPLE!$F$15,$M338-$A$15,AM$13)="",10^12,OFFSET(CRONOPLE!$F$15,$M338-$A$15,AM$13)))</f>
        <v>1000000000000</v>
      </c>
      <c r="AN338" s="172">
        <f ca="1">IF(OR($D338&lt;&gt;"Serviço",AND(AUTOEVENTO="Manual",$M338=$A$15)),0,
         IF(OFFSET(CRONOPLE!$F$15,$M338-$A$15,AN$13)="",10^12,OFFSET(CRONOPLE!$F$15,$M338-$A$15,AN$13)))</f>
        <v>1000000000000</v>
      </c>
      <c r="AO338" s="172">
        <f ca="1">IF(OR($D338&lt;&gt;"Serviço",AND(AUTOEVENTO="Manual",$M338=$A$15)),0,
         IF(OFFSET(CRONOPLE!$F$15,$M338-$A$15,AO$13)="",10^12,OFFSET(CRONOPLE!$F$15,$M338-$A$15,AO$13)))</f>
        <v>1000000000000</v>
      </c>
      <c r="AP338" s="172">
        <f ca="1">IF(OR($D338&lt;&gt;"Serviço",AND(AUTOEVENTO="Manual",$M338=$A$15)),0,
         IF(OFFSET(CRONOPLE!$F$15,$M338-$A$15,AP$13)="",10^12,OFFSET(CRONOPLE!$F$15,$M338-$A$15,AP$13)))</f>
        <v>1000000000000</v>
      </c>
      <c r="AQ338" s="172">
        <f ca="1">IF(OR($D338&lt;&gt;"Serviço",AND(AUTOEVENTO="Manual",$M338=$A$15)),0,
         IF(OFFSET(CRONOPLE!$F$15,$M338-$A$15,AQ$13)="",10^12,OFFSET(CRONOPLE!$F$15,$M338-$A$15,AQ$13)))</f>
        <v>1000000000000</v>
      </c>
      <c r="AR338" s="172">
        <f ca="1">IF(OR($D338&lt;&gt;"Serviço",AND(AUTOEVENTO="Manual",$M338=$A$15)),0,
         IF(OFFSET(CRONOPLE!$F$15,$M338-$A$15,AR$13)="",10^12,OFFSET(CRONOPLE!$F$15,$M338-$A$15,AR$13)))</f>
        <v>1000000000000</v>
      </c>
      <c r="AS338" s="172">
        <f ca="1">IF(OR($D338&lt;&gt;"Serviço",AND(AUTOEVENTO="Manual",$M338=$A$15)),0,
         IF(OFFSET(CRONOPLE!$F$15,$M338-$A$15,AS$13)="",10^12,OFFSET(CRONOPLE!$F$15,$M338-$A$15,AS$13)))</f>
        <v>1000000000000</v>
      </c>
      <c r="AT338" s="172">
        <f ca="1">IF(OR($D338&lt;&gt;"Serviço",AND(AUTOEVENTO="Manual",$M338=$A$15)),0,
         IF(OFFSET(CRONOPLE!$F$15,$M338-$A$15,AT$13)="",10^12,OFFSET(CRONOPLE!$F$15,$M338-$A$15,AT$13)))</f>
        <v>1000000000000</v>
      </c>
      <c r="AU338" s="172">
        <f ca="1">IF(OR($D338&lt;&gt;"Serviço",AND(AUTOEVENTO="Manual",$M338=$A$15)),0,
         IF(OFFSET(CRONOPLE!$F$15,$M338-$A$15,AU$13)="",10^12,OFFSET(CRONOPLE!$F$15,$M338-$A$15,AU$13)))</f>
        <v>1000000000000</v>
      </c>
      <c r="AV338" s="172">
        <f ca="1">IF(OR($D338&lt;&gt;"Serviço",AND(AUTOEVENTO="Manual",$M338=$A$15)),0,
         IF(OFFSET(CRONOPLE!$F$15,$M338-$A$15,AV$13)="",10^12,OFFSET(CRONOPLE!$F$15,$M338-$A$15,AV$13)))</f>
        <v>1000000000000</v>
      </c>
      <c r="AX338" s="173">
        <f ca="1">IF(OR($D338&lt;&gt;"Serviço",AND(AUTOEVENTO="Manual",$M338=$A$15),$M338&gt;(ROW(PLE.lastrow)-ROW(PLE.firstrow))),0,
           IF(OFFSET(PLE!$G$15,$M338-$A$15,AX$13)="",10^12,OFFSET(PLE!$G$15,$M338-$A$15,AX$13)))</f>
        <v>1000000000000</v>
      </c>
      <c r="AY338" s="173">
        <f ca="1">IF(OR($D338&lt;&gt;"Serviço",AND(AUTOEVENTO="Manual",$M338=$A$15),$M338&gt;(ROW(PLE.lastrow)-ROW(PLE.firstrow))),0,
           IF(OFFSET(PLE!$G$15,$M338-$A$15,AY$13)="",10^12,OFFSET(PLE!$G$15,$M338-$A$15,AY$13)))</f>
        <v>1000000000000</v>
      </c>
      <c r="AZ338" s="173">
        <f ca="1">IF(OR($D338&lt;&gt;"Serviço",AND(AUTOEVENTO="Manual",$M338=$A$15),$M338&gt;(ROW(PLE.lastrow)-ROW(PLE.firstrow))),0,
           IF(OFFSET(PLE!$G$15,$M338-$A$15,AZ$13)="",10^12,OFFSET(PLE!$G$15,$M338-$A$15,AZ$13)))</f>
        <v>1000000000000</v>
      </c>
      <c r="BA338" s="173">
        <f ca="1">IF(OR($D338&lt;&gt;"Serviço",AND(AUTOEVENTO="Manual",$M338=$A$15),$M338&gt;(ROW(PLE.lastrow)-ROW(PLE.firstrow))),0,
           IF(OFFSET(PLE!$G$15,$M338-$A$15,BA$13)="",10^12,OFFSET(PLE!$G$15,$M338-$A$15,BA$13)))</f>
        <v>1000000000000</v>
      </c>
      <c r="BB338" s="173">
        <f ca="1">IF(OR($D338&lt;&gt;"Serviço",AND(AUTOEVENTO="Manual",$M338=$A$15),$M338&gt;(ROW(PLE.lastrow)-ROW(PLE.firstrow))),0,
           IF(OFFSET(PLE!$G$15,$M338-$A$15,BB$13)="",10^12,OFFSET(PLE!$G$15,$M338-$A$15,BB$13)))</f>
        <v>1000000000000</v>
      </c>
      <c r="BC338" s="173">
        <f ca="1">IF(OR($D338&lt;&gt;"Serviço",AND(AUTOEVENTO="Manual",$M338=$A$15),$M338&gt;(ROW(PLE.lastrow)-ROW(PLE.firstrow))),0,
           IF(OFFSET(PLE!$G$15,$M338-$A$15,BC$13)="",10^12,OFFSET(PLE!$G$15,$M338-$A$15,BC$13)))</f>
        <v>1000000000000</v>
      </c>
      <c r="BD338" s="173">
        <f ca="1">IF(OR($D338&lt;&gt;"Serviço",AND(AUTOEVENTO="Manual",$M338=$A$15),$M338&gt;(ROW(PLE.lastrow)-ROW(PLE.firstrow))),0,
           IF(OFFSET(PLE!$G$15,$M338-$A$15,BD$13)="",10^12,OFFSET(PLE!$G$15,$M338-$A$15,BD$13)))</f>
        <v>1000000000000</v>
      </c>
      <c r="BE338" s="173">
        <f ca="1">IF(OR($D338&lt;&gt;"Serviço",AND(AUTOEVENTO="Manual",$M338=$A$15),$M338&gt;(ROW(PLE.lastrow)-ROW(PLE.firstrow))),0,
           IF(OFFSET(PLE!$G$15,$M338-$A$15,BE$13)="",10^12,OFFSET(PLE!$G$15,$M338-$A$15,BE$13)))</f>
        <v>1000000000000</v>
      </c>
      <c r="BF338" s="173">
        <f ca="1">IF(OR($D338&lt;&gt;"Serviço",AND(AUTOEVENTO="Manual",$M338=$A$15),$M338&gt;(ROW(PLE.lastrow)-ROW(PLE.firstrow))),0,
           IF(OFFSET(PLE!$G$15,$M338-$A$15,BF$13)="",10^12,OFFSET(PLE!$G$15,$M338-$A$15,BF$13)))</f>
        <v>1000000000000</v>
      </c>
      <c r="BG338" s="173">
        <f ca="1">IF(OR($D338&lt;&gt;"Serviço",AND(AUTOEVENTO="Manual",$M338=$A$15),$M338&gt;(ROW(PLE.lastrow)-ROW(PLE.firstrow))),0,
           IF(OFFSET(PLE!$G$15,$M338-$A$15,BG$13)="",10^12,OFFSET(PLE!$G$15,$M338-$A$15,BG$13)))</f>
        <v>1000000000000</v>
      </c>
    </row>
    <row r="339" spans="1:59" ht="38.25" x14ac:dyDescent="0.2">
      <c r="A339" s="7" t="str">
        <f t="shared" ca="1" si="13"/>
        <v>310</v>
      </c>
      <c r="B339" s="7" t="str">
        <f ca="1">OFFSET(ORÇAMENTO!C$15,ROW(B339)-ROW(B$15),0)</f>
        <v>S</v>
      </c>
      <c r="C339" s="7" t="str">
        <f ca="1">OFFSET(ORÇAMENTO!L$15,ROW(C339)-ROW(C$15),0)</f>
        <v/>
      </c>
      <c r="D339" s="117" t="str">
        <f ca="1">OFFSET(ORÇAMENTO!N$15,ROW(D339)-ROW(D$15),0)</f>
        <v>Serviço</v>
      </c>
      <c r="E339" s="118" t="str">
        <f ca="1">OFFSET(ORÇAMENTO!O$15,ROW(E339)-ROW(E$15),0)</f>
        <v>-</v>
      </c>
      <c r="F339" s="164" t="str">
        <f ca="1">OFFSET(ORÇAMENTO!R$15,ROW(F339)-ROW(F$15),0)</f>
        <v>PINTURA COM TINTA ACRÍLICA DE ACABAMENTO PULVERIZADA SOBRE SUPERFÍCIES METÁLICAS (EXCETO PERFIL) EXECUTADO EM OBRA (02 DEMÃOS). AF_01/2020_PE</v>
      </c>
      <c r="G339" s="165" t="str">
        <f ca="1">IF($D339&lt;&gt;"Serviço","",OFFSET(ORÇAMENTO!S$15,ROW(G339)-ROW(G$15),0))</f>
        <v>M2</v>
      </c>
      <c r="H339" s="123">
        <f ca="1">IF($D339&lt;&gt;"Serviço",0,IF(ACOMPANHAMENTO="BM",ROUND(OFFSET(ORÇAMENTO!AJ$15,ROW(H339)-ROW(H$15),0),15-13*ORÇAMENTO!$AF$7),SUMPRODUCT(($Q$1:$AA$1=1)*ROUND($Q339:$AA339,15-13*ORÇAMENTO!$AF$7))))</f>
        <v>84</v>
      </c>
      <c r="I339" s="469"/>
      <c r="J339" s="577" t="str" cm="1">
        <f t="array" aca="1" ref="J339" ca="1">IF(B339&lt;&gt;"S","",IF(AND(ACOMPANHAMENTO="PLE",AUTOEVENTO="Manual",OR(H339&gt;0,ORÇAMENTO!AC339="QUANT."),OR(K339="",M339=0,N339="")),"►",IF(AND(ACOMPANHAMENTO="PLE",ORÇAMENTO!AC339="QUANT."),"►►",IF(AND(COUNTIF($P$11:$AA$11,"▼")=0,H339&gt;0,I339=""),"◄",""))))</f>
        <v>◄</v>
      </c>
      <c r="K339" s="626"/>
      <c r="L339" s="166" t="s">
        <v>765</v>
      </c>
      <c r="M339" s="167">
        <f ca="1">IF($D339&lt;&gt;"Serviço","",
          IF(AUTOEVENTO="manual",$A339,
                IF(ISERROR(MATCH($A339,$A$15:OFFSET($A339,-1,0),0)),MAX($M$15:OFFSET(M339,-1,0))+1,
                      INDEX($M$15:OFFSET(M339,-1,0),MATCH($A339,$A$15:OFFSET($A339,-1,0),0)))))</f>
        <v>17</v>
      </c>
      <c r="N339" s="168" t="str">
        <f ca="1">IF($D339&lt;&gt;"Serviço","",
         IF(AUTOEVENTO="Manual",
                IF($A339=0,"&lt;-- defina o número do agrupador",
                       OFFSET(EVENTOS!$D$15,$A339-$A$15,0)),
                OFFSET($F$15,$A339,0)))</f>
        <v>CENTRAL DE GLP, ABRIGO DE LIXO E SOLÁRIOS</v>
      </c>
      <c r="O339" s="169"/>
      <c r="Q339" s="169"/>
      <c r="R339" s="170"/>
      <c r="S339" s="170"/>
      <c r="T339" s="170"/>
      <c r="U339" s="170"/>
      <c r="V339" s="170"/>
      <c r="W339" s="170"/>
      <c r="X339" s="170"/>
      <c r="Y339" s="170"/>
      <c r="Z339" s="171"/>
      <c r="AB339" s="454">
        <f ca="1">IF(AND($D339="Serviço",AB$12&lt;&gt;0,$H339&gt;0,OR(AUTOEVENTO&lt;&gt;"manual",$M339&lt;&gt;$A$15)),
        IF(Import.TipoArredondamento&lt;&gt;"TransfereGOV",
              ROUND(OFFSET($P339,0,AB$13),15-13*ORÇAMENTO!$AF$7)/$H339*OFFSET(ORÇAMENTO!$X$15,ROW(AB339)-ROW(AB$15),0),
              ROUND(ROUND(OFFSET($P339,0,AB$13),15-13*ORÇAMENTO!$AF$7)*OFFSET(ORÇAMENTO!$W$15,ROW(AB339)-ROW(AB$15),0),15-13*ORÇAMENTO!$AF$11)),
         0)</f>
        <v>0</v>
      </c>
      <c r="AC339" s="454">
        <f ca="1">IF(AND($D339="Serviço",AC$12&lt;&gt;0,$H339&gt;0,OR(AUTOEVENTO&lt;&gt;"manual",$M339&lt;&gt;$A$15)),
        IF(Import.TipoArredondamento&lt;&gt;"TransfereGOV",
              ROUND(OFFSET($P339,0,AC$13),15-13*ORÇAMENTO!$AF$7)/$H339*OFFSET(ORÇAMENTO!$X$15,ROW(AC339)-ROW(AC$15),0),
              ROUND(ROUND(OFFSET($P339,0,AC$13),15-13*ORÇAMENTO!$AF$7)*OFFSET(ORÇAMENTO!$W$15,ROW(AC339)-ROW(AC$15),0),15-13*ORÇAMENTO!$AF$11)),
         0)</f>
        <v>0</v>
      </c>
      <c r="AD339" s="454">
        <f ca="1">IF(AND($D339="Serviço",AD$12&lt;&gt;0,$H339&gt;0,OR(AUTOEVENTO&lt;&gt;"manual",$M339&lt;&gt;$A$15)),
        IF(Import.TipoArredondamento&lt;&gt;"TransfereGOV",
              ROUND(OFFSET($P339,0,AD$13),15-13*ORÇAMENTO!$AF$7)/$H339*OFFSET(ORÇAMENTO!$X$15,ROW(AD339)-ROW(AD$15),0),
              ROUND(ROUND(OFFSET($P339,0,AD$13),15-13*ORÇAMENTO!$AF$7)*OFFSET(ORÇAMENTO!$W$15,ROW(AD339)-ROW(AD$15),0),15-13*ORÇAMENTO!$AF$11)),
         0)</f>
        <v>0</v>
      </c>
      <c r="AE339" s="454">
        <f ca="1">IF(AND($D339="Serviço",AE$12&lt;&gt;0,$H339&gt;0,OR(AUTOEVENTO&lt;&gt;"manual",$M339&lt;&gt;$A$15)),
        IF(Import.TipoArredondamento&lt;&gt;"TransfereGOV",
              ROUND(OFFSET($P339,0,AE$13),15-13*ORÇAMENTO!$AF$7)/$H339*OFFSET(ORÇAMENTO!$X$15,ROW(AE339)-ROW(AE$15),0),
              ROUND(ROUND(OFFSET($P339,0,AE$13),15-13*ORÇAMENTO!$AF$7)*OFFSET(ORÇAMENTO!$W$15,ROW(AE339)-ROW(AE$15),0),15-13*ORÇAMENTO!$AF$11)),
         0)</f>
        <v>0</v>
      </c>
      <c r="AF339" s="454">
        <f ca="1">IF(AND($D339="Serviço",AF$12&lt;&gt;0,$H339&gt;0,OR(AUTOEVENTO&lt;&gt;"manual",$M339&lt;&gt;$A$15)),
        IF(Import.TipoArredondamento&lt;&gt;"TransfereGOV",
              ROUND(OFFSET($P339,0,AF$13),15-13*ORÇAMENTO!$AF$7)/$H339*OFFSET(ORÇAMENTO!$X$15,ROW(AF339)-ROW(AF$15),0),
              ROUND(ROUND(OFFSET($P339,0,AF$13),15-13*ORÇAMENTO!$AF$7)*OFFSET(ORÇAMENTO!$W$15,ROW(AF339)-ROW(AF$15),0),15-13*ORÇAMENTO!$AF$11)),
         0)</f>
        <v>0</v>
      </c>
      <c r="AG339" s="454">
        <f ca="1">IF(AND($D339="Serviço",AG$12&lt;&gt;0,$H339&gt;0,OR(AUTOEVENTO&lt;&gt;"manual",$M339&lt;&gt;$A$15)),
        IF(Import.TipoArredondamento&lt;&gt;"TransfereGOV",
              ROUND(OFFSET($P339,0,AG$13),15-13*ORÇAMENTO!$AF$7)/$H339*OFFSET(ORÇAMENTO!$X$15,ROW(AG339)-ROW(AG$15),0),
              ROUND(ROUND(OFFSET($P339,0,AG$13),15-13*ORÇAMENTO!$AF$7)*OFFSET(ORÇAMENTO!$W$15,ROW(AG339)-ROW(AG$15),0),15-13*ORÇAMENTO!$AF$11)),
         0)</f>
        <v>0</v>
      </c>
      <c r="AH339" s="454">
        <f ca="1">IF(AND($D339="Serviço",AH$12&lt;&gt;0,$H339&gt;0,OR(AUTOEVENTO&lt;&gt;"manual",$M339&lt;&gt;$A$15)),
        IF(Import.TipoArredondamento&lt;&gt;"TransfereGOV",
              ROUND(OFFSET($P339,0,AH$13),15-13*ORÇAMENTO!$AF$7)/$H339*OFFSET(ORÇAMENTO!$X$15,ROW(AH339)-ROW(AH$15),0),
              ROUND(ROUND(OFFSET($P339,0,AH$13),15-13*ORÇAMENTO!$AF$7)*OFFSET(ORÇAMENTO!$W$15,ROW(AH339)-ROW(AH$15),0),15-13*ORÇAMENTO!$AF$11)),
         0)</f>
        <v>0</v>
      </c>
      <c r="AI339" s="454">
        <f ca="1">IF(AND($D339="Serviço",AI$12&lt;&gt;0,$H339&gt;0,OR(AUTOEVENTO&lt;&gt;"manual",$M339&lt;&gt;$A$15)),
        IF(Import.TipoArredondamento&lt;&gt;"TransfereGOV",
              ROUND(OFFSET($P339,0,AI$13),15-13*ORÇAMENTO!$AF$7)/$H339*OFFSET(ORÇAMENTO!$X$15,ROW(AI339)-ROW(AI$15),0),
              ROUND(ROUND(OFFSET($P339,0,AI$13),15-13*ORÇAMENTO!$AF$7)*OFFSET(ORÇAMENTO!$W$15,ROW(AI339)-ROW(AI$15),0),15-13*ORÇAMENTO!$AF$11)),
         0)</f>
        <v>0</v>
      </c>
      <c r="AJ339" s="454">
        <f ca="1">IF(AND($D339="Serviço",AJ$12&lt;&gt;0,$H339&gt;0,OR(AUTOEVENTO&lt;&gt;"manual",$M339&lt;&gt;$A$15)),
        IF(Import.TipoArredondamento&lt;&gt;"TransfereGOV",
              ROUND(OFFSET($P339,0,AJ$13),15-13*ORÇAMENTO!$AF$7)/$H339*OFFSET(ORÇAMENTO!$X$15,ROW(AJ339)-ROW(AJ$15),0),
              ROUND(ROUND(OFFSET($P339,0,AJ$13),15-13*ORÇAMENTO!$AF$7)*OFFSET(ORÇAMENTO!$W$15,ROW(AJ339)-ROW(AJ$15),0),15-13*ORÇAMENTO!$AF$11)),
         0)</f>
        <v>0</v>
      </c>
      <c r="AK339" s="454">
        <f ca="1">IF(AND($D339="Serviço",AK$12&lt;&gt;0,$H339&gt;0,OR(AUTOEVENTO&lt;&gt;"manual",$M339&lt;&gt;$A$15)),
        IF(Import.TipoArredondamento&lt;&gt;"TransfereGOV",
              ROUND(OFFSET($P339,0,AK$13),15-13*ORÇAMENTO!$AF$7)/$H339*OFFSET(ORÇAMENTO!$X$15,ROW(AK339)-ROW(AK$15),0),
              ROUND(ROUND(OFFSET($P339,0,AK$13),15-13*ORÇAMENTO!$AF$7)*OFFSET(ORÇAMENTO!$W$15,ROW(AK339)-ROW(AK$15),0),15-13*ORÇAMENTO!$AF$11)),
         0)</f>
        <v>0</v>
      </c>
      <c r="AM339" s="172">
        <f ca="1">IF(OR($D339&lt;&gt;"Serviço",AND(AUTOEVENTO="Manual",$M339=$A$15)),0,
         IF(OFFSET(CRONOPLE!$F$15,$M339-$A$15,AM$13)="",10^12,OFFSET(CRONOPLE!$F$15,$M339-$A$15,AM$13)))</f>
        <v>1000000000000</v>
      </c>
      <c r="AN339" s="172">
        <f ca="1">IF(OR($D339&lt;&gt;"Serviço",AND(AUTOEVENTO="Manual",$M339=$A$15)),0,
         IF(OFFSET(CRONOPLE!$F$15,$M339-$A$15,AN$13)="",10^12,OFFSET(CRONOPLE!$F$15,$M339-$A$15,AN$13)))</f>
        <v>1000000000000</v>
      </c>
      <c r="AO339" s="172">
        <f ca="1">IF(OR($D339&lt;&gt;"Serviço",AND(AUTOEVENTO="Manual",$M339=$A$15)),0,
         IF(OFFSET(CRONOPLE!$F$15,$M339-$A$15,AO$13)="",10^12,OFFSET(CRONOPLE!$F$15,$M339-$A$15,AO$13)))</f>
        <v>1000000000000</v>
      </c>
      <c r="AP339" s="172">
        <f ca="1">IF(OR($D339&lt;&gt;"Serviço",AND(AUTOEVENTO="Manual",$M339=$A$15)),0,
         IF(OFFSET(CRONOPLE!$F$15,$M339-$A$15,AP$13)="",10^12,OFFSET(CRONOPLE!$F$15,$M339-$A$15,AP$13)))</f>
        <v>1000000000000</v>
      </c>
      <c r="AQ339" s="172">
        <f ca="1">IF(OR($D339&lt;&gt;"Serviço",AND(AUTOEVENTO="Manual",$M339=$A$15)),0,
         IF(OFFSET(CRONOPLE!$F$15,$M339-$A$15,AQ$13)="",10^12,OFFSET(CRONOPLE!$F$15,$M339-$A$15,AQ$13)))</f>
        <v>1000000000000</v>
      </c>
      <c r="AR339" s="172">
        <f ca="1">IF(OR($D339&lt;&gt;"Serviço",AND(AUTOEVENTO="Manual",$M339=$A$15)),0,
         IF(OFFSET(CRONOPLE!$F$15,$M339-$A$15,AR$13)="",10^12,OFFSET(CRONOPLE!$F$15,$M339-$A$15,AR$13)))</f>
        <v>1000000000000</v>
      </c>
      <c r="AS339" s="172">
        <f ca="1">IF(OR($D339&lt;&gt;"Serviço",AND(AUTOEVENTO="Manual",$M339=$A$15)),0,
         IF(OFFSET(CRONOPLE!$F$15,$M339-$A$15,AS$13)="",10^12,OFFSET(CRONOPLE!$F$15,$M339-$A$15,AS$13)))</f>
        <v>1000000000000</v>
      </c>
      <c r="AT339" s="172">
        <f ca="1">IF(OR($D339&lt;&gt;"Serviço",AND(AUTOEVENTO="Manual",$M339=$A$15)),0,
         IF(OFFSET(CRONOPLE!$F$15,$M339-$A$15,AT$13)="",10^12,OFFSET(CRONOPLE!$F$15,$M339-$A$15,AT$13)))</f>
        <v>1000000000000</v>
      </c>
      <c r="AU339" s="172">
        <f ca="1">IF(OR($D339&lt;&gt;"Serviço",AND(AUTOEVENTO="Manual",$M339=$A$15)),0,
         IF(OFFSET(CRONOPLE!$F$15,$M339-$A$15,AU$13)="",10^12,OFFSET(CRONOPLE!$F$15,$M339-$A$15,AU$13)))</f>
        <v>1000000000000</v>
      </c>
      <c r="AV339" s="172">
        <f ca="1">IF(OR($D339&lt;&gt;"Serviço",AND(AUTOEVENTO="Manual",$M339=$A$15)),0,
         IF(OFFSET(CRONOPLE!$F$15,$M339-$A$15,AV$13)="",10^12,OFFSET(CRONOPLE!$F$15,$M339-$A$15,AV$13)))</f>
        <v>1000000000000</v>
      </c>
      <c r="AX339" s="173">
        <f ca="1">IF(OR($D339&lt;&gt;"Serviço",AND(AUTOEVENTO="Manual",$M339=$A$15),$M339&gt;(ROW(PLE.lastrow)-ROW(PLE.firstrow))),0,
           IF(OFFSET(PLE!$G$15,$M339-$A$15,AX$13)="",10^12,OFFSET(PLE!$G$15,$M339-$A$15,AX$13)))</f>
        <v>1000000000000</v>
      </c>
      <c r="AY339" s="173">
        <f ca="1">IF(OR($D339&lt;&gt;"Serviço",AND(AUTOEVENTO="Manual",$M339=$A$15),$M339&gt;(ROW(PLE.lastrow)-ROW(PLE.firstrow))),0,
           IF(OFFSET(PLE!$G$15,$M339-$A$15,AY$13)="",10^12,OFFSET(PLE!$G$15,$M339-$A$15,AY$13)))</f>
        <v>1000000000000</v>
      </c>
      <c r="AZ339" s="173">
        <f ca="1">IF(OR($D339&lt;&gt;"Serviço",AND(AUTOEVENTO="Manual",$M339=$A$15),$M339&gt;(ROW(PLE.lastrow)-ROW(PLE.firstrow))),0,
           IF(OFFSET(PLE!$G$15,$M339-$A$15,AZ$13)="",10^12,OFFSET(PLE!$G$15,$M339-$A$15,AZ$13)))</f>
        <v>1000000000000</v>
      </c>
      <c r="BA339" s="173">
        <f ca="1">IF(OR($D339&lt;&gt;"Serviço",AND(AUTOEVENTO="Manual",$M339=$A$15),$M339&gt;(ROW(PLE.lastrow)-ROW(PLE.firstrow))),0,
           IF(OFFSET(PLE!$G$15,$M339-$A$15,BA$13)="",10^12,OFFSET(PLE!$G$15,$M339-$A$15,BA$13)))</f>
        <v>1000000000000</v>
      </c>
      <c r="BB339" s="173">
        <f ca="1">IF(OR($D339&lt;&gt;"Serviço",AND(AUTOEVENTO="Manual",$M339=$A$15),$M339&gt;(ROW(PLE.lastrow)-ROW(PLE.firstrow))),0,
           IF(OFFSET(PLE!$G$15,$M339-$A$15,BB$13)="",10^12,OFFSET(PLE!$G$15,$M339-$A$15,BB$13)))</f>
        <v>1000000000000</v>
      </c>
      <c r="BC339" s="173">
        <f ca="1">IF(OR($D339&lt;&gt;"Serviço",AND(AUTOEVENTO="Manual",$M339=$A$15),$M339&gt;(ROW(PLE.lastrow)-ROW(PLE.firstrow))),0,
           IF(OFFSET(PLE!$G$15,$M339-$A$15,BC$13)="",10^12,OFFSET(PLE!$G$15,$M339-$A$15,BC$13)))</f>
        <v>1000000000000</v>
      </c>
      <c r="BD339" s="173">
        <f ca="1">IF(OR($D339&lt;&gt;"Serviço",AND(AUTOEVENTO="Manual",$M339=$A$15),$M339&gt;(ROW(PLE.lastrow)-ROW(PLE.firstrow))),0,
           IF(OFFSET(PLE!$G$15,$M339-$A$15,BD$13)="",10^12,OFFSET(PLE!$G$15,$M339-$A$15,BD$13)))</f>
        <v>1000000000000</v>
      </c>
      <c r="BE339" s="173">
        <f ca="1">IF(OR($D339&lt;&gt;"Serviço",AND(AUTOEVENTO="Manual",$M339=$A$15),$M339&gt;(ROW(PLE.lastrow)-ROW(PLE.firstrow))),0,
           IF(OFFSET(PLE!$G$15,$M339-$A$15,BE$13)="",10^12,OFFSET(PLE!$G$15,$M339-$A$15,BE$13)))</f>
        <v>1000000000000</v>
      </c>
      <c r="BF339" s="173">
        <f ca="1">IF(OR($D339&lt;&gt;"Serviço",AND(AUTOEVENTO="Manual",$M339=$A$15),$M339&gt;(ROW(PLE.lastrow)-ROW(PLE.firstrow))),0,
           IF(OFFSET(PLE!$G$15,$M339-$A$15,BF$13)="",10^12,OFFSET(PLE!$G$15,$M339-$A$15,BF$13)))</f>
        <v>1000000000000</v>
      </c>
      <c r="BG339" s="173">
        <f ca="1">IF(OR($D339&lt;&gt;"Serviço",AND(AUTOEVENTO="Manual",$M339=$A$15),$M339&gt;(ROW(PLE.lastrow)-ROW(PLE.firstrow))),0,
           IF(OFFSET(PLE!$G$15,$M339-$A$15,BG$13)="",10^12,OFFSET(PLE!$G$15,$M339-$A$15,BG$13)))</f>
        <v>1000000000000</v>
      </c>
    </row>
    <row r="340" spans="1:59" ht="25.5" x14ac:dyDescent="0.2">
      <c r="A340" s="7" t="str">
        <f t="shared" ca="1" si="13"/>
        <v>310</v>
      </c>
      <c r="B340" s="7" t="str">
        <f ca="1">OFFSET(ORÇAMENTO!C$15,ROW(B340)-ROW(B$15),0)</f>
        <v>S</v>
      </c>
      <c r="C340" s="7" t="str">
        <f ca="1">OFFSET(ORÇAMENTO!L$15,ROW(C340)-ROW(C$15),0)</f>
        <v/>
      </c>
      <c r="D340" s="117" t="str">
        <f ca="1">OFFSET(ORÇAMENTO!N$15,ROW(D340)-ROW(D$15),0)</f>
        <v>Serviço</v>
      </c>
      <c r="E340" s="118" t="str">
        <f ca="1">OFFSET(ORÇAMENTO!O$15,ROW(E340)-ROW(E$15),0)</f>
        <v>-</v>
      </c>
      <c r="F340" s="164" t="str">
        <f ca="1">OFFSET(ORÇAMENTO!R$15,ROW(F340)-ROW(F$15),0)</f>
        <v>PEDREIRO COM ENCARGOS COMPLEMENTARES</v>
      </c>
      <c r="G340" s="165" t="str">
        <f ca="1">IF($D340&lt;&gt;"Serviço","",OFFSET(ORÇAMENTO!S$15,ROW(G340)-ROW(G$15),0))</f>
        <v>H</v>
      </c>
      <c r="H340" s="123">
        <f ca="1">IF($D340&lt;&gt;"Serviço",0,IF(ACOMPANHAMENTO="BM",ROUND(OFFSET(ORÇAMENTO!AJ$15,ROW(H340)-ROW(H$15),0),15-13*ORÇAMENTO!$AF$7),SUMPRODUCT(($Q$1:$AA$1=1)*ROUND($Q340:$AA340,15-13*ORÇAMENTO!$AF$7))))</f>
        <v>8</v>
      </c>
      <c r="I340" s="469"/>
      <c r="J340" s="577" t="str" cm="1">
        <f t="array" aca="1" ref="J340" ca="1">IF(B340&lt;&gt;"S","",IF(AND(ACOMPANHAMENTO="PLE",AUTOEVENTO="Manual",OR(H340&gt;0,ORÇAMENTO!AC340="QUANT."),OR(K340="",M340=0,N340="")),"►",IF(AND(ACOMPANHAMENTO="PLE",ORÇAMENTO!AC340="QUANT."),"►►",IF(AND(COUNTIF($P$11:$AA$11,"▼")=0,H340&gt;0,I340=""),"◄",""))))</f>
        <v>◄</v>
      </c>
      <c r="K340" s="626"/>
      <c r="L340" s="166" t="s">
        <v>765</v>
      </c>
      <c r="M340" s="167">
        <f ca="1">IF($D340&lt;&gt;"Serviço","",
          IF(AUTOEVENTO="manual",$A340,
                IF(ISERROR(MATCH($A340,$A$15:OFFSET($A340,-1,0),0)),MAX($M$15:OFFSET(M340,-1,0))+1,
                      INDEX($M$15:OFFSET(M340,-1,0),MATCH($A340,$A$15:OFFSET($A340,-1,0),0)))))</f>
        <v>17</v>
      </c>
      <c r="N340" s="168" t="str">
        <f ca="1">IF($D340&lt;&gt;"Serviço","",
         IF(AUTOEVENTO="Manual",
                IF($A340=0,"&lt;-- defina o número do agrupador",
                       OFFSET(EVENTOS!$D$15,$A340-$A$15,0)),
                OFFSET($F$15,$A340,0)))</f>
        <v>CENTRAL DE GLP, ABRIGO DE LIXO E SOLÁRIOS</v>
      </c>
      <c r="O340" s="169"/>
      <c r="Q340" s="169"/>
      <c r="R340" s="170"/>
      <c r="S340" s="170"/>
      <c r="T340" s="170"/>
      <c r="U340" s="170"/>
      <c r="V340" s="170"/>
      <c r="W340" s="170"/>
      <c r="X340" s="170"/>
      <c r="Y340" s="170"/>
      <c r="Z340" s="171"/>
      <c r="AB340" s="454">
        <f ca="1">IF(AND($D340="Serviço",AB$12&lt;&gt;0,$H340&gt;0,OR(AUTOEVENTO&lt;&gt;"manual",$M340&lt;&gt;$A$15)),
        IF(Import.TipoArredondamento&lt;&gt;"TransfereGOV",
              ROUND(OFFSET($P340,0,AB$13),15-13*ORÇAMENTO!$AF$7)/$H340*OFFSET(ORÇAMENTO!$X$15,ROW(AB340)-ROW(AB$15),0),
              ROUND(ROUND(OFFSET($P340,0,AB$13),15-13*ORÇAMENTO!$AF$7)*OFFSET(ORÇAMENTO!$W$15,ROW(AB340)-ROW(AB$15),0),15-13*ORÇAMENTO!$AF$11)),
         0)</f>
        <v>0</v>
      </c>
      <c r="AC340" s="454">
        <f ca="1">IF(AND($D340="Serviço",AC$12&lt;&gt;0,$H340&gt;0,OR(AUTOEVENTO&lt;&gt;"manual",$M340&lt;&gt;$A$15)),
        IF(Import.TipoArredondamento&lt;&gt;"TransfereGOV",
              ROUND(OFFSET($P340,0,AC$13),15-13*ORÇAMENTO!$AF$7)/$H340*OFFSET(ORÇAMENTO!$X$15,ROW(AC340)-ROW(AC$15),0),
              ROUND(ROUND(OFFSET($P340,0,AC$13),15-13*ORÇAMENTO!$AF$7)*OFFSET(ORÇAMENTO!$W$15,ROW(AC340)-ROW(AC$15),0),15-13*ORÇAMENTO!$AF$11)),
         0)</f>
        <v>0</v>
      </c>
      <c r="AD340" s="454">
        <f ca="1">IF(AND($D340="Serviço",AD$12&lt;&gt;0,$H340&gt;0,OR(AUTOEVENTO&lt;&gt;"manual",$M340&lt;&gt;$A$15)),
        IF(Import.TipoArredondamento&lt;&gt;"TransfereGOV",
              ROUND(OFFSET($P340,0,AD$13),15-13*ORÇAMENTO!$AF$7)/$H340*OFFSET(ORÇAMENTO!$X$15,ROW(AD340)-ROW(AD$15),0),
              ROUND(ROUND(OFFSET($P340,0,AD$13),15-13*ORÇAMENTO!$AF$7)*OFFSET(ORÇAMENTO!$W$15,ROW(AD340)-ROW(AD$15),0),15-13*ORÇAMENTO!$AF$11)),
         0)</f>
        <v>0</v>
      </c>
      <c r="AE340" s="454">
        <f ca="1">IF(AND($D340="Serviço",AE$12&lt;&gt;0,$H340&gt;0,OR(AUTOEVENTO&lt;&gt;"manual",$M340&lt;&gt;$A$15)),
        IF(Import.TipoArredondamento&lt;&gt;"TransfereGOV",
              ROUND(OFFSET($P340,0,AE$13),15-13*ORÇAMENTO!$AF$7)/$H340*OFFSET(ORÇAMENTO!$X$15,ROW(AE340)-ROW(AE$15),0),
              ROUND(ROUND(OFFSET($P340,0,AE$13),15-13*ORÇAMENTO!$AF$7)*OFFSET(ORÇAMENTO!$W$15,ROW(AE340)-ROW(AE$15),0),15-13*ORÇAMENTO!$AF$11)),
         0)</f>
        <v>0</v>
      </c>
      <c r="AF340" s="454">
        <f ca="1">IF(AND($D340="Serviço",AF$12&lt;&gt;0,$H340&gt;0,OR(AUTOEVENTO&lt;&gt;"manual",$M340&lt;&gt;$A$15)),
        IF(Import.TipoArredondamento&lt;&gt;"TransfereGOV",
              ROUND(OFFSET($P340,0,AF$13),15-13*ORÇAMENTO!$AF$7)/$H340*OFFSET(ORÇAMENTO!$X$15,ROW(AF340)-ROW(AF$15),0),
              ROUND(ROUND(OFFSET($P340,0,AF$13),15-13*ORÇAMENTO!$AF$7)*OFFSET(ORÇAMENTO!$W$15,ROW(AF340)-ROW(AF$15),0),15-13*ORÇAMENTO!$AF$11)),
         0)</f>
        <v>0</v>
      </c>
      <c r="AG340" s="454">
        <f ca="1">IF(AND($D340="Serviço",AG$12&lt;&gt;0,$H340&gt;0,OR(AUTOEVENTO&lt;&gt;"manual",$M340&lt;&gt;$A$15)),
        IF(Import.TipoArredondamento&lt;&gt;"TransfereGOV",
              ROUND(OFFSET($P340,0,AG$13),15-13*ORÇAMENTO!$AF$7)/$H340*OFFSET(ORÇAMENTO!$X$15,ROW(AG340)-ROW(AG$15),0),
              ROUND(ROUND(OFFSET($P340,0,AG$13),15-13*ORÇAMENTO!$AF$7)*OFFSET(ORÇAMENTO!$W$15,ROW(AG340)-ROW(AG$15),0),15-13*ORÇAMENTO!$AF$11)),
         0)</f>
        <v>0</v>
      </c>
      <c r="AH340" s="454">
        <f ca="1">IF(AND($D340="Serviço",AH$12&lt;&gt;0,$H340&gt;0,OR(AUTOEVENTO&lt;&gt;"manual",$M340&lt;&gt;$A$15)),
        IF(Import.TipoArredondamento&lt;&gt;"TransfereGOV",
              ROUND(OFFSET($P340,0,AH$13),15-13*ORÇAMENTO!$AF$7)/$H340*OFFSET(ORÇAMENTO!$X$15,ROW(AH340)-ROW(AH$15),0),
              ROUND(ROUND(OFFSET($P340,0,AH$13),15-13*ORÇAMENTO!$AF$7)*OFFSET(ORÇAMENTO!$W$15,ROW(AH340)-ROW(AH$15),0),15-13*ORÇAMENTO!$AF$11)),
         0)</f>
        <v>0</v>
      </c>
      <c r="AI340" s="454">
        <f ca="1">IF(AND($D340="Serviço",AI$12&lt;&gt;0,$H340&gt;0,OR(AUTOEVENTO&lt;&gt;"manual",$M340&lt;&gt;$A$15)),
        IF(Import.TipoArredondamento&lt;&gt;"TransfereGOV",
              ROUND(OFFSET($P340,0,AI$13),15-13*ORÇAMENTO!$AF$7)/$H340*OFFSET(ORÇAMENTO!$X$15,ROW(AI340)-ROW(AI$15),0),
              ROUND(ROUND(OFFSET($P340,0,AI$13),15-13*ORÇAMENTO!$AF$7)*OFFSET(ORÇAMENTO!$W$15,ROW(AI340)-ROW(AI$15),0),15-13*ORÇAMENTO!$AF$11)),
         0)</f>
        <v>0</v>
      </c>
      <c r="AJ340" s="454">
        <f ca="1">IF(AND($D340="Serviço",AJ$12&lt;&gt;0,$H340&gt;0,OR(AUTOEVENTO&lt;&gt;"manual",$M340&lt;&gt;$A$15)),
        IF(Import.TipoArredondamento&lt;&gt;"TransfereGOV",
              ROUND(OFFSET($P340,0,AJ$13),15-13*ORÇAMENTO!$AF$7)/$H340*OFFSET(ORÇAMENTO!$X$15,ROW(AJ340)-ROW(AJ$15),0),
              ROUND(ROUND(OFFSET($P340,0,AJ$13),15-13*ORÇAMENTO!$AF$7)*OFFSET(ORÇAMENTO!$W$15,ROW(AJ340)-ROW(AJ$15),0),15-13*ORÇAMENTO!$AF$11)),
         0)</f>
        <v>0</v>
      </c>
      <c r="AK340" s="454">
        <f ca="1">IF(AND($D340="Serviço",AK$12&lt;&gt;0,$H340&gt;0,OR(AUTOEVENTO&lt;&gt;"manual",$M340&lt;&gt;$A$15)),
        IF(Import.TipoArredondamento&lt;&gt;"TransfereGOV",
              ROUND(OFFSET($P340,0,AK$13),15-13*ORÇAMENTO!$AF$7)/$H340*OFFSET(ORÇAMENTO!$X$15,ROW(AK340)-ROW(AK$15),0),
              ROUND(ROUND(OFFSET($P340,0,AK$13),15-13*ORÇAMENTO!$AF$7)*OFFSET(ORÇAMENTO!$W$15,ROW(AK340)-ROW(AK$15),0),15-13*ORÇAMENTO!$AF$11)),
         0)</f>
        <v>0</v>
      </c>
      <c r="AM340" s="172">
        <f ca="1">IF(OR($D340&lt;&gt;"Serviço",AND(AUTOEVENTO="Manual",$M340=$A$15)),0,
         IF(OFFSET(CRONOPLE!$F$15,$M340-$A$15,AM$13)="",10^12,OFFSET(CRONOPLE!$F$15,$M340-$A$15,AM$13)))</f>
        <v>1000000000000</v>
      </c>
      <c r="AN340" s="172">
        <f ca="1">IF(OR($D340&lt;&gt;"Serviço",AND(AUTOEVENTO="Manual",$M340=$A$15)),0,
         IF(OFFSET(CRONOPLE!$F$15,$M340-$A$15,AN$13)="",10^12,OFFSET(CRONOPLE!$F$15,$M340-$A$15,AN$13)))</f>
        <v>1000000000000</v>
      </c>
      <c r="AO340" s="172">
        <f ca="1">IF(OR($D340&lt;&gt;"Serviço",AND(AUTOEVENTO="Manual",$M340=$A$15)),0,
         IF(OFFSET(CRONOPLE!$F$15,$M340-$A$15,AO$13)="",10^12,OFFSET(CRONOPLE!$F$15,$M340-$A$15,AO$13)))</f>
        <v>1000000000000</v>
      </c>
      <c r="AP340" s="172">
        <f ca="1">IF(OR($D340&lt;&gt;"Serviço",AND(AUTOEVENTO="Manual",$M340=$A$15)),0,
         IF(OFFSET(CRONOPLE!$F$15,$M340-$A$15,AP$13)="",10^12,OFFSET(CRONOPLE!$F$15,$M340-$A$15,AP$13)))</f>
        <v>1000000000000</v>
      </c>
      <c r="AQ340" s="172">
        <f ca="1">IF(OR($D340&lt;&gt;"Serviço",AND(AUTOEVENTO="Manual",$M340=$A$15)),0,
         IF(OFFSET(CRONOPLE!$F$15,$M340-$A$15,AQ$13)="",10^12,OFFSET(CRONOPLE!$F$15,$M340-$A$15,AQ$13)))</f>
        <v>1000000000000</v>
      </c>
      <c r="AR340" s="172">
        <f ca="1">IF(OR($D340&lt;&gt;"Serviço",AND(AUTOEVENTO="Manual",$M340=$A$15)),0,
         IF(OFFSET(CRONOPLE!$F$15,$M340-$A$15,AR$13)="",10^12,OFFSET(CRONOPLE!$F$15,$M340-$A$15,AR$13)))</f>
        <v>1000000000000</v>
      </c>
      <c r="AS340" s="172">
        <f ca="1">IF(OR($D340&lt;&gt;"Serviço",AND(AUTOEVENTO="Manual",$M340=$A$15)),0,
         IF(OFFSET(CRONOPLE!$F$15,$M340-$A$15,AS$13)="",10^12,OFFSET(CRONOPLE!$F$15,$M340-$A$15,AS$13)))</f>
        <v>1000000000000</v>
      </c>
      <c r="AT340" s="172">
        <f ca="1">IF(OR($D340&lt;&gt;"Serviço",AND(AUTOEVENTO="Manual",$M340=$A$15)),0,
         IF(OFFSET(CRONOPLE!$F$15,$M340-$A$15,AT$13)="",10^12,OFFSET(CRONOPLE!$F$15,$M340-$A$15,AT$13)))</f>
        <v>1000000000000</v>
      </c>
      <c r="AU340" s="172">
        <f ca="1">IF(OR($D340&lt;&gt;"Serviço",AND(AUTOEVENTO="Manual",$M340=$A$15)),0,
         IF(OFFSET(CRONOPLE!$F$15,$M340-$A$15,AU$13)="",10^12,OFFSET(CRONOPLE!$F$15,$M340-$A$15,AU$13)))</f>
        <v>1000000000000</v>
      </c>
      <c r="AV340" s="172">
        <f ca="1">IF(OR($D340&lt;&gt;"Serviço",AND(AUTOEVENTO="Manual",$M340=$A$15)),0,
         IF(OFFSET(CRONOPLE!$F$15,$M340-$A$15,AV$13)="",10^12,OFFSET(CRONOPLE!$F$15,$M340-$A$15,AV$13)))</f>
        <v>1000000000000</v>
      </c>
      <c r="AX340" s="173">
        <f ca="1">IF(OR($D340&lt;&gt;"Serviço",AND(AUTOEVENTO="Manual",$M340=$A$15),$M340&gt;(ROW(PLE.lastrow)-ROW(PLE.firstrow))),0,
           IF(OFFSET(PLE!$G$15,$M340-$A$15,AX$13)="",10^12,OFFSET(PLE!$G$15,$M340-$A$15,AX$13)))</f>
        <v>1000000000000</v>
      </c>
      <c r="AY340" s="173">
        <f ca="1">IF(OR($D340&lt;&gt;"Serviço",AND(AUTOEVENTO="Manual",$M340=$A$15),$M340&gt;(ROW(PLE.lastrow)-ROW(PLE.firstrow))),0,
           IF(OFFSET(PLE!$G$15,$M340-$A$15,AY$13)="",10^12,OFFSET(PLE!$G$15,$M340-$A$15,AY$13)))</f>
        <v>1000000000000</v>
      </c>
      <c r="AZ340" s="173">
        <f ca="1">IF(OR($D340&lt;&gt;"Serviço",AND(AUTOEVENTO="Manual",$M340=$A$15),$M340&gt;(ROW(PLE.lastrow)-ROW(PLE.firstrow))),0,
           IF(OFFSET(PLE!$G$15,$M340-$A$15,AZ$13)="",10^12,OFFSET(PLE!$G$15,$M340-$A$15,AZ$13)))</f>
        <v>1000000000000</v>
      </c>
      <c r="BA340" s="173">
        <f ca="1">IF(OR($D340&lt;&gt;"Serviço",AND(AUTOEVENTO="Manual",$M340=$A$15),$M340&gt;(ROW(PLE.lastrow)-ROW(PLE.firstrow))),0,
           IF(OFFSET(PLE!$G$15,$M340-$A$15,BA$13)="",10^12,OFFSET(PLE!$G$15,$M340-$A$15,BA$13)))</f>
        <v>1000000000000</v>
      </c>
      <c r="BB340" s="173">
        <f ca="1">IF(OR($D340&lt;&gt;"Serviço",AND(AUTOEVENTO="Manual",$M340=$A$15),$M340&gt;(ROW(PLE.lastrow)-ROW(PLE.firstrow))),0,
           IF(OFFSET(PLE!$G$15,$M340-$A$15,BB$13)="",10^12,OFFSET(PLE!$G$15,$M340-$A$15,BB$13)))</f>
        <v>1000000000000</v>
      </c>
      <c r="BC340" s="173">
        <f ca="1">IF(OR($D340&lt;&gt;"Serviço",AND(AUTOEVENTO="Manual",$M340=$A$15),$M340&gt;(ROW(PLE.lastrow)-ROW(PLE.firstrow))),0,
           IF(OFFSET(PLE!$G$15,$M340-$A$15,BC$13)="",10^12,OFFSET(PLE!$G$15,$M340-$A$15,BC$13)))</f>
        <v>1000000000000</v>
      </c>
      <c r="BD340" s="173">
        <f ca="1">IF(OR($D340&lt;&gt;"Serviço",AND(AUTOEVENTO="Manual",$M340=$A$15),$M340&gt;(ROW(PLE.lastrow)-ROW(PLE.firstrow))),0,
           IF(OFFSET(PLE!$G$15,$M340-$A$15,BD$13)="",10^12,OFFSET(PLE!$G$15,$M340-$A$15,BD$13)))</f>
        <v>1000000000000</v>
      </c>
      <c r="BE340" s="173">
        <f ca="1">IF(OR($D340&lt;&gt;"Serviço",AND(AUTOEVENTO="Manual",$M340=$A$15),$M340&gt;(ROW(PLE.lastrow)-ROW(PLE.firstrow))),0,
           IF(OFFSET(PLE!$G$15,$M340-$A$15,BE$13)="",10^12,OFFSET(PLE!$G$15,$M340-$A$15,BE$13)))</f>
        <v>1000000000000</v>
      </c>
      <c r="BF340" s="173">
        <f ca="1">IF(OR($D340&lt;&gt;"Serviço",AND(AUTOEVENTO="Manual",$M340=$A$15),$M340&gt;(ROW(PLE.lastrow)-ROW(PLE.firstrow))),0,
           IF(OFFSET(PLE!$G$15,$M340-$A$15,BF$13)="",10^12,OFFSET(PLE!$G$15,$M340-$A$15,BF$13)))</f>
        <v>1000000000000</v>
      </c>
      <c r="BG340" s="173">
        <f ca="1">IF(OR($D340&lt;&gt;"Serviço",AND(AUTOEVENTO="Manual",$M340=$A$15),$M340&gt;(ROW(PLE.lastrow)-ROW(PLE.firstrow))),0,
           IF(OFFSET(PLE!$G$15,$M340-$A$15,BG$13)="",10^12,OFFSET(PLE!$G$15,$M340-$A$15,BG$13)))</f>
        <v>1000000000000</v>
      </c>
    </row>
    <row r="341" spans="1:59" ht="25.5" x14ac:dyDescent="0.2">
      <c r="A341" s="7" t="str">
        <f t="shared" ca="1" si="13"/>
        <v>310</v>
      </c>
      <c r="B341" s="7" t="str">
        <f ca="1">OFFSET(ORÇAMENTO!C$15,ROW(B341)-ROW(B$15),0)</f>
        <v>S</v>
      </c>
      <c r="C341" s="7" t="str">
        <f ca="1">OFFSET(ORÇAMENTO!L$15,ROW(C341)-ROW(C$15),0)</f>
        <v/>
      </c>
      <c r="D341" s="117" t="str">
        <f ca="1">OFFSET(ORÇAMENTO!N$15,ROW(D341)-ROW(D$15),0)</f>
        <v>Serviço</v>
      </c>
      <c r="E341" s="118" t="str">
        <f ca="1">OFFSET(ORÇAMENTO!O$15,ROW(E341)-ROW(E$15),0)</f>
        <v>-</v>
      </c>
      <c r="F341" s="164" t="str">
        <f ca="1">OFFSET(ORÇAMENTO!R$15,ROW(F341)-ROW(F$15),0)</f>
        <v>AJUDANTE DE PEDREIRO COM ENCARGOS COMPLEMENTARES</v>
      </c>
      <c r="G341" s="165" t="str">
        <f ca="1">IF($D341&lt;&gt;"Serviço","",OFFSET(ORÇAMENTO!S$15,ROW(G341)-ROW(G$15),0))</f>
        <v>H</v>
      </c>
      <c r="H341" s="123">
        <f ca="1">IF($D341&lt;&gt;"Serviço",0,IF(ACOMPANHAMENTO="BM",ROUND(OFFSET(ORÇAMENTO!AJ$15,ROW(H341)-ROW(H$15),0),15-13*ORÇAMENTO!$AF$7),SUMPRODUCT(($Q$1:$AA$1=1)*ROUND($Q341:$AA341,15-13*ORÇAMENTO!$AF$7))))</f>
        <v>8</v>
      </c>
      <c r="I341" s="469"/>
      <c r="J341" s="577" t="str" cm="1">
        <f t="array" aca="1" ref="J341" ca="1">IF(B341&lt;&gt;"S","",IF(AND(ACOMPANHAMENTO="PLE",AUTOEVENTO="Manual",OR(H341&gt;0,ORÇAMENTO!AC341="QUANT."),OR(K341="",M341=0,N341="")),"►",IF(AND(ACOMPANHAMENTO="PLE",ORÇAMENTO!AC341="QUANT."),"►►",IF(AND(COUNTIF($P$11:$AA$11,"▼")=0,H341&gt;0,I341=""),"◄",""))))</f>
        <v>◄</v>
      </c>
      <c r="K341" s="626"/>
      <c r="L341" s="166" t="s">
        <v>765</v>
      </c>
      <c r="M341" s="167">
        <f ca="1">IF($D341&lt;&gt;"Serviço","",
          IF(AUTOEVENTO="manual",$A341,
                IF(ISERROR(MATCH($A341,$A$15:OFFSET($A341,-1,0),0)),MAX($M$15:OFFSET(M341,-1,0))+1,
                      INDEX($M$15:OFFSET(M341,-1,0),MATCH($A341,$A$15:OFFSET($A341,-1,0),0)))))</f>
        <v>17</v>
      </c>
      <c r="N341" s="168" t="str">
        <f ca="1">IF($D341&lt;&gt;"Serviço","",
         IF(AUTOEVENTO="Manual",
                IF($A341=0,"&lt;-- defina o número do agrupador",
                       OFFSET(EVENTOS!$D$15,$A341-$A$15,0)),
                OFFSET($F$15,$A341,0)))</f>
        <v>CENTRAL DE GLP, ABRIGO DE LIXO E SOLÁRIOS</v>
      </c>
      <c r="O341" s="169"/>
      <c r="Q341" s="169"/>
      <c r="R341" s="170"/>
      <c r="S341" s="170"/>
      <c r="T341" s="170"/>
      <c r="U341" s="170"/>
      <c r="V341" s="170"/>
      <c r="W341" s="170"/>
      <c r="X341" s="170"/>
      <c r="Y341" s="170"/>
      <c r="Z341" s="171"/>
      <c r="AB341" s="454">
        <f ca="1">IF(AND($D341="Serviço",AB$12&lt;&gt;0,$H341&gt;0,OR(AUTOEVENTO&lt;&gt;"manual",$M341&lt;&gt;$A$15)),
        IF(Import.TipoArredondamento&lt;&gt;"TransfereGOV",
              ROUND(OFFSET($P341,0,AB$13),15-13*ORÇAMENTO!$AF$7)/$H341*OFFSET(ORÇAMENTO!$X$15,ROW(AB341)-ROW(AB$15),0),
              ROUND(ROUND(OFFSET($P341,0,AB$13),15-13*ORÇAMENTO!$AF$7)*OFFSET(ORÇAMENTO!$W$15,ROW(AB341)-ROW(AB$15),0),15-13*ORÇAMENTO!$AF$11)),
         0)</f>
        <v>0</v>
      </c>
      <c r="AC341" s="454">
        <f ca="1">IF(AND($D341="Serviço",AC$12&lt;&gt;0,$H341&gt;0,OR(AUTOEVENTO&lt;&gt;"manual",$M341&lt;&gt;$A$15)),
        IF(Import.TipoArredondamento&lt;&gt;"TransfereGOV",
              ROUND(OFFSET($P341,0,AC$13),15-13*ORÇAMENTO!$AF$7)/$H341*OFFSET(ORÇAMENTO!$X$15,ROW(AC341)-ROW(AC$15),0),
              ROUND(ROUND(OFFSET($P341,0,AC$13),15-13*ORÇAMENTO!$AF$7)*OFFSET(ORÇAMENTO!$W$15,ROW(AC341)-ROW(AC$15),0),15-13*ORÇAMENTO!$AF$11)),
         0)</f>
        <v>0</v>
      </c>
      <c r="AD341" s="454">
        <f ca="1">IF(AND($D341="Serviço",AD$12&lt;&gt;0,$H341&gt;0,OR(AUTOEVENTO&lt;&gt;"manual",$M341&lt;&gt;$A$15)),
        IF(Import.TipoArredondamento&lt;&gt;"TransfereGOV",
              ROUND(OFFSET($P341,0,AD$13),15-13*ORÇAMENTO!$AF$7)/$H341*OFFSET(ORÇAMENTO!$X$15,ROW(AD341)-ROW(AD$15),0),
              ROUND(ROUND(OFFSET($P341,0,AD$13),15-13*ORÇAMENTO!$AF$7)*OFFSET(ORÇAMENTO!$W$15,ROW(AD341)-ROW(AD$15),0),15-13*ORÇAMENTO!$AF$11)),
         0)</f>
        <v>0</v>
      </c>
      <c r="AE341" s="454">
        <f ca="1">IF(AND($D341="Serviço",AE$12&lt;&gt;0,$H341&gt;0,OR(AUTOEVENTO&lt;&gt;"manual",$M341&lt;&gt;$A$15)),
        IF(Import.TipoArredondamento&lt;&gt;"TransfereGOV",
              ROUND(OFFSET($P341,0,AE$13),15-13*ORÇAMENTO!$AF$7)/$H341*OFFSET(ORÇAMENTO!$X$15,ROW(AE341)-ROW(AE$15),0),
              ROUND(ROUND(OFFSET($P341,0,AE$13),15-13*ORÇAMENTO!$AF$7)*OFFSET(ORÇAMENTO!$W$15,ROW(AE341)-ROW(AE$15),0),15-13*ORÇAMENTO!$AF$11)),
         0)</f>
        <v>0</v>
      </c>
      <c r="AF341" s="454">
        <f ca="1">IF(AND($D341="Serviço",AF$12&lt;&gt;0,$H341&gt;0,OR(AUTOEVENTO&lt;&gt;"manual",$M341&lt;&gt;$A$15)),
        IF(Import.TipoArredondamento&lt;&gt;"TransfereGOV",
              ROUND(OFFSET($P341,0,AF$13),15-13*ORÇAMENTO!$AF$7)/$H341*OFFSET(ORÇAMENTO!$X$15,ROW(AF341)-ROW(AF$15),0),
              ROUND(ROUND(OFFSET($P341,0,AF$13),15-13*ORÇAMENTO!$AF$7)*OFFSET(ORÇAMENTO!$W$15,ROW(AF341)-ROW(AF$15),0),15-13*ORÇAMENTO!$AF$11)),
         0)</f>
        <v>0</v>
      </c>
      <c r="AG341" s="454">
        <f ca="1">IF(AND($D341="Serviço",AG$12&lt;&gt;0,$H341&gt;0,OR(AUTOEVENTO&lt;&gt;"manual",$M341&lt;&gt;$A$15)),
        IF(Import.TipoArredondamento&lt;&gt;"TransfereGOV",
              ROUND(OFFSET($P341,0,AG$13),15-13*ORÇAMENTO!$AF$7)/$H341*OFFSET(ORÇAMENTO!$X$15,ROW(AG341)-ROW(AG$15),0),
              ROUND(ROUND(OFFSET($P341,0,AG$13),15-13*ORÇAMENTO!$AF$7)*OFFSET(ORÇAMENTO!$W$15,ROW(AG341)-ROW(AG$15),0),15-13*ORÇAMENTO!$AF$11)),
         0)</f>
        <v>0</v>
      </c>
      <c r="AH341" s="454">
        <f ca="1">IF(AND($D341="Serviço",AH$12&lt;&gt;0,$H341&gt;0,OR(AUTOEVENTO&lt;&gt;"manual",$M341&lt;&gt;$A$15)),
        IF(Import.TipoArredondamento&lt;&gt;"TransfereGOV",
              ROUND(OFFSET($P341,0,AH$13),15-13*ORÇAMENTO!$AF$7)/$H341*OFFSET(ORÇAMENTO!$X$15,ROW(AH341)-ROW(AH$15),0),
              ROUND(ROUND(OFFSET($P341,0,AH$13),15-13*ORÇAMENTO!$AF$7)*OFFSET(ORÇAMENTO!$W$15,ROW(AH341)-ROW(AH$15),0),15-13*ORÇAMENTO!$AF$11)),
         0)</f>
        <v>0</v>
      </c>
      <c r="AI341" s="454">
        <f ca="1">IF(AND($D341="Serviço",AI$12&lt;&gt;0,$H341&gt;0,OR(AUTOEVENTO&lt;&gt;"manual",$M341&lt;&gt;$A$15)),
        IF(Import.TipoArredondamento&lt;&gt;"TransfereGOV",
              ROUND(OFFSET($P341,0,AI$13),15-13*ORÇAMENTO!$AF$7)/$H341*OFFSET(ORÇAMENTO!$X$15,ROW(AI341)-ROW(AI$15),0),
              ROUND(ROUND(OFFSET($P341,0,AI$13),15-13*ORÇAMENTO!$AF$7)*OFFSET(ORÇAMENTO!$W$15,ROW(AI341)-ROW(AI$15),0),15-13*ORÇAMENTO!$AF$11)),
         0)</f>
        <v>0</v>
      </c>
      <c r="AJ341" s="454">
        <f ca="1">IF(AND($D341="Serviço",AJ$12&lt;&gt;0,$H341&gt;0,OR(AUTOEVENTO&lt;&gt;"manual",$M341&lt;&gt;$A$15)),
        IF(Import.TipoArredondamento&lt;&gt;"TransfereGOV",
              ROUND(OFFSET($P341,0,AJ$13),15-13*ORÇAMENTO!$AF$7)/$H341*OFFSET(ORÇAMENTO!$X$15,ROW(AJ341)-ROW(AJ$15),0),
              ROUND(ROUND(OFFSET($P341,0,AJ$13),15-13*ORÇAMENTO!$AF$7)*OFFSET(ORÇAMENTO!$W$15,ROW(AJ341)-ROW(AJ$15),0),15-13*ORÇAMENTO!$AF$11)),
         0)</f>
        <v>0</v>
      </c>
      <c r="AK341" s="454">
        <f ca="1">IF(AND($D341="Serviço",AK$12&lt;&gt;0,$H341&gt;0,OR(AUTOEVENTO&lt;&gt;"manual",$M341&lt;&gt;$A$15)),
        IF(Import.TipoArredondamento&lt;&gt;"TransfereGOV",
              ROUND(OFFSET($P341,0,AK$13),15-13*ORÇAMENTO!$AF$7)/$H341*OFFSET(ORÇAMENTO!$X$15,ROW(AK341)-ROW(AK$15),0),
              ROUND(ROUND(OFFSET($P341,0,AK$13),15-13*ORÇAMENTO!$AF$7)*OFFSET(ORÇAMENTO!$W$15,ROW(AK341)-ROW(AK$15),0),15-13*ORÇAMENTO!$AF$11)),
         0)</f>
        <v>0</v>
      </c>
      <c r="AM341" s="172">
        <f ca="1">IF(OR($D341&lt;&gt;"Serviço",AND(AUTOEVENTO="Manual",$M341=$A$15)),0,
         IF(OFFSET(CRONOPLE!$F$15,$M341-$A$15,AM$13)="",10^12,OFFSET(CRONOPLE!$F$15,$M341-$A$15,AM$13)))</f>
        <v>1000000000000</v>
      </c>
      <c r="AN341" s="172">
        <f ca="1">IF(OR($D341&lt;&gt;"Serviço",AND(AUTOEVENTO="Manual",$M341=$A$15)),0,
         IF(OFFSET(CRONOPLE!$F$15,$M341-$A$15,AN$13)="",10^12,OFFSET(CRONOPLE!$F$15,$M341-$A$15,AN$13)))</f>
        <v>1000000000000</v>
      </c>
      <c r="AO341" s="172">
        <f ca="1">IF(OR($D341&lt;&gt;"Serviço",AND(AUTOEVENTO="Manual",$M341=$A$15)),0,
         IF(OFFSET(CRONOPLE!$F$15,$M341-$A$15,AO$13)="",10^12,OFFSET(CRONOPLE!$F$15,$M341-$A$15,AO$13)))</f>
        <v>1000000000000</v>
      </c>
      <c r="AP341" s="172">
        <f ca="1">IF(OR($D341&lt;&gt;"Serviço",AND(AUTOEVENTO="Manual",$M341=$A$15)),0,
         IF(OFFSET(CRONOPLE!$F$15,$M341-$A$15,AP$13)="",10^12,OFFSET(CRONOPLE!$F$15,$M341-$A$15,AP$13)))</f>
        <v>1000000000000</v>
      </c>
      <c r="AQ341" s="172">
        <f ca="1">IF(OR($D341&lt;&gt;"Serviço",AND(AUTOEVENTO="Manual",$M341=$A$15)),0,
         IF(OFFSET(CRONOPLE!$F$15,$M341-$A$15,AQ$13)="",10^12,OFFSET(CRONOPLE!$F$15,$M341-$A$15,AQ$13)))</f>
        <v>1000000000000</v>
      </c>
      <c r="AR341" s="172">
        <f ca="1">IF(OR($D341&lt;&gt;"Serviço",AND(AUTOEVENTO="Manual",$M341=$A$15)),0,
         IF(OFFSET(CRONOPLE!$F$15,$M341-$A$15,AR$13)="",10^12,OFFSET(CRONOPLE!$F$15,$M341-$A$15,AR$13)))</f>
        <v>1000000000000</v>
      </c>
      <c r="AS341" s="172">
        <f ca="1">IF(OR($D341&lt;&gt;"Serviço",AND(AUTOEVENTO="Manual",$M341=$A$15)),0,
         IF(OFFSET(CRONOPLE!$F$15,$M341-$A$15,AS$13)="",10^12,OFFSET(CRONOPLE!$F$15,$M341-$A$15,AS$13)))</f>
        <v>1000000000000</v>
      </c>
      <c r="AT341" s="172">
        <f ca="1">IF(OR($D341&lt;&gt;"Serviço",AND(AUTOEVENTO="Manual",$M341=$A$15)),0,
         IF(OFFSET(CRONOPLE!$F$15,$M341-$A$15,AT$13)="",10^12,OFFSET(CRONOPLE!$F$15,$M341-$A$15,AT$13)))</f>
        <v>1000000000000</v>
      </c>
      <c r="AU341" s="172">
        <f ca="1">IF(OR($D341&lt;&gt;"Serviço",AND(AUTOEVENTO="Manual",$M341=$A$15)),0,
         IF(OFFSET(CRONOPLE!$F$15,$M341-$A$15,AU$13)="",10^12,OFFSET(CRONOPLE!$F$15,$M341-$A$15,AU$13)))</f>
        <v>1000000000000</v>
      </c>
      <c r="AV341" s="172">
        <f ca="1">IF(OR($D341&lt;&gt;"Serviço",AND(AUTOEVENTO="Manual",$M341=$A$15)),0,
         IF(OFFSET(CRONOPLE!$F$15,$M341-$A$15,AV$13)="",10^12,OFFSET(CRONOPLE!$F$15,$M341-$A$15,AV$13)))</f>
        <v>1000000000000</v>
      </c>
      <c r="AX341" s="173">
        <f ca="1">IF(OR($D341&lt;&gt;"Serviço",AND(AUTOEVENTO="Manual",$M341=$A$15),$M341&gt;(ROW(PLE.lastrow)-ROW(PLE.firstrow))),0,
           IF(OFFSET(PLE!$G$15,$M341-$A$15,AX$13)="",10^12,OFFSET(PLE!$G$15,$M341-$A$15,AX$13)))</f>
        <v>1000000000000</v>
      </c>
      <c r="AY341" s="173">
        <f ca="1">IF(OR($D341&lt;&gt;"Serviço",AND(AUTOEVENTO="Manual",$M341=$A$15),$M341&gt;(ROW(PLE.lastrow)-ROW(PLE.firstrow))),0,
           IF(OFFSET(PLE!$G$15,$M341-$A$15,AY$13)="",10^12,OFFSET(PLE!$G$15,$M341-$A$15,AY$13)))</f>
        <v>1000000000000</v>
      </c>
      <c r="AZ341" s="173">
        <f ca="1">IF(OR($D341&lt;&gt;"Serviço",AND(AUTOEVENTO="Manual",$M341=$A$15),$M341&gt;(ROW(PLE.lastrow)-ROW(PLE.firstrow))),0,
           IF(OFFSET(PLE!$G$15,$M341-$A$15,AZ$13)="",10^12,OFFSET(PLE!$G$15,$M341-$A$15,AZ$13)))</f>
        <v>1000000000000</v>
      </c>
      <c r="BA341" s="173">
        <f ca="1">IF(OR($D341&lt;&gt;"Serviço",AND(AUTOEVENTO="Manual",$M341=$A$15),$M341&gt;(ROW(PLE.lastrow)-ROW(PLE.firstrow))),0,
           IF(OFFSET(PLE!$G$15,$M341-$A$15,BA$13)="",10^12,OFFSET(PLE!$G$15,$M341-$A$15,BA$13)))</f>
        <v>1000000000000</v>
      </c>
      <c r="BB341" s="173">
        <f ca="1">IF(OR($D341&lt;&gt;"Serviço",AND(AUTOEVENTO="Manual",$M341=$A$15),$M341&gt;(ROW(PLE.lastrow)-ROW(PLE.firstrow))),0,
           IF(OFFSET(PLE!$G$15,$M341-$A$15,BB$13)="",10^12,OFFSET(PLE!$G$15,$M341-$A$15,BB$13)))</f>
        <v>1000000000000</v>
      </c>
      <c r="BC341" s="173">
        <f ca="1">IF(OR($D341&lt;&gt;"Serviço",AND(AUTOEVENTO="Manual",$M341=$A$15),$M341&gt;(ROW(PLE.lastrow)-ROW(PLE.firstrow))),0,
           IF(OFFSET(PLE!$G$15,$M341-$A$15,BC$13)="",10^12,OFFSET(PLE!$G$15,$M341-$A$15,BC$13)))</f>
        <v>1000000000000</v>
      </c>
      <c r="BD341" s="173">
        <f ca="1">IF(OR($D341&lt;&gt;"Serviço",AND(AUTOEVENTO="Manual",$M341=$A$15),$M341&gt;(ROW(PLE.lastrow)-ROW(PLE.firstrow))),0,
           IF(OFFSET(PLE!$G$15,$M341-$A$15,BD$13)="",10^12,OFFSET(PLE!$G$15,$M341-$A$15,BD$13)))</f>
        <v>1000000000000</v>
      </c>
      <c r="BE341" s="173">
        <f ca="1">IF(OR($D341&lt;&gt;"Serviço",AND(AUTOEVENTO="Manual",$M341=$A$15),$M341&gt;(ROW(PLE.lastrow)-ROW(PLE.firstrow))),0,
           IF(OFFSET(PLE!$G$15,$M341-$A$15,BE$13)="",10^12,OFFSET(PLE!$G$15,$M341-$A$15,BE$13)))</f>
        <v>1000000000000</v>
      </c>
      <c r="BF341" s="173">
        <f ca="1">IF(OR($D341&lt;&gt;"Serviço",AND(AUTOEVENTO="Manual",$M341=$A$15),$M341&gt;(ROW(PLE.lastrow)-ROW(PLE.firstrow))),0,
           IF(OFFSET(PLE!$G$15,$M341-$A$15,BF$13)="",10^12,OFFSET(PLE!$G$15,$M341-$A$15,BF$13)))</f>
        <v>1000000000000</v>
      </c>
      <c r="BG341" s="173">
        <f ca="1">IF(OR($D341&lt;&gt;"Serviço",AND(AUTOEVENTO="Manual",$M341=$A$15),$M341&gt;(ROW(PLE.lastrow)-ROW(PLE.firstrow))),0,
           IF(OFFSET(PLE!$G$15,$M341-$A$15,BG$13)="",10^12,OFFSET(PLE!$G$15,$M341-$A$15,BG$13)))</f>
        <v>1000000000000</v>
      </c>
    </row>
    <row r="342" spans="1:59" ht="12.75" x14ac:dyDescent="0.2">
      <c r="A342" s="7" t="str">
        <f t="shared" ca="1" si="13"/>
        <v>327.</v>
      </c>
      <c r="B342" s="7">
        <f ca="1">OFFSET(ORÇAMENTO!C$15,ROW(B342)-ROW(B$15),0)</f>
        <v>2</v>
      </c>
      <c r="C342" s="7" t="str">
        <f ca="1">OFFSET(ORÇAMENTO!L$15,ROW(C342)-ROW(C$15),0)</f>
        <v>F</v>
      </c>
      <c r="D342" s="117" t="str">
        <f ca="1">OFFSET(ORÇAMENTO!N$15,ROW(D342)-ROW(D$15),0)</f>
        <v>Nível 2</v>
      </c>
      <c r="E342" s="118" t="str">
        <f ca="1">OFFSET(ORÇAMENTO!O$15,ROW(E342)-ROW(E$15),0)</f>
        <v>1.18.</v>
      </c>
      <c r="F342" s="164" t="str">
        <f ca="1">OFFSET(ORÇAMENTO!R$15,ROW(F342)-ROW(F$15),0)</f>
        <v>PISOS EXTERNOS</v>
      </c>
      <c r="G342" s="165" t="str">
        <f ca="1">IF($D342&lt;&gt;"Serviço","",OFFSET(ORÇAMENTO!S$15,ROW(G342)-ROW(G$15),0))</f>
        <v/>
      </c>
      <c r="H342" s="123">
        <f ca="1">IF($D342&lt;&gt;"Serviço",0,IF(ACOMPANHAMENTO="BM",ROUND(OFFSET(ORÇAMENTO!AJ$15,ROW(H342)-ROW(H$15),0),15-13*ORÇAMENTO!$AF$7),SUMPRODUCT(($Q$1:$AA$1=1)*ROUND($Q342:$AA342,15-13*ORÇAMENTO!$AF$7))))</f>
        <v>0</v>
      </c>
      <c r="I342" s="469"/>
      <c r="J342" s="577" t="str" cm="1">
        <f t="array" aca="1" ref="J342" ca="1">IF(B342&lt;&gt;"S","",IF(AND(ACOMPANHAMENTO="PLE",AUTOEVENTO="Manual",OR(H342&gt;0,ORÇAMENTO!AC342="QUANT."),OR(K342="",M342=0,N342="")),"►",IF(AND(ACOMPANHAMENTO="PLE",ORÇAMENTO!AC342="QUANT."),"►►",IF(AND(COUNTIF($P$11:$AA$11,"▼")=0,H342&gt;0,I342=""),"◄",""))))</f>
        <v/>
      </c>
      <c r="K342" s="626"/>
      <c r="L342" s="166" t="s">
        <v>765</v>
      </c>
      <c r="M342" s="167" t="str">
        <f ca="1">IF($D342&lt;&gt;"Serviço","",
          IF(AUTOEVENTO="manual",$A342,
                IF(ISERROR(MATCH($A342,$A$15:OFFSET($A342,-1,0),0)),MAX($M$15:OFFSET(M342,-1,0))+1,
                      INDEX($M$15:OFFSET(M342,-1,0),MATCH($A342,$A$15:OFFSET($A342,-1,0),0)))))</f>
        <v/>
      </c>
      <c r="N342" s="168" t="str">
        <f ca="1">IF($D342&lt;&gt;"Serviço","",
         IF(AUTOEVENTO="Manual",
                IF($A342=0,"&lt;-- defina o número do agrupador",
                       OFFSET(EVENTOS!$D$15,$A342-$A$15,0)),
                OFFSET($F$15,$A342,0)))</f>
        <v/>
      </c>
      <c r="O342" s="169"/>
      <c r="Q342" s="169"/>
      <c r="R342" s="170"/>
      <c r="S342" s="170"/>
      <c r="T342" s="170"/>
      <c r="U342" s="170"/>
      <c r="V342" s="170"/>
      <c r="W342" s="170"/>
      <c r="X342" s="170"/>
      <c r="Y342" s="170"/>
      <c r="Z342" s="171"/>
      <c r="AB342" s="454">
        <f ca="1">IF(AND($D342="Serviço",AB$12&lt;&gt;0,$H342&gt;0,OR(AUTOEVENTO&lt;&gt;"manual",$M342&lt;&gt;$A$15)),
        IF(Import.TipoArredondamento&lt;&gt;"TransfereGOV",
              ROUND(OFFSET($P342,0,AB$13),15-13*ORÇAMENTO!$AF$7)/$H342*OFFSET(ORÇAMENTO!$X$15,ROW(AB342)-ROW(AB$15),0),
              ROUND(ROUND(OFFSET($P342,0,AB$13),15-13*ORÇAMENTO!$AF$7)*OFFSET(ORÇAMENTO!$W$15,ROW(AB342)-ROW(AB$15),0),15-13*ORÇAMENTO!$AF$11)),
         0)</f>
        <v>0</v>
      </c>
      <c r="AC342" s="454">
        <f ca="1">IF(AND($D342="Serviço",AC$12&lt;&gt;0,$H342&gt;0,OR(AUTOEVENTO&lt;&gt;"manual",$M342&lt;&gt;$A$15)),
        IF(Import.TipoArredondamento&lt;&gt;"TransfereGOV",
              ROUND(OFFSET($P342,0,AC$13),15-13*ORÇAMENTO!$AF$7)/$H342*OFFSET(ORÇAMENTO!$X$15,ROW(AC342)-ROW(AC$15),0),
              ROUND(ROUND(OFFSET($P342,0,AC$13),15-13*ORÇAMENTO!$AF$7)*OFFSET(ORÇAMENTO!$W$15,ROW(AC342)-ROW(AC$15),0),15-13*ORÇAMENTO!$AF$11)),
         0)</f>
        <v>0</v>
      </c>
      <c r="AD342" s="454">
        <f ca="1">IF(AND($D342="Serviço",AD$12&lt;&gt;0,$H342&gt;0,OR(AUTOEVENTO&lt;&gt;"manual",$M342&lt;&gt;$A$15)),
        IF(Import.TipoArredondamento&lt;&gt;"TransfereGOV",
              ROUND(OFFSET($P342,0,AD$13),15-13*ORÇAMENTO!$AF$7)/$H342*OFFSET(ORÇAMENTO!$X$15,ROW(AD342)-ROW(AD$15),0),
              ROUND(ROUND(OFFSET($P342,0,AD$13),15-13*ORÇAMENTO!$AF$7)*OFFSET(ORÇAMENTO!$W$15,ROW(AD342)-ROW(AD$15),0),15-13*ORÇAMENTO!$AF$11)),
         0)</f>
        <v>0</v>
      </c>
      <c r="AE342" s="454">
        <f ca="1">IF(AND($D342="Serviço",AE$12&lt;&gt;0,$H342&gt;0,OR(AUTOEVENTO&lt;&gt;"manual",$M342&lt;&gt;$A$15)),
        IF(Import.TipoArredondamento&lt;&gt;"TransfereGOV",
              ROUND(OFFSET($P342,0,AE$13),15-13*ORÇAMENTO!$AF$7)/$H342*OFFSET(ORÇAMENTO!$X$15,ROW(AE342)-ROW(AE$15),0),
              ROUND(ROUND(OFFSET($P342,0,AE$13),15-13*ORÇAMENTO!$AF$7)*OFFSET(ORÇAMENTO!$W$15,ROW(AE342)-ROW(AE$15),0),15-13*ORÇAMENTO!$AF$11)),
         0)</f>
        <v>0</v>
      </c>
      <c r="AF342" s="454">
        <f ca="1">IF(AND($D342="Serviço",AF$12&lt;&gt;0,$H342&gt;0,OR(AUTOEVENTO&lt;&gt;"manual",$M342&lt;&gt;$A$15)),
        IF(Import.TipoArredondamento&lt;&gt;"TransfereGOV",
              ROUND(OFFSET($P342,0,AF$13),15-13*ORÇAMENTO!$AF$7)/$H342*OFFSET(ORÇAMENTO!$X$15,ROW(AF342)-ROW(AF$15),0),
              ROUND(ROUND(OFFSET($P342,0,AF$13),15-13*ORÇAMENTO!$AF$7)*OFFSET(ORÇAMENTO!$W$15,ROW(AF342)-ROW(AF$15),0),15-13*ORÇAMENTO!$AF$11)),
         0)</f>
        <v>0</v>
      </c>
      <c r="AG342" s="454">
        <f ca="1">IF(AND($D342="Serviço",AG$12&lt;&gt;0,$H342&gt;0,OR(AUTOEVENTO&lt;&gt;"manual",$M342&lt;&gt;$A$15)),
        IF(Import.TipoArredondamento&lt;&gt;"TransfereGOV",
              ROUND(OFFSET($P342,0,AG$13),15-13*ORÇAMENTO!$AF$7)/$H342*OFFSET(ORÇAMENTO!$X$15,ROW(AG342)-ROW(AG$15),0),
              ROUND(ROUND(OFFSET($P342,0,AG$13),15-13*ORÇAMENTO!$AF$7)*OFFSET(ORÇAMENTO!$W$15,ROW(AG342)-ROW(AG$15),0),15-13*ORÇAMENTO!$AF$11)),
         0)</f>
        <v>0</v>
      </c>
      <c r="AH342" s="454">
        <f ca="1">IF(AND($D342="Serviço",AH$12&lt;&gt;0,$H342&gt;0,OR(AUTOEVENTO&lt;&gt;"manual",$M342&lt;&gt;$A$15)),
        IF(Import.TipoArredondamento&lt;&gt;"TransfereGOV",
              ROUND(OFFSET($P342,0,AH$13),15-13*ORÇAMENTO!$AF$7)/$H342*OFFSET(ORÇAMENTO!$X$15,ROW(AH342)-ROW(AH$15),0),
              ROUND(ROUND(OFFSET($P342,0,AH$13),15-13*ORÇAMENTO!$AF$7)*OFFSET(ORÇAMENTO!$W$15,ROW(AH342)-ROW(AH$15),0),15-13*ORÇAMENTO!$AF$11)),
         0)</f>
        <v>0</v>
      </c>
      <c r="AI342" s="454">
        <f ca="1">IF(AND($D342="Serviço",AI$12&lt;&gt;0,$H342&gt;0,OR(AUTOEVENTO&lt;&gt;"manual",$M342&lt;&gt;$A$15)),
        IF(Import.TipoArredondamento&lt;&gt;"TransfereGOV",
              ROUND(OFFSET($P342,0,AI$13),15-13*ORÇAMENTO!$AF$7)/$H342*OFFSET(ORÇAMENTO!$X$15,ROW(AI342)-ROW(AI$15),0),
              ROUND(ROUND(OFFSET($P342,0,AI$13),15-13*ORÇAMENTO!$AF$7)*OFFSET(ORÇAMENTO!$W$15,ROW(AI342)-ROW(AI$15),0),15-13*ORÇAMENTO!$AF$11)),
         0)</f>
        <v>0</v>
      </c>
      <c r="AJ342" s="454">
        <f ca="1">IF(AND($D342="Serviço",AJ$12&lt;&gt;0,$H342&gt;0,OR(AUTOEVENTO&lt;&gt;"manual",$M342&lt;&gt;$A$15)),
        IF(Import.TipoArredondamento&lt;&gt;"TransfereGOV",
              ROUND(OFFSET($P342,0,AJ$13),15-13*ORÇAMENTO!$AF$7)/$H342*OFFSET(ORÇAMENTO!$X$15,ROW(AJ342)-ROW(AJ$15),0),
              ROUND(ROUND(OFFSET($P342,0,AJ$13),15-13*ORÇAMENTO!$AF$7)*OFFSET(ORÇAMENTO!$W$15,ROW(AJ342)-ROW(AJ$15),0),15-13*ORÇAMENTO!$AF$11)),
         0)</f>
        <v>0</v>
      </c>
      <c r="AK342" s="454">
        <f ca="1">IF(AND($D342="Serviço",AK$12&lt;&gt;0,$H342&gt;0,OR(AUTOEVENTO&lt;&gt;"manual",$M342&lt;&gt;$A$15)),
        IF(Import.TipoArredondamento&lt;&gt;"TransfereGOV",
              ROUND(OFFSET($P342,0,AK$13),15-13*ORÇAMENTO!$AF$7)/$H342*OFFSET(ORÇAMENTO!$X$15,ROW(AK342)-ROW(AK$15),0),
              ROUND(ROUND(OFFSET($P342,0,AK$13),15-13*ORÇAMENTO!$AF$7)*OFFSET(ORÇAMENTO!$W$15,ROW(AK342)-ROW(AK$15),0),15-13*ORÇAMENTO!$AF$11)),
         0)</f>
        <v>0</v>
      </c>
      <c r="AM342" s="172">
        <f ca="1">IF(OR($D342&lt;&gt;"Serviço",AND(AUTOEVENTO="Manual",$M342=$A$15)),0,
         IF(OFFSET(CRONOPLE!$F$15,$M342-$A$15,AM$13)="",10^12,OFFSET(CRONOPLE!$F$15,$M342-$A$15,AM$13)))</f>
        <v>0</v>
      </c>
      <c r="AN342" s="172">
        <f ca="1">IF(OR($D342&lt;&gt;"Serviço",AND(AUTOEVENTO="Manual",$M342=$A$15)),0,
         IF(OFFSET(CRONOPLE!$F$15,$M342-$A$15,AN$13)="",10^12,OFFSET(CRONOPLE!$F$15,$M342-$A$15,AN$13)))</f>
        <v>0</v>
      </c>
      <c r="AO342" s="172">
        <f ca="1">IF(OR($D342&lt;&gt;"Serviço",AND(AUTOEVENTO="Manual",$M342=$A$15)),0,
         IF(OFFSET(CRONOPLE!$F$15,$M342-$A$15,AO$13)="",10^12,OFFSET(CRONOPLE!$F$15,$M342-$A$15,AO$13)))</f>
        <v>0</v>
      </c>
      <c r="AP342" s="172">
        <f ca="1">IF(OR($D342&lt;&gt;"Serviço",AND(AUTOEVENTO="Manual",$M342=$A$15)),0,
         IF(OFFSET(CRONOPLE!$F$15,$M342-$A$15,AP$13)="",10^12,OFFSET(CRONOPLE!$F$15,$M342-$A$15,AP$13)))</f>
        <v>0</v>
      </c>
      <c r="AQ342" s="172">
        <f ca="1">IF(OR($D342&lt;&gt;"Serviço",AND(AUTOEVENTO="Manual",$M342=$A$15)),0,
         IF(OFFSET(CRONOPLE!$F$15,$M342-$A$15,AQ$13)="",10^12,OFFSET(CRONOPLE!$F$15,$M342-$A$15,AQ$13)))</f>
        <v>0</v>
      </c>
      <c r="AR342" s="172">
        <f ca="1">IF(OR($D342&lt;&gt;"Serviço",AND(AUTOEVENTO="Manual",$M342=$A$15)),0,
         IF(OFFSET(CRONOPLE!$F$15,$M342-$A$15,AR$13)="",10^12,OFFSET(CRONOPLE!$F$15,$M342-$A$15,AR$13)))</f>
        <v>0</v>
      </c>
      <c r="AS342" s="172">
        <f ca="1">IF(OR($D342&lt;&gt;"Serviço",AND(AUTOEVENTO="Manual",$M342=$A$15)),0,
         IF(OFFSET(CRONOPLE!$F$15,$M342-$A$15,AS$13)="",10^12,OFFSET(CRONOPLE!$F$15,$M342-$A$15,AS$13)))</f>
        <v>0</v>
      </c>
      <c r="AT342" s="172">
        <f ca="1">IF(OR($D342&lt;&gt;"Serviço",AND(AUTOEVENTO="Manual",$M342=$A$15)),0,
         IF(OFFSET(CRONOPLE!$F$15,$M342-$A$15,AT$13)="",10^12,OFFSET(CRONOPLE!$F$15,$M342-$A$15,AT$13)))</f>
        <v>0</v>
      </c>
      <c r="AU342" s="172">
        <f ca="1">IF(OR($D342&lt;&gt;"Serviço",AND(AUTOEVENTO="Manual",$M342=$A$15)),0,
         IF(OFFSET(CRONOPLE!$F$15,$M342-$A$15,AU$13)="",10^12,OFFSET(CRONOPLE!$F$15,$M342-$A$15,AU$13)))</f>
        <v>0</v>
      </c>
      <c r="AV342" s="172">
        <f ca="1">IF(OR($D342&lt;&gt;"Serviço",AND(AUTOEVENTO="Manual",$M342=$A$15)),0,
         IF(OFFSET(CRONOPLE!$F$15,$M342-$A$15,AV$13)="",10^12,OFFSET(CRONOPLE!$F$15,$M342-$A$15,AV$13)))</f>
        <v>0</v>
      </c>
      <c r="AX342" s="173">
        <f ca="1">IF(OR($D342&lt;&gt;"Serviço",AND(AUTOEVENTO="Manual",$M342=$A$15),$M342&gt;(ROW(PLE.lastrow)-ROW(PLE.firstrow))),0,
           IF(OFFSET(PLE!$G$15,$M342-$A$15,AX$13)="",10^12,OFFSET(PLE!$G$15,$M342-$A$15,AX$13)))</f>
        <v>0</v>
      </c>
      <c r="AY342" s="173">
        <f ca="1">IF(OR($D342&lt;&gt;"Serviço",AND(AUTOEVENTO="Manual",$M342=$A$15),$M342&gt;(ROW(PLE.lastrow)-ROW(PLE.firstrow))),0,
           IF(OFFSET(PLE!$G$15,$M342-$A$15,AY$13)="",10^12,OFFSET(PLE!$G$15,$M342-$A$15,AY$13)))</f>
        <v>0</v>
      </c>
      <c r="AZ342" s="173">
        <f ca="1">IF(OR($D342&lt;&gt;"Serviço",AND(AUTOEVENTO="Manual",$M342=$A$15),$M342&gt;(ROW(PLE.lastrow)-ROW(PLE.firstrow))),0,
           IF(OFFSET(PLE!$G$15,$M342-$A$15,AZ$13)="",10^12,OFFSET(PLE!$G$15,$M342-$A$15,AZ$13)))</f>
        <v>0</v>
      </c>
      <c r="BA342" s="173">
        <f ca="1">IF(OR($D342&lt;&gt;"Serviço",AND(AUTOEVENTO="Manual",$M342=$A$15),$M342&gt;(ROW(PLE.lastrow)-ROW(PLE.firstrow))),0,
           IF(OFFSET(PLE!$G$15,$M342-$A$15,BA$13)="",10^12,OFFSET(PLE!$G$15,$M342-$A$15,BA$13)))</f>
        <v>0</v>
      </c>
      <c r="BB342" s="173">
        <f ca="1">IF(OR($D342&lt;&gt;"Serviço",AND(AUTOEVENTO="Manual",$M342=$A$15),$M342&gt;(ROW(PLE.lastrow)-ROW(PLE.firstrow))),0,
           IF(OFFSET(PLE!$G$15,$M342-$A$15,BB$13)="",10^12,OFFSET(PLE!$G$15,$M342-$A$15,BB$13)))</f>
        <v>0</v>
      </c>
      <c r="BC342" s="173">
        <f ca="1">IF(OR($D342&lt;&gt;"Serviço",AND(AUTOEVENTO="Manual",$M342=$A$15),$M342&gt;(ROW(PLE.lastrow)-ROW(PLE.firstrow))),0,
           IF(OFFSET(PLE!$G$15,$M342-$A$15,BC$13)="",10^12,OFFSET(PLE!$G$15,$M342-$A$15,BC$13)))</f>
        <v>0</v>
      </c>
      <c r="BD342" s="173">
        <f ca="1">IF(OR($D342&lt;&gt;"Serviço",AND(AUTOEVENTO="Manual",$M342=$A$15),$M342&gt;(ROW(PLE.lastrow)-ROW(PLE.firstrow))),0,
           IF(OFFSET(PLE!$G$15,$M342-$A$15,BD$13)="",10^12,OFFSET(PLE!$G$15,$M342-$A$15,BD$13)))</f>
        <v>0</v>
      </c>
      <c r="BE342" s="173">
        <f ca="1">IF(OR($D342&lt;&gt;"Serviço",AND(AUTOEVENTO="Manual",$M342=$A$15),$M342&gt;(ROW(PLE.lastrow)-ROW(PLE.firstrow))),0,
           IF(OFFSET(PLE!$G$15,$M342-$A$15,BE$13)="",10^12,OFFSET(PLE!$G$15,$M342-$A$15,BE$13)))</f>
        <v>0</v>
      </c>
      <c r="BF342" s="173">
        <f ca="1">IF(OR($D342&lt;&gt;"Serviço",AND(AUTOEVENTO="Manual",$M342=$A$15),$M342&gt;(ROW(PLE.lastrow)-ROW(PLE.firstrow))),0,
           IF(OFFSET(PLE!$G$15,$M342-$A$15,BF$13)="",10^12,OFFSET(PLE!$G$15,$M342-$A$15,BF$13)))</f>
        <v>0</v>
      </c>
      <c r="BG342" s="173">
        <f ca="1">IF(OR($D342&lt;&gt;"Serviço",AND(AUTOEVENTO="Manual",$M342=$A$15),$M342&gt;(ROW(PLE.lastrow)-ROW(PLE.firstrow))),0,
           IF(OFFSET(PLE!$G$15,$M342-$A$15,BG$13)="",10^12,OFFSET(PLE!$G$15,$M342-$A$15,BG$13)))</f>
        <v>0</v>
      </c>
    </row>
    <row r="343" spans="1:59" ht="38.25" x14ac:dyDescent="0.2">
      <c r="A343" s="7" t="str">
        <f t="shared" ca="1" si="13"/>
        <v>327</v>
      </c>
      <c r="B343" s="7" t="str">
        <f ca="1">OFFSET(ORÇAMENTO!C$15,ROW(B343)-ROW(B$15),0)</f>
        <v>S</v>
      </c>
      <c r="C343" s="7" t="str">
        <f ca="1">OFFSET(ORÇAMENTO!L$15,ROW(C343)-ROW(C$15),0)</f>
        <v/>
      </c>
      <c r="D343" s="117" t="str">
        <f ca="1">OFFSET(ORÇAMENTO!N$15,ROW(D343)-ROW(D$15),0)</f>
        <v>Serviço</v>
      </c>
      <c r="E343" s="118" t="str">
        <f ca="1">OFFSET(ORÇAMENTO!O$15,ROW(E343)-ROW(E$15),0)</f>
        <v>-</v>
      </c>
      <c r="F343" s="164" t="str">
        <f ca="1">OFFSET(ORÇAMENTO!R$15,ROW(F343)-ROW(F$15),0)</f>
        <v>EXECUÇÃO DE PASSEIO EM PISO INTERTRAVADO, COM BLOCO RETANGULAR COR NATURAL DE 20 X 10 CM, ESPESSURA 6 CM. AF_10/2022</v>
      </c>
      <c r="G343" s="165" t="str">
        <f ca="1">IF($D343&lt;&gt;"Serviço","",OFFSET(ORÇAMENTO!S$15,ROW(G343)-ROW(G$15),0))</f>
        <v>M2</v>
      </c>
      <c r="H343" s="123">
        <f ca="1">IF($D343&lt;&gt;"Serviço",0,IF(ACOMPANHAMENTO="BM",ROUND(OFFSET(ORÇAMENTO!AJ$15,ROW(H343)-ROW(H$15),0),15-13*ORÇAMENTO!$AF$7),SUMPRODUCT(($Q$1:$AA$1=1)*ROUND($Q343:$AA343,15-13*ORÇAMENTO!$AF$7))))</f>
        <v>107.83</v>
      </c>
      <c r="I343" s="469"/>
      <c r="J343" s="577" t="str" cm="1">
        <f t="array" aca="1" ref="J343" ca="1">IF(B343&lt;&gt;"S","",IF(AND(ACOMPANHAMENTO="PLE",AUTOEVENTO="Manual",OR(H343&gt;0,ORÇAMENTO!AC343="QUANT."),OR(K343="",M343=0,N343="")),"►",IF(AND(ACOMPANHAMENTO="PLE",ORÇAMENTO!AC343="QUANT."),"►►",IF(AND(COUNTIF($P$11:$AA$11,"▼")=0,H343&gt;0,I343=""),"◄",""))))</f>
        <v>◄</v>
      </c>
      <c r="K343" s="626"/>
      <c r="L343" s="166" t="s">
        <v>765</v>
      </c>
      <c r="M343" s="167">
        <f ca="1">IF($D343&lt;&gt;"Serviço","",
          IF(AUTOEVENTO="manual",$A343,
                IF(ISERROR(MATCH($A343,$A$15:OFFSET($A343,-1,0),0)),MAX($M$15:OFFSET(M343,-1,0))+1,
                      INDEX($M$15:OFFSET(M343,-1,0),MATCH($A343,$A$15:OFFSET($A343,-1,0),0)))))</f>
        <v>18</v>
      </c>
      <c r="N343" s="168" t="str">
        <f ca="1">IF($D343&lt;&gt;"Serviço","",
         IF(AUTOEVENTO="Manual",
                IF($A343=0,"&lt;-- defina o número do agrupador",
                       OFFSET(EVENTOS!$D$15,$A343-$A$15,0)),
                OFFSET($F$15,$A343,0)))</f>
        <v>PISOS EXTERNOS</v>
      </c>
      <c r="O343" s="169"/>
      <c r="Q343" s="169"/>
      <c r="R343" s="170"/>
      <c r="S343" s="170"/>
      <c r="T343" s="170"/>
      <c r="U343" s="170"/>
      <c r="V343" s="170"/>
      <c r="W343" s="170"/>
      <c r="X343" s="170"/>
      <c r="Y343" s="170"/>
      <c r="Z343" s="171"/>
      <c r="AB343" s="454">
        <f ca="1">IF(AND($D343="Serviço",AB$12&lt;&gt;0,$H343&gt;0,OR(AUTOEVENTO&lt;&gt;"manual",$M343&lt;&gt;$A$15)),
        IF(Import.TipoArredondamento&lt;&gt;"TransfereGOV",
              ROUND(OFFSET($P343,0,AB$13),15-13*ORÇAMENTO!$AF$7)/$H343*OFFSET(ORÇAMENTO!$X$15,ROW(AB343)-ROW(AB$15),0),
              ROUND(ROUND(OFFSET($P343,0,AB$13),15-13*ORÇAMENTO!$AF$7)*OFFSET(ORÇAMENTO!$W$15,ROW(AB343)-ROW(AB$15),0),15-13*ORÇAMENTO!$AF$11)),
         0)</f>
        <v>0</v>
      </c>
      <c r="AC343" s="454">
        <f ca="1">IF(AND($D343="Serviço",AC$12&lt;&gt;0,$H343&gt;0,OR(AUTOEVENTO&lt;&gt;"manual",$M343&lt;&gt;$A$15)),
        IF(Import.TipoArredondamento&lt;&gt;"TransfereGOV",
              ROUND(OFFSET($P343,0,AC$13),15-13*ORÇAMENTO!$AF$7)/$H343*OFFSET(ORÇAMENTO!$X$15,ROW(AC343)-ROW(AC$15),0),
              ROUND(ROUND(OFFSET($P343,0,AC$13),15-13*ORÇAMENTO!$AF$7)*OFFSET(ORÇAMENTO!$W$15,ROW(AC343)-ROW(AC$15),0),15-13*ORÇAMENTO!$AF$11)),
         0)</f>
        <v>0</v>
      </c>
      <c r="AD343" s="454">
        <f ca="1">IF(AND($D343="Serviço",AD$12&lt;&gt;0,$H343&gt;0,OR(AUTOEVENTO&lt;&gt;"manual",$M343&lt;&gt;$A$15)),
        IF(Import.TipoArredondamento&lt;&gt;"TransfereGOV",
              ROUND(OFFSET($P343,0,AD$13),15-13*ORÇAMENTO!$AF$7)/$H343*OFFSET(ORÇAMENTO!$X$15,ROW(AD343)-ROW(AD$15),0),
              ROUND(ROUND(OFFSET($P343,0,AD$13),15-13*ORÇAMENTO!$AF$7)*OFFSET(ORÇAMENTO!$W$15,ROW(AD343)-ROW(AD$15),0),15-13*ORÇAMENTO!$AF$11)),
         0)</f>
        <v>0</v>
      </c>
      <c r="AE343" s="454">
        <f ca="1">IF(AND($D343="Serviço",AE$12&lt;&gt;0,$H343&gt;0,OR(AUTOEVENTO&lt;&gt;"manual",$M343&lt;&gt;$A$15)),
        IF(Import.TipoArredondamento&lt;&gt;"TransfereGOV",
              ROUND(OFFSET($P343,0,AE$13),15-13*ORÇAMENTO!$AF$7)/$H343*OFFSET(ORÇAMENTO!$X$15,ROW(AE343)-ROW(AE$15),0),
              ROUND(ROUND(OFFSET($P343,0,AE$13),15-13*ORÇAMENTO!$AF$7)*OFFSET(ORÇAMENTO!$W$15,ROW(AE343)-ROW(AE$15),0),15-13*ORÇAMENTO!$AF$11)),
         0)</f>
        <v>0</v>
      </c>
      <c r="AF343" s="454">
        <f ca="1">IF(AND($D343="Serviço",AF$12&lt;&gt;0,$H343&gt;0,OR(AUTOEVENTO&lt;&gt;"manual",$M343&lt;&gt;$A$15)),
        IF(Import.TipoArredondamento&lt;&gt;"TransfereGOV",
              ROUND(OFFSET($P343,0,AF$13),15-13*ORÇAMENTO!$AF$7)/$H343*OFFSET(ORÇAMENTO!$X$15,ROW(AF343)-ROW(AF$15),0),
              ROUND(ROUND(OFFSET($P343,0,AF$13),15-13*ORÇAMENTO!$AF$7)*OFFSET(ORÇAMENTO!$W$15,ROW(AF343)-ROW(AF$15),0),15-13*ORÇAMENTO!$AF$11)),
         0)</f>
        <v>0</v>
      </c>
      <c r="AG343" s="454">
        <f ca="1">IF(AND($D343="Serviço",AG$12&lt;&gt;0,$H343&gt;0,OR(AUTOEVENTO&lt;&gt;"manual",$M343&lt;&gt;$A$15)),
        IF(Import.TipoArredondamento&lt;&gt;"TransfereGOV",
              ROUND(OFFSET($P343,0,AG$13),15-13*ORÇAMENTO!$AF$7)/$H343*OFFSET(ORÇAMENTO!$X$15,ROW(AG343)-ROW(AG$15),0),
              ROUND(ROUND(OFFSET($P343,0,AG$13),15-13*ORÇAMENTO!$AF$7)*OFFSET(ORÇAMENTO!$W$15,ROW(AG343)-ROW(AG$15),0),15-13*ORÇAMENTO!$AF$11)),
         0)</f>
        <v>0</v>
      </c>
      <c r="AH343" s="454">
        <f ca="1">IF(AND($D343="Serviço",AH$12&lt;&gt;0,$H343&gt;0,OR(AUTOEVENTO&lt;&gt;"manual",$M343&lt;&gt;$A$15)),
        IF(Import.TipoArredondamento&lt;&gt;"TransfereGOV",
              ROUND(OFFSET($P343,0,AH$13),15-13*ORÇAMENTO!$AF$7)/$H343*OFFSET(ORÇAMENTO!$X$15,ROW(AH343)-ROW(AH$15),0),
              ROUND(ROUND(OFFSET($P343,0,AH$13),15-13*ORÇAMENTO!$AF$7)*OFFSET(ORÇAMENTO!$W$15,ROW(AH343)-ROW(AH$15),0),15-13*ORÇAMENTO!$AF$11)),
         0)</f>
        <v>0</v>
      </c>
      <c r="AI343" s="454">
        <f ca="1">IF(AND($D343="Serviço",AI$12&lt;&gt;0,$H343&gt;0,OR(AUTOEVENTO&lt;&gt;"manual",$M343&lt;&gt;$A$15)),
        IF(Import.TipoArredondamento&lt;&gt;"TransfereGOV",
              ROUND(OFFSET($P343,0,AI$13),15-13*ORÇAMENTO!$AF$7)/$H343*OFFSET(ORÇAMENTO!$X$15,ROW(AI343)-ROW(AI$15),0),
              ROUND(ROUND(OFFSET($P343,0,AI$13),15-13*ORÇAMENTO!$AF$7)*OFFSET(ORÇAMENTO!$W$15,ROW(AI343)-ROW(AI$15),0),15-13*ORÇAMENTO!$AF$11)),
         0)</f>
        <v>0</v>
      </c>
      <c r="AJ343" s="454">
        <f ca="1">IF(AND($D343="Serviço",AJ$12&lt;&gt;0,$H343&gt;0,OR(AUTOEVENTO&lt;&gt;"manual",$M343&lt;&gt;$A$15)),
        IF(Import.TipoArredondamento&lt;&gt;"TransfereGOV",
              ROUND(OFFSET($P343,0,AJ$13),15-13*ORÇAMENTO!$AF$7)/$H343*OFFSET(ORÇAMENTO!$X$15,ROW(AJ343)-ROW(AJ$15),0),
              ROUND(ROUND(OFFSET($P343,0,AJ$13),15-13*ORÇAMENTO!$AF$7)*OFFSET(ORÇAMENTO!$W$15,ROW(AJ343)-ROW(AJ$15),0),15-13*ORÇAMENTO!$AF$11)),
         0)</f>
        <v>0</v>
      </c>
      <c r="AK343" s="454">
        <f ca="1">IF(AND($D343="Serviço",AK$12&lt;&gt;0,$H343&gt;0,OR(AUTOEVENTO&lt;&gt;"manual",$M343&lt;&gt;$A$15)),
        IF(Import.TipoArredondamento&lt;&gt;"TransfereGOV",
              ROUND(OFFSET($P343,0,AK$13),15-13*ORÇAMENTO!$AF$7)/$H343*OFFSET(ORÇAMENTO!$X$15,ROW(AK343)-ROW(AK$15),0),
              ROUND(ROUND(OFFSET($P343,0,AK$13),15-13*ORÇAMENTO!$AF$7)*OFFSET(ORÇAMENTO!$W$15,ROW(AK343)-ROW(AK$15),0),15-13*ORÇAMENTO!$AF$11)),
         0)</f>
        <v>0</v>
      </c>
      <c r="AM343" s="172">
        <f ca="1">IF(OR($D343&lt;&gt;"Serviço",AND(AUTOEVENTO="Manual",$M343=$A$15)),0,
         IF(OFFSET(CRONOPLE!$F$15,$M343-$A$15,AM$13)="",10^12,OFFSET(CRONOPLE!$F$15,$M343-$A$15,AM$13)))</f>
        <v>1000000000000</v>
      </c>
      <c r="AN343" s="172">
        <f ca="1">IF(OR($D343&lt;&gt;"Serviço",AND(AUTOEVENTO="Manual",$M343=$A$15)),0,
         IF(OFFSET(CRONOPLE!$F$15,$M343-$A$15,AN$13)="",10^12,OFFSET(CRONOPLE!$F$15,$M343-$A$15,AN$13)))</f>
        <v>1000000000000</v>
      </c>
      <c r="AO343" s="172">
        <f ca="1">IF(OR($D343&lt;&gt;"Serviço",AND(AUTOEVENTO="Manual",$M343=$A$15)),0,
         IF(OFFSET(CRONOPLE!$F$15,$M343-$A$15,AO$13)="",10^12,OFFSET(CRONOPLE!$F$15,$M343-$A$15,AO$13)))</f>
        <v>1000000000000</v>
      </c>
      <c r="AP343" s="172">
        <f ca="1">IF(OR($D343&lt;&gt;"Serviço",AND(AUTOEVENTO="Manual",$M343=$A$15)),0,
         IF(OFFSET(CRONOPLE!$F$15,$M343-$A$15,AP$13)="",10^12,OFFSET(CRONOPLE!$F$15,$M343-$A$15,AP$13)))</f>
        <v>1000000000000</v>
      </c>
      <c r="AQ343" s="172">
        <f ca="1">IF(OR($D343&lt;&gt;"Serviço",AND(AUTOEVENTO="Manual",$M343=$A$15)),0,
         IF(OFFSET(CRONOPLE!$F$15,$M343-$A$15,AQ$13)="",10^12,OFFSET(CRONOPLE!$F$15,$M343-$A$15,AQ$13)))</f>
        <v>1000000000000</v>
      </c>
      <c r="AR343" s="172">
        <f ca="1">IF(OR($D343&lt;&gt;"Serviço",AND(AUTOEVENTO="Manual",$M343=$A$15)),0,
         IF(OFFSET(CRONOPLE!$F$15,$M343-$A$15,AR$13)="",10^12,OFFSET(CRONOPLE!$F$15,$M343-$A$15,AR$13)))</f>
        <v>1000000000000</v>
      </c>
      <c r="AS343" s="172">
        <f ca="1">IF(OR($D343&lt;&gt;"Serviço",AND(AUTOEVENTO="Manual",$M343=$A$15)),0,
         IF(OFFSET(CRONOPLE!$F$15,$M343-$A$15,AS$13)="",10^12,OFFSET(CRONOPLE!$F$15,$M343-$A$15,AS$13)))</f>
        <v>1000000000000</v>
      </c>
      <c r="AT343" s="172">
        <f ca="1">IF(OR($D343&lt;&gt;"Serviço",AND(AUTOEVENTO="Manual",$M343=$A$15)),0,
         IF(OFFSET(CRONOPLE!$F$15,$M343-$A$15,AT$13)="",10^12,OFFSET(CRONOPLE!$F$15,$M343-$A$15,AT$13)))</f>
        <v>1000000000000</v>
      </c>
      <c r="AU343" s="172">
        <f ca="1">IF(OR($D343&lt;&gt;"Serviço",AND(AUTOEVENTO="Manual",$M343=$A$15)),0,
         IF(OFFSET(CRONOPLE!$F$15,$M343-$A$15,AU$13)="",10^12,OFFSET(CRONOPLE!$F$15,$M343-$A$15,AU$13)))</f>
        <v>1000000000000</v>
      </c>
      <c r="AV343" s="172">
        <f ca="1">IF(OR($D343&lt;&gt;"Serviço",AND(AUTOEVENTO="Manual",$M343=$A$15)),0,
         IF(OFFSET(CRONOPLE!$F$15,$M343-$A$15,AV$13)="",10^12,OFFSET(CRONOPLE!$F$15,$M343-$A$15,AV$13)))</f>
        <v>1000000000000</v>
      </c>
      <c r="AX343" s="173">
        <f ca="1">IF(OR($D343&lt;&gt;"Serviço",AND(AUTOEVENTO="Manual",$M343=$A$15),$M343&gt;(ROW(PLE.lastrow)-ROW(PLE.firstrow))),0,
           IF(OFFSET(PLE!$G$15,$M343-$A$15,AX$13)="",10^12,OFFSET(PLE!$G$15,$M343-$A$15,AX$13)))</f>
        <v>1000000000000</v>
      </c>
      <c r="AY343" s="173">
        <f ca="1">IF(OR($D343&lt;&gt;"Serviço",AND(AUTOEVENTO="Manual",$M343=$A$15),$M343&gt;(ROW(PLE.lastrow)-ROW(PLE.firstrow))),0,
           IF(OFFSET(PLE!$G$15,$M343-$A$15,AY$13)="",10^12,OFFSET(PLE!$G$15,$M343-$A$15,AY$13)))</f>
        <v>1000000000000</v>
      </c>
      <c r="AZ343" s="173">
        <f ca="1">IF(OR($D343&lt;&gt;"Serviço",AND(AUTOEVENTO="Manual",$M343=$A$15),$M343&gt;(ROW(PLE.lastrow)-ROW(PLE.firstrow))),0,
           IF(OFFSET(PLE!$G$15,$M343-$A$15,AZ$13)="",10^12,OFFSET(PLE!$G$15,$M343-$A$15,AZ$13)))</f>
        <v>1000000000000</v>
      </c>
      <c r="BA343" s="173">
        <f ca="1">IF(OR($D343&lt;&gt;"Serviço",AND(AUTOEVENTO="Manual",$M343=$A$15),$M343&gt;(ROW(PLE.lastrow)-ROW(PLE.firstrow))),0,
           IF(OFFSET(PLE!$G$15,$M343-$A$15,BA$13)="",10^12,OFFSET(PLE!$G$15,$M343-$A$15,BA$13)))</f>
        <v>1000000000000</v>
      </c>
      <c r="BB343" s="173">
        <f ca="1">IF(OR($D343&lt;&gt;"Serviço",AND(AUTOEVENTO="Manual",$M343=$A$15),$M343&gt;(ROW(PLE.lastrow)-ROW(PLE.firstrow))),0,
           IF(OFFSET(PLE!$G$15,$M343-$A$15,BB$13)="",10^12,OFFSET(PLE!$G$15,$M343-$A$15,BB$13)))</f>
        <v>1000000000000</v>
      </c>
      <c r="BC343" s="173">
        <f ca="1">IF(OR($D343&lt;&gt;"Serviço",AND(AUTOEVENTO="Manual",$M343=$A$15),$M343&gt;(ROW(PLE.lastrow)-ROW(PLE.firstrow))),0,
           IF(OFFSET(PLE!$G$15,$M343-$A$15,BC$13)="",10^12,OFFSET(PLE!$G$15,$M343-$A$15,BC$13)))</f>
        <v>1000000000000</v>
      </c>
      <c r="BD343" s="173">
        <f ca="1">IF(OR($D343&lt;&gt;"Serviço",AND(AUTOEVENTO="Manual",$M343=$A$15),$M343&gt;(ROW(PLE.lastrow)-ROW(PLE.firstrow))),0,
           IF(OFFSET(PLE!$G$15,$M343-$A$15,BD$13)="",10^12,OFFSET(PLE!$G$15,$M343-$A$15,BD$13)))</f>
        <v>1000000000000</v>
      </c>
      <c r="BE343" s="173">
        <f ca="1">IF(OR($D343&lt;&gt;"Serviço",AND(AUTOEVENTO="Manual",$M343=$A$15),$M343&gt;(ROW(PLE.lastrow)-ROW(PLE.firstrow))),0,
           IF(OFFSET(PLE!$G$15,$M343-$A$15,BE$13)="",10^12,OFFSET(PLE!$G$15,$M343-$A$15,BE$13)))</f>
        <v>1000000000000</v>
      </c>
      <c r="BF343" s="173">
        <f ca="1">IF(OR($D343&lt;&gt;"Serviço",AND(AUTOEVENTO="Manual",$M343=$A$15),$M343&gt;(ROW(PLE.lastrow)-ROW(PLE.firstrow))),0,
           IF(OFFSET(PLE!$G$15,$M343-$A$15,BF$13)="",10^12,OFFSET(PLE!$G$15,$M343-$A$15,BF$13)))</f>
        <v>1000000000000</v>
      </c>
      <c r="BG343" s="173">
        <f ca="1">IF(OR($D343&lt;&gt;"Serviço",AND(AUTOEVENTO="Manual",$M343=$A$15),$M343&gt;(ROW(PLE.lastrow)-ROW(PLE.firstrow))),0,
           IF(OFFSET(PLE!$G$15,$M343-$A$15,BG$13)="",10^12,OFFSET(PLE!$G$15,$M343-$A$15,BG$13)))</f>
        <v>1000000000000</v>
      </c>
    </row>
    <row r="344" spans="1:59" ht="38.25" x14ac:dyDescent="0.2">
      <c r="A344" s="7" t="str">
        <f t="shared" ca="1" si="13"/>
        <v>327</v>
      </c>
      <c r="B344" s="7" t="str">
        <f ca="1">OFFSET(ORÇAMENTO!C$15,ROW(B344)-ROW(B$15),0)</f>
        <v>S</v>
      </c>
      <c r="C344" s="7" t="str">
        <f ca="1">OFFSET(ORÇAMENTO!L$15,ROW(C344)-ROW(C$15),0)</f>
        <v/>
      </c>
      <c r="D344" s="117" t="str">
        <f ca="1">OFFSET(ORÇAMENTO!N$15,ROW(D344)-ROW(D$15),0)</f>
        <v>Serviço</v>
      </c>
      <c r="E344" s="118" t="str">
        <f ca="1">OFFSET(ORÇAMENTO!O$15,ROW(E344)-ROW(E$15),0)</f>
        <v>-</v>
      </c>
      <c r="F344" s="164" t="str">
        <f ca="1">OFFSET(ORÇAMENTO!R$15,ROW(F344)-ROW(F$15),0)</f>
        <v>EXECUÇÃO DE PISO DE CONCRETO, COM ACABAMENTO SUPERFICIAL, ESPESSURA DE 15 CM, FCK = 30 MPA, COM USO DE FORMAS EM MADEIRA SERRADA. AF_09/2021</v>
      </c>
      <c r="G344" s="165" t="str">
        <f ca="1">IF($D344&lt;&gt;"Serviço","",OFFSET(ORÇAMENTO!S$15,ROW(G344)-ROW(G$15),0))</f>
        <v>M2</v>
      </c>
      <c r="H344" s="123">
        <f ca="1">IF($D344&lt;&gt;"Serviço",0,IF(ACOMPANHAMENTO="BM",ROUND(OFFSET(ORÇAMENTO!AJ$15,ROW(H344)-ROW(H$15),0),15-13*ORÇAMENTO!$AF$7),SUMPRODUCT(($Q$1:$AA$1=1)*ROUND($Q344:$AA344,15-13*ORÇAMENTO!$AF$7))))</f>
        <v>27.4</v>
      </c>
      <c r="I344" s="469"/>
      <c r="J344" s="577" t="str" cm="1">
        <f t="array" aca="1" ref="J344" ca="1">IF(B344&lt;&gt;"S","",IF(AND(ACOMPANHAMENTO="PLE",AUTOEVENTO="Manual",OR(H344&gt;0,ORÇAMENTO!AC344="QUANT."),OR(K344="",M344=0,N344="")),"►",IF(AND(ACOMPANHAMENTO="PLE",ORÇAMENTO!AC344="QUANT."),"►►",IF(AND(COUNTIF($P$11:$AA$11,"▼")=0,H344&gt;0,I344=""),"◄",""))))</f>
        <v>◄</v>
      </c>
      <c r="K344" s="626"/>
      <c r="L344" s="166" t="s">
        <v>765</v>
      </c>
      <c r="M344" s="167">
        <f ca="1">IF($D344&lt;&gt;"Serviço","",
          IF(AUTOEVENTO="manual",$A344,
                IF(ISERROR(MATCH($A344,$A$15:OFFSET($A344,-1,0),0)),MAX($M$15:OFFSET(M344,-1,0))+1,
                      INDEX($M$15:OFFSET(M344,-1,0),MATCH($A344,$A$15:OFFSET($A344,-1,0),0)))))</f>
        <v>18</v>
      </c>
      <c r="N344" s="168" t="str">
        <f ca="1">IF($D344&lt;&gt;"Serviço","",
         IF(AUTOEVENTO="Manual",
                IF($A344=0,"&lt;-- defina o número do agrupador",
                       OFFSET(EVENTOS!$D$15,$A344-$A$15,0)),
                OFFSET($F$15,$A344,0)))</f>
        <v>PISOS EXTERNOS</v>
      </c>
      <c r="O344" s="169"/>
      <c r="Q344" s="169"/>
      <c r="R344" s="170"/>
      <c r="S344" s="170"/>
      <c r="T344" s="170"/>
      <c r="U344" s="170"/>
      <c r="V344" s="170"/>
      <c r="W344" s="170"/>
      <c r="X344" s="170"/>
      <c r="Y344" s="170"/>
      <c r="Z344" s="171"/>
      <c r="AB344" s="454">
        <f ca="1">IF(AND($D344="Serviço",AB$12&lt;&gt;0,$H344&gt;0,OR(AUTOEVENTO&lt;&gt;"manual",$M344&lt;&gt;$A$15)),
        IF(Import.TipoArredondamento&lt;&gt;"TransfereGOV",
              ROUND(OFFSET($P344,0,AB$13),15-13*ORÇAMENTO!$AF$7)/$H344*OFFSET(ORÇAMENTO!$X$15,ROW(AB344)-ROW(AB$15),0),
              ROUND(ROUND(OFFSET($P344,0,AB$13),15-13*ORÇAMENTO!$AF$7)*OFFSET(ORÇAMENTO!$W$15,ROW(AB344)-ROW(AB$15),0),15-13*ORÇAMENTO!$AF$11)),
         0)</f>
        <v>0</v>
      </c>
      <c r="AC344" s="454">
        <f ca="1">IF(AND($D344="Serviço",AC$12&lt;&gt;0,$H344&gt;0,OR(AUTOEVENTO&lt;&gt;"manual",$M344&lt;&gt;$A$15)),
        IF(Import.TipoArredondamento&lt;&gt;"TransfereGOV",
              ROUND(OFFSET($P344,0,AC$13),15-13*ORÇAMENTO!$AF$7)/$H344*OFFSET(ORÇAMENTO!$X$15,ROW(AC344)-ROW(AC$15),0),
              ROUND(ROUND(OFFSET($P344,0,AC$13),15-13*ORÇAMENTO!$AF$7)*OFFSET(ORÇAMENTO!$W$15,ROW(AC344)-ROW(AC$15),0),15-13*ORÇAMENTO!$AF$11)),
         0)</f>
        <v>0</v>
      </c>
      <c r="AD344" s="454">
        <f ca="1">IF(AND($D344="Serviço",AD$12&lt;&gt;0,$H344&gt;0,OR(AUTOEVENTO&lt;&gt;"manual",$M344&lt;&gt;$A$15)),
        IF(Import.TipoArredondamento&lt;&gt;"TransfereGOV",
              ROUND(OFFSET($P344,0,AD$13),15-13*ORÇAMENTO!$AF$7)/$H344*OFFSET(ORÇAMENTO!$X$15,ROW(AD344)-ROW(AD$15),0),
              ROUND(ROUND(OFFSET($P344,0,AD$13),15-13*ORÇAMENTO!$AF$7)*OFFSET(ORÇAMENTO!$W$15,ROW(AD344)-ROW(AD$15),0),15-13*ORÇAMENTO!$AF$11)),
         0)</f>
        <v>0</v>
      </c>
      <c r="AE344" s="454">
        <f ca="1">IF(AND($D344="Serviço",AE$12&lt;&gt;0,$H344&gt;0,OR(AUTOEVENTO&lt;&gt;"manual",$M344&lt;&gt;$A$15)),
        IF(Import.TipoArredondamento&lt;&gt;"TransfereGOV",
              ROUND(OFFSET($P344,0,AE$13),15-13*ORÇAMENTO!$AF$7)/$H344*OFFSET(ORÇAMENTO!$X$15,ROW(AE344)-ROW(AE$15),0),
              ROUND(ROUND(OFFSET($P344,0,AE$13),15-13*ORÇAMENTO!$AF$7)*OFFSET(ORÇAMENTO!$W$15,ROW(AE344)-ROW(AE$15),0),15-13*ORÇAMENTO!$AF$11)),
         0)</f>
        <v>0</v>
      </c>
      <c r="AF344" s="454">
        <f ca="1">IF(AND($D344="Serviço",AF$12&lt;&gt;0,$H344&gt;0,OR(AUTOEVENTO&lt;&gt;"manual",$M344&lt;&gt;$A$15)),
        IF(Import.TipoArredondamento&lt;&gt;"TransfereGOV",
              ROUND(OFFSET($P344,0,AF$13),15-13*ORÇAMENTO!$AF$7)/$H344*OFFSET(ORÇAMENTO!$X$15,ROW(AF344)-ROW(AF$15),0),
              ROUND(ROUND(OFFSET($P344,0,AF$13),15-13*ORÇAMENTO!$AF$7)*OFFSET(ORÇAMENTO!$W$15,ROW(AF344)-ROW(AF$15),0),15-13*ORÇAMENTO!$AF$11)),
         0)</f>
        <v>0</v>
      </c>
      <c r="AG344" s="454">
        <f ca="1">IF(AND($D344="Serviço",AG$12&lt;&gt;0,$H344&gt;0,OR(AUTOEVENTO&lt;&gt;"manual",$M344&lt;&gt;$A$15)),
        IF(Import.TipoArredondamento&lt;&gt;"TransfereGOV",
              ROUND(OFFSET($P344,0,AG$13),15-13*ORÇAMENTO!$AF$7)/$H344*OFFSET(ORÇAMENTO!$X$15,ROW(AG344)-ROW(AG$15),0),
              ROUND(ROUND(OFFSET($P344,0,AG$13),15-13*ORÇAMENTO!$AF$7)*OFFSET(ORÇAMENTO!$W$15,ROW(AG344)-ROW(AG$15),0),15-13*ORÇAMENTO!$AF$11)),
         0)</f>
        <v>0</v>
      </c>
      <c r="AH344" s="454">
        <f ca="1">IF(AND($D344="Serviço",AH$12&lt;&gt;0,$H344&gt;0,OR(AUTOEVENTO&lt;&gt;"manual",$M344&lt;&gt;$A$15)),
        IF(Import.TipoArredondamento&lt;&gt;"TransfereGOV",
              ROUND(OFFSET($P344,0,AH$13),15-13*ORÇAMENTO!$AF$7)/$H344*OFFSET(ORÇAMENTO!$X$15,ROW(AH344)-ROW(AH$15),0),
              ROUND(ROUND(OFFSET($P344,0,AH$13),15-13*ORÇAMENTO!$AF$7)*OFFSET(ORÇAMENTO!$W$15,ROW(AH344)-ROW(AH$15),0),15-13*ORÇAMENTO!$AF$11)),
         0)</f>
        <v>0</v>
      </c>
      <c r="AI344" s="454">
        <f ca="1">IF(AND($D344="Serviço",AI$12&lt;&gt;0,$H344&gt;0,OR(AUTOEVENTO&lt;&gt;"manual",$M344&lt;&gt;$A$15)),
        IF(Import.TipoArredondamento&lt;&gt;"TransfereGOV",
              ROUND(OFFSET($P344,0,AI$13),15-13*ORÇAMENTO!$AF$7)/$H344*OFFSET(ORÇAMENTO!$X$15,ROW(AI344)-ROW(AI$15),0),
              ROUND(ROUND(OFFSET($P344,0,AI$13),15-13*ORÇAMENTO!$AF$7)*OFFSET(ORÇAMENTO!$W$15,ROW(AI344)-ROW(AI$15),0),15-13*ORÇAMENTO!$AF$11)),
         0)</f>
        <v>0</v>
      </c>
      <c r="AJ344" s="454">
        <f ca="1">IF(AND($D344="Serviço",AJ$12&lt;&gt;0,$H344&gt;0,OR(AUTOEVENTO&lt;&gt;"manual",$M344&lt;&gt;$A$15)),
        IF(Import.TipoArredondamento&lt;&gt;"TransfereGOV",
              ROUND(OFFSET($P344,0,AJ$13),15-13*ORÇAMENTO!$AF$7)/$H344*OFFSET(ORÇAMENTO!$X$15,ROW(AJ344)-ROW(AJ$15),0),
              ROUND(ROUND(OFFSET($P344,0,AJ$13),15-13*ORÇAMENTO!$AF$7)*OFFSET(ORÇAMENTO!$W$15,ROW(AJ344)-ROW(AJ$15),0),15-13*ORÇAMENTO!$AF$11)),
         0)</f>
        <v>0</v>
      </c>
      <c r="AK344" s="454">
        <f ca="1">IF(AND($D344="Serviço",AK$12&lt;&gt;0,$H344&gt;0,OR(AUTOEVENTO&lt;&gt;"manual",$M344&lt;&gt;$A$15)),
        IF(Import.TipoArredondamento&lt;&gt;"TransfereGOV",
              ROUND(OFFSET($P344,0,AK$13),15-13*ORÇAMENTO!$AF$7)/$H344*OFFSET(ORÇAMENTO!$X$15,ROW(AK344)-ROW(AK$15),0),
              ROUND(ROUND(OFFSET($P344,0,AK$13),15-13*ORÇAMENTO!$AF$7)*OFFSET(ORÇAMENTO!$W$15,ROW(AK344)-ROW(AK$15),0),15-13*ORÇAMENTO!$AF$11)),
         0)</f>
        <v>0</v>
      </c>
      <c r="AM344" s="172">
        <f ca="1">IF(OR($D344&lt;&gt;"Serviço",AND(AUTOEVENTO="Manual",$M344=$A$15)),0,
         IF(OFFSET(CRONOPLE!$F$15,$M344-$A$15,AM$13)="",10^12,OFFSET(CRONOPLE!$F$15,$M344-$A$15,AM$13)))</f>
        <v>1000000000000</v>
      </c>
      <c r="AN344" s="172">
        <f ca="1">IF(OR($D344&lt;&gt;"Serviço",AND(AUTOEVENTO="Manual",$M344=$A$15)),0,
         IF(OFFSET(CRONOPLE!$F$15,$M344-$A$15,AN$13)="",10^12,OFFSET(CRONOPLE!$F$15,$M344-$A$15,AN$13)))</f>
        <v>1000000000000</v>
      </c>
      <c r="AO344" s="172">
        <f ca="1">IF(OR($D344&lt;&gt;"Serviço",AND(AUTOEVENTO="Manual",$M344=$A$15)),0,
         IF(OFFSET(CRONOPLE!$F$15,$M344-$A$15,AO$13)="",10^12,OFFSET(CRONOPLE!$F$15,$M344-$A$15,AO$13)))</f>
        <v>1000000000000</v>
      </c>
      <c r="AP344" s="172">
        <f ca="1">IF(OR($D344&lt;&gt;"Serviço",AND(AUTOEVENTO="Manual",$M344=$A$15)),0,
         IF(OFFSET(CRONOPLE!$F$15,$M344-$A$15,AP$13)="",10^12,OFFSET(CRONOPLE!$F$15,$M344-$A$15,AP$13)))</f>
        <v>1000000000000</v>
      </c>
      <c r="AQ344" s="172">
        <f ca="1">IF(OR($D344&lt;&gt;"Serviço",AND(AUTOEVENTO="Manual",$M344=$A$15)),0,
         IF(OFFSET(CRONOPLE!$F$15,$M344-$A$15,AQ$13)="",10^12,OFFSET(CRONOPLE!$F$15,$M344-$A$15,AQ$13)))</f>
        <v>1000000000000</v>
      </c>
      <c r="AR344" s="172">
        <f ca="1">IF(OR($D344&lt;&gt;"Serviço",AND(AUTOEVENTO="Manual",$M344=$A$15)),0,
         IF(OFFSET(CRONOPLE!$F$15,$M344-$A$15,AR$13)="",10^12,OFFSET(CRONOPLE!$F$15,$M344-$A$15,AR$13)))</f>
        <v>1000000000000</v>
      </c>
      <c r="AS344" s="172">
        <f ca="1">IF(OR($D344&lt;&gt;"Serviço",AND(AUTOEVENTO="Manual",$M344=$A$15)),0,
         IF(OFFSET(CRONOPLE!$F$15,$M344-$A$15,AS$13)="",10^12,OFFSET(CRONOPLE!$F$15,$M344-$A$15,AS$13)))</f>
        <v>1000000000000</v>
      </c>
      <c r="AT344" s="172">
        <f ca="1">IF(OR($D344&lt;&gt;"Serviço",AND(AUTOEVENTO="Manual",$M344=$A$15)),0,
         IF(OFFSET(CRONOPLE!$F$15,$M344-$A$15,AT$13)="",10^12,OFFSET(CRONOPLE!$F$15,$M344-$A$15,AT$13)))</f>
        <v>1000000000000</v>
      </c>
      <c r="AU344" s="172">
        <f ca="1">IF(OR($D344&lt;&gt;"Serviço",AND(AUTOEVENTO="Manual",$M344=$A$15)),0,
         IF(OFFSET(CRONOPLE!$F$15,$M344-$A$15,AU$13)="",10^12,OFFSET(CRONOPLE!$F$15,$M344-$A$15,AU$13)))</f>
        <v>1000000000000</v>
      </c>
      <c r="AV344" s="172">
        <f ca="1">IF(OR($D344&lt;&gt;"Serviço",AND(AUTOEVENTO="Manual",$M344=$A$15)),0,
         IF(OFFSET(CRONOPLE!$F$15,$M344-$A$15,AV$13)="",10^12,OFFSET(CRONOPLE!$F$15,$M344-$A$15,AV$13)))</f>
        <v>1000000000000</v>
      </c>
      <c r="AX344" s="173">
        <f ca="1">IF(OR($D344&lt;&gt;"Serviço",AND(AUTOEVENTO="Manual",$M344=$A$15),$M344&gt;(ROW(PLE.lastrow)-ROW(PLE.firstrow))),0,
           IF(OFFSET(PLE!$G$15,$M344-$A$15,AX$13)="",10^12,OFFSET(PLE!$G$15,$M344-$A$15,AX$13)))</f>
        <v>1000000000000</v>
      </c>
      <c r="AY344" s="173">
        <f ca="1">IF(OR($D344&lt;&gt;"Serviço",AND(AUTOEVENTO="Manual",$M344=$A$15),$M344&gt;(ROW(PLE.lastrow)-ROW(PLE.firstrow))),0,
           IF(OFFSET(PLE!$G$15,$M344-$A$15,AY$13)="",10^12,OFFSET(PLE!$G$15,$M344-$A$15,AY$13)))</f>
        <v>1000000000000</v>
      </c>
      <c r="AZ344" s="173">
        <f ca="1">IF(OR($D344&lt;&gt;"Serviço",AND(AUTOEVENTO="Manual",$M344=$A$15),$M344&gt;(ROW(PLE.lastrow)-ROW(PLE.firstrow))),0,
           IF(OFFSET(PLE!$G$15,$M344-$A$15,AZ$13)="",10^12,OFFSET(PLE!$G$15,$M344-$A$15,AZ$13)))</f>
        <v>1000000000000</v>
      </c>
      <c r="BA344" s="173">
        <f ca="1">IF(OR($D344&lt;&gt;"Serviço",AND(AUTOEVENTO="Manual",$M344=$A$15),$M344&gt;(ROW(PLE.lastrow)-ROW(PLE.firstrow))),0,
           IF(OFFSET(PLE!$G$15,$M344-$A$15,BA$13)="",10^12,OFFSET(PLE!$G$15,$M344-$A$15,BA$13)))</f>
        <v>1000000000000</v>
      </c>
      <c r="BB344" s="173">
        <f ca="1">IF(OR($D344&lt;&gt;"Serviço",AND(AUTOEVENTO="Manual",$M344=$A$15),$M344&gt;(ROW(PLE.lastrow)-ROW(PLE.firstrow))),0,
           IF(OFFSET(PLE!$G$15,$M344-$A$15,BB$13)="",10^12,OFFSET(PLE!$G$15,$M344-$A$15,BB$13)))</f>
        <v>1000000000000</v>
      </c>
      <c r="BC344" s="173">
        <f ca="1">IF(OR($D344&lt;&gt;"Serviço",AND(AUTOEVENTO="Manual",$M344=$A$15),$M344&gt;(ROW(PLE.lastrow)-ROW(PLE.firstrow))),0,
           IF(OFFSET(PLE!$G$15,$M344-$A$15,BC$13)="",10^12,OFFSET(PLE!$G$15,$M344-$A$15,BC$13)))</f>
        <v>1000000000000</v>
      </c>
      <c r="BD344" s="173">
        <f ca="1">IF(OR($D344&lt;&gt;"Serviço",AND(AUTOEVENTO="Manual",$M344=$A$15),$M344&gt;(ROW(PLE.lastrow)-ROW(PLE.firstrow))),0,
           IF(OFFSET(PLE!$G$15,$M344-$A$15,BD$13)="",10^12,OFFSET(PLE!$G$15,$M344-$A$15,BD$13)))</f>
        <v>1000000000000</v>
      </c>
      <c r="BE344" s="173">
        <f ca="1">IF(OR($D344&lt;&gt;"Serviço",AND(AUTOEVENTO="Manual",$M344=$A$15),$M344&gt;(ROW(PLE.lastrow)-ROW(PLE.firstrow))),0,
           IF(OFFSET(PLE!$G$15,$M344-$A$15,BE$13)="",10^12,OFFSET(PLE!$G$15,$M344-$A$15,BE$13)))</f>
        <v>1000000000000</v>
      </c>
      <c r="BF344" s="173">
        <f ca="1">IF(OR($D344&lt;&gt;"Serviço",AND(AUTOEVENTO="Manual",$M344=$A$15),$M344&gt;(ROW(PLE.lastrow)-ROW(PLE.firstrow))),0,
           IF(OFFSET(PLE!$G$15,$M344-$A$15,BF$13)="",10^12,OFFSET(PLE!$G$15,$M344-$A$15,BF$13)))</f>
        <v>1000000000000</v>
      </c>
      <c r="BG344" s="173">
        <f ca="1">IF(OR($D344&lt;&gt;"Serviço",AND(AUTOEVENTO="Manual",$M344=$A$15),$M344&gt;(ROW(PLE.lastrow)-ROW(PLE.firstrow))),0,
           IF(OFFSET(PLE!$G$15,$M344-$A$15,BG$13)="",10^12,OFFSET(PLE!$G$15,$M344-$A$15,BG$13)))</f>
        <v>1000000000000</v>
      </c>
    </row>
    <row r="345" spans="1:59" ht="25.5" x14ac:dyDescent="0.2">
      <c r="A345" s="7" t="str">
        <f t="shared" ca="1" si="13"/>
        <v>327</v>
      </c>
      <c r="B345" s="7" t="str">
        <f ca="1">OFFSET(ORÇAMENTO!C$15,ROW(B345)-ROW(B$15),0)</f>
        <v>S</v>
      </c>
      <c r="C345" s="7" t="str">
        <f ca="1">OFFSET(ORÇAMENTO!L$15,ROW(C345)-ROW(C$15),0)</f>
        <v/>
      </c>
      <c r="D345" s="117" t="str">
        <f ca="1">OFFSET(ORÇAMENTO!N$15,ROW(D345)-ROW(D$15),0)</f>
        <v>Serviço</v>
      </c>
      <c r="E345" s="118" t="str">
        <f ca="1">OFFSET(ORÇAMENTO!O$15,ROW(E345)-ROW(E$15),0)</f>
        <v>-</v>
      </c>
      <c r="F345" s="164" t="str">
        <f ca="1">OFFSET(ORÇAMENTO!R$15,ROW(F345)-ROW(F$15),0)</f>
        <v>ACABAMENTO POLIDO PARA PISO DE CONCRETO ARMADO OU LAJE SOBRE SOLO DE ALTA RESISTÊNCIA. AF_09/2021</v>
      </c>
      <c r="G345" s="165" t="str">
        <f ca="1">IF($D345&lt;&gt;"Serviço","",OFFSET(ORÇAMENTO!S$15,ROW(G345)-ROW(G$15),0))</f>
        <v>M2</v>
      </c>
      <c r="H345" s="123">
        <f ca="1">IF($D345&lt;&gt;"Serviço",0,IF(ACOMPANHAMENTO="BM",ROUND(OFFSET(ORÇAMENTO!AJ$15,ROW(H345)-ROW(H$15),0),15-13*ORÇAMENTO!$AF$7),SUMPRODUCT(($Q$1:$AA$1=1)*ROUND($Q345:$AA345,15-13*ORÇAMENTO!$AF$7))))</f>
        <v>27.4</v>
      </c>
      <c r="I345" s="469"/>
      <c r="J345" s="577" t="str" cm="1">
        <f t="array" aca="1" ref="J345" ca="1">IF(B345&lt;&gt;"S","",IF(AND(ACOMPANHAMENTO="PLE",AUTOEVENTO="Manual",OR(H345&gt;0,ORÇAMENTO!AC345="QUANT."),OR(K345="",M345=0,N345="")),"►",IF(AND(ACOMPANHAMENTO="PLE",ORÇAMENTO!AC345="QUANT."),"►►",IF(AND(COUNTIF($P$11:$AA$11,"▼")=0,H345&gt;0,I345=""),"◄",""))))</f>
        <v>◄</v>
      </c>
      <c r="K345" s="626"/>
      <c r="L345" s="166" t="s">
        <v>765</v>
      </c>
      <c r="M345" s="167">
        <f ca="1">IF($D345&lt;&gt;"Serviço","",
          IF(AUTOEVENTO="manual",$A345,
                IF(ISERROR(MATCH($A345,$A$15:OFFSET($A345,-1,0),0)),MAX($M$15:OFFSET(M345,-1,0))+1,
                      INDEX($M$15:OFFSET(M345,-1,0),MATCH($A345,$A$15:OFFSET($A345,-1,0),0)))))</f>
        <v>18</v>
      </c>
      <c r="N345" s="168" t="str">
        <f ca="1">IF($D345&lt;&gt;"Serviço","",
         IF(AUTOEVENTO="Manual",
                IF($A345=0,"&lt;-- defina o número do agrupador",
                       OFFSET(EVENTOS!$D$15,$A345-$A$15,0)),
                OFFSET($F$15,$A345,0)))</f>
        <v>PISOS EXTERNOS</v>
      </c>
      <c r="O345" s="169"/>
      <c r="Q345" s="169"/>
      <c r="R345" s="170"/>
      <c r="S345" s="170"/>
      <c r="T345" s="170"/>
      <c r="U345" s="170"/>
      <c r="V345" s="170"/>
      <c r="W345" s="170"/>
      <c r="X345" s="170"/>
      <c r="Y345" s="170"/>
      <c r="Z345" s="171"/>
      <c r="AB345" s="454">
        <f ca="1">IF(AND($D345="Serviço",AB$12&lt;&gt;0,$H345&gt;0,OR(AUTOEVENTO&lt;&gt;"manual",$M345&lt;&gt;$A$15)),
        IF(Import.TipoArredondamento&lt;&gt;"TransfereGOV",
              ROUND(OFFSET($P345,0,AB$13),15-13*ORÇAMENTO!$AF$7)/$H345*OFFSET(ORÇAMENTO!$X$15,ROW(AB345)-ROW(AB$15),0),
              ROUND(ROUND(OFFSET($P345,0,AB$13),15-13*ORÇAMENTO!$AF$7)*OFFSET(ORÇAMENTO!$W$15,ROW(AB345)-ROW(AB$15),0),15-13*ORÇAMENTO!$AF$11)),
         0)</f>
        <v>0</v>
      </c>
      <c r="AC345" s="454">
        <f ca="1">IF(AND($D345="Serviço",AC$12&lt;&gt;0,$H345&gt;0,OR(AUTOEVENTO&lt;&gt;"manual",$M345&lt;&gt;$A$15)),
        IF(Import.TipoArredondamento&lt;&gt;"TransfereGOV",
              ROUND(OFFSET($P345,0,AC$13),15-13*ORÇAMENTO!$AF$7)/$H345*OFFSET(ORÇAMENTO!$X$15,ROW(AC345)-ROW(AC$15),0),
              ROUND(ROUND(OFFSET($P345,0,AC$13),15-13*ORÇAMENTO!$AF$7)*OFFSET(ORÇAMENTO!$W$15,ROW(AC345)-ROW(AC$15),0),15-13*ORÇAMENTO!$AF$11)),
         0)</f>
        <v>0</v>
      </c>
      <c r="AD345" s="454">
        <f ca="1">IF(AND($D345="Serviço",AD$12&lt;&gt;0,$H345&gt;0,OR(AUTOEVENTO&lt;&gt;"manual",$M345&lt;&gt;$A$15)),
        IF(Import.TipoArredondamento&lt;&gt;"TransfereGOV",
              ROUND(OFFSET($P345,0,AD$13),15-13*ORÇAMENTO!$AF$7)/$H345*OFFSET(ORÇAMENTO!$X$15,ROW(AD345)-ROW(AD$15),0),
              ROUND(ROUND(OFFSET($P345,0,AD$13),15-13*ORÇAMENTO!$AF$7)*OFFSET(ORÇAMENTO!$W$15,ROW(AD345)-ROW(AD$15),0),15-13*ORÇAMENTO!$AF$11)),
         0)</f>
        <v>0</v>
      </c>
      <c r="AE345" s="454">
        <f ca="1">IF(AND($D345="Serviço",AE$12&lt;&gt;0,$H345&gt;0,OR(AUTOEVENTO&lt;&gt;"manual",$M345&lt;&gt;$A$15)),
        IF(Import.TipoArredondamento&lt;&gt;"TransfereGOV",
              ROUND(OFFSET($P345,0,AE$13),15-13*ORÇAMENTO!$AF$7)/$H345*OFFSET(ORÇAMENTO!$X$15,ROW(AE345)-ROW(AE$15),0),
              ROUND(ROUND(OFFSET($P345,0,AE$13),15-13*ORÇAMENTO!$AF$7)*OFFSET(ORÇAMENTO!$W$15,ROW(AE345)-ROW(AE$15),0),15-13*ORÇAMENTO!$AF$11)),
         0)</f>
        <v>0</v>
      </c>
      <c r="AF345" s="454">
        <f ca="1">IF(AND($D345="Serviço",AF$12&lt;&gt;0,$H345&gt;0,OR(AUTOEVENTO&lt;&gt;"manual",$M345&lt;&gt;$A$15)),
        IF(Import.TipoArredondamento&lt;&gt;"TransfereGOV",
              ROUND(OFFSET($P345,0,AF$13),15-13*ORÇAMENTO!$AF$7)/$H345*OFFSET(ORÇAMENTO!$X$15,ROW(AF345)-ROW(AF$15),0),
              ROUND(ROUND(OFFSET($P345,0,AF$13),15-13*ORÇAMENTO!$AF$7)*OFFSET(ORÇAMENTO!$W$15,ROW(AF345)-ROW(AF$15),0),15-13*ORÇAMENTO!$AF$11)),
         0)</f>
        <v>0</v>
      </c>
      <c r="AG345" s="454">
        <f ca="1">IF(AND($D345="Serviço",AG$12&lt;&gt;0,$H345&gt;0,OR(AUTOEVENTO&lt;&gt;"manual",$M345&lt;&gt;$A$15)),
        IF(Import.TipoArredondamento&lt;&gt;"TransfereGOV",
              ROUND(OFFSET($P345,0,AG$13),15-13*ORÇAMENTO!$AF$7)/$H345*OFFSET(ORÇAMENTO!$X$15,ROW(AG345)-ROW(AG$15),0),
              ROUND(ROUND(OFFSET($P345,0,AG$13),15-13*ORÇAMENTO!$AF$7)*OFFSET(ORÇAMENTO!$W$15,ROW(AG345)-ROW(AG$15),0),15-13*ORÇAMENTO!$AF$11)),
         0)</f>
        <v>0</v>
      </c>
      <c r="AH345" s="454">
        <f ca="1">IF(AND($D345="Serviço",AH$12&lt;&gt;0,$H345&gt;0,OR(AUTOEVENTO&lt;&gt;"manual",$M345&lt;&gt;$A$15)),
        IF(Import.TipoArredondamento&lt;&gt;"TransfereGOV",
              ROUND(OFFSET($P345,0,AH$13),15-13*ORÇAMENTO!$AF$7)/$H345*OFFSET(ORÇAMENTO!$X$15,ROW(AH345)-ROW(AH$15),0),
              ROUND(ROUND(OFFSET($P345,0,AH$13),15-13*ORÇAMENTO!$AF$7)*OFFSET(ORÇAMENTO!$W$15,ROW(AH345)-ROW(AH$15),0),15-13*ORÇAMENTO!$AF$11)),
         0)</f>
        <v>0</v>
      </c>
      <c r="AI345" s="454">
        <f ca="1">IF(AND($D345="Serviço",AI$12&lt;&gt;0,$H345&gt;0,OR(AUTOEVENTO&lt;&gt;"manual",$M345&lt;&gt;$A$15)),
        IF(Import.TipoArredondamento&lt;&gt;"TransfereGOV",
              ROUND(OFFSET($P345,0,AI$13),15-13*ORÇAMENTO!$AF$7)/$H345*OFFSET(ORÇAMENTO!$X$15,ROW(AI345)-ROW(AI$15),0),
              ROUND(ROUND(OFFSET($P345,0,AI$13),15-13*ORÇAMENTO!$AF$7)*OFFSET(ORÇAMENTO!$W$15,ROW(AI345)-ROW(AI$15),0),15-13*ORÇAMENTO!$AF$11)),
         0)</f>
        <v>0</v>
      </c>
      <c r="AJ345" s="454">
        <f ca="1">IF(AND($D345="Serviço",AJ$12&lt;&gt;0,$H345&gt;0,OR(AUTOEVENTO&lt;&gt;"manual",$M345&lt;&gt;$A$15)),
        IF(Import.TipoArredondamento&lt;&gt;"TransfereGOV",
              ROUND(OFFSET($P345,0,AJ$13),15-13*ORÇAMENTO!$AF$7)/$H345*OFFSET(ORÇAMENTO!$X$15,ROW(AJ345)-ROW(AJ$15),0),
              ROUND(ROUND(OFFSET($P345,0,AJ$13),15-13*ORÇAMENTO!$AF$7)*OFFSET(ORÇAMENTO!$W$15,ROW(AJ345)-ROW(AJ$15),0),15-13*ORÇAMENTO!$AF$11)),
         0)</f>
        <v>0</v>
      </c>
      <c r="AK345" s="454">
        <f ca="1">IF(AND($D345="Serviço",AK$12&lt;&gt;0,$H345&gt;0,OR(AUTOEVENTO&lt;&gt;"manual",$M345&lt;&gt;$A$15)),
        IF(Import.TipoArredondamento&lt;&gt;"TransfereGOV",
              ROUND(OFFSET($P345,0,AK$13),15-13*ORÇAMENTO!$AF$7)/$H345*OFFSET(ORÇAMENTO!$X$15,ROW(AK345)-ROW(AK$15),0),
              ROUND(ROUND(OFFSET($P345,0,AK$13),15-13*ORÇAMENTO!$AF$7)*OFFSET(ORÇAMENTO!$W$15,ROW(AK345)-ROW(AK$15),0),15-13*ORÇAMENTO!$AF$11)),
         0)</f>
        <v>0</v>
      </c>
      <c r="AM345" s="172">
        <f ca="1">IF(OR($D345&lt;&gt;"Serviço",AND(AUTOEVENTO="Manual",$M345=$A$15)),0,
         IF(OFFSET(CRONOPLE!$F$15,$M345-$A$15,AM$13)="",10^12,OFFSET(CRONOPLE!$F$15,$M345-$A$15,AM$13)))</f>
        <v>1000000000000</v>
      </c>
      <c r="AN345" s="172">
        <f ca="1">IF(OR($D345&lt;&gt;"Serviço",AND(AUTOEVENTO="Manual",$M345=$A$15)),0,
         IF(OFFSET(CRONOPLE!$F$15,$M345-$A$15,AN$13)="",10^12,OFFSET(CRONOPLE!$F$15,$M345-$A$15,AN$13)))</f>
        <v>1000000000000</v>
      </c>
      <c r="AO345" s="172">
        <f ca="1">IF(OR($D345&lt;&gt;"Serviço",AND(AUTOEVENTO="Manual",$M345=$A$15)),0,
         IF(OFFSET(CRONOPLE!$F$15,$M345-$A$15,AO$13)="",10^12,OFFSET(CRONOPLE!$F$15,$M345-$A$15,AO$13)))</f>
        <v>1000000000000</v>
      </c>
      <c r="AP345" s="172">
        <f ca="1">IF(OR($D345&lt;&gt;"Serviço",AND(AUTOEVENTO="Manual",$M345=$A$15)),0,
         IF(OFFSET(CRONOPLE!$F$15,$M345-$A$15,AP$13)="",10^12,OFFSET(CRONOPLE!$F$15,$M345-$A$15,AP$13)))</f>
        <v>1000000000000</v>
      </c>
      <c r="AQ345" s="172">
        <f ca="1">IF(OR($D345&lt;&gt;"Serviço",AND(AUTOEVENTO="Manual",$M345=$A$15)),0,
         IF(OFFSET(CRONOPLE!$F$15,$M345-$A$15,AQ$13)="",10^12,OFFSET(CRONOPLE!$F$15,$M345-$A$15,AQ$13)))</f>
        <v>1000000000000</v>
      </c>
      <c r="AR345" s="172">
        <f ca="1">IF(OR($D345&lt;&gt;"Serviço",AND(AUTOEVENTO="Manual",$M345=$A$15)),0,
         IF(OFFSET(CRONOPLE!$F$15,$M345-$A$15,AR$13)="",10^12,OFFSET(CRONOPLE!$F$15,$M345-$A$15,AR$13)))</f>
        <v>1000000000000</v>
      </c>
      <c r="AS345" s="172">
        <f ca="1">IF(OR($D345&lt;&gt;"Serviço",AND(AUTOEVENTO="Manual",$M345=$A$15)),0,
         IF(OFFSET(CRONOPLE!$F$15,$M345-$A$15,AS$13)="",10^12,OFFSET(CRONOPLE!$F$15,$M345-$A$15,AS$13)))</f>
        <v>1000000000000</v>
      </c>
      <c r="AT345" s="172">
        <f ca="1">IF(OR($D345&lt;&gt;"Serviço",AND(AUTOEVENTO="Manual",$M345=$A$15)),0,
         IF(OFFSET(CRONOPLE!$F$15,$M345-$A$15,AT$13)="",10^12,OFFSET(CRONOPLE!$F$15,$M345-$A$15,AT$13)))</f>
        <v>1000000000000</v>
      </c>
      <c r="AU345" s="172">
        <f ca="1">IF(OR($D345&lt;&gt;"Serviço",AND(AUTOEVENTO="Manual",$M345=$A$15)),0,
         IF(OFFSET(CRONOPLE!$F$15,$M345-$A$15,AU$13)="",10^12,OFFSET(CRONOPLE!$F$15,$M345-$A$15,AU$13)))</f>
        <v>1000000000000</v>
      </c>
      <c r="AV345" s="172">
        <f ca="1">IF(OR($D345&lt;&gt;"Serviço",AND(AUTOEVENTO="Manual",$M345=$A$15)),0,
         IF(OFFSET(CRONOPLE!$F$15,$M345-$A$15,AV$13)="",10^12,OFFSET(CRONOPLE!$F$15,$M345-$A$15,AV$13)))</f>
        <v>1000000000000</v>
      </c>
      <c r="AX345" s="173">
        <f ca="1">IF(OR($D345&lt;&gt;"Serviço",AND(AUTOEVENTO="Manual",$M345=$A$15),$M345&gt;(ROW(PLE.lastrow)-ROW(PLE.firstrow))),0,
           IF(OFFSET(PLE!$G$15,$M345-$A$15,AX$13)="",10^12,OFFSET(PLE!$G$15,$M345-$A$15,AX$13)))</f>
        <v>1000000000000</v>
      </c>
      <c r="AY345" s="173">
        <f ca="1">IF(OR($D345&lt;&gt;"Serviço",AND(AUTOEVENTO="Manual",$M345=$A$15),$M345&gt;(ROW(PLE.lastrow)-ROW(PLE.firstrow))),0,
           IF(OFFSET(PLE!$G$15,$M345-$A$15,AY$13)="",10^12,OFFSET(PLE!$G$15,$M345-$A$15,AY$13)))</f>
        <v>1000000000000</v>
      </c>
      <c r="AZ345" s="173">
        <f ca="1">IF(OR($D345&lt;&gt;"Serviço",AND(AUTOEVENTO="Manual",$M345=$A$15),$M345&gt;(ROW(PLE.lastrow)-ROW(PLE.firstrow))),0,
           IF(OFFSET(PLE!$G$15,$M345-$A$15,AZ$13)="",10^12,OFFSET(PLE!$G$15,$M345-$A$15,AZ$13)))</f>
        <v>1000000000000</v>
      </c>
      <c r="BA345" s="173">
        <f ca="1">IF(OR($D345&lt;&gt;"Serviço",AND(AUTOEVENTO="Manual",$M345=$A$15),$M345&gt;(ROW(PLE.lastrow)-ROW(PLE.firstrow))),0,
           IF(OFFSET(PLE!$G$15,$M345-$A$15,BA$13)="",10^12,OFFSET(PLE!$G$15,$M345-$A$15,BA$13)))</f>
        <v>1000000000000</v>
      </c>
      <c r="BB345" s="173">
        <f ca="1">IF(OR($D345&lt;&gt;"Serviço",AND(AUTOEVENTO="Manual",$M345=$A$15),$M345&gt;(ROW(PLE.lastrow)-ROW(PLE.firstrow))),0,
           IF(OFFSET(PLE!$G$15,$M345-$A$15,BB$13)="",10^12,OFFSET(PLE!$G$15,$M345-$A$15,BB$13)))</f>
        <v>1000000000000</v>
      </c>
      <c r="BC345" s="173">
        <f ca="1">IF(OR($D345&lt;&gt;"Serviço",AND(AUTOEVENTO="Manual",$M345=$A$15),$M345&gt;(ROW(PLE.lastrow)-ROW(PLE.firstrow))),0,
           IF(OFFSET(PLE!$G$15,$M345-$A$15,BC$13)="",10^12,OFFSET(PLE!$G$15,$M345-$A$15,BC$13)))</f>
        <v>1000000000000</v>
      </c>
      <c r="BD345" s="173">
        <f ca="1">IF(OR($D345&lt;&gt;"Serviço",AND(AUTOEVENTO="Manual",$M345=$A$15),$M345&gt;(ROW(PLE.lastrow)-ROW(PLE.firstrow))),0,
           IF(OFFSET(PLE!$G$15,$M345-$A$15,BD$13)="",10^12,OFFSET(PLE!$G$15,$M345-$A$15,BD$13)))</f>
        <v>1000000000000</v>
      </c>
      <c r="BE345" s="173">
        <f ca="1">IF(OR($D345&lt;&gt;"Serviço",AND(AUTOEVENTO="Manual",$M345=$A$15),$M345&gt;(ROW(PLE.lastrow)-ROW(PLE.firstrow))),0,
           IF(OFFSET(PLE!$G$15,$M345-$A$15,BE$13)="",10^12,OFFSET(PLE!$G$15,$M345-$A$15,BE$13)))</f>
        <v>1000000000000</v>
      </c>
      <c r="BF345" s="173">
        <f ca="1">IF(OR($D345&lt;&gt;"Serviço",AND(AUTOEVENTO="Manual",$M345=$A$15),$M345&gt;(ROW(PLE.lastrow)-ROW(PLE.firstrow))),0,
           IF(OFFSET(PLE!$G$15,$M345-$A$15,BF$13)="",10^12,OFFSET(PLE!$G$15,$M345-$A$15,BF$13)))</f>
        <v>1000000000000</v>
      </c>
      <c r="BG345" s="173">
        <f ca="1">IF(OR($D345&lt;&gt;"Serviço",AND(AUTOEVENTO="Manual",$M345=$A$15),$M345&gt;(ROW(PLE.lastrow)-ROW(PLE.firstrow))),0,
           IF(OFFSET(PLE!$G$15,$M345-$A$15,BG$13)="",10^12,OFFSET(PLE!$G$15,$M345-$A$15,BG$13)))</f>
        <v>1000000000000</v>
      </c>
    </row>
    <row r="346" spans="1:59" ht="12.75" x14ac:dyDescent="0.2">
      <c r="A346" s="7" t="str">
        <f t="shared" ca="1" si="13"/>
        <v>331.</v>
      </c>
      <c r="B346" s="7">
        <f ca="1">OFFSET(ORÇAMENTO!C$15,ROW(B346)-ROW(B$15),0)</f>
        <v>2</v>
      </c>
      <c r="C346" s="7" t="str">
        <f ca="1">OFFSET(ORÇAMENTO!L$15,ROW(C346)-ROW(C$15),0)</f>
        <v>F</v>
      </c>
      <c r="D346" s="117" t="str">
        <f ca="1">OFFSET(ORÇAMENTO!N$15,ROW(D346)-ROW(D$15),0)</f>
        <v>Nível 2</v>
      </c>
      <c r="E346" s="118" t="str">
        <f ca="1">OFFSET(ORÇAMENTO!O$15,ROW(E346)-ROW(E$15),0)</f>
        <v>1.19.</v>
      </c>
      <c r="F346" s="164" t="str">
        <f ca="1">OFFSET(ORÇAMENTO!R$15,ROW(F346)-ROW(F$15),0)</f>
        <v>FECHAMENTOS EXTERNOS</v>
      </c>
      <c r="G346" s="165" t="str">
        <f ca="1">IF($D346&lt;&gt;"Serviço","",OFFSET(ORÇAMENTO!S$15,ROW(G346)-ROW(G$15),0))</f>
        <v/>
      </c>
      <c r="H346" s="123">
        <f ca="1">IF($D346&lt;&gt;"Serviço",0,IF(ACOMPANHAMENTO="BM",ROUND(OFFSET(ORÇAMENTO!AJ$15,ROW(H346)-ROW(H$15),0),15-13*ORÇAMENTO!$AF$7),SUMPRODUCT(($Q$1:$AA$1=1)*ROUND($Q346:$AA346,15-13*ORÇAMENTO!$AF$7))))</f>
        <v>0</v>
      </c>
      <c r="I346" s="469"/>
      <c r="J346" s="577" t="str" cm="1">
        <f t="array" aca="1" ref="J346" ca="1">IF(B346&lt;&gt;"S","",IF(AND(ACOMPANHAMENTO="PLE",AUTOEVENTO="Manual",OR(H346&gt;0,ORÇAMENTO!AC346="QUANT."),OR(K346="",M346=0,N346="")),"►",IF(AND(ACOMPANHAMENTO="PLE",ORÇAMENTO!AC346="QUANT."),"►►",IF(AND(COUNTIF($P$11:$AA$11,"▼")=0,H346&gt;0,I346=""),"◄",""))))</f>
        <v/>
      </c>
      <c r="K346" s="626"/>
      <c r="L346" s="166" t="s">
        <v>765</v>
      </c>
      <c r="M346" s="167" t="str">
        <f ca="1">IF($D346&lt;&gt;"Serviço","",
          IF(AUTOEVENTO="manual",$A346,
                IF(ISERROR(MATCH($A346,$A$15:OFFSET($A346,-1,0),0)),MAX($M$15:OFFSET(M346,-1,0))+1,
                      INDEX($M$15:OFFSET(M346,-1,0),MATCH($A346,$A$15:OFFSET($A346,-1,0),0)))))</f>
        <v/>
      </c>
      <c r="N346" s="168" t="str">
        <f ca="1">IF($D346&lt;&gt;"Serviço","",
         IF(AUTOEVENTO="Manual",
                IF($A346=0,"&lt;-- defina o número do agrupador",
                       OFFSET(EVENTOS!$D$15,$A346-$A$15,0)),
                OFFSET($F$15,$A346,0)))</f>
        <v/>
      </c>
      <c r="O346" s="169"/>
      <c r="Q346" s="169"/>
      <c r="R346" s="170"/>
      <c r="S346" s="170"/>
      <c r="T346" s="170"/>
      <c r="U346" s="170"/>
      <c r="V346" s="170"/>
      <c r="W346" s="170"/>
      <c r="X346" s="170"/>
      <c r="Y346" s="170"/>
      <c r="Z346" s="171"/>
      <c r="AB346" s="454">
        <f ca="1">IF(AND($D346="Serviço",AB$12&lt;&gt;0,$H346&gt;0,OR(AUTOEVENTO&lt;&gt;"manual",$M346&lt;&gt;$A$15)),
        IF(Import.TipoArredondamento&lt;&gt;"TransfereGOV",
              ROUND(OFFSET($P346,0,AB$13),15-13*ORÇAMENTO!$AF$7)/$H346*OFFSET(ORÇAMENTO!$X$15,ROW(AB346)-ROW(AB$15),0),
              ROUND(ROUND(OFFSET($P346,0,AB$13),15-13*ORÇAMENTO!$AF$7)*OFFSET(ORÇAMENTO!$W$15,ROW(AB346)-ROW(AB$15),0),15-13*ORÇAMENTO!$AF$11)),
         0)</f>
        <v>0</v>
      </c>
      <c r="AC346" s="454">
        <f ca="1">IF(AND($D346="Serviço",AC$12&lt;&gt;0,$H346&gt;0,OR(AUTOEVENTO&lt;&gt;"manual",$M346&lt;&gt;$A$15)),
        IF(Import.TipoArredondamento&lt;&gt;"TransfereGOV",
              ROUND(OFFSET($P346,0,AC$13),15-13*ORÇAMENTO!$AF$7)/$H346*OFFSET(ORÇAMENTO!$X$15,ROW(AC346)-ROW(AC$15),0),
              ROUND(ROUND(OFFSET($P346,0,AC$13),15-13*ORÇAMENTO!$AF$7)*OFFSET(ORÇAMENTO!$W$15,ROW(AC346)-ROW(AC$15),0),15-13*ORÇAMENTO!$AF$11)),
         0)</f>
        <v>0</v>
      </c>
      <c r="AD346" s="454">
        <f ca="1">IF(AND($D346="Serviço",AD$12&lt;&gt;0,$H346&gt;0,OR(AUTOEVENTO&lt;&gt;"manual",$M346&lt;&gt;$A$15)),
        IF(Import.TipoArredondamento&lt;&gt;"TransfereGOV",
              ROUND(OFFSET($P346,0,AD$13),15-13*ORÇAMENTO!$AF$7)/$H346*OFFSET(ORÇAMENTO!$X$15,ROW(AD346)-ROW(AD$15),0),
              ROUND(ROUND(OFFSET($P346,0,AD$13),15-13*ORÇAMENTO!$AF$7)*OFFSET(ORÇAMENTO!$W$15,ROW(AD346)-ROW(AD$15),0),15-13*ORÇAMENTO!$AF$11)),
         0)</f>
        <v>0</v>
      </c>
      <c r="AE346" s="454">
        <f ca="1">IF(AND($D346="Serviço",AE$12&lt;&gt;0,$H346&gt;0,OR(AUTOEVENTO&lt;&gt;"manual",$M346&lt;&gt;$A$15)),
        IF(Import.TipoArredondamento&lt;&gt;"TransfereGOV",
              ROUND(OFFSET($P346,0,AE$13),15-13*ORÇAMENTO!$AF$7)/$H346*OFFSET(ORÇAMENTO!$X$15,ROW(AE346)-ROW(AE$15),0),
              ROUND(ROUND(OFFSET($P346,0,AE$13),15-13*ORÇAMENTO!$AF$7)*OFFSET(ORÇAMENTO!$W$15,ROW(AE346)-ROW(AE$15),0),15-13*ORÇAMENTO!$AF$11)),
         0)</f>
        <v>0</v>
      </c>
      <c r="AF346" s="454">
        <f ca="1">IF(AND($D346="Serviço",AF$12&lt;&gt;0,$H346&gt;0,OR(AUTOEVENTO&lt;&gt;"manual",$M346&lt;&gt;$A$15)),
        IF(Import.TipoArredondamento&lt;&gt;"TransfereGOV",
              ROUND(OFFSET($P346,0,AF$13),15-13*ORÇAMENTO!$AF$7)/$H346*OFFSET(ORÇAMENTO!$X$15,ROW(AF346)-ROW(AF$15),0),
              ROUND(ROUND(OFFSET($P346,0,AF$13),15-13*ORÇAMENTO!$AF$7)*OFFSET(ORÇAMENTO!$W$15,ROW(AF346)-ROW(AF$15),0),15-13*ORÇAMENTO!$AF$11)),
         0)</f>
        <v>0</v>
      </c>
      <c r="AG346" s="454">
        <f ca="1">IF(AND($D346="Serviço",AG$12&lt;&gt;0,$H346&gt;0,OR(AUTOEVENTO&lt;&gt;"manual",$M346&lt;&gt;$A$15)),
        IF(Import.TipoArredondamento&lt;&gt;"TransfereGOV",
              ROUND(OFFSET($P346,0,AG$13),15-13*ORÇAMENTO!$AF$7)/$H346*OFFSET(ORÇAMENTO!$X$15,ROW(AG346)-ROW(AG$15),0),
              ROUND(ROUND(OFFSET($P346,0,AG$13),15-13*ORÇAMENTO!$AF$7)*OFFSET(ORÇAMENTO!$W$15,ROW(AG346)-ROW(AG$15),0),15-13*ORÇAMENTO!$AF$11)),
         0)</f>
        <v>0</v>
      </c>
      <c r="AH346" s="454">
        <f ca="1">IF(AND($D346="Serviço",AH$12&lt;&gt;0,$H346&gt;0,OR(AUTOEVENTO&lt;&gt;"manual",$M346&lt;&gt;$A$15)),
        IF(Import.TipoArredondamento&lt;&gt;"TransfereGOV",
              ROUND(OFFSET($P346,0,AH$13),15-13*ORÇAMENTO!$AF$7)/$H346*OFFSET(ORÇAMENTO!$X$15,ROW(AH346)-ROW(AH$15),0),
              ROUND(ROUND(OFFSET($P346,0,AH$13),15-13*ORÇAMENTO!$AF$7)*OFFSET(ORÇAMENTO!$W$15,ROW(AH346)-ROW(AH$15),0),15-13*ORÇAMENTO!$AF$11)),
         0)</f>
        <v>0</v>
      </c>
      <c r="AI346" s="454">
        <f ca="1">IF(AND($D346="Serviço",AI$12&lt;&gt;0,$H346&gt;0,OR(AUTOEVENTO&lt;&gt;"manual",$M346&lt;&gt;$A$15)),
        IF(Import.TipoArredondamento&lt;&gt;"TransfereGOV",
              ROUND(OFFSET($P346,0,AI$13),15-13*ORÇAMENTO!$AF$7)/$H346*OFFSET(ORÇAMENTO!$X$15,ROW(AI346)-ROW(AI$15),0),
              ROUND(ROUND(OFFSET($P346,0,AI$13),15-13*ORÇAMENTO!$AF$7)*OFFSET(ORÇAMENTO!$W$15,ROW(AI346)-ROW(AI$15),0),15-13*ORÇAMENTO!$AF$11)),
         0)</f>
        <v>0</v>
      </c>
      <c r="AJ346" s="454">
        <f ca="1">IF(AND($D346="Serviço",AJ$12&lt;&gt;0,$H346&gt;0,OR(AUTOEVENTO&lt;&gt;"manual",$M346&lt;&gt;$A$15)),
        IF(Import.TipoArredondamento&lt;&gt;"TransfereGOV",
              ROUND(OFFSET($P346,0,AJ$13),15-13*ORÇAMENTO!$AF$7)/$H346*OFFSET(ORÇAMENTO!$X$15,ROW(AJ346)-ROW(AJ$15),0),
              ROUND(ROUND(OFFSET($P346,0,AJ$13),15-13*ORÇAMENTO!$AF$7)*OFFSET(ORÇAMENTO!$W$15,ROW(AJ346)-ROW(AJ$15),0),15-13*ORÇAMENTO!$AF$11)),
         0)</f>
        <v>0</v>
      </c>
      <c r="AK346" s="454">
        <f ca="1">IF(AND($D346="Serviço",AK$12&lt;&gt;0,$H346&gt;0,OR(AUTOEVENTO&lt;&gt;"manual",$M346&lt;&gt;$A$15)),
        IF(Import.TipoArredondamento&lt;&gt;"TransfereGOV",
              ROUND(OFFSET($P346,0,AK$13),15-13*ORÇAMENTO!$AF$7)/$H346*OFFSET(ORÇAMENTO!$X$15,ROW(AK346)-ROW(AK$15),0),
              ROUND(ROUND(OFFSET($P346,0,AK$13),15-13*ORÇAMENTO!$AF$7)*OFFSET(ORÇAMENTO!$W$15,ROW(AK346)-ROW(AK$15),0),15-13*ORÇAMENTO!$AF$11)),
         0)</f>
        <v>0</v>
      </c>
      <c r="AM346" s="172">
        <f ca="1">IF(OR($D346&lt;&gt;"Serviço",AND(AUTOEVENTO="Manual",$M346=$A$15)),0,
         IF(OFFSET(CRONOPLE!$F$15,$M346-$A$15,AM$13)="",10^12,OFFSET(CRONOPLE!$F$15,$M346-$A$15,AM$13)))</f>
        <v>0</v>
      </c>
      <c r="AN346" s="172">
        <f ca="1">IF(OR($D346&lt;&gt;"Serviço",AND(AUTOEVENTO="Manual",$M346=$A$15)),0,
         IF(OFFSET(CRONOPLE!$F$15,$M346-$A$15,AN$13)="",10^12,OFFSET(CRONOPLE!$F$15,$M346-$A$15,AN$13)))</f>
        <v>0</v>
      </c>
      <c r="AO346" s="172">
        <f ca="1">IF(OR($D346&lt;&gt;"Serviço",AND(AUTOEVENTO="Manual",$M346=$A$15)),0,
         IF(OFFSET(CRONOPLE!$F$15,$M346-$A$15,AO$13)="",10^12,OFFSET(CRONOPLE!$F$15,$M346-$A$15,AO$13)))</f>
        <v>0</v>
      </c>
      <c r="AP346" s="172">
        <f ca="1">IF(OR($D346&lt;&gt;"Serviço",AND(AUTOEVENTO="Manual",$M346=$A$15)),0,
         IF(OFFSET(CRONOPLE!$F$15,$M346-$A$15,AP$13)="",10^12,OFFSET(CRONOPLE!$F$15,$M346-$A$15,AP$13)))</f>
        <v>0</v>
      </c>
      <c r="AQ346" s="172">
        <f ca="1">IF(OR($D346&lt;&gt;"Serviço",AND(AUTOEVENTO="Manual",$M346=$A$15)),0,
         IF(OFFSET(CRONOPLE!$F$15,$M346-$A$15,AQ$13)="",10^12,OFFSET(CRONOPLE!$F$15,$M346-$A$15,AQ$13)))</f>
        <v>0</v>
      </c>
      <c r="AR346" s="172">
        <f ca="1">IF(OR($D346&lt;&gt;"Serviço",AND(AUTOEVENTO="Manual",$M346=$A$15)),0,
         IF(OFFSET(CRONOPLE!$F$15,$M346-$A$15,AR$13)="",10^12,OFFSET(CRONOPLE!$F$15,$M346-$A$15,AR$13)))</f>
        <v>0</v>
      </c>
      <c r="AS346" s="172">
        <f ca="1">IF(OR($D346&lt;&gt;"Serviço",AND(AUTOEVENTO="Manual",$M346=$A$15)),0,
         IF(OFFSET(CRONOPLE!$F$15,$M346-$A$15,AS$13)="",10^12,OFFSET(CRONOPLE!$F$15,$M346-$A$15,AS$13)))</f>
        <v>0</v>
      </c>
      <c r="AT346" s="172">
        <f ca="1">IF(OR($D346&lt;&gt;"Serviço",AND(AUTOEVENTO="Manual",$M346=$A$15)),0,
         IF(OFFSET(CRONOPLE!$F$15,$M346-$A$15,AT$13)="",10^12,OFFSET(CRONOPLE!$F$15,$M346-$A$15,AT$13)))</f>
        <v>0</v>
      </c>
      <c r="AU346" s="172">
        <f ca="1">IF(OR($D346&lt;&gt;"Serviço",AND(AUTOEVENTO="Manual",$M346=$A$15)),0,
         IF(OFFSET(CRONOPLE!$F$15,$M346-$A$15,AU$13)="",10^12,OFFSET(CRONOPLE!$F$15,$M346-$A$15,AU$13)))</f>
        <v>0</v>
      </c>
      <c r="AV346" s="172">
        <f ca="1">IF(OR($D346&lt;&gt;"Serviço",AND(AUTOEVENTO="Manual",$M346=$A$15)),0,
         IF(OFFSET(CRONOPLE!$F$15,$M346-$A$15,AV$13)="",10^12,OFFSET(CRONOPLE!$F$15,$M346-$A$15,AV$13)))</f>
        <v>0</v>
      </c>
      <c r="AX346" s="173">
        <f ca="1">IF(OR($D346&lt;&gt;"Serviço",AND(AUTOEVENTO="Manual",$M346=$A$15),$M346&gt;(ROW(PLE.lastrow)-ROW(PLE.firstrow))),0,
           IF(OFFSET(PLE!$G$15,$M346-$A$15,AX$13)="",10^12,OFFSET(PLE!$G$15,$M346-$A$15,AX$13)))</f>
        <v>0</v>
      </c>
      <c r="AY346" s="173">
        <f ca="1">IF(OR($D346&lt;&gt;"Serviço",AND(AUTOEVENTO="Manual",$M346=$A$15),$M346&gt;(ROW(PLE.lastrow)-ROW(PLE.firstrow))),0,
           IF(OFFSET(PLE!$G$15,$M346-$A$15,AY$13)="",10^12,OFFSET(PLE!$G$15,$M346-$A$15,AY$13)))</f>
        <v>0</v>
      </c>
      <c r="AZ346" s="173">
        <f ca="1">IF(OR($D346&lt;&gt;"Serviço",AND(AUTOEVENTO="Manual",$M346=$A$15),$M346&gt;(ROW(PLE.lastrow)-ROW(PLE.firstrow))),0,
           IF(OFFSET(PLE!$G$15,$M346-$A$15,AZ$13)="",10^12,OFFSET(PLE!$G$15,$M346-$A$15,AZ$13)))</f>
        <v>0</v>
      </c>
      <c r="BA346" s="173">
        <f ca="1">IF(OR($D346&lt;&gt;"Serviço",AND(AUTOEVENTO="Manual",$M346=$A$15),$M346&gt;(ROW(PLE.lastrow)-ROW(PLE.firstrow))),0,
           IF(OFFSET(PLE!$G$15,$M346-$A$15,BA$13)="",10^12,OFFSET(PLE!$G$15,$M346-$A$15,BA$13)))</f>
        <v>0</v>
      </c>
      <c r="BB346" s="173">
        <f ca="1">IF(OR($D346&lt;&gt;"Serviço",AND(AUTOEVENTO="Manual",$M346=$A$15),$M346&gt;(ROW(PLE.lastrow)-ROW(PLE.firstrow))),0,
           IF(OFFSET(PLE!$G$15,$M346-$A$15,BB$13)="",10^12,OFFSET(PLE!$G$15,$M346-$A$15,BB$13)))</f>
        <v>0</v>
      </c>
      <c r="BC346" s="173">
        <f ca="1">IF(OR($D346&lt;&gt;"Serviço",AND(AUTOEVENTO="Manual",$M346=$A$15),$M346&gt;(ROW(PLE.lastrow)-ROW(PLE.firstrow))),0,
           IF(OFFSET(PLE!$G$15,$M346-$A$15,BC$13)="",10^12,OFFSET(PLE!$G$15,$M346-$A$15,BC$13)))</f>
        <v>0</v>
      </c>
      <c r="BD346" s="173">
        <f ca="1">IF(OR($D346&lt;&gt;"Serviço",AND(AUTOEVENTO="Manual",$M346=$A$15),$M346&gt;(ROW(PLE.lastrow)-ROW(PLE.firstrow))),0,
           IF(OFFSET(PLE!$G$15,$M346-$A$15,BD$13)="",10^12,OFFSET(PLE!$G$15,$M346-$A$15,BD$13)))</f>
        <v>0</v>
      </c>
      <c r="BE346" s="173">
        <f ca="1">IF(OR($D346&lt;&gt;"Serviço",AND(AUTOEVENTO="Manual",$M346=$A$15),$M346&gt;(ROW(PLE.lastrow)-ROW(PLE.firstrow))),0,
           IF(OFFSET(PLE!$G$15,$M346-$A$15,BE$13)="",10^12,OFFSET(PLE!$G$15,$M346-$A$15,BE$13)))</f>
        <v>0</v>
      </c>
      <c r="BF346" s="173">
        <f ca="1">IF(OR($D346&lt;&gt;"Serviço",AND(AUTOEVENTO="Manual",$M346=$A$15),$M346&gt;(ROW(PLE.lastrow)-ROW(PLE.firstrow))),0,
           IF(OFFSET(PLE!$G$15,$M346-$A$15,BF$13)="",10^12,OFFSET(PLE!$G$15,$M346-$A$15,BF$13)))</f>
        <v>0</v>
      </c>
      <c r="BG346" s="173">
        <f ca="1">IF(OR($D346&lt;&gt;"Serviço",AND(AUTOEVENTO="Manual",$M346=$A$15),$M346&gt;(ROW(PLE.lastrow)-ROW(PLE.firstrow))),0,
           IF(OFFSET(PLE!$G$15,$M346-$A$15,BG$13)="",10^12,OFFSET(PLE!$G$15,$M346-$A$15,BG$13)))</f>
        <v>0</v>
      </c>
    </row>
    <row r="347" spans="1:59" ht="63.75" x14ac:dyDescent="0.2">
      <c r="A347" s="7" t="str">
        <f t="shared" ca="1" si="13"/>
        <v>331</v>
      </c>
      <c r="B347" s="7" t="str">
        <f ca="1">OFFSET(ORÇAMENTO!C$15,ROW(B347)-ROW(B$15),0)</f>
        <v>S</v>
      </c>
      <c r="C347" s="7" t="str">
        <f ca="1">OFFSET(ORÇAMENTO!L$15,ROW(C347)-ROW(C$15),0)</f>
        <v/>
      </c>
      <c r="D347" s="117" t="str">
        <f ca="1">OFFSET(ORÇAMENTO!N$15,ROW(D347)-ROW(D$15),0)</f>
        <v>Serviço</v>
      </c>
      <c r="E347" s="118" t="str">
        <f ca="1">OFFSET(ORÇAMENTO!O$15,ROW(E347)-ROW(E$15),0)</f>
        <v>-</v>
      </c>
      <c r="F347" s="164" t="str">
        <f ca="1">OFFSET(ORÇAMENTO!R$15,ROW(F347)-ROW(F$15),0)</f>
        <v>ESCAVAÇÃO MECANIZADA DE VALA COM PROF. ATÉ 1,5 M (MÉDIA MONTANTE E JUSANTE/UMA COMPOSIÇÃO POR TRECHO), RETROESCAV. (0,26 M3), LARG. MENOR QUE 0,8 M, EM SOLO DE 1A CATEGORIA, EM LOCAIS COM ALTO NÍVEL DE INTERFERÊNCIA. AF_09/2024</v>
      </c>
      <c r="G347" s="165" t="str">
        <f ca="1">IF($D347&lt;&gt;"Serviço","",OFFSET(ORÇAMENTO!S$15,ROW(G347)-ROW(G$15),0))</f>
        <v>M3</v>
      </c>
      <c r="H347" s="123">
        <f ca="1">IF($D347&lt;&gt;"Serviço",0,IF(ACOMPANHAMENTO="BM",ROUND(OFFSET(ORÇAMENTO!AJ$15,ROW(H347)-ROW(H$15),0),15-13*ORÇAMENTO!$AF$7),SUMPRODUCT(($Q$1:$AA$1=1)*ROUND($Q347:$AA347,15-13*ORÇAMENTO!$AF$7))))</f>
        <v>115</v>
      </c>
      <c r="I347" s="469"/>
      <c r="J347" s="577" t="str" cm="1">
        <f t="array" aca="1" ref="J347" ca="1">IF(B347&lt;&gt;"S","",IF(AND(ACOMPANHAMENTO="PLE",AUTOEVENTO="Manual",OR(H347&gt;0,ORÇAMENTO!AC347="QUANT."),OR(K347="",M347=0,N347="")),"►",IF(AND(ACOMPANHAMENTO="PLE",ORÇAMENTO!AC347="QUANT."),"►►",IF(AND(COUNTIF($P$11:$AA$11,"▼")=0,H347&gt;0,I347=""),"◄",""))))</f>
        <v>◄</v>
      </c>
      <c r="K347" s="626"/>
      <c r="L347" s="166" t="s">
        <v>765</v>
      </c>
      <c r="M347" s="167">
        <f ca="1">IF($D347&lt;&gt;"Serviço","",
          IF(AUTOEVENTO="manual",$A347,
                IF(ISERROR(MATCH($A347,$A$15:OFFSET($A347,-1,0),0)),MAX($M$15:OFFSET(M347,-1,0))+1,
                      INDEX($M$15:OFFSET(M347,-1,0),MATCH($A347,$A$15:OFFSET($A347,-1,0),0)))))</f>
        <v>19</v>
      </c>
      <c r="N347" s="168" t="str">
        <f ca="1">IF($D347&lt;&gt;"Serviço","",
         IF(AUTOEVENTO="Manual",
                IF($A347=0,"&lt;-- defina o número do agrupador",
                       OFFSET(EVENTOS!$D$15,$A347-$A$15,0)),
                OFFSET($F$15,$A347,0)))</f>
        <v>FECHAMENTOS EXTERNOS</v>
      </c>
      <c r="O347" s="169"/>
      <c r="Q347" s="169"/>
      <c r="R347" s="170"/>
      <c r="S347" s="170"/>
      <c r="T347" s="170"/>
      <c r="U347" s="170"/>
      <c r="V347" s="170"/>
      <c r="W347" s="170"/>
      <c r="X347" s="170"/>
      <c r="Y347" s="170"/>
      <c r="Z347" s="171"/>
      <c r="AB347" s="454">
        <f ca="1">IF(AND($D347="Serviço",AB$12&lt;&gt;0,$H347&gt;0,OR(AUTOEVENTO&lt;&gt;"manual",$M347&lt;&gt;$A$15)),
        IF(Import.TipoArredondamento&lt;&gt;"TransfereGOV",
              ROUND(OFFSET($P347,0,AB$13),15-13*ORÇAMENTO!$AF$7)/$H347*OFFSET(ORÇAMENTO!$X$15,ROW(AB347)-ROW(AB$15),0),
              ROUND(ROUND(OFFSET($P347,0,AB$13),15-13*ORÇAMENTO!$AF$7)*OFFSET(ORÇAMENTO!$W$15,ROW(AB347)-ROW(AB$15),0),15-13*ORÇAMENTO!$AF$11)),
         0)</f>
        <v>0</v>
      </c>
      <c r="AC347" s="454">
        <f ca="1">IF(AND($D347="Serviço",AC$12&lt;&gt;0,$H347&gt;0,OR(AUTOEVENTO&lt;&gt;"manual",$M347&lt;&gt;$A$15)),
        IF(Import.TipoArredondamento&lt;&gt;"TransfereGOV",
              ROUND(OFFSET($P347,0,AC$13),15-13*ORÇAMENTO!$AF$7)/$H347*OFFSET(ORÇAMENTO!$X$15,ROW(AC347)-ROW(AC$15),0),
              ROUND(ROUND(OFFSET($P347,0,AC$13),15-13*ORÇAMENTO!$AF$7)*OFFSET(ORÇAMENTO!$W$15,ROW(AC347)-ROW(AC$15),0),15-13*ORÇAMENTO!$AF$11)),
         0)</f>
        <v>0</v>
      </c>
      <c r="AD347" s="454">
        <f ca="1">IF(AND($D347="Serviço",AD$12&lt;&gt;0,$H347&gt;0,OR(AUTOEVENTO&lt;&gt;"manual",$M347&lt;&gt;$A$15)),
        IF(Import.TipoArredondamento&lt;&gt;"TransfereGOV",
              ROUND(OFFSET($P347,0,AD$13),15-13*ORÇAMENTO!$AF$7)/$H347*OFFSET(ORÇAMENTO!$X$15,ROW(AD347)-ROW(AD$15),0),
              ROUND(ROUND(OFFSET($P347,0,AD$13),15-13*ORÇAMENTO!$AF$7)*OFFSET(ORÇAMENTO!$W$15,ROW(AD347)-ROW(AD$15),0),15-13*ORÇAMENTO!$AF$11)),
         0)</f>
        <v>0</v>
      </c>
      <c r="AE347" s="454">
        <f ca="1">IF(AND($D347="Serviço",AE$12&lt;&gt;0,$H347&gt;0,OR(AUTOEVENTO&lt;&gt;"manual",$M347&lt;&gt;$A$15)),
        IF(Import.TipoArredondamento&lt;&gt;"TransfereGOV",
              ROUND(OFFSET($P347,0,AE$13),15-13*ORÇAMENTO!$AF$7)/$H347*OFFSET(ORÇAMENTO!$X$15,ROW(AE347)-ROW(AE$15),0),
              ROUND(ROUND(OFFSET($P347,0,AE$13),15-13*ORÇAMENTO!$AF$7)*OFFSET(ORÇAMENTO!$W$15,ROW(AE347)-ROW(AE$15),0),15-13*ORÇAMENTO!$AF$11)),
         0)</f>
        <v>0</v>
      </c>
      <c r="AF347" s="454">
        <f ca="1">IF(AND($D347="Serviço",AF$12&lt;&gt;0,$H347&gt;0,OR(AUTOEVENTO&lt;&gt;"manual",$M347&lt;&gt;$A$15)),
        IF(Import.TipoArredondamento&lt;&gt;"TransfereGOV",
              ROUND(OFFSET($P347,0,AF$13),15-13*ORÇAMENTO!$AF$7)/$H347*OFFSET(ORÇAMENTO!$X$15,ROW(AF347)-ROW(AF$15),0),
              ROUND(ROUND(OFFSET($P347,0,AF$13),15-13*ORÇAMENTO!$AF$7)*OFFSET(ORÇAMENTO!$W$15,ROW(AF347)-ROW(AF$15),0),15-13*ORÇAMENTO!$AF$11)),
         0)</f>
        <v>0</v>
      </c>
      <c r="AG347" s="454">
        <f ca="1">IF(AND($D347="Serviço",AG$12&lt;&gt;0,$H347&gt;0,OR(AUTOEVENTO&lt;&gt;"manual",$M347&lt;&gt;$A$15)),
        IF(Import.TipoArredondamento&lt;&gt;"TransfereGOV",
              ROUND(OFFSET($P347,0,AG$13),15-13*ORÇAMENTO!$AF$7)/$H347*OFFSET(ORÇAMENTO!$X$15,ROW(AG347)-ROW(AG$15),0),
              ROUND(ROUND(OFFSET($P347,0,AG$13),15-13*ORÇAMENTO!$AF$7)*OFFSET(ORÇAMENTO!$W$15,ROW(AG347)-ROW(AG$15),0),15-13*ORÇAMENTO!$AF$11)),
         0)</f>
        <v>0</v>
      </c>
      <c r="AH347" s="454">
        <f ca="1">IF(AND($D347="Serviço",AH$12&lt;&gt;0,$H347&gt;0,OR(AUTOEVENTO&lt;&gt;"manual",$M347&lt;&gt;$A$15)),
        IF(Import.TipoArredondamento&lt;&gt;"TransfereGOV",
              ROUND(OFFSET($P347,0,AH$13),15-13*ORÇAMENTO!$AF$7)/$H347*OFFSET(ORÇAMENTO!$X$15,ROW(AH347)-ROW(AH$15),0),
              ROUND(ROUND(OFFSET($P347,0,AH$13),15-13*ORÇAMENTO!$AF$7)*OFFSET(ORÇAMENTO!$W$15,ROW(AH347)-ROW(AH$15),0),15-13*ORÇAMENTO!$AF$11)),
         0)</f>
        <v>0</v>
      </c>
      <c r="AI347" s="454">
        <f ca="1">IF(AND($D347="Serviço",AI$12&lt;&gt;0,$H347&gt;0,OR(AUTOEVENTO&lt;&gt;"manual",$M347&lt;&gt;$A$15)),
        IF(Import.TipoArredondamento&lt;&gt;"TransfereGOV",
              ROUND(OFFSET($P347,0,AI$13),15-13*ORÇAMENTO!$AF$7)/$H347*OFFSET(ORÇAMENTO!$X$15,ROW(AI347)-ROW(AI$15),0),
              ROUND(ROUND(OFFSET($P347,0,AI$13),15-13*ORÇAMENTO!$AF$7)*OFFSET(ORÇAMENTO!$W$15,ROW(AI347)-ROW(AI$15),0),15-13*ORÇAMENTO!$AF$11)),
         0)</f>
        <v>0</v>
      </c>
      <c r="AJ347" s="454">
        <f ca="1">IF(AND($D347="Serviço",AJ$12&lt;&gt;0,$H347&gt;0,OR(AUTOEVENTO&lt;&gt;"manual",$M347&lt;&gt;$A$15)),
        IF(Import.TipoArredondamento&lt;&gt;"TransfereGOV",
              ROUND(OFFSET($P347,0,AJ$13),15-13*ORÇAMENTO!$AF$7)/$H347*OFFSET(ORÇAMENTO!$X$15,ROW(AJ347)-ROW(AJ$15),0),
              ROUND(ROUND(OFFSET($P347,0,AJ$13),15-13*ORÇAMENTO!$AF$7)*OFFSET(ORÇAMENTO!$W$15,ROW(AJ347)-ROW(AJ$15),0),15-13*ORÇAMENTO!$AF$11)),
         0)</f>
        <v>0</v>
      </c>
      <c r="AK347" s="454">
        <f ca="1">IF(AND($D347="Serviço",AK$12&lt;&gt;0,$H347&gt;0,OR(AUTOEVENTO&lt;&gt;"manual",$M347&lt;&gt;$A$15)),
        IF(Import.TipoArredondamento&lt;&gt;"TransfereGOV",
              ROUND(OFFSET($P347,0,AK$13),15-13*ORÇAMENTO!$AF$7)/$H347*OFFSET(ORÇAMENTO!$X$15,ROW(AK347)-ROW(AK$15),0),
              ROUND(ROUND(OFFSET($P347,0,AK$13),15-13*ORÇAMENTO!$AF$7)*OFFSET(ORÇAMENTO!$W$15,ROW(AK347)-ROW(AK$15),0),15-13*ORÇAMENTO!$AF$11)),
         0)</f>
        <v>0</v>
      </c>
      <c r="AM347" s="172">
        <f ca="1">IF(OR($D347&lt;&gt;"Serviço",AND(AUTOEVENTO="Manual",$M347=$A$15)),0,
         IF(OFFSET(CRONOPLE!$F$15,$M347-$A$15,AM$13)="",10^12,OFFSET(CRONOPLE!$F$15,$M347-$A$15,AM$13)))</f>
        <v>1000000000000</v>
      </c>
      <c r="AN347" s="172">
        <f ca="1">IF(OR($D347&lt;&gt;"Serviço",AND(AUTOEVENTO="Manual",$M347=$A$15)),0,
         IF(OFFSET(CRONOPLE!$F$15,$M347-$A$15,AN$13)="",10^12,OFFSET(CRONOPLE!$F$15,$M347-$A$15,AN$13)))</f>
        <v>1000000000000</v>
      </c>
      <c r="AO347" s="172">
        <f ca="1">IF(OR($D347&lt;&gt;"Serviço",AND(AUTOEVENTO="Manual",$M347=$A$15)),0,
         IF(OFFSET(CRONOPLE!$F$15,$M347-$A$15,AO$13)="",10^12,OFFSET(CRONOPLE!$F$15,$M347-$A$15,AO$13)))</f>
        <v>1000000000000</v>
      </c>
      <c r="AP347" s="172">
        <f ca="1">IF(OR($D347&lt;&gt;"Serviço",AND(AUTOEVENTO="Manual",$M347=$A$15)),0,
         IF(OFFSET(CRONOPLE!$F$15,$M347-$A$15,AP$13)="",10^12,OFFSET(CRONOPLE!$F$15,$M347-$A$15,AP$13)))</f>
        <v>1000000000000</v>
      </c>
      <c r="AQ347" s="172">
        <f ca="1">IF(OR($D347&lt;&gt;"Serviço",AND(AUTOEVENTO="Manual",$M347=$A$15)),0,
         IF(OFFSET(CRONOPLE!$F$15,$M347-$A$15,AQ$13)="",10^12,OFFSET(CRONOPLE!$F$15,$M347-$A$15,AQ$13)))</f>
        <v>1000000000000</v>
      </c>
      <c r="AR347" s="172">
        <f ca="1">IF(OR($D347&lt;&gt;"Serviço",AND(AUTOEVENTO="Manual",$M347=$A$15)),0,
         IF(OFFSET(CRONOPLE!$F$15,$M347-$A$15,AR$13)="",10^12,OFFSET(CRONOPLE!$F$15,$M347-$A$15,AR$13)))</f>
        <v>1000000000000</v>
      </c>
      <c r="AS347" s="172">
        <f ca="1">IF(OR($D347&lt;&gt;"Serviço",AND(AUTOEVENTO="Manual",$M347=$A$15)),0,
         IF(OFFSET(CRONOPLE!$F$15,$M347-$A$15,AS$13)="",10^12,OFFSET(CRONOPLE!$F$15,$M347-$A$15,AS$13)))</f>
        <v>1000000000000</v>
      </c>
      <c r="AT347" s="172">
        <f ca="1">IF(OR($D347&lt;&gt;"Serviço",AND(AUTOEVENTO="Manual",$M347=$A$15)),0,
         IF(OFFSET(CRONOPLE!$F$15,$M347-$A$15,AT$13)="",10^12,OFFSET(CRONOPLE!$F$15,$M347-$A$15,AT$13)))</f>
        <v>1000000000000</v>
      </c>
      <c r="AU347" s="172">
        <f ca="1">IF(OR($D347&lt;&gt;"Serviço",AND(AUTOEVENTO="Manual",$M347=$A$15)),0,
         IF(OFFSET(CRONOPLE!$F$15,$M347-$A$15,AU$13)="",10^12,OFFSET(CRONOPLE!$F$15,$M347-$A$15,AU$13)))</f>
        <v>1000000000000</v>
      </c>
      <c r="AV347" s="172">
        <f ca="1">IF(OR($D347&lt;&gt;"Serviço",AND(AUTOEVENTO="Manual",$M347=$A$15)),0,
         IF(OFFSET(CRONOPLE!$F$15,$M347-$A$15,AV$13)="",10^12,OFFSET(CRONOPLE!$F$15,$M347-$A$15,AV$13)))</f>
        <v>1000000000000</v>
      </c>
      <c r="AX347" s="173">
        <f ca="1">IF(OR($D347&lt;&gt;"Serviço",AND(AUTOEVENTO="Manual",$M347=$A$15),$M347&gt;(ROW(PLE.lastrow)-ROW(PLE.firstrow))),0,
           IF(OFFSET(PLE!$G$15,$M347-$A$15,AX$13)="",10^12,OFFSET(PLE!$G$15,$M347-$A$15,AX$13)))</f>
        <v>1000000000000</v>
      </c>
      <c r="AY347" s="173">
        <f ca="1">IF(OR($D347&lt;&gt;"Serviço",AND(AUTOEVENTO="Manual",$M347=$A$15),$M347&gt;(ROW(PLE.lastrow)-ROW(PLE.firstrow))),0,
           IF(OFFSET(PLE!$G$15,$M347-$A$15,AY$13)="",10^12,OFFSET(PLE!$G$15,$M347-$A$15,AY$13)))</f>
        <v>1000000000000</v>
      </c>
      <c r="AZ347" s="173">
        <f ca="1">IF(OR($D347&lt;&gt;"Serviço",AND(AUTOEVENTO="Manual",$M347=$A$15),$M347&gt;(ROW(PLE.lastrow)-ROW(PLE.firstrow))),0,
           IF(OFFSET(PLE!$G$15,$M347-$A$15,AZ$13)="",10^12,OFFSET(PLE!$G$15,$M347-$A$15,AZ$13)))</f>
        <v>1000000000000</v>
      </c>
      <c r="BA347" s="173">
        <f ca="1">IF(OR($D347&lt;&gt;"Serviço",AND(AUTOEVENTO="Manual",$M347=$A$15),$M347&gt;(ROW(PLE.lastrow)-ROW(PLE.firstrow))),0,
           IF(OFFSET(PLE!$G$15,$M347-$A$15,BA$13)="",10^12,OFFSET(PLE!$G$15,$M347-$A$15,BA$13)))</f>
        <v>1000000000000</v>
      </c>
      <c r="BB347" s="173">
        <f ca="1">IF(OR($D347&lt;&gt;"Serviço",AND(AUTOEVENTO="Manual",$M347=$A$15),$M347&gt;(ROW(PLE.lastrow)-ROW(PLE.firstrow))),0,
           IF(OFFSET(PLE!$G$15,$M347-$A$15,BB$13)="",10^12,OFFSET(PLE!$G$15,$M347-$A$15,BB$13)))</f>
        <v>1000000000000</v>
      </c>
      <c r="BC347" s="173">
        <f ca="1">IF(OR($D347&lt;&gt;"Serviço",AND(AUTOEVENTO="Manual",$M347=$A$15),$M347&gt;(ROW(PLE.lastrow)-ROW(PLE.firstrow))),0,
           IF(OFFSET(PLE!$G$15,$M347-$A$15,BC$13)="",10^12,OFFSET(PLE!$G$15,$M347-$A$15,BC$13)))</f>
        <v>1000000000000</v>
      </c>
      <c r="BD347" s="173">
        <f ca="1">IF(OR($D347&lt;&gt;"Serviço",AND(AUTOEVENTO="Manual",$M347=$A$15),$M347&gt;(ROW(PLE.lastrow)-ROW(PLE.firstrow))),0,
           IF(OFFSET(PLE!$G$15,$M347-$A$15,BD$13)="",10^12,OFFSET(PLE!$G$15,$M347-$A$15,BD$13)))</f>
        <v>1000000000000</v>
      </c>
      <c r="BE347" s="173">
        <f ca="1">IF(OR($D347&lt;&gt;"Serviço",AND(AUTOEVENTO="Manual",$M347=$A$15),$M347&gt;(ROW(PLE.lastrow)-ROW(PLE.firstrow))),0,
           IF(OFFSET(PLE!$G$15,$M347-$A$15,BE$13)="",10^12,OFFSET(PLE!$G$15,$M347-$A$15,BE$13)))</f>
        <v>1000000000000</v>
      </c>
      <c r="BF347" s="173">
        <f ca="1">IF(OR($D347&lt;&gt;"Serviço",AND(AUTOEVENTO="Manual",$M347=$A$15),$M347&gt;(ROW(PLE.lastrow)-ROW(PLE.firstrow))),0,
           IF(OFFSET(PLE!$G$15,$M347-$A$15,BF$13)="",10^12,OFFSET(PLE!$G$15,$M347-$A$15,BF$13)))</f>
        <v>1000000000000</v>
      </c>
      <c r="BG347" s="173">
        <f ca="1">IF(OR($D347&lt;&gt;"Serviço",AND(AUTOEVENTO="Manual",$M347=$A$15),$M347&gt;(ROW(PLE.lastrow)-ROW(PLE.firstrow))),0,
           IF(OFFSET(PLE!$G$15,$M347-$A$15,BG$13)="",10^12,OFFSET(PLE!$G$15,$M347-$A$15,BG$13)))</f>
        <v>1000000000000</v>
      </c>
    </row>
    <row r="348" spans="1:59" ht="25.5" x14ac:dyDescent="0.2">
      <c r="A348" s="7" t="str">
        <f t="shared" ca="1" si="13"/>
        <v>331</v>
      </c>
      <c r="B348" s="7" t="str">
        <f ca="1">OFFSET(ORÇAMENTO!C$15,ROW(B348)-ROW(B$15),0)</f>
        <v>S</v>
      </c>
      <c r="C348" s="7" t="str">
        <f ca="1">OFFSET(ORÇAMENTO!L$15,ROW(C348)-ROW(C$15),0)</f>
        <v/>
      </c>
      <c r="D348" s="117" t="str">
        <f ca="1">OFFSET(ORÇAMENTO!N$15,ROW(D348)-ROW(D$15),0)</f>
        <v>Serviço</v>
      </c>
      <c r="E348" s="118" t="str">
        <f ca="1">OFFSET(ORÇAMENTO!O$15,ROW(E348)-ROW(E$15),0)</f>
        <v>-</v>
      </c>
      <c r="F348" s="164" t="str">
        <f ca="1">OFFSET(ORÇAMENTO!R$15,ROW(F348)-ROW(F$15),0)</f>
        <v>PREPARO DE FUNDO DE VALA COM LARGURA MENOR QUE 1,5 M (ACERTO DO SOLO NATURAL). AF_08/2020</v>
      </c>
      <c r="G348" s="165" t="str">
        <f ca="1">IF($D348&lt;&gt;"Serviço","",OFFSET(ORÇAMENTO!S$15,ROW(G348)-ROW(G$15),0))</f>
        <v>M2</v>
      </c>
      <c r="H348" s="123">
        <f ca="1">IF($D348&lt;&gt;"Serviço",0,IF(ACOMPANHAMENTO="BM",ROUND(OFFSET(ORÇAMENTO!AJ$15,ROW(H348)-ROW(H$15),0),15-13*ORÇAMENTO!$AF$7),SUMPRODUCT(($Q$1:$AA$1=1)*ROUND($Q348:$AA348,15-13*ORÇAMENTO!$AF$7))))</f>
        <v>55</v>
      </c>
      <c r="I348" s="469"/>
      <c r="J348" s="577" t="str" cm="1">
        <f t="array" aca="1" ref="J348" ca="1">IF(B348&lt;&gt;"S","",IF(AND(ACOMPANHAMENTO="PLE",AUTOEVENTO="Manual",OR(H348&gt;0,ORÇAMENTO!AC348="QUANT."),OR(K348="",M348=0,N348="")),"►",IF(AND(ACOMPANHAMENTO="PLE",ORÇAMENTO!AC348="QUANT."),"►►",IF(AND(COUNTIF($P$11:$AA$11,"▼")=0,H348&gt;0,I348=""),"◄",""))))</f>
        <v>◄</v>
      </c>
      <c r="K348" s="626"/>
      <c r="L348" s="166" t="s">
        <v>765</v>
      </c>
      <c r="M348" s="167">
        <f ca="1">IF($D348&lt;&gt;"Serviço","",
          IF(AUTOEVENTO="manual",$A348,
                IF(ISERROR(MATCH($A348,$A$15:OFFSET($A348,-1,0),0)),MAX($M$15:OFFSET(M348,-1,0))+1,
                      INDEX($M$15:OFFSET(M348,-1,0),MATCH($A348,$A$15:OFFSET($A348,-1,0),0)))))</f>
        <v>19</v>
      </c>
      <c r="N348" s="168" t="str">
        <f ca="1">IF($D348&lt;&gt;"Serviço","",
         IF(AUTOEVENTO="Manual",
                IF($A348=0,"&lt;-- defina o número do agrupador",
                       OFFSET(EVENTOS!$D$15,$A348-$A$15,0)),
                OFFSET($F$15,$A348,0)))</f>
        <v>FECHAMENTOS EXTERNOS</v>
      </c>
      <c r="O348" s="169"/>
      <c r="Q348" s="169"/>
      <c r="R348" s="170"/>
      <c r="S348" s="170"/>
      <c r="T348" s="170"/>
      <c r="U348" s="170"/>
      <c r="V348" s="170"/>
      <c r="W348" s="170"/>
      <c r="X348" s="170"/>
      <c r="Y348" s="170"/>
      <c r="Z348" s="171"/>
      <c r="AB348" s="454">
        <f ca="1">IF(AND($D348="Serviço",AB$12&lt;&gt;0,$H348&gt;0,OR(AUTOEVENTO&lt;&gt;"manual",$M348&lt;&gt;$A$15)),
        IF(Import.TipoArredondamento&lt;&gt;"TransfereGOV",
              ROUND(OFFSET($P348,0,AB$13),15-13*ORÇAMENTO!$AF$7)/$H348*OFFSET(ORÇAMENTO!$X$15,ROW(AB348)-ROW(AB$15),0),
              ROUND(ROUND(OFFSET($P348,0,AB$13),15-13*ORÇAMENTO!$AF$7)*OFFSET(ORÇAMENTO!$W$15,ROW(AB348)-ROW(AB$15),0),15-13*ORÇAMENTO!$AF$11)),
         0)</f>
        <v>0</v>
      </c>
      <c r="AC348" s="454">
        <f ca="1">IF(AND($D348="Serviço",AC$12&lt;&gt;0,$H348&gt;0,OR(AUTOEVENTO&lt;&gt;"manual",$M348&lt;&gt;$A$15)),
        IF(Import.TipoArredondamento&lt;&gt;"TransfereGOV",
              ROUND(OFFSET($P348,0,AC$13),15-13*ORÇAMENTO!$AF$7)/$H348*OFFSET(ORÇAMENTO!$X$15,ROW(AC348)-ROW(AC$15),0),
              ROUND(ROUND(OFFSET($P348,0,AC$13),15-13*ORÇAMENTO!$AF$7)*OFFSET(ORÇAMENTO!$W$15,ROW(AC348)-ROW(AC$15),0),15-13*ORÇAMENTO!$AF$11)),
         0)</f>
        <v>0</v>
      </c>
      <c r="AD348" s="454">
        <f ca="1">IF(AND($D348="Serviço",AD$12&lt;&gt;0,$H348&gt;0,OR(AUTOEVENTO&lt;&gt;"manual",$M348&lt;&gt;$A$15)),
        IF(Import.TipoArredondamento&lt;&gt;"TransfereGOV",
              ROUND(OFFSET($P348,0,AD$13),15-13*ORÇAMENTO!$AF$7)/$H348*OFFSET(ORÇAMENTO!$X$15,ROW(AD348)-ROW(AD$15),0),
              ROUND(ROUND(OFFSET($P348,0,AD$13),15-13*ORÇAMENTO!$AF$7)*OFFSET(ORÇAMENTO!$W$15,ROW(AD348)-ROW(AD$15),0),15-13*ORÇAMENTO!$AF$11)),
         0)</f>
        <v>0</v>
      </c>
      <c r="AE348" s="454">
        <f ca="1">IF(AND($D348="Serviço",AE$12&lt;&gt;0,$H348&gt;0,OR(AUTOEVENTO&lt;&gt;"manual",$M348&lt;&gt;$A$15)),
        IF(Import.TipoArredondamento&lt;&gt;"TransfereGOV",
              ROUND(OFFSET($P348,0,AE$13),15-13*ORÇAMENTO!$AF$7)/$H348*OFFSET(ORÇAMENTO!$X$15,ROW(AE348)-ROW(AE$15),0),
              ROUND(ROUND(OFFSET($P348,0,AE$13),15-13*ORÇAMENTO!$AF$7)*OFFSET(ORÇAMENTO!$W$15,ROW(AE348)-ROW(AE$15),0),15-13*ORÇAMENTO!$AF$11)),
         0)</f>
        <v>0</v>
      </c>
      <c r="AF348" s="454">
        <f ca="1">IF(AND($D348="Serviço",AF$12&lt;&gt;0,$H348&gt;0,OR(AUTOEVENTO&lt;&gt;"manual",$M348&lt;&gt;$A$15)),
        IF(Import.TipoArredondamento&lt;&gt;"TransfereGOV",
              ROUND(OFFSET($P348,0,AF$13),15-13*ORÇAMENTO!$AF$7)/$H348*OFFSET(ORÇAMENTO!$X$15,ROW(AF348)-ROW(AF$15),0),
              ROUND(ROUND(OFFSET($P348,0,AF$13),15-13*ORÇAMENTO!$AF$7)*OFFSET(ORÇAMENTO!$W$15,ROW(AF348)-ROW(AF$15),0),15-13*ORÇAMENTO!$AF$11)),
         0)</f>
        <v>0</v>
      </c>
      <c r="AG348" s="454">
        <f ca="1">IF(AND($D348="Serviço",AG$12&lt;&gt;0,$H348&gt;0,OR(AUTOEVENTO&lt;&gt;"manual",$M348&lt;&gt;$A$15)),
        IF(Import.TipoArredondamento&lt;&gt;"TransfereGOV",
              ROUND(OFFSET($P348,0,AG$13),15-13*ORÇAMENTO!$AF$7)/$H348*OFFSET(ORÇAMENTO!$X$15,ROW(AG348)-ROW(AG$15),0),
              ROUND(ROUND(OFFSET($P348,0,AG$13),15-13*ORÇAMENTO!$AF$7)*OFFSET(ORÇAMENTO!$W$15,ROW(AG348)-ROW(AG$15),0),15-13*ORÇAMENTO!$AF$11)),
         0)</f>
        <v>0</v>
      </c>
      <c r="AH348" s="454">
        <f ca="1">IF(AND($D348="Serviço",AH$12&lt;&gt;0,$H348&gt;0,OR(AUTOEVENTO&lt;&gt;"manual",$M348&lt;&gt;$A$15)),
        IF(Import.TipoArredondamento&lt;&gt;"TransfereGOV",
              ROUND(OFFSET($P348,0,AH$13),15-13*ORÇAMENTO!$AF$7)/$H348*OFFSET(ORÇAMENTO!$X$15,ROW(AH348)-ROW(AH$15),0),
              ROUND(ROUND(OFFSET($P348,0,AH$13),15-13*ORÇAMENTO!$AF$7)*OFFSET(ORÇAMENTO!$W$15,ROW(AH348)-ROW(AH$15),0),15-13*ORÇAMENTO!$AF$11)),
         0)</f>
        <v>0</v>
      </c>
      <c r="AI348" s="454">
        <f ca="1">IF(AND($D348="Serviço",AI$12&lt;&gt;0,$H348&gt;0,OR(AUTOEVENTO&lt;&gt;"manual",$M348&lt;&gt;$A$15)),
        IF(Import.TipoArredondamento&lt;&gt;"TransfereGOV",
              ROUND(OFFSET($P348,0,AI$13),15-13*ORÇAMENTO!$AF$7)/$H348*OFFSET(ORÇAMENTO!$X$15,ROW(AI348)-ROW(AI$15),0),
              ROUND(ROUND(OFFSET($P348,0,AI$13),15-13*ORÇAMENTO!$AF$7)*OFFSET(ORÇAMENTO!$W$15,ROW(AI348)-ROW(AI$15),0),15-13*ORÇAMENTO!$AF$11)),
         0)</f>
        <v>0</v>
      </c>
      <c r="AJ348" s="454">
        <f ca="1">IF(AND($D348="Serviço",AJ$12&lt;&gt;0,$H348&gt;0,OR(AUTOEVENTO&lt;&gt;"manual",$M348&lt;&gt;$A$15)),
        IF(Import.TipoArredondamento&lt;&gt;"TransfereGOV",
              ROUND(OFFSET($P348,0,AJ$13),15-13*ORÇAMENTO!$AF$7)/$H348*OFFSET(ORÇAMENTO!$X$15,ROW(AJ348)-ROW(AJ$15),0),
              ROUND(ROUND(OFFSET($P348,0,AJ$13),15-13*ORÇAMENTO!$AF$7)*OFFSET(ORÇAMENTO!$W$15,ROW(AJ348)-ROW(AJ$15),0),15-13*ORÇAMENTO!$AF$11)),
         0)</f>
        <v>0</v>
      </c>
      <c r="AK348" s="454">
        <f ca="1">IF(AND($D348="Serviço",AK$12&lt;&gt;0,$H348&gt;0,OR(AUTOEVENTO&lt;&gt;"manual",$M348&lt;&gt;$A$15)),
        IF(Import.TipoArredondamento&lt;&gt;"TransfereGOV",
              ROUND(OFFSET($P348,0,AK$13),15-13*ORÇAMENTO!$AF$7)/$H348*OFFSET(ORÇAMENTO!$X$15,ROW(AK348)-ROW(AK$15),0),
              ROUND(ROUND(OFFSET($P348,0,AK$13),15-13*ORÇAMENTO!$AF$7)*OFFSET(ORÇAMENTO!$W$15,ROW(AK348)-ROW(AK$15),0),15-13*ORÇAMENTO!$AF$11)),
         0)</f>
        <v>0</v>
      </c>
      <c r="AM348" s="172">
        <f ca="1">IF(OR($D348&lt;&gt;"Serviço",AND(AUTOEVENTO="Manual",$M348=$A$15)),0,
         IF(OFFSET(CRONOPLE!$F$15,$M348-$A$15,AM$13)="",10^12,OFFSET(CRONOPLE!$F$15,$M348-$A$15,AM$13)))</f>
        <v>1000000000000</v>
      </c>
      <c r="AN348" s="172">
        <f ca="1">IF(OR($D348&lt;&gt;"Serviço",AND(AUTOEVENTO="Manual",$M348=$A$15)),0,
         IF(OFFSET(CRONOPLE!$F$15,$M348-$A$15,AN$13)="",10^12,OFFSET(CRONOPLE!$F$15,$M348-$A$15,AN$13)))</f>
        <v>1000000000000</v>
      </c>
      <c r="AO348" s="172">
        <f ca="1">IF(OR($D348&lt;&gt;"Serviço",AND(AUTOEVENTO="Manual",$M348=$A$15)),0,
         IF(OFFSET(CRONOPLE!$F$15,$M348-$A$15,AO$13)="",10^12,OFFSET(CRONOPLE!$F$15,$M348-$A$15,AO$13)))</f>
        <v>1000000000000</v>
      </c>
      <c r="AP348" s="172">
        <f ca="1">IF(OR($D348&lt;&gt;"Serviço",AND(AUTOEVENTO="Manual",$M348=$A$15)),0,
         IF(OFFSET(CRONOPLE!$F$15,$M348-$A$15,AP$13)="",10^12,OFFSET(CRONOPLE!$F$15,$M348-$A$15,AP$13)))</f>
        <v>1000000000000</v>
      </c>
      <c r="AQ348" s="172">
        <f ca="1">IF(OR($D348&lt;&gt;"Serviço",AND(AUTOEVENTO="Manual",$M348=$A$15)),0,
         IF(OFFSET(CRONOPLE!$F$15,$M348-$A$15,AQ$13)="",10^12,OFFSET(CRONOPLE!$F$15,$M348-$A$15,AQ$13)))</f>
        <v>1000000000000</v>
      </c>
      <c r="AR348" s="172">
        <f ca="1">IF(OR($D348&lt;&gt;"Serviço",AND(AUTOEVENTO="Manual",$M348=$A$15)),0,
         IF(OFFSET(CRONOPLE!$F$15,$M348-$A$15,AR$13)="",10^12,OFFSET(CRONOPLE!$F$15,$M348-$A$15,AR$13)))</f>
        <v>1000000000000</v>
      </c>
      <c r="AS348" s="172">
        <f ca="1">IF(OR($D348&lt;&gt;"Serviço",AND(AUTOEVENTO="Manual",$M348=$A$15)),0,
         IF(OFFSET(CRONOPLE!$F$15,$M348-$A$15,AS$13)="",10^12,OFFSET(CRONOPLE!$F$15,$M348-$A$15,AS$13)))</f>
        <v>1000000000000</v>
      </c>
      <c r="AT348" s="172">
        <f ca="1">IF(OR($D348&lt;&gt;"Serviço",AND(AUTOEVENTO="Manual",$M348=$A$15)),0,
         IF(OFFSET(CRONOPLE!$F$15,$M348-$A$15,AT$13)="",10^12,OFFSET(CRONOPLE!$F$15,$M348-$A$15,AT$13)))</f>
        <v>1000000000000</v>
      </c>
      <c r="AU348" s="172">
        <f ca="1">IF(OR($D348&lt;&gt;"Serviço",AND(AUTOEVENTO="Manual",$M348=$A$15)),0,
         IF(OFFSET(CRONOPLE!$F$15,$M348-$A$15,AU$13)="",10^12,OFFSET(CRONOPLE!$F$15,$M348-$A$15,AU$13)))</f>
        <v>1000000000000</v>
      </c>
      <c r="AV348" s="172">
        <f ca="1">IF(OR($D348&lt;&gt;"Serviço",AND(AUTOEVENTO="Manual",$M348=$A$15)),0,
         IF(OFFSET(CRONOPLE!$F$15,$M348-$A$15,AV$13)="",10^12,OFFSET(CRONOPLE!$F$15,$M348-$A$15,AV$13)))</f>
        <v>1000000000000</v>
      </c>
      <c r="AX348" s="173">
        <f ca="1">IF(OR($D348&lt;&gt;"Serviço",AND(AUTOEVENTO="Manual",$M348=$A$15),$M348&gt;(ROW(PLE.lastrow)-ROW(PLE.firstrow))),0,
           IF(OFFSET(PLE!$G$15,$M348-$A$15,AX$13)="",10^12,OFFSET(PLE!$G$15,$M348-$A$15,AX$13)))</f>
        <v>1000000000000</v>
      </c>
      <c r="AY348" s="173">
        <f ca="1">IF(OR($D348&lt;&gt;"Serviço",AND(AUTOEVENTO="Manual",$M348=$A$15),$M348&gt;(ROW(PLE.lastrow)-ROW(PLE.firstrow))),0,
           IF(OFFSET(PLE!$G$15,$M348-$A$15,AY$13)="",10^12,OFFSET(PLE!$G$15,$M348-$A$15,AY$13)))</f>
        <v>1000000000000</v>
      </c>
      <c r="AZ348" s="173">
        <f ca="1">IF(OR($D348&lt;&gt;"Serviço",AND(AUTOEVENTO="Manual",$M348=$A$15),$M348&gt;(ROW(PLE.lastrow)-ROW(PLE.firstrow))),0,
           IF(OFFSET(PLE!$G$15,$M348-$A$15,AZ$13)="",10^12,OFFSET(PLE!$G$15,$M348-$A$15,AZ$13)))</f>
        <v>1000000000000</v>
      </c>
      <c r="BA348" s="173">
        <f ca="1">IF(OR($D348&lt;&gt;"Serviço",AND(AUTOEVENTO="Manual",$M348=$A$15),$M348&gt;(ROW(PLE.lastrow)-ROW(PLE.firstrow))),0,
           IF(OFFSET(PLE!$G$15,$M348-$A$15,BA$13)="",10^12,OFFSET(PLE!$G$15,$M348-$A$15,BA$13)))</f>
        <v>1000000000000</v>
      </c>
      <c r="BB348" s="173">
        <f ca="1">IF(OR($D348&lt;&gt;"Serviço",AND(AUTOEVENTO="Manual",$M348=$A$15),$M348&gt;(ROW(PLE.lastrow)-ROW(PLE.firstrow))),0,
           IF(OFFSET(PLE!$G$15,$M348-$A$15,BB$13)="",10^12,OFFSET(PLE!$G$15,$M348-$A$15,BB$13)))</f>
        <v>1000000000000</v>
      </c>
      <c r="BC348" s="173">
        <f ca="1">IF(OR($D348&lt;&gt;"Serviço",AND(AUTOEVENTO="Manual",$M348=$A$15),$M348&gt;(ROW(PLE.lastrow)-ROW(PLE.firstrow))),0,
           IF(OFFSET(PLE!$G$15,$M348-$A$15,BC$13)="",10^12,OFFSET(PLE!$G$15,$M348-$A$15,BC$13)))</f>
        <v>1000000000000</v>
      </c>
      <c r="BD348" s="173">
        <f ca="1">IF(OR($D348&lt;&gt;"Serviço",AND(AUTOEVENTO="Manual",$M348=$A$15),$M348&gt;(ROW(PLE.lastrow)-ROW(PLE.firstrow))),0,
           IF(OFFSET(PLE!$G$15,$M348-$A$15,BD$13)="",10^12,OFFSET(PLE!$G$15,$M348-$A$15,BD$13)))</f>
        <v>1000000000000</v>
      </c>
      <c r="BE348" s="173">
        <f ca="1">IF(OR($D348&lt;&gt;"Serviço",AND(AUTOEVENTO="Manual",$M348=$A$15),$M348&gt;(ROW(PLE.lastrow)-ROW(PLE.firstrow))),0,
           IF(OFFSET(PLE!$G$15,$M348-$A$15,BE$13)="",10^12,OFFSET(PLE!$G$15,$M348-$A$15,BE$13)))</f>
        <v>1000000000000</v>
      </c>
      <c r="BF348" s="173">
        <f ca="1">IF(OR($D348&lt;&gt;"Serviço",AND(AUTOEVENTO="Manual",$M348=$A$15),$M348&gt;(ROW(PLE.lastrow)-ROW(PLE.firstrow))),0,
           IF(OFFSET(PLE!$G$15,$M348-$A$15,BF$13)="",10^12,OFFSET(PLE!$G$15,$M348-$A$15,BF$13)))</f>
        <v>1000000000000</v>
      </c>
      <c r="BG348" s="173">
        <f ca="1">IF(OR($D348&lt;&gt;"Serviço",AND(AUTOEVENTO="Manual",$M348=$A$15),$M348&gt;(ROW(PLE.lastrow)-ROW(PLE.firstrow))),0,
           IF(OFFSET(PLE!$G$15,$M348-$A$15,BG$13)="",10^12,OFFSET(PLE!$G$15,$M348-$A$15,BG$13)))</f>
        <v>1000000000000</v>
      </c>
    </row>
    <row r="349" spans="1:59" ht="38.25" x14ac:dyDescent="0.2">
      <c r="A349" s="7" t="str">
        <f t="shared" ca="1" si="13"/>
        <v>331</v>
      </c>
      <c r="B349" s="7" t="str">
        <f ca="1">OFFSET(ORÇAMENTO!C$15,ROW(B349)-ROW(B$15),0)</f>
        <v>S</v>
      </c>
      <c r="C349" s="7" t="str">
        <f ca="1">OFFSET(ORÇAMENTO!L$15,ROW(C349)-ROW(C$15),0)</f>
        <v/>
      </c>
      <c r="D349" s="117" t="str">
        <f ca="1">OFFSET(ORÇAMENTO!N$15,ROW(D349)-ROW(D$15),0)</f>
        <v>Serviço</v>
      </c>
      <c r="E349" s="118" t="str">
        <f ca="1">OFFSET(ORÇAMENTO!O$15,ROW(E349)-ROW(E$15),0)</f>
        <v>-</v>
      </c>
      <c r="F349" s="164" t="str">
        <f ca="1">OFFSET(ORÇAMENTO!R$15,ROW(F349)-ROW(F$15),0)</f>
        <v>ESCAVAÇÃO MECANIZADA PARA BLOCO DE COROAMENTO OU SAPATA COM RETROESCAVADEIRA (INCLUINDO ESCAVAÇÃO PARA COLOCAÇÃO DE FÔRMAS). AF_01/2024</v>
      </c>
      <c r="G349" s="165" t="str">
        <f ca="1">IF($D349&lt;&gt;"Serviço","",OFFSET(ORÇAMENTO!S$15,ROW(G349)-ROW(G$15),0))</f>
        <v>M3</v>
      </c>
      <c r="H349" s="123">
        <f ca="1">IF($D349&lt;&gt;"Serviço",0,IF(ACOMPANHAMENTO="BM",ROUND(OFFSET(ORÇAMENTO!AJ$15,ROW(H349)-ROW(H$15),0),15-13*ORÇAMENTO!$AF$7),SUMPRODUCT(($Q$1:$AA$1=1)*ROUND($Q349:$AA349,15-13*ORÇAMENTO!$AF$7))))</f>
        <v>24.23</v>
      </c>
      <c r="I349" s="469"/>
      <c r="J349" s="577" t="str" cm="1">
        <f t="array" aca="1" ref="J349" ca="1">IF(B349&lt;&gt;"S","",IF(AND(ACOMPANHAMENTO="PLE",AUTOEVENTO="Manual",OR(H349&gt;0,ORÇAMENTO!AC349="QUANT."),OR(K349="",M349=0,N349="")),"►",IF(AND(ACOMPANHAMENTO="PLE",ORÇAMENTO!AC349="QUANT."),"►►",IF(AND(COUNTIF($P$11:$AA$11,"▼")=0,H349&gt;0,I349=""),"◄",""))))</f>
        <v>◄</v>
      </c>
      <c r="K349" s="626"/>
      <c r="L349" s="166" t="s">
        <v>765</v>
      </c>
      <c r="M349" s="167">
        <f ca="1">IF($D349&lt;&gt;"Serviço","",
          IF(AUTOEVENTO="manual",$A349,
                IF(ISERROR(MATCH($A349,$A$15:OFFSET($A349,-1,0),0)),MAX($M$15:OFFSET(M349,-1,0))+1,
                      INDEX($M$15:OFFSET(M349,-1,0),MATCH($A349,$A$15:OFFSET($A349,-1,0),0)))))</f>
        <v>19</v>
      </c>
      <c r="N349" s="168" t="str">
        <f ca="1">IF($D349&lt;&gt;"Serviço","",
         IF(AUTOEVENTO="Manual",
                IF($A349=0,"&lt;-- defina o número do agrupador",
                       OFFSET(EVENTOS!$D$15,$A349-$A$15,0)),
                OFFSET($F$15,$A349,0)))</f>
        <v>FECHAMENTOS EXTERNOS</v>
      </c>
      <c r="O349" s="169"/>
      <c r="Q349" s="169"/>
      <c r="R349" s="170"/>
      <c r="S349" s="170"/>
      <c r="T349" s="170"/>
      <c r="U349" s="170"/>
      <c r="V349" s="170"/>
      <c r="W349" s="170"/>
      <c r="X349" s="170"/>
      <c r="Y349" s="170"/>
      <c r="Z349" s="171"/>
      <c r="AB349" s="454">
        <f ca="1">IF(AND($D349="Serviço",AB$12&lt;&gt;0,$H349&gt;0,OR(AUTOEVENTO&lt;&gt;"manual",$M349&lt;&gt;$A$15)),
        IF(Import.TipoArredondamento&lt;&gt;"TransfereGOV",
              ROUND(OFFSET($P349,0,AB$13),15-13*ORÇAMENTO!$AF$7)/$H349*OFFSET(ORÇAMENTO!$X$15,ROW(AB349)-ROW(AB$15),0),
              ROUND(ROUND(OFFSET($P349,0,AB$13),15-13*ORÇAMENTO!$AF$7)*OFFSET(ORÇAMENTO!$W$15,ROW(AB349)-ROW(AB$15),0),15-13*ORÇAMENTO!$AF$11)),
         0)</f>
        <v>0</v>
      </c>
      <c r="AC349" s="454">
        <f ca="1">IF(AND($D349="Serviço",AC$12&lt;&gt;0,$H349&gt;0,OR(AUTOEVENTO&lt;&gt;"manual",$M349&lt;&gt;$A$15)),
        IF(Import.TipoArredondamento&lt;&gt;"TransfereGOV",
              ROUND(OFFSET($P349,0,AC$13),15-13*ORÇAMENTO!$AF$7)/$H349*OFFSET(ORÇAMENTO!$X$15,ROW(AC349)-ROW(AC$15),0),
              ROUND(ROUND(OFFSET($P349,0,AC$13),15-13*ORÇAMENTO!$AF$7)*OFFSET(ORÇAMENTO!$W$15,ROW(AC349)-ROW(AC$15),0),15-13*ORÇAMENTO!$AF$11)),
         0)</f>
        <v>0</v>
      </c>
      <c r="AD349" s="454">
        <f ca="1">IF(AND($D349="Serviço",AD$12&lt;&gt;0,$H349&gt;0,OR(AUTOEVENTO&lt;&gt;"manual",$M349&lt;&gt;$A$15)),
        IF(Import.TipoArredondamento&lt;&gt;"TransfereGOV",
              ROUND(OFFSET($P349,0,AD$13),15-13*ORÇAMENTO!$AF$7)/$H349*OFFSET(ORÇAMENTO!$X$15,ROW(AD349)-ROW(AD$15),0),
              ROUND(ROUND(OFFSET($P349,0,AD$13),15-13*ORÇAMENTO!$AF$7)*OFFSET(ORÇAMENTO!$W$15,ROW(AD349)-ROW(AD$15),0),15-13*ORÇAMENTO!$AF$11)),
         0)</f>
        <v>0</v>
      </c>
      <c r="AE349" s="454">
        <f ca="1">IF(AND($D349="Serviço",AE$12&lt;&gt;0,$H349&gt;0,OR(AUTOEVENTO&lt;&gt;"manual",$M349&lt;&gt;$A$15)),
        IF(Import.TipoArredondamento&lt;&gt;"TransfereGOV",
              ROUND(OFFSET($P349,0,AE$13),15-13*ORÇAMENTO!$AF$7)/$H349*OFFSET(ORÇAMENTO!$X$15,ROW(AE349)-ROW(AE$15),0),
              ROUND(ROUND(OFFSET($P349,0,AE$13),15-13*ORÇAMENTO!$AF$7)*OFFSET(ORÇAMENTO!$W$15,ROW(AE349)-ROW(AE$15),0),15-13*ORÇAMENTO!$AF$11)),
         0)</f>
        <v>0</v>
      </c>
      <c r="AF349" s="454">
        <f ca="1">IF(AND($D349="Serviço",AF$12&lt;&gt;0,$H349&gt;0,OR(AUTOEVENTO&lt;&gt;"manual",$M349&lt;&gt;$A$15)),
        IF(Import.TipoArredondamento&lt;&gt;"TransfereGOV",
              ROUND(OFFSET($P349,0,AF$13),15-13*ORÇAMENTO!$AF$7)/$H349*OFFSET(ORÇAMENTO!$X$15,ROW(AF349)-ROW(AF$15),0),
              ROUND(ROUND(OFFSET($P349,0,AF$13),15-13*ORÇAMENTO!$AF$7)*OFFSET(ORÇAMENTO!$W$15,ROW(AF349)-ROW(AF$15),0),15-13*ORÇAMENTO!$AF$11)),
         0)</f>
        <v>0</v>
      </c>
      <c r="AG349" s="454">
        <f ca="1">IF(AND($D349="Serviço",AG$12&lt;&gt;0,$H349&gt;0,OR(AUTOEVENTO&lt;&gt;"manual",$M349&lt;&gt;$A$15)),
        IF(Import.TipoArredondamento&lt;&gt;"TransfereGOV",
              ROUND(OFFSET($P349,0,AG$13),15-13*ORÇAMENTO!$AF$7)/$H349*OFFSET(ORÇAMENTO!$X$15,ROW(AG349)-ROW(AG$15),0),
              ROUND(ROUND(OFFSET($P349,0,AG$13),15-13*ORÇAMENTO!$AF$7)*OFFSET(ORÇAMENTO!$W$15,ROW(AG349)-ROW(AG$15),0),15-13*ORÇAMENTO!$AF$11)),
         0)</f>
        <v>0</v>
      </c>
      <c r="AH349" s="454">
        <f ca="1">IF(AND($D349="Serviço",AH$12&lt;&gt;0,$H349&gt;0,OR(AUTOEVENTO&lt;&gt;"manual",$M349&lt;&gt;$A$15)),
        IF(Import.TipoArredondamento&lt;&gt;"TransfereGOV",
              ROUND(OFFSET($P349,0,AH$13),15-13*ORÇAMENTO!$AF$7)/$H349*OFFSET(ORÇAMENTO!$X$15,ROW(AH349)-ROW(AH$15),0),
              ROUND(ROUND(OFFSET($P349,0,AH$13),15-13*ORÇAMENTO!$AF$7)*OFFSET(ORÇAMENTO!$W$15,ROW(AH349)-ROW(AH$15),0),15-13*ORÇAMENTO!$AF$11)),
         0)</f>
        <v>0</v>
      </c>
      <c r="AI349" s="454">
        <f ca="1">IF(AND($D349="Serviço",AI$12&lt;&gt;0,$H349&gt;0,OR(AUTOEVENTO&lt;&gt;"manual",$M349&lt;&gt;$A$15)),
        IF(Import.TipoArredondamento&lt;&gt;"TransfereGOV",
              ROUND(OFFSET($P349,0,AI$13),15-13*ORÇAMENTO!$AF$7)/$H349*OFFSET(ORÇAMENTO!$X$15,ROW(AI349)-ROW(AI$15),0),
              ROUND(ROUND(OFFSET($P349,0,AI$13),15-13*ORÇAMENTO!$AF$7)*OFFSET(ORÇAMENTO!$W$15,ROW(AI349)-ROW(AI$15),0),15-13*ORÇAMENTO!$AF$11)),
         0)</f>
        <v>0</v>
      </c>
      <c r="AJ349" s="454">
        <f ca="1">IF(AND($D349="Serviço",AJ$12&lt;&gt;0,$H349&gt;0,OR(AUTOEVENTO&lt;&gt;"manual",$M349&lt;&gt;$A$15)),
        IF(Import.TipoArredondamento&lt;&gt;"TransfereGOV",
              ROUND(OFFSET($P349,0,AJ$13),15-13*ORÇAMENTO!$AF$7)/$H349*OFFSET(ORÇAMENTO!$X$15,ROW(AJ349)-ROW(AJ$15),0),
              ROUND(ROUND(OFFSET($P349,0,AJ$13),15-13*ORÇAMENTO!$AF$7)*OFFSET(ORÇAMENTO!$W$15,ROW(AJ349)-ROW(AJ$15),0),15-13*ORÇAMENTO!$AF$11)),
         0)</f>
        <v>0</v>
      </c>
      <c r="AK349" s="454">
        <f ca="1">IF(AND($D349="Serviço",AK$12&lt;&gt;0,$H349&gt;0,OR(AUTOEVENTO&lt;&gt;"manual",$M349&lt;&gt;$A$15)),
        IF(Import.TipoArredondamento&lt;&gt;"TransfereGOV",
              ROUND(OFFSET($P349,0,AK$13),15-13*ORÇAMENTO!$AF$7)/$H349*OFFSET(ORÇAMENTO!$X$15,ROW(AK349)-ROW(AK$15),0),
              ROUND(ROUND(OFFSET($P349,0,AK$13),15-13*ORÇAMENTO!$AF$7)*OFFSET(ORÇAMENTO!$W$15,ROW(AK349)-ROW(AK$15),0),15-13*ORÇAMENTO!$AF$11)),
         0)</f>
        <v>0</v>
      </c>
      <c r="AM349" s="172">
        <f ca="1">IF(OR($D349&lt;&gt;"Serviço",AND(AUTOEVENTO="Manual",$M349=$A$15)),0,
         IF(OFFSET(CRONOPLE!$F$15,$M349-$A$15,AM$13)="",10^12,OFFSET(CRONOPLE!$F$15,$M349-$A$15,AM$13)))</f>
        <v>1000000000000</v>
      </c>
      <c r="AN349" s="172">
        <f ca="1">IF(OR($D349&lt;&gt;"Serviço",AND(AUTOEVENTO="Manual",$M349=$A$15)),0,
         IF(OFFSET(CRONOPLE!$F$15,$M349-$A$15,AN$13)="",10^12,OFFSET(CRONOPLE!$F$15,$M349-$A$15,AN$13)))</f>
        <v>1000000000000</v>
      </c>
      <c r="AO349" s="172">
        <f ca="1">IF(OR($D349&lt;&gt;"Serviço",AND(AUTOEVENTO="Manual",$M349=$A$15)),0,
         IF(OFFSET(CRONOPLE!$F$15,$M349-$A$15,AO$13)="",10^12,OFFSET(CRONOPLE!$F$15,$M349-$A$15,AO$13)))</f>
        <v>1000000000000</v>
      </c>
      <c r="AP349" s="172">
        <f ca="1">IF(OR($D349&lt;&gt;"Serviço",AND(AUTOEVENTO="Manual",$M349=$A$15)),0,
         IF(OFFSET(CRONOPLE!$F$15,$M349-$A$15,AP$13)="",10^12,OFFSET(CRONOPLE!$F$15,$M349-$A$15,AP$13)))</f>
        <v>1000000000000</v>
      </c>
      <c r="AQ349" s="172">
        <f ca="1">IF(OR($D349&lt;&gt;"Serviço",AND(AUTOEVENTO="Manual",$M349=$A$15)),0,
         IF(OFFSET(CRONOPLE!$F$15,$M349-$A$15,AQ$13)="",10^12,OFFSET(CRONOPLE!$F$15,$M349-$A$15,AQ$13)))</f>
        <v>1000000000000</v>
      </c>
      <c r="AR349" s="172">
        <f ca="1">IF(OR($D349&lt;&gt;"Serviço",AND(AUTOEVENTO="Manual",$M349=$A$15)),0,
         IF(OFFSET(CRONOPLE!$F$15,$M349-$A$15,AR$13)="",10^12,OFFSET(CRONOPLE!$F$15,$M349-$A$15,AR$13)))</f>
        <v>1000000000000</v>
      </c>
      <c r="AS349" s="172">
        <f ca="1">IF(OR($D349&lt;&gt;"Serviço",AND(AUTOEVENTO="Manual",$M349=$A$15)),0,
         IF(OFFSET(CRONOPLE!$F$15,$M349-$A$15,AS$13)="",10^12,OFFSET(CRONOPLE!$F$15,$M349-$A$15,AS$13)))</f>
        <v>1000000000000</v>
      </c>
      <c r="AT349" s="172">
        <f ca="1">IF(OR($D349&lt;&gt;"Serviço",AND(AUTOEVENTO="Manual",$M349=$A$15)),0,
         IF(OFFSET(CRONOPLE!$F$15,$M349-$A$15,AT$13)="",10^12,OFFSET(CRONOPLE!$F$15,$M349-$A$15,AT$13)))</f>
        <v>1000000000000</v>
      </c>
      <c r="AU349" s="172">
        <f ca="1">IF(OR($D349&lt;&gt;"Serviço",AND(AUTOEVENTO="Manual",$M349=$A$15)),0,
         IF(OFFSET(CRONOPLE!$F$15,$M349-$A$15,AU$13)="",10^12,OFFSET(CRONOPLE!$F$15,$M349-$A$15,AU$13)))</f>
        <v>1000000000000</v>
      </c>
      <c r="AV349" s="172">
        <f ca="1">IF(OR($D349&lt;&gt;"Serviço",AND(AUTOEVENTO="Manual",$M349=$A$15)),0,
         IF(OFFSET(CRONOPLE!$F$15,$M349-$A$15,AV$13)="",10^12,OFFSET(CRONOPLE!$F$15,$M349-$A$15,AV$13)))</f>
        <v>1000000000000</v>
      </c>
      <c r="AX349" s="173">
        <f ca="1">IF(OR($D349&lt;&gt;"Serviço",AND(AUTOEVENTO="Manual",$M349=$A$15),$M349&gt;(ROW(PLE.lastrow)-ROW(PLE.firstrow))),0,
           IF(OFFSET(PLE!$G$15,$M349-$A$15,AX$13)="",10^12,OFFSET(PLE!$G$15,$M349-$A$15,AX$13)))</f>
        <v>1000000000000</v>
      </c>
      <c r="AY349" s="173">
        <f ca="1">IF(OR($D349&lt;&gt;"Serviço",AND(AUTOEVENTO="Manual",$M349=$A$15),$M349&gt;(ROW(PLE.lastrow)-ROW(PLE.firstrow))),0,
           IF(OFFSET(PLE!$G$15,$M349-$A$15,AY$13)="",10^12,OFFSET(PLE!$G$15,$M349-$A$15,AY$13)))</f>
        <v>1000000000000</v>
      </c>
      <c r="AZ349" s="173">
        <f ca="1">IF(OR($D349&lt;&gt;"Serviço",AND(AUTOEVENTO="Manual",$M349=$A$15),$M349&gt;(ROW(PLE.lastrow)-ROW(PLE.firstrow))),0,
           IF(OFFSET(PLE!$G$15,$M349-$A$15,AZ$13)="",10^12,OFFSET(PLE!$G$15,$M349-$A$15,AZ$13)))</f>
        <v>1000000000000</v>
      </c>
      <c r="BA349" s="173">
        <f ca="1">IF(OR($D349&lt;&gt;"Serviço",AND(AUTOEVENTO="Manual",$M349=$A$15),$M349&gt;(ROW(PLE.lastrow)-ROW(PLE.firstrow))),0,
           IF(OFFSET(PLE!$G$15,$M349-$A$15,BA$13)="",10^12,OFFSET(PLE!$G$15,$M349-$A$15,BA$13)))</f>
        <v>1000000000000</v>
      </c>
      <c r="BB349" s="173">
        <f ca="1">IF(OR($D349&lt;&gt;"Serviço",AND(AUTOEVENTO="Manual",$M349=$A$15),$M349&gt;(ROW(PLE.lastrow)-ROW(PLE.firstrow))),0,
           IF(OFFSET(PLE!$G$15,$M349-$A$15,BB$13)="",10^12,OFFSET(PLE!$G$15,$M349-$A$15,BB$13)))</f>
        <v>1000000000000</v>
      </c>
      <c r="BC349" s="173">
        <f ca="1">IF(OR($D349&lt;&gt;"Serviço",AND(AUTOEVENTO="Manual",$M349=$A$15),$M349&gt;(ROW(PLE.lastrow)-ROW(PLE.firstrow))),0,
           IF(OFFSET(PLE!$G$15,$M349-$A$15,BC$13)="",10^12,OFFSET(PLE!$G$15,$M349-$A$15,BC$13)))</f>
        <v>1000000000000</v>
      </c>
      <c r="BD349" s="173">
        <f ca="1">IF(OR($D349&lt;&gt;"Serviço",AND(AUTOEVENTO="Manual",$M349=$A$15),$M349&gt;(ROW(PLE.lastrow)-ROW(PLE.firstrow))),0,
           IF(OFFSET(PLE!$G$15,$M349-$A$15,BD$13)="",10^12,OFFSET(PLE!$G$15,$M349-$A$15,BD$13)))</f>
        <v>1000000000000</v>
      </c>
      <c r="BE349" s="173">
        <f ca="1">IF(OR($D349&lt;&gt;"Serviço",AND(AUTOEVENTO="Manual",$M349=$A$15),$M349&gt;(ROW(PLE.lastrow)-ROW(PLE.firstrow))),0,
           IF(OFFSET(PLE!$G$15,$M349-$A$15,BE$13)="",10^12,OFFSET(PLE!$G$15,$M349-$A$15,BE$13)))</f>
        <v>1000000000000</v>
      </c>
      <c r="BF349" s="173">
        <f ca="1">IF(OR($D349&lt;&gt;"Serviço",AND(AUTOEVENTO="Manual",$M349=$A$15),$M349&gt;(ROW(PLE.lastrow)-ROW(PLE.firstrow))),0,
           IF(OFFSET(PLE!$G$15,$M349-$A$15,BF$13)="",10^12,OFFSET(PLE!$G$15,$M349-$A$15,BF$13)))</f>
        <v>1000000000000</v>
      </c>
      <c r="BG349" s="173">
        <f ca="1">IF(OR($D349&lt;&gt;"Serviço",AND(AUTOEVENTO="Manual",$M349=$A$15),$M349&gt;(ROW(PLE.lastrow)-ROW(PLE.firstrow))),0,
           IF(OFFSET(PLE!$G$15,$M349-$A$15,BG$13)="",10^12,OFFSET(PLE!$G$15,$M349-$A$15,BG$13)))</f>
        <v>1000000000000</v>
      </c>
    </row>
    <row r="350" spans="1:59" ht="38.25" x14ac:dyDescent="0.2">
      <c r="A350" s="7" t="str">
        <f t="shared" ca="1" si="13"/>
        <v>331</v>
      </c>
      <c r="B350" s="7" t="str">
        <f ca="1">OFFSET(ORÇAMENTO!C$15,ROW(B350)-ROW(B$15),0)</f>
        <v>S</v>
      </c>
      <c r="C350" s="7" t="str">
        <f ca="1">OFFSET(ORÇAMENTO!L$15,ROW(C350)-ROW(C$15),0)</f>
        <v/>
      </c>
      <c r="D350" s="117" t="str">
        <f ca="1">OFFSET(ORÇAMENTO!N$15,ROW(D350)-ROW(D$15),0)</f>
        <v>Serviço</v>
      </c>
      <c r="E350" s="118" t="str">
        <f ca="1">OFFSET(ORÇAMENTO!O$15,ROW(E350)-ROW(E$15),0)</f>
        <v>-</v>
      </c>
      <c r="F350" s="164" t="str">
        <f ca="1">OFFSET(ORÇAMENTO!R$15,ROW(F350)-ROW(F$15),0)</f>
        <v>FABRICAÇÃO, MONTAGEM E DESMONTAGEM DE FÔRMA PARA VIGA BALDRAME, EM MADEIRA SERRADA, E=25 MM, 1 UTILIZAÇÃO. AF_01/2024</v>
      </c>
      <c r="G350" s="165" t="str">
        <f ca="1">IF($D350&lt;&gt;"Serviço","",OFFSET(ORÇAMENTO!S$15,ROW(G350)-ROW(G$15),0))</f>
        <v>M2</v>
      </c>
      <c r="H350" s="123">
        <f ca="1">IF($D350&lt;&gt;"Serviço",0,IF(ACOMPANHAMENTO="BM",ROUND(OFFSET(ORÇAMENTO!AJ$15,ROW(H350)-ROW(H$15),0),15-13*ORÇAMENTO!$AF$7),SUMPRODUCT(($Q$1:$AA$1=1)*ROUND($Q350:$AA350,15-13*ORÇAMENTO!$AF$7))))</f>
        <v>143.43</v>
      </c>
      <c r="I350" s="469"/>
      <c r="J350" s="577" t="str" cm="1">
        <f t="array" aca="1" ref="J350" ca="1">IF(B350&lt;&gt;"S","",IF(AND(ACOMPANHAMENTO="PLE",AUTOEVENTO="Manual",OR(H350&gt;0,ORÇAMENTO!AC350="QUANT."),OR(K350="",M350=0,N350="")),"►",IF(AND(ACOMPANHAMENTO="PLE",ORÇAMENTO!AC350="QUANT."),"►►",IF(AND(COUNTIF($P$11:$AA$11,"▼")=0,H350&gt;0,I350=""),"◄",""))))</f>
        <v>◄</v>
      </c>
      <c r="K350" s="626"/>
      <c r="L350" s="166" t="s">
        <v>765</v>
      </c>
      <c r="M350" s="167">
        <f ca="1">IF($D350&lt;&gt;"Serviço","",
          IF(AUTOEVENTO="manual",$A350,
                IF(ISERROR(MATCH($A350,$A$15:OFFSET($A350,-1,0),0)),MAX($M$15:OFFSET(M350,-1,0))+1,
                      INDEX($M$15:OFFSET(M350,-1,0),MATCH($A350,$A$15:OFFSET($A350,-1,0),0)))))</f>
        <v>19</v>
      </c>
      <c r="N350" s="168" t="str">
        <f ca="1">IF($D350&lt;&gt;"Serviço","",
         IF(AUTOEVENTO="Manual",
                IF($A350=0,"&lt;-- defina o número do agrupador",
                       OFFSET(EVENTOS!$D$15,$A350-$A$15,0)),
                OFFSET($F$15,$A350,0)))</f>
        <v>FECHAMENTOS EXTERNOS</v>
      </c>
      <c r="O350" s="169"/>
      <c r="Q350" s="169"/>
      <c r="R350" s="170"/>
      <c r="S350" s="170"/>
      <c r="T350" s="170"/>
      <c r="U350" s="170"/>
      <c r="V350" s="170"/>
      <c r="W350" s="170"/>
      <c r="X350" s="170"/>
      <c r="Y350" s="170"/>
      <c r="Z350" s="171"/>
      <c r="AB350" s="454">
        <f ca="1">IF(AND($D350="Serviço",AB$12&lt;&gt;0,$H350&gt;0,OR(AUTOEVENTO&lt;&gt;"manual",$M350&lt;&gt;$A$15)),
        IF(Import.TipoArredondamento&lt;&gt;"TransfereGOV",
              ROUND(OFFSET($P350,0,AB$13),15-13*ORÇAMENTO!$AF$7)/$H350*OFFSET(ORÇAMENTO!$X$15,ROW(AB350)-ROW(AB$15),0),
              ROUND(ROUND(OFFSET($P350,0,AB$13),15-13*ORÇAMENTO!$AF$7)*OFFSET(ORÇAMENTO!$W$15,ROW(AB350)-ROW(AB$15),0),15-13*ORÇAMENTO!$AF$11)),
         0)</f>
        <v>0</v>
      </c>
      <c r="AC350" s="454">
        <f ca="1">IF(AND($D350="Serviço",AC$12&lt;&gt;0,$H350&gt;0,OR(AUTOEVENTO&lt;&gt;"manual",$M350&lt;&gt;$A$15)),
        IF(Import.TipoArredondamento&lt;&gt;"TransfereGOV",
              ROUND(OFFSET($P350,0,AC$13),15-13*ORÇAMENTO!$AF$7)/$H350*OFFSET(ORÇAMENTO!$X$15,ROW(AC350)-ROW(AC$15),0),
              ROUND(ROUND(OFFSET($P350,0,AC$13),15-13*ORÇAMENTO!$AF$7)*OFFSET(ORÇAMENTO!$W$15,ROW(AC350)-ROW(AC$15),0),15-13*ORÇAMENTO!$AF$11)),
         0)</f>
        <v>0</v>
      </c>
      <c r="AD350" s="454">
        <f ca="1">IF(AND($D350="Serviço",AD$12&lt;&gt;0,$H350&gt;0,OR(AUTOEVENTO&lt;&gt;"manual",$M350&lt;&gt;$A$15)),
        IF(Import.TipoArredondamento&lt;&gt;"TransfereGOV",
              ROUND(OFFSET($P350,0,AD$13),15-13*ORÇAMENTO!$AF$7)/$H350*OFFSET(ORÇAMENTO!$X$15,ROW(AD350)-ROW(AD$15),0),
              ROUND(ROUND(OFFSET($P350,0,AD$13),15-13*ORÇAMENTO!$AF$7)*OFFSET(ORÇAMENTO!$W$15,ROW(AD350)-ROW(AD$15),0),15-13*ORÇAMENTO!$AF$11)),
         0)</f>
        <v>0</v>
      </c>
      <c r="AE350" s="454">
        <f ca="1">IF(AND($D350="Serviço",AE$12&lt;&gt;0,$H350&gt;0,OR(AUTOEVENTO&lt;&gt;"manual",$M350&lt;&gt;$A$15)),
        IF(Import.TipoArredondamento&lt;&gt;"TransfereGOV",
              ROUND(OFFSET($P350,0,AE$13),15-13*ORÇAMENTO!$AF$7)/$H350*OFFSET(ORÇAMENTO!$X$15,ROW(AE350)-ROW(AE$15),0),
              ROUND(ROUND(OFFSET($P350,0,AE$13),15-13*ORÇAMENTO!$AF$7)*OFFSET(ORÇAMENTO!$W$15,ROW(AE350)-ROW(AE$15),0),15-13*ORÇAMENTO!$AF$11)),
         0)</f>
        <v>0</v>
      </c>
      <c r="AF350" s="454">
        <f ca="1">IF(AND($D350="Serviço",AF$12&lt;&gt;0,$H350&gt;0,OR(AUTOEVENTO&lt;&gt;"manual",$M350&lt;&gt;$A$15)),
        IF(Import.TipoArredondamento&lt;&gt;"TransfereGOV",
              ROUND(OFFSET($P350,0,AF$13),15-13*ORÇAMENTO!$AF$7)/$H350*OFFSET(ORÇAMENTO!$X$15,ROW(AF350)-ROW(AF$15),0),
              ROUND(ROUND(OFFSET($P350,0,AF$13),15-13*ORÇAMENTO!$AF$7)*OFFSET(ORÇAMENTO!$W$15,ROW(AF350)-ROW(AF$15),0),15-13*ORÇAMENTO!$AF$11)),
         0)</f>
        <v>0</v>
      </c>
      <c r="AG350" s="454">
        <f ca="1">IF(AND($D350="Serviço",AG$12&lt;&gt;0,$H350&gt;0,OR(AUTOEVENTO&lt;&gt;"manual",$M350&lt;&gt;$A$15)),
        IF(Import.TipoArredondamento&lt;&gt;"TransfereGOV",
              ROUND(OFFSET($P350,0,AG$13),15-13*ORÇAMENTO!$AF$7)/$H350*OFFSET(ORÇAMENTO!$X$15,ROW(AG350)-ROW(AG$15),0),
              ROUND(ROUND(OFFSET($P350,0,AG$13),15-13*ORÇAMENTO!$AF$7)*OFFSET(ORÇAMENTO!$W$15,ROW(AG350)-ROW(AG$15),0),15-13*ORÇAMENTO!$AF$11)),
         0)</f>
        <v>0</v>
      </c>
      <c r="AH350" s="454">
        <f ca="1">IF(AND($D350="Serviço",AH$12&lt;&gt;0,$H350&gt;0,OR(AUTOEVENTO&lt;&gt;"manual",$M350&lt;&gt;$A$15)),
        IF(Import.TipoArredondamento&lt;&gt;"TransfereGOV",
              ROUND(OFFSET($P350,0,AH$13),15-13*ORÇAMENTO!$AF$7)/$H350*OFFSET(ORÇAMENTO!$X$15,ROW(AH350)-ROW(AH$15),0),
              ROUND(ROUND(OFFSET($P350,0,AH$13),15-13*ORÇAMENTO!$AF$7)*OFFSET(ORÇAMENTO!$W$15,ROW(AH350)-ROW(AH$15),0),15-13*ORÇAMENTO!$AF$11)),
         0)</f>
        <v>0</v>
      </c>
      <c r="AI350" s="454">
        <f ca="1">IF(AND($D350="Serviço",AI$12&lt;&gt;0,$H350&gt;0,OR(AUTOEVENTO&lt;&gt;"manual",$M350&lt;&gt;$A$15)),
        IF(Import.TipoArredondamento&lt;&gt;"TransfereGOV",
              ROUND(OFFSET($P350,0,AI$13),15-13*ORÇAMENTO!$AF$7)/$H350*OFFSET(ORÇAMENTO!$X$15,ROW(AI350)-ROW(AI$15),0),
              ROUND(ROUND(OFFSET($P350,0,AI$13),15-13*ORÇAMENTO!$AF$7)*OFFSET(ORÇAMENTO!$W$15,ROW(AI350)-ROW(AI$15),0),15-13*ORÇAMENTO!$AF$11)),
         0)</f>
        <v>0</v>
      </c>
      <c r="AJ350" s="454">
        <f ca="1">IF(AND($D350="Serviço",AJ$12&lt;&gt;0,$H350&gt;0,OR(AUTOEVENTO&lt;&gt;"manual",$M350&lt;&gt;$A$15)),
        IF(Import.TipoArredondamento&lt;&gt;"TransfereGOV",
              ROUND(OFFSET($P350,0,AJ$13),15-13*ORÇAMENTO!$AF$7)/$H350*OFFSET(ORÇAMENTO!$X$15,ROW(AJ350)-ROW(AJ$15),0),
              ROUND(ROUND(OFFSET($P350,0,AJ$13),15-13*ORÇAMENTO!$AF$7)*OFFSET(ORÇAMENTO!$W$15,ROW(AJ350)-ROW(AJ$15),0),15-13*ORÇAMENTO!$AF$11)),
         0)</f>
        <v>0</v>
      </c>
      <c r="AK350" s="454">
        <f ca="1">IF(AND($D350="Serviço",AK$12&lt;&gt;0,$H350&gt;0,OR(AUTOEVENTO&lt;&gt;"manual",$M350&lt;&gt;$A$15)),
        IF(Import.TipoArredondamento&lt;&gt;"TransfereGOV",
              ROUND(OFFSET($P350,0,AK$13),15-13*ORÇAMENTO!$AF$7)/$H350*OFFSET(ORÇAMENTO!$X$15,ROW(AK350)-ROW(AK$15),0),
              ROUND(ROUND(OFFSET($P350,0,AK$13),15-13*ORÇAMENTO!$AF$7)*OFFSET(ORÇAMENTO!$W$15,ROW(AK350)-ROW(AK$15),0),15-13*ORÇAMENTO!$AF$11)),
         0)</f>
        <v>0</v>
      </c>
      <c r="AM350" s="172">
        <f ca="1">IF(OR($D350&lt;&gt;"Serviço",AND(AUTOEVENTO="Manual",$M350=$A$15)),0,
         IF(OFFSET(CRONOPLE!$F$15,$M350-$A$15,AM$13)="",10^12,OFFSET(CRONOPLE!$F$15,$M350-$A$15,AM$13)))</f>
        <v>1000000000000</v>
      </c>
      <c r="AN350" s="172">
        <f ca="1">IF(OR($D350&lt;&gt;"Serviço",AND(AUTOEVENTO="Manual",$M350=$A$15)),0,
         IF(OFFSET(CRONOPLE!$F$15,$M350-$A$15,AN$13)="",10^12,OFFSET(CRONOPLE!$F$15,$M350-$A$15,AN$13)))</f>
        <v>1000000000000</v>
      </c>
      <c r="AO350" s="172">
        <f ca="1">IF(OR($D350&lt;&gt;"Serviço",AND(AUTOEVENTO="Manual",$M350=$A$15)),0,
         IF(OFFSET(CRONOPLE!$F$15,$M350-$A$15,AO$13)="",10^12,OFFSET(CRONOPLE!$F$15,$M350-$A$15,AO$13)))</f>
        <v>1000000000000</v>
      </c>
      <c r="AP350" s="172">
        <f ca="1">IF(OR($D350&lt;&gt;"Serviço",AND(AUTOEVENTO="Manual",$M350=$A$15)),0,
         IF(OFFSET(CRONOPLE!$F$15,$M350-$A$15,AP$13)="",10^12,OFFSET(CRONOPLE!$F$15,$M350-$A$15,AP$13)))</f>
        <v>1000000000000</v>
      </c>
      <c r="AQ350" s="172">
        <f ca="1">IF(OR($D350&lt;&gt;"Serviço",AND(AUTOEVENTO="Manual",$M350=$A$15)),0,
         IF(OFFSET(CRONOPLE!$F$15,$M350-$A$15,AQ$13)="",10^12,OFFSET(CRONOPLE!$F$15,$M350-$A$15,AQ$13)))</f>
        <v>1000000000000</v>
      </c>
      <c r="AR350" s="172">
        <f ca="1">IF(OR($D350&lt;&gt;"Serviço",AND(AUTOEVENTO="Manual",$M350=$A$15)),0,
         IF(OFFSET(CRONOPLE!$F$15,$M350-$A$15,AR$13)="",10^12,OFFSET(CRONOPLE!$F$15,$M350-$A$15,AR$13)))</f>
        <v>1000000000000</v>
      </c>
      <c r="AS350" s="172">
        <f ca="1">IF(OR($D350&lt;&gt;"Serviço",AND(AUTOEVENTO="Manual",$M350=$A$15)),0,
         IF(OFFSET(CRONOPLE!$F$15,$M350-$A$15,AS$13)="",10^12,OFFSET(CRONOPLE!$F$15,$M350-$A$15,AS$13)))</f>
        <v>1000000000000</v>
      </c>
      <c r="AT350" s="172">
        <f ca="1">IF(OR($D350&lt;&gt;"Serviço",AND(AUTOEVENTO="Manual",$M350=$A$15)),0,
         IF(OFFSET(CRONOPLE!$F$15,$M350-$A$15,AT$13)="",10^12,OFFSET(CRONOPLE!$F$15,$M350-$A$15,AT$13)))</f>
        <v>1000000000000</v>
      </c>
      <c r="AU350" s="172">
        <f ca="1">IF(OR($D350&lt;&gt;"Serviço",AND(AUTOEVENTO="Manual",$M350=$A$15)),0,
         IF(OFFSET(CRONOPLE!$F$15,$M350-$A$15,AU$13)="",10^12,OFFSET(CRONOPLE!$F$15,$M350-$A$15,AU$13)))</f>
        <v>1000000000000</v>
      </c>
      <c r="AV350" s="172">
        <f ca="1">IF(OR($D350&lt;&gt;"Serviço",AND(AUTOEVENTO="Manual",$M350=$A$15)),0,
         IF(OFFSET(CRONOPLE!$F$15,$M350-$A$15,AV$13)="",10^12,OFFSET(CRONOPLE!$F$15,$M350-$A$15,AV$13)))</f>
        <v>1000000000000</v>
      </c>
      <c r="AX350" s="173">
        <f ca="1">IF(OR($D350&lt;&gt;"Serviço",AND(AUTOEVENTO="Manual",$M350=$A$15),$M350&gt;(ROW(PLE.lastrow)-ROW(PLE.firstrow))),0,
           IF(OFFSET(PLE!$G$15,$M350-$A$15,AX$13)="",10^12,OFFSET(PLE!$G$15,$M350-$A$15,AX$13)))</f>
        <v>1000000000000</v>
      </c>
      <c r="AY350" s="173">
        <f ca="1">IF(OR($D350&lt;&gt;"Serviço",AND(AUTOEVENTO="Manual",$M350=$A$15),$M350&gt;(ROW(PLE.lastrow)-ROW(PLE.firstrow))),0,
           IF(OFFSET(PLE!$G$15,$M350-$A$15,AY$13)="",10^12,OFFSET(PLE!$G$15,$M350-$A$15,AY$13)))</f>
        <v>1000000000000</v>
      </c>
      <c r="AZ350" s="173">
        <f ca="1">IF(OR($D350&lt;&gt;"Serviço",AND(AUTOEVENTO="Manual",$M350=$A$15),$M350&gt;(ROW(PLE.lastrow)-ROW(PLE.firstrow))),0,
           IF(OFFSET(PLE!$G$15,$M350-$A$15,AZ$13)="",10^12,OFFSET(PLE!$G$15,$M350-$A$15,AZ$13)))</f>
        <v>1000000000000</v>
      </c>
      <c r="BA350" s="173">
        <f ca="1">IF(OR($D350&lt;&gt;"Serviço",AND(AUTOEVENTO="Manual",$M350=$A$15),$M350&gt;(ROW(PLE.lastrow)-ROW(PLE.firstrow))),0,
           IF(OFFSET(PLE!$G$15,$M350-$A$15,BA$13)="",10^12,OFFSET(PLE!$G$15,$M350-$A$15,BA$13)))</f>
        <v>1000000000000</v>
      </c>
      <c r="BB350" s="173">
        <f ca="1">IF(OR($D350&lt;&gt;"Serviço",AND(AUTOEVENTO="Manual",$M350=$A$15),$M350&gt;(ROW(PLE.lastrow)-ROW(PLE.firstrow))),0,
           IF(OFFSET(PLE!$G$15,$M350-$A$15,BB$13)="",10^12,OFFSET(PLE!$G$15,$M350-$A$15,BB$13)))</f>
        <v>1000000000000</v>
      </c>
      <c r="BC350" s="173">
        <f ca="1">IF(OR($D350&lt;&gt;"Serviço",AND(AUTOEVENTO="Manual",$M350=$A$15),$M350&gt;(ROW(PLE.lastrow)-ROW(PLE.firstrow))),0,
           IF(OFFSET(PLE!$G$15,$M350-$A$15,BC$13)="",10^12,OFFSET(PLE!$G$15,$M350-$A$15,BC$13)))</f>
        <v>1000000000000</v>
      </c>
      <c r="BD350" s="173">
        <f ca="1">IF(OR($D350&lt;&gt;"Serviço",AND(AUTOEVENTO="Manual",$M350=$A$15),$M350&gt;(ROW(PLE.lastrow)-ROW(PLE.firstrow))),0,
           IF(OFFSET(PLE!$G$15,$M350-$A$15,BD$13)="",10^12,OFFSET(PLE!$G$15,$M350-$A$15,BD$13)))</f>
        <v>1000000000000</v>
      </c>
      <c r="BE350" s="173">
        <f ca="1">IF(OR($D350&lt;&gt;"Serviço",AND(AUTOEVENTO="Manual",$M350=$A$15),$M350&gt;(ROW(PLE.lastrow)-ROW(PLE.firstrow))),0,
           IF(OFFSET(PLE!$G$15,$M350-$A$15,BE$13)="",10^12,OFFSET(PLE!$G$15,$M350-$A$15,BE$13)))</f>
        <v>1000000000000</v>
      </c>
      <c r="BF350" s="173">
        <f ca="1">IF(OR($D350&lt;&gt;"Serviço",AND(AUTOEVENTO="Manual",$M350=$A$15),$M350&gt;(ROW(PLE.lastrow)-ROW(PLE.firstrow))),0,
           IF(OFFSET(PLE!$G$15,$M350-$A$15,BF$13)="",10^12,OFFSET(PLE!$G$15,$M350-$A$15,BF$13)))</f>
        <v>1000000000000</v>
      </c>
      <c r="BG350" s="173">
        <f ca="1">IF(OR($D350&lt;&gt;"Serviço",AND(AUTOEVENTO="Manual",$M350=$A$15),$M350&gt;(ROW(PLE.lastrow)-ROW(PLE.firstrow))),0,
           IF(OFFSET(PLE!$G$15,$M350-$A$15,BG$13)="",10^12,OFFSET(PLE!$G$15,$M350-$A$15,BG$13)))</f>
        <v>1000000000000</v>
      </c>
    </row>
    <row r="351" spans="1:59" ht="38.25" x14ac:dyDescent="0.2">
      <c r="A351" s="7" t="str">
        <f t="shared" ca="1" si="13"/>
        <v>331</v>
      </c>
      <c r="B351" s="7" t="str">
        <f ca="1">OFFSET(ORÇAMENTO!C$15,ROW(B351)-ROW(B$15),0)</f>
        <v>S</v>
      </c>
      <c r="C351" s="7" t="str">
        <f ca="1">OFFSET(ORÇAMENTO!L$15,ROW(C351)-ROW(C$15),0)</f>
        <v/>
      </c>
      <c r="D351" s="117" t="str">
        <f ca="1">OFFSET(ORÇAMENTO!N$15,ROW(D351)-ROW(D$15),0)</f>
        <v>Serviço</v>
      </c>
      <c r="E351" s="118" t="str">
        <f ca="1">OFFSET(ORÇAMENTO!O$15,ROW(E351)-ROW(E$15),0)</f>
        <v>-</v>
      </c>
      <c r="F351" s="164" t="str">
        <f ca="1">OFFSET(ORÇAMENTO!R$15,ROW(F351)-ROW(F$15),0)</f>
        <v>FABRICAÇÃO, MONTAGEM E DESMONTAGEM DE FÔRMA PARA SAPATA, EM MADEIRA SERRADA, E=25 MM, 1 UTILIZAÇÃO. AF_01/2024</v>
      </c>
      <c r="G351" s="165" t="str">
        <f ca="1">IF($D351&lt;&gt;"Serviço","",OFFSET(ORÇAMENTO!S$15,ROW(G351)-ROW(G$15),0))</f>
        <v>M2</v>
      </c>
      <c r="H351" s="123">
        <f ca="1">IF($D351&lt;&gt;"Serviço",0,IF(ACOMPANHAMENTO="BM",ROUND(OFFSET(ORÇAMENTO!AJ$15,ROW(H351)-ROW(H$15),0),15-13*ORÇAMENTO!$AF$7),SUMPRODUCT(($Q$1:$AA$1=1)*ROUND($Q351:$AA351,15-13*ORÇAMENTO!$AF$7))))</f>
        <v>16.149999999999999</v>
      </c>
      <c r="I351" s="469"/>
      <c r="J351" s="577" t="str" cm="1">
        <f t="array" aca="1" ref="J351" ca="1">IF(B351&lt;&gt;"S","",IF(AND(ACOMPANHAMENTO="PLE",AUTOEVENTO="Manual",OR(H351&gt;0,ORÇAMENTO!AC351="QUANT."),OR(K351="",M351=0,N351="")),"►",IF(AND(ACOMPANHAMENTO="PLE",ORÇAMENTO!AC351="QUANT."),"►►",IF(AND(COUNTIF($P$11:$AA$11,"▼")=0,H351&gt;0,I351=""),"◄",""))))</f>
        <v>◄</v>
      </c>
      <c r="K351" s="626"/>
      <c r="L351" s="166" t="s">
        <v>765</v>
      </c>
      <c r="M351" s="167">
        <f ca="1">IF($D351&lt;&gt;"Serviço","",
          IF(AUTOEVENTO="manual",$A351,
                IF(ISERROR(MATCH($A351,$A$15:OFFSET($A351,-1,0),0)),MAX($M$15:OFFSET(M351,-1,0))+1,
                      INDEX($M$15:OFFSET(M351,-1,0),MATCH($A351,$A$15:OFFSET($A351,-1,0),0)))))</f>
        <v>19</v>
      </c>
      <c r="N351" s="168" t="str">
        <f ca="1">IF($D351&lt;&gt;"Serviço","",
         IF(AUTOEVENTO="Manual",
                IF($A351=0,"&lt;-- defina o número do agrupador",
                       OFFSET(EVENTOS!$D$15,$A351-$A$15,0)),
                OFFSET($F$15,$A351,0)))</f>
        <v>FECHAMENTOS EXTERNOS</v>
      </c>
      <c r="O351" s="169"/>
      <c r="Q351" s="169"/>
      <c r="R351" s="170"/>
      <c r="S351" s="170"/>
      <c r="T351" s="170"/>
      <c r="U351" s="170"/>
      <c r="V351" s="170"/>
      <c r="W351" s="170"/>
      <c r="X351" s="170"/>
      <c r="Y351" s="170"/>
      <c r="Z351" s="171"/>
      <c r="AB351" s="454">
        <f ca="1">IF(AND($D351="Serviço",AB$12&lt;&gt;0,$H351&gt;0,OR(AUTOEVENTO&lt;&gt;"manual",$M351&lt;&gt;$A$15)),
        IF(Import.TipoArredondamento&lt;&gt;"TransfereGOV",
              ROUND(OFFSET($P351,0,AB$13),15-13*ORÇAMENTO!$AF$7)/$H351*OFFSET(ORÇAMENTO!$X$15,ROW(AB351)-ROW(AB$15),0),
              ROUND(ROUND(OFFSET($P351,0,AB$13),15-13*ORÇAMENTO!$AF$7)*OFFSET(ORÇAMENTO!$W$15,ROW(AB351)-ROW(AB$15),0),15-13*ORÇAMENTO!$AF$11)),
         0)</f>
        <v>0</v>
      </c>
      <c r="AC351" s="454">
        <f ca="1">IF(AND($D351="Serviço",AC$12&lt;&gt;0,$H351&gt;0,OR(AUTOEVENTO&lt;&gt;"manual",$M351&lt;&gt;$A$15)),
        IF(Import.TipoArredondamento&lt;&gt;"TransfereGOV",
              ROUND(OFFSET($P351,0,AC$13),15-13*ORÇAMENTO!$AF$7)/$H351*OFFSET(ORÇAMENTO!$X$15,ROW(AC351)-ROW(AC$15),0),
              ROUND(ROUND(OFFSET($P351,0,AC$13),15-13*ORÇAMENTO!$AF$7)*OFFSET(ORÇAMENTO!$W$15,ROW(AC351)-ROW(AC$15),0),15-13*ORÇAMENTO!$AF$11)),
         0)</f>
        <v>0</v>
      </c>
      <c r="AD351" s="454">
        <f ca="1">IF(AND($D351="Serviço",AD$12&lt;&gt;0,$H351&gt;0,OR(AUTOEVENTO&lt;&gt;"manual",$M351&lt;&gt;$A$15)),
        IF(Import.TipoArredondamento&lt;&gt;"TransfereGOV",
              ROUND(OFFSET($P351,0,AD$13),15-13*ORÇAMENTO!$AF$7)/$H351*OFFSET(ORÇAMENTO!$X$15,ROW(AD351)-ROW(AD$15),0),
              ROUND(ROUND(OFFSET($P351,0,AD$13),15-13*ORÇAMENTO!$AF$7)*OFFSET(ORÇAMENTO!$W$15,ROW(AD351)-ROW(AD$15),0),15-13*ORÇAMENTO!$AF$11)),
         0)</f>
        <v>0</v>
      </c>
      <c r="AE351" s="454">
        <f ca="1">IF(AND($D351="Serviço",AE$12&lt;&gt;0,$H351&gt;0,OR(AUTOEVENTO&lt;&gt;"manual",$M351&lt;&gt;$A$15)),
        IF(Import.TipoArredondamento&lt;&gt;"TransfereGOV",
              ROUND(OFFSET($P351,0,AE$13),15-13*ORÇAMENTO!$AF$7)/$H351*OFFSET(ORÇAMENTO!$X$15,ROW(AE351)-ROW(AE$15),0),
              ROUND(ROUND(OFFSET($P351,0,AE$13),15-13*ORÇAMENTO!$AF$7)*OFFSET(ORÇAMENTO!$W$15,ROW(AE351)-ROW(AE$15),0),15-13*ORÇAMENTO!$AF$11)),
         0)</f>
        <v>0</v>
      </c>
      <c r="AF351" s="454">
        <f ca="1">IF(AND($D351="Serviço",AF$12&lt;&gt;0,$H351&gt;0,OR(AUTOEVENTO&lt;&gt;"manual",$M351&lt;&gt;$A$15)),
        IF(Import.TipoArredondamento&lt;&gt;"TransfereGOV",
              ROUND(OFFSET($P351,0,AF$13),15-13*ORÇAMENTO!$AF$7)/$H351*OFFSET(ORÇAMENTO!$X$15,ROW(AF351)-ROW(AF$15),0),
              ROUND(ROUND(OFFSET($P351,0,AF$13),15-13*ORÇAMENTO!$AF$7)*OFFSET(ORÇAMENTO!$W$15,ROW(AF351)-ROW(AF$15),0),15-13*ORÇAMENTO!$AF$11)),
         0)</f>
        <v>0</v>
      </c>
      <c r="AG351" s="454">
        <f ca="1">IF(AND($D351="Serviço",AG$12&lt;&gt;0,$H351&gt;0,OR(AUTOEVENTO&lt;&gt;"manual",$M351&lt;&gt;$A$15)),
        IF(Import.TipoArredondamento&lt;&gt;"TransfereGOV",
              ROUND(OFFSET($P351,0,AG$13),15-13*ORÇAMENTO!$AF$7)/$H351*OFFSET(ORÇAMENTO!$X$15,ROW(AG351)-ROW(AG$15),0),
              ROUND(ROUND(OFFSET($P351,0,AG$13),15-13*ORÇAMENTO!$AF$7)*OFFSET(ORÇAMENTO!$W$15,ROW(AG351)-ROW(AG$15),0),15-13*ORÇAMENTO!$AF$11)),
         0)</f>
        <v>0</v>
      </c>
      <c r="AH351" s="454">
        <f ca="1">IF(AND($D351="Serviço",AH$12&lt;&gt;0,$H351&gt;0,OR(AUTOEVENTO&lt;&gt;"manual",$M351&lt;&gt;$A$15)),
        IF(Import.TipoArredondamento&lt;&gt;"TransfereGOV",
              ROUND(OFFSET($P351,0,AH$13),15-13*ORÇAMENTO!$AF$7)/$H351*OFFSET(ORÇAMENTO!$X$15,ROW(AH351)-ROW(AH$15),0),
              ROUND(ROUND(OFFSET($P351,0,AH$13),15-13*ORÇAMENTO!$AF$7)*OFFSET(ORÇAMENTO!$W$15,ROW(AH351)-ROW(AH$15),0),15-13*ORÇAMENTO!$AF$11)),
         0)</f>
        <v>0</v>
      </c>
      <c r="AI351" s="454">
        <f ca="1">IF(AND($D351="Serviço",AI$12&lt;&gt;0,$H351&gt;0,OR(AUTOEVENTO&lt;&gt;"manual",$M351&lt;&gt;$A$15)),
        IF(Import.TipoArredondamento&lt;&gt;"TransfereGOV",
              ROUND(OFFSET($P351,0,AI$13),15-13*ORÇAMENTO!$AF$7)/$H351*OFFSET(ORÇAMENTO!$X$15,ROW(AI351)-ROW(AI$15),0),
              ROUND(ROUND(OFFSET($P351,0,AI$13),15-13*ORÇAMENTO!$AF$7)*OFFSET(ORÇAMENTO!$W$15,ROW(AI351)-ROW(AI$15),0),15-13*ORÇAMENTO!$AF$11)),
         0)</f>
        <v>0</v>
      </c>
      <c r="AJ351" s="454">
        <f ca="1">IF(AND($D351="Serviço",AJ$12&lt;&gt;0,$H351&gt;0,OR(AUTOEVENTO&lt;&gt;"manual",$M351&lt;&gt;$A$15)),
        IF(Import.TipoArredondamento&lt;&gt;"TransfereGOV",
              ROUND(OFFSET($P351,0,AJ$13),15-13*ORÇAMENTO!$AF$7)/$H351*OFFSET(ORÇAMENTO!$X$15,ROW(AJ351)-ROW(AJ$15),0),
              ROUND(ROUND(OFFSET($P351,0,AJ$13),15-13*ORÇAMENTO!$AF$7)*OFFSET(ORÇAMENTO!$W$15,ROW(AJ351)-ROW(AJ$15),0),15-13*ORÇAMENTO!$AF$11)),
         0)</f>
        <v>0</v>
      </c>
      <c r="AK351" s="454">
        <f ca="1">IF(AND($D351="Serviço",AK$12&lt;&gt;0,$H351&gt;0,OR(AUTOEVENTO&lt;&gt;"manual",$M351&lt;&gt;$A$15)),
        IF(Import.TipoArredondamento&lt;&gt;"TransfereGOV",
              ROUND(OFFSET($P351,0,AK$13),15-13*ORÇAMENTO!$AF$7)/$H351*OFFSET(ORÇAMENTO!$X$15,ROW(AK351)-ROW(AK$15),0),
              ROUND(ROUND(OFFSET($P351,0,AK$13),15-13*ORÇAMENTO!$AF$7)*OFFSET(ORÇAMENTO!$W$15,ROW(AK351)-ROW(AK$15),0),15-13*ORÇAMENTO!$AF$11)),
         0)</f>
        <v>0</v>
      </c>
      <c r="AM351" s="172">
        <f ca="1">IF(OR($D351&lt;&gt;"Serviço",AND(AUTOEVENTO="Manual",$M351=$A$15)),0,
         IF(OFFSET(CRONOPLE!$F$15,$M351-$A$15,AM$13)="",10^12,OFFSET(CRONOPLE!$F$15,$M351-$A$15,AM$13)))</f>
        <v>1000000000000</v>
      </c>
      <c r="AN351" s="172">
        <f ca="1">IF(OR($D351&lt;&gt;"Serviço",AND(AUTOEVENTO="Manual",$M351=$A$15)),0,
         IF(OFFSET(CRONOPLE!$F$15,$M351-$A$15,AN$13)="",10^12,OFFSET(CRONOPLE!$F$15,$M351-$A$15,AN$13)))</f>
        <v>1000000000000</v>
      </c>
      <c r="AO351" s="172">
        <f ca="1">IF(OR($D351&lt;&gt;"Serviço",AND(AUTOEVENTO="Manual",$M351=$A$15)),0,
         IF(OFFSET(CRONOPLE!$F$15,$M351-$A$15,AO$13)="",10^12,OFFSET(CRONOPLE!$F$15,$M351-$A$15,AO$13)))</f>
        <v>1000000000000</v>
      </c>
      <c r="AP351" s="172">
        <f ca="1">IF(OR($D351&lt;&gt;"Serviço",AND(AUTOEVENTO="Manual",$M351=$A$15)),0,
         IF(OFFSET(CRONOPLE!$F$15,$M351-$A$15,AP$13)="",10^12,OFFSET(CRONOPLE!$F$15,$M351-$A$15,AP$13)))</f>
        <v>1000000000000</v>
      </c>
      <c r="AQ351" s="172">
        <f ca="1">IF(OR($D351&lt;&gt;"Serviço",AND(AUTOEVENTO="Manual",$M351=$A$15)),0,
         IF(OFFSET(CRONOPLE!$F$15,$M351-$A$15,AQ$13)="",10^12,OFFSET(CRONOPLE!$F$15,$M351-$A$15,AQ$13)))</f>
        <v>1000000000000</v>
      </c>
      <c r="AR351" s="172">
        <f ca="1">IF(OR($D351&lt;&gt;"Serviço",AND(AUTOEVENTO="Manual",$M351=$A$15)),0,
         IF(OFFSET(CRONOPLE!$F$15,$M351-$A$15,AR$13)="",10^12,OFFSET(CRONOPLE!$F$15,$M351-$A$15,AR$13)))</f>
        <v>1000000000000</v>
      </c>
      <c r="AS351" s="172">
        <f ca="1">IF(OR($D351&lt;&gt;"Serviço",AND(AUTOEVENTO="Manual",$M351=$A$15)),0,
         IF(OFFSET(CRONOPLE!$F$15,$M351-$A$15,AS$13)="",10^12,OFFSET(CRONOPLE!$F$15,$M351-$A$15,AS$13)))</f>
        <v>1000000000000</v>
      </c>
      <c r="AT351" s="172">
        <f ca="1">IF(OR($D351&lt;&gt;"Serviço",AND(AUTOEVENTO="Manual",$M351=$A$15)),0,
         IF(OFFSET(CRONOPLE!$F$15,$M351-$A$15,AT$13)="",10^12,OFFSET(CRONOPLE!$F$15,$M351-$A$15,AT$13)))</f>
        <v>1000000000000</v>
      </c>
      <c r="AU351" s="172">
        <f ca="1">IF(OR($D351&lt;&gt;"Serviço",AND(AUTOEVENTO="Manual",$M351=$A$15)),0,
         IF(OFFSET(CRONOPLE!$F$15,$M351-$A$15,AU$13)="",10^12,OFFSET(CRONOPLE!$F$15,$M351-$A$15,AU$13)))</f>
        <v>1000000000000</v>
      </c>
      <c r="AV351" s="172">
        <f ca="1">IF(OR($D351&lt;&gt;"Serviço",AND(AUTOEVENTO="Manual",$M351=$A$15)),0,
         IF(OFFSET(CRONOPLE!$F$15,$M351-$A$15,AV$13)="",10^12,OFFSET(CRONOPLE!$F$15,$M351-$A$15,AV$13)))</f>
        <v>1000000000000</v>
      </c>
      <c r="AX351" s="173">
        <f ca="1">IF(OR($D351&lt;&gt;"Serviço",AND(AUTOEVENTO="Manual",$M351=$A$15),$M351&gt;(ROW(PLE.lastrow)-ROW(PLE.firstrow))),0,
           IF(OFFSET(PLE!$G$15,$M351-$A$15,AX$13)="",10^12,OFFSET(PLE!$G$15,$M351-$A$15,AX$13)))</f>
        <v>1000000000000</v>
      </c>
      <c r="AY351" s="173">
        <f ca="1">IF(OR($D351&lt;&gt;"Serviço",AND(AUTOEVENTO="Manual",$M351=$A$15),$M351&gt;(ROW(PLE.lastrow)-ROW(PLE.firstrow))),0,
           IF(OFFSET(PLE!$G$15,$M351-$A$15,AY$13)="",10^12,OFFSET(PLE!$G$15,$M351-$A$15,AY$13)))</f>
        <v>1000000000000</v>
      </c>
      <c r="AZ351" s="173">
        <f ca="1">IF(OR($D351&lt;&gt;"Serviço",AND(AUTOEVENTO="Manual",$M351=$A$15),$M351&gt;(ROW(PLE.lastrow)-ROW(PLE.firstrow))),0,
           IF(OFFSET(PLE!$G$15,$M351-$A$15,AZ$13)="",10^12,OFFSET(PLE!$G$15,$M351-$A$15,AZ$13)))</f>
        <v>1000000000000</v>
      </c>
      <c r="BA351" s="173">
        <f ca="1">IF(OR($D351&lt;&gt;"Serviço",AND(AUTOEVENTO="Manual",$M351=$A$15),$M351&gt;(ROW(PLE.lastrow)-ROW(PLE.firstrow))),0,
           IF(OFFSET(PLE!$G$15,$M351-$A$15,BA$13)="",10^12,OFFSET(PLE!$G$15,$M351-$A$15,BA$13)))</f>
        <v>1000000000000</v>
      </c>
      <c r="BB351" s="173">
        <f ca="1">IF(OR($D351&lt;&gt;"Serviço",AND(AUTOEVENTO="Manual",$M351=$A$15),$M351&gt;(ROW(PLE.lastrow)-ROW(PLE.firstrow))),0,
           IF(OFFSET(PLE!$G$15,$M351-$A$15,BB$13)="",10^12,OFFSET(PLE!$G$15,$M351-$A$15,BB$13)))</f>
        <v>1000000000000</v>
      </c>
      <c r="BC351" s="173">
        <f ca="1">IF(OR($D351&lt;&gt;"Serviço",AND(AUTOEVENTO="Manual",$M351=$A$15),$M351&gt;(ROW(PLE.lastrow)-ROW(PLE.firstrow))),0,
           IF(OFFSET(PLE!$G$15,$M351-$A$15,BC$13)="",10^12,OFFSET(PLE!$G$15,$M351-$A$15,BC$13)))</f>
        <v>1000000000000</v>
      </c>
      <c r="BD351" s="173">
        <f ca="1">IF(OR($D351&lt;&gt;"Serviço",AND(AUTOEVENTO="Manual",$M351=$A$15),$M351&gt;(ROW(PLE.lastrow)-ROW(PLE.firstrow))),0,
           IF(OFFSET(PLE!$G$15,$M351-$A$15,BD$13)="",10^12,OFFSET(PLE!$G$15,$M351-$A$15,BD$13)))</f>
        <v>1000000000000</v>
      </c>
      <c r="BE351" s="173">
        <f ca="1">IF(OR($D351&lt;&gt;"Serviço",AND(AUTOEVENTO="Manual",$M351=$A$15),$M351&gt;(ROW(PLE.lastrow)-ROW(PLE.firstrow))),0,
           IF(OFFSET(PLE!$G$15,$M351-$A$15,BE$13)="",10^12,OFFSET(PLE!$G$15,$M351-$A$15,BE$13)))</f>
        <v>1000000000000</v>
      </c>
      <c r="BF351" s="173">
        <f ca="1">IF(OR($D351&lt;&gt;"Serviço",AND(AUTOEVENTO="Manual",$M351=$A$15),$M351&gt;(ROW(PLE.lastrow)-ROW(PLE.firstrow))),0,
           IF(OFFSET(PLE!$G$15,$M351-$A$15,BF$13)="",10^12,OFFSET(PLE!$G$15,$M351-$A$15,BF$13)))</f>
        <v>1000000000000</v>
      </c>
      <c r="BG351" s="173">
        <f ca="1">IF(OR($D351&lt;&gt;"Serviço",AND(AUTOEVENTO="Manual",$M351=$A$15),$M351&gt;(ROW(PLE.lastrow)-ROW(PLE.firstrow))),0,
           IF(OFFSET(PLE!$G$15,$M351-$A$15,BG$13)="",10^12,OFFSET(PLE!$G$15,$M351-$A$15,BG$13)))</f>
        <v>1000000000000</v>
      </c>
    </row>
    <row r="352" spans="1:59" ht="38.25" x14ac:dyDescent="0.2">
      <c r="A352" s="7" t="str">
        <f t="shared" ca="1" si="13"/>
        <v>331</v>
      </c>
      <c r="B352" s="7" t="str">
        <f ca="1">OFFSET(ORÇAMENTO!C$15,ROW(B352)-ROW(B$15),0)</f>
        <v>S</v>
      </c>
      <c r="C352" s="7" t="str">
        <f ca="1">OFFSET(ORÇAMENTO!L$15,ROW(C352)-ROW(C$15),0)</f>
        <v/>
      </c>
      <c r="D352" s="117" t="str">
        <f ca="1">OFFSET(ORÇAMENTO!N$15,ROW(D352)-ROW(D$15),0)</f>
        <v>Serviço</v>
      </c>
      <c r="E352" s="118" t="str">
        <f ca="1">OFFSET(ORÇAMENTO!O$15,ROW(E352)-ROW(E$15),0)</f>
        <v>-</v>
      </c>
      <c r="F352" s="164" t="str">
        <f ca="1">OFFSET(ORÇAMENTO!R$15,ROW(F352)-ROW(F$15),0)</f>
        <v>MONTAGEM E DESMONTAGEM DE FÔRMA DE PILARES RETANGULARES E ESTRUTURAS SIMILARES, PÉ-DIREITO SIMPLES, EM MADEIRA SERRADA, 1 UTILIZAÇÃO. AF_09/2020</v>
      </c>
      <c r="G352" s="165" t="str">
        <f ca="1">IF($D352&lt;&gt;"Serviço","",OFFSET(ORÇAMENTO!S$15,ROW(G352)-ROW(G$15),0))</f>
        <v>M2</v>
      </c>
      <c r="H352" s="123">
        <f ca="1">IF($D352&lt;&gt;"Serviço",0,IF(ACOMPANHAMENTO="BM",ROUND(OFFSET(ORÇAMENTO!AJ$15,ROW(H352)-ROW(H$15),0),15-13*ORÇAMENTO!$AF$7),SUMPRODUCT(($Q$1:$AA$1=1)*ROUND($Q352:$AA352,15-13*ORÇAMENTO!$AF$7))))</f>
        <v>80.7</v>
      </c>
      <c r="I352" s="469"/>
      <c r="J352" s="577" t="str" cm="1">
        <f t="array" aca="1" ref="J352" ca="1">IF(B352&lt;&gt;"S","",IF(AND(ACOMPANHAMENTO="PLE",AUTOEVENTO="Manual",OR(H352&gt;0,ORÇAMENTO!AC352="QUANT."),OR(K352="",M352=0,N352="")),"►",IF(AND(ACOMPANHAMENTO="PLE",ORÇAMENTO!AC352="QUANT."),"►►",IF(AND(COUNTIF($P$11:$AA$11,"▼")=0,H352&gt;0,I352=""),"◄",""))))</f>
        <v>◄</v>
      </c>
      <c r="K352" s="626"/>
      <c r="L352" s="166" t="s">
        <v>765</v>
      </c>
      <c r="M352" s="167">
        <f ca="1">IF($D352&lt;&gt;"Serviço","",
          IF(AUTOEVENTO="manual",$A352,
                IF(ISERROR(MATCH($A352,$A$15:OFFSET($A352,-1,0),0)),MAX($M$15:OFFSET(M352,-1,0))+1,
                      INDEX($M$15:OFFSET(M352,-1,0),MATCH($A352,$A$15:OFFSET($A352,-1,0),0)))))</f>
        <v>19</v>
      </c>
      <c r="N352" s="168" t="str">
        <f ca="1">IF($D352&lt;&gt;"Serviço","",
         IF(AUTOEVENTO="Manual",
                IF($A352=0,"&lt;-- defina o número do agrupador",
                       OFFSET(EVENTOS!$D$15,$A352-$A$15,0)),
                OFFSET($F$15,$A352,0)))</f>
        <v>FECHAMENTOS EXTERNOS</v>
      </c>
      <c r="O352" s="169"/>
      <c r="Q352" s="169"/>
      <c r="R352" s="170"/>
      <c r="S352" s="170"/>
      <c r="T352" s="170"/>
      <c r="U352" s="170"/>
      <c r="V352" s="170"/>
      <c r="W352" s="170"/>
      <c r="X352" s="170"/>
      <c r="Y352" s="170"/>
      <c r="Z352" s="171"/>
      <c r="AB352" s="454">
        <f ca="1">IF(AND($D352="Serviço",AB$12&lt;&gt;0,$H352&gt;0,OR(AUTOEVENTO&lt;&gt;"manual",$M352&lt;&gt;$A$15)),
        IF(Import.TipoArredondamento&lt;&gt;"TransfereGOV",
              ROUND(OFFSET($P352,0,AB$13),15-13*ORÇAMENTO!$AF$7)/$H352*OFFSET(ORÇAMENTO!$X$15,ROW(AB352)-ROW(AB$15),0),
              ROUND(ROUND(OFFSET($P352,0,AB$13),15-13*ORÇAMENTO!$AF$7)*OFFSET(ORÇAMENTO!$W$15,ROW(AB352)-ROW(AB$15),0),15-13*ORÇAMENTO!$AF$11)),
         0)</f>
        <v>0</v>
      </c>
      <c r="AC352" s="454">
        <f ca="1">IF(AND($D352="Serviço",AC$12&lt;&gt;0,$H352&gt;0,OR(AUTOEVENTO&lt;&gt;"manual",$M352&lt;&gt;$A$15)),
        IF(Import.TipoArredondamento&lt;&gt;"TransfereGOV",
              ROUND(OFFSET($P352,0,AC$13),15-13*ORÇAMENTO!$AF$7)/$H352*OFFSET(ORÇAMENTO!$X$15,ROW(AC352)-ROW(AC$15),0),
              ROUND(ROUND(OFFSET($P352,0,AC$13),15-13*ORÇAMENTO!$AF$7)*OFFSET(ORÇAMENTO!$W$15,ROW(AC352)-ROW(AC$15),0),15-13*ORÇAMENTO!$AF$11)),
         0)</f>
        <v>0</v>
      </c>
      <c r="AD352" s="454">
        <f ca="1">IF(AND($D352="Serviço",AD$12&lt;&gt;0,$H352&gt;0,OR(AUTOEVENTO&lt;&gt;"manual",$M352&lt;&gt;$A$15)),
        IF(Import.TipoArredondamento&lt;&gt;"TransfereGOV",
              ROUND(OFFSET($P352,0,AD$13),15-13*ORÇAMENTO!$AF$7)/$H352*OFFSET(ORÇAMENTO!$X$15,ROW(AD352)-ROW(AD$15),0),
              ROUND(ROUND(OFFSET($P352,0,AD$13),15-13*ORÇAMENTO!$AF$7)*OFFSET(ORÇAMENTO!$W$15,ROW(AD352)-ROW(AD$15),0),15-13*ORÇAMENTO!$AF$11)),
         0)</f>
        <v>0</v>
      </c>
      <c r="AE352" s="454">
        <f ca="1">IF(AND($D352="Serviço",AE$12&lt;&gt;0,$H352&gt;0,OR(AUTOEVENTO&lt;&gt;"manual",$M352&lt;&gt;$A$15)),
        IF(Import.TipoArredondamento&lt;&gt;"TransfereGOV",
              ROUND(OFFSET($P352,0,AE$13),15-13*ORÇAMENTO!$AF$7)/$H352*OFFSET(ORÇAMENTO!$X$15,ROW(AE352)-ROW(AE$15),0),
              ROUND(ROUND(OFFSET($P352,0,AE$13),15-13*ORÇAMENTO!$AF$7)*OFFSET(ORÇAMENTO!$W$15,ROW(AE352)-ROW(AE$15),0),15-13*ORÇAMENTO!$AF$11)),
         0)</f>
        <v>0</v>
      </c>
      <c r="AF352" s="454">
        <f ca="1">IF(AND($D352="Serviço",AF$12&lt;&gt;0,$H352&gt;0,OR(AUTOEVENTO&lt;&gt;"manual",$M352&lt;&gt;$A$15)),
        IF(Import.TipoArredondamento&lt;&gt;"TransfereGOV",
              ROUND(OFFSET($P352,0,AF$13),15-13*ORÇAMENTO!$AF$7)/$H352*OFFSET(ORÇAMENTO!$X$15,ROW(AF352)-ROW(AF$15),0),
              ROUND(ROUND(OFFSET($P352,0,AF$13),15-13*ORÇAMENTO!$AF$7)*OFFSET(ORÇAMENTO!$W$15,ROW(AF352)-ROW(AF$15),0),15-13*ORÇAMENTO!$AF$11)),
         0)</f>
        <v>0</v>
      </c>
      <c r="AG352" s="454">
        <f ca="1">IF(AND($D352="Serviço",AG$12&lt;&gt;0,$H352&gt;0,OR(AUTOEVENTO&lt;&gt;"manual",$M352&lt;&gt;$A$15)),
        IF(Import.TipoArredondamento&lt;&gt;"TransfereGOV",
              ROUND(OFFSET($P352,0,AG$13),15-13*ORÇAMENTO!$AF$7)/$H352*OFFSET(ORÇAMENTO!$X$15,ROW(AG352)-ROW(AG$15),0),
              ROUND(ROUND(OFFSET($P352,0,AG$13),15-13*ORÇAMENTO!$AF$7)*OFFSET(ORÇAMENTO!$W$15,ROW(AG352)-ROW(AG$15),0),15-13*ORÇAMENTO!$AF$11)),
         0)</f>
        <v>0</v>
      </c>
      <c r="AH352" s="454">
        <f ca="1">IF(AND($D352="Serviço",AH$12&lt;&gt;0,$H352&gt;0,OR(AUTOEVENTO&lt;&gt;"manual",$M352&lt;&gt;$A$15)),
        IF(Import.TipoArredondamento&lt;&gt;"TransfereGOV",
              ROUND(OFFSET($P352,0,AH$13),15-13*ORÇAMENTO!$AF$7)/$H352*OFFSET(ORÇAMENTO!$X$15,ROW(AH352)-ROW(AH$15),0),
              ROUND(ROUND(OFFSET($P352,0,AH$13),15-13*ORÇAMENTO!$AF$7)*OFFSET(ORÇAMENTO!$W$15,ROW(AH352)-ROW(AH$15),0),15-13*ORÇAMENTO!$AF$11)),
         0)</f>
        <v>0</v>
      </c>
      <c r="AI352" s="454">
        <f ca="1">IF(AND($D352="Serviço",AI$12&lt;&gt;0,$H352&gt;0,OR(AUTOEVENTO&lt;&gt;"manual",$M352&lt;&gt;$A$15)),
        IF(Import.TipoArredondamento&lt;&gt;"TransfereGOV",
              ROUND(OFFSET($P352,0,AI$13),15-13*ORÇAMENTO!$AF$7)/$H352*OFFSET(ORÇAMENTO!$X$15,ROW(AI352)-ROW(AI$15),0),
              ROUND(ROUND(OFFSET($P352,0,AI$13),15-13*ORÇAMENTO!$AF$7)*OFFSET(ORÇAMENTO!$W$15,ROW(AI352)-ROW(AI$15),0),15-13*ORÇAMENTO!$AF$11)),
         0)</f>
        <v>0</v>
      </c>
      <c r="AJ352" s="454">
        <f ca="1">IF(AND($D352="Serviço",AJ$12&lt;&gt;0,$H352&gt;0,OR(AUTOEVENTO&lt;&gt;"manual",$M352&lt;&gt;$A$15)),
        IF(Import.TipoArredondamento&lt;&gt;"TransfereGOV",
              ROUND(OFFSET($P352,0,AJ$13),15-13*ORÇAMENTO!$AF$7)/$H352*OFFSET(ORÇAMENTO!$X$15,ROW(AJ352)-ROW(AJ$15),0),
              ROUND(ROUND(OFFSET($P352,0,AJ$13),15-13*ORÇAMENTO!$AF$7)*OFFSET(ORÇAMENTO!$W$15,ROW(AJ352)-ROW(AJ$15),0),15-13*ORÇAMENTO!$AF$11)),
         0)</f>
        <v>0</v>
      </c>
      <c r="AK352" s="454">
        <f ca="1">IF(AND($D352="Serviço",AK$12&lt;&gt;0,$H352&gt;0,OR(AUTOEVENTO&lt;&gt;"manual",$M352&lt;&gt;$A$15)),
        IF(Import.TipoArredondamento&lt;&gt;"TransfereGOV",
              ROUND(OFFSET($P352,0,AK$13),15-13*ORÇAMENTO!$AF$7)/$H352*OFFSET(ORÇAMENTO!$X$15,ROW(AK352)-ROW(AK$15),0),
              ROUND(ROUND(OFFSET($P352,0,AK$13),15-13*ORÇAMENTO!$AF$7)*OFFSET(ORÇAMENTO!$W$15,ROW(AK352)-ROW(AK$15),0),15-13*ORÇAMENTO!$AF$11)),
         0)</f>
        <v>0</v>
      </c>
      <c r="AM352" s="172">
        <f ca="1">IF(OR($D352&lt;&gt;"Serviço",AND(AUTOEVENTO="Manual",$M352=$A$15)),0,
         IF(OFFSET(CRONOPLE!$F$15,$M352-$A$15,AM$13)="",10^12,OFFSET(CRONOPLE!$F$15,$M352-$A$15,AM$13)))</f>
        <v>1000000000000</v>
      </c>
      <c r="AN352" s="172">
        <f ca="1">IF(OR($D352&lt;&gt;"Serviço",AND(AUTOEVENTO="Manual",$M352=$A$15)),0,
         IF(OFFSET(CRONOPLE!$F$15,$M352-$A$15,AN$13)="",10^12,OFFSET(CRONOPLE!$F$15,$M352-$A$15,AN$13)))</f>
        <v>1000000000000</v>
      </c>
      <c r="AO352" s="172">
        <f ca="1">IF(OR($D352&lt;&gt;"Serviço",AND(AUTOEVENTO="Manual",$M352=$A$15)),0,
         IF(OFFSET(CRONOPLE!$F$15,$M352-$A$15,AO$13)="",10^12,OFFSET(CRONOPLE!$F$15,$M352-$A$15,AO$13)))</f>
        <v>1000000000000</v>
      </c>
      <c r="AP352" s="172">
        <f ca="1">IF(OR($D352&lt;&gt;"Serviço",AND(AUTOEVENTO="Manual",$M352=$A$15)),0,
         IF(OFFSET(CRONOPLE!$F$15,$M352-$A$15,AP$13)="",10^12,OFFSET(CRONOPLE!$F$15,$M352-$A$15,AP$13)))</f>
        <v>1000000000000</v>
      </c>
      <c r="AQ352" s="172">
        <f ca="1">IF(OR($D352&lt;&gt;"Serviço",AND(AUTOEVENTO="Manual",$M352=$A$15)),0,
         IF(OFFSET(CRONOPLE!$F$15,$M352-$A$15,AQ$13)="",10^12,OFFSET(CRONOPLE!$F$15,$M352-$A$15,AQ$13)))</f>
        <v>1000000000000</v>
      </c>
      <c r="AR352" s="172">
        <f ca="1">IF(OR($D352&lt;&gt;"Serviço",AND(AUTOEVENTO="Manual",$M352=$A$15)),0,
         IF(OFFSET(CRONOPLE!$F$15,$M352-$A$15,AR$13)="",10^12,OFFSET(CRONOPLE!$F$15,$M352-$A$15,AR$13)))</f>
        <v>1000000000000</v>
      </c>
      <c r="AS352" s="172">
        <f ca="1">IF(OR($D352&lt;&gt;"Serviço",AND(AUTOEVENTO="Manual",$M352=$A$15)),0,
         IF(OFFSET(CRONOPLE!$F$15,$M352-$A$15,AS$13)="",10^12,OFFSET(CRONOPLE!$F$15,$M352-$A$15,AS$13)))</f>
        <v>1000000000000</v>
      </c>
      <c r="AT352" s="172">
        <f ca="1">IF(OR($D352&lt;&gt;"Serviço",AND(AUTOEVENTO="Manual",$M352=$A$15)),0,
         IF(OFFSET(CRONOPLE!$F$15,$M352-$A$15,AT$13)="",10^12,OFFSET(CRONOPLE!$F$15,$M352-$A$15,AT$13)))</f>
        <v>1000000000000</v>
      </c>
      <c r="AU352" s="172">
        <f ca="1">IF(OR($D352&lt;&gt;"Serviço",AND(AUTOEVENTO="Manual",$M352=$A$15)),0,
         IF(OFFSET(CRONOPLE!$F$15,$M352-$A$15,AU$13)="",10^12,OFFSET(CRONOPLE!$F$15,$M352-$A$15,AU$13)))</f>
        <v>1000000000000</v>
      </c>
      <c r="AV352" s="172">
        <f ca="1">IF(OR($D352&lt;&gt;"Serviço",AND(AUTOEVENTO="Manual",$M352=$A$15)),0,
         IF(OFFSET(CRONOPLE!$F$15,$M352-$A$15,AV$13)="",10^12,OFFSET(CRONOPLE!$F$15,$M352-$A$15,AV$13)))</f>
        <v>1000000000000</v>
      </c>
      <c r="AX352" s="173">
        <f ca="1">IF(OR($D352&lt;&gt;"Serviço",AND(AUTOEVENTO="Manual",$M352=$A$15),$M352&gt;(ROW(PLE.lastrow)-ROW(PLE.firstrow))),0,
           IF(OFFSET(PLE!$G$15,$M352-$A$15,AX$13)="",10^12,OFFSET(PLE!$G$15,$M352-$A$15,AX$13)))</f>
        <v>1000000000000</v>
      </c>
      <c r="AY352" s="173">
        <f ca="1">IF(OR($D352&lt;&gt;"Serviço",AND(AUTOEVENTO="Manual",$M352=$A$15),$M352&gt;(ROW(PLE.lastrow)-ROW(PLE.firstrow))),0,
           IF(OFFSET(PLE!$G$15,$M352-$A$15,AY$13)="",10^12,OFFSET(PLE!$G$15,$M352-$A$15,AY$13)))</f>
        <v>1000000000000</v>
      </c>
      <c r="AZ352" s="173">
        <f ca="1">IF(OR($D352&lt;&gt;"Serviço",AND(AUTOEVENTO="Manual",$M352=$A$15),$M352&gt;(ROW(PLE.lastrow)-ROW(PLE.firstrow))),0,
           IF(OFFSET(PLE!$G$15,$M352-$A$15,AZ$13)="",10^12,OFFSET(PLE!$G$15,$M352-$A$15,AZ$13)))</f>
        <v>1000000000000</v>
      </c>
      <c r="BA352" s="173">
        <f ca="1">IF(OR($D352&lt;&gt;"Serviço",AND(AUTOEVENTO="Manual",$M352=$A$15),$M352&gt;(ROW(PLE.lastrow)-ROW(PLE.firstrow))),0,
           IF(OFFSET(PLE!$G$15,$M352-$A$15,BA$13)="",10^12,OFFSET(PLE!$G$15,$M352-$A$15,BA$13)))</f>
        <v>1000000000000</v>
      </c>
      <c r="BB352" s="173">
        <f ca="1">IF(OR($D352&lt;&gt;"Serviço",AND(AUTOEVENTO="Manual",$M352=$A$15),$M352&gt;(ROW(PLE.lastrow)-ROW(PLE.firstrow))),0,
           IF(OFFSET(PLE!$G$15,$M352-$A$15,BB$13)="",10^12,OFFSET(PLE!$G$15,$M352-$A$15,BB$13)))</f>
        <v>1000000000000</v>
      </c>
      <c r="BC352" s="173">
        <f ca="1">IF(OR($D352&lt;&gt;"Serviço",AND(AUTOEVENTO="Manual",$M352=$A$15),$M352&gt;(ROW(PLE.lastrow)-ROW(PLE.firstrow))),0,
           IF(OFFSET(PLE!$G$15,$M352-$A$15,BC$13)="",10^12,OFFSET(PLE!$G$15,$M352-$A$15,BC$13)))</f>
        <v>1000000000000</v>
      </c>
      <c r="BD352" s="173">
        <f ca="1">IF(OR($D352&lt;&gt;"Serviço",AND(AUTOEVENTO="Manual",$M352=$A$15),$M352&gt;(ROW(PLE.lastrow)-ROW(PLE.firstrow))),0,
           IF(OFFSET(PLE!$G$15,$M352-$A$15,BD$13)="",10^12,OFFSET(PLE!$G$15,$M352-$A$15,BD$13)))</f>
        <v>1000000000000</v>
      </c>
      <c r="BE352" s="173">
        <f ca="1">IF(OR($D352&lt;&gt;"Serviço",AND(AUTOEVENTO="Manual",$M352=$A$15),$M352&gt;(ROW(PLE.lastrow)-ROW(PLE.firstrow))),0,
           IF(OFFSET(PLE!$G$15,$M352-$A$15,BE$13)="",10^12,OFFSET(PLE!$G$15,$M352-$A$15,BE$13)))</f>
        <v>1000000000000</v>
      </c>
      <c r="BF352" s="173">
        <f ca="1">IF(OR($D352&lt;&gt;"Serviço",AND(AUTOEVENTO="Manual",$M352=$A$15),$M352&gt;(ROW(PLE.lastrow)-ROW(PLE.firstrow))),0,
           IF(OFFSET(PLE!$G$15,$M352-$A$15,BF$13)="",10^12,OFFSET(PLE!$G$15,$M352-$A$15,BF$13)))</f>
        <v>1000000000000</v>
      </c>
      <c r="BG352" s="173">
        <f ca="1">IF(OR($D352&lt;&gt;"Serviço",AND(AUTOEVENTO="Manual",$M352=$A$15),$M352&gt;(ROW(PLE.lastrow)-ROW(PLE.firstrow))),0,
           IF(OFFSET(PLE!$G$15,$M352-$A$15,BG$13)="",10^12,OFFSET(PLE!$G$15,$M352-$A$15,BG$13)))</f>
        <v>1000000000000</v>
      </c>
    </row>
    <row r="353" spans="1:59" ht="25.5" x14ac:dyDescent="0.2">
      <c r="A353" s="7" t="str">
        <f t="shared" ca="1" si="13"/>
        <v>331</v>
      </c>
      <c r="B353" s="7" t="str">
        <f ca="1">OFFSET(ORÇAMENTO!C$15,ROW(B353)-ROW(B$15),0)</f>
        <v>S</v>
      </c>
      <c r="C353" s="7" t="str">
        <f ca="1">OFFSET(ORÇAMENTO!L$15,ROW(C353)-ROW(C$15),0)</f>
        <v/>
      </c>
      <c r="D353" s="117" t="str">
        <f ca="1">OFFSET(ORÇAMENTO!N$15,ROW(D353)-ROW(D$15),0)</f>
        <v>Serviço</v>
      </c>
      <c r="E353" s="118" t="str">
        <f ca="1">OFFSET(ORÇAMENTO!O$15,ROW(E353)-ROW(E$15),0)</f>
        <v>-</v>
      </c>
      <c r="F353" s="164" t="str">
        <f ca="1">OFFSET(ORÇAMENTO!R$15,ROW(F353)-ROW(F$15),0)</f>
        <v>ARMAÇÃO DE SAPATA ISOLADA, VIGA BALDRAME E SAPATA CORRIDA UTILIZANDO AÇO CA-60 DE 5 MM - MONTAGEM. AF_01/2024</v>
      </c>
      <c r="G353" s="165" t="str">
        <f ca="1">IF($D353&lt;&gt;"Serviço","",OFFSET(ORÇAMENTO!S$15,ROW(G353)-ROW(G$15),0))</f>
        <v>KG</v>
      </c>
      <c r="H353" s="123">
        <f ca="1">IF($D353&lt;&gt;"Serviço",0,IF(ACOMPANHAMENTO="BM",ROUND(OFFSET(ORÇAMENTO!AJ$15,ROW(H353)-ROW(H$15),0),15-13*ORÇAMENTO!$AF$7),SUMPRODUCT(($Q$1:$AA$1=1)*ROUND($Q353:$AA353,15-13*ORÇAMENTO!$AF$7))))</f>
        <v>314.23</v>
      </c>
      <c r="I353" s="469"/>
      <c r="J353" s="577" t="str" cm="1">
        <f t="array" aca="1" ref="J353" ca="1">IF(B353&lt;&gt;"S","",IF(AND(ACOMPANHAMENTO="PLE",AUTOEVENTO="Manual",OR(H353&gt;0,ORÇAMENTO!AC353="QUANT."),OR(K353="",M353=0,N353="")),"►",IF(AND(ACOMPANHAMENTO="PLE",ORÇAMENTO!AC353="QUANT."),"►►",IF(AND(COUNTIF($P$11:$AA$11,"▼")=0,H353&gt;0,I353=""),"◄",""))))</f>
        <v>◄</v>
      </c>
      <c r="K353" s="626"/>
      <c r="L353" s="166" t="s">
        <v>765</v>
      </c>
      <c r="M353" s="167">
        <f ca="1">IF($D353&lt;&gt;"Serviço","",
          IF(AUTOEVENTO="manual",$A353,
                IF(ISERROR(MATCH($A353,$A$15:OFFSET($A353,-1,0),0)),MAX($M$15:OFFSET(M353,-1,0))+1,
                      INDEX($M$15:OFFSET(M353,-1,0),MATCH($A353,$A$15:OFFSET($A353,-1,0),0)))))</f>
        <v>19</v>
      </c>
      <c r="N353" s="168" t="str">
        <f ca="1">IF($D353&lt;&gt;"Serviço","",
         IF(AUTOEVENTO="Manual",
                IF($A353=0,"&lt;-- defina o número do agrupador",
                       OFFSET(EVENTOS!$D$15,$A353-$A$15,0)),
                OFFSET($F$15,$A353,0)))</f>
        <v>FECHAMENTOS EXTERNOS</v>
      </c>
      <c r="O353" s="169"/>
      <c r="Q353" s="169"/>
      <c r="R353" s="170"/>
      <c r="S353" s="170"/>
      <c r="T353" s="170"/>
      <c r="U353" s="170"/>
      <c r="V353" s="170"/>
      <c r="W353" s="170"/>
      <c r="X353" s="170"/>
      <c r="Y353" s="170"/>
      <c r="Z353" s="171"/>
      <c r="AB353" s="454">
        <f ca="1">IF(AND($D353="Serviço",AB$12&lt;&gt;0,$H353&gt;0,OR(AUTOEVENTO&lt;&gt;"manual",$M353&lt;&gt;$A$15)),
        IF(Import.TipoArredondamento&lt;&gt;"TransfereGOV",
              ROUND(OFFSET($P353,0,AB$13),15-13*ORÇAMENTO!$AF$7)/$H353*OFFSET(ORÇAMENTO!$X$15,ROW(AB353)-ROW(AB$15),0),
              ROUND(ROUND(OFFSET($P353,0,AB$13),15-13*ORÇAMENTO!$AF$7)*OFFSET(ORÇAMENTO!$W$15,ROW(AB353)-ROW(AB$15),0),15-13*ORÇAMENTO!$AF$11)),
         0)</f>
        <v>0</v>
      </c>
      <c r="AC353" s="454">
        <f ca="1">IF(AND($D353="Serviço",AC$12&lt;&gt;0,$H353&gt;0,OR(AUTOEVENTO&lt;&gt;"manual",$M353&lt;&gt;$A$15)),
        IF(Import.TipoArredondamento&lt;&gt;"TransfereGOV",
              ROUND(OFFSET($P353,0,AC$13),15-13*ORÇAMENTO!$AF$7)/$H353*OFFSET(ORÇAMENTO!$X$15,ROW(AC353)-ROW(AC$15),0),
              ROUND(ROUND(OFFSET($P353,0,AC$13),15-13*ORÇAMENTO!$AF$7)*OFFSET(ORÇAMENTO!$W$15,ROW(AC353)-ROW(AC$15),0),15-13*ORÇAMENTO!$AF$11)),
         0)</f>
        <v>0</v>
      </c>
      <c r="AD353" s="454">
        <f ca="1">IF(AND($D353="Serviço",AD$12&lt;&gt;0,$H353&gt;0,OR(AUTOEVENTO&lt;&gt;"manual",$M353&lt;&gt;$A$15)),
        IF(Import.TipoArredondamento&lt;&gt;"TransfereGOV",
              ROUND(OFFSET($P353,0,AD$13),15-13*ORÇAMENTO!$AF$7)/$H353*OFFSET(ORÇAMENTO!$X$15,ROW(AD353)-ROW(AD$15),0),
              ROUND(ROUND(OFFSET($P353,0,AD$13),15-13*ORÇAMENTO!$AF$7)*OFFSET(ORÇAMENTO!$W$15,ROW(AD353)-ROW(AD$15),0),15-13*ORÇAMENTO!$AF$11)),
         0)</f>
        <v>0</v>
      </c>
      <c r="AE353" s="454">
        <f ca="1">IF(AND($D353="Serviço",AE$12&lt;&gt;0,$H353&gt;0,OR(AUTOEVENTO&lt;&gt;"manual",$M353&lt;&gt;$A$15)),
        IF(Import.TipoArredondamento&lt;&gt;"TransfereGOV",
              ROUND(OFFSET($P353,0,AE$13),15-13*ORÇAMENTO!$AF$7)/$H353*OFFSET(ORÇAMENTO!$X$15,ROW(AE353)-ROW(AE$15),0),
              ROUND(ROUND(OFFSET($P353,0,AE$13),15-13*ORÇAMENTO!$AF$7)*OFFSET(ORÇAMENTO!$W$15,ROW(AE353)-ROW(AE$15),0),15-13*ORÇAMENTO!$AF$11)),
         0)</f>
        <v>0</v>
      </c>
      <c r="AF353" s="454">
        <f ca="1">IF(AND($D353="Serviço",AF$12&lt;&gt;0,$H353&gt;0,OR(AUTOEVENTO&lt;&gt;"manual",$M353&lt;&gt;$A$15)),
        IF(Import.TipoArredondamento&lt;&gt;"TransfereGOV",
              ROUND(OFFSET($P353,0,AF$13),15-13*ORÇAMENTO!$AF$7)/$H353*OFFSET(ORÇAMENTO!$X$15,ROW(AF353)-ROW(AF$15),0),
              ROUND(ROUND(OFFSET($P353,0,AF$13),15-13*ORÇAMENTO!$AF$7)*OFFSET(ORÇAMENTO!$W$15,ROW(AF353)-ROW(AF$15),0),15-13*ORÇAMENTO!$AF$11)),
         0)</f>
        <v>0</v>
      </c>
      <c r="AG353" s="454">
        <f ca="1">IF(AND($D353="Serviço",AG$12&lt;&gt;0,$H353&gt;0,OR(AUTOEVENTO&lt;&gt;"manual",$M353&lt;&gt;$A$15)),
        IF(Import.TipoArredondamento&lt;&gt;"TransfereGOV",
              ROUND(OFFSET($P353,0,AG$13),15-13*ORÇAMENTO!$AF$7)/$H353*OFFSET(ORÇAMENTO!$X$15,ROW(AG353)-ROW(AG$15),0),
              ROUND(ROUND(OFFSET($P353,0,AG$13),15-13*ORÇAMENTO!$AF$7)*OFFSET(ORÇAMENTO!$W$15,ROW(AG353)-ROW(AG$15),0),15-13*ORÇAMENTO!$AF$11)),
         0)</f>
        <v>0</v>
      </c>
      <c r="AH353" s="454">
        <f ca="1">IF(AND($D353="Serviço",AH$12&lt;&gt;0,$H353&gt;0,OR(AUTOEVENTO&lt;&gt;"manual",$M353&lt;&gt;$A$15)),
        IF(Import.TipoArredondamento&lt;&gt;"TransfereGOV",
              ROUND(OFFSET($P353,0,AH$13),15-13*ORÇAMENTO!$AF$7)/$H353*OFFSET(ORÇAMENTO!$X$15,ROW(AH353)-ROW(AH$15),0),
              ROUND(ROUND(OFFSET($P353,0,AH$13),15-13*ORÇAMENTO!$AF$7)*OFFSET(ORÇAMENTO!$W$15,ROW(AH353)-ROW(AH$15),0),15-13*ORÇAMENTO!$AF$11)),
         0)</f>
        <v>0</v>
      </c>
      <c r="AI353" s="454">
        <f ca="1">IF(AND($D353="Serviço",AI$12&lt;&gt;0,$H353&gt;0,OR(AUTOEVENTO&lt;&gt;"manual",$M353&lt;&gt;$A$15)),
        IF(Import.TipoArredondamento&lt;&gt;"TransfereGOV",
              ROUND(OFFSET($P353,0,AI$13),15-13*ORÇAMENTO!$AF$7)/$H353*OFFSET(ORÇAMENTO!$X$15,ROW(AI353)-ROW(AI$15),0),
              ROUND(ROUND(OFFSET($P353,0,AI$13),15-13*ORÇAMENTO!$AF$7)*OFFSET(ORÇAMENTO!$W$15,ROW(AI353)-ROW(AI$15),0),15-13*ORÇAMENTO!$AF$11)),
         0)</f>
        <v>0</v>
      </c>
      <c r="AJ353" s="454">
        <f ca="1">IF(AND($D353="Serviço",AJ$12&lt;&gt;0,$H353&gt;0,OR(AUTOEVENTO&lt;&gt;"manual",$M353&lt;&gt;$A$15)),
        IF(Import.TipoArredondamento&lt;&gt;"TransfereGOV",
              ROUND(OFFSET($P353,0,AJ$13),15-13*ORÇAMENTO!$AF$7)/$H353*OFFSET(ORÇAMENTO!$X$15,ROW(AJ353)-ROW(AJ$15),0),
              ROUND(ROUND(OFFSET($P353,0,AJ$13),15-13*ORÇAMENTO!$AF$7)*OFFSET(ORÇAMENTO!$W$15,ROW(AJ353)-ROW(AJ$15),0),15-13*ORÇAMENTO!$AF$11)),
         0)</f>
        <v>0</v>
      </c>
      <c r="AK353" s="454">
        <f ca="1">IF(AND($D353="Serviço",AK$12&lt;&gt;0,$H353&gt;0,OR(AUTOEVENTO&lt;&gt;"manual",$M353&lt;&gt;$A$15)),
        IF(Import.TipoArredondamento&lt;&gt;"TransfereGOV",
              ROUND(OFFSET($P353,0,AK$13),15-13*ORÇAMENTO!$AF$7)/$H353*OFFSET(ORÇAMENTO!$X$15,ROW(AK353)-ROW(AK$15),0),
              ROUND(ROUND(OFFSET($P353,0,AK$13),15-13*ORÇAMENTO!$AF$7)*OFFSET(ORÇAMENTO!$W$15,ROW(AK353)-ROW(AK$15),0),15-13*ORÇAMENTO!$AF$11)),
         0)</f>
        <v>0</v>
      </c>
      <c r="AM353" s="172">
        <f ca="1">IF(OR($D353&lt;&gt;"Serviço",AND(AUTOEVENTO="Manual",$M353=$A$15)),0,
         IF(OFFSET(CRONOPLE!$F$15,$M353-$A$15,AM$13)="",10^12,OFFSET(CRONOPLE!$F$15,$M353-$A$15,AM$13)))</f>
        <v>1000000000000</v>
      </c>
      <c r="AN353" s="172">
        <f ca="1">IF(OR($D353&lt;&gt;"Serviço",AND(AUTOEVENTO="Manual",$M353=$A$15)),0,
         IF(OFFSET(CRONOPLE!$F$15,$M353-$A$15,AN$13)="",10^12,OFFSET(CRONOPLE!$F$15,$M353-$A$15,AN$13)))</f>
        <v>1000000000000</v>
      </c>
      <c r="AO353" s="172">
        <f ca="1">IF(OR($D353&lt;&gt;"Serviço",AND(AUTOEVENTO="Manual",$M353=$A$15)),0,
         IF(OFFSET(CRONOPLE!$F$15,$M353-$A$15,AO$13)="",10^12,OFFSET(CRONOPLE!$F$15,$M353-$A$15,AO$13)))</f>
        <v>1000000000000</v>
      </c>
      <c r="AP353" s="172">
        <f ca="1">IF(OR($D353&lt;&gt;"Serviço",AND(AUTOEVENTO="Manual",$M353=$A$15)),0,
         IF(OFFSET(CRONOPLE!$F$15,$M353-$A$15,AP$13)="",10^12,OFFSET(CRONOPLE!$F$15,$M353-$A$15,AP$13)))</f>
        <v>1000000000000</v>
      </c>
      <c r="AQ353" s="172">
        <f ca="1">IF(OR($D353&lt;&gt;"Serviço",AND(AUTOEVENTO="Manual",$M353=$A$15)),0,
         IF(OFFSET(CRONOPLE!$F$15,$M353-$A$15,AQ$13)="",10^12,OFFSET(CRONOPLE!$F$15,$M353-$A$15,AQ$13)))</f>
        <v>1000000000000</v>
      </c>
      <c r="AR353" s="172">
        <f ca="1">IF(OR($D353&lt;&gt;"Serviço",AND(AUTOEVENTO="Manual",$M353=$A$15)),0,
         IF(OFFSET(CRONOPLE!$F$15,$M353-$A$15,AR$13)="",10^12,OFFSET(CRONOPLE!$F$15,$M353-$A$15,AR$13)))</f>
        <v>1000000000000</v>
      </c>
      <c r="AS353" s="172">
        <f ca="1">IF(OR($D353&lt;&gt;"Serviço",AND(AUTOEVENTO="Manual",$M353=$A$15)),0,
         IF(OFFSET(CRONOPLE!$F$15,$M353-$A$15,AS$13)="",10^12,OFFSET(CRONOPLE!$F$15,$M353-$A$15,AS$13)))</f>
        <v>1000000000000</v>
      </c>
      <c r="AT353" s="172">
        <f ca="1">IF(OR($D353&lt;&gt;"Serviço",AND(AUTOEVENTO="Manual",$M353=$A$15)),0,
         IF(OFFSET(CRONOPLE!$F$15,$M353-$A$15,AT$13)="",10^12,OFFSET(CRONOPLE!$F$15,$M353-$A$15,AT$13)))</f>
        <v>1000000000000</v>
      </c>
      <c r="AU353" s="172">
        <f ca="1">IF(OR($D353&lt;&gt;"Serviço",AND(AUTOEVENTO="Manual",$M353=$A$15)),0,
         IF(OFFSET(CRONOPLE!$F$15,$M353-$A$15,AU$13)="",10^12,OFFSET(CRONOPLE!$F$15,$M353-$A$15,AU$13)))</f>
        <v>1000000000000</v>
      </c>
      <c r="AV353" s="172">
        <f ca="1">IF(OR($D353&lt;&gt;"Serviço",AND(AUTOEVENTO="Manual",$M353=$A$15)),0,
         IF(OFFSET(CRONOPLE!$F$15,$M353-$A$15,AV$13)="",10^12,OFFSET(CRONOPLE!$F$15,$M353-$A$15,AV$13)))</f>
        <v>1000000000000</v>
      </c>
      <c r="AX353" s="173">
        <f ca="1">IF(OR($D353&lt;&gt;"Serviço",AND(AUTOEVENTO="Manual",$M353=$A$15),$M353&gt;(ROW(PLE.lastrow)-ROW(PLE.firstrow))),0,
           IF(OFFSET(PLE!$G$15,$M353-$A$15,AX$13)="",10^12,OFFSET(PLE!$G$15,$M353-$A$15,AX$13)))</f>
        <v>1000000000000</v>
      </c>
      <c r="AY353" s="173">
        <f ca="1">IF(OR($D353&lt;&gt;"Serviço",AND(AUTOEVENTO="Manual",$M353=$A$15),$M353&gt;(ROW(PLE.lastrow)-ROW(PLE.firstrow))),0,
           IF(OFFSET(PLE!$G$15,$M353-$A$15,AY$13)="",10^12,OFFSET(PLE!$G$15,$M353-$A$15,AY$13)))</f>
        <v>1000000000000</v>
      </c>
      <c r="AZ353" s="173">
        <f ca="1">IF(OR($D353&lt;&gt;"Serviço",AND(AUTOEVENTO="Manual",$M353=$A$15),$M353&gt;(ROW(PLE.lastrow)-ROW(PLE.firstrow))),0,
           IF(OFFSET(PLE!$G$15,$M353-$A$15,AZ$13)="",10^12,OFFSET(PLE!$G$15,$M353-$A$15,AZ$13)))</f>
        <v>1000000000000</v>
      </c>
      <c r="BA353" s="173">
        <f ca="1">IF(OR($D353&lt;&gt;"Serviço",AND(AUTOEVENTO="Manual",$M353=$A$15),$M353&gt;(ROW(PLE.lastrow)-ROW(PLE.firstrow))),0,
           IF(OFFSET(PLE!$G$15,$M353-$A$15,BA$13)="",10^12,OFFSET(PLE!$G$15,$M353-$A$15,BA$13)))</f>
        <v>1000000000000</v>
      </c>
      <c r="BB353" s="173">
        <f ca="1">IF(OR($D353&lt;&gt;"Serviço",AND(AUTOEVENTO="Manual",$M353=$A$15),$M353&gt;(ROW(PLE.lastrow)-ROW(PLE.firstrow))),0,
           IF(OFFSET(PLE!$G$15,$M353-$A$15,BB$13)="",10^12,OFFSET(PLE!$G$15,$M353-$A$15,BB$13)))</f>
        <v>1000000000000</v>
      </c>
      <c r="BC353" s="173">
        <f ca="1">IF(OR($D353&lt;&gt;"Serviço",AND(AUTOEVENTO="Manual",$M353=$A$15),$M353&gt;(ROW(PLE.lastrow)-ROW(PLE.firstrow))),0,
           IF(OFFSET(PLE!$G$15,$M353-$A$15,BC$13)="",10^12,OFFSET(PLE!$G$15,$M353-$A$15,BC$13)))</f>
        <v>1000000000000</v>
      </c>
      <c r="BD353" s="173">
        <f ca="1">IF(OR($D353&lt;&gt;"Serviço",AND(AUTOEVENTO="Manual",$M353=$A$15),$M353&gt;(ROW(PLE.lastrow)-ROW(PLE.firstrow))),0,
           IF(OFFSET(PLE!$G$15,$M353-$A$15,BD$13)="",10^12,OFFSET(PLE!$G$15,$M353-$A$15,BD$13)))</f>
        <v>1000000000000</v>
      </c>
      <c r="BE353" s="173">
        <f ca="1">IF(OR($D353&lt;&gt;"Serviço",AND(AUTOEVENTO="Manual",$M353=$A$15),$M353&gt;(ROW(PLE.lastrow)-ROW(PLE.firstrow))),0,
           IF(OFFSET(PLE!$G$15,$M353-$A$15,BE$13)="",10^12,OFFSET(PLE!$G$15,$M353-$A$15,BE$13)))</f>
        <v>1000000000000</v>
      </c>
      <c r="BF353" s="173">
        <f ca="1">IF(OR($D353&lt;&gt;"Serviço",AND(AUTOEVENTO="Manual",$M353=$A$15),$M353&gt;(ROW(PLE.lastrow)-ROW(PLE.firstrow))),0,
           IF(OFFSET(PLE!$G$15,$M353-$A$15,BF$13)="",10^12,OFFSET(PLE!$G$15,$M353-$A$15,BF$13)))</f>
        <v>1000000000000</v>
      </c>
      <c r="BG353" s="173">
        <f ca="1">IF(OR($D353&lt;&gt;"Serviço",AND(AUTOEVENTO="Manual",$M353=$A$15),$M353&gt;(ROW(PLE.lastrow)-ROW(PLE.firstrow))),0,
           IF(OFFSET(PLE!$G$15,$M353-$A$15,BG$13)="",10^12,OFFSET(PLE!$G$15,$M353-$A$15,BG$13)))</f>
        <v>1000000000000</v>
      </c>
    </row>
    <row r="354" spans="1:59" ht="25.5" x14ac:dyDescent="0.2">
      <c r="A354" s="7" t="str">
        <f t="shared" ca="1" si="13"/>
        <v>331</v>
      </c>
      <c r="B354" s="7" t="str">
        <f ca="1">OFFSET(ORÇAMENTO!C$15,ROW(B354)-ROW(B$15),0)</f>
        <v>S</v>
      </c>
      <c r="C354" s="7" t="str">
        <f ca="1">OFFSET(ORÇAMENTO!L$15,ROW(C354)-ROW(C$15),0)</f>
        <v/>
      </c>
      <c r="D354" s="117" t="str">
        <f ca="1">OFFSET(ORÇAMENTO!N$15,ROW(D354)-ROW(D$15),0)</f>
        <v>Serviço</v>
      </c>
      <c r="E354" s="118" t="str">
        <f ca="1">OFFSET(ORÇAMENTO!O$15,ROW(E354)-ROW(E$15),0)</f>
        <v>-</v>
      </c>
      <c r="F354" s="164" t="str">
        <f ca="1">OFFSET(ORÇAMENTO!R$15,ROW(F354)-ROW(F$15),0)</f>
        <v>ARMAÇÃO DE SAPATA ISOLADA, VIGA BALDRAME E SAPATA CORRIDA UTILIZANDO AÇO CA-50 DE 8 MM - MONTAGEM. AF_01/2024</v>
      </c>
      <c r="G354" s="165" t="str">
        <f ca="1">IF($D354&lt;&gt;"Serviço","",OFFSET(ORÇAMENTO!S$15,ROW(G354)-ROW(G$15),0))</f>
        <v>KG</v>
      </c>
      <c r="H354" s="123">
        <f ca="1">IF($D354&lt;&gt;"Serviço",0,IF(ACOMPANHAMENTO="BM",ROUND(OFFSET(ORÇAMENTO!AJ$15,ROW(H354)-ROW(H$15),0),15-13*ORÇAMENTO!$AF$7),SUMPRODUCT(($Q$1:$AA$1=1)*ROUND($Q354:$AA354,15-13*ORÇAMENTO!$AF$7))))</f>
        <v>277.10000000000002</v>
      </c>
      <c r="I354" s="469"/>
      <c r="J354" s="577" t="str" cm="1">
        <f t="array" aca="1" ref="J354" ca="1">IF(B354&lt;&gt;"S","",IF(AND(ACOMPANHAMENTO="PLE",AUTOEVENTO="Manual",OR(H354&gt;0,ORÇAMENTO!AC354="QUANT."),OR(K354="",M354=0,N354="")),"►",IF(AND(ACOMPANHAMENTO="PLE",ORÇAMENTO!AC354="QUANT."),"►►",IF(AND(COUNTIF($P$11:$AA$11,"▼")=0,H354&gt;0,I354=""),"◄",""))))</f>
        <v>◄</v>
      </c>
      <c r="K354" s="626"/>
      <c r="L354" s="166" t="s">
        <v>765</v>
      </c>
      <c r="M354" s="167">
        <f ca="1">IF($D354&lt;&gt;"Serviço","",
          IF(AUTOEVENTO="manual",$A354,
                IF(ISERROR(MATCH($A354,$A$15:OFFSET($A354,-1,0),0)),MAX($M$15:OFFSET(M354,-1,0))+1,
                      INDEX($M$15:OFFSET(M354,-1,0),MATCH($A354,$A$15:OFFSET($A354,-1,0),0)))))</f>
        <v>19</v>
      </c>
      <c r="N354" s="168" t="str">
        <f ca="1">IF($D354&lt;&gt;"Serviço","",
         IF(AUTOEVENTO="Manual",
                IF($A354=0,"&lt;-- defina o número do agrupador",
                       OFFSET(EVENTOS!$D$15,$A354-$A$15,0)),
                OFFSET($F$15,$A354,0)))</f>
        <v>FECHAMENTOS EXTERNOS</v>
      </c>
      <c r="O354" s="169"/>
      <c r="Q354" s="169"/>
      <c r="R354" s="170"/>
      <c r="S354" s="170"/>
      <c r="T354" s="170"/>
      <c r="U354" s="170"/>
      <c r="V354" s="170"/>
      <c r="W354" s="170"/>
      <c r="X354" s="170"/>
      <c r="Y354" s="170"/>
      <c r="Z354" s="171"/>
      <c r="AB354" s="454">
        <f ca="1">IF(AND($D354="Serviço",AB$12&lt;&gt;0,$H354&gt;0,OR(AUTOEVENTO&lt;&gt;"manual",$M354&lt;&gt;$A$15)),
        IF(Import.TipoArredondamento&lt;&gt;"TransfereGOV",
              ROUND(OFFSET($P354,0,AB$13),15-13*ORÇAMENTO!$AF$7)/$H354*OFFSET(ORÇAMENTO!$X$15,ROW(AB354)-ROW(AB$15),0),
              ROUND(ROUND(OFFSET($P354,0,AB$13),15-13*ORÇAMENTO!$AF$7)*OFFSET(ORÇAMENTO!$W$15,ROW(AB354)-ROW(AB$15),0),15-13*ORÇAMENTO!$AF$11)),
         0)</f>
        <v>0</v>
      </c>
      <c r="AC354" s="454">
        <f ca="1">IF(AND($D354="Serviço",AC$12&lt;&gt;0,$H354&gt;0,OR(AUTOEVENTO&lt;&gt;"manual",$M354&lt;&gt;$A$15)),
        IF(Import.TipoArredondamento&lt;&gt;"TransfereGOV",
              ROUND(OFFSET($P354,0,AC$13),15-13*ORÇAMENTO!$AF$7)/$H354*OFFSET(ORÇAMENTO!$X$15,ROW(AC354)-ROW(AC$15),0),
              ROUND(ROUND(OFFSET($P354,0,AC$13),15-13*ORÇAMENTO!$AF$7)*OFFSET(ORÇAMENTO!$W$15,ROW(AC354)-ROW(AC$15),0),15-13*ORÇAMENTO!$AF$11)),
         0)</f>
        <v>0</v>
      </c>
      <c r="AD354" s="454">
        <f ca="1">IF(AND($D354="Serviço",AD$12&lt;&gt;0,$H354&gt;0,OR(AUTOEVENTO&lt;&gt;"manual",$M354&lt;&gt;$A$15)),
        IF(Import.TipoArredondamento&lt;&gt;"TransfereGOV",
              ROUND(OFFSET($P354,0,AD$13),15-13*ORÇAMENTO!$AF$7)/$H354*OFFSET(ORÇAMENTO!$X$15,ROW(AD354)-ROW(AD$15),0),
              ROUND(ROUND(OFFSET($P354,0,AD$13),15-13*ORÇAMENTO!$AF$7)*OFFSET(ORÇAMENTO!$W$15,ROW(AD354)-ROW(AD$15),0),15-13*ORÇAMENTO!$AF$11)),
         0)</f>
        <v>0</v>
      </c>
      <c r="AE354" s="454">
        <f ca="1">IF(AND($D354="Serviço",AE$12&lt;&gt;0,$H354&gt;0,OR(AUTOEVENTO&lt;&gt;"manual",$M354&lt;&gt;$A$15)),
        IF(Import.TipoArredondamento&lt;&gt;"TransfereGOV",
              ROUND(OFFSET($P354,0,AE$13),15-13*ORÇAMENTO!$AF$7)/$H354*OFFSET(ORÇAMENTO!$X$15,ROW(AE354)-ROW(AE$15),0),
              ROUND(ROUND(OFFSET($P354,0,AE$13),15-13*ORÇAMENTO!$AF$7)*OFFSET(ORÇAMENTO!$W$15,ROW(AE354)-ROW(AE$15),0),15-13*ORÇAMENTO!$AF$11)),
         0)</f>
        <v>0</v>
      </c>
      <c r="AF354" s="454">
        <f ca="1">IF(AND($D354="Serviço",AF$12&lt;&gt;0,$H354&gt;0,OR(AUTOEVENTO&lt;&gt;"manual",$M354&lt;&gt;$A$15)),
        IF(Import.TipoArredondamento&lt;&gt;"TransfereGOV",
              ROUND(OFFSET($P354,0,AF$13),15-13*ORÇAMENTO!$AF$7)/$H354*OFFSET(ORÇAMENTO!$X$15,ROW(AF354)-ROW(AF$15),0),
              ROUND(ROUND(OFFSET($P354,0,AF$13),15-13*ORÇAMENTO!$AF$7)*OFFSET(ORÇAMENTO!$W$15,ROW(AF354)-ROW(AF$15),0),15-13*ORÇAMENTO!$AF$11)),
         0)</f>
        <v>0</v>
      </c>
      <c r="AG354" s="454">
        <f ca="1">IF(AND($D354="Serviço",AG$12&lt;&gt;0,$H354&gt;0,OR(AUTOEVENTO&lt;&gt;"manual",$M354&lt;&gt;$A$15)),
        IF(Import.TipoArredondamento&lt;&gt;"TransfereGOV",
              ROUND(OFFSET($P354,0,AG$13),15-13*ORÇAMENTO!$AF$7)/$H354*OFFSET(ORÇAMENTO!$X$15,ROW(AG354)-ROW(AG$15),0),
              ROUND(ROUND(OFFSET($P354,0,AG$13),15-13*ORÇAMENTO!$AF$7)*OFFSET(ORÇAMENTO!$W$15,ROW(AG354)-ROW(AG$15),0),15-13*ORÇAMENTO!$AF$11)),
         0)</f>
        <v>0</v>
      </c>
      <c r="AH354" s="454">
        <f ca="1">IF(AND($D354="Serviço",AH$12&lt;&gt;0,$H354&gt;0,OR(AUTOEVENTO&lt;&gt;"manual",$M354&lt;&gt;$A$15)),
        IF(Import.TipoArredondamento&lt;&gt;"TransfereGOV",
              ROUND(OFFSET($P354,0,AH$13),15-13*ORÇAMENTO!$AF$7)/$H354*OFFSET(ORÇAMENTO!$X$15,ROW(AH354)-ROW(AH$15),0),
              ROUND(ROUND(OFFSET($P354,0,AH$13),15-13*ORÇAMENTO!$AF$7)*OFFSET(ORÇAMENTO!$W$15,ROW(AH354)-ROW(AH$15),0),15-13*ORÇAMENTO!$AF$11)),
         0)</f>
        <v>0</v>
      </c>
      <c r="AI354" s="454">
        <f ca="1">IF(AND($D354="Serviço",AI$12&lt;&gt;0,$H354&gt;0,OR(AUTOEVENTO&lt;&gt;"manual",$M354&lt;&gt;$A$15)),
        IF(Import.TipoArredondamento&lt;&gt;"TransfereGOV",
              ROUND(OFFSET($P354,0,AI$13),15-13*ORÇAMENTO!$AF$7)/$H354*OFFSET(ORÇAMENTO!$X$15,ROW(AI354)-ROW(AI$15),0),
              ROUND(ROUND(OFFSET($P354,0,AI$13),15-13*ORÇAMENTO!$AF$7)*OFFSET(ORÇAMENTO!$W$15,ROW(AI354)-ROW(AI$15),0),15-13*ORÇAMENTO!$AF$11)),
         0)</f>
        <v>0</v>
      </c>
      <c r="AJ354" s="454">
        <f ca="1">IF(AND($D354="Serviço",AJ$12&lt;&gt;0,$H354&gt;0,OR(AUTOEVENTO&lt;&gt;"manual",$M354&lt;&gt;$A$15)),
        IF(Import.TipoArredondamento&lt;&gt;"TransfereGOV",
              ROUND(OFFSET($P354,0,AJ$13),15-13*ORÇAMENTO!$AF$7)/$H354*OFFSET(ORÇAMENTO!$X$15,ROW(AJ354)-ROW(AJ$15),0),
              ROUND(ROUND(OFFSET($P354,0,AJ$13),15-13*ORÇAMENTO!$AF$7)*OFFSET(ORÇAMENTO!$W$15,ROW(AJ354)-ROW(AJ$15),0),15-13*ORÇAMENTO!$AF$11)),
         0)</f>
        <v>0</v>
      </c>
      <c r="AK354" s="454">
        <f ca="1">IF(AND($D354="Serviço",AK$12&lt;&gt;0,$H354&gt;0,OR(AUTOEVENTO&lt;&gt;"manual",$M354&lt;&gt;$A$15)),
        IF(Import.TipoArredondamento&lt;&gt;"TransfereGOV",
              ROUND(OFFSET($P354,0,AK$13),15-13*ORÇAMENTO!$AF$7)/$H354*OFFSET(ORÇAMENTO!$X$15,ROW(AK354)-ROW(AK$15),0),
              ROUND(ROUND(OFFSET($P354,0,AK$13),15-13*ORÇAMENTO!$AF$7)*OFFSET(ORÇAMENTO!$W$15,ROW(AK354)-ROW(AK$15),0),15-13*ORÇAMENTO!$AF$11)),
         0)</f>
        <v>0</v>
      </c>
      <c r="AM354" s="172">
        <f ca="1">IF(OR($D354&lt;&gt;"Serviço",AND(AUTOEVENTO="Manual",$M354=$A$15)),0,
         IF(OFFSET(CRONOPLE!$F$15,$M354-$A$15,AM$13)="",10^12,OFFSET(CRONOPLE!$F$15,$M354-$A$15,AM$13)))</f>
        <v>1000000000000</v>
      </c>
      <c r="AN354" s="172">
        <f ca="1">IF(OR($D354&lt;&gt;"Serviço",AND(AUTOEVENTO="Manual",$M354=$A$15)),0,
         IF(OFFSET(CRONOPLE!$F$15,$M354-$A$15,AN$13)="",10^12,OFFSET(CRONOPLE!$F$15,$M354-$A$15,AN$13)))</f>
        <v>1000000000000</v>
      </c>
      <c r="AO354" s="172">
        <f ca="1">IF(OR($D354&lt;&gt;"Serviço",AND(AUTOEVENTO="Manual",$M354=$A$15)),0,
         IF(OFFSET(CRONOPLE!$F$15,$M354-$A$15,AO$13)="",10^12,OFFSET(CRONOPLE!$F$15,$M354-$A$15,AO$13)))</f>
        <v>1000000000000</v>
      </c>
      <c r="AP354" s="172">
        <f ca="1">IF(OR($D354&lt;&gt;"Serviço",AND(AUTOEVENTO="Manual",$M354=$A$15)),0,
         IF(OFFSET(CRONOPLE!$F$15,$M354-$A$15,AP$13)="",10^12,OFFSET(CRONOPLE!$F$15,$M354-$A$15,AP$13)))</f>
        <v>1000000000000</v>
      </c>
      <c r="AQ354" s="172">
        <f ca="1">IF(OR($D354&lt;&gt;"Serviço",AND(AUTOEVENTO="Manual",$M354=$A$15)),0,
         IF(OFFSET(CRONOPLE!$F$15,$M354-$A$15,AQ$13)="",10^12,OFFSET(CRONOPLE!$F$15,$M354-$A$15,AQ$13)))</f>
        <v>1000000000000</v>
      </c>
      <c r="AR354" s="172">
        <f ca="1">IF(OR($D354&lt;&gt;"Serviço",AND(AUTOEVENTO="Manual",$M354=$A$15)),0,
         IF(OFFSET(CRONOPLE!$F$15,$M354-$A$15,AR$13)="",10^12,OFFSET(CRONOPLE!$F$15,$M354-$A$15,AR$13)))</f>
        <v>1000000000000</v>
      </c>
      <c r="AS354" s="172">
        <f ca="1">IF(OR($D354&lt;&gt;"Serviço",AND(AUTOEVENTO="Manual",$M354=$A$15)),0,
         IF(OFFSET(CRONOPLE!$F$15,$M354-$A$15,AS$13)="",10^12,OFFSET(CRONOPLE!$F$15,$M354-$A$15,AS$13)))</f>
        <v>1000000000000</v>
      </c>
      <c r="AT354" s="172">
        <f ca="1">IF(OR($D354&lt;&gt;"Serviço",AND(AUTOEVENTO="Manual",$M354=$A$15)),0,
         IF(OFFSET(CRONOPLE!$F$15,$M354-$A$15,AT$13)="",10^12,OFFSET(CRONOPLE!$F$15,$M354-$A$15,AT$13)))</f>
        <v>1000000000000</v>
      </c>
      <c r="AU354" s="172">
        <f ca="1">IF(OR($D354&lt;&gt;"Serviço",AND(AUTOEVENTO="Manual",$M354=$A$15)),0,
         IF(OFFSET(CRONOPLE!$F$15,$M354-$A$15,AU$13)="",10^12,OFFSET(CRONOPLE!$F$15,$M354-$A$15,AU$13)))</f>
        <v>1000000000000</v>
      </c>
      <c r="AV354" s="172">
        <f ca="1">IF(OR($D354&lt;&gt;"Serviço",AND(AUTOEVENTO="Manual",$M354=$A$15)),0,
         IF(OFFSET(CRONOPLE!$F$15,$M354-$A$15,AV$13)="",10^12,OFFSET(CRONOPLE!$F$15,$M354-$A$15,AV$13)))</f>
        <v>1000000000000</v>
      </c>
      <c r="AX354" s="173">
        <f ca="1">IF(OR($D354&lt;&gt;"Serviço",AND(AUTOEVENTO="Manual",$M354=$A$15),$M354&gt;(ROW(PLE.lastrow)-ROW(PLE.firstrow))),0,
           IF(OFFSET(PLE!$G$15,$M354-$A$15,AX$13)="",10^12,OFFSET(PLE!$G$15,$M354-$A$15,AX$13)))</f>
        <v>1000000000000</v>
      </c>
      <c r="AY354" s="173">
        <f ca="1">IF(OR($D354&lt;&gt;"Serviço",AND(AUTOEVENTO="Manual",$M354=$A$15),$M354&gt;(ROW(PLE.lastrow)-ROW(PLE.firstrow))),0,
           IF(OFFSET(PLE!$G$15,$M354-$A$15,AY$13)="",10^12,OFFSET(PLE!$G$15,$M354-$A$15,AY$13)))</f>
        <v>1000000000000</v>
      </c>
      <c r="AZ354" s="173">
        <f ca="1">IF(OR($D354&lt;&gt;"Serviço",AND(AUTOEVENTO="Manual",$M354=$A$15),$M354&gt;(ROW(PLE.lastrow)-ROW(PLE.firstrow))),0,
           IF(OFFSET(PLE!$G$15,$M354-$A$15,AZ$13)="",10^12,OFFSET(PLE!$G$15,$M354-$A$15,AZ$13)))</f>
        <v>1000000000000</v>
      </c>
      <c r="BA354" s="173">
        <f ca="1">IF(OR($D354&lt;&gt;"Serviço",AND(AUTOEVENTO="Manual",$M354=$A$15),$M354&gt;(ROW(PLE.lastrow)-ROW(PLE.firstrow))),0,
           IF(OFFSET(PLE!$G$15,$M354-$A$15,BA$13)="",10^12,OFFSET(PLE!$G$15,$M354-$A$15,BA$13)))</f>
        <v>1000000000000</v>
      </c>
      <c r="BB354" s="173">
        <f ca="1">IF(OR($D354&lt;&gt;"Serviço",AND(AUTOEVENTO="Manual",$M354=$A$15),$M354&gt;(ROW(PLE.lastrow)-ROW(PLE.firstrow))),0,
           IF(OFFSET(PLE!$G$15,$M354-$A$15,BB$13)="",10^12,OFFSET(PLE!$G$15,$M354-$A$15,BB$13)))</f>
        <v>1000000000000</v>
      </c>
      <c r="BC354" s="173">
        <f ca="1">IF(OR($D354&lt;&gt;"Serviço",AND(AUTOEVENTO="Manual",$M354=$A$15),$M354&gt;(ROW(PLE.lastrow)-ROW(PLE.firstrow))),0,
           IF(OFFSET(PLE!$G$15,$M354-$A$15,BC$13)="",10^12,OFFSET(PLE!$G$15,$M354-$A$15,BC$13)))</f>
        <v>1000000000000</v>
      </c>
      <c r="BD354" s="173">
        <f ca="1">IF(OR($D354&lt;&gt;"Serviço",AND(AUTOEVENTO="Manual",$M354=$A$15),$M354&gt;(ROW(PLE.lastrow)-ROW(PLE.firstrow))),0,
           IF(OFFSET(PLE!$G$15,$M354-$A$15,BD$13)="",10^12,OFFSET(PLE!$G$15,$M354-$A$15,BD$13)))</f>
        <v>1000000000000</v>
      </c>
      <c r="BE354" s="173">
        <f ca="1">IF(OR($D354&lt;&gt;"Serviço",AND(AUTOEVENTO="Manual",$M354=$A$15),$M354&gt;(ROW(PLE.lastrow)-ROW(PLE.firstrow))),0,
           IF(OFFSET(PLE!$G$15,$M354-$A$15,BE$13)="",10^12,OFFSET(PLE!$G$15,$M354-$A$15,BE$13)))</f>
        <v>1000000000000</v>
      </c>
      <c r="BF354" s="173">
        <f ca="1">IF(OR($D354&lt;&gt;"Serviço",AND(AUTOEVENTO="Manual",$M354=$A$15),$M354&gt;(ROW(PLE.lastrow)-ROW(PLE.firstrow))),0,
           IF(OFFSET(PLE!$G$15,$M354-$A$15,BF$13)="",10^12,OFFSET(PLE!$G$15,$M354-$A$15,BF$13)))</f>
        <v>1000000000000</v>
      </c>
      <c r="BG354" s="173">
        <f ca="1">IF(OR($D354&lt;&gt;"Serviço",AND(AUTOEVENTO="Manual",$M354=$A$15),$M354&gt;(ROW(PLE.lastrow)-ROW(PLE.firstrow))),0,
           IF(OFFSET(PLE!$G$15,$M354-$A$15,BG$13)="",10^12,OFFSET(PLE!$G$15,$M354-$A$15,BG$13)))</f>
        <v>1000000000000</v>
      </c>
    </row>
    <row r="355" spans="1:59" ht="25.5" x14ac:dyDescent="0.2">
      <c r="A355" s="7" t="str">
        <f t="shared" ca="1" si="13"/>
        <v>331</v>
      </c>
      <c r="B355" s="7" t="str">
        <f ca="1">OFFSET(ORÇAMENTO!C$15,ROW(B355)-ROW(B$15),0)</f>
        <v>S</v>
      </c>
      <c r="C355" s="7" t="str">
        <f ca="1">OFFSET(ORÇAMENTO!L$15,ROW(C355)-ROW(C$15),0)</f>
        <v/>
      </c>
      <c r="D355" s="117" t="str">
        <f ca="1">OFFSET(ORÇAMENTO!N$15,ROW(D355)-ROW(D$15),0)</f>
        <v>Serviço</v>
      </c>
      <c r="E355" s="118" t="str">
        <f ca="1">OFFSET(ORÇAMENTO!O$15,ROW(E355)-ROW(E$15),0)</f>
        <v>-</v>
      </c>
      <c r="F355" s="164" t="str">
        <f ca="1">OFFSET(ORÇAMENTO!R$15,ROW(F355)-ROW(F$15),0)</f>
        <v>ARMAÇÃO DE SAPATA ISOLADA, VIGA BALDRAME E SAPATA CORRIDA UTILIZANDO AÇO CA-50 DE 10 MM - MONTAGEM. AF_01/2024</v>
      </c>
      <c r="G355" s="165" t="str">
        <f ca="1">IF($D355&lt;&gt;"Serviço","",OFFSET(ORÇAMENTO!S$15,ROW(G355)-ROW(G$15),0))</f>
        <v>KG</v>
      </c>
      <c r="H355" s="123">
        <f ca="1">IF($D355&lt;&gt;"Serviço",0,IF(ACOMPANHAMENTO="BM",ROUND(OFFSET(ORÇAMENTO!AJ$15,ROW(H355)-ROW(H$15),0),15-13*ORÇAMENTO!$AF$7),SUMPRODUCT(($Q$1:$AA$1=1)*ROUND($Q355:$AA355,15-13*ORÇAMENTO!$AF$7))))</f>
        <v>188.42</v>
      </c>
      <c r="I355" s="469"/>
      <c r="J355" s="577" t="str" cm="1">
        <f t="array" aca="1" ref="J355" ca="1">IF(B355&lt;&gt;"S","",IF(AND(ACOMPANHAMENTO="PLE",AUTOEVENTO="Manual",OR(H355&gt;0,ORÇAMENTO!AC355="QUANT."),OR(K355="",M355=0,N355="")),"►",IF(AND(ACOMPANHAMENTO="PLE",ORÇAMENTO!AC355="QUANT."),"►►",IF(AND(COUNTIF($P$11:$AA$11,"▼")=0,H355&gt;0,I355=""),"◄",""))))</f>
        <v>◄</v>
      </c>
      <c r="K355" s="626"/>
      <c r="L355" s="166" t="s">
        <v>765</v>
      </c>
      <c r="M355" s="167">
        <f ca="1">IF($D355&lt;&gt;"Serviço","",
          IF(AUTOEVENTO="manual",$A355,
                IF(ISERROR(MATCH($A355,$A$15:OFFSET($A355,-1,0),0)),MAX($M$15:OFFSET(M355,-1,0))+1,
                      INDEX($M$15:OFFSET(M355,-1,0),MATCH($A355,$A$15:OFFSET($A355,-1,0),0)))))</f>
        <v>19</v>
      </c>
      <c r="N355" s="168" t="str">
        <f ca="1">IF($D355&lt;&gt;"Serviço","",
         IF(AUTOEVENTO="Manual",
                IF($A355=0,"&lt;-- defina o número do agrupador",
                       OFFSET(EVENTOS!$D$15,$A355-$A$15,0)),
                OFFSET($F$15,$A355,0)))</f>
        <v>FECHAMENTOS EXTERNOS</v>
      </c>
      <c r="O355" s="169"/>
      <c r="Q355" s="169"/>
      <c r="R355" s="170"/>
      <c r="S355" s="170"/>
      <c r="T355" s="170"/>
      <c r="U355" s="170"/>
      <c r="V355" s="170"/>
      <c r="W355" s="170"/>
      <c r="X355" s="170"/>
      <c r="Y355" s="170"/>
      <c r="Z355" s="171"/>
      <c r="AB355" s="454">
        <f ca="1">IF(AND($D355="Serviço",AB$12&lt;&gt;0,$H355&gt;0,OR(AUTOEVENTO&lt;&gt;"manual",$M355&lt;&gt;$A$15)),
        IF(Import.TipoArredondamento&lt;&gt;"TransfereGOV",
              ROUND(OFFSET($P355,0,AB$13),15-13*ORÇAMENTO!$AF$7)/$H355*OFFSET(ORÇAMENTO!$X$15,ROW(AB355)-ROW(AB$15),0),
              ROUND(ROUND(OFFSET($P355,0,AB$13),15-13*ORÇAMENTO!$AF$7)*OFFSET(ORÇAMENTO!$W$15,ROW(AB355)-ROW(AB$15),0),15-13*ORÇAMENTO!$AF$11)),
         0)</f>
        <v>0</v>
      </c>
      <c r="AC355" s="454">
        <f ca="1">IF(AND($D355="Serviço",AC$12&lt;&gt;0,$H355&gt;0,OR(AUTOEVENTO&lt;&gt;"manual",$M355&lt;&gt;$A$15)),
        IF(Import.TipoArredondamento&lt;&gt;"TransfereGOV",
              ROUND(OFFSET($P355,0,AC$13),15-13*ORÇAMENTO!$AF$7)/$H355*OFFSET(ORÇAMENTO!$X$15,ROW(AC355)-ROW(AC$15),0),
              ROUND(ROUND(OFFSET($P355,0,AC$13),15-13*ORÇAMENTO!$AF$7)*OFFSET(ORÇAMENTO!$W$15,ROW(AC355)-ROW(AC$15),0),15-13*ORÇAMENTO!$AF$11)),
         0)</f>
        <v>0</v>
      </c>
      <c r="AD355" s="454">
        <f ca="1">IF(AND($D355="Serviço",AD$12&lt;&gt;0,$H355&gt;0,OR(AUTOEVENTO&lt;&gt;"manual",$M355&lt;&gt;$A$15)),
        IF(Import.TipoArredondamento&lt;&gt;"TransfereGOV",
              ROUND(OFFSET($P355,0,AD$13),15-13*ORÇAMENTO!$AF$7)/$H355*OFFSET(ORÇAMENTO!$X$15,ROW(AD355)-ROW(AD$15),0),
              ROUND(ROUND(OFFSET($P355,0,AD$13),15-13*ORÇAMENTO!$AF$7)*OFFSET(ORÇAMENTO!$W$15,ROW(AD355)-ROW(AD$15),0),15-13*ORÇAMENTO!$AF$11)),
         0)</f>
        <v>0</v>
      </c>
      <c r="AE355" s="454">
        <f ca="1">IF(AND($D355="Serviço",AE$12&lt;&gt;0,$H355&gt;0,OR(AUTOEVENTO&lt;&gt;"manual",$M355&lt;&gt;$A$15)),
        IF(Import.TipoArredondamento&lt;&gt;"TransfereGOV",
              ROUND(OFFSET($P355,0,AE$13),15-13*ORÇAMENTO!$AF$7)/$H355*OFFSET(ORÇAMENTO!$X$15,ROW(AE355)-ROW(AE$15),0),
              ROUND(ROUND(OFFSET($P355,0,AE$13),15-13*ORÇAMENTO!$AF$7)*OFFSET(ORÇAMENTO!$W$15,ROW(AE355)-ROW(AE$15),0),15-13*ORÇAMENTO!$AF$11)),
         0)</f>
        <v>0</v>
      </c>
      <c r="AF355" s="454">
        <f ca="1">IF(AND($D355="Serviço",AF$12&lt;&gt;0,$H355&gt;0,OR(AUTOEVENTO&lt;&gt;"manual",$M355&lt;&gt;$A$15)),
        IF(Import.TipoArredondamento&lt;&gt;"TransfereGOV",
              ROUND(OFFSET($P355,0,AF$13),15-13*ORÇAMENTO!$AF$7)/$H355*OFFSET(ORÇAMENTO!$X$15,ROW(AF355)-ROW(AF$15),0),
              ROUND(ROUND(OFFSET($P355,0,AF$13),15-13*ORÇAMENTO!$AF$7)*OFFSET(ORÇAMENTO!$W$15,ROW(AF355)-ROW(AF$15),0),15-13*ORÇAMENTO!$AF$11)),
         0)</f>
        <v>0</v>
      </c>
      <c r="AG355" s="454">
        <f ca="1">IF(AND($D355="Serviço",AG$12&lt;&gt;0,$H355&gt;0,OR(AUTOEVENTO&lt;&gt;"manual",$M355&lt;&gt;$A$15)),
        IF(Import.TipoArredondamento&lt;&gt;"TransfereGOV",
              ROUND(OFFSET($P355,0,AG$13),15-13*ORÇAMENTO!$AF$7)/$H355*OFFSET(ORÇAMENTO!$X$15,ROW(AG355)-ROW(AG$15),0),
              ROUND(ROUND(OFFSET($P355,0,AG$13),15-13*ORÇAMENTO!$AF$7)*OFFSET(ORÇAMENTO!$W$15,ROW(AG355)-ROW(AG$15),0),15-13*ORÇAMENTO!$AF$11)),
         0)</f>
        <v>0</v>
      </c>
      <c r="AH355" s="454">
        <f ca="1">IF(AND($D355="Serviço",AH$12&lt;&gt;0,$H355&gt;0,OR(AUTOEVENTO&lt;&gt;"manual",$M355&lt;&gt;$A$15)),
        IF(Import.TipoArredondamento&lt;&gt;"TransfereGOV",
              ROUND(OFFSET($P355,0,AH$13),15-13*ORÇAMENTO!$AF$7)/$H355*OFFSET(ORÇAMENTO!$X$15,ROW(AH355)-ROW(AH$15),0),
              ROUND(ROUND(OFFSET($P355,0,AH$13),15-13*ORÇAMENTO!$AF$7)*OFFSET(ORÇAMENTO!$W$15,ROW(AH355)-ROW(AH$15),0),15-13*ORÇAMENTO!$AF$11)),
         0)</f>
        <v>0</v>
      </c>
      <c r="AI355" s="454">
        <f ca="1">IF(AND($D355="Serviço",AI$12&lt;&gt;0,$H355&gt;0,OR(AUTOEVENTO&lt;&gt;"manual",$M355&lt;&gt;$A$15)),
        IF(Import.TipoArredondamento&lt;&gt;"TransfereGOV",
              ROUND(OFFSET($P355,0,AI$13),15-13*ORÇAMENTO!$AF$7)/$H355*OFFSET(ORÇAMENTO!$X$15,ROW(AI355)-ROW(AI$15),0),
              ROUND(ROUND(OFFSET($P355,0,AI$13),15-13*ORÇAMENTO!$AF$7)*OFFSET(ORÇAMENTO!$W$15,ROW(AI355)-ROW(AI$15),0),15-13*ORÇAMENTO!$AF$11)),
         0)</f>
        <v>0</v>
      </c>
      <c r="AJ355" s="454">
        <f ca="1">IF(AND($D355="Serviço",AJ$12&lt;&gt;0,$H355&gt;0,OR(AUTOEVENTO&lt;&gt;"manual",$M355&lt;&gt;$A$15)),
        IF(Import.TipoArredondamento&lt;&gt;"TransfereGOV",
              ROUND(OFFSET($P355,0,AJ$13),15-13*ORÇAMENTO!$AF$7)/$H355*OFFSET(ORÇAMENTO!$X$15,ROW(AJ355)-ROW(AJ$15),0),
              ROUND(ROUND(OFFSET($P355,0,AJ$13),15-13*ORÇAMENTO!$AF$7)*OFFSET(ORÇAMENTO!$W$15,ROW(AJ355)-ROW(AJ$15),0),15-13*ORÇAMENTO!$AF$11)),
         0)</f>
        <v>0</v>
      </c>
      <c r="AK355" s="454">
        <f ca="1">IF(AND($D355="Serviço",AK$12&lt;&gt;0,$H355&gt;0,OR(AUTOEVENTO&lt;&gt;"manual",$M355&lt;&gt;$A$15)),
        IF(Import.TipoArredondamento&lt;&gt;"TransfereGOV",
              ROUND(OFFSET($P355,0,AK$13),15-13*ORÇAMENTO!$AF$7)/$H355*OFFSET(ORÇAMENTO!$X$15,ROW(AK355)-ROW(AK$15),0),
              ROUND(ROUND(OFFSET($P355,0,AK$13),15-13*ORÇAMENTO!$AF$7)*OFFSET(ORÇAMENTO!$W$15,ROW(AK355)-ROW(AK$15),0),15-13*ORÇAMENTO!$AF$11)),
         0)</f>
        <v>0</v>
      </c>
      <c r="AM355" s="172">
        <f ca="1">IF(OR($D355&lt;&gt;"Serviço",AND(AUTOEVENTO="Manual",$M355=$A$15)),0,
         IF(OFFSET(CRONOPLE!$F$15,$M355-$A$15,AM$13)="",10^12,OFFSET(CRONOPLE!$F$15,$M355-$A$15,AM$13)))</f>
        <v>1000000000000</v>
      </c>
      <c r="AN355" s="172">
        <f ca="1">IF(OR($D355&lt;&gt;"Serviço",AND(AUTOEVENTO="Manual",$M355=$A$15)),0,
         IF(OFFSET(CRONOPLE!$F$15,$M355-$A$15,AN$13)="",10^12,OFFSET(CRONOPLE!$F$15,$M355-$A$15,AN$13)))</f>
        <v>1000000000000</v>
      </c>
      <c r="AO355" s="172">
        <f ca="1">IF(OR($D355&lt;&gt;"Serviço",AND(AUTOEVENTO="Manual",$M355=$A$15)),0,
         IF(OFFSET(CRONOPLE!$F$15,$M355-$A$15,AO$13)="",10^12,OFFSET(CRONOPLE!$F$15,$M355-$A$15,AO$13)))</f>
        <v>1000000000000</v>
      </c>
      <c r="AP355" s="172">
        <f ca="1">IF(OR($D355&lt;&gt;"Serviço",AND(AUTOEVENTO="Manual",$M355=$A$15)),0,
         IF(OFFSET(CRONOPLE!$F$15,$M355-$A$15,AP$13)="",10^12,OFFSET(CRONOPLE!$F$15,$M355-$A$15,AP$13)))</f>
        <v>1000000000000</v>
      </c>
      <c r="AQ355" s="172">
        <f ca="1">IF(OR($D355&lt;&gt;"Serviço",AND(AUTOEVENTO="Manual",$M355=$A$15)),0,
         IF(OFFSET(CRONOPLE!$F$15,$M355-$A$15,AQ$13)="",10^12,OFFSET(CRONOPLE!$F$15,$M355-$A$15,AQ$13)))</f>
        <v>1000000000000</v>
      </c>
      <c r="AR355" s="172">
        <f ca="1">IF(OR($D355&lt;&gt;"Serviço",AND(AUTOEVENTO="Manual",$M355=$A$15)),0,
         IF(OFFSET(CRONOPLE!$F$15,$M355-$A$15,AR$13)="",10^12,OFFSET(CRONOPLE!$F$15,$M355-$A$15,AR$13)))</f>
        <v>1000000000000</v>
      </c>
      <c r="AS355" s="172">
        <f ca="1">IF(OR($D355&lt;&gt;"Serviço",AND(AUTOEVENTO="Manual",$M355=$A$15)),0,
         IF(OFFSET(CRONOPLE!$F$15,$M355-$A$15,AS$13)="",10^12,OFFSET(CRONOPLE!$F$15,$M355-$A$15,AS$13)))</f>
        <v>1000000000000</v>
      </c>
      <c r="AT355" s="172">
        <f ca="1">IF(OR($D355&lt;&gt;"Serviço",AND(AUTOEVENTO="Manual",$M355=$A$15)),0,
         IF(OFFSET(CRONOPLE!$F$15,$M355-$A$15,AT$13)="",10^12,OFFSET(CRONOPLE!$F$15,$M355-$A$15,AT$13)))</f>
        <v>1000000000000</v>
      </c>
      <c r="AU355" s="172">
        <f ca="1">IF(OR($D355&lt;&gt;"Serviço",AND(AUTOEVENTO="Manual",$M355=$A$15)),0,
         IF(OFFSET(CRONOPLE!$F$15,$M355-$A$15,AU$13)="",10^12,OFFSET(CRONOPLE!$F$15,$M355-$A$15,AU$13)))</f>
        <v>1000000000000</v>
      </c>
      <c r="AV355" s="172">
        <f ca="1">IF(OR($D355&lt;&gt;"Serviço",AND(AUTOEVENTO="Manual",$M355=$A$15)),0,
         IF(OFFSET(CRONOPLE!$F$15,$M355-$A$15,AV$13)="",10^12,OFFSET(CRONOPLE!$F$15,$M355-$A$15,AV$13)))</f>
        <v>1000000000000</v>
      </c>
      <c r="AX355" s="173">
        <f ca="1">IF(OR($D355&lt;&gt;"Serviço",AND(AUTOEVENTO="Manual",$M355=$A$15),$M355&gt;(ROW(PLE.lastrow)-ROW(PLE.firstrow))),0,
           IF(OFFSET(PLE!$G$15,$M355-$A$15,AX$13)="",10^12,OFFSET(PLE!$G$15,$M355-$A$15,AX$13)))</f>
        <v>1000000000000</v>
      </c>
      <c r="AY355" s="173">
        <f ca="1">IF(OR($D355&lt;&gt;"Serviço",AND(AUTOEVENTO="Manual",$M355=$A$15),$M355&gt;(ROW(PLE.lastrow)-ROW(PLE.firstrow))),0,
           IF(OFFSET(PLE!$G$15,$M355-$A$15,AY$13)="",10^12,OFFSET(PLE!$G$15,$M355-$A$15,AY$13)))</f>
        <v>1000000000000</v>
      </c>
      <c r="AZ355" s="173">
        <f ca="1">IF(OR($D355&lt;&gt;"Serviço",AND(AUTOEVENTO="Manual",$M355=$A$15),$M355&gt;(ROW(PLE.lastrow)-ROW(PLE.firstrow))),0,
           IF(OFFSET(PLE!$G$15,$M355-$A$15,AZ$13)="",10^12,OFFSET(PLE!$G$15,$M355-$A$15,AZ$13)))</f>
        <v>1000000000000</v>
      </c>
      <c r="BA355" s="173">
        <f ca="1">IF(OR($D355&lt;&gt;"Serviço",AND(AUTOEVENTO="Manual",$M355=$A$15),$M355&gt;(ROW(PLE.lastrow)-ROW(PLE.firstrow))),0,
           IF(OFFSET(PLE!$G$15,$M355-$A$15,BA$13)="",10^12,OFFSET(PLE!$G$15,$M355-$A$15,BA$13)))</f>
        <v>1000000000000</v>
      </c>
      <c r="BB355" s="173">
        <f ca="1">IF(OR($D355&lt;&gt;"Serviço",AND(AUTOEVENTO="Manual",$M355=$A$15),$M355&gt;(ROW(PLE.lastrow)-ROW(PLE.firstrow))),0,
           IF(OFFSET(PLE!$G$15,$M355-$A$15,BB$13)="",10^12,OFFSET(PLE!$G$15,$M355-$A$15,BB$13)))</f>
        <v>1000000000000</v>
      </c>
      <c r="BC355" s="173">
        <f ca="1">IF(OR($D355&lt;&gt;"Serviço",AND(AUTOEVENTO="Manual",$M355=$A$15),$M355&gt;(ROW(PLE.lastrow)-ROW(PLE.firstrow))),0,
           IF(OFFSET(PLE!$G$15,$M355-$A$15,BC$13)="",10^12,OFFSET(PLE!$G$15,$M355-$A$15,BC$13)))</f>
        <v>1000000000000</v>
      </c>
      <c r="BD355" s="173">
        <f ca="1">IF(OR($D355&lt;&gt;"Serviço",AND(AUTOEVENTO="Manual",$M355=$A$15),$M355&gt;(ROW(PLE.lastrow)-ROW(PLE.firstrow))),0,
           IF(OFFSET(PLE!$G$15,$M355-$A$15,BD$13)="",10^12,OFFSET(PLE!$G$15,$M355-$A$15,BD$13)))</f>
        <v>1000000000000</v>
      </c>
      <c r="BE355" s="173">
        <f ca="1">IF(OR($D355&lt;&gt;"Serviço",AND(AUTOEVENTO="Manual",$M355=$A$15),$M355&gt;(ROW(PLE.lastrow)-ROW(PLE.firstrow))),0,
           IF(OFFSET(PLE!$G$15,$M355-$A$15,BE$13)="",10^12,OFFSET(PLE!$G$15,$M355-$A$15,BE$13)))</f>
        <v>1000000000000</v>
      </c>
      <c r="BF355" s="173">
        <f ca="1">IF(OR($D355&lt;&gt;"Serviço",AND(AUTOEVENTO="Manual",$M355=$A$15),$M355&gt;(ROW(PLE.lastrow)-ROW(PLE.firstrow))),0,
           IF(OFFSET(PLE!$G$15,$M355-$A$15,BF$13)="",10^12,OFFSET(PLE!$G$15,$M355-$A$15,BF$13)))</f>
        <v>1000000000000</v>
      </c>
      <c r="BG355" s="173">
        <f ca="1">IF(OR($D355&lt;&gt;"Serviço",AND(AUTOEVENTO="Manual",$M355=$A$15),$M355&gt;(ROW(PLE.lastrow)-ROW(PLE.firstrow))),0,
           IF(OFFSET(PLE!$G$15,$M355-$A$15,BG$13)="",10^12,OFFSET(PLE!$G$15,$M355-$A$15,BG$13)))</f>
        <v>1000000000000</v>
      </c>
    </row>
    <row r="356" spans="1:59" ht="38.25" x14ac:dyDescent="0.2">
      <c r="A356" s="7" t="str">
        <f t="shared" ca="1" si="13"/>
        <v>331</v>
      </c>
      <c r="B356" s="7" t="str">
        <f ca="1">OFFSET(ORÇAMENTO!C$15,ROW(B356)-ROW(B$15),0)</f>
        <v>S</v>
      </c>
      <c r="C356" s="7" t="str">
        <f ca="1">OFFSET(ORÇAMENTO!L$15,ROW(C356)-ROW(C$15),0)</f>
        <v/>
      </c>
      <c r="D356" s="117" t="str">
        <f ca="1">OFFSET(ORÇAMENTO!N$15,ROW(D356)-ROW(D$15),0)</f>
        <v>Serviço</v>
      </c>
      <c r="E356" s="118" t="str">
        <f ca="1">OFFSET(ORÇAMENTO!O$15,ROW(E356)-ROW(E$15),0)</f>
        <v>-</v>
      </c>
      <c r="F356" s="164" t="str">
        <f ca="1">OFFSET(ORÇAMENTO!R$15,ROW(F356)-ROW(F$15),0)</f>
        <v>ARMAÇÃO DE PILAR OU VIGA DE ESTRUTURA CONVENCIONAL DE CONCRETO ARMADO UTILIZANDO AÇO CA-60 DE 5,0 MM - MONTAGEM. AF_06/2022</v>
      </c>
      <c r="G356" s="165" t="str">
        <f ca="1">IF($D356&lt;&gt;"Serviço","",OFFSET(ORÇAMENTO!S$15,ROW(G356)-ROW(G$15),0))</f>
        <v>KG</v>
      </c>
      <c r="H356" s="123">
        <f ca="1">IF($D356&lt;&gt;"Serviço",0,IF(ACOMPANHAMENTO="BM",ROUND(OFFSET(ORÇAMENTO!AJ$15,ROW(H356)-ROW(H$15),0),15-13*ORÇAMENTO!$AF$7),SUMPRODUCT(($Q$1:$AA$1=1)*ROUND($Q356:$AA356,15-13*ORÇAMENTO!$AF$7))))</f>
        <v>80.56</v>
      </c>
      <c r="I356" s="469"/>
      <c r="J356" s="577" t="str" cm="1">
        <f t="array" aca="1" ref="J356" ca="1">IF(B356&lt;&gt;"S","",IF(AND(ACOMPANHAMENTO="PLE",AUTOEVENTO="Manual",OR(H356&gt;0,ORÇAMENTO!AC356="QUANT."),OR(K356="",M356=0,N356="")),"►",IF(AND(ACOMPANHAMENTO="PLE",ORÇAMENTO!AC356="QUANT."),"►►",IF(AND(COUNTIF($P$11:$AA$11,"▼")=0,H356&gt;0,I356=""),"◄",""))))</f>
        <v>◄</v>
      </c>
      <c r="K356" s="626"/>
      <c r="L356" s="166" t="s">
        <v>765</v>
      </c>
      <c r="M356" s="167">
        <f ca="1">IF($D356&lt;&gt;"Serviço","",
          IF(AUTOEVENTO="manual",$A356,
                IF(ISERROR(MATCH($A356,$A$15:OFFSET($A356,-1,0),0)),MAX($M$15:OFFSET(M356,-1,0))+1,
                      INDEX($M$15:OFFSET(M356,-1,0),MATCH($A356,$A$15:OFFSET($A356,-1,0),0)))))</f>
        <v>19</v>
      </c>
      <c r="N356" s="168" t="str">
        <f ca="1">IF($D356&lt;&gt;"Serviço","",
         IF(AUTOEVENTO="Manual",
                IF($A356=0,"&lt;-- defina o número do agrupador",
                       OFFSET(EVENTOS!$D$15,$A356-$A$15,0)),
                OFFSET($F$15,$A356,0)))</f>
        <v>FECHAMENTOS EXTERNOS</v>
      </c>
      <c r="O356" s="169"/>
      <c r="Q356" s="169"/>
      <c r="R356" s="170"/>
      <c r="S356" s="170"/>
      <c r="T356" s="170"/>
      <c r="U356" s="170"/>
      <c r="V356" s="170"/>
      <c r="W356" s="170"/>
      <c r="X356" s="170"/>
      <c r="Y356" s="170"/>
      <c r="Z356" s="171"/>
      <c r="AB356" s="454">
        <f ca="1">IF(AND($D356="Serviço",AB$12&lt;&gt;0,$H356&gt;0,OR(AUTOEVENTO&lt;&gt;"manual",$M356&lt;&gt;$A$15)),
        IF(Import.TipoArredondamento&lt;&gt;"TransfereGOV",
              ROUND(OFFSET($P356,0,AB$13),15-13*ORÇAMENTO!$AF$7)/$H356*OFFSET(ORÇAMENTO!$X$15,ROW(AB356)-ROW(AB$15),0),
              ROUND(ROUND(OFFSET($P356,0,AB$13),15-13*ORÇAMENTO!$AF$7)*OFFSET(ORÇAMENTO!$W$15,ROW(AB356)-ROW(AB$15),0),15-13*ORÇAMENTO!$AF$11)),
         0)</f>
        <v>0</v>
      </c>
      <c r="AC356" s="454">
        <f ca="1">IF(AND($D356="Serviço",AC$12&lt;&gt;0,$H356&gt;0,OR(AUTOEVENTO&lt;&gt;"manual",$M356&lt;&gt;$A$15)),
        IF(Import.TipoArredondamento&lt;&gt;"TransfereGOV",
              ROUND(OFFSET($P356,0,AC$13),15-13*ORÇAMENTO!$AF$7)/$H356*OFFSET(ORÇAMENTO!$X$15,ROW(AC356)-ROW(AC$15),0),
              ROUND(ROUND(OFFSET($P356,0,AC$13),15-13*ORÇAMENTO!$AF$7)*OFFSET(ORÇAMENTO!$W$15,ROW(AC356)-ROW(AC$15),0),15-13*ORÇAMENTO!$AF$11)),
         0)</f>
        <v>0</v>
      </c>
      <c r="AD356" s="454">
        <f ca="1">IF(AND($D356="Serviço",AD$12&lt;&gt;0,$H356&gt;0,OR(AUTOEVENTO&lt;&gt;"manual",$M356&lt;&gt;$A$15)),
        IF(Import.TipoArredondamento&lt;&gt;"TransfereGOV",
              ROUND(OFFSET($P356,0,AD$13),15-13*ORÇAMENTO!$AF$7)/$H356*OFFSET(ORÇAMENTO!$X$15,ROW(AD356)-ROW(AD$15),0),
              ROUND(ROUND(OFFSET($P356,0,AD$13),15-13*ORÇAMENTO!$AF$7)*OFFSET(ORÇAMENTO!$W$15,ROW(AD356)-ROW(AD$15),0),15-13*ORÇAMENTO!$AF$11)),
         0)</f>
        <v>0</v>
      </c>
      <c r="AE356" s="454">
        <f ca="1">IF(AND($D356="Serviço",AE$12&lt;&gt;0,$H356&gt;0,OR(AUTOEVENTO&lt;&gt;"manual",$M356&lt;&gt;$A$15)),
        IF(Import.TipoArredondamento&lt;&gt;"TransfereGOV",
              ROUND(OFFSET($P356,0,AE$13),15-13*ORÇAMENTO!$AF$7)/$H356*OFFSET(ORÇAMENTO!$X$15,ROW(AE356)-ROW(AE$15),0),
              ROUND(ROUND(OFFSET($P356,0,AE$13),15-13*ORÇAMENTO!$AF$7)*OFFSET(ORÇAMENTO!$W$15,ROW(AE356)-ROW(AE$15),0),15-13*ORÇAMENTO!$AF$11)),
         0)</f>
        <v>0</v>
      </c>
      <c r="AF356" s="454">
        <f ca="1">IF(AND($D356="Serviço",AF$12&lt;&gt;0,$H356&gt;0,OR(AUTOEVENTO&lt;&gt;"manual",$M356&lt;&gt;$A$15)),
        IF(Import.TipoArredondamento&lt;&gt;"TransfereGOV",
              ROUND(OFFSET($P356,0,AF$13),15-13*ORÇAMENTO!$AF$7)/$H356*OFFSET(ORÇAMENTO!$X$15,ROW(AF356)-ROW(AF$15),0),
              ROUND(ROUND(OFFSET($P356,0,AF$13),15-13*ORÇAMENTO!$AF$7)*OFFSET(ORÇAMENTO!$W$15,ROW(AF356)-ROW(AF$15),0),15-13*ORÇAMENTO!$AF$11)),
         0)</f>
        <v>0</v>
      </c>
      <c r="AG356" s="454">
        <f ca="1">IF(AND($D356="Serviço",AG$12&lt;&gt;0,$H356&gt;0,OR(AUTOEVENTO&lt;&gt;"manual",$M356&lt;&gt;$A$15)),
        IF(Import.TipoArredondamento&lt;&gt;"TransfereGOV",
              ROUND(OFFSET($P356,0,AG$13),15-13*ORÇAMENTO!$AF$7)/$H356*OFFSET(ORÇAMENTO!$X$15,ROW(AG356)-ROW(AG$15),0),
              ROUND(ROUND(OFFSET($P356,0,AG$13),15-13*ORÇAMENTO!$AF$7)*OFFSET(ORÇAMENTO!$W$15,ROW(AG356)-ROW(AG$15),0),15-13*ORÇAMENTO!$AF$11)),
         0)</f>
        <v>0</v>
      </c>
      <c r="AH356" s="454">
        <f ca="1">IF(AND($D356="Serviço",AH$12&lt;&gt;0,$H356&gt;0,OR(AUTOEVENTO&lt;&gt;"manual",$M356&lt;&gt;$A$15)),
        IF(Import.TipoArredondamento&lt;&gt;"TransfereGOV",
              ROUND(OFFSET($P356,0,AH$13),15-13*ORÇAMENTO!$AF$7)/$H356*OFFSET(ORÇAMENTO!$X$15,ROW(AH356)-ROW(AH$15),0),
              ROUND(ROUND(OFFSET($P356,0,AH$13),15-13*ORÇAMENTO!$AF$7)*OFFSET(ORÇAMENTO!$W$15,ROW(AH356)-ROW(AH$15),0),15-13*ORÇAMENTO!$AF$11)),
         0)</f>
        <v>0</v>
      </c>
      <c r="AI356" s="454">
        <f ca="1">IF(AND($D356="Serviço",AI$12&lt;&gt;0,$H356&gt;0,OR(AUTOEVENTO&lt;&gt;"manual",$M356&lt;&gt;$A$15)),
        IF(Import.TipoArredondamento&lt;&gt;"TransfereGOV",
              ROUND(OFFSET($P356,0,AI$13),15-13*ORÇAMENTO!$AF$7)/$H356*OFFSET(ORÇAMENTO!$X$15,ROW(AI356)-ROW(AI$15),0),
              ROUND(ROUND(OFFSET($P356,0,AI$13),15-13*ORÇAMENTO!$AF$7)*OFFSET(ORÇAMENTO!$W$15,ROW(AI356)-ROW(AI$15),0),15-13*ORÇAMENTO!$AF$11)),
         0)</f>
        <v>0</v>
      </c>
      <c r="AJ356" s="454">
        <f ca="1">IF(AND($D356="Serviço",AJ$12&lt;&gt;0,$H356&gt;0,OR(AUTOEVENTO&lt;&gt;"manual",$M356&lt;&gt;$A$15)),
        IF(Import.TipoArredondamento&lt;&gt;"TransfereGOV",
              ROUND(OFFSET($P356,0,AJ$13),15-13*ORÇAMENTO!$AF$7)/$H356*OFFSET(ORÇAMENTO!$X$15,ROW(AJ356)-ROW(AJ$15),0),
              ROUND(ROUND(OFFSET($P356,0,AJ$13),15-13*ORÇAMENTO!$AF$7)*OFFSET(ORÇAMENTO!$W$15,ROW(AJ356)-ROW(AJ$15),0),15-13*ORÇAMENTO!$AF$11)),
         0)</f>
        <v>0</v>
      </c>
      <c r="AK356" s="454">
        <f ca="1">IF(AND($D356="Serviço",AK$12&lt;&gt;0,$H356&gt;0,OR(AUTOEVENTO&lt;&gt;"manual",$M356&lt;&gt;$A$15)),
        IF(Import.TipoArredondamento&lt;&gt;"TransfereGOV",
              ROUND(OFFSET($P356,0,AK$13),15-13*ORÇAMENTO!$AF$7)/$H356*OFFSET(ORÇAMENTO!$X$15,ROW(AK356)-ROW(AK$15),0),
              ROUND(ROUND(OFFSET($P356,0,AK$13),15-13*ORÇAMENTO!$AF$7)*OFFSET(ORÇAMENTO!$W$15,ROW(AK356)-ROW(AK$15),0),15-13*ORÇAMENTO!$AF$11)),
         0)</f>
        <v>0</v>
      </c>
      <c r="AM356" s="172">
        <f ca="1">IF(OR($D356&lt;&gt;"Serviço",AND(AUTOEVENTO="Manual",$M356=$A$15)),0,
         IF(OFFSET(CRONOPLE!$F$15,$M356-$A$15,AM$13)="",10^12,OFFSET(CRONOPLE!$F$15,$M356-$A$15,AM$13)))</f>
        <v>1000000000000</v>
      </c>
      <c r="AN356" s="172">
        <f ca="1">IF(OR($D356&lt;&gt;"Serviço",AND(AUTOEVENTO="Manual",$M356=$A$15)),0,
         IF(OFFSET(CRONOPLE!$F$15,$M356-$A$15,AN$13)="",10^12,OFFSET(CRONOPLE!$F$15,$M356-$A$15,AN$13)))</f>
        <v>1000000000000</v>
      </c>
      <c r="AO356" s="172">
        <f ca="1">IF(OR($D356&lt;&gt;"Serviço",AND(AUTOEVENTO="Manual",$M356=$A$15)),0,
         IF(OFFSET(CRONOPLE!$F$15,$M356-$A$15,AO$13)="",10^12,OFFSET(CRONOPLE!$F$15,$M356-$A$15,AO$13)))</f>
        <v>1000000000000</v>
      </c>
      <c r="AP356" s="172">
        <f ca="1">IF(OR($D356&lt;&gt;"Serviço",AND(AUTOEVENTO="Manual",$M356=$A$15)),0,
         IF(OFFSET(CRONOPLE!$F$15,$M356-$A$15,AP$13)="",10^12,OFFSET(CRONOPLE!$F$15,$M356-$A$15,AP$13)))</f>
        <v>1000000000000</v>
      </c>
      <c r="AQ356" s="172">
        <f ca="1">IF(OR($D356&lt;&gt;"Serviço",AND(AUTOEVENTO="Manual",$M356=$A$15)),0,
         IF(OFFSET(CRONOPLE!$F$15,$M356-$A$15,AQ$13)="",10^12,OFFSET(CRONOPLE!$F$15,$M356-$A$15,AQ$13)))</f>
        <v>1000000000000</v>
      </c>
      <c r="AR356" s="172">
        <f ca="1">IF(OR($D356&lt;&gt;"Serviço",AND(AUTOEVENTO="Manual",$M356=$A$15)),0,
         IF(OFFSET(CRONOPLE!$F$15,$M356-$A$15,AR$13)="",10^12,OFFSET(CRONOPLE!$F$15,$M356-$A$15,AR$13)))</f>
        <v>1000000000000</v>
      </c>
      <c r="AS356" s="172">
        <f ca="1">IF(OR($D356&lt;&gt;"Serviço",AND(AUTOEVENTO="Manual",$M356=$A$15)),0,
         IF(OFFSET(CRONOPLE!$F$15,$M356-$A$15,AS$13)="",10^12,OFFSET(CRONOPLE!$F$15,$M356-$A$15,AS$13)))</f>
        <v>1000000000000</v>
      </c>
      <c r="AT356" s="172">
        <f ca="1">IF(OR($D356&lt;&gt;"Serviço",AND(AUTOEVENTO="Manual",$M356=$A$15)),0,
         IF(OFFSET(CRONOPLE!$F$15,$M356-$A$15,AT$13)="",10^12,OFFSET(CRONOPLE!$F$15,$M356-$A$15,AT$13)))</f>
        <v>1000000000000</v>
      </c>
      <c r="AU356" s="172">
        <f ca="1">IF(OR($D356&lt;&gt;"Serviço",AND(AUTOEVENTO="Manual",$M356=$A$15)),0,
         IF(OFFSET(CRONOPLE!$F$15,$M356-$A$15,AU$13)="",10^12,OFFSET(CRONOPLE!$F$15,$M356-$A$15,AU$13)))</f>
        <v>1000000000000</v>
      </c>
      <c r="AV356" s="172">
        <f ca="1">IF(OR($D356&lt;&gt;"Serviço",AND(AUTOEVENTO="Manual",$M356=$A$15)),0,
         IF(OFFSET(CRONOPLE!$F$15,$M356-$A$15,AV$13)="",10^12,OFFSET(CRONOPLE!$F$15,$M356-$A$15,AV$13)))</f>
        <v>1000000000000</v>
      </c>
      <c r="AX356" s="173">
        <f ca="1">IF(OR($D356&lt;&gt;"Serviço",AND(AUTOEVENTO="Manual",$M356=$A$15),$M356&gt;(ROW(PLE.lastrow)-ROW(PLE.firstrow))),0,
           IF(OFFSET(PLE!$G$15,$M356-$A$15,AX$13)="",10^12,OFFSET(PLE!$G$15,$M356-$A$15,AX$13)))</f>
        <v>1000000000000</v>
      </c>
      <c r="AY356" s="173">
        <f ca="1">IF(OR($D356&lt;&gt;"Serviço",AND(AUTOEVENTO="Manual",$M356=$A$15),$M356&gt;(ROW(PLE.lastrow)-ROW(PLE.firstrow))),0,
           IF(OFFSET(PLE!$G$15,$M356-$A$15,AY$13)="",10^12,OFFSET(PLE!$G$15,$M356-$A$15,AY$13)))</f>
        <v>1000000000000</v>
      </c>
      <c r="AZ356" s="173">
        <f ca="1">IF(OR($D356&lt;&gt;"Serviço",AND(AUTOEVENTO="Manual",$M356=$A$15),$M356&gt;(ROW(PLE.lastrow)-ROW(PLE.firstrow))),0,
           IF(OFFSET(PLE!$G$15,$M356-$A$15,AZ$13)="",10^12,OFFSET(PLE!$G$15,$M356-$A$15,AZ$13)))</f>
        <v>1000000000000</v>
      </c>
      <c r="BA356" s="173">
        <f ca="1">IF(OR($D356&lt;&gt;"Serviço",AND(AUTOEVENTO="Manual",$M356=$A$15),$M356&gt;(ROW(PLE.lastrow)-ROW(PLE.firstrow))),0,
           IF(OFFSET(PLE!$G$15,$M356-$A$15,BA$13)="",10^12,OFFSET(PLE!$G$15,$M356-$A$15,BA$13)))</f>
        <v>1000000000000</v>
      </c>
      <c r="BB356" s="173">
        <f ca="1">IF(OR($D356&lt;&gt;"Serviço",AND(AUTOEVENTO="Manual",$M356=$A$15),$M356&gt;(ROW(PLE.lastrow)-ROW(PLE.firstrow))),0,
           IF(OFFSET(PLE!$G$15,$M356-$A$15,BB$13)="",10^12,OFFSET(PLE!$G$15,$M356-$A$15,BB$13)))</f>
        <v>1000000000000</v>
      </c>
      <c r="BC356" s="173">
        <f ca="1">IF(OR($D356&lt;&gt;"Serviço",AND(AUTOEVENTO="Manual",$M356=$A$15),$M356&gt;(ROW(PLE.lastrow)-ROW(PLE.firstrow))),0,
           IF(OFFSET(PLE!$G$15,$M356-$A$15,BC$13)="",10^12,OFFSET(PLE!$G$15,$M356-$A$15,BC$13)))</f>
        <v>1000000000000</v>
      </c>
      <c r="BD356" s="173">
        <f ca="1">IF(OR($D356&lt;&gt;"Serviço",AND(AUTOEVENTO="Manual",$M356=$A$15),$M356&gt;(ROW(PLE.lastrow)-ROW(PLE.firstrow))),0,
           IF(OFFSET(PLE!$G$15,$M356-$A$15,BD$13)="",10^12,OFFSET(PLE!$G$15,$M356-$A$15,BD$13)))</f>
        <v>1000000000000</v>
      </c>
      <c r="BE356" s="173">
        <f ca="1">IF(OR($D356&lt;&gt;"Serviço",AND(AUTOEVENTO="Manual",$M356=$A$15),$M356&gt;(ROW(PLE.lastrow)-ROW(PLE.firstrow))),0,
           IF(OFFSET(PLE!$G$15,$M356-$A$15,BE$13)="",10^12,OFFSET(PLE!$G$15,$M356-$A$15,BE$13)))</f>
        <v>1000000000000</v>
      </c>
      <c r="BF356" s="173">
        <f ca="1">IF(OR($D356&lt;&gt;"Serviço",AND(AUTOEVENTO="Manual",$M356=$A$15),$M356&gt;(ROW(PLE.lastrow)-ROW(PLE.firstrow))),0,
           IF(OFFSET(PLE!$G$15,$M356-$A$15,BF$13)="",10^12,OFFSET(PLE!$G$15,$M356-$A$15,BF$13)))</f>
        <v>1000000000000</v>
      </c>
      <c r="BG356" s="173">
        <f ca="1">IF(OR($D356&lt;&gt;"Serviço",AND(AUTOEVENTO="Manual",$M356=$A$15),$M356&gt;(ROW(PLE.lastrow)-ROW(PLE.firstrow))),0,
           IF(OFFSET(PLE!$G$15,$M356-$A$15,BG$13)="",10^12,OFFSET(PLE!$G$15,$M356-$A$15,BG$13)))</f>
        <v>1000000000000</v>
      </c>
    </row>
    <row r="357" spans="1:59" ht="38.25" x14ac:dyDescent="0.2">
      <c r="A357" s="7" t="str">
        <f t="shared" ca="1" si="13"/>
        <v>331</v>
      </c>
      <c r="B357" s="7" t="str">
        <f ca="1">OFFSET(ORÇAMENTO!C$15,ROW(B357)-ROW(B$15),0)</f>
        <v>S</v>
      </c>
      <c r="C357" s="7" t="str">
        <f ca="1">OFFSET(ORÇAMENTO!L$15,ROW(C357)-ROW(C$15),0)</f>
        <v/>
      </c>
      <c r="D357" s="117" t="str">
        <f ca="1">OFFSET(ORÇAMENTO!N$15,ROW(D357)-ROW(D$15),0)</f>
        <v>Serviço</v>
      </c>
      <c r="E357" s="118" t="str">
        <f ca="1">OFFSET(ORÇAMENTO!O$15,ROW(E357)-ROW(E$15),0)</f>
        <v>-</v>
      </c>
      <c r="F357" s="164" t="str">
        <f ca="1">OFFSET(ORÇAMENTO!R$15,ROW(F357)-ROW(F$15),0)</f>
        <v>ARMAÇÃO DE PILAR OU VIGA DE ESTRUTURA CONVENCIONAL DE CONCRETO ARMADO UTILIZANDO AÇO CA-50 DE 8,0 MM - MONTAGEM. AF_06/2022</v>
      </c>
      <c r="G357" s="165" t="str">
        <f ca="1">IF($D357&lt;&gt;"Serviço","",OFFSET(ORÇAMENTO!S$15,ROW(G357)-ROW(G$15),0))</f>
        <v>KG</v>
      </c>
      <c r="H357" s="123">
        <f ca="1">IF($D357&lt;&gt;"Serviço",0,IF(ACOMPANHAMENTO="BM",ROUND(OFFSET(ORÇAMENTO!AJ$15,ROW(H357)-ROW(H$15),0),15-13*ORÇAMENTO!$AF$7),SUMPRODUCT(($Q$1:$AA$1=1)*ROUND($Q357:$AA357,15-13*ORÇAMENTO!$AF$7))))</f>
        <v>90.63</v>
      </c>
      <c r="I357" s="469"/>
      <c r="J357" s="577" t="str" cm="1">
        <f t="array" aca="1" ref="J357" ca="1">IF(B357&lt;&gt;"S","",IF(AND(ACOMPANHAMENTO="PLE",AUTOEVENTO="Manual",OR(H357&gt;0,ORÇAMENTO!AC357="QUANT."),OR(K357="",M357=0,N357="")),"►",IF(AND(ACOMPANHAMENTO="PLE",ORÇAMENTO!AC357="QUANT."),"►►",IF(AND(COUNTIF($P$11:$AA$11,"▼")=0,H357&gt;0,I357=""),"◄",""))))</f>
        <v>◄</v>
      </c>
      <c r="K357" s="626"/>
      <c r="L357" s="166" t="s">
        <v>765</v>
      </c>
      <c r="M357" s="167">
        <f ca="1">IF($D357&lt;&gt;"Serviço","",
          IF(AUTOEVENTO="manual",$A357,
                IF(ISERROR(MATCH($A357,$A$15:OFFSET($A357,-1,0),0)),MAX($M$15:OFFSET(M357,-1,0))+1,
                      INDEX($M$15:OFFSET(M357,-1,0),MATCH($A357,$A$15:OFFSET($A357,-1,0),0)))))</f>
        <v>19</v>
      </c>
      <c r="N357" s="168" t="str">
        <f ca="1">IF($D357&lt;&gt;"Serviço","",
         IF(AUTOEVENTO="Manual",
                IF($A357=0,"&lt;-- defina o número do agrupador",
                       OFFSET(EVENTOS!$D$15,$A357-$A$15,0)),
                OFFSET($F$15,$A357,0)))</f>
        <v>FECHAMENTOS EXTERNOS</v>
      </c>
      <c r="O357" s="169"/>
      <c r="Q357" s="169"/>
      <c r="R357" s="170"/>
      <c r="S357" s="170"/>
      <c r="T357" s="170"/>
      <c r="U357" s="170"/>
      <c r="V357" s="170"/>
      <c r="W357" s="170"/>
      <c r="X357" s="170"/>
      <c r="Y357" s="170"/>
      <c r="Z357" s="171"/>
      <c r="AB357" s="454">
        <f ca="1">IF(AND($D357="Serviço",AB$12&lt;&gt;0,$H357&gt;0,OR(AUTOEVENTO&lt;&gt;"manual",$M357&lt;&gt;$A$15)),
        IF(Import.TipoArredondamento&lt;&gt;"TransfereGOV",
              ROUND(OFFSET($P357,0,AB$13),15-13*ORÇAMENTO!$AF$7)/$H357*OFFSET(ORÇAMENTO!$X$15,ROW(AB357)-ROW(AB$15),0),
              ROUND(ROUND(OFFSET($P357,0,AB$13),15-13*ORÇAMENTO!$AF$7)*OFFSET(ORÇAMENTO!$W$15,ROW(AB357)-ROW(AB$15),0),15-13*ORÇAMENTO!$AF$11)),
         0)</f>
        <v>0</v>
      </c>
      <c r="AC357" s="454">
        <f ca="1">IF(AND($D357="Serviço",AC$12&lt;&gt;0,$H357&gt;0,OR(AUTOEVENTO&lt;&gt;"manual",$M357&lt;&gt;$A$15)),
        IF(Import.TipoArredondamento&lt;&gt;"TransfereGOV",
              ROUND(OFFSET($P357,0,AC$13),15-13*ORÇAMENTO!$AF$7)/$H357*OFFSET(ORÇAMENTO!$X$15,ROW(AC357)-ROW(AC$15),0),
              ROUND(ROUND(OFFSET($P357,0,AC$13),15-13*ORÇAMENTO!$AF$7)*OFFSET(ORÇAMENTO!$W$15,ROW(AC357)-ROW(AC$15),0),15-13*ORÇAMENTO!$AF$11)),
         0)</f>
        <v>0</v>
      </c>
      <c r="AD357" s="454">
        <f ca="1">IF(AND($D357="Serviço",AD$12&lt;&gt;0,$H357&gt;0,OR(AUTOEVENTO&lt;&gt;"manual",$M357&lt;&gt;$A$15)),
        IF(Import.TipoArredondamento&lt;&gt;"TransfereGOV",
              ROUND(OFFSET($P357,0,AD$13),15-13*ORÇAMENTO!$AF$7)/$H357*OFFSET(ORÇAMENTO!$X$15,ROW(AD357)-ROW(AD$15),0),
              ROUND(ROUND(OFFSET($P357,0,AD$13),15-13*ORÇAMENTO!$AF$7)*OFFSET(ORÇAMENTO!$W$15,ROW(AD357)-ROW(AD$15),0),15-13*ORÇAMENTO!$AF$11)),
         0)</f>
        <v>0</v>
      </c>
      <c r="AE357" s="454">
        <f ca="1">IF(AND($D357="Serviço",AE$12&lt;&gt;0,$H357&gt;0,OR(AUTOEVENTO&lt;&gt;"manual",$M357&lt;&gt;$A$15)),
        IF(Import.TipoArredondamento&lt;&gt;"TransfereGOV",
              ROUND(OFFSET($P357,0,AE$13),15-13*ORÇAMENTO!$AF$7)/$H357*OFFSET(ORÇAMENTO!$X$15,ROW(AE357)-ROW(AE$15),0),
              ROUND(ROUND(OFFSET($P357,0,AE$13),15-13*ORÇAMENTO!$AF$7)*OFFSET(ORÇAMENTO!$W$15,ROW(AE357)-ROW(AE$15),0),15-13*ORÇAMENTO!$AF$11)),
         0)</f>
        <v>0</v>
      </c>
      <c r="AF357" s="454">
        <f ca="1">IF(AND($D357="Serviço",AF$12&lt;&gt;0,$H357&gt;0,OR(AUTOEVENTO&lt;&gt;"manual",$M357&lt;&gt;$A$15)),
        IF(Import.TipoArredondamento&lt;&gt;"TransfereGOV",
              ROUND(OFFSET($P357,0,AF$13),15-13*ORÇAMENTO!$AF$7)/$H357*OFFSET(ORÇAMENTO!$X$15,ROW(AF357)-ROW(AF$15),0),
              ROUND(ROUND(OFFSET($P357,0,AF$13),15-13*ORÇAMENTO!$AF$7)*OFFSET(ORÇAMENTO!$W$15,ROW(AF357)-ROW(AF$15),0),15-13*ORÇAMENTO!$AF$11)),
         0)</f>
        <v>0</v>
      </c>
      <c r="AG357" s="454">
        <f ca="1">IF(AND($D357="Serviço",AG$12&lt;&gt;0,$H357&gt;0,OR(AUTOEVENTO&lt;&gt;"manual",$M357&lt;&gt;$A$15)),
        IF(Import.TipoArredondamento&lt;&gt;"TransfereGOV",
              ROUND(OFFSET($P357,0,AG$13),15-13*ORÇAMENTO!$AF$7)/$H357*OFFSET(ORÇAMENTO!$X$15,ROW(AG357)-ROW(AG$15),0),
              ROUND(ROUND(OFFSET($P357,0,AG$13),15-13*ORÇAMENTO!$AF$7)*OFFSET(ORÇAMENTO!$W$15,ROW(AG357)-ROW(AG$15),0),15-13*ORÇAMENTO!$AF$11)),
         0)</f>
        <v>0</v>
      </c>
      <c r="AH357" s="454">
        <f ca="1">IF(AND($D357="Serviço",AH$12&lt;&gt;0,$H357&gt;0,OR(AUTOEVENTO&lt;&gt;"manual",$M357&lt;&gt;$A$15)),
        IF(Import.TipoArredondamento&lt;&gt;"TransfereGOV",
              ROUND(OFFSET($P357,0,AH$13),15-13*ORÇAMENTO!$AF$7)/$H357*OFFSET(ORÇAMENTO!$X$15,ROW(AH357)-ROW(AH$15),0),
              ROUND(ROUND(OFFSET($P357,0,AH$13),15-13*ORÇAMENTO!$AF$7)*OFFSET(ORÇAMENTO!$W$15,ROW(AH357)-ROW(AH$15),0),15-13*ORÇAMENTO!$AF$11)),
         0)</f>
        <v>0</v>
      </c>
      <c r="AI357" s="454">
        <f ca="1">IF(AND($D357="Serviço",AI$12&lt;&gt;0,$H357&gt;0,OR(AUTOEVENTO&lt;&gt;"manual",$M357&lt;&gt;$A$15)),
        IF(Import.TipoArredondamento&lt;&gt;"TransfereGOV",
              ROUND(OFFSET($P357,0,AI$13),15-13*ORÇAMENTO!$AF$7)/$H357*OFFSET(ORÇAMENTO!$X$15,ROW(AI357)-ROW(AI$15),0),
              ROUND(ROUND(OFFSET($P357,0,AI$13),15-13*ORÇAMENTO!$AF$7)*OFFSET(ORÇAMENTO!$W$15,ROW(AI357)-ROW(AI$15),0),15-13*ORÇAMENTO!$AF$11)),
         0)</f>
        <v>0</v>
      </c>
      <c r="AJ357" s="454">
        <f ca="1">IF(AND($D357="Serviço",AJ$12&lt;&gt;0,$H357&gt;0,OR(AUTOEVENTO&lt;&gt;"manual",$M357&lt;&gt;$A$15)),
        IF(Import.TipoArredondamento&lt;&gt;"TransfereGOV",
              ROUND(OFFSET($P357,0,AJ$13),15-13*ORÇAMENTO!$AF$7)/$H357*OFFSET(ORÇAMENTO!$X$15,ROW(AJ357)-ROW(AJ$15),0),
              ROUND(ROUND(OFFSET($P357,0,AJ$13),15-13*ORÇAMENTO!$AF$7)*OFFSET(ORÇAMENTO!$W$15,ROW(AJ357)-ROW(AJ$15),0),15-13*ORÇAMENTO!$AF$11)),
         0)</f>
        <v>0</v>
      </c>
      <c r="AK357" s="454">
        <f ca="1">IF(AND($D357="Serviço",AK$12&lt;&gt;0,$H357&gt;0,OR(AUTOEVENTO&lt;&gt;"manual",$M357&lt;&gt;$A$15)),
        IF(Import.TipoArredondamento&lt;&gt;"TransfereGOV",
              ROUND(OFFSET($P357,0,AK$13),15-13*ORÇAMENTO!$AF$7)/$H357*OFFSET(ORÇAMENTO!$X$15,ROW(AK357)-ROW(AK$15),0),
              ROUND(ROUND(OFFSET($P357,0,AK$13),15-13*ORÇAMENTO!$AF$7)*OFFSET(ORÇAMENTO!$W$15,ROW(AK357)-ROW(AK$15),0),15-13*ORÇAMENTO!$AF$11)),
         0)</f>
        <v>0</v>
      </c>
      <c r="AM357" s="172">
        <f ca="1">IF(OR($D357&lt;&gt;"Serviço",AND(AUTOEVENTO="Manual",$M357=$A$15)),0,
         IF(OFFSET(CRONOPLE!$F$15,$M357-$A$15,AM$13)="",10^12,OFFSET(CRONOPLE!$F$15,$M357-$A$15,AM$13)))</f>
        <v>1000000000000</v>
      </c>
      <c r="AN357" s="172">
        <f ca="1">IF(OR($D357&lt;&gt;"Serviço",AND(AUTOEVENTO="Manual",$M357=$A$15)),0,
         IF(OFFSET(CRONOPLE!$F$15,$M357-$A$15,AN$13)="",10^12,OFFSET(CRONOPLE!$F$15,$M357-$A$15,AN$13)))</f>
        <v>1000000000000</v>
      </c>
      <c r="AO357" s="172">
        <f ca="1">IF(OR($D357&lt;&gt;"Serviço",AND(AUTOEVENTO="Manual",$M357=$A$15)),0,
         IF(OFFSET(CRONOPLE!$F$15,$M357-$A$15,AO$13)="",10^12,OFFSET(CRONOPLE!$F$15,$M357-$A$15,AO$13)))</f>
        <v>1000000000000</v>
      </c>
      <c r="AP357" s="172">
        <f ca="1">IF(OR($D357&lt;&gt;"Serviço",AND(AUTOEVENTO="Manual",$M357=$A$15)),0,
         IF(OFFSET(CRONOPLE!$F$15,$M357-$A$15,AP$13)="",10^12,OFFSET(CRONOPLE!$F$15,$M357-$A$15,AP$13)))</f>
        <v>1000000000000</v>
      </c>
      <c r="AQ357" s="172">
        <f ca="1">IF(OR($D357&lt;&gt;"Serviço",AND(AUTOEVENTO="Manual",$M357=$A$15)),0,
         IF(OFFSET(CRONOPLE!$F$15,$M357-$A$15,AQ$13)="",10^12,OFFSET(CRONOPLE!$F$15,$M357-$A$15,AQ$13)))</f>
        <v>1000000000000</v>
      </c>
      <c r="AR357" s="172">
        <f ca="1">IF(OR($D357&lt;&gt;"Serviço",AND(AUTOEVENTO="Manual",$M357=$A$15)),0,
         IF(OFFSET(CRONOPLE!$F$15,$M357-$A$15,AR$13)="",10^12,OFFSET(CRONOPLE!$F$15,$M357-$A$15,AR$13)))</f>
        <v>1000000000000</v>
      </c>
      <c r="AS357" s="172">
        <f ca="1">IF(OR($D357&lt;&gt;"Serviço",AND(AUTOEVENTO="Manual",$M357=$A$15)),0,
         IF(OFFSET(CRONOPLE!$F$15,$M357-$A$15,AS$13)="",10^12,OFFSET(CRONOPLE!$F$15,$M357-$A$15,AS$13)))</f>
        <v>1000000000000</v>
      </c>
      <c r="AT357" s="172">
        <f ca="1">IF(OR($D357&lt;&gt;"Serviço",AND(AUTOEVENTO="Manual",$M357=$A$15)),0,
         IF(OFFSET(CRONOPLE!$F$15,$M357-$A$15,AT$13)="",10^12,OFFSET(CRONOPLE!$F$15,$M357-$A$15,AT$13)))</f>
        <v>1000000000000</v>
      </c>
      <c r="AU357" s="172">
        <f ca="1">IF(OR($D357&lt;&gt;"Serviço",AND(AUTOEVENTO="Manual",$M357=$A$15)),0,
         IF(OFFSET(CRONOPLE!$F$15,$M357-$A$15,AU$13)="",10^12,OFFSET(CRONOPLE!$F$15,$M357-$A$15,AU$13)))</f>
        <v>1000000000000</v>
      </c>
      <c r="AV357" s="172">
        <f ca="1">IF(OR($D357&lt;&gt;"Serviço",AND(AUTOEVENTO="Manual",$M357=$A$15)),0,
         IF(OFFSET(CRONOPLE!$F$15,$M357-$A$15,AV$13)="",10^12,OFFSET(CRONOPLE!$F$15,$M357-$A$15,AV$13)))</f>
        <v>1000000000000</v>
      </c>
      <c r="AX357" s="173">
        <f ca="1">IF(OR($D357&lt;&gt;"Serviço",AND(AUTOEVENTO="Manual",$M357=$A$15),$M357&gt;(ROW(PLE.lastrow)-ROW(PLE.firstrow))),0,
           IF(OFFSET(PLE!$G$15,$M357-$A$15,AX$13)="",10^12,OFFSET(PLE!$G$15,$M357-$A$15,AX$13)))</f>
        <v>1000000000000</v>
      </c>
      <c r="AY357" s="173">
        <f ca="1">IF(OR($D357&lt;&gt;"Serviço",AND(AUTOEVENTO="Manual",$M357=$A$15),$M357&gt;(ROW(PLE.lastrow)-ROW(PLE.firstrow))),0,
           IF(OFFSET(PLE!$G$15,$M357-$A$15,AY$13)="",10^12,OFFSET(PLE!$G$15,$M357-$A$15,AY$13)))</f>
        <v>1000000000000</v>
      </c>
      <c r="AZ357" s="173">
        <f ca="1">IF(OR($D357&lt;&gt;"Serviço",AND(AUTOEVENTO="Manual",$M357=$A$15),$M357&gt;(ROW(PLE.lastrow)-ROW(PLE.firstrow))),0,
           IF(OFFSET(PLE!$G$15,$M357-$A$15,AZ$13)="",10^12,OFFSET(PLE!$G$15,$M357-$A$15,AZ$13)))</f>
        <v>1000000000000</v>
      </c>
      <c r="BA357" s="173">
        <f ca="1">IF(OR($D357&lt;&gt;"Serviço",AND(AUTOEVENTO="Manual",$M357=$A$15),$M357&gt;(ROW(PLE.lastrow)-ROW(PLE.firstrow))),0,
           IF(OFFSET(PLE!$G$15,$M357-$A$15,BA$13)="",10^12,OFFSET(PLE!$G$15,$M357-$A$15,BA$13)))</f>
        <v>1000000000000</v>
      </c>
      <c r="BB357" s="173">
        <f ca="1">IF(OR($D357&lt;&gt;"Serviço",AND(AUTOEVENTO="Manual",$M357=$A$15),$M357&gt;(ROW(PLE.lastrow)-ROW(PLE.firstrow))),0,
           IF(OFFSET(PLE!$G$15,$M357-$A$15,BB$13)="",10^12,OFFSET(PLE!$G$15,$M357-$A$15,BB$13)))</f>
        <v>1000000000000</v>
      </c>
      <c r="BC357" s="173">
        <f ca="1">IF(OR($D357&lt;&gt;"Serviço",AND(AUTOEVENTO="Manual",$M357=$A$15),$M357&gt;(ROW(PLE.lastrow)-ROW(PLE.firstrow))),0,
           IF(OFFSET(PLE!$G$15,$M357-$A$15,BC$13)="",10^12,OFFSET(PLE!$G$15,$M357-$A$15,BC$13)))</f>
        <v>1000000000000</v>
      </c>
      <c r="BD357" s="173">
        <f ca="1">IF(OR($D357&lt;&gt;"Serviço",AND(AUTOEVENTO="Manual",$M357=$A$15),$M357&gt;(ROW(PLE.lastrow)-ROW(PLE.firstrow))),0,
           IF(OFFSET(PLE!$G$15,$M357-$A$15,BD$13)="",10^12,OFFSET(PLE!$G$15,$M357-$A$15,BD$13)))</f>
        <v>1000000000000</v>
      </c>
      <c r="BE357" s="173">
        <f ca="1">IF(OR($D357&lt;&gt;"Serviço",AND(AUTOEVENTO="Manual",$M357=$A$15),$M357&gt;(ROW(PLE.lastrow)-ROW(PLE.firstrow))),0,
           IF(OFFSET(PLE!$G$15,$M357-$A$15,BE$13)="",10^12,OFFSET(PLE!$G$15,$M357-$A$15,BE$13)))</f>
        <v>1000000000000</v>
      </c>
      <c r="BF357" s="173">
        <f ca="1">IF(OR($D357&lt;&gt;"Serviço",AND(AUTOEVENTO="Manual",$M357=$A$15),$M357&gt;(ROW(PLE.lastrow)-ROW(PLE.firstrow))),0,
           IF(OFFSET(PLE!$G$15,$M357-$A$15,BF$13)="",10^12,OFFSET(PLE!$G$15,$M357-$A$15,BF$13)))</f>
        <v>1000000000000</v>
      </c>
      <c r="BG357" s="173">
        <f ca="1">IF(OR($D357&lt;&gt;"Serviço",AND(AUTOEVENTO="Manual",$M357=$A$15),$M357&gt;(ROW(PLE.lastrow)-ROW(PLE.firstrow))),0,
           IF(OFFSET(PLE!$G$15,$M357-$A$15,BG$13)="",10^12,OFFSET(PLE!$G$15,$M357-$A$15,BG$13)))</f>
        <v>1000000000000</v>
      </c>
    </row>
    <row r="358" spans="1:59" ht="38.25" x14ac:dyDescent="0.2">
      <c r="A358" s="7" t="str">
        <f t="shared" ca="1" si="13"/>
        <v>331</v>
      </c>
      <c r="B358" s="7" t="str">
        <f ca="1">OFFSET(ORÇAMENTO!C$15,ROW(B358)-ROW(B$15),0)</f>
        <v>S</v>
      </c>
      <c r="C358" s="7" t="str">
        <f ca="1">OFFSET(ORÇAMENTO!L$15,ROW(C358)-ROW(C$15),0)</f>
        <v/>
      </c>
      <c r="D358" s="117" t="str">
        <f ca="1">OFFSET(ORÇAMENTO!N$15,ROW(D358)-ROW(D$15),0)</f>
        <v>Serviço</v>
      </c>
      <c r="E358" s="118" t="str">
        <f ca="1">OFFSET(ORÇAMENTO!O$15,ROW(E358)-ROW(E$15),0)</f>
        <v>-</v>
      </c>
      <c r="F358" s="164" t="str">
        <f ca="1">OFFSET(ORÇAMENTO!R$15,ROW(F358)-ROW(F$15),0)</f>
        <v>ARMAÇÃO DE PILAR OU VIGA DE ESTRUTURA CONVENCIONAL DE CONCRETO ARMADO UTILIZANDO AÇO CA-50 DE 10,0 MM - MONTAGEM. AF_06/2022</v>
      </c>
      <c r="G358" s="165" t="str">
        <f ca="1">IF($D358&lt;&gt;"Serviço","",OFFSET(ORÇAMENTO!S$15,ROW(G358)-ROW(G$15),0))</f>
        <v>KG</v>
      </c>
      <c r="H358" s="123">
        <f ca="1">IF($D358&lt;&gt;"Serviço",0,IF(ACOMPANHAMENTO="BM",ROUND(OFFSET(ORÇAMENTO!AJ$15,ROW(H358)-ROW(H$15),0),15-13*ORÇAMENTO!$AF$7),SUMPRODUCT(($Q$1:$AA$1=1)*ROUND($Q358:$AA358,15-13*ORÇAMENTO!$AF$7))))</f>
        <v>135.12</v>
      </c>
      <c r="I358" s="469"/>
      <c r="J358" s="577" t="str" cm="1">
        <f t="array" aca="1" ref="J358" ca="1">IF(B358&lt;&gt;"S","",IF(AND(ACOMPANHAMENTO="PLE",AUTOEVENTO="Manual",OR(H358&gt;0,ORÇAMENTO!AC358="QUANT."),OR(K358="",M358=0,N358="")),"►",IF(AND(ACOMPANHAMENTO="PLE",ORÇAMENTO!AC358="QUANT."),"►►",IF(AND(COUNTIF($P$11:$AA$11,"▼")=0,H358&gt;0,I358=""),"◄",""))))</f>
        <v>◄</v>
      </c>
      <c r="K358" s="626"/>
      <c r="L358" s="166" t="s">
        <v>765</v>
      </c>
      <c r="M358" s="167">
        <f ca="1">IF($D358&lt;&gt;"Serviço","",
          IF(AUTOEVENTO="manual",$A358,
                IF(ISERROR(MATCH($A358,$A$15:OFFSET($A358,-1,0),0)),MAX($M$15:OFFSET(M358,-1,0))+1,
                      INDEX($M$15:OFFSET(M358,-1,0),MATCH($A358,$A$15:OFFSET($A358,-1,0),0)))))</f>
        <v>19</v>
      </c>
      <c r="N358" s="168" t="str">
        <f ca="1">IF($D358&lt;&gt;"Serviço","",
         IF(AUTOEVENTO="Manual",
                IF($A358=0,"&lt;-- defina o número do agrupador",
                       OFFSET(EVENTOS!$D$15,$A358-$A$15,0)),
                OFFSET($F$15,$A358,0)))</f>
        <v>FECHAMENTOS EXTERNOS</v>
      </c>
      <c r="O358" s="169"/>
      <c r="Q358" s="169"/>
      <c r="R358" s="170"/>
      <c r="S358" s="170"/>
      <c r="T358" s="170"/>
      <c r="U358" s="170"/>
      <c r="V358" s="170"/>
      <c r="W358" s="170"/>
      <c r="X358" s="170"/>
      <c r="Y358" s="170"/>
      <c r="Z358" s="171"/>
      <c r="AB358" s="454">
        <f ca="1">IF(AND($D358="Serviço",AB$12&lt;&gt;0,$H358&gt;0,OR(AUTOEVENTO&lt;&gt;"manual",$M358&lt;&gt;$A$15)),
        IF(Import.TipoArredondamento&lt;&gt;"TransfereGOV",
              ROUND(OFFSET($P358,0,AB$13),15-13*ORÇAMENTO!$AF$7)/$H358*OFFSET(ORÇAMENTO!$X$15,ROW(AB358)-ROW(AB$15),0),
              ROUND(ROUND(OFFSET($P358,0,AB$13),15-13*ORÇAMENTO!$AF$7)*OFFSET(ORÇAMENTO!$W$15,ROW(AB358)-ROW(AB$15),0),15-13*ORÇAMENTO!$AF$11)),
         0)</f>
        <v>0</v>
      </c>
      <c r="AC358" s="454">
        <f ca="1">IF(AND($D358="Serviço",AC$12&lt;&gt;0,$H358&gt;0,OR(AUTOEVENTO&lt;&gt;"manual",$M358&lt;&gt;$A$15)),
        IF(Import.TipoArredondamento&lt;&gt;"TransfereGOV",
              ROUND(OFFSET($P358,0,AC$13),15-13*ORÇAMENTO!$AF$7)/$H358*OFFSET(ORÇAMENTO!$X$15,ROW(AC358)-ROW(AC$15),0),
              ROUND(ROUND(OFFSET($P358,0,AC$13),15-13*ORÇAMENTO!$AF$7)*OFFSET(ORÇAMENTO!$W$15,ROW(AC358)-ROW(AC$15),0),15-13*ORÇAMENTO!$AF$11)),
         0)</f>
        <v>0</v>
      </c>
      <c r="AD358" s="454">
        <f ca="1">IF(AND($D358="Serviço",AD$12&lt;&gt;0,$H358&gt;0,OR(AUTOEVENTO&lt;&gt;"manual",$M358&lt;&gt;$A$15)),
        IF(Import.TipoArredondamento&lt;&gt;"TransfereGOV",
              ROUND(OFFSET($P358,0,AD$13),15-13*ORÇAMENTO!$AF$7)/$H358*OFFSET(ORÇAMENTO!$X$15,ROW(AD358)-ROW(AD$15),0),
              ROUND(ROUND(OFFSET($P358,0,AD$13),15-13*ORÇAMENTO!$AF$7)*OFFSET(ORÇAMENTO!$W$15,ROW(AD358)-ROW(AD$15),0),15-13*ORÇAMENTO!$AF$11)),
         0)</f>
        <v>0</v>
      </c>
      <c r="AE358" s="454">
        <f ca="1">IF(AND($D358="Serviço",AE$12&lt;&gt;0,$H358&gt;0,OR(AUTOEVENTO&lt;&gt;"manual",$M358&lt;&gt;$A$15)),
        IF(Import.TipoArredondamento&lt;&gt;"TransfereGOV",
              ROUND(OFFSET($P358,0,AE$13),15-13*ORÇAMENTO!$AF$7)/$H358*OFFSET(ORÇAMENTO!$X$15,ROW(AE358)-ROW(AE$15),0),
              ROUND(ROUND(OFFSET($P358,0,AE$13),15-13*ORÇAMENTO!$AF$7)*OFFSET(ORÇAMENTO!$W$15,ROW(AE358)-ROW(AE$15),0),15-13*ORÇAMENTO!$AF$11)),
         0)</f>
        <v>0</v>
      </c>
      <c r="AF358" s="454">
        <f ca="1">IF(AND($D358="Serviço",AF$12&lt;&gt;0,$H358&gt;0,OR(AUTOEVENTO&lt;&gt;"manual",$M358&lt;&gt;$A$15)),
        IF(Import.TipoArredondamento&lt;&gt;"TransfereGOV",
              ROUND(OFFSET($P358,0,AF$13),15-13*ORÇAMENTO!$AF$7)/$H358*OFFSET(ORÇAMENTO!$X$15,ROW(AF358)-ROW(AF$15),0),
              ROUND(ROUND(OFFSET($P358,0,AF$13),15-13*ORÇAMENTO!$AF$7)*OFFSET(ORÇAMENTO!$W$15,ROW(AF358)-ROW(AF$15),0),15-13*ORÇAMENTO!$AF$11)),
         0)</f>
        <v>0</v>
      </c>
      <c r="AG358" s="454">
        <f ca="1">IF(AND($D358="Serviço",AG$12&lt;&gt;0,$H358&gt;0,OR(AUTOEVENTO&lt;&gt;"manual",$M358&lt;&gt;$A$15)),
        IF(Import.TipoArredondamento&lt;&gt;"TransfereGOV",
              ROUND(OFFSET($P358,0,AG$13),15-13*ORÇAMENTO!$AF$7)/$H358*OFFSET(ORÇAMENTO!$X$15,ROW(AG358)-ROW(AG$15),0),
              ROUND(ROUND(OFFSET($P358,0,AG$13),15-13*ORÇAMENTO!$AF$7)*OFFSET(ORÇAMENTO!$W$15,ROW(AG358)-ROW(AG$15),0),15-13*ORÇAMENTO!$AF$11)),
         0)</f>
        <v>0</v>
      </c>
      <c r="AH358" s="454">
        <f ca="1">IF(AND($D358="Serviço",AH$12&lt;&gt;0,$H358&gt;0,OR(AUTOEVENTO&lt;&gt;"manual",$M358&lt;&gt;$A$15)),
        IF(Import.TipoArredondamento&lt;&gt;"TransfereGOV",
              ROUND(OFFSET($P358,0,AH$13),15-13*ORÇAMENTO!$AF$7)/$H358*OFFSET(ORÇAMENTO!$X$15,ROW(AH358)-ROW(AH$15),0),
              ROUND(ROUND(OFFSET($P358,0,AH$13),15-13*ORÇAMENTO!$AF$7)*OFFSET(ORÇAMENTO!$W$15,ROW(AH358)-ROW(AH$15),0),15-13*ORÇAMENTO!$AF$11)),
         0)</f>
        <v>0</v>
      </c>
      <c r="AI358" s="454">
        <f ca="1">IF(AND($D358="Serviço",AI$12&lt;&gt;0,$H358&gt;0,OR(AUTOEVENTO&lt;&gt;"manual",$M358&lt;&gt;$A$15)),
        IF(Import.TipoArredondamento&lt;&gt;"TransfereGOV",
              ROUND(OFFSET($P358,0,AI$13),15-13*ORÇAMENTO!$AF$7)/$H358*OFFSET(ORÇAMENTO!$X$15,ROW(AI358)-ROW(AI$15),0),
              ROUND(ROUND(OFFSET($P358,0,AI$13),15-13*ORÇAMENTO!$AF$7)*OFFSET(ORÇAMENTO!$W$15,ROW(AI358)-ROW(AI$15),0),15-13*ORÇAMENTO!$AF$11)),
         0)</f>
        <v>0</v>
      </c>
      <c r="AJ358" s="454">
        <f ca="1">IF(AND($D358="Serviço",AJ$12&lt;&gt;0,$H358&gt;0,OR(AUTOEVENTO&lt;&gt;"manual",$M358&lt;&gt;$A$15)),
        IF(Import.TipoArredondamento&lt;&gt;"TransfereGOV",
              ROUND(OFFSET($P358,0,AJ$13),15-13*ORÇAMENTO!$AF$7)/$H358*OFFSET(ORÇAMENTO!$X$15,ROW(AJ358)-ROW(AJ$15),0),
              ROUND(ROUND(OFFSET($P358,0,AJ$13),15-13*ORÇAMENTO!$AF$7)*OFFSET(ORÇAMENTO!$W$15,ROW(AJ358)-ROW(AJ$15),0),15-13*ORÇAMENTO!$AF$11)),
         0)</f>
        <v>0</v>
      </c>
      <c r="AK358" s="454">
        <f ca="1">IF(AND($D358="Serviço",AK$12&lt;&gt;0,$H358&gt;0,OR(AUTOEVENTO&lt;&gt;"manual",$M358&lt;&gt;$A$15)),
        IF(Import.TipoArredondamento&lt;&gt;"TransfereGOV",
              ROUND(OFFSET($P358,0,AK$13),15-13*ORÇAMENTO!$AF$7)/$H358*OFFSET(ORÇAMENTO!$X$15,ROW(AK358)-ROW(AK$15),0),
              ROUND(ROUND(OFFSET($P358,0,AK$13),15-13*ORÇAMENTO!$AF$7)*OFFSET(ORÇAMENTO!$W$15,ROW(AK358)-ROW(AK$15),0),15-13*ORÇAMENTO!$AF$11)),
         0)</f>
        <v>0</v>
      </c>
      <c r="AM358" s="172">
        <f ca="1">IF(OR($D358&lt;&gt;"Serviço",AND(AUTOEVENTO="Manual",$M358=$A$15)),0,
         IF(OFFSET(CRONOPLE!$F$15,$M358-$A$15,AM$13)="",10^12,OFFSET(CRONOPLE!$F$15,$M358-$A$15,AM$13)))</f>
        <v>1000000000000</v>
      </c>
      <c r="AN358" s="172">
        <f ca="1">IF(OR($D358&lt;&gt;"Serviço",AND(AUTOEVENTO="Manual",$M358=$A$15)),0,
         IF(OFFSET(CRONOPLE!$F$15,$M358-$A$15,AN$13)="",10^12,OFFSET(CRONOPLE!$F$15,$M358-$A$15,AN$13)))</f>
        <v>1000000000000</v>
      </c>
      <c r="AO358" s="172">
        <f ca="1">IF(OR($D358&lt;&gt;"Serviço",AND(AUTOEVENTO="Manual",$M358=$A$15)),0,
         IF(OFFSET(CRONOPLE!$F$15,$M358-$A$15,AO$13)="",10^12,OFFSET(CRONOPLE!$F$15,$M358-$A$15,AO$13)))</f>
        <v>1000000000000</v>
      </c>
      <c r="AP358" s="172">
        <f ca="1">IF(OR($D358&lt;&gt;"Serviço",AND(AUTOEVENTO="Manual",$M358=$A$15)),0,
         IF(OFFSET(CRONOPLE!$F$15,$M358-$A$15,AP$13)="",10^12,OFFSET(CRONOPLE!$F$15,$M358-$A$15,AP$13)))</f>
        <v>1000000000000</v>
      </c>
      <c r="AQ358" s="172">
        <f ca="1">IF(OR($D358&lt;&gt;"Serviço",AND(AUTOEVENTO="Manual",$M358=$A$15)),0,
         IF(OFFSET(CRONOPLE!$F$15,$M358-$A$15,AQ$13)="",10^12,OFFSET(CRONOPLE!$F$15,$M358-$A$15,AQ$13)))</f>
        <v>1000000000000</v>
      </c>
      <c r="AR358" s="172">
        <f ca="1">IF(OR($D358&lt;&gt;"Serviço",AND(AUTOEVENTO="Manual",$M358=$A$15)),0,
         IF(OFFSET(CRONOPLE!$F$15,$M358-$A$15,AR$13)="",10^12,OFFSET(CRONOPLE!$F$15,$M358-$A$15,AR$13)))</f>
        <v>1000000000000</v>
      </c>
      <c r="AS358" s="172">
        <f ca="1">IF(OR($D358&lt;&gt;"Serviço",AND(AUTOEVENTO="Manual",$M358=$A$15)),0,
         IF(OFFSET(CRONOPLE!$F$15,$M358-$A$15,AS$13)="",10^12,OFFSET(CRONOPLE!$F$15,$M358-$A$15,AS$13)))</f>
        <v>1000000000000</v>
      </c>
      <c r="AT358" s="172">
        <f ca="1">IF(OR($D358&lt;&gt;"Serviço",AND(AUTOEVENTO="Manual",$M358=$A$15)),0,
         IF(OFFSET(CRONOPLE!$F$15,$M358-$A$15,AT$13)="",10^12,OFFSET(CRONOPLE!$F$15,$M358-$A$15,AT$13)))</f>
        <v>1000000000000</v>
      </c>
      <c r="AU358" s="172">
        <f ca="1">IF(OR($D358&lt;&gt;"Serviço",AND(AUTOEVENTO="Manual",$M358=$A$15)),0,
         IF(OFFSET(CRONOPLE!$F$15,$M358-$A$15,AU$13)="",10^12,OFFSET(CRONOPLE!$F$15,$M358-$A$15,AU$13)))</f>
        <v>1000000000000</v>
      </c>
      <c r="AV358" s="172">
        <f ca="1">IF(OR($D358&lt;&gt;"Serviço",AND(AUTOEVENTO="Manual",$M358=$A$15)),0,
         IF(OFFSET(CRONOPLE!$F$15,$M358-$A$15,AV$13)="",10^12,OFFSET(CRONOPLE!$F$15,$M358-$A$15,AV$13)))</f>
        <v>1000000000000</v>
      </c>
      <c r="AX358" s="173">
        <f ca="1">IF(OR($D358&lt;&gt;"Serviço",AND(AUTOEVENTO="Manual",$M358=$A$15),$M358&gt;(ROW(PLE.lastrow)-ROW(PLE.firstrow))),0,
           IF(OFFSET(PLE!$G$15,$M358-$A$15,AX$13)="",10^12,OFFSET(PLE!$G$15,$M358-$A$15,AX$13)))</f>
        <v>1000000000000</v>
      </c>
      <c r="AY358" s="173">
        <f ca="1">IF(OR($D358&lt;&gt;"Serviço",AND(AUTOEVENTO="Manual",$M358=$A$15),$M358&gt;(ROW(PLE.lastrow)-ROW(PLE.firstrow))),0,
           IF(OFFSET(PLE!$G$15,$M358-$A$15,AY$13)="",10^12,OFFSET(PLE!$G$15,$M358-$A$15,AY$13)))</f>
        <v>1000000000000</v>
      </c>
      <c r="AZ358" s="173">
        <f ca="1">IF(OR($D358&lt;&gt;"Serviço",AND(AUTOEVENTO="Manual",$M358=$A$15),$M358&gt;(ROW(PLE.lastrow)-ROW(PLE.firstrow))),0,
           IF(OFFSET(PLE!$G$15,$M358-$A$15,AZ$13)="",10^12,OFFSET(PLE!$G$15,$M358-$A$15,AZ$13)))</f>
        <v>1000000000000</v>
      </c>
      <c r="BA358" s="173">
        <f ca="1">IF(OR($D358&lt;&gt;"Serviço",AND(AUTOEVENTO="Manual",$M358=$A$15),$M358&gt;(ROW(PLE.lastrow)-ROW(PLE.firstrow))),0,
           IF(OFFSET(PLE!$G$15,$M358-$A$15,BA$13)="",10^12,OFFSET(PLE!$G$15,$M358-$A$15,BA$13)))</f>
        <v>1000000000000</v>
      </c>
      <c r="BB358" s="173">
        <f ca="1">IF(OR($D358&lt;&gt;"Serviço",AND(AUTOEVENTO="Manual",$M358=$A$15),$M358&gt;(ROW(PLE.lastrow)-ROW(PLE.firstrow))),0,
           IF(OFFSET(PLE!$G$15,$M358-$A$15,BB$13)="",10^12,OFFSET(PLE!$G$15,$M358-$A$15,BB$13)))</f>
        <v>1000000000000</v>
      </c>
      <c r="BC358" s="173">
        <f ca="1">IF(OR($D358&lt;&gt;"Serviço",AND(AUTOEVENTO="Manual",$M358=$A$15),$M358&gt;(ROW(PLE.lastrow)-ROW(PLE.firstrow))),0,
           IF(OFFSET(PLE!$G$15,$M358-$A$15,BC$13)="",10^12,OFFSET(PLE!$G$15,$M358-$A$15,BC$13)))</f>
        <v>1000000000000</v>
      </c>
      <c r="BD358" s="173">
        <f ca="1">IF(OR($D358&lt;&gt;"Serviço",AND(AUTOEVENTO="Manual",$M358=$A$15),$M358&gt;(ROW(PLE.lastrow)-ROW(PLE.firstrow))),0,
           IF(OFFSET(PLE!$G$15,$M358-$A$15,BD$13)="",10^12,OFFSET(PLE!$G$15,$M358-$A$15,BD$13)))</f>
        <v>1000000000000</v>
      </c>
      <c r="BE358" s="173">
        <f ca="1">IF(OR($D358&lt;&gt;"Serviço",AND(AUTOEVENTO="Manual",$M358=$A$15),$M358&gt;(ROW(PLE.lastrow)-ROW(PLE.firstrow))),0,
           IF(OFFSET(PLE!$G$15,$M358-$A$15,BE$13)="",10^12,OFFSET(PLE!$G$15,$M358-$A$15,BE$13)))</f>
        <v>1000000000000</v>
      </c>
      <c r="BF358" s="173">
        <f ca="1">IF(OR($D358&lt;&gt;"Serviço",AND(AUTOEVENTO="Manual",$M358=$A$15),$M358&gt;(ROW(PLE.lastrow)-ROW(PLE.firstrow))),0,
           IF(OFFSET(PLE!$G$15,$M358-$A$15,BF$13)="",10^12,OFFSET(PLE!$G$15,$M358-$A$15,BF$13)))</f>
        <v>1000000000000</v>
      </c>
      <c r="BG358" s="173">
        <f ca="1">IF(OR($D358&lt;&gt;"Serviço",AND(AUTOEVENTO="Manual",$M358=$A$15),$M358&gt;(ROW(PLE.lastrow)-ROW(PLE.firstrow))),0,
           IF(OFFSET(PLE!$G$15,$M358-$A$15,BG$13)="",10^12,OFFSET(PLE!$G$15,$M358-$A$15,BG$13)))</f>
        <v>1000000000000</v>
      </c>
    </row>
    <row r="359" spans="1:59" ht="25.5" x14ac:dyDescent="0.2">
      <c r="A359" s="7" t="str">
        <f t="shared" ca="1" si="13"/>
        <v>331</v>
      </c>
      <c r="B359" s="7" t="str">
        <f ca="1">OFFSET(ORÇAMENTO!C$15,ROW(B359)-ROW(B$15),0)</f>
        <v>S</v>
      </c>
      <c r="C359" s="7" t="str">
        <f ca="1">OFFSET(ORÇAMENTO!L$15,ROW(C359)-ROW(C$15),0)</f>
        <v/>
      </c>
      <c r="D359" s="117" t="str">
        <f ca="1">OFFSET(ORÇAMENTO!N$15,ROW(D359)-ROW(D$15),0)</f>
        <v>Serviço</v>
      </c>
      <c r="E359" s="118" t="str">
        <f ca="1">OFFSET(ORÇAMENTO!O$15,ROW(E359)-ROW(E$15),0)</f>
        <v>-</v>
      </c>
      <c r="F359" s="164" t="str">
        <f ca="1">OFFSET(ORÇAMENTO!R$15,ROW(F359)-ROW(F$15),0)</f>
        <v>CONCRETAGEM DE SAPATA, FCK 30 MPA, COM USO DE BOMBA - LANÇAMENTO, ADENSAMENTO E ACABAMENTO. AF_01/2024</v>
      </c>
      <c r="G359" s="165" t="str">
        <f ca="1">IF($D359&lt;&gt;"Serviço","",OFFSET(ORÇAMENTO!S$15,ROW(G359)-ROW(G$15),0))</f>
        <v>M3</v>
      </c>
      <c r="H359" s="123">
        <f ca="1">IF($D359&lt;&gt;"Serviço",0,IF(ACOMPANHAMENTO="BM",ROUND(OFFSET(ORÇAMENTO!AJ$15,ROW(H359)-ROW(H$15),0),15-13*ORÇAMENTO!$AF$7),SUMPRODUCT(($Q$1:$AA$1=1)*ROUND($Q359:$AA359,15-13*ORÇAMENTO!$AF$7))))</f>
        <v>2.4900000000000002</v>
      </c>
      <c r="I359" s="469"/>
      <c r="J359" s="577" t="str" cm="1">
        <f t="array" aca="1" ref="J359" ca="1">IF(B359&lt;&gt;"S","",IF(AND(ACOMPANHAMENTO="PLE",AUTOEVENTO="Manual",OR(H359&gt;0,ORÇAMENTO!AC359="QUANT."),OR(K359="",M359=0,N359="")),"►",IF(AND(ACOMPANHAMENTO="PLE",ORÇAMENTO!AC359="QUANT."),"►►",IF(AND(COUNTIF($P$11:$AA$11,"▼")=0,H359&gt;0,I359=""),"◄",""))))</f>
        <v>◄</v>
      </c>
      <c r="K359" s="626"/>
      <c r="L359" s="166" t="s">
        <v>765</v>
      </c>
      <c r="M359" s="167">
        <f ca="1">IF($D359&lt;&gt;"Serviço","",
          IF(AUTOEVENTO="manual",$A359,
                IF(ISERROR(MATCH($A359,$A$15:OFFSET($A359,-1,0),0)),MAX($M$15:OFFSET(M359,-1,0))+1,
                      INDEX($M$15:OFFSET(M359,-1,0),MATCH($A359,$A$15:OFFSET($A359,-1,0),0)))))</f>
        <v>19</v>
      </c>
      <c r="N359" s="168" t="str">
        <f ca="1">IF($D359&lt;&gt;"Serviço","",
         IF(AUTOEVENTO="Manual",
                IF($A359=0,"&lt;-- defina o número do agrupador",
                       OFFSET(EVENTOS!$D$15,$A359-$A$15,0)),
                OFFSET($F$15,$A359,0)))</f>
        <v>FECHAMENTOS EXTERNOS</v>
      </c>
      <c r="O359" s="169"/>
      <c r="Q359" s="169"/>
      <c r="R359" s="170"/>
      <c r="S359" s="170"/>
      <c r="T359" s="170"/>
      <c r="U359" s="170"/>
      <c r="V359" s="170"/>
      <c r="W359" s="170"/>
      <c r="X359" s="170"/>
      <c r="Y359" s="170"/>
      <c r="Z359" s="171"/>
      <c r="AB359" s="454">
        <f ca="1">IF(AND($D359="Serviço",AB$12&lt;&gt;0,$H359&gt;0,OR(AUTOEVENTO&lt;&gt;"manual",$M359&lt;&gt;$A$15)),
        IF(Import.TipoArredondamento&lt;&gt;"TransfereGOV",
              ROUND(OFFSET($P359,0,AB$13),15-13*ORÇAMENTO!$AF$7)/$H359*OFFSET(ORÇAMENTO!$X$15,ROW(AB359)-ROW(AB$15),0),
              ROUND(ROUND(OFFSET($P359,0,AB$13),15-13*ORÇAMENTO!$AF$7)*OFFSET(ORÇAMENTO!$W$15,ROW(AB359)-ROW(AB$15),0),15-13*ORÇAMENTO!$AF$11)),
         0)</f>
        <v>0</v>
      </c>
      <c r="AC359" s="454">
        <f ca="1">IF(AND($D359="Serviço",AC$12&lt;&gt;0,$H359&gt;0,OR(AUTOEVENTO&lt;&gt;"manual",$M359&lt;&gt;$A$15)),
        IF(Import.TipoArredondamento&lt;&gt;"TransfereGOV",
              ROUND(OFFSET($P359,0,AC$13),15-13*ORÇAMENTO!$AF$7)/$H359*OFFSET(ORÇAMENTO!$X$15,ROW(AC359)-ROW(AC$15),0),
              ROUND(ROUND(OFFSET($P359,0,AC$13),15-13*ORÇAMENTO!$AF$7)*OFFSET(ORÇAMENTO!$W$15,ROW(AC359)-ROW(AC$15),0),15-13*ORÇAMENTO!$AF$11)),
         0)</f>
        <v>0</v>
      </c>
      <c r="AD359" s="454">
        <f ca="1">IF(AND($D359="Serviço",AD$12&lt;&gt;0,$H359&gt;0,OR(AUTOEVENTO&lt;&gt;"manual",$M359&lt;&gt;$A$15)),
        IF(Import.TipoArredondamento&lt;&gt;"TransfereGOV",
              ROUND(OFFSET($P359,0,AD$13),15-13*ORÇAMENTO!$AF$7)/$H359*OFFSET(ORÇAMENTO!$X$15,ROW(AD359)-ROW(AD$15),0),
              ROUND(ROUND(OFFSET($P359,0,AD$13),15-13*ORÇAMENTO!$AF$7)*OFFSET(ORÇAMENTO!$W$15,ROW(AD359)-ROW(AD$15),0),15-13*ORÇAMENTO!$AF$11)),
         0)</f>
        <v>0</v>
      </c>
      <c r="AE359" s="454">
        <f ca="1">IF(AND($D359="Serviço",AE$12&lt;&gt;0,$H359&gt;0,OR(AUTOEVENTO&lt;&gt;"manual",$M359&lt;&gt;$A$15)),
        IF(Import.TipoArredondamento&lt;&gt;"TransfereGOV",
              ROUND(OFFSET($P359,0,AE$13),15-13*ORÇAMENTO!$AF$7)/$H359*OFFSET(ORÇAMENTO!$X$15,ROW(AE359)-ROW(AE$15),0),
              ROUND(ROUND(OFFSET($P359,0,AE$13),15-13*ORÇAMENTO!$AF$7)*OFFSET(ORÇAMENTO!$W$15,ROW(AE359)-ROW(AE$15),0),15-13*ORÇAMENTO!$AF$11)),
         0)</f>
        <v>0</v>
      </c>
      <c r="AF359" s="454">
        <f ca="1">IF(AND($D359="Serviço",AF$12&lt;&gt;0,$H359&gt;0,OR(AUTOEVENTO&lt;&gt;"manual",$M359&lt;&gt;$A$15)),
        IF(Import.TipoArredondamento&lt;&gt;"TransfereGOV",
              ROUND(OFFSET($P359,0,AF$13),15-13*ORÇAMENTO!$AF$7)/$H359*OFFSET(ORÇAMENTO!$X$15,ROW(AF359)-ROW(AF$15),0),
              ROUND(ROUND(OFFSET($P359,0,AF$13),15-13*ORÇAMENTO!$AF$7)*OFFSET(ORÇAMENTO!$W$15,ROW(AF359)-ROW(AF$15),0),15-13*ORÇAMENTO!$AF$11)),
         0)</f>
        <v>0</v>
      </c>
      <c r="AG359" s="454">
        <f ca="1">IF(AND($D359="Serviço",AG$12&lt;&gt;0,$H359&gt;0,OR(AUTOEVENTO&lt;&gt;"manual",$M359&lt;&gt;$A$15)),
        IF(Import.TipoArredondamento&lt;&gt;"TransfereGOV",
              ROUND(OFFSET($P359,0,AG$13),15-13*ORÇAMENTO!$AF$7)/$H359*OFFSET(ORÇAMENTO!$X$15,ROW(AG359)-ROW(AG$15),0),
              ROUND(ROUND(OFFSET($P359,0,AG$13),15-13*ORÇAMENTO!$AF$7)*OFFSET(ORÇAMENTO!$W$15,ROW(AG359)-ROW(AG$15),0),15-13*ORÇAMENTO!$AF$11)),
         0)</f>
        <v>0</v>
      </c>
      <c r="AH359" s="454">
        <f ca="1">IF(AND($D359="Serviço",AH$12&lt;&gt;0,$H359&gt;0,OR(AUTOEVENTO&lt;&gt;"manual",$M359&lt;&gt;$A$15)),
        IF(Import.TipoArredondamento&lt;&gt;"TransfereGOV",
              ROUND(OFFSET($P359,0,AH$13),15-13*ORÇAMENTO!$AF$7)/$H359*OFFSET(ORÇAMENTO!$X$15,ROW(AH359)-ROW(AH$15),0),
              ROUND(ROUND(OFFSET($P359,0,AH$13),15-13*ORÇAMENTO!$AF$7)*OFFSET(ORÇAMENTO!$W$15,ROW(AH359)-ROW(AH$15),0),15-13*ORÇAMENTO!$AF$11)),
         0)</f>
        <v>0</v>
      </c>
      <c r="AI359" s="454">
        <f ca="1">IF(AND($D359="Serviço",AI$12&lt;&gt;0,$H359&gt;0,OR(AUTOEVENTO&lt;&gt;"manual",$M359&lt;&gt;$A$15)),
        IF(Import.TipoArredondamento&lt;&gt;"TransfereGOV",
              ROUND(OFFSET($P359,0,AI$13),15-13*ORÇAMENTO!$AF$7)/$H359*OFFSET(ORÇAMENTO!$X$15,ROW(AI359)-ROW(AI$15),0),
              ROUND(ROUND(OFFSET($P359,0,AI$13),15-13*ORÇAMENTO!$AF$7)*OFFSET(ORÇAMENTO!$W$15,ROW(AI359)-ROW(AI$15),0),15-13*ORÇAMENTO!$AF$11)),
         0)</f>
        <v>0</v>
      </c>
      <c r="AJ359" s="454">
        <f ca="1">IF(AND($D359="Serviço",AJ$12&lt;&gt;0,$H359&gt;0,OR(AUTOEVENTO&lt;&gt;"manual",$M359&lt;&gt;$A$15)),
        IF(Import.TipoArredondamento&lt;&gt;"TransfereGOV",
              ROUND(OFFSET($P359,0,AJ$13),15-13*ORÇAMENTO!$AF$7)/$H359*OFFSET(ORÇAMENTO!$X$15,ROW(AJ359)-ROW(AJ$15),0),
              ROUND(ROUND(OFFSET($P359,0,AJ$13),15-13*ORÇAMENTO!$AF$7)*OFFSET(ORÇAMENTO!$W$15,ROW(AJ359)-ROW(AJ$15),0),15-13*ORÇAMENTO!$AF$11)),
         0)</f>
        <v>0</v>
      </c>
      <c r="AK359" s="454">
        <f ca="1">IF(AND($D359="Serviço",AK$12&lt;&gt;0,$H359&gt;0,OR(AUTOEVENTO&lt;&gt;"manual",$M359&lt;&gt;$A$15)),
        IF(Import.TipoArredondamento&lt;&gt;"TransfereGOV",
              ROUND(OFFSET($P359,0,AK$13),15-13*ORÇAMENTO!$AF$7)/$H359*OFFSET(ORÇAMENTO!$X$15,ROW(AK359)-ROW(AK$15),0),
              ROUND(ROUND(OFFSET($P359,0,AK$13),15-13*ORÇAMENTO!$AF$7)*OFFSET(ORÇAMENTO!$W$15,ROW(AK359)-ROW(AK$15),0),15-13*ORÇAMENTO!$AF$11)),
         0)</f>
        <v>0</v>
      </c>
      <c r="AM359" s="172">
        <f ca="1">IF(OR($D359&lt;&gt;"Serviço",AND(AUTOEVENTO="Manual",$M359=$A$15)),0,
         IF(OFFSET(CRONOPLE!$F$15,$M359-$A$15,AM$13)="",10^12,OFFSET(CRONOPLE!$F$15,$M359-$A$15,AM$13)))</f>
        <v>1000000000000</v>
      </c>
      <c r="AN359" s="172">
        <f ca="1">IF(OR($D359&lt;&gt;"Serviço",AND(AUTOEVENTO="Manual",$M359=$A$15)),0,
         IF(OFFSET(CRONOPLE!$F$15,$M359-$A$15,AN$13)="",10^12,OFFSET(CRONOPLE!$F$15,$M359-$A$15,AN$13)))</f>
        <v>1000000000000</v>
      </c>
      <c r="AO359" s="172">
        <f ca="1">IF(OR($D359&lt;&gt;"Serviço",AND(AUTOEVENTO="Manual",$M359=$A$15)),0,
         IF(OFFSET(CRONOPLE!$F$15,$M359-$A$15,AO$13)="",10^12,OFFSET(CRONOPLE!$F$15,$M359-$A$15,AO$13)))</f>
        <v>1000000000000</v>
      </c>
      <c r="AP359" s="172">
        <f ca="1">IF(OR($D359&lt;&gt;"Serviço",AND(AUTOEVENTO="Manual",$M359=$A$15)),0,
         IF(OFFSET(CRONOPLE!$F$15,$M359-$A$15,AP$13)="",10^12,OFFSET(CRONOPLE!$F$15,$M359-$A$15,AP$13)))</f>
        <v>1000000000000</v>
      </c>
      <c r="AQ359" s="172">
        <f ca="1">IF(OR($D359&lt;&gt;"Serviço",AND(AUTOEVENTO="Manual",$M359=$A$15)),0,
         IF(OFFSET(CRONOPLE!$F$15,$M359-$A$15,AQ$13)="",10^12,OFFSET(CRONOPLE!$F$15,$M359-$A$15,AQ$13)))</f>
        <v>1000000000000</v>
      </c>
      <c r="AR359" s="172">
        <f ca="1">IF(OR($D359&lt;&gt;"Serviço",AND(AUTOEVENTO="Manual",$M359=$A$15)),0,
         IF(OFFSET(CRONOPLE!$F$15,$M359-$A$15,AR$13)="",10^12,OFFSET(CRONOPLE!$F$15,$M359-$A$15,AR$13)))</f>
        <v>1000000000000</v>
      </c>
      <c r="AS359" s="172">
        <f ca="1">IF(OR($D359&lt;&gt;"Serviço",AND(AUTOEVENTO="Manual",$M359=$A$15)),0,
         IF(OFFSET(CRONOPLE!$F$15,$M359-$A$15,AS$13)="",10^12,OFFSET(CRONOPLE!$F$15,$M359-$A$15,AS$13)))</f>
        <v>1000000000000</v>
      </c>
      <c r="AT359" s="172">
        <f ca="1">IF(OR($D359&lt;&gt;"Serviço",AND(AUTOEVENTO="Manual",$M359=$A$15)),0,
         IF(OFFSET(CRONOPLE!$F$15,$M359-$A$15,AT$13)="",10^12,OFFSET(CRONOPLE!$F$15,$M359-$A$15,AT$13)))</f>
        <v>1000000000000</v>
      </c>
      <c r="AU359" s="172">
        <f ca="1">IF(OR($D359&lt;&gt;"Serviço",AND(AUTOEVENTO="Manual",$M359=$A$15)),0,
         IF(OFFSET(CRONOPLE!$F$15,$M359-$A$15,AU$13)="",10^12,OFFSET(CRONOPLE!$F$15,$M359-$A$15,AU$13)))</f>
        <v>1000000000000</v>
      </c>
      <c r="AV359" s="172">
        <f ca="1">IF(OR($D359&lt;&gt;"Serviço",AND(AUTOEVENTO="Manual",$M359=$A$15)),0,
         IF(OFFSET(CRONOPLE!$F$15,$M359-$A$15,AV$13)="",10^12,OFFSET(CRONOPLE!$F$15,$M359-$A$15,AV$13)))</f>
        <v>1000000000000</v>
      </c>
      <c r="AX359" s="173">
        <f ca="1">IF(OR($D359&lt;&gt;"Serviço",AND(AUTOEVENTO="Manual",$M359=$A$15),$M359&gt;(ROW(PLE.lastrow)-ROW(PLE.firstrow))),0,
           IF(OFFSET(PLE!$G$15,$M359-$A$15,AX$13)="",10^12,OFFSET(PLE!$G$15,$M359-$A$15,AX$13)))</f>
        <v>1000000000000</v>
      </c>
      <c r="AY359" s="173">
        <f ca="1">IF(OR($D359&lt;&gt;"Serviço",AND(AUTOEVENTO="Manual",$M359=$A$15),$M359&gt;(ROW(PLE.lastrow)-ROW(PLE.firstrow))),0,
           IF(OFFSET(PLE!$G$15,$M359-$A$15,AY$13)="",10^12,OFFSET(PLE!$G$15,$M359-$A$15,AY$13)))</f>
        <v>1000000000000</v>
      </c>
      <c r="AZ359" s="173">
        <f ca="1">IF(OR($D359&lt;&gt;"Serviço",AND(AUTOEVENTO="Manual",$M359=$A$15),$M359&gt;(ROW(PLE.lastrow)-ROW(PLE.firstrow))),0,
           IF(OFFSET(PLE!$G$15,$M359-$A$15,AZ$13)="",10^12,OFFSET(PLE!$G$15,$M359-$A$15,AZ$13)))</f>
        <v>1000000000000</v>
      </c>
      <c r="BA359" s="173">
        <f ca="1">IF(OR($D359&lt;&gt;"Serviço",AND(AUTOEVENTO="Manual",$M359=$A$15),$M359&gt;(ROW(PLE.lastrow)-ROW(PLE.firstrow))),0,
           IF(OFFSET(PLE!$G$15,$M359-$A$15,BA$13)="",10^12,OFFSET(PLE!$G$15,$M359-$A$15,BA$13)))</f>
        <v>1000000000000</v>
      </c>
      <c r="BB359" s="173">
        <f ca="1">IF(OR($D359&lt;&gt;"Serviço",AND(AUTOEVENTO="Manual",$M359=$A$15),$M359&gt;(ROW(PLE.lastrow)-ROW(PLE.firstrow))),0,
           IF(OFFSET(PLE!$G$15,$M359-$A$15,BB$13)="",10^12,OFFSET(PLE!$G$15,$M359-$A$15,BB$13)))</f>
        <v>1000000000000</v>
      </c>
      <c r="BC359" s="173">
        <f ca="1">IF(OR($D359&lt;&gt;"Serviço",AND(AUTOEVENTO="Manual",$M359=$A$15),$M359&gt;(ROW(PLE.lastrow)-ROW(PLE.firstrow))),0,
           IF(OFFSET(PLE!$G$15,$M359-$A$15,BC$13)="",10^12,OFFSET(PLE!$G$15,$M359-$A$15,BC$13)))</f>
        <v>1000000000000</v>
      </c>
      <c r="BD359" s="173">
        <f ca="1">IF(OR($D359&lt;&gt;"Serviço",AND(AUTOEVENTO="Manual",$M359=$A$15),$M359&gt;(ROW(PLE.lastrow)-ROW(PLE.firstrow))),0,
           IF(OFFSET(PLE!$G$15,$M359-$A$15,BD$13)="",10^12,OFFSET(PLE!$G$15,$M359-$A$15,BD$13)))</f>
        <v>1000000000000</v>
      </c>
      <c r="BE359" s="173">
        <f ca="1">IF(OR($D359&lt;&gt;"Serviço",AND(AUTOEVENTO="Manual",$M359=$A$15),$M359&gt;(ROW(PLE.lastrow)-ROW(PLE.firstrow))),0,
           IF(OFFSET(PLE!$G$15,$M359-$A$15,BE$13)="",10^12,OFFSET(PLE!$G$15,$M359-$A$15,BE$13)))</f>
        <v>1000000000000</v>
      </c>
      <c r="BF359" s="173">
        <f ca="1">IF(OR($D359&lt;&gt;"Serviço",AND(AUTOEVENTO="Manual",$M359=$A$15),$M359&gt;(ROW(PLE.lastrow)-ROW(PLE.firstrow))),0,
           IF(OFFSET(PLE!$G$15,$M359-$A$15,BF$13)="",10^12,OFFSET(PLE!$G$15,$M359-$A$15,BF$13)))</f>
        <v>1000000000000</v>
      </c>
      <c r="BG359" s="173">
        <f ca="1">IF(OR($D359&lt;&gt;"Serviço",AND(AUTOEVENTO="Manual",$M359=$A$15),$M359&gt;(ROW(PLE.lastrow)-ROW(PLE.firstrow))),0,
           IF(OFFSET(PLE!$G$15,$M359-$A$15,BG$13)="",10^12,OFFSET(PLE!$G$15,$M359-$A$15,BG$13)))</f>
        <v>1000000000000</v>
      </c>
    </row>
    <row r="360" spans="1:59" ht="38.25" x14ac:dyDescent="0.2">
      <c r="A360" s="7" t="str">
        <f t="shared" ca="1" si="13"/>
        <v>331</v>
      </c>
      <c r="B360" s="7" t="str">
        <f ca="1">OFFSET(ORÇAMENTO!C$15,ROW(B360)-ROW(B$15),0)</f>
        <v>S</v>
      </c>
      <c r="C360" s="7" t="str">
        <f ca="1">OFFSET(ORÇAMENTO!L$15,ROW(C360)-ROW(C$15),0)</f>
        <v/>
      </c>
      <c r="D360" s="117" t="str">
        <f ca="1">OFFSET(ORÇAMENTO!N$15,ROW(D360)-ROW(D$15),0)</f>
        <v>Serviço</v>
      </c>
      <c r="E360" s="118" t="str">
        <f ca="1">OFFSET(ORÇAMENTO!O$15,ROW(E360)-ROW(E$15),0)</f>
        <v>-</v>
      </c>
      <c r="F360" s="164" t="str">
        <f ca="1">OFFSET(ORÇAMENTO!R$15,ROW(F360)-ROW(F$15),0)</f>
        <v>CONCRETAGEM DE BLOCO DE COROAMENTO OU VIGA BALDRAME, FCK 30 MPA, COM USO DE BOMBA - LANÇAMENTO, ADENSAMENTO E ACABAMENTO. AF_01/2024</v>
      </c>
      <c r="G360" s="165" t="str">
        <f ca="1">IF($D360&lt;&gt;"Serviço","",OFFSET(ORÇAMENTO!S$15,ROW(G360)-ROW(G$15),0))</f>
        <v>M3</v>
      </c>
      <c r="H360" s="123">
        <f ca="1">IF($D360&lt;&gt;"Serviço",0,IF(ACOMPANHAMENTO="BM",ROUND(OFFSET(ORÇAMENTO!AJ$15,ROW(H360)-ROW(H$15),0),15-13*ORÇAMENTO!$AF$7),SUMPRODUCT(($Q$1:$AA$1=1)*ROUND($Q360:$AA360,15-13*ORÇAMENTO!$AF$7))))</f>
        <v>12.29</v>
      </c>
      <c r="I360" s="469"/>
      <c r="J360" s="577" t="str" cm="1">
        <f t="array" aca="1" ref="J360" ca="1">IF(B360&lt;&gt;"S","",IF(AND(ACOMPANHAMENTO="PLE",AUTOEVENTO="Manual",OR(H360&gt;0,ORÇAMENTO!AC360="QUANT."),OR(K360="",M360=0,N360="")),"►",IF(AND(ACOMPANHAMENTO="PLE",ORÇAMENTO!AC360="QUANT."),"►►",IF(AND(COUNTIF($P$11:$AA$11,"▼")=0,H360&gt;0,I360=""),"◄",""))))</f>
        <v>◄</v>
      </c>
      <c r="K360" s="626"/>
      <c r="L360" s="166" t="s">
        <v>765</v>
      </c>
      <c r="M360" s="167">
        <f ca="1">IF($D360&lt;&gt;"Serviço","",
          IF(AUTOEVENTO="manual",$A360,
                IF(ISERROR(MATCH($A360,$A$15:OFFSET($A360,-1,0),0)),MAX($M$15:OFFSET(M360,-1,0))+1,
                      INDEX($M$15:OFFSET(M360,-1,0),MATCH($A360,$A$15:OFFSET($A360,-1,0),0)))))</f>
        <v>19</v>
      </c>
      <c r="N360" s="168" t="str">
        <f ca="1">IF($D360&lt;&gt;"Serviço","",
         IF(AUTOEVENTO="Manual",
                IF($A360=0,"&lt;-- defina o número do agrupador",
                       OFFSET(EVENTOS!$D$15,$A360-$A$15,0)),
                OFFSET($F$15,$A360,0)))</f>
        <v>FECHAMENTOS EXTERNOS</v>
      </c>
      <c r="O360" s="169"/>
      <c r="Q360" s="169"/>
      <c r="R360" s="170"/>
      <c r="S360" s="170"/>
      <c r="T360" s="170"/>
      <c r="U360" s="170"/>
      <c r="V360" s="170"/>
      <c r="W360" s="170"/>
      <c r="X360" s="170"/>
      <c r="Y360" s="170"/>
      <c r="Z360" s="171"/>
      <c r="AB360" s="454">
        <f ca="1">IF(AND($D360="Serviço",AB$12&lt;&gt;0,$H360&gt;0,OR(AUTOEVENTO&lt;&gt;"manual",$M360&lt;&gt;$A$15)),
        IF(Import.TipoArredondamento&lt;&gt;"TransfereGOV",
              ROUND(OFFSET($P360,0,AB$13),15-13*ORÇAMENTO!$AF$7)/$H360*OFFSET(ORÇAMENTO!$X$15,ROW(AB360)-ROW(AB$15),0),
              ROUND(ROUND(OFFSET($P360,0,AB$13),15-13*ORÇAMENTO!$AF$7)*OFFSET(ORÇAMENTO!$W$15,ROW(AB360)-ROW(AB$15),0),15-13*ORÇAMENTO!$AF$11)),
         0)</f>
        <v>0</v>
      </c>
      <c r="AC360" s="454">
        <f ca="1">IF(AND($D360="Serviço",AC$12&lt;&gt;0,$H360&gt;0,OR(AUTOEVENTO&lt;&gt;"manual",$M360&lt;&gt;$A$15)),
        IF(Import.TipoArredondamento&lt;&gt;"TransfereGOV",
              ROUND(OFFSET($P360,0,AC$13),15-13*ORÇAMENTO!$AF$7)/$H360*OFFSET(ORÇAMENTO!$X$15,ROW(AC360)-ROW(AC$15),0),
              ROUND(ROUND(OFFSET($P360,0,AC$13),15-13*ORÇAMENTO!$AF$7)*OFFSET(ORÇAMENTO!$W$15,ROW(AC360)-ROW(AC$15),0),15-13*ORÇAMENTO!$AF$11)),
         0)</f>
        <v>0</v>
      </c>
      <c r="AD360" s="454">
        <f ca="1">IF(AND($D360="Serviço",AD$12&lt;&gt;0,$H360&gt;0,OR(AUTOEVENTO&lt;&gt;"manual",$M360&lt;&gt;$A$15)),
        IF(Import.TipoArredondamento&lt;&gt;"TransfereGOV",
              ROUND(OFFSET($P360,0,AD$13),15-13*ORÇAMENTO!$AF$7)/$H360*OFFSET(ORÇAMENTO!$X$15,ROW(AD360)-ROW(AD$15),0),
              ROUND(ROUND(OFFSET($P360,0,AD$13),15-13*ORÇAMENTO!$AF$7)*OFFSET(ORÇAMENTO!$W$15,ROW(AD360)-ROW(AD$15),0),15-13*ORÇAMENTO!$AF$11)),
         0)</f>
        <v>0</v>
      </c>
      <c r="AE360" s="454">
        <f ca="1">IF(AND($D360="Serviço",AE$12&lt;&gt;0,$H360&gt;0,OR(AUTOEVENTO&lt;&gt;"manual",$M360&lt;&gt;$A$15)),
        IF(Import.TipoArredondamento&lt;&gt;"TransfereGOV",
              ROUND(OFFSET($P360,0,AE$13),15-13*ORÇAMENTO!$AF$7)/$H360*OFFSET(ORÇAMENTO!$X$15,ROW(AE360)-ROW(AE$15),0),
              ROUND(ROUND(OFFSET($P360,0,AE$13),15-13*ORÇAMENTO!$AF$7)*OFFSET(ORÇAMENTO!$W$15,ROW(AE360)-ROW(AE$15),0),15-13*ORÇAMENTO!$AF$11)),
         0)</f>
        <v>0</v>
      </c>
      <c r="AF360" s="454">
        <f ca="1">IF(AND($D360="Serviço",AF$12&lt;&gt;0,$H360&gt;0,OR(AUTOEVENTO&lt;&gt;"manual",$M360&lt;&gt;$A$15)),
        IF(Import.TipoArredondamento&lt;&gt;"TransfereGOV",
              ROUND(OFFSET($P360,0,AF$13),15-13*ORÇAMENTO!$AF$7)/$H360*OFFSET(ORÇAMENTO!$X$15,ROW(AF360)-ROW(AF$15),0),
              ROUND(ROUND(OFFSET($P360,0,AF$13),15-13*ORÇAMENTO!$AF$7)*OFFSET(ORÇAMENTO!$W$15,ROW(AF360)-ROW(AF$15),0),15-13*ORÇAMENTO!$AF$11)),
         0)</f>
        <v>0</v>
      </c>
      <c r="AG360" s="454">
        <f ca="1">IF(AND($D360="Serviço",AG$12&lt;&gt;0,$H360&gt;0,OR(AUTOEVENTO&lt;&gt;"manual",$M360&lt;&gt;$A$15)),
        IF(Import.TipoArredondamento&lt;&gt;"TransfereGOV",
              ROUND(OFFSET($P360,0,AG$13),15-13*ORÇAMENTO!$AF$7)/$H360*OFFSET(ORÇAMENTO!$X$15,ROW(AG360)-ROW(AG$15),0),
              ROUND(ROUND(OFFSET($P360,0,AG$13),15-13*ORÇAMENTO!$AF$7)*OFFSET(ORÇAMENTO!$W$15,ROW(AG360)-ROW(AG$15),0),15-13*ORÇAMENTO!$AF$11)),
         0)</f>
        <v>0</v>
      </c>
      <c r="AH360" s="454">
        <f ca="1">IF(AND($D360="Serviço",AH$12&lt;&gt;0,$H360&gt;0,OR(AUTOEVENTO&lt;&gt;"manual",$M360&lt;&gt;$A$15)),
        IF(Import.TipoArredondamento&lt;&gt;"TransfereGOV",
              ROUND(OFFSET($P360,0,AH$13),15-13*ORÇAMENTO!$AF$7)/$H360*OFFSET(ORÇAMENTO!$X$15,ROW(AH360)-ROW(AH$15),0),
              ROUND(ROUND(OFFSET($P360,0,AH$13),15-13*ORÇAMENTO!$AF$7)*OFFSET(ORÇAMENTO!$W$15,ROW(AH360)-ROW(AH$15),0),15-13*ORÇAMENTO!$AF$11)),
         0)</f>
        <v>0</v>
      </c>
      <c r="AI360" s="454">
        <f ca="1">IF(AND($D360="Serviço",AI$12&lt;&gt;0,$H360&gt;0,OR(AUTOEVENTO&lt;&gt;"manual",$M360&lt;&gt;$A$15)),
        IF(Import.TipoArredondamento&lt;&gt;"TransfereGOV",
              ROUND(OFFSET($P360,0,AI$13),15-13*ORÇAMENTO!$AF$7)/$H360*OFFSET(ORÇAMENTO!$X$15,ROW(AI360)-ROW(AI$15),0),
              ROUND(ROUND(OFFSET($P360,0,AI$13),15-13*ORÇAMENTO!$AF$7)*OFFSET(ORÇAMENTO!$W$15,ROW(AI360)-ROW(AI$15),0),15-13*ORÇAMENTO!$AF$11)),
         0)</f>
        <v>0</v>
      </c>
      <c r="AJ360" s="454">
        <f ca="1">IF(AND($D360="Serviço",AJ$12&lt;&gt;0,$H360&gt;0,OR(AUTOEVENTO&lt;&gt;"manual",$M360&lt;&gt;$A$15)),
        IF(Import.TipoArredondamento&lt;&gt;"TransfereGOV",
              ROUND(OFFSET($P360,0,AJ$13),15-13*ORÇAMENTO!$AF$7)/$H360*OFFSET(ORÇAMENTO!$X$15,ROW(AJ360)-ROW(AJ$15),0),
              ROUND(ROUND(OFFSET($P360,0,AJ$13),15-13*ORÇAMENTO!$AF$7)*OFFSET(ORÇAMENTO!$W$15,ROW(AJ360)-ROW(AJ$15),0),15-13*ORÇAMENTO!$AF$11)),
         0)</f>
        <v>0</v>
      </c>
      <c r="AK360" s="454">
        <f ca="1">IF(AND($D360="Serviço",AK$12&lt;&gt;0,$H360&gt;0,OR(AUTOEVENTO&lt;&gt;"manual",$M360&lt;&gt;$A$15)),
        IF(Import.TipoArredondamento&lt;&gt;"TransfereGOV",
              ROUND(OFFSET($P360,0,AK$13),15-13*ORÇAMENTO!$AF$7)/$H360*OFFSET(ORÇAMENTO!$X$15,ROW(AK360)-ROW(AK$15),0),
              ROUND(ROUND(OFFSET($P360,0,AK$13),15-13*ORÇAMENTO!$AF$7)*OFFSET(ORÇAMENTO!$W$15,ROW(AK360)-ROW(AK$15),0),15-13*ORÇAMENTO!$AF$11)),
         0)</f>
        <v>0</v>
      </c>
      <c r="AM360" s="172">
        <f ca="1">IF(OR($D360&lt;&gt;"Serviço",AND(AUTOEVENTO="Manual",$M360=$A$15)),0,
         IF(OFFSET(CRONOPLE!$F$15,$M360-$A$15,AM$13)="",10^12,OFFSET(CRONOPLE!$F$15,$M360-$A$15,AM$13)))</f>
        <v>1000000000000</v>
      </c>
      <c r="AN360" s="172">
        <f ca="1">IF(OR($D360&lt;&gt;"Serviço",AND(AUTOEVENTO="Manual",$M360=$A$15)),0,
         IF(OFFSET(CRONOPLE!$F$15,$M360-$A$15,AN$13)="",10^12,OFFSET(CRONOPLE!$F$15,$M360-$A$15,AN$13)))</f>
        <v>1000000000000</v>
      </c>
      <c r="AO360" s="172">
        <f ca="1">IF(OR($D360&lt;&gt;"Serviço",AND(AUTOEVENTO="Manual",$M360=$A$15)),0,
         IF(OFFSET(CRONOPLE!$F$15,$M360-$A$15,AO$13)="",10^12,OFFSET(CRONOPLE!$F$15,$M360-$A$15,AO$13)))</f>
        <v>1000000000000</v>
      </c>
      <c r="AP360" s="172">
        <f ca="1">IF(OR($D360&lt;&gt;"Serviço",AND(AUTOEVENTO="Manual",$M360=$A$15)),0,
         IF(OFFSET(CRONOPLE!$F$15,$M360-$A$15,AP$13)="",10^12,OFFSET(CRONOPLE!$F$15,$M360-$A$15,AP$13)))</f>
        <v>1000000000000</v>
      </c>
      <c r="AQ360" s="172">
        <f ca="1">IF(OR($D360&lt;&gt;"Serviço",AND(AUTOEVENTO="Manual",$M360=$A$15)),0,
         IF(OFFSET(CRONOPLE!$F$15,$M360-$A$15,AQ$13)="",10^12,OFFSET(CRONOPLE!$F$15,$M360-$A$15,AQ$13)))</f>
        <v>1000000000000</v>
      </c>
      <c r="AR360" s="172">
        <f ca="1">IF(OR($D360&lt;&gt;"Serviço",AND(AUTOEVENTO="Manual",$M360=$A$15)),0,
         IF(OFFSET(CRONOPLE!$F$15,$M360-$A$15,AR$13)="",10^12,OFFSET(CRONOPLE!$F$15,$M360-$A$15,AR$13)))</f>
        <v>1000000000000</v>
      </c>
      <c r="AS360" s="172">
        <f ca="1">IF(OR($D360&lt;&gt;"Serviço",AND(AUTOEVENTO="Manual",$M360=$A$15)),0,
         IF(OFFSET(CRONOPLE!$F$15,$M360-$A$15,AS$13)="",10^12,OFFSET(CRONOPLE!$F$15,$M360-$A$15,AS$13)))</f>
        <v>1000000000000</v>
      </c>
      <c r="AT360" s="172">
        <f ca="1">IF(OR($D360&lt;&gt;"Serviço",AND(AUTOEVENTO="Manual",$M360=$A$15)),0,
         IF(OFFSET(CRONOPLE!$F$15,$M360-$A$15,AT$13)="",10^12,OFFSET(CRONOPLE!$F$15,$M360-$A$15,AT$13)))</f>
        <v>1000000000000</v>
      </c>
      <c r="AU360" s="172">
        <f ca="1">IF(OR($D360&lt;&gt;"Serviço",AND(AUTOEVENTO="Manual",$M360=$A$15)),0,
         IF(OFFSET(CRONOPLE!$F$15,$M360-$A$15,AU$13)="",10^12,OFFSET(CRONOPLE!$F$15,$M360-$A$15,AU$13)))</f>
        <v>1000000000000</v>
      </c>
      <c r="AV360" s="172">
        <f ca="1">IF(OR($D360&lt;&gt;"Serviço",AND(AUTOEVENTO="Manual",$M360=$A$15)),0,
         IF(OFFSET(CRONOPLE!$F$15,$M360-$A$15,AV$13)="",10^12,OFFSET(CRONOPLE!$F$15,$M360-$A$15,AV$13)))</f>
        <v>1000000000000</v>
      </c>
      <c r="AX360" s="173">
        <f ca="1">IF(OR($D360&lt;&gt;"Serviço",AND(AUTOEVENTO="Manual",$M360=$A$15),$M360&gt;(ROW(PLE.lastrow)-ROW(PLE.firstrow))),0,
           IF(OFFSET(PLE!$G$15,$M360-$A$15,AX$13)="",10^12,OFFSET(PLE!$G$15,$M360-$A$15,AX$13)))</f>
        <v>1000000000000</v>
      </c>
      <c r="AY360" s="173">
        <f ca="1">IF(OR($D360&lt;&gt;"Serviço",AND(AUTOEVENTO="Manual",$M360=$A$15),$M360&gt;(ROW(PLE.lastrow)-ROW(PLE.firstrow))),0,
           IF(OFFSET(PLE!$G$15,$M360-$A$15,AY$13)="",10^12,OFFSET(PLE!$G$15,$M360-$A$15,AY$13)))</f>
        <v>1000000000000</v>
      </c>
      <c r="AZ360" s="173">
        <f ca="1">IF(OR($D360&lt;&gt;"Serviço",AND(AUTOEVENTO="Manual",$M360=$A$15),$M360&gt;(ROW(PLE.lastrow)-ROW(PLE.firstrow))),0,
           IF(OFFSET(PLE!$G$15,$M360-$A$15,AZ$13)="",10^12,OFFSET(PLE!$G$15,$M360-$A$15,AZ$13)))</f>
        <v>1000000000000</v>
      </c>
      <c r="BA360" s="173">
        <f ca="1">IF(OR($D360&lt;&gt;"Serviço",AND(AUTOEVENTO="Manual",$M360=$A$15),$M360&gt;(ROW(PLE.lastrow)-ROW(PLE.firstrow))),0,
           IF(OFFSET(PLE!$G$15,$M360-$A$15,BA$13)="",10^12,OFFSET(PLE!$G$15,$M360-$A$15,BA$13)))</f>
        <v>1000000000000</v>
      </c>
      <c r="BB360" s="173">
        <f ca="1">IF(OR($D360&lt;&gt;"Serviço",AND(AUTOEVENTO="Manual",$M360=$A$15),$M360&gt;(ROW(PLE.lastrow)-ROW(PLE.firstrow))),0,
           IF(OFFSET(PLE!$G$15,$M360-$A$15,BB$13)="",10^12,OFFSET(PLE!$G$15,$M360-$A$15,BB$13)))</f>
        <v>1000000000000</v>
      </c>
      <c r="BC360" s="173">
        <f ca="1">IF(OR($D360&lt;&gt;"Serviço",AND(AUTOEVENTO="Manual",$M360=$A$15),$M360&gt;(ROW(PLE.lastrow)-ROW(PLE.firstrow))),0,
           IF(OFFSET(PLE!$G$15,$M360-$A$15,BC$13)="",10^12,OFFSET(PLE!$G$15,$M360-$A$15,BC$13)))</f>
        <v>1000000000000</v>
      </c>
      <c r="BD360" s="173">
        <f ca="1">IF(OR($D360&lt;&gt;"Serviço",AND(AUTOEVENTO="Manual",$M360=$A$15),$M360&gt;(ROW(PLE.lastrow)-ROW(PLE.firstrow))),0,
           IF(OFFSET(PLE!$G$15,$M360-$A$15,BD$13)="",10^12,OFFSET(PLE!$G$15,$M360-$A$15,BD$13)))</f>
        <v>1000000000000</v>
      </c>
      <c r="BE360" s="173">
        <f ca="1">IF(OR($D360&lt;&gt;"Serviço",AND(AUTOEVENTO="Manual",$M360=$A$15),$M360&gt;(ROW(PLE.lastrow)-ROW(PLE.firstrow))),0,
           IF(OFFSET(PLE!$G$15,$M360-$A$15,BE$13)="",10^12,OFFSET(PLE!$G$15,$M360-$A$15,BE$13)))</f>
        <v>1000000000000</v>
      </c>
      <c r="BF360" s="173">
        <f ca="1">IF(OR($D360&lt;&gt;"Serviço",AND(AUTOEVENTO="Manual",$M360=$A$15),$M360&gt;(ROW(PLE.lastrow)-ROW(PLE.firstrow))),0,
           IF(OFFSET(PLE!$G$15,$M360-$A$15,BF$13)="",10^12,OFFSET(PLE!$G$15,$M360-$A$15,BF$13)))</f>
        <v>1000000000000</v>
      </c>
      <c r="BG360" s="173">
        <f ca="1">IF(OR($D360&lt;&gt;"Serviço",AND(AUTOEVENTO="Manual",$M360=$A$15),$M360&gt;(ROW(PLE.lastrow)-ROW(PLE.firstrow))),0,
           IF(OFFSET(PLE!$G$15,$M360-$A$15,BG$13)="",10^12,OFFSET(PLE!$G$15,$M360-$A$15,BG$13)))</f>
        <v>1000000000000</v>
      </c>
    </row>
    <row r="361" spans="1:59" ht="25.5" x14ac:dyDescent="0.2">
      <c r="A361" s="7" t="str">
        <f t="shared" ca="1" si="13"/>
        <v>331</v>
      </c>
      <c r="B361" s="7" t="str">
        <f ca="1">OFFSET(ORÇAMENTO!C$15,ROW(B361)-ROW(B$15),0)</f>
        <v>S</v>
      </c>
      <c r="C361" s="7" t="str">
        <f ca="1">OFFSET(ORÇAMENTO!L$15,ROW(C361)-ROW(C$15),0)</f>
        <v/>
      </c>
      <c r="D361" s="117" t="str">
        <f ca="1">OFFSET(ORÇAMENTO!N$15,ROW(D361)-ROW(D$15),0)</f>
        <v>Serviço</v>
      </c>
      <c r="E361" s="118" t="str">
        <f ca="1">OFFSET(ORÇAMENTO!O$15,ROW(E361)-ROW(E$15),0)</f>
        <v>-</v>
      </c>
      <c r="F361" s="164" t="str">
        <f ca="1">OFFSET(ORÇAMENTO!R$15,ROW(F361)-ROW(F$15),0)</f>
        <v>CONCRETAGEM DE PILARES, FCK = 25 MPA, COM USO DE BOMBA - LANÇAMENTO, ADENSAMENTO E ACABAMENTO. AF_02/2022_PS</v>
      </c>
      <c r="G361" s="165" t="str">
        <f ca="1">IF($D361&lt;&gt;"Serviço","",OFFSET(ORÇAMENTO!S$15,ROW(G361)-ROW(G$15),0))</f>
        <v>M3</v>
      </c>
      <c r="H361" s="123">
        <f ca="1">IF($D361&lt;&gt;"Serviço",0,IF(ACOMPANHAMENTO="BM",ROUND(OFFSET(ORÇAMENTO!AJ$15,ROW(H361)-ROW(H$15),0),15-13*ORÇAMENTO!$AF$7),SUMPRODUCT(($Q$1:$AA$1=1)*ROUND($Q361:$AA361,15-13*ORÇAMENTO!$AF$7))))</f>
        <v>3.04</v>
      </c>
      <c r="I361" s="469"/>
      <c r="J361" s="577" t="str" cm="1">
        <f t="array" aca="1" ref="J361" ca="1">IF(B361&lt;&gt;"S","",IF(AND(ACOMPANHAMENTO="PLE",AUTOEVENTO="Manual",OR(H361&gt;0,ORÇAMENTO!AC361="QUANT."),OR(K361="",M361=0,N361="")),"►",IF(AND(ACOMPANHAMENTO="PLE",ORÇAMENTO!AC361="QUANT."),"►►",IF(AND(COUNTIF($P$11:$AA$11,"▼")=0,H361&gt;0,I361=""),"◄",""))))</f>
        <v>◄</v>
      </c>
      <c r="K361" s="626"/>
      <c r="L361" s="166" t="s">
        <v>765</v>
      </c>
      <c r="M361" s="167">
        <f ca="1">IF($D361&lt;&gt;"Serviço","",
          IF(AUTOEVENTO="manual",$A361,
                IF(ISERROR(MATCH($A361,$A$15:OFFSET($A361,-1,0),0)),MAX($M$15:OFFSET(M361,-1,0))+1,
                      INDEX($M$15:OFFSET(M361,-1,0),MATCH($A361,$A$15:OFFSET($A361,-1,0),0)))))</f>
        <v>19</v>
      </c>
      <c r="N361" s="168" t="str">
        <f ca="1">IF($D361&lt;&gt;"Serviço","",
         IF(AUTOEVENTO="Manual",
                IF($A361=0,"&lt;-- defina o número do agrupador",
                       OFFSET(EVENTOS!$D$15,$A361-$A$15,0)),
                OFFSET($F$15,$A361,0)))</f>
        <v>FECHAMENTOS EXTERNOS</v>
      </c>
      <c r="O361" s="169"/>
      <c r="Q361" s="169"/>
      <c r="R361" s="170"/>
      <c r="S361" s="170"/>
      <c r="T361" s="170"/>
      <c r="U361" s="170"/>
      <c r="V361" s="170"/>
      <c r="W361" s="170"/>
      <c r="X361" s="170"/>
      <c r="Y361" s="170"/>
      <c r="Z361" s="171"/>
      <c r="AB361" s="454">
        <f ca="1">IF(AND($D361="Serviço",AB$12&lt;&gt;0,$H361&gt;0,OR(AUTOEVENTO&lt;&gt;"manual",$M361&lt;&gt;$A$15)),
        IF(Import.TipoArredondamento&lt;&gt;"TransfereGOV",
              ROUND(OFFSET($P361,0,AB$13),15-13*ORÇAMENTO!$AF$7)/$H361*OFFSET(ORÇAMENTO!$X$15,ROW(AB361)-ROW(AB$15),0),
              ROUND(ROUND(OFFSET($P361,0,AB$13),15-13*ORÇAMENTO!$AF$7)*OFFSET(ORÇAMENTO!$W$15,ROW(AB361)-ROW(AB$15),0),15-13*ORÇAMENTO!$AF$11)),
         0)</f>
        <v>0</v>
      </c>
      <c r="AC361" s="454">
        <f ca="1">IF(AND($D361="Serviço",AC$12&lt;&gt;0,$H361&gt;0,OR(AUTOEVENTO&lt;&gt;"manual",$M361&lt;&gt;$A$15)),
        IF(Import.TipoArredondamento&lt;&gt;"TransfereGOV",
              ROUND(OFFSET($P361,0,AC$13),15-13*ORÇAMENTO!$AF$7)/$H361*OFFSET(ORÇAMENTO!$X$15,ROW(AC361)-ROW(AC$15),0),
              ROUND(ROUND(OFFSET($P361,0,AC$13),15-13*ORÇAMENTO!$AF$7)*OFFSET(ORÇAMENTO!$W$15,ROW(AC361)-ROW(AC$15),0),15-13*ORÇAMENTO!$AF$11)),
         0)</f>
        <v>0</v>
      </c>
      <c r="AD361" s="454">
        <f ca="1">IF(AND($D361="Serviço",AD$12&lt;&gt;0,$H361&gt;0,OR(AUTOEVENTO&lt;&gt;"manual",$M361&lt;&gt;$A$15)),
        IF(Import.TipoArredondamento&lt;&gt;"TransfereGOV",
              ROUND(OFFSET($P361,0,AD$13),15-13*ORÇAMENTO!$AF$7)/$H361*OFFSET(ORÇAMENTO!$X$15,ROW(AD361)-ROW(AD$15),0),
              ROUND(ROUND(OFFSET($P361,0,AD$13),15-13*ORÇAMENTO!$AF$7)*OFFSET(ORÇAMENTO!$W$15,ROW(AD361)-ROW(AD$15),0),15-13*ORÇAMENTO!$AF$11)),
         0)</f>
        <v>0</v>
      </c>
      <c r="AE361" s="454">
        <f ca="1">IF(AND($D361="Serviço",AE$12&lt;&gt;0,$H361&gt;0,OR(AUTOEVENTO&lt;&gt;"manual",$M361&lt;&gt;$A$15)),
        IF(Import.TipoArredondamento&lt;&gt;"TransfereGOV",
              ROUND(OFFSET($P361,0,AE$13),15-13*ORÇAMENTO!$AF$7)/$H361*OFFSET(ORÇAMENTO!$X$15,ROW(AE361)-ROW(AE$15),0),
              ROUND(ROUND(OFFSET($P361,0,AE$13),15-13*ORÇAMENTO!$AF$7)*OFFSET(ORÇAMENTO!$W$15,ROW(AE361)-ROW(AE$15),0),15-13*ORÇAMENTO!$AF$11)),
         0)</f>
        <v>0</v>
      </c>
      <c r="AF361" s="454">
        <f ca="1">IF(AND($D361="Serviço",AF$12&lt;&gt;0,$H361&gt;0,OR(AUTOEVENTO&lt;&gt;"manual",$M361&lt;&gt;$A$15)),
        IF(Import.TipoArredondamento&lt;&gt;"TransfereGOV",
              ROUND(OFFSET($P361,0,AF$13),15-13*ORÇAMENTO!$AF$7)/$H361*OFFSET(ORÇAMENTO!$X$15,ROW(AF361)-ROW(AF$15),0),
              ROUND(ROUND(OFFSET($P361,0,AF$13),15-13*ORÇAMENTO!$AF$7)*OFFSET(ORÇAMENTO!$W$15,ROW(AF361)-ROW(AF$15),0),15-13*ORÇAMENTO!$AF$11)),
         0)</f>
        <v>0</v>
      </c>
      <c r="AG361" s="454">
        <f ca="1">IF(AND($D361="Serviço",AG$12&lt;&gt;0,$H361&gt;0,OR(AUTOEVENTO&lt;&gt;"manual",$M361&lt;&gt;$A$15)),
        IF(Import.TipoArredondamento&lt;&gt;"TransfereGOV",
              ROUND(OFFSET($P361,0,AG$13),15-13*ORÇAMENTO!$AF$7)/$H361*OFFSET(ORÇAMENTO!$X$15,ROW(AG361)-ROW(AG$15),0),
              ROUND(ROUND(OFFSET($P361,0,AG$13),15-13*ORÇAMENTO!$AF$7)*OFFSET(ORÇAMENTO!$W$15,ROW(AG361)-ROW(AG$15),0),15-13*ORÇAMENTO!$AF$11)),
         0)</f>
        <v>0</v>
      </c>
      <c r="AH361" s="454">
        <f ca="1">IF(AND($D361="Serviço",AH$12&lt;&gt;0,$H361&gt;0,OR(AUTOEVENTO&lt;&gt;"manual",$M361&lt;&gt;$A$15)),
        IF(Import.TipoArredondamento&lt;&gt;"TransfereGOV",
              ROUND(OFFSET($P361,0,AH$13),15-13*ORÇAMENTO!$AF$7)/$H361*OFFSET(ORÇAMENTO!$X$15,ROW(AH361)-ROW(AH$15),0),
              ROUND(ROUND(OFFSET($P361,0,AH$13),15-13*ORÇAMENTO!$AF$7)*OFFSET(ORÇAMENTO!$W$15,ROW(AH361)-ROW(AH$15),0),15-13*ORÇAMENTO!$AF$11)),
         0)</f>
        <v>0</v>
      </c>
      <c r="AI361" s="454">
        <f ca="1">IF(AND($D361="Serviço",AI$12&lt;&gt;0,$H361&gt;0,OR(AUTOEVENTO&lt;&gt;"manual",$M361&lt;&gt;$A$15)),
        IF(Import.TipoArredondamento&lt;&gt;"TransfereGOV",
              ROUND(OFFSET($P361,0,AI$13),15-13*ORÇAMENTO!$AF$7)/$H361*OFFSET(ORÇAMENTO!$X$15,ROW(AI361)-ROW(AI$15),0),
              ROUND(ROUND(OFFSET($P361,0,AI$13),15-13*ORÇAMENTO!$AF$7)*OFFSET(ORÇAMENTO!$W$15,ROW(AI361)-ROW(AI$15),0),15-13*ORÇAMENTO!$AF$11)),
         0)</f>
        <v>0</v>
      </c>
      <c r="AJ361" s="454">
        <f ca="1">IF(AND($D361="Serviço",AJ$12&lt;&gt;0,$H361&gt;0,OR(AUTOEVENTO&lt;&gt;"manual",$M361&lt;&gt;$A$15)),
        IF(Import.TipoArredondamento&lt;&gt;"TransfereGOV",
              ROUND(OFFSET($P361,0,AJ$13),15-13*ORÇAMENTO!$AF$7)/$H361*OFFSET(ORÇAMENTO!$X$15,ROW(AJ361)-ROW(AJ$15),0),
              ROUND(ROUND(OFFSET($P361,0,AJ$13),15-13*ORÇAMENTO!$AF$7)*OFFSET(ORÇAMENTO!$W$15,ROW(AJ361)-ROW(AJ$15),0),15-13*ORÇAMENTO!$AF$11)),
         0)</f>
        <v>0</v>
      </c>
      <c r="AK361" s="454">
        <f ca="1">IF(AND($D361="Serviço",AK$12&lt;&gt;0,$H361&gt;0,OR(AUTOEVENTO&lt;&gt;"manual",$M361&lt;&gt;$A$15)),
        IF(Import.TipoArredondamento&lt;&gt;"TransfereGOV",
              ROUND(OFFSET($P361,0,AK$13),15-13*ORÇAMENTO!$AF$7)/$H361*OFFSET(ORÇAMENTO!$X$15,ROW(AK361)-ROW(AK$15),0),
              ROUND(ROUND(OFFSET($P361,0,AK$13),15-13*ORÇAMENTO!$AF$7)*OFFSET(ORÇAMENTO!$W$15,ROW(AK361)-ROW(AK$15),0),15-13*ORÇAMENTO!$AF$11)),
         0)</f>
        <v>0</v>
      </c>
      <c r="AM361" s="172">
        <f ca="1">IF(OR($D361&lt;&gt;"Serviço",AND(AUTOEVENTO="Manual",$M361=$A$15)),0,
         IF(OFFSET(CRONOPLE!$F$15,$M361-$A$15,AM$13)="",10^12,OFFSET(CRONOPLE!$F$15,$M361-$A$15,AM$13)))</f>
        <v>1000000000000</v>
      </c>
      <c r="AN361" s="172">
        <f ca="1">IF(OR($D361&lt;&gt;"Serviço",AND(AUTOEVENTO="Manual",$M361=$A$15)),0,
         IF(OFFSET(CRONOPLE!$F$15,$M361-$A$15,AN$13)="",10^12,OFFSET(CRONOPLE!$F$15,$M361-$A$15,AN$13)))</f>
        <v>1000000000000</v>
      </c>
      <c r="AO361" s="172">
        <f ca="1">IF(OR($D361&lt;&gt;"Serviço",AND(AUTOEVENTO="Manual",$M361=$A$15)),0,
         IF(OFFSET(CRONOPLE!$F$15,$M361-$A$15,AO$13)="",10^12,OFFSET(CRONOPLE!$F$15,$M361-$A$15,AO$13)))</f>
        <v>1000000000000</v>
      </c>
      <c r="AP361" s="172">
        <f ca="1">IF(OR($D361&lt;&gt;"Serviço",AND(AUTOEVENTO="Manual",$M361=$A$15)),0,
         IF(OFFSET(CRONOPLE!$F$15,$M361-$A$15,AP$13)="",10^12,OFFSET(CRONOPLE!$F$15,$M361-$A$15,AP$13)))</f>
        <v>1000000000000</v>
      </c>
      <c r="AQ361" s="172">
        <f ca="1">IF(OR($D361&lt;&gt;"Serviço",AND(AUTOEVENTO="Manual",$M361=$A$15)),0,
         IF(OFFSET(CRONOPLE!$F$15,$M361-$A$15,AQ$13)="",10^12,OFFSET(CRONOPLE!$F$15,$M361-$A$15,AQ$13)))</f>
        <v>1000000000000</v>
      </c>
      <c r="AR361" s="172">
        <f ca="1">IF(OR($D361&lt;&gt;"Serviço",AND(AUTOEVENTO="Manual",$M361=$A$15)),0,
         IF(OFFSET(CRONOPLE!$F$15,$M361-$A$15,AR$13)="",10^12,OFFSET(CRONOPLE!$F$15,$M361-$A$15,AR$13)))</f>
        <v>1000000000000</v>
      </c>
      <c r="AS361" s="172">
        <f ca="1">IF(OR($D361&lt;&gt;"Serviço",AND(AUTOEVENTO="Manual",$M361=$A$15)),0,
         IF(OFFSET(CRONOPLE!$F$15,$M361-$A$15,AS$13)="",10^12,OFFSET(CRONOPLE!$F$15,$M361-$A$15,AS$13)))</f>
        <v>1000000000000</v>
      </c>
      <c r="AT361" s="172">
        <f ca="1">IF(OR($D361&lt;&gt;"Serviço",AND(AUTOEVENTO="Manual",$M361=$A$15)),0,
         IF(OFFSET(CRONOPLE!$F$15,$M361-$A$15,AT$13)="",10^12,OFFSET(CRONOPLE!$F$15,$M361-$A$15,AT$13)))</f>
        <v>1000000000000</v>
      </c>
      <c r="AU361" s="172">
        <f ca="1">IF(OR($D361&lt;&gt;"Serviço",AND(AUTOEVENTO="Manual",$M361=$A$15)),0,
         IF(OFFSET(CRONOPLE!$F$15,$M361-$A$15,AU$13)="",10^12,OFFSET(CRONOPLE!$F$15,$M361-$A$15,AU$13)))</f>
        <v>1000000000000</v>
      </c>
      <c r="AV361" s="172">
        <f ca="1">IF(OR($D361&lt;&gt;"Serviço",AND(AUTOEVENTO="Manual",$M361=$A$15)),0,
         IF(OFFSET(CRONOPLE!$F$15,$M361-$A$15,AV$13)="",10^12,OFFSET(CRONOPLE!$F$15,$M361-$A$15,AV$13)))</f>
        <v>1000000000000</v>
      </c>
      <c r="AX361" s="173">
        <f ca="1">IF(OR($D361&lt;&gt;"Serviço",AND(AUTOEVENTO="Manual",$M361=$A$15),$M361&gt;(ROW(PLE.lastrow)-ROW(PLE.firstrow))),0,
           IF(OFFSET(PLE!$G$15,$M361-$A$15,AX$13)="",10^12,OFFSET(PLE!$G$15,$M361-$A$15,AX$13)))</f>
        <v>1000000000000</v>
      </c>
      <c r="AY361" s="173">
        <f ca="1">IF(OR($D361&lt;&gt;"Serviço",AND(AUTOEVENTO="Manual",$M361=$A$15),$M361&gt;(ROW(PLE.lastrow)-ROW(PLE.firstrow))),0,
           IF(OFFSET(PLE!$G$15,$M361-$A$15,AY$13)="",10^12,OFFSET(PLE!$G$15,$M361-$A$15,AY$13)))</f>
        <v>1000000000000</v>
      </c>
      <c r="AZ361" s="173">
        <f ca="1">IF(OR($D361&lt;&gt;"Serviço",AND(AUTOEVENTO="Manual",$M361=$A$15),$M361&gt;(ROW(PLE.lastrow)-ROW(PLE.firstrow))),0,
           IF(OFFSET(PLE!$G$15,$M361-$A$15,AZ$13)="",10^12,OFFSET(PLE!$G$15,$M361-$A$15,AZ$13)))</f>
        <v>1000000000000</v>
      </c>
      <c r="BA361" s="173">
        <f ca="1">IF(OR($D361&lt;&gt;"Serviço",AND(AUTOEVENTO="Manual",$M361=$A$15),$M361&gt;(ROW(PLE.lastrow)-ROW(PLE.firstrow))),0,
           IF(OFFSET(PLE!$G$15,$M361-$A$15,BA$13)="",10^12,OFFSET(PLE!$G$15,$M361-$A$15,BA$13)))</f>
        <v>1000000000000</v>
      </c>
      <c r="BB361" s="173">
        <f ca="1">IF(OR($D361&lt;&gt;"Serviço",AND(AUTOEVENTO="Manual",$M361=$A$15),$M361&gt;(ROW(PLE.lastrow)-ROW(PLE.firstrow))),0,
           IF(OFFSET(PLE!$G$15,$M361-$A$15,BB$13)="",10^12,OFFSET(PLE!$G$15,$M361-$A$15,BB$13)))</f>
        <v>1000000000000</v>
      </c>
      <c r="BC361" s="173">
        <f ca="1">IF(OR($D361&lt;&gt;"Serviço",AND(AUTOEVENTO="Manual",$M361=$A$15),$M361&gt;(ROW(PLE.lastrow)-ROW(PLE.firstrow))),0,
           IF(OFFSET(PLE!$G$15,$M361-$A$15,BC$13)="",10^12,OFFSET(PLE!$G$15,$M361-$A$15,BC$13)))</f>
        <v>1000000000000</v>
      </c>
      <c r="BD361" s="173">
        <f ca="1">IF(OR($D361&lt;&gt;"Serviço",AND(AUTOEVENTO="Manual",$M361=$A$15),$M361&gt;(ROW(PLE.lastrow)-ROW(PLE.firstrow))),0,
           IF(OFFSET(PLE!$G$15,$M361-$A$15,BD$13)="",10^12,OFFSET(PLE!$G$15,$M361-$A$15,BD$13)))</f>
        <v>1000000000000</v>
      </c>
      <c r="BE361" s="173">
        <f ca="1">IF(OR($D361&lt;&gt;"Serviço",AND(AUTOEVENTO="Manual",$M361=$A$15),$M361&gt;(ROW(PLE.lastrow)-ROW(PLE.firstrow))),0,
           IF(OFFSET(PLE!$G$15,$M361-$A$15,BE$13)="",10^12,OFFSET(PLE!$G$15,$M361-$A$15,BE$13)))</f>
        <v>1000000000000</v>
      </c>
      <c r="BF361" s="173">
        <f ca="1">IF(OR($D361&lt;&gt;"Serviço",AND(AUTOEVENTO="Manual",$M361=$A$15),$M361&gt;(ROW(PLE.lastrow)-ROW(PLE.firstrow))),0,
           IF(OFFSET(PLE!$G$15,$M361-$A$15,BF$13)="",10^12,OFFSET(PLE!$G$15,$M361-$A$15,BF$13)))</f>
        <v>1000000000000</v>
      </c>
      <c r="BG361" s="173">
        <f ca="1">IF(OR($D361&lt;&gt;"Serviço",AND(AUTOEVENTO="Manual",$M361=$A$15),$M361&gt;(ROW(PLE.lastrow)-ROW(PLE.firstrow))),0,
           IF(OFFSET(PLE!$G$15,$M361-$A$15,BG$13)="",10^12,OFFSET(PLE!$G$15,$M361-$A$15,BG$13)))</f>
        <v>1000000000000</v>
      </c>
    </row>
    <row r="362" spans="1:59" ht="51" x14ac:dyDescent="0.2">
      <c r="A362" s="7" t="str">
        <f t="shared" ca="1" si="13"/>
        <v>331</v>
      </c>
      <c r="B362" s="7" t="str">
        <f ca="1">OFFSET(ORÇAMENTO!C$15,ROW(B362)-ROW(B$15),0)</f>
        <v>S</v>
      </c>
      <c r="C362" s="7" t="str">
        <f ca="1">OFFSET(ORÇAMENTO!L$15,ROW(C362)-ROW(C$15),0)</f>
        <v/>
      </c>
      <c r="D362" s="117" t="str">
        <f ca="1">OFFSET(ORÇAMENTO!N$15,ROW(D362)-ROW(D$15),0)</f>
        <v>Serviço</v>
      </c>
      <c r="E362" s="118" t="str">
        <f ca="1">OFFSET(ORÇAMENTO!O$15,ROW(E362)-ROW(E$15),0)</f>
        <v>-</v>
      </c>
      <c r="F362" s="164" t="str">
        <f ca="1">OFFSET(ORÇAMENTO!R$15,ROW(F362)-ROW(F$15),0)</f>
        <v>ALVENARIA DE VEDAÇÃO DE BLOCOS CERÂMICOS FURADOS NA HORIZONTAL DE 11,5X19X19 CM (ESPESSURA 11,5 CM) E ARGAMASSA DE ASSENTAMENTO COM PREPARO MANUAL. AF_12/2021</v>
      </c>
      <c r="G362" s="165" t="str">
        <f ca="1">IF($D362&lt;&gt;"Serviço","",OFFSET(ORÇAMENTO!S$15,ROW(G362)-ROW(G$15),0))</f>
        <v>M2</v>
      </c>
      <c r="H362" s="123">
        <f ca="1">IF($D362&lt;&gt;"Serviço",0,IF(ACOMPANHAMENTO="BM",ROUND(OFFSET(ORÇAMENTO!AJ$15,ROW(H362)-ROW(H$15),0),15-13*ORÇAMENTO!$AF$7),SUMPRODUCT(($Q$1:$AA$1=1)*ROUND($Q362:$AA362,15-13*ORÇAMENTO!$AF$7))))</f>
        <v>207.84</v>
      </c>
      <c r="I362" s="469"/>
      <c r="J362" s="577" t="str" cm="1">
        <f t="array" aca="1" ref="J362" ca="1">IF(B362&lt;&gt;"S","",IF(AND(ACOMPANHAMENTO="PLE",AUTOEVENTO="Manual",OR(H362&gt;0,ORÇAMENTO!AC362="QUANT."),OR(K362="",M362=0,N362="")),"►",IF(AND(ACOMPANHAMENTO="PLE",ORÇAMENTO!AC362="QUANT."),"►►",IF(AND(COUNTIF($P$11:$AA$11,"▼")=0,H362&gt;0,I362=""),"◄",""))))</f>
        <v>◄</v>
      </c>
      <c r="K362" s="626"/>
      <c r="L362" s="166" t="s">
        <v>765</v>
      </c>
      <c r="M362" s="167">
        <f ca="1">IF($D362&lt;&gt;"Serviço","",
          IF(AUTOEVENTO="manual",$A362,
                IF(ISERROR(MATCH($A362,$A$15:OFFSET($A362,-1,0),0)),MAX($M$15:OFFSET(M362,-1,0))+1,
                      INDEX($M$15:OFFSET(M362,-1,0),MATCH($A362,$A$15:OFFSET($A362,-1,0),0)))))</f>
        <v>19</v>
      </c>
      <c r="N362" s="168" t="str">
        <f ca="1">IF($D362&lt;&gt;"Serviço","",
         IF(AUTOEVENTO="Manual",
                IF($A362=0,"&lt;-- defina o número do agrupador",
                       OFFSET(EVENTOS!$D$15,$A362-$A$15,0)),
                OFFSET($F$15,$A362,0)))</f>
        <v>FECHAMENTOS EXTERNOS</v>
      </c>
      <c r="O362" s="169"/>
      <c r="Q362" s="169"/>
      <c r="R362" s="170"/>
      <c r="S362" s="170"/>
      <c r="T362" s="170"/>
      <c r="U362" s="170"/>
      <c r="V362" s="170"/>
      <c r="W362" s="170"/>
      <c r="X362" s="170"/>
      <c r="Y362" s="170"/>
      <c r="Z362" s="171"/>
      <c r="AB362" s="454">
        <f ca="1">IF(AND($D362="Serviço",AB$12&lt;&gt;0,$H362&gt;0,OR(AUTOEVENTO&lt;&gt;"manual",$M362&lt;&gt;$A$15)),
        IF(Import.TipoArredondamento&lt;&gt;"TransfereGOV",
              ROUND(OFFSET($P362,0,AB$13),15-13*ORÇAMENTO!$AF$7)/$H362*OFFSET(ORÇAMENTO!$X$15,ROW(AB362)-ROW(AB$15),0),
              ROUND(ROUND(OFFSET($P362,0,AB$13),15-13*ORÇAMENTO!$AF$7)*OFFSET(ORÇAMENTO!$W$15,ROW(AB362)-ROW(AB$15),0),15-13*ORÇAMENTO!$AF$11)),
         0)</f>
        <v>0</v>
      </c>
      <c r="AC362" s="454">
        <f ca="1">IF(AND($D362="Serviço",AC$12&lt;&gt;0,$H362&gt;0,OR(AUTOEVENTO&lt;&gt;"manual",$M362&lt;&gt;$A$15)),
        IF(Import.TipoArredondamento&lt;&gt;"TransfereGOV",
              ROUND(OFFSET($P362,0,AC$13),15-13*ORÇAMENTO!$AF$7)/$H362*OFFSET(ORÇAMENTO!$X$15,ROW(AC362)-ROW(AC$15),0),
              ROUND(ROUND(OFFSET($P362,0,AC$13),15-13*ORÇAMENTO!$AF$7)*OFFSET(ORÇAMENTO!$W$15,ROW(AC362)-ROW(AC$15),0),15-13*ORÇAMENTO!$AF$11)),
         0)</f>
        <v>0</v>
      </c>
      <c r="AD362" s="454">
        <f ca="1">IF(AND($D362="Serviço",AD$12&lt;&gt;0,$H362&gt;0,OR(AUTOEVENTO&lt;&gt;"manual",$M362&lt;&gt;$A$15)),
        IF(Import.TipoArredondamento&lt;&gt;"TransfereGOV",
              ROUND(OFFSET($P362,0,AD$13),15-13*ORÇAMENTO!$AF$7)/$H362*OFFSET(ORÇAMENTO!$X$15,ROW(AD362)-ROW(AD$15),0),
              ROUND(ROUND(OFFSET($P362,0,AD$13),15-13*ORÇAMENTO!$AF$7)*OFFSET(ORÇAMENTO!$W$15,ROW(AD362)-ROW(AD$15),0),15-13*ORÇAMENTO!$AF$11)),
         0)</f>
        <v>0</v>
      </c>
      <c r="AE362" s="454">
        <f ca="1">IF(AND($D362="Serviço",AE$12&lt;&gt;0,$H362&gt;0,OR(AUTOEVENTO&lt;&gt;"manual",$M362&lt;&gt;$A$15)),
        IF(Import.TipoArredondamento&lt;&gt;"TransfereGOV",
              ROUND(OFFSET($P362,0,AE$13),15-13*ORÇAMENTO!$AF$7)/$H362*OFFSET(ORÇAMENTO!$X$15,ROW(AE362)-ROW(AE$15),0),
              ROUND(ROUND(OFFSET($P362,0,AE$13),15-13*ORÇAMENTO!$AF$7)*OFFSET(ORÇAMENTO!$W$15,ROW(AE362)-ROW(AE$15),0),15-13*ORÇAMENTO!$AF$11)),
         0)</f>
        <v>0</v>
      </c>
      <c r="AF362" s="454">
        <f ca="1">IF(AND($D362="Serviço",AF$12&lt;&gt;0,$H362&gt;0,OR(AUTOEVENTO&lt;&gt;"manual",$M362&lt;&gt;$A$15)),
        IF(Import.TipoArredondamento&lt;&gt;"TransfereGOV",
              ROUND(OFFSET($P362,0,AF$13),15-13*ORÇAMENTO!$AF$7)/$H362*OFFSET(ORÇAMENTO!$X$15,ROW(AF362)-ROW(AF$15),0),
              ROUND(ROUND(OFFSET($P362,0,AF$13),15-13*ORÇAMENTO!$AF$7)*OFFSET(ORÇAMENTO!$W$15,ROW(AF362)-ROW(AF$15),0),15-13*ORÇAMENTO!$AF$11)),
         0)</f>
        <v>0</v>
      </c>
      <c r="AG362" s="454">
        <f ca="1">IF(AND($D362="Serviço",AG$12&lt;&gt;0,$H362&gt;0,OR(AUTOEVENTO&lt;&gt;"manual",$M362&lt;&gt;$A$15)),
        IF(Import.TipoArredondamento&lt;&gt;"TransfereGOV",
              ROUND(OFFSET($P362,0,AG$13),15-13*ORÇAMENTO!$AF$7)/$H362*OFFSET(ORÇAMENTO!$X$15,ROW(AG362)-ROW(AG$15),0),
              ROUND(ROUND(OFFSET($P362,0,AG$13),15-13*ORÇAMENTO!$AF$7)*OFFSET(ORÇAMENTO!$W$15,ROW(AG362)-ROW(AG$15),0),15-13*ORÇAMENTO!$AF$11)),
         0)</f>
        <v>0</v>
      </c>
      <c r="AH362" s="454">
        <f ca="1">IF(AND($D362="Serviço",AH$12&lt;&gt;0,$H362&gt;0,OR(AUTOEVENTO&lt;&gt;"manual",$M362&lt;&gt;$A$15)),
        IF(Import.TipoArredondamento&lt;&gt;"TransfereGOV",
              ROUND(OFFSET($P362,0,AH$13),15-13*ORÇAMENTO!$AF$7)/$H362*OFFSET(ORÇAMENTO!$X$15,ROW(AH362)-ROW(AH$15),0),
              ROUND(ROUND(OFFSET($P362,0,AH$13),15-13*ORÇAMENTO!$AF$7)*OFFSET(ORÇAMENTO!$W$15,ROW(AH362)-ROW(AH$15),0),15-13*ORÇAMENTO!$AF$11)),
         0)</f>
        <v>0</v>
      </c>
      <c r="AI362" s="454">
        <f ca="1">IF(AND($D362="Serviço",AI$12&lt;&gt;0,$H362&gt;0,OR(AUTOEVENTO&lt;&gt;"manual",$M362&lt;&gt;$A$15)),
        IF(Import.TipoArredondamento&lt;&gt;"TransfereGOV",
              ROUND(OFFSET($P362,0,AI$13),15-13*ORÇAMENTO!$AF$7)/$H362*OFFSET(ORÇAMENTO!$X$15,ROW(AI362)-ROW(AI$15),0),
              ROUND(ROUND(OFFSET($P362,0,AI$13),15-13*ORÇAMENTO!$AF$7)*OFFSET(ORÇAMENTO!$W$15,ROW(AI362)-ROW(AI$15),0),15-13*ORÇAMENTO!$AF$11)),
         0)</f>
        <v>0</v>
      </c>
      <c r="AJ362" s="454">
        <f ca="1">IF(AND($D362="Serviço",AJ$12&lt;&gt;0,$H362&gt;0,OR(AUTOEVENTO&lt;&gt;"manual",$M362&lt;&gt;$A$15)),
        IF(Import.TipoArredondamento&lt;&gt;"TransfereGOV",
              ROUND(OFFSET($P362,0,AJ$13),15-13*ORÇAMENTO!$AF$7)/$H362*OFFSET(ORÇAMENTO!$X$15,ROW(AJ362)-ROW(AJ$15),0),
              ROUND(ROUND(OFFSET($P362,0,AJ$13),15-13*ORÇAMENTO!$AF$7)*OFFSET(ORÇAMENTO!$W$15,ROW(AJ362)-ROW(AJ$15),0),15-13*ORÇAMENTO!$AF$11)),
         0)</f>
        <v>0</v>
      </c>
      <c r="AK362" s="454">
        <f ca="1">IF(AND($D362="Serviço",AK$12&lt;&gt;0,$H362&gt;0,OR(AUTOEVENTO&lt;&gt;"manual",$M362&lt;&gt;$A$15)),
        IF(Import.TipoArredondamento&lt;&gt;"TransfereGOV",
              ROUND(OFFSET($P362,0,AK$13),15-13*ORÇAMENTO!$AF$7)/$H362*OFFSET(ORÇAMENTO!$X$15,ROW(AK362)-ROW(AK$15),0),
              ROUND(ROUND(OFFSET($P362,0,AK$13),15-13*ORÇAMENTO!$AF$7)*OFFSET(ORÇAMENTO!$W$15,ROW(AK362)-ROW(AK$15),0),15-13*ORÇAMENTO!$AF$11)),
         0)</f>
        <v>0</v>
      </c>
      <c r="AM362" s="172">
        <f ca="1">IF(OR($D362&lt;&gt;"Serviço",AND(AUTOEVENTO="Manual",$M362=$A$15)),0,
         IF(OFFSET(CRONOPLE!$F$15,$M362-$A$15,AM$13)="",10^12,OFFSET(CRONOPLE!$F$15,$M362-$A$15,AM$13)))</f>
        <v>1000000000000</v>
      </c>
      <c r="AN362" s="172">
        <f ca="1">IF(OR($D362&lt;&gt;"Serviço",AND(AUTOEVENTO="Manual",$M362=$A$15)),0,
         IF(OFFSET(CRONOPLE!$F$15,$M362-$A$15,AN$13)="",10^12,OFFSET(CRONOPLE!$F$15,$M362-$A$15,AN$13)))</f>
        <v>1000000000000</v>
      </c>
      <c r="AO362" s="172">
        <f ca="1">IF(OR($D362&lt;&gt;"Serviço",AND(AUTOEVENTO="Manual",$M362=$A$15)),0,
         IF(OFFSET(CRONOPLE!$F$15,$M362-$A$15,AO$13)="",10^12,OFFSET(CRONOPLE!$F$15,$M362-$A$15,AO$13)))</f>
        <v>1000000000000</v>
      </c>
      <c r="AP362" s="172">
        <f ca="1">IF(OR($D362&lt;&gt;"Serviço",AND(AUTOEVENTO="Manual",$M362=$A$15)),0,
         IF(OFFSET(CRONOPLE!$F$15,$M362-$A$15,AP$13)="",10^12,OFFSET(CRONOPLE!$F$15,$M362-$A$15,AP$13)))</f>
        <v>1000000000000</v>
      </c>
      <c r="AQ362" s="172">
        <f ca="1">IF(OR($D362&lt;&gt;"Serviço",AND(AUTOEVENTO="Manual",$M362=$A$15)),0,
         IF(OFFSET(CRONOPLE!$F$15,$M362-$A$15,AQ$13)="",10^12,OFFSET(CRONOPLE!$F$15,$M362-$A$15,AQ$13)))</f>
        <v>1000000000000</v>
      </c>
      <c r="AR362" s="172">
        <f ca="1">IF(OR($D362&lt;&gt;"Serviço",AND(AUTOEVENTO="Manual",$M362=$A$15)),0,
         IF(OFFSET(CRONOPLE!$F$15,$M362-$A$15,AR$13)="",10^12,OFFSET(CRONOPLE!$F$15,$M362-$A$15,AR$13)))</f>
        <v>1000000000000</v>
      </c>
      <c r="AS362" s="172">
        <f ca="1">IF(OR($D362&lt;&gt;"Serviço",AND(AUTOEVENTO="Manual",$M362=$A$15)),0,
         IF(OFFSET(CRONOPLE!$F$15,$M362-$A$15,AS$13)="",10^12,OFFSET(CRONOPLE!$F$15,$M362-$A$15,AS$13)))</f>
        <v>1000000000000</v>
      </c>
      <c r="AT362" s="172">
        <f ca="1">IF(OR($D362&lt;&gt;"Serviço",AND(AUTOEVENTO="Manual",$M362=$A$15)),0,
         IF(OFFSET(CRONOPLE!$F$15,$M362-$A$15,AT$13)="",10^12,OFFSET(CRONOPLE!$F$15,$M362-$A$15,AT$13)))</f>
        <v>1000000000000</v>
      </c>
      <c r="AU362" s="172">
        <f ca="1">IF(OR($D362&lt;&gt;"Serviço",AND(AUTOEVENTO="Manual",$M362=$A$15)),0,
         IF(OFFSET(CRONOPLE!$F$15,$M362-$A$15,AU$13)="",10^12,OFFSET(CRONOPLE!$F$15,$M362-$A$15,AU$13)))</f>
        <v>1000000000000</v>
      </c>
      <c r="AV362" s="172">
        <f ca="1">IF(OR($D362&lt;&gt;"Serviço",AND(AUTOEVENTO="Manual",$M362=$A$15)),0,
         IF(OFFSET(CRONOPLE!$F$15,$M362-$A$15,AV$13)="",10^12,OFFSET(CRONOPLE!$F$15,$M362-$A$15,AV$13)))</f>
        <v>1000000000000</v>
      </c>
      <c r="AX362" s="173">
        <f ca="1">IF(OR($D362&lt;&gt;"Serviço",AND(AUTOEVENTO="Manual",$M362=$A$15),$M362&gt;(ROW(PLE.lastrow)-ROW(PLE.firstrow))),0,
           IF(OFFSET(PLE!$G$15,$M362-$A$15,AX$13)="",10^12,OFFSET(PLE!$G$15,$M362-$A$15,AX$13)))</f>
        <v>1000000000000</v>
      </c>
      <c r="AY362" s="173">
        <f ca="1">IF(OR($D362&lt;&gt;"Serviço",AND(AUTOEVENTO="Manual",$M362=$A$15),$M362&gt;(ROW(PLE.lastrow)-ROW(PLE.firstrow))),0,
           IF(OFFSET(PLE!$G$15,$M362-$A$15,AY$13)="",10^12,OFFSET(PLE!$G$15,$M362-$A$15,AY$13)))</f>
        <v>1000000000000</v>
      </c>
      <c r="AZ362" s="173">
        <f ca="1">IF(OR($D362&lt;&gt;"Serviço",AND(AUTOEVENTO="Manual",$M362=$A$15),$M362&gt;(ROW(PLE.lastrow)-ROW(PLE.firstrow))),0,
           IF(OFFSET(PLE!$G$15,$M362-$A$15,AZ$13)="",10^12,OFFSET(PLE!$G$15,$M362-$A$15,AZ$13)))</f>
        <v>1000000000000</v>
      </c>
      <c r="BA362" s="173">
        <f ca="1">IF(OR($D362&lt;&gt;"Serviço",AND(AUTOEVENTO="Manual",$M362=$A$15),$M362&gt;(ROW(PLE.lastrow)-ROW(PLE.firstrow))),0,
           IF(OFFSET(PLE!$G$15,$M362-$A$15,BA$13)="",10^12,OFFSET(PLE!$G$15,$M362-$A$15,BA$13)))</f>
        <v>1000000000000</v>
      </c>
      <c r="BB362" s="173">
        <f ca="1">IF(OR($D362&lt;&gt;"Serviço",AND(AUTOEVENTO="Manual",$M362=$A$15),$M362&gt;(ROW(PLE.lastrow)-ROW(PLE.firstrow))),0,
           IF(OFFSET(PLE!$G$15,$M362-$A$15,BB$13)="",10^12,OFFSET(PLE!$G$15,$M362-$A$15,BB$13)))</f>
        <v>1000000000000</v>
      </c>
      <c r="BC362" s="173">
        <f ca="1">IF(OR($D362&lt;&gt;"Serviço",AND(AUTOEVENTO="Manual",$M362=$A$15),$M362&gt;(ROW(PLE.lastrow)-ROW(PLE.firstrow))),0,
           IF(OFFSET(PLE!$G$15,$M362-$A$15,BC$13)="",10^12,OFFSET(PLE!$G$15,$M362-$A$15,BC$13)))</f>
        <v>1000000000000</v>
      </c>
      <c r="BD362" s="173">
        <f ca="1">IF(OR($D362&lt;&gt;"Serviço",AND(AUTOEVENTO="Manual",$M362=$A$15),$M362&gt;(ROW(PLE.lastrow)-ROW(PLE.firstrow))),0,
           IF(OFFSET(PLE!$G$15,$M362-$A$15,BD$13)="",10^12,OFFSET(PLE!$G$15,$M362-$A$15,BD$13)))</f>
        <v>1000000000000</v>
      </c>
      <c r="BE362" s="173">
        <f ca="1">IF(OR($D362&lt;&gt;"Serviço",AND(AUTOEVENTO="Manual",$M362=$A$15),$M362&gt;(ROW(PLE.lastrow)-ROW(PLE.firstrow))),0,
           IF(OFFSET(PLE!$G$15,$M362-$A$15,BE$13)="",10^12,OFFSET(PLE!$G$15,$M362-$A$15,BE$13)))</f>
        <v>1000000000000</v>
      </c>
      <c r="BF362" s="173">
        <f ca="1">IF(OR($D362&lt;&gt;"Serviço",AND(AUTOEVENTO="Manual",$M362=$A$15),$M362&gt;(ROW(PLE.lastrow)-ROW(PLE.firstrow))),0,
           IF(OFFSET(PLE!$G$15,$M362-$A$15,BF$13)="",10^12,OFFSET(PLE!$G$15,$M362-$A$15,BF$13)))</f>
        <v>1000000000000</v>
      </c>
      <c r="BG362" s="173">
        <f ca="1">IF(OR($D362&lt;&gt;"Serviço",AND(AUTOEVENTO="Manual",$M362=$A$15),$M362&gt;(ROW(PLE.lastrow)-ROW(PLE.firstrow))),0,
           IF(OFFSET(PLE!$G$15,$M362-$A$15,BG$13)="",10^12,OFFSET(PLE!$G$15,$M362-$A$15,BG$13)))</f>
        <v>1000000000000</v>
      </c>
    </row>
    <row r="363" spans="1:59" ht="38.25" x14ac:dyDescent="0.2">
      <c r="A363" s="7" t="str">
        <f t="shared" ca="1" si="13"/>
        <v>331</v>
      </c>
      <c r="B363" s="7" t="str">
        <f ca="1">OFFSET(ORÇAMENTO!C$15,ROW(B363)-ROW(B$15),0)</f>
        <v>S</v>
      </c>
      <c r="C363" s="7" t="str">
        <f ca="1">OFFSET(ORÇAMENTO!L$15,ROW(C363)-ROW(C$15),0)</f>
        <v/>
      </c>
      <c r="D363" s="117" t="str">
        <f ca="1">OFFSET(ORÇAMENTO!N$15,ROW(D363)-ROW(D$15),0)</f>
        <v>Serviço</v>
      </c>
      <c r="E363" s="118" t="str">
        <f ca="1">OFFSET(ORÇAMENTO!O$15,ROW(E363)-ROW(E$15),0)</f>
        <v>-</v>
      </c>
      <c r="F363" s="164" t="str">
        <f ca="1">OFFSET(ORÇAMENTO!R$15,ROW(F363)-ROW(F$15),0)</f>
        <v>CHAPISCO APLICADO EM ALVENARIAS E ESTRUTURAS DE CONCRETO INTERNAS, COM COLHER DE PEDREIRO.  ARGAMASSA TRAÇO 1:3 COM PREPARO EM BETONEIRA 400L. AF_10/2022</v>
      </c>
      <c r="G363" s="165" t="str">
        <f ca="1">IF($D363&lt;&gt;"Serviço","",OFFSET(ORÇAMENTO!S$15,ROW(G363)-ROW(G$15),0))</f>
        <v>M2</v>
      </c>
      <c r="H363" s="123">
        <f ca="1">IF($D363&lt;&gt;"Serviço",0,IF(ACOMPANHAMENTO="BM",ROUND(OFFSET(ORÇAMENTO!AJ$15,ROW(H363)-ROW(H$15),0),15-13*ORÇAMENTO!$AF$7),SUMPRODUCT(($Q$1:$AA$1=1)*ROUND($Q363:$AA363,15-13*ORÇAMENTO!$AF$7))))</f>
        <v>498.89</v>
      </c>
      <c r="I363" s="469"/>
      <c r="J363" s="577" t="str" cm="1">
        <f t="array" aca="1" ref="J363" ca="1">IF(B363&lt;&gt;"S","",IF(AND(ACOMPANHAMENTO="PLE",AUTOEVENTO="Manual",OR(H363&gt;0,ORÇAMENTO!AC363="QUANT."),OR(K363="",M363=0,N363="")),"►",IF(AND(ACOMPANHAMENTO="PLE",ORÇAMENTO!AC363="QUANT."),"►►",IF(AND(COUNTIF($P$11:$AA$11,"▼")=0,H363&gt;0,I363=""),"◄",""))))</f>
        <v>◄</v>
      </c>
      <c r="K363" s="626"/>
      <c r="L363" s="166" t="s">
        <v>765</v>
      </c>
      <c r="M363" s="167">
        <f ca="1">IF($D363&lt;&gt;"Serviço","",
          IF(AUTOEVENTO="manual",$A363,
                IF(ISERROR(MATCH($A363,$A$15:OFFSET($A363,-1,0),0)),MAX($M$15:OFFSET(M363,-1,0))+1,
                      INDEX($M$15:OFFSET(M363,-1,0),MATCH($A363,$A$15:OFFSET($A363,-1,0),0)))))</f>
        <v>19</v>
      </c>
      <c r="N363" s="168" t="str">
        <f ca="1">IF($D363&lt;&gt;"Serviço","",
         IF(AUTOEVENTO="Manual",
                IF($A363=0,"&lt;-- defina o número do agrupador",
                       OFFSET(EVENTOS!$D$15,$A363-$A$15,0)),
                OFFSET($F$15,$A363,0)))</f>
        <v>FECHAMENTOS EXTERNOS</v>
      </c>
      <c r="O363" s="169"/>
      <c r="Q363" s="169"/>
      <c r="R363" s="170"/>
      <c r="S363" s="170"/>
      <c r="T363" s="170"/>
      <c r="U363" s="170"/>
      <c r="V363" s="170"/>
      <c r="W363" s="170"/>
      <c r="X363" s="170"/>
      <c r="Y363" s="170"/>
      <c r="Z363" s="171"/>
      <c r="AB363" s="454">
        <f ca="1">IF(AND($D363="Serviço",AB$12&lt;&gt;0,$H363&gt;0,OR(AUTOEVENTO&lt;&gt;"manual",$M363&lt;&gt;$A$15)),
        IF(Import.TipoArredondamento&lt;&gt;"TransfereGOV",
              ROUND(OFFSET($P363,0,AB$13),15-13*ORÇAMENTO!$AF$7)/$H363*OFFSET(ORÇAMENTO!$X$15,ROW(AB363)-ROW(AB$15),0),
              ROUND(ROUND(OFFSET($P363,0,AB$13),15-13*ORÇAMENTO!$AF$7)*OFFSET(ORÇAMENTO!$W$15,ROW(AB363)-ROW(AB$15),0),15-13*ORÇAMENTO!$AF$11)),
         0)</f>
        <v>0</v>
      </c>
      <c r="AC363" s="454">
        <f ca="1">IF(AND($D363="Serviço",AC$12&lt;&gt;0,$H363&gt;0,OR(AUTOEVENTO&lt;&gt;"manual",$M363&lt;&gt;$A$15)),
        IF(Import.TipoArredondamento&lt;&gt;"TransfereGOV",
              ROUND(OFFSET($P363,0,AC$13),15-13*ORÇAMENTO!$AF$7)/$H363*OFFSET(ORÇAMENTO!$X$15,ROW(AC363)-ROW(AC$15),0),
              ROUND(ROUND(OFFSET($P363,0,AC$13),15-13*ORÇAMENTO!$AF$7)*OFFSET(ORÇAMENTO!$W$15,ROW(AC363)-ROW(AC$15),0),15-13*ORÇAMENTO!$AF$11)),
         0)</f>
        <v>0</v>
      </c>
      <c r="AD363" s="454">
        <f ca="1">IF(AND($D363="Serviço",AD$12&lt;&gt;0,$H363&gt;0,OR(AUTOEVENTO&lt;&gt;"manual",$M363&lt;&gt;$A$15)),
        IF(Import.TipoArredondamento&lt;&gt;"TransfereGOV",
              ROUND(OFFSET($P363,0,AD$13),15-13*ORÇAMENTO!$AF$7)/$H363*OFFSET(ORÇAMENTO!$X$15,ROW(AD363)-ROW(AD$15),0),
              ROUND(ROUND(OFFSET($P363,0,AD$13),15-13*ORÇAMENTO!$AF$7)*OFFSET(ORÇAMENTO!$W$15,ROW(AD363)-ROW(AD$15),0),15-13*ORÇAMENTO!$AF$11)),
         0)</f>
        <v>0</v>
      </c>
      <c r="AE363" s="454">
        <f ca="1">IF(AND($D363="Serviço",AE$12&lt;&gt;0,$H363&gt;0,OR(AUTOEVENTO&lt;&gt;"manual",$M363&lt;&gt;$A$15)),
        IF(Import.TipoArredondamento&lt;&gt;"TransfereGOV",
              ROUND(OFFSET($P363,0,AE$13),15-13*ORÇAMENTO!$AF$7)/$H363*OFFSET(ORÇAMENTO!$X$15,ROW(AE363)-ROW(AE$15),0),
              ROUND(ROUND(OFFSET($P363,0,AE$13),15-13*ORÇAMENTO!$AF$7)*OFFSET(ORÇAMENTO!$W$15,ROW(AE363)-ROW(AE$15),0),15-13*ORÇAMENTO!$AF$11)),
         0)</f>
        <v>0</v>
      </c>
      <c r="AF363" s="454">
        <f ca="1">IF(AND($D363="Serviço",AF$12&lt;&gt;0,$H363&gt;0,OR(AUTOEVENTO&lt;&gt;"manual",$M363&lt;&gt;$A$15)),
        IF(Import.TipoArredondamento&lt;&gt;"TransfereGOV",
              ROUND(OFFSET($P363,0,AF$13),15-13*ORÇAMENTO!$AF$7)/$H363*OFFSET(ORÇAMENTO!$X$15,ROW(AF363)-ROW(AF$15),0),
              ROUND(ROUND(OFFSET($P363,0,AF$13),15-13*ORÇAMENTO!$AF$7)*OFFSET(ORÇAMENTO!$W$15,ROW(AF363)-ROW(AF$15),0),15-13*ORÇAMENTO!$AF$11)),
         0)</f>
        <v>0</v>
      </c>
      <c r="AG363" s="454">
        <f ca="1">IF(AND($D363="Serviço",AG$12&lt;&gt;0,$H363&gt;0,OR(AUTOEVENTO&lt;&gt;"manual",$M363&lt;&gt;$A$15)),
        IF(Import.TipoArredondamento&lt;&gt;"TransfereGOV",
              ROUND(OFFSET($P363,0,AG$13),15-13*ORÇAMENTO!$AF$7)/$H363*OFFSET(ORÇAMENTO!$X$15,ROW(AG363)-ROW(AG$15),0),
              ROUND(ROUND(OFFSET($P363,0,AG$13),15-13*ORÇAMENTO!$AF$7)*OFFSET(ORÇAMENTO!$W$15,ROW(AG363)-ROW(AG$15),0),15-13*ORÇAMENTO!$AF$11)),
         0)</f>
        <v>0</v>
      </c>
      <c r="AH363" s="454">
        <f ca="1">IF(AND($D363="Serviço",AH$12&lt;&gt;0,$H363&gt;0,OR(AUTOEVENTO&lt;&gt;"manual",$M363&lt;&gt;$A$15)),
        IF(Import.TipoArredondamento&lt;&gt;"TransfereGOV",
              ROUND(OFFSET($P363,0,AH$13),15-13*ORÇAMENTO!$AF$7)/$H363*OFFSET(ORÇAMENTO!$X$15,ROW(AH363)-ROW(AH$15),0),
              ROUND(ROUND(OFFSET($P363,0,AH$13),15-13*ORÇAMENTO!$AF$7)*OFFSET(ORÇAMENTO!$W$15,ROW(AH363)-ROW(AH$15),0),15-13*ORÇAMENTO!$AF$11)),
         0)</f>
        <v>0</v>
      </c>
      <c r="AI363" s="454">
        <f ca="1">IF(AND($D363="Serviço",AI$12&lt;&gt;0,$H363&gt;0,OR(AUTOEVENTO&lt;&gt;"manual",$M363&lt;&gt;$A$15)),
        IF(Import.TipoArredondamento&lt;&gt;"TransfereGOV",
              ROUND(OFFSET($P363,0,AI$13),15-13*ORÇAMENTO!$AF$7)/$H363*OFFSET(ORÇAMENTO!$X$15,ROW(AI363)-ROW(AI$15),0),
              ROUND(ROUND(OFFSET($P363,0,AI$13),15-13*ORÇAMENTO!$AF$7)*OFFSET(ORÇAMENTO!$W$15,ROW(AI363)-ROW(AI$15),0),15-13*ORÇAMENTO!$AF$11)),
         0)</f>
        <v>0</v>
      </c>
      <c r="AJ363" s="454">
        <f ca="1">IF(AND($D363="Serviço",AJ$12&lt;&gt;0,$H363&gt;0,OR(AUTOEVENTO&lt;&gt;"manual",$M363&lt;&gt;$A$15)),
        IF(Import.TipoArredondamento&lt;&gt;"TransfereGOV",
              ROUND(OFFSET($P363,0,AJ$13),15-13*ORÇAMENTO!$AF$7)/$H363*OFFSET(ORÇAMENTO!$X$15,ROW(AJ363)-ROW(AJ$15),0),
              ROUND(ROUND(OFFSET($P363,0,AJ$13),15-13*ORÇAMENTO!$AF$7)*OFFSET(ORÇAMENTO!$W$15,ROW(AJ363)-ROW(AJ$15),0),15-13*ORÇAMENTO!$AF$11)),
         0)</f>
        <v>0</v>
      </c>
      <c r="AK363" s="454">
        <f ca="1">IF(AND($D363="Serviço",AK$12&lt;&gt;0,$H363&gt;0,OR(AUTOEVENTO&lt;&gt;"manual",$M363&lt;&gt;$A$15)),
        IF(Import.TipoArredondamento&lt;&gt;"TransfereGOV",
              ROUND(OFFSET($P363,0,AK$13),15-13*ORÇAMENTO!$AF$7)/$H363*OFFSET(ORÇAMENTO!$X$15,ROW(AK363)-ROW(AK$15),0),
              ROUND(ROUND(OFFSET($P363,0,AK$13),15-13*ORÇAMENTO!$AF$7)*OFFSET(ORÇAMENTO!$W$15,ROW(AK363)-ROW(AK$15),0),15-13*ORÇAMENTO!$AF$11)),
         0)</f>
        <v>0</v>
      </c>
      <c r="AM363" s="172">
        <f ca="1">IF(OR($D363&lt;&gt;"Serviço",AND(AUTOEVENTO="Manual",$M363=$A$15)),0,
         IF(OFFSET(CRONOPLE!$F$15,$M363-$A$15,AM$13)="",10^12,OFFSET(CRONOPLE!$F$15,$M363-$A$15,AM$13)))</f>
        <v>1000000000000</v>
      </c>
      <c r="AN363" s="172">
        <f ca="1">IF(OR($D363&lt;&gt;"Serviço",AND(AUTOEVENTO="Manual",$M363=$A$15)),0,
         IF(OFFSET(CRONOPLE!$F$15,$M363-$A$15,AN$13)="",10^12,OFFSET(CRONOPLE!$F$15,$M363-$A$15,AN$13)))</f>
        <v>1000000000000</v>
      </c>
      <c r="AO363" s="172">
        <f ca="1">IF(OR($D363&lt;&gt;"Serviço",AND(AUTOEVENTO="Manual",$M363=$A$15)),0,
         IF(OFFSET(CRONOPLE!$F$15,$M363-$A$15,AO$13)="",10^12,OFFSET(CRONOPLE!$F$15,$M363-$A$15,AO$13)))</f>
        <v>1000000000000</v>
      </c>
      <c r="AP363" s="172">
        <f ca="1">IF(OR($D363&lt;&gt;"Serviço",AND(AUTOEVENTO="Manual",$M363=$A$15)),0,
         IF(OFFSET(CRONOPLE!$F$15,$M363-$A$15,AP$13)="",10^12,OFFSET(CRONOPLE!$F$15,$M363-$A$15,AP$13)))</f>
        <v>1000000000000</v>
      </c>
      <c r="AQ363" s="172">
        <f ca="1">IF(OR($D363&lt;&gt;"Serviço",AND(AUTOEVENTO="Manual",$M363=$A$15)),0,
         IF(OFFSET(CRONOPLE!$F$15,$M363-$A$15,AQ$13)="",10^12,OFFSET(CRONOPLE!$F$15,$M363-$A$15,AQ$13)))</f>
        <v>1000000000000</v>
      </c>
      <c r="AR363" s="172">
        <f ca="1">IF(OR($D363&lt;&gt;"Serviço",AND(AUTOEVENTO="Manual",$M363=$A$15)),0,
         IF(OFFSET(CRONOPLE!$F$15,$M363-$A$15,AR$13)="",10^12,OFFSET(CRONOPLE!$F$15,$M363-$A$15,AR$13)))</f>
        <v>1000000000000</v>
      </c>
      <c r="AS363" s="172">
        <f ca="1">IF(OR($D363&lt;&gt;"Serviço",AND(AUTOEVENTO="Manual",$M363=$A$15)),0,
         IF(OFFSET(CRONOPLE!$F$15,$M363-$A$15,AS$13)="",10^12,OFFSET(CRONOPLE!$F$15,$M363-$A$15,AS$13)))</f>
        <v>1000000000000</v>
      </c>
      <c r="AT363" s="172">
        <f ca="1">IF(OR($D363&lt;&gt;"Serviço",AND(AUTOEVENTO="Manual",$M363=$A$15)),0,
         IF(OFFSET(CRONOPLE!$F$15,$M363-$A$15,AT$13)="",10^12,OFFSET(CRONOPLE!$F$15,$M363-$A$15,AT$13)))</f>
        <v>1000000000000</v>
      </c>
      <c r="AU363" s="172">
        <f ca="1">IF(OR($D363&lt;&gt;"Serviço",AND(AUTOEVENTO="Manual",$M363=$A$15)),0,
         IF(OFFSET(CRONOPLE!$F$15,$M363-$A$15,AU$13)="",10^12,OFFSET(CRONOPLE!$F$15,$M363-$A$15,AU$13)))</f>
        <v>1000000000000</v>
      </c>
      <c r="AV363" s="172">
        <f ca="1">IF(OR($D363&lt;&gt;"Serviço",AND(AUTOEVENTO="Manual",$M363=$A$15)),0,
         IF(OFFSET(CRONOPLE!$F$15,$M363-$A$15,AV$13)="",10^12,OFFSET(CRONOPLE!$F$15,$M363-$A$15,AV$13)))</f>
        <v>1000000000000</v>
      </c>
      <c r="AX363" s="173">
        <f ca="1">IF(OR($D363&lt;&gt;"Serviço",AND(AUTOEVENTO="Manual",$M363=$A$15),$M363&gt;(ROW(PLE.lastrow)-ROW(PLE.firstrow))),0,
           IF(OFFSET(PLE!$G$15,$M363-$A$15,AX$13)="",10^12,OFFSET(PLE!$G$15,$M363-$A$15,AX$13)))</f>
        <v>1000000000000</v>
      </c>
      <c r="AY363" s="173">
        <f ca="1">IF(OR($D363&lt;&gt;"Serviço",AND(AUTOEVENTO="Manual",$M363=$A$15),$M363&gt;(ROW(PLE.lastrow)-ROW(PLE.firstrow))),0,
           IF(OFFSET(PLE!$G$15,$M363-$A$15,AY$13)="",10^12,OFFSET(PLE!$G$15,$M363-$A$15,AY$13)))</f>
        <v>1000000000000</v>
      </c>
      <c r="AZ363" s="173">
        <f ca="1">IF(OR($D363&lt;&gt;"Serviço",AND(AUTOEVENTO="Manual",$M363=$A$15),$M363&gt;(ROW(PLE.lastrow)-ROW(PLE.firstrow))),0,
           IF(OFFSET(PLE!$G$15,$M363-$A$15,AZ$13)="",10^12,OFFSET(PLE!$G$15,$M363-$A$15,AZ$13)))</f>
        <v>1000000000000</v>
      </c>
      <c r="BA363" s="173">
        <f ca="1">IF(OR($D363&lt;&gt;"Serviço",AND(AUTOEVENTO="Manual",$M363=$A$15),$M363&gt;(ROW(PLE.lastrow)-ROW(PLE.firstrow))),0,
           IF(OFFSET(PLE!$G$15,$M363-$A$15,BA$13)="",10^12,OFFSET(PLE!$G$15,$M363-$A$15,BA$13)))</f>
        <v>1000000000000</v>
      </c>
      <c r="BB363" s="173">
        <f ca="1">IF(OR($D363&lt;&gt;"Serviço",AND(AUTOEVENTO="Manual",$M363=$A$15),$M363&gt;(ROW(PLE.lastrow)-ROW(PLE.firstrow))),0,
           IF(OFFSET(PLE!$G$15,$M363-$A$15,BB$13)="",10^12,OFFSET(PLE!$G$15,$M363-$A$15,BB$13)))</f>
        <v>1000000000000</v>
      </c>
      <c r="BC363" s="173">
        <f ca="1">IF(OR($D363&lt;&gt;"Serviço",AND(AUTOEVENTO="Manual",$M363=$A$15),$M363&gt;(ROW(PLE.lastrow)-ROW(PLE.firstrow))),0,
           IF(OFFSET(PLE!$G$15,$M363-$A$15,BC$13)="",10^12,OFFSET(PLE!$G$15,$M363-$A$15,BC$13)))</f>
        <v>1000000000000</v>
      </c>
      <c r="BD363" s="173">
        <f ca="1">IF(OR($D363&lt;&gt;"Serviço",AND(AUTOEVENTO="Manual",$M363=$A$15),$M363&gt;(ROW(PLE.lastrow)-ROW(PLE.firstrow))),0,
           IF(OFFSET(PLE!$G$15,$M363-$A$15,BD$13)="",10^12,OFFSET(PLE!$G$15,$M363-$A$15,BD$13)))</f>
        <v>1000000000000</v>
      </c>
      <c r="BE363" s="173">
        <f ca="1">IF(OR($D363&lt;&gt;"Serviço",AND(AUTOEVENTO="Manual",$M363=$A$15),$M363&gt;(ROW(PLE.lastrow)-ROW(PLE.firstrow))),0,
           IF(OFFSET(PLE!$G$15,$M363-$A$15,BE$13)="",10^12,OFFSET(PLE!$G$15,$M363-$A$15,BE$13)))</f>
        <v>1000000000000</v>
      </c>
      <c r="BF363" s="173">
        <f ca="1">IF(OR($D363&lt;&gt;"Serviço",AND(AUTOEVENTO="Manual",$M363=$A$15),$M363&gt;(ROW(PLE.lastrow)-ROW(PLE.firstrow))),0,
           IF(OFFSET(PLE!$G$15,$M363-$A$15,BF$13)="",10^12,OFFSET(PLE!$G$15,$M363-$A$15,BF$13)))</f>
        <v>1000000000000</v>
      </c>
      <c r="BG363" s="173">
        <f ca="1">IF(OR($D363&lt;&gt;"Serviço",AND(AUTOEVENTO="Manual",$M363=$A$15),$M363&gt;(ROW(PLE.lastrow)-ROW(PLE.firstrow))),0,
           IF(OFFSET(PLE!$G$15,$M363-$A$15,BG$13)="",10^12,OFFSET(PLE!$G$15,$M363-$A$15,BG$13)))</f>
        <v>1000000000000</v>
      </c>
    </row>
    <row r="364" spans="1:59" ht="51" x14ac:dyDescent="0.2">
      <c r="A364" s="7" t="str">
        <f t="shared" ca="1" si="13"/>
        <v>331</v>
      </c>
      <c r="B364" s="7" t="str">
        <f ca="1">OFFSET(ORÇAMENTO!C$15,ROW(B364)-ROW(B$15),0)</f>
        <v>S</v>
      </c>
      <c r="C364" s="7" t="str">
        <f ca="1">OFFSET(ORÇAMENTO!L$15,ROW(C364)-ROW(C$15),0)</f>
        <v/>
      </c>
      <c r="D364" s="117" t="str">
        <f ca="1">OFFSET(ORÇAMENTO!N$15,ROW(D364)-ROW(D$15),0)</f>
        <v>Serviço</v>
      </c>
      <c r="E364" s="118" t="str">
        <f ca="1">OFFSET(ORÇAMENTO!O$15,ROW(E364)-ROW(E$15),0)</f>
        <v>-</v>
      </c>
      <c r="F364" s="164" t="str">
        <f ca="1">OFFSET(ORÇAMENTO!R$15,ROW(F364)-ROW(F$15),0)</f>
        <v>EMBOÇO OU MASSA ÚNICA EM ARGAMASSA TRAÇO 1:2:8, PREPARO MECÂNICO COM BETONEIRA 400 L, APLICADA MANUALMENTE EM PANOS CEGOS DE FACHADA (SEM PRESENÇA DE VÃOS), ESPESSURA DE 25 MM. AF_08/2022</v>
      </c>
      <c r="G364" s="165" t="str">
        <f ca="1">IF($D364&lt;&gt;"Serviço","",OFFSET(ORÇAMENTO!S$15,ROW(G364)-ROW(G$15),0))</f>
        <v>M2</v>
      </c>
      <c r="H364" s="123">
        <f ca="1">IF($D364&lt;&gt;"Serviço",0,IF(ACOMPANHAMENTO="BM",ROUND(OFFSET(ORÇAMENTO!AJ$15,ROW(H364)-ROW(H$15),0),15-13*ORÇAMENTO!$AF$7),SUMPRODUCT(($Q$1:$AA$1=1)*ROUND($Q364:$AA364,15-13*ORÇAMENTO!$AF$7))))</f>
        <v>498.89</v>
      </c>
      <c r="I364" s="469"/>
      <c r="J364" s="577" t="str" cm="1">
        <f t="array" aca="1" ref="J364" ca="1">IF(B364&lt;&gt;"S","",IF(AND(ACOMPANHAMENTO="PLE",AUTOEVENTO="Manual",OR(H364&gt;0,ORÇAMENTO!AC364="QUANT."),OR(K364="",M364=0,N364="")),"►",IF(AND(ACOMPANHAMENTO="PLE",ORÇAMENTO!AC364="QUANT."),"►►",IF(AND(COUNTIF($P$11:$AA$11,"▼")=0,H364&gt;0,I364=""),"◄",""))))</f>
        <v>◄</v>
      </c>
      <c r="K364" s="626"/>
      <c r="L364" s="166" t="s">
        <v>765</v>
      </c>
      <c r="M364" s="167">
        <f ca="1">IF($D364&lt;&gt;"Serviço","",
          IF(AUTOEVENTO="manual",$A364,
                IF(ISERROR(MATCH($A364,$A$15:OFFSET($A364,-1,0),0)),MAX($M$15:OFFSET(M364,-1,0))+1,
                      INDEX($M$15:OFFSET(M364,-1,0),MATCH($A364,$A$15:OFFSET($A364,-1,0),0)))))</f>
        <v>19</v>
      </c>
      <c r="N364" s="168" t="str">
        <f ca="1">IF($D364&lt;&gt;"Serviço","",
         IF(AUTOEVENTO="Manual",
                IF($A364=0,"&lt;-- defina o número do agrupador",
                       OFFSET(EVENTOS!$D$15,$A364-$A$15,0)),
                OFFSET($F$15,$A364,0)))</f>
        <v>FECHAMENTOS EXTERNOS</v>
      </c>
      <c r="O364" s="169"/>
      <c r="Q364" s="169"/>
      <c r="R364" s="170"/>
      <c r="S364" s="170"/>
      <c r="T364" s="170"/>
      <c r="U364" s="170"/>
      <c r="V364" s="170"/>
      <c r="W364" s="170"/>
      <c r="X364" s="170"/>
      <c r="Y364" s="170"/>
      <c r="Z364" s="171"/>
      <c r="AB364" s="454">
        <f ca="1">IF(AND($D364="Serviço",AB$12&lt;&gt;0,$H364&gt;0,OR(AUTOEVENTO&lt;&gt;"manual",$M364&lt;&gt;$A$15)),
        IF(Import.TipoArredondamento&lt;&gt;"TransfereGOV",
              ROUND(OFFSET($P364,0,AB$13),15-13*ORÇAMENTO!$AF$7)/$H364*OFFSET(ORÇAMENTO!$X$15,ROW(AB364)-ROW(AB$15),0),
              ROUND(ROUND(OFFSET($P364,0,AB$13),15-13*ORÇAMENTO!$AF$7)*OFFSET(ORÇAMENTO!$W$15,ROW(AB364)-ROW(AB$15),0),15-13*ORÇAMENTO!$AF$11)),
         0)</f>
        <v>0</v>
      </c>
      <c r="AC364" s="454">
        <f ca="1">IF(AND($D364="Serviço",AC$12&lt;&gt;0,$H364&gt;0,OR(AUTOEVENTO&lt;&gt;"manual",$M364&lt;&gt;$A$15)),
        IF(Import.TipoArredondamento&lt;&gt;"TransfereGOV",
              ROUND(OFFSET($P364,0,AC$13),15-13*ORÇAMENTO!$AF$7)/$H364*OFFSET(ORÇAMENTO!$X$15,ROW(AC364)-ROW(AC$15),0),
              ROUND(ROUND(OFFSET($P364,0,AC$13),15-13*ORÇAMENTO!$AF$7)*OFFSET(ORÇAMENTO!$W$15,ROW(AC364)-ROW(AC$15),0),15-13*ORÇAMENTO!$AF$11)),
         0)</f>
        <v>0</v>
      </c>
      <c r="AD364" s="454">
        <f ca="1">IF(AND($D364="Serviço",AD$12&lt;&gt;0,$H364&gt;0,OR(AUTOEVENTO&lt;&gt;"manual",$M364&lt;&gt;$A$15)),
        IF(Import.TipoArredondamento&lt;&gt;"TransfereGOV",
              ROUND(OFFSET($P364,0,AD$13),15-13*ORÇAMENTO!$AF$7)/$H364*OFFSET(ORÇAMENTO!$X$15,ROW(AD364)-ROW(AD$15),0),
              ROUND(ROUND(OFFSET($P364,0,AD$13),15-13*ORÇAMENTO!$AF$7)*OFFSET(ORÇAMENTO!$W$15,ROW(AD364)-ROW(AD$15),0),15-13*ORÇAMENTO!$AF$11)),
         0)</f>
        <v>0</v>
      </c>
      <c r="AE364" s="454">
        <f ca="1">IF(AND($D364="Serviço",AE$12&lt;&gt;0,$H364&gt;0,OR(AUTOEVENTO&lt;&gt;"manual",$M364&lt;&gt;$A$15)),
        IF(Import.TipoArredondamento&lt;&gt;"TransfereGOV",
              ROUND(OFFSET($P364,0,AE$13),15-13*ORÇAMENTO!$AF$7)/$H364*OFFSET(ORÇAMENTO!$X$15,ROW(AE364)-ROW(AE$15),0),
              ROUND(ROUND(OFFSET($P364,0,AE$13),15-13*ORÇAMENTO!$AF$7)*OFFSET(ORÇAMENTO!$W$15,ROW(AE364)-ROW(AE$15),0),15-13*ORÇAMENTO!$AF$11)),
         0)</f>
        <v>0</v>
      </c>
      <c r="AF364" s="454">
        <f ca="1">IF(AND($D364="Serviço",AF$12&lt;&gt;0,$H364&gt;0,OR(AUTOEVENTO&lt;&gt;"manual",$M364&lt;&gt;$A$15)),
        IF(Import.TipoArredondamento&lt;&gt;"TransfereGOV",
              ROUND(OFFSET($P364,0,AF$13),15-13*ORÇAMENTO!$AF$7)/$H364*OFFSET(ORÇAMENTO!$X$15,ROW(AF364)-ROW(AF$15),0),
              ROUND(ROUND(OFFSET($P364,0,AF$13),15-13*ORÇAMENTO!$AF$7)*OFFSET(ORÇAMENTO!$W$15,ROW(AF364)-ROW(AF$15),0),15-13*ORÇAMENTO!$AF$11)),
         0)</f>
        <v>0</v>
      </c>
      <c r="AG364" s="454">
        <f ca="1">IF(AND($D364="Serviço",AG$12&lt;&gt;0,$H364&gt;0,OR(AUTOEVENTO&lt;&gt;"manual",$M364&lt;&gt;$A$15)),
        IF(Import.TipoArredondamento&lt;&gt;"TransfereGOV",
              ROUND(OFFSET($P364,0,AG$13),15-13*ORÇAMENTO!$AF$7)/$H364*OFFSET(ORÇAMENTO!$X$15,ROW(AG364)-ROW(AG$15),0),
              ROUND(ROUND(OFFSET($P364,0,AG$13),15-13*ORÇAMENTO!$AF$7)*OFFSET(ORÇAMENTO!$W$15,ROW(AG364)-ROW(AG$15),0),15-13*ORÇAMENTO!$AF$11)),
         0)</f>
        <v>0</v>
      </c>
      <c r="AH364" s="454">
        <f ca="1">IF(AND($D364="Serviço",AH$12&lt;&gt;0,$H364&gt;0,OR(AUTOEVENTO&lt;&gt;"manual",$M364&lt;&gt;$A$15)),
        IF(Import.TipoArredondamento&lt;&gt;"TransfereGOV",
              ROUND(OFFSET($P364,0,AH$13),15-13*ORÇAMENTO!$AF$7)/$H364*OFFSET(ORÇAMENTO!$X$15,ROW(AH364)-ROW(AH$15),0),
              ROUND(ROUND(OFFSET($P364,0,AH$13),15-13*ORÇAMENTO!$AF$7)*OFFSET(ORÇAMENTO!$W$15,ROW(AH364)-ROW(AH$15),0),15-13*ORÇAMENTO!$AF$11)),
         0)</f>
        <v>0</v>
      </c>
      <c r="AI364" s="454">
        <f ca="1">IF(AND($D364="Serviço",AI$12&lt;&gt;0,$H364&gt;0,OR(AUTOEVENTO&lt;&gt;"manual",$M364&lt;&gt;$A$15)),
        IF(Import.TipoArredondamento&lt;&gt;"TransfereGOV",
              ROUND(OFFSET($P364,0,AI$13),15-13*ORÇAMENTO!$AF$7)/$H364*OFFSET(ORÇAMENTO!$X$15,ROW(AI364)-ROW(AI$15),0),
              ROUND(ROUND(OFFSET($P364,0,AI$13),15-13*ORÇAMENTO!$AF$7)*OFFSET(ORÇAMENTO!$W$15,ROW(AI364)-ROW(AI$15),0),15-13*ORÇAMENTO!$AF$11)),
         0)</f>
        <v>0</v>
      </c>
      <c r="AJ364" s="454">
        <f ca="1">IF(AND($D364="Serviço",AJ$12&lt;&gt;0,$H364&gt;0,OR(AUTOEVENTO&lt;&gt;"manual",$M364&lt;&gt;$A$15)),
        IF(Import.TipoArredondamento&lt;&gt;"TransfereGOV",
              ROUND(OFFSET($P364,0,AJ$13),15-13*ORÇAMENTO!$AF$7)/$H364*OFFSET(ORÇAMENTO!$X$15,ROW(AJ364)-ROW(AJ$15),0),
              ROUND(ROUND(OFFSET($P364,0,AJ$13),15-13*ORÇAMENTO!$AF$7)*OFFSET(ORÇAMENTO!$W$15,ROW(AJ364)-ROW(AJ$15),0),15-13*ORÇAMENTO!$AF$11)),
         0)</f>
        <v>0</v>
      </c>
      <c r="AK364" s="454">
        <f ca="1">IF(AND($D364="Serviço",AK$12&lt;&gt;0,$H364&gt;0,OR(AUTOEVENTO&lt;&gt;"manual",$M364&lt;&gt;$A$15)),
        IF(Import.TipoArredondamento&lt;&gt;"TransfereGOV",
              ROUND(OFFSET($P364,0,AK$13),15-13*ORÇAMENTO!$AF$7)/$H364*OFFSET(ORÇAMENTO!$X$15,ROW(AK364)-ROW(AK$15),0),
              ROUND(ROUND(OFFSET($P364,0,AK$13),15-13*ORÇAMENTO!$AF$7)*OFFSET(ORÇAMENTO!$W$15,ROW(AK364)-ROW(AK$15),0),15-13*ORÇAMENTO!$AF$11)),
         0)</f>
        <v>0</v>
      </c>
      <c r="AM364" s="172">
        <f ca="1">IF(OR($D364&lt;&gt;"Serviço",AND(AUTOEVENTO="Manual",$M364=$A$15)),0,
         IF(OFFSET(CRONOPLE!$F$15,$M364-$A$15,AM$13)="",10^12,OFFSET(CRONOPLE!$F$15,$M364-$A$15,AM$13)))</f>
        <v>1000000000000</v>
      </c>
      <c r="AN364" s="172">
        <f ca="1">IF(OR($D364&lt;&gt;"Serviço",AND(AUTOEVENTO="Manual",$M364=$A$15)),0,
         IF(OFFSET(CRONOPLE!$F$15,$M364-$A$15,AN$13)="",10^12,OFFSET(CRONOPLE!$F$15,$M364-$A$15,AN$13)))</f>
        <v>1000000000000</v>
      </c>
      <c r="AO364" s="172">
        <f ca="1">IF(OR($D364&lt;&gt;"Serviço",AND(AUTOEVENTO="Manual",$M364=$A$15)),0,
         IF(OFFSET(CRONOPLE!$F$15,$M364-$A$15,AO$13)="",10^12,OFFSET(CRONOPLE!$F$15,$M364-$A$15,AO$13)))</f>
        <v>1000000000000</v>
      </c>
      <c r="AP364" s="172">
        <f ca="1">IF(OR($D364&lt;&gt;"Serviço",AND(AUTOEVENTO="Manual",$M364=$A$15)),0,
         IF(OFFSET(CRONOPLE!$F$15,$M364-$A$15,AP$13)="",10^12,OFFSET(CRONOPLE!$F$15,$M364-$A$15,AP$13)))</f>
        <v>1000000000000</v>
      </c>
      <c r="AQ364" s="172">
        <f ca="1">IF(OR($D364&lt;&gt;"Serviço",AND(AUTOEVENTO="Manual",$M364=$A$15)),0,
         IF(OFFSET(CRONOPLE!$F$15,$M364-$A$15,AQ$13)="",10^12,OFFSET(CRONOPLE!$F$15,$M364-$A$15,AQ$13)))</f>
        <v>1000000000000</v>
      </c>
      <c r="AR364" s="172">
        <f ca="1">IF(OR($D364&lt;&gt;"Serviço",AND(AUTOEVENTO="Manual",$M364=$A$15)),0,
         IF(OFFSET(CRONOPLE!$F$15,$M364-$A$15,AR$13)="",10^12,OFFSET(CRONOPLE!$F$15,$M364-$A$15,AR$13)))</f>
        <v>1000000000000</v>
      </c>
      <c r="AS364" s="172">
        <f ca="1">IF(OR($D364&lt;&gt;"Serviço",AND(AUTOEVENTO="Manual",$M364=$A$15)),0,
         IF(OFFSET(CRONOPLE!$F$15,$M364-$A$15,AS$13)="",10^12,OFFSET(CRONOPLE!$F$15,$M364-$A$15,AS$13)))</f>
        <v>1000000000000</v>
      </c>
      <c r="AT364" s="172">
        <f ca="1">IF(OR($D364&lt;&gt;"Serviço",AND(AUTOEVENTO="Manual",$M364=$A$15)),0,
         IF(OFFSET(CRONOPLE!$F$15,$M364-$A$15,AT$13)="",10^12,OFFSET(CRONOPLE!$F$15,$M364-$A$15,AT$13)))</f>
        <v>1000000000000</v>
      </c>
      <c r="AU364" s="172">
        <f ca="1">IF(OR($D364&lt;&gt;"Serviço",AND(AUTOEVENTO="Manual",$M364=$A$15)),0,
         IF(OFFSET(CRONOPLE!$F$15,$M364-$A$15,AU$13)="",10^12,OFFSET(CRONOPLE!$F$15,$M364-$A$15,AU$13)))</f>
        <v>1000000000000</v>
      </c>
      <c r="AV364" s="172">
        <f ca="1">IF(OR($D364&lt;&gt;"Serviço",AND(AUTOEVENTO="Manual",$M364=$A$15)),0,
         IF(OFFSET(CRONOPLE!$F$15,$M364-$A$15,AV$13)="",10^12,OFFSET(CRONOPLE!$F$15,$M364-$A$15,AV$13)))</f>
        <v>1000000000000</v>
      </c>
      <c r="AX364" s="173">
        <f ca="1">IF(OR($D364&lt;&gt;"Serviço",AND(AUTOEVENTO="Manual",$M364=$A$15),$M364&gt;(ROW(PLE.lastrow)-ROW(PLE.firstrow))),0,
           IF(OFFSET(PLE!$G$15,$M364-$A$15,AX$13)="",10^12,OFFSET(PLE!$G$15,$M364-$A$15,AX$13)))</f>
        <v>1000000000000</v>
      </c>
      <c r="AY364" s="173">
        <f ca="1">IF(OR($D364&lt;&gt;"Serviço",AND(AUTOEVENTO="Manual",$M364=$A$15),$M364&gt;(ROW(PLE.lastrow)-ROW(PLE.firstrow))),0,
           IF(OFFSET(PLE!$G$15,$M364-$A$15,AY$13)="",10^12,OFFSET(PLE!$G$15,$M364-$A$15,AY$13)))</f>
        <v>1000000000000</v>
      </c>
      <c r="AZ364" s="173">
        <f ca="1">IF(OR($D364&lt;&gt;"Serviço",AND(AUTOEVENTO="Manual",$M364=$A$15),$M364&gt;(ROW(PLE.lastrow)-ROW(PLE.firstrow))),0,
           IF(OFFSET(PLE!$G$15,$M364-$A$15,AZ$13)="",10^12,OFFSET(PLE!$G$15,$M364-$A$15,AZ$13)))</f>
        <v>1000000000000</v>
      </c>
      <c r="BA364" s="173">
        <f ca="1">IF(OR($D364&lt;&gt;"Serviço",AND(AUTOEVENTO="Manual",$M364=$A$15),$M364&gt;(ROW(PLE.lastrow)-ROW(PLE.firstrow))),0,
           IF(OFFSET(PLE!$G$15,$M364-$A$15,BA$13)="",10^12,OFFSET(PLE!$G$15,$M364-$A$15,BA$13)))</f>
        <v>1000000000000</v>
      </c>
      <c r="BB364" s="173">
        <f ca="1">IF(OR($D364&lt;&gt;"Serviço",AND(AUTOEVENTO="Manual",$M364=$A$15),$M364&gt;(ROW(PLE.lastrow)-ROW(PLE.firstrow))),0,
           IF(OFFSET(PLE!$G$15,$M364-$A$15,BB$13)="",10^12,OFFSET(PLE!$G$15,$M364-$A$15,BB$13)))</f>
        <v>1000000000000</v>
      </c>
      <c r="BC364" s="173">
        <f ca="1">IF(OR($D364&lt;&gt;"Serviço",AND(AUTOEVENTO="Manual",$M364=$A$15),$M364&gt;(ROW(PLE.lastrow)-ROW(PLE.firstrow))),0,
           IF(OFFSET(PLE!$G$15,$M364-$A$15,BC$13)="",10^12,OFFSET(PLE!$G$15,$M364-$A$15,BC$13)))</f>
        <v>1000000000000</v>
      </c>
      <c r="BD364" s="173">
        <f ca="1">IF(OR($D364&lt;&gt;"Serviço",AND(AUTOEVENTO="Manual",$M364=$A$15),$M364&gt;(ROW(PLE.lastrow)-ROW(PLE.firstrow))),0,
           IF(OFFSET(PLE!$G$15,$M364-$A$15,BD$13)="",10^12,OFFSET(PLE!$G$15,$M364-$A$15,BD$13)))</f>
        <v>1000000000000</v>
      </c>
      <c r="BE364" s="173">
        <f ca="1">IF(OR($D364&lt;&gt;"Serviço",AND(AUTOEVENTO="Manual",$M364=$A$15),$M364&gt;(ROW(PLE.lastrow)-ROW(PLE.firstrow))),0,
           IF(OFFSET(PLE!$G$15,$M364-$A$15,BE$13)="",10^12,OFFSET(PLE!$G$15,$M364-$A$15,BE$13)))</f>
        <v>1000000000000</v>
      </c>
      <c r="BF364" s="173">
        <f ca="1">IF(OR($D364&lt;&gt;"Serviço",AND(AUTOEVENTO="Manual",$M364=$A$15),$M364&gt;(ROW(PLE.lastrow)-ROW(PLE.firstrow))),0,
           IF(OFFSET(PLE!$G$15,$M364-$A$15,BF$13)="",10^12,OFFSET(PLE!$G$15,$M364-$A$15,BF$13)))</f>
        <v>1000000000000</v>
      </c>
      <c r="BG364" s="173">
        <f ca="1">IF(OR($D364&lt;&gt;"Serviço",AND(AUTOEVENTO="Manual",$M364=$A$15),$M364&gt;(ROW(PLE.lastrow)-ROW(PLE.firstrow))),0,
           IF(OFFSET(PLE!$G$15,$M364-$A$15,BG$13)="",10^12,OFFSET(PLE!$G$15,$M364-$A$15,BG$13)))</f>
        <v>1000000000000</v>
      </c>
    </row>
    <row r="365" spans="1:59" ht="25.5" x14ac:dyDescent="0.2">
      <c r="A365" s="7" t="str">
        <f t="shared" ca="1" si="13"/>
        <v>331</v>
      </c>
      <c r="B365" s="7" t="str">
        <f ca="1">OFFSET(ORÇAMENTO!C$15,ROW(B365)-ROW(B$15),0)</f>
        <v>S</v>
      </c>
      <c r="C365" s="7" t="str">
        <f ca="1">OFFSET(ORÇAMENTO!L$15,ROW(C365)-ROW(C$15),0)</f>
        <v/>
      </c>
      <c r="D365" s="117" t="str">
        <f ca="1">OFFSET(ORÇAMENTO!N$15,ROW(D365)-ROW(D$15),0)</f>
        <v>Serviço</v>
      </c>
      <c r="E365" s="118" t="str">
        <f ca="1">OFFSET(ORÇAMENTO!O$15,ROW(E365)-ROW(E$15),0)</f>
        <v>-</v>
      </c>
      <c r="F365" s="164" t="str">
        <f ca="1">OFFSET(ORÇAMENTO!R$15,ROW(F365)-ROW(F$15),0)</f>
        <v>FUNDO SELADOR ACRÍLICO, APLICAÇÃO MANUAL EM PAREDE, UMA DEMÃO. AF_04/2023</v>
      </c>
      <c r="G365" s="165" t="str">
        <f ca="1">IF($D365&lt;&gt;"Serviço","",OFFSET(ORÇAMENTO!S$15,ROW(G365)-ROW(G$15),0))</f>
        <v>M2</v>
      </c>
      <c r="H365" s="123">
        <f ca="1">IF($D365&lt;&gt;"Serviço",0,IF(ACOMPANHAMENTO="BM",ROUND(OFFSET(ORÇAMENTO!AJ$15,ROW(H365)-ROW(H$15),0),15-13*ORÇAMENTO!$AF$7),SUMPRODUCT(($Q$1:$AA$1=1)*ROUND($Q365:$AA365,15-13*ORÇAMENTO!$AF$7))))</f>
        <v>498.89</v>
      </c>
      <c r="I365" s="469"/>
      <c r="J365" s="577" t="str" cm="1">
        <f t="array" aca="1" ref="J365" ca="1">IF(B365&lt;&gt;"S","",IF(AND(ACOMPANHAMENTO="PLE",AUTOEVENTO="Manual",OR(H365&gt;0,ORÇAMENTO!AC365="QUANT."),OR(K365="",M365=0,N365="")),"►",IF(AND(ACOMPANHAMENTO="PLE",ORÇAMENTO!AC365="QUANT."),"►►",IF(AND(COUNTIF($P$11:$AA$11,"▼")=0,H365&gt;0,I365=""),"◄",""))))</f>
        <v>◄</v>
      </c>
      <c r="K365" s="626"/>
      <c r="L365" s="166" t="s">
        <v>765</v>
      </c>
      <c r="M365" s="167">
        <f ca="1">IF($D365&lt;&gt;"Serviço","",
          IF(AUTOEVENTO="manual",$A365,
                IF(ISERROR(MATCH($A365,$A$15:OFFSET($A365,-1,0),0)),MAX($M$15:OFFSET(M365,-1,0))+1,
                      INDEX($M$15:OFFSET(M365,-1,0),MATCH($A365,$A$15:OFFSET($A365,-1,0),0)))))</f>
        <v>19</v>
      </c>
      <c r="N365" s="168" t="str">
        <f ca="1">IF($D365&lt;&gt;"Serviço","",
         IF(AUTOEVENTO="Manual",
                IF($A365=0,"&lt;-- defina o número do agrupador",
                       OFFSET(EVENTOS!$D$15,$A365-$A$15,0)),
                OFFSET($F$15,$A365,0)))</f>
        <v>FECHAMENTOS EXTERNOS</v>
      </c>
      <c r="O365" s="169"/>
      <c r="Q365" s="169"/>
      <c r="R365" s="170"/>
      <c r="S365" s="170"/>
      <c r="T365" s="170"/>
      <c r="U365" s="170"/>
      <c r="V365" s="170"/>
      <c r="W365" s="170"/>
      <c r="X365" s="170"/>
      <c r="Y365" s="170"/>
      <c r="Z365" s="171"/>
      <c r="AB365" s="454">
        <f ca="1">IF(AND($D365="Serviço",AB$12&lt;&gt;0,$H365&gt;0,OR(AUTOEVENTO&lt;&gt;"manual",$M365&lt;&gt;$A$15)),
        IF(Import.TipoArredondamento&lt;&gt;"TransfereGOV",
              ROUND(OFFSET($P365,0,AB$13),15-13*ORÇAMENTO!$AF$7)/$H365*OFFSET(ORÇAMENTO!$X$15,ROW(AB365)-ROW(AB$15),0),
              ROUND(ROUND(OFFSET($P365,0,AB$13),15-13*ORÇAMENTO!$AF$7)*OFFSET(ORÇAMENTO!$W$15,ROW(AB365)-ROW(AB$15),0),15-13*ORÇAMENTO!$AF$11)),
         0)</f>
        <v>0</v>
      </c>
      <c r="AC365" s="454">
        <f ca="1">IF(AND($D365="Serviço",AC$12&lt;&gt;0,$H365&gt;0,OR(AUTOEVENTO&lt;&gt;"manual",$M365&lt;&gt;$A$15)),
        IF(Import.TipoArredondamento&lt;&gt;"TransfereGOV",
              ROUND(OFFSET($P365,0,AC$13),15-13*ORÇAMENTO!$AF$7)/$H365*OFFSET(ORÇAMENTO!$X$15,ROW(AC365)-ROW(AC$15),0),
              ROUND(ROUND(OFFSET($P365,0,AC$13),15-13*ORÇAMENTO!$AF$7)*OFFSET(ORÇAMENTO!$W$15,ROW(AC365)-ROW(AC$15),0),15-13*ORÇAMENTO!$AF$11)),
         0)</f>
        <v>0</v>
      </c>
      <c r="AD365" s="454">
        <f ca="1">IF(AND($D365="Serviço",AD$12&lt;&gt;0,$H365&gt;0,OR(AUTOEVENTO&lt;&gt;"manual",$M365&lt;&gt;$A$15)),
        IF(Import.TipoArredondamento&lt;&gt;"TransfereGOV",
              ROUND(OFFSET($P365,0,AD$13),15-13*ORÇAMENTO!$AF$7)/$H365*OFFSET(ORÇAMENTO!$X$15,ROW(AD365)-ROW(AD$15),0),
              ROUND(ROUND(OFFSET($P365,0,AD$13),15-13*ORÇAMENTO!$AF$7)*OFFSET(ORÇAMENTO!$W$15,ROW(AD365)-ROW(AD$15),0),15-13*ORÇAMENTO!$AF$11)),
         0)</f>
        <v>0</v>
      </c>
      <c r="AE365" s="454">
        <f ca="1">IF(AND($D365="Serviço",AE$12&lt;&gt;0,$H365&gt;0,OR(AUTOEVENTO&lt;&gt;"manual",$M365&lt;&gt;$A$15)),
        IF(Import.TipoArredondamento&lt;&gt;"TransfereGOV",
              ROUND(OFFSET($P365,0,AE$13),15-13*ORÇAMENTO!$AF$7)/$H365*OFFSET(ORÇAMENTO!$X$15,ROW(AE365)-ROW(AE$15),0),
              ROUND(ROUND(OFFSET($P365,0,AE$13),15-13*ORÇAMENTO!$AF$7)*OFFSET(ORÇAMENTO!$W$15,ROW(AE365)-ROW(AE$15),0),15-13*ORÇAMENTO!$AF$11)),
         0)</f>
        <v>0</v>
      </c>
      <c r="AF365" s="454">
        <f ca="1">IF(AND($D365="Serviço",AF$12&lt;&gt;0,$H365&gt;0,OR(AUTOEVENTO&lt;&gt;"manual",$M365&lt;&gt;$A$15)),
        IF(Import.TipoArredondamento&lt;&gt;"TransfereGOV",
              ROUND(OFFSET($P365,0,AF$13),15-13*ORÇAMENTO!$AF$7)/$H365*OFFSET(ORÇAMENTO!$X$15,ROW(AF365)-ROW(AF$15),0),
              ROUND(ROUND(OFFSET($P365,0,AF$13),15-13*ORÇAMENTO!$AF$7)*OFFSET(ORÇAMENTO!$W$15,ROW(AF365)-ROW(AF$15),0),15-13*ORÇAMENTO!$AF$11)),
         0)</f>
        <v>0</v>
      </c>
      <c r="AG365" s="454">
        <f ca="1">IF(AND($D365="Serviço",AG$12&lt;&gt;0,$H365&gt;0,OR(AUTOEVENTO&lt;&gt;"manual",$M365&lt;&gt;$A$15)),
        IF(Import.TipoArredondamento&lt;&gt;"TransfereGOV",
              ROUND(OFFSET($P365,0,AG$13),15-13*ORÇAMENTO!$AF$7)/$H365*OFFSET(ORÇAMENTO!$X$15,ROW(AG365)-ROW(AG$15),0),
              ROUND(ROUND(OFFSET($P365,0,AG$13),15-13*ORÇAMENTO!$AF$7)*OFFSET(ORÇAMENTO!$W$15,ROW(AG365)-ROW(AG$15),0),15-13*ORÇAMENTO!$AF$11)),
         0)</f>
        <v>0</v>
      </c>
      <c r="AH365" s="454">
        <f ca="1">IF(AND($D365="Serviço",AH$12&lt;&gt;0,$H365&gt;0,OR(AUTOEVENTO&lt;&gt;"manual",$M365&lt;&gt;$A$15)),
        IF(Import.TipoArredondamento&lt;&gt;"TransfereGOV",
              ROUND(OFFSET($P365,0,AH$13),15-13*ORÇAMENTO!$AF$7)/$H365*OFFSET(ORÇAMENTO!$X$15,ROW(AH365)-ROW(AH$15),0),
              ROUND(ROUND(OFFSET($P365,0,AH$13),15-13*ORÇAMENTO!$AF$7)*OFFSET(ORÇAMENTO!$W$15,ROW(AH365)-ROW(AH$15),0),15-13*ORÇAMENTO!$AF$11)),
         0)</f>
        <v>0</v>
      </c>
      <c r="AI365" s="454">
        <f ca="1">IF(AND($D365="Serviço",AI$12&lt;&gt;0,$H365&gt;0,OR(AUTOEVENTO&lt;&gt;"manual",$M365&lt;&gt;$A$15)),
        IF(Import.TipoArredondamento&lt;&gt;"TransfereGOV",
              ROUND(OFFSET($P365,0,AI$13),15-13*ORÇAMENTO!$AF$7)/$H365*OFFSET(ORÇAMENTO!$X$15,ROW(AI365)-ROW(AI$15),0),
              ROUND(ROUND(OFFSET($P365,0,AI$13),15-13*ORÇAMENTO!$AF$7)*OFFSET(ORÇAMENTO!$W$15,ROW(AI365)-ROW(AI$15),0),15-13*ORÇAMENTO!$AF$11)),
         0)</f>
        <v>0</v>
      </c>
      <c r="AJ365" s="454">
        <f ca="1">IF(AND($D365="Serviço",AJ$12&lt;&gt;0,$H365&gt;0,OR(AUTOEVENTO&lt;&gt;"manual",$M365&lt;&gt;$A$15)),
        IF(Import.TipoArredondamento&lt;&gt;"TransfereGOV",
              ROUND(OFFSET($P365,0,AJ$13),15-13*ORÇAMENTO!$AF$7)/$H365*OFFSET(ORÇAMENTO!$X$15,ROW(AJ365)-ROW(AJ$15),0),
              ROUND(ROUND(OFFSET($P365,0,AJ$13),15-13*ORÇAMENTO!$AF$7)*OFFSET(ORÇAMENTO!$W$15,ROW(AJ365)-ROW(AJ$15),0),15-13*ORÇAMENTO!$AF$11)),
         0)</f>
        <v>0</v>
      </c>
      <c r="AK365" s="454">
        <f ca="1">IF(AND($D365="Serviço",AK$12&lt;&gt;0,$H365&gt;0,OR(AUTOEVENTO&lt;&gt;"manual",$M365&lt;&gt;$A$15)),
        IF(Import.TipoArredondamento&lt;&gt;"TransfereGOV",
              ROUND(OFFSET($P365,0,AK$13),15-13*ORÇAMENTO!$AF$7)/$H365*OFFSET(ORÇAMENTO!$X$15,ROW(AK365)-ROW(AK$15),0),
              ROUND(ROUND(OFFSET($P365,0,AK$13),15-13*ORÇAMENTO!$AF$7)*OFFSET(ORÇAMENTO!$W$15,ROW(AK365)-ROW(AK$15),0),15-13*ORÇAMENTO!$AF$11)),
         0)</f>
        <v>0</v>
      </c>
      <c r="AM365" s="172">
        <f ca="1">IF(OR($D365&lt;&gt;"Serviço",AND(AUTOEVENTO="Manual",$M365=$A$15)),0,
         IF(OFFSET(CRONOPLE!$F$15,$M365-$A$15,AM$13)="",10^12,OFFSET(CRONOPLE!$F$15,$M365-$A$15,AM$13)))</f>
        <v>1000000000000</v>
      </c>
      <c r="AN365" s="172">
        <f ca="1">IF(OR($D365&lt;&gt;"Serviço",AND(AUTOEVENTO="Manual",$M365=$A$15)),0,
         IF(OFFSET(CRONOPLE!$F$15,$M365-$A$15,AN$13)="",10^12,OFFSET(CRONOPLE!$F$15,$M365-$A$15,AN$13)))</f>
        <v>1000000000000</v>
      </c>
      <c r="AO365" s="172">
        <f ca="1">IF(OR($D365&lt;&gt;"Serviço",AND(AUTOEVENTO="Manual",$M365=$A$15)),0,
         IF(OFFSET(CRONOPLE!$F$15,$M365-$A$15,AO$13)="",10^12,OFFSET(CRONOPLE!$F$15,$M365-$A$15,AO$13)))</f>
        <v>1000000000000</v>
      </c>
      <c r="AP365" s="172">
        <f ca="1">IF(OR($D365&lt;&gt;"Serviço",AND(AUTOEVENTO="Manual",$M365=$A$15)),0,
         IF(OFFSET(CRONOPLE!$F$15,$M365-$A$15,AP$13)="",10^12,OFFSET(CRONOPLE!$F$15,$M365-$A$15,AP$13)))</f>
        <v>1000000000000</v>
      </c>
      <c r="AQ365" s="172">
        <f ca="1">IF(OR($D365&lt;&gt;"Serviço",AND(AUTOEVENTO="Manual",$M365=$A$15)),0,
         IF(OFFSET(CRONOPLE!$F$15,$M365-$A$15,AQ$13)="",10^12,OFFSET(CRONOPLE!$F$15,$M365-$A$15,AQ$13)))</f>
        <v>1000000000000</v>
      </c>
      <c r="AR365" s="172">
        <f ca="1">IF(OR($D365&lt;&gt;"Serviço",AND(AUTOEVENTO="Manual",$M365=$A$15)),0,
         IF(OFFSET(CRONOPLE!$F$15,$M365-$A$15,AR$13)="",10^12,OFFSET(CRONOPLE!$F$15,$M365-$A$15,AR$13)))</f>
        <v>1000000000000</v>
      </c>
      <c r="AS365" s="172">
        <f ca="1">IF(OR($D365&lt;&gt;"Serviço",AND(AUTOEVENTO="Manual",$M365=$A$15)),0,
         IF(OFFSET(CRONOPLE!$F$15,$M365-$A$15,AS$13)="",10^12,OFFSET(CRONOPLE!$F$15,$M365-$A$15,AS$13)))</f>
        <v>1000000000000</v>
      </c>
      <c r="AT365" s="172">
        <f ca="1">IF(OR($D365&lt;&gt;"Serviço",AND(AUTOEVENTO="Manual",$M365=$A$15)),0,
         IF(OFFSET(CRONOPLE!$F$15,$M365-$A$15,AT$13)="",10^12,OFFSET(CRONOPLE!$F$15,$M365-$A$15,AT$13)))</f>
        <v>1000000000000</v>
      </c>
      <c r="AU365" s="172">
        <f ca="1">IF(OR($D365&lt;&gt;"Serviço",AND(AUTOEVENTO="Manual",$M365=$A$15)),0,
         IF(OFFSET(CRONOPLE!$F$15,$M365-$A$15,AU$13)="",10^12,OFFSET(CRONOPLE!$F$15,$M365-$A$15,AU$13)))</f>
        <v>1000000000000</v>
      </c>
      <c r="AV365" s="172">
        <f ca="1">IF(OR($D365&lt;&gt;"Serviço",AND(AUTOEVENTO="Manual",$M365=$A$15)),0,
         IF(OFFSET(CRONOPLE!$F$15,$M365-$A$15,AV$13)="",10^12,OFFSET(CRONOPLE!$F$15,$M365-$A$15,AV$13)))</f>
        <v>1000000000000</v>
      </c>
      <c r="AX365" s="173">
        <f ca="1">IF(OR($D365&lt;&gt;"Serviço",AND(AUTOEVENTO="Manual",$M365=$A$15),$M365&gt;(ROW(PLE.lastrow)-ROW(PLE.firstrow))),0,
           IF(OFFSET(PLE!$G$15,$M365-$A$15,AX$13)="",10^12,OFFSET(PLE!$G$15,$M365-$A$15,AX$13)))</f>
        <v>1000000000000</v>
      </c>
      <c r="AY365" s="173">
        <f ca="1">IF(OR($D365&lt;&gt;"Serviço",AND(AUTOEVENTO="Manual",$M365=$A$15),$M365&gt;(ROW(PLE.lastrow)-ROW(PLE.firstrow))),0,
           IF(OFFSET(PLE!$G$15,$M365-$A$15,AY$13)="",10^12,OFFSET(PLE!$G$15,$M365-$A$15,AY$13)))</f>
        <v>1000000000000</v>
      </c>
      <c r="AZ365" s="173">
        <f ca="1">IF(OR($D365&lt;&gt;"Serviço",AND(AUTOEVENTO="Manual",$M365=$A$15),$M365&gt;(ROW(PLE.lastrow)-ROW(PLE.firstrow))),0,
           IF(OFFSET(PLE!$G$15,$M365-$A$15,AZ$13)="",10^12,OFFSET(PLE!$G$15,$M365-$A$15,AZ$13)))</f>
        <v>1000000000000</v>
      </c>
      <c r="BA365" s="173">
        <f ca="1">IF(OR($D365&lt;&gt;"Serviço",AND(AUTOEVENTO="Manual",$M365=$A$15),$M365&gt;(ROW(PLE.lastrow)-ROW(PLE.firstrow))),0,
           IF(OFFSET(PLE!$G$15,$M365-$A$15,BA$13)="",10^12,OFFSET(PLE!$G$15,$M365-$A$15,BA$13)))</f>
        <v>1000000000000</v>
      </c>
      <c r="BB365" s="173">
        <f ca="1">IF(OR($D365&lt;&gt;"Serviço",AND(AUTOEVENTO="Manual",$M365=$A$15),$M365&gt;(ROW(PLE.lastrow)-ROW(PLE.firstrow))),0,
           IF(OFFSET(PLE!$G$15,$M365-$A$15,BB$13)="",10^12,OFFSET(PLE!$G$15,$M365-$A$15,BB$13)))</f>
        <v>1000000000000</v>
      </c>
      <c r="BC365" s="173">
        <f ca="1">IF(OR($D365&lt;&gt;"Serviço",AND(AUTOEVENTO="Manual",$M365=$A$15),$M365&gt;(ROW(PLE.lastrow)-ROW(PLE.firstrow))),0,
           IF(OFFSET(PLE!$G$15,$M365-$A$15,BC$13)="",10^12,OFFSET(PLE!$G$15,$M365-$A$15,BC$13)))</f>
        <v>1000000000000</v>
      </c>
      <c r="BD365" s="173">
        <f ca="1">IF(OR($D365&lt;&gt;"Serviço",AND(AUTOEVENTO="Manual",$M365=$A$15),$M365&gt;(ROW(PLE.lastrow)-ROW(PLE.firstrow))),0,
           IF(OFFSET(PLE!$G$15,$M365-$A$15,BD$13)="",10^12,OFFSET(PLE!$G$15,$M365-$A$15,BD$13)))</f>
        <v>1000000000000</v>
      </c>
      <c r="BE365" s="173">
        <f ca="1">IF(OR($D365&lt;&gt;"Serviço",AND(AUTOEVENTO="Manual",$M365=$A$15),$M365&gt;(ROW(PLE.lastrow)-ROW(PLE.firstrow))),0,
           IF(OFFSET(PLE!$G$15,$M365-$A$15,BE$13)="",10^12,OFFSET(PLE!$G$15,$M365-$A$15,BE$13)))</f>
        <v>1000000000000</v>
      </c>
      <c r="BF365" s="173">
        <f ca="1">IF(OR($D365&lt;&gt;"Serviço",AND(AUTOEVENTO="Manual",$M365=$A$15),$M365&gt;(ROW(PLE.lastrow)-ROW(PLE.firstrow))),0,
           IF(OFFSET(PLE!$G$15,$M365-$A$15,BF$13)="",10^12,OFFSET(PLE!$G$15,$M365-$A$15,BF$13)))</f>
        <v>1000000000000</v>
      </c>
      <c r="BG365" s="173">
        <f ca="1">IF(OR($D365&lt;&gt;"Serviço",AND(AUTOEVENTO="Manual",$M365=$A$15),$M365&gt;(ROW(PLE.lastrow)-ROW(PLE.firstrow))),0,
           IF(OFFSET(PLE!$G$15,$M365-$A$15,BG$13)="",10^12,OFFSET(PLE!$G$15,$M365-$A$15,BG$13)))</f>
        <v>1000000000000</v>
      </c>
    </row>
    <row r="366" spans="1:59" ht="25.5" x14ac:dyDescent="0.2">
      <c r="A366" s="7" t="str">
        <f t="shared" ca="1" si="13"/>
        <v>331</v>
      </c>
      <c r="B366" s="7" t="str">
        <f ca="1">OFFSET(ORÇAMENTO!C$15,ROW(B366)-ROW(B$15),0)</f>
        <v>S</v>
      </c>
      <c r="C366" s="7" t="str">
        <f ca="1">OFFSET(ORÇAMENTO!L$15,ROW(C366)-ROW(C$15),0)</f>
        <v/>
      </c>
      <c r="D366" s="117" t="str">
        <f ca="1">OFFSET(ORÇAMENTO!N$15,ROW(D366)-ROW(D$15),0)</f>
        <v>Serviço</v>
      </c>
      <c r="E366" s="118" t="str">
        <f ca="1">OFFSET(ORÇAMENTO!O$15,ROW(E366)-ROW(E$15),0)</f>
        <v>-</v>
      </c>
      <c r="F366" s="164" t="str">
        <f ca="1">OFFSET(ORÇAMENTO!R$15,ROW(F366)-ROW(F$15),0)</f>
        <v>PINTURA LÁTEX ACRÍLICA PREMIUM, APLICAÇÃO MANUAL EM PAREDES, DUAS DEMÃOS. AF_04/2023</v>
      </c>
      <c r="G366" s="165" t="str">
        <f ca="1">IF($D366&lt;&gt;"Serviço","",OFFSET(ORÇAMENTO!S$15,ROW(G366)-ROW(G$15),0))</f>
        <v>M2</v>
      </c>
      <c r="H366" s="123">
        <f ca="1">IF($D366&lt;&gt;"Serviço",0,IF(ACOMPANHAMENTO="BM",ROUND(OFFSET(ORÇAMENTO!AJ$15,ROW(H366)-ROW(H$15),0),15-13*ORÇAMENTO!$AF$7),SUMPRODUCT(($Q$1:$AA$1=1)*ROUND($Q366:$AA366,15-13*ORÇAMENTO!$AF$7))))</f>
        <v>498.89</v>
      </c>
      <c r="I366" s="469"/>
      <c r="J366" s="577" t="str" cm="1">
        <f t="array" aca="1" ref="J366" ca="1">IF(B366&lt;&gt;"S","",IF(AND(ACOMPANHAMENTO="PLE",AUTOEVENTO="Manual",OR(H366&gt;0,ORÇAMENTO!AC366="QUANT."),OR(K366="",M366=0,N366="")),"►",IF(AND(ACOMPANHAMENTO="PLE",ORÇAMENTO!AC366="QUANT."),"►►",IF(AND(COUNTIF($P$11:$AA$11,"▼")=0,H366&gt;0,I366=""),"◄",""))))</f>
        <v>◄</v>
      </c>
      <c r="K366" s="626"/>
      <c r="L366" s="166" t="s">
        <v>765</v>
      </c>
      <c r="M366" s="167">
        <f ca="1">IF($D366&lt;&gt;"Serviço","",
          IF(AUTOEVENTO="manual",$A366,
                IF(ISERROR(MATCH($A366,$A$15:OFFSET($A366,-1,0),0)),MAX($M$15:OFFSET(M366,-1,0))+1,
                      INDEX($M$15:OFFSET(M366,-1,0),MATCH($A366,$A$15:OFFSET($A366,-1,0),0)))))</f>
        <v>19</v>
      </c>
      <c r="N366" s="168" t="str">
        <f ca="1">IF($D366&lt;&gt;"Serviço","",
         IF(AUTOEVENTO="Manual",
                IF($A366=0,"&lt;-- defina o número do agrupador",
                       OFFSET(EVENTOS!$D$15,$A366-$A$15,0)),
                OFFSET($F$15,$A366,0)))</f>
        <v>FECHAMENTOS EXTERNOS</v>
      </c>
      <c r="O366" s="169"/>
      <c r="Q366" s="169"/>
      <c r="R366" s="170"/>
      <c r="S366" s="170"/>
      <c r="T366" s="170"/>
      <c r="U366" s="170"/>
      <c r="V366" s="170"/>
      <c r="W366" s="170"/>
      <c r="X366" s="170"/>
      <c r="Y366" s="170"/>
      <c r="Z366" s="171"/>
      <c r="AB366" s="454">
        <f ca="1">IF(AND($D366="Serviço",AB$12&lt;&gt;0,$H366&gt;0,OR(AUTOEVENTO&lt;&gt;"manual",$M366&lt;&gt;$A$15)),
        IF(Import.TipoArredondamento&lt;&gt;"TransfereGOV",
              ROUND(OFFSET($P366,0,AB$13),15-13*ORÇAMENTO!$AF$7)/$H366*OFFSET(ORÇAMENTO!$X$15,ROW(AB366)-ROW(AB$15),0),
              ROUND(ROUND(OFFSET($P366,0,AB$13),15-13*ORÇAMENTO!$AF$7)*OFFSET(ORÇAMENTO!$W$15,ROW(AB366)-ROW(AB$15),0),15-13*ORÇAMENTO!$AF$11)),
         0)</f>
        <v>0</v>
      </c>
      <c r="AC366" s="454">
        <f ca="1">IF(AND($D366="Serviço",AC$12&lt;&gt;0,$H366&gt;0,OR(AUTOEVENTO&lt;&gt;"manual",$M366&lt;&gt;$A$15)),
        IF(Import.TipoArredondamento&lt;&gt;"TransfereGOV",
              ROUND(OFFSET($P366,0,AC$13),15-13*ORÇAMENTO!$AF$7)/$H366*OFFSET(ORÇAMENTO!$X$15,ROW(AC366)-ROW(AC$15),0),
              ROUND(ROUND(OFFSET($P366,0,AC$13),15-13*ORÇAMENTO!$AF$7)*OFFSET(ORÇAMENTO!$W$15,ROW(AC366)-ROW(AC$15),0),15-13*ORÇAMENTO!$AF$11)),
         0)</f>
        <v>0</v>
      </c>
      <c r="AD366" s="454">
        <f ca="1">IF(AND($D366="Serviço",AD$12&lt;&gt;0,$H366&gt;0,OR(AUTOEVENTO&lt;&gt;"manual",$M366&lt;&gt;$A$15)),
        IF(Import.TipoArredondamento&lt;&gt;"TransfereGOV",
              ROUND(OFFSET($P366,0,AD$13),15-13*ORÇAMENTO!$AF$7)/$H366*OFFSET(ORÇAMENTO!$X$15,ROW(AD366)-ROW(AD$15),0),
              ROUND(ROUND(OFFSET($P366,0,AD$13),15-13*ORÇAMENTO!$AF$7)*OFFSET(ORÇAMENTO!$W$15,ROW(AD366)-ROW(AD$15),0),15-13*ORÇAMENTO!$AF$11)),
         0)</f>
        <v>0</v>
      </c>
      <c r="AE366" s="454">
        <f ca="1">IF(AND($D366="Serviço",AE$12&lt;&gt;0,$H366&gt;0,OR(AUTOEVENTO&lt;&gt;"manual",$M366&lt;&gt;$A$15)),
        IF(Import.TipoArredondamento&lt;&gt;"TransfereGOV",
              ROUND(OFFSET($P366,0,AE$13),15-13*ORÇAMENTO!$AF$7)/$H366*OFFSET(ORÇAMENTO!$X$15,ROW(AE366)-ROW(AE$15),0),
              ROUND(ROUND(OFFSET($P366,0,AE$13),15-13*ORÇAMENTO!$AF$7)*OFFSET(ORÇAMENTO!$W$15,ROW(AE366)-ROW(AE$15),0),15-13*ORÇAMENTO!$AF$11)),
         0)</f>
        <v>0</v>
      </c>
      <c r="AF366" s="454">
        <f ca="1">IF(AND($D366="Serviço",AF$12&lt;&gt;0,$H366&gt;0,OR(AUTOEVENTO&lt;&gt;"manual",$M366&lt;&gt;$A$15)),
        IF(Import.TipoArredondamento&lt;&gt;"TransfereGOV",
              ROUND(OFFSET($P366,0,AF$13),15-13*ORÇAMENTO!$AF$7)/$H366*OFFSET(ORÇAMENTO!$X$15,ROW(AF366)-ROW(AF$15),0),
              ROUND(ROUND(OFFSET($P366,0,AF$13),15-13*ORÇAMENTO!$AF$7)*OFFSET(ORÇAMENTO!$W$15,ROW(AF366)-ROW(AF$15),0),15-13*ORÇAMENTO!$AF$11)),
         0)</f>
        <v>0</v>
      </c>
      <c r="AG366" s="454">
        <f ca="1">IF(AND($D366="Serviço",AG$12&lt;&gt;0,$H366&gt;0,OR(AUTOEVENTO&lt;&gt;"manual",$M366&lt;&gt;$A$15)),
        IF(Import.TipoArredondamento&lt;&gt;"TransfereGOV",
              ROUND(OFFSET($P366,0,AG$13),15-13*ORÇAMENTO!$AF$7)/$H366*OFFSET(ORÇAMENTO!$X$15,ROW(AG366)-ROW(AG$15),0),
              ROUND(ROUND(OFFSET($P366,0,AG$13),15-13*ORÇAMENTO!$AF$7)*OFFSET(ORÇAMENTO!$W$15,ROW(AG366)-ROW(AG$15),0),15-13*ORÇAMENTO!$AF$11)),
         0)</f>
        <v>0</v>
      </c>
      <c r="AH366" s="454">
        <f ca="1">IF(AND($D366="Serviço",AH$12&lt;&gt;0,$H366&gt;0,OR(AUTOEVENTO&lt;&gt;"manual",$M366&lt;&gt;$A$15)),
        IF(Import.TipoArredondamento&lt;&gt;"TransfereGOV",
              ROUND(OFFSET($P366,0,AH$13),15-13*ORÇAMENTO!$AF$7)/$H366*OFFSET(ORÇAMENTO!$X$15,ROW(AH366)-ROW(AH$15),0),
              ROUND(ROUND(OFFSET($P366,0,AH$13),15-13*ORÇAMENTO!$AF$7)*OFFSET(ORÇAMENTO!$W$15,ROW(AH366)-ROW(AH$15),0),15-13*ORÇAMENTO!$AF$11)),
         0)</f>
        <v>0</v>
      </c>
      <c r="AI366" s="454">
        <f ca="1">IF(AND($D366="Serviço",AI$12&lt;&gt;0,$H366&gt;0,OR(AUTOEVENTO&lt;&gt;"manual",$M366&lt;&gt;$A$15)),
        IF(Import.TipoArredondamento&lt;&gt;"TransfereGOV",
              ROUND(OFFSET($P366,0,AI$13),15-13*ORÇAMENTO!$AF$7)/$H366*OFFSET(ORÇAMENTO!$X$15,ROW(AI366)-ROW(AI$15),0),
              ROUND(ROUND(OFFSET($P366,0,AI$13),15-13*ORÇAMENTO!$AF$7)*OFFSET(ORÇAMENTO!$W$15,ROW(AI366)-ROW(AI$15),0),15-13*ORÇAMENTO!$AF$11)),
         0)</f>
        <v>0</v>
      </c>
      <c r="AJ366" s="454">
        <f ca="1">IF(AND($D366="Serviço",AJ$12&lt;&gt;0,$H366&gt;0,OR(AUTOEVENTO&lt;&gt;"manual",$M366&lt;&gt;$A$15)),
        IF(Import.TipoArredondamento&lt;&gt;"TransfereGOV",
              ROUND(OFFSET($P366,0,AJ$13),15-13*ORÇAMENTO!$AF$7)/$H366*OFFSET(ORÇAMENTO!$X$15,ROW(AJ366)-ROW(AJ$15),0),
              ROUND(ROUND(OFFSET($P366,0,AJ$13),15-13*ORÇAMENTO!$AF$7)*OFFSET(ORÇAMENTO!$W$15,ROW(AJ366)-ROW(AJ$15),0),15-13*ORÇAMENTO!$AF$11)),
         0)</f>
        <v>0</v>
      </c>
      <c r="AK366" s="454">
        <f ca="1">IF(AND($D366="Serviço",AK$12&lt;&gt;0,$H366&gt;0,OR(AUTOEVENTO&lt;&gt;"manual",$M366&lt;&gt;$A$15)),
        IF(Import.TipoArredondamento&lt;&gt;"TransfereGOV",
              ROUND(OFFSET($P366,0,AK$13),15-13*ORÇAMENTO!$AF$7)/$H366*OFFSET(ORÇAMENTO!$X$15,ROW(AK366)-ROW(AK$15),0),
              ROUND(ROUND(OFFSET($P366,0,AK$13),15-13*ORÇAMENTO!$AF$7)*OFFSET(ORÇAMENTO!$W$15,ROW(AK366)-ROW(AK$15),0),15-13*ORÇAMENTO!$AF$11)),
         0)</f>
        <v>0</v>
      </c>
      <c r="AM366" s="172">
        <f ca="1">IF(OR($D366&lt;&gt;"Serviço",AND(AUTOEVENTO="Manual",$M366=$A$15)),0,
         IF(OFFSET(CRONOPLE!$F$15,$M366-$A$15,AM$13)="",10^12,OFFSET(CRONOPLE!$F$15,$M366-$A$15,AM$13)))</f>
        <v>1000000000000</v>
      </c>
      <c r="AN366" s="172">
        <f ca="1">IF(OR($D366&lt;&gt;"Serviço",AND(AUTOEVENTO="Manual",$M366=$A$15)),0,
         IF(OFFSET(CRONOPLE!$F$15,$M366-$A$15,AN$13)="",10^12,OFFSET(CRONOPLE!$F$15,$M366-$A$15,AN$13)))</f>
        <v>1000000000000</v>
      </c>
      <c r="AO366" s="172">
        <f ca="1">IF(OR($D366&lt;&gt;"Serviço",AND(AUTOEVENTO="Manual",$M366=$A$15)),0,
         IF(OFFSET(CRONOPLE!$F$15,$M366-$A$15,AO$13)="",10^12,OFFSET(CRONOPLE!$F$15,$M366-$A$15,AO$13)))</f>
        <v>1000000000000</v>
      </c>
      <c r="AP366" s="172">
        <f ca="1">IF(OR($D366&lt;&gt;"Serviço",AND(AUTOEVENTO="Manual",$M366=$A$15)),0,
         IF(OFFSET(CRONOPLE!$F$15,$M366-$A$15,AP$13)="",10^12,OFFSET(CRONOPLE!$F$15,$M366-$A$15,AP$13)))</f>
        <v>1000000000000</v>
      </c>
      <c r="AQ366" s="172">
        <f ca="1">IF(OR($D366&lt;&gt;"Serviço",AND(AUTOEVENTO="Manual",$M366=$A$15)),0,
         IF(OFFSET(CRONOPLE!$F$15,$M366-$A$15,AQ$13)="",10^12,OFFSET(CRONOPLE!$F$15,$M366-$A$15,AQ$13)))</f>
        <v>1000000000000</v>
      </c>
      <c r="AR366" s="172">
        <f ca="1">IF(OR($D366&lt;&gt;"Serviço",AND(AUTOEVENTO="Manual",$M366=$A$15)),0,
         IF(OFFSET(CRONOPLE!$F$15,$M366-$A$15,AR$13)="",10^12,OFFSET(CRONOPLE!$F$15,$M366-$A$15,AR$13)))</f>
        <v>1000000000000</v>
      </c>
      <c r="AS366" s="172">
        <f ca="1">IF(OR($D366&lt;&gt;"Serviço",AND(AUTOEVENTO="Manual",$M366=$A$15)),0,
         IF(OFFSET(CRONOPLE!$F$15,$M366-$A$15,AS$13)="",10^12,OFFSET(CRONOPLE!$F$15,$M366-$A$15,AS$13)))</f>
        <v>1000000000000</v>
      </c>
      <c r="AT366" s="172">
        <f ca="1">IF(OR($D366&lt;&gt;"Serviço",AND(AUTOEVENTO="Manual",$M366=$A$15)),0,
         IF(OFFSET(CRONOPLE!$F$15,$M366-$A$15,AT$13)="",10^12,OFFSET(CRONOPLE!$F$15,$M366-$A$15,AT$13)))</f>
        <v>1000000000000</v>
      </c>
      <c r="AU366" s="172">
        <f ca="1">IF(OR($D366&lt;&gt;"Serviço",AND(AUTOEVENTO="Manual",$M366=$A$15)),0,
         IF(OFFSET(CRONOPLE!$F$15,$M366-$A$15,AU$13)="",10^12,OFFSET(CRONOPLE!$F$15,$M366-$A$15,AU$13)))</f>
        <v>1000000000000</v>
      </c>
      <c r="AV366" s="172">
        <f ca="1">IF(OR($D366&lt;&gt;"Serviço",AND(AUTOEVENTO="Manual",$M366=$A$15)),0,
         IF(OFFSET(CRONOPLE!$F$15,$M366-$A$15,AV$13)="",10^12,OFFSET(CRONOPLE!$F$15,$M366-$A$15,AV$13)))</f>
        <v>1000000000000</v>
      </c>
      <c r="AX366" s="173">
        <f ca="1">IF(OR($D366&lt;&gt;"Serviço",AND(AUTOEVENTO="Manual",$M366=$A$15),$M366&gt;(ROW(PLE.lastrow)-ROW(PLE.firstrow))),0,
           IF(OFFSET(PLE!$G$15,$M366-$A$15,AX$13)="",10^12,OFFSET(PLE!$G$15,$M366-$A$15,AX$13)))</f>
        <v>1000000000000</v>
      </c>
      <c r="AY366" s="173">
        <f ca="1">IF(OR($D366&lt;&gt;"Serviço",AND(AUTOEVENTO="Manual",$M366=$A$15),$M366&gt;(ROW(PLE.lastrow)-ROW(PLE.firstrow))),0,
           IF(OFFSET(PLE!$G$15,$M366-$A$15,AY$13)="",10^12,OFFSET(PLE!$G$15,$M366-$A$15,AY$13)))</f>
        <v>1000000000000</v>
      </c>
      <c r="AZ366" s="173">
        <f ca="1">IF(OR($D366&lt;&gt;"Serviço",AND(AUTOEVENTO="Manual",$M366=$A$15),$M366&gt;(ROW(PLE.lastrow)-ROW(PLE.firstrow))),0,
           IF(OFFSET(PLE!$G$15,$M366-$A$15,AZ$13)="",10^12,OFFSET(PLE!$G$15,$M366-$A$15,AZ$13)))</f>
        <v>1000000000000</v>
      </c>
      <c r="BA366" s="173">
        <f ca="1">IF(OR($D366&lt;&gt;"Serviço",AND(AUTOEVENTO="Manual",$M366=$A$15),$M366&gt;(ROW(PLE.lastrow)-ROW(PLE.firstrow))),0,
           IF(OFFSET(PLE!$G$15,$M366-$A$15,BA$13)="",10^12,OFFSET(PLE!$G$15,$M366-$A$15,BA$13)))</f>
        <v>1000000000000</v>
      </c>
      <c r="BB366" s="173">
        <f ca="1">IF(OR($D366&lt;&gt;"Serviço",AND(AUTOEVENTO="Manual",$M366=$A$15),$M366&gt;(ROW(PLE.lastrow)-ROW(PLE.firstrow))),0,
           IF(OFFSET(PLE!$G$15,$M366-$A$15,BB$13)="",10^12,OFFSET(PLE!$G$15,$M366-$A$15,BB$13)))</f>
        <v>1000000000000</v>
      </c>
      <c r="BC366" s="173">
        <f ca="1">IF(OR($D366&lt;&gt;"Serviço",AND(AUTOEVENTO="Manual",$M366=$A$15),$M366&gt;(ROW(PLE.lastrow)-ROW(PLE.firstrow))),0,
           IF(OFFSET(PLE!$G$15,$M366-$A$15,BC$13)="",10^12,OFFSET(PLE!$G$15,$M366-$A$15,BC$13)))</f>
        <v>1000000000000</v>
      </c>
      <c r="BD366" s="173">
        <f ca="1">IF(OR($D366&lt;&gt;"Serviço",AND(AUTOEVENTO="Manual",$M366=$A$15),$M366&gt;(ROW(PLE.lastrow)-ROW(PLE.firstrow))),0,
           IF(OFFSET(PLE!$G$15,$M366-$A$15,BD$13)="",10^12,OFFSET(PLE!$G$15,$M366-$A$15,BD$13)))</f>
        <v>1000000000000</v>
      </c>
      <c r="BE366" s="173">
        <f ca="1">IF(OR($D366&lt;&gt;"Serviço",AND(AUTOEVENTO="Manual",$M366=$A$15),$M366&gt;(ROW(PLE.lastrow)-ROW(PLE.firstrow))),0,
           IF(OFFSET(PLE!$G$15,$M366-$A$15,BE$13)="",10^12,OFFSET(PLE!$G$15,$M366-$A$15,BE$13)))</f>
        <v>1000000000000</v>
      </c>
      <c r="BF366" s="173">
        <f ca="1">IF(OR($D366&lt;&gt;"Serviço",AND(AUTOEVENTO="Manual",$M366=$A$15),$M366&gt;(ROW(PLE.lastrow)-ROW(PLE.firstrow))),0,
           IF(OFFSET(PLE!$G$15,$M366-$A$15,BF$13)="",10^12,OFFSET(PLE!$G$15,$M366-$A$15,BF$13)))</f>
        <v>1000000000000</v>
      </c>
      <c r="BG366" s="173">
        <f ca="1">IF(OR($D366&lt;&gt;"Serviço",AND(AUTOEVENTO="Manual",$M366=$A$15),$M366&gt;(ROW(PLE.lastrow)-ROW(PLE.firstrow))),0,
           IF(OFFSET(PLE!$G$15,$M366-$A$15,BG$13)="",10^12,OFFSET(PLE!$G$15,$M366-$A$15,BG$13)))</f>
        <v>1000000000000</v>
      </c>
    </row>
    <row r="367" spans="1:59" ht="51" x14ac:dyDescent="0.2">
      <c r="A367" s="7" t="str">
        <f t="shared" ca="1" si="13"/>
        <v>331</v>
      </c>
      <c r="B367" s="7" t="str">
        <f ca="1">OFFSET(ORÇAMENTO!C$15,ROW(B367)-ROW(B$15),0)</f>
        <v>S</v>
      </c>
      <c r="C367" s="7" t="str">
        <f ca="1">OFFSET(ORÇAMENTO!L$15,ROW(C367)-ROW(C$15),0)</f>
        <v/>
      </c>
      <c r="D367" s="117" t="str">
        <f ca="1">OFFSET(ORÇAMENTO!N$15,ROW(D367)-ROW(D$15),0)</f>
        <v>Serviço</v>
      </c>
      <c r="E367" s="118" t="str">
        <f ca="1">OFFSET(ORÇAMENTO!O$15,ROW(E367)-ROW(E$15),0)</f>
        <v>-</v>
      </c>
      <c r="F367" s="164" t="str">
        <f ca="1">OFFSET(ORÇAMENTO!R$15,ROW(F367)-ROW(F$15),0)</f>
        <v>CERCA/GRADIL 3D, MALHA 5x20cm - FIO 5mm, 250x203cm (compr x altura), REVESTIMENTO EM POLIESTER POR PROCESSO DE PINTURA ELETROSTÁTICA, INCLUSIVE POSTES E ACESSÓRIOS - FORNECIMENTO E INSTALAÇÃO</v>
      </c>
      <c r="G367" s="165" t="str">
        <f ca="1">IF($D367&lt;&gt;"Serviço","",OFFSET(ORÇAMENTO!S$15,ROW(G367)-ROW(G$15),0))</f>
        <v>UN</v>
      </c>
      <c r="H367" s="123">
        <f ca="1">IF($D367&lt;&gt;"Serviço",0,IF(ACOMPANHAMENTO="BM",ROUND(OFFSET(ORÇAMENTO!AJ$15,ROW(H367)-ROW(H$15),0),15-13*ORÇAMENTO!$AF$7),SUMPRODUCT(($Q$1:$AA$1=1)*ROUND($Q367:$AA367,15-13*ORÇAMENTO!$AF$7))))</f>
        <v>62</v>
      </c>
      <c r="I367" s="469"/>
      <c r="J367" s="577" t="str" cm="1">
        <f t="array" aca="1" ref="J367" ca="1">IF(B367&lt;&gt;"S","",IF(AND(ACOMPANHAMENTO="PLE",AUTOEVENTO="Manual",OR(H367&gt;0,ORÇAMENTO!AC367="QUANT."),OR(K367="",M367=0,N367="")),"►",IF(AND(ACOMPANHAMENTO="PLE",ORÇAMENTO!AC367="QUANT."),"►►",IF(AND(COUNTIF($P$11:$AA$11,"▼")=0,H367&gt;0,I367=""),"◄",""))))</f>
        <v>◄</v>
      </c>
      <c r="K367" s="626"/>
      <c r="L367" s="166" t="s">
        <v>765</v>
      </c>
      <c r="M367" s="167">
        <f ca="1">IF($D367&lt;&gt;"Serviço","",
          IF(AUTOEVENTO="manual",$A367,
                IF(ISERROR(MATCH($A367,$A$15:OFFSET($A367,-1,0),0)),MAX($M$15:OFFSET(M367,-1,0))+1,
                      INDEX($M$15:OFFSET(M367,-1,0),MATCH($A367,$A$15:OFFSET($A367,-1,0),0)))))</f>
        <v>19</v>
      </c>
      <c r="N367" s="168" t="str">
        <f ca="1">IF($D367&lt;&gt;"Serviço","",
         IF(AUTOEVENTO="Manual",
                IF($A367=0,"&lt;-- defina o número do agrupador",
                       OFFSET(EVENTOS!$D$15,$A367-$A$15,0)),
                OFFSET($F$15,$A367,0)))</f>
        <v>FECHAMENTOS EXTERNOS</v>
      </c>
      <c r="O367" s="169"/>
      <c r="Q367" s="169"/>
      <c r="R367" s="170"/>
      <c r="S367" s="170"/>
      <c r="T367" s="170"/>
      <c r="U367" s="170"/>
      <c r="V367" s="170"/>
      <c r="W367" s="170"/>
      <c r="X367" s="170"/>
      <c r="Y367" s="170"/>
      <c r="Z367" s="171"/>
      <c r="AB367" s="454">
        <f ca="1">IF(AND($D367="Serviço",AB$12&lt;&gt;0,$H367&gt;0,OR(AUTOEVENTO&lt;&gt;"manual",$M367&lt;&gt;$A$15)),
        IF(Import.TipoArredondamento&lt;&gt;"TransfereGOV",
              ROUND(OFFSET($P367,0,AB$13),15-13*ORÇAMENTO!$AF$7)/$H367*OFFSET(ORÇAMENTO!$X$15,ROW(AB367)-ROW(AB$15),0),
              ROUND(ROUND(OFFSET($P367,0,AB$13),15-13*ORÇAMENTO!$AF$7)*OFFSET(ORÇAMENTO!$W$15,ROW(AB367)-ROW(AB$15),0),15-13*ORÇAMENTO!$AF$11)),
         0)</f>
        <v>0</v>
      </c>
      <c r="AC367" s="454">
        <f ca="1">IF(AND($D367="Serviço",AC$12&lt;&gt;0,$H367&gt;0,OR(AUTOEVENTO&lt;&gt;"manual",$M367&lt;&gt;$A$15)),
        IF(Import.TipoArredondamento&lt;&gt;"TransfereGOV",
              ROUND(OFFSET($P367,0,AC$13),15-13*ORÇAMENTO!$AF$7)/$H367*OFFSET(ORÇAMENTO!$X$15,ROW(AC367)-ROW(AC$15),0),
              ROUND(ROUND(OFFSET($P367,0,AC$13),15-13*ORÇAMENTO!$AF$7)*OFFSET(ORÇAMENTO!$W$15,ROW(AC367)-ROW(AC$15),0),15-13*ORÇAMENTO!$AF$11)),
         0)</f>
        <v>0</v>
      </c>
      <c r="AD367" s="454">
        <f ca="1">IF(AND($D367="Serviço",AD$12&lt;&gt;0,$H367&gt;0,OR(AUTOEVENTO&lt;&gt;"manual",$M367&lt;&gt;$A$15)),
        IF(Import.TipoArredondamento&lt;&gt;"TransfereGOV",
              ROUND(OFFSET($P367,0,AD$13),15-13*ORÇAMENTO!$AF$7)/$H367*OFFSET(ORÇAMENTO!$X$15,ROW(AD367)-ROW(AD$15),0),
              ROUND(ROUND(OFFSET($P367,0,AD$13),15-13*ORÇAMENTO!$AF$7)*OFFSET(ORÇAMENTO!$W$15,ROW(AD367)-ROW(AD$15),0),15-13*ORÇAMENTO!$AF$11)),
         0)</f>
        <v>0</v>
      </c>
      <c r="AE367" s="454">
        <f ca="1">IF(AND($D367="Serviço",AE$12&lt;&gt;0,$H367&gt;0,OR(AUTOEVENTO&lt;&gt;"manual",$M367&lt;&gt;$A$15)),
        IF(Import.TipoArredondamento&lt;&gt;"TransfereGOV",
              ROUND(OFFSET($P367,0,AE$13),15-13*ORÇAMENTO!$AF$7)/$H367*OFFSET(ORÇAMENTO!$X$15,ROW(AE367)-ROW(AE$15),0),
              ROUND(ROUND(OFFSET($P367,0,AE$13),15-13*ORÇAMENTO!$AF$7)*OFFSET(ORÇAMENTO!$W$15,ROW(AE367)-ROW(AE$15),0),15-13*ORÇAMENTO!$AF$11)),
         0)</f>
        <v>0</v>
      </c>
      <c r="AF367" s="454">
        <f ca="1">IF(AND($D367="Serviço",AF$12&lt;&gt;0,$H367&gt;0,OR(AUTOEVENTO&lt;&gt;"manual",$M367&lt;&gt;$A$15)),
        IF(Import.TipoArredondamento&lt;&gt;"TransfereGOV",
              ROUND(OFFSET($P367,0,AF$13),15-13*ORÇAMENTO!$AF$7)/$H367*OFFSET(ORÇAMENTO!$X$15,ROW(AF367)-ROW(AF$15),0),
              ROUND(ROUND(OFFSET($P367,0,AF$13),15-13*ORÇAMENTO!$AF$7)*OFFSET(ORÇAMENTO!$W$15,ROW(AF367)-ROW(AF$15),0),15-13*ORÇAMENTO!$AF$11)),
         0)</f>
        <v>0</v>
      </c>
      <c r="AG367" s="454">
        <f ca="1">IF(AND($D367="Serviço",AG$12&lt;&gt;0,$H367&gt;0,OR(AUTOEVENTO&lt;&gt;"manual",$M367&lt;&gt;$A$15)),
        IF(Import.TipoArredondamento&lt;&gt;"TransfereGOV",
              ROUND(OFFSET($P367,0,AG$13),15-13*ORÇAMENTO!$AF$7)/$H367*OFFSET(ORÇAMENTO!$X$15,ROW(AG367)-ROW(AG$15),0),
              ROUND(ROUND(OFFSET($P367,0,AG$13),15-13*ORÇAMENTO!$AF$7)*OFFSET(ORÇAMENTO!$W$15,ROW(AG367)-ROW(AG$15),0),15-13*ORÇAMENTO!$AF$11)),
         0)</f>
        <v>0</v>
      </c>
      <c r="AH367" s="454">
        <f ca="1">IF(AND($D367="Serviço",AH$12&lt;&gt;0,$H367&gt;0,OR(AUTOEVENTO&lt;&gt;"manual",$M367&lt;&gt;$A$15)),
        IF(Import.TipoArredondamento&lt;&gt;"TransfereGOV",
              ROUND(OFFSET($P367,0,AH$13),15-13*ORÇAMENTO!$AF$7)/$H367*OFFSET(ORÇAMENTO!$X$15,ROW(AH367)-ROW(AH$15),0),
              ROUND(ROUND(OFFSET($P367,0,AH$13),15-13*ORÇAMENTO!$AF$7)*OFFSET(ORÇAMENTO!$W$15,ROW(AH367)-ROW(AH$15),0),15-13*ORÇAMENTO!$AF$11)),
         0)</f>
        <v>0</v>
      </c>
      <c r="AI367" s="454">
        <f ca="1">IF(AND($D367="Serviço",AI$12&lt;&gt;0,$H367&gt;0,OR(AUTOEVENTO&lt;&gt;"manual",$M367&lt;&gt;$A$15)),
        IF(Import.TipoArredondamento&lt;&gt;"TransfereGOV",
              ROUND(OFFSET($P367,0,AI$13),15-13*ORÇAMENTO!$AF$7)/$H367*OFFSET(ORÇAMENTO!$X$15,ROW(AI367)-ROW(AI$15),0),
              ROUND(ROUND(OFFSET($P367,0,AI$13),15-13*ORÇAMENTO!$AF$7)*OFFSET(ORÇAMENTO!$W$15,ROW(AI367)-ROW(AI$15),0),15-13*ORÇAMENTO!$AF$11)),
         0)</f>
        <v>0</v>
      </c>
      <c r="AJ367" s="454">
        <f ca="1">IF(AND($D367="Serviço",AJ$12&lt;&gt;0,$H367&gt;0,OR(AUTOEVENTO&lt;&gt;"manual",$M367&lt;&gt;$A$15)),
        IF(Import.TipoArredondamento&lt;&gt;"TransfereGOV",
              ROUND(OFFSET($P367,0,AJ$13),15-13*ORÇAMENTO!$AF$7)/$H367*OFFSET(ORÇAMENTO!$X$15,ROW(AJ367)-ROW(AJ$15),0),
              ROUND(ROUND(OFFSET($P367,0,AJ$13),15-13*ORÇAMENTO!$AF$7)*OFFSET(ORÇAMENTO!$W$15,ROW(AJ367)-ROW(AJ$15),0),15-13*ORÇAMENTO!$AF$11)),
         0)</f>
        <v>0</v>
      </c>
      <c r="AK367" s="454">
        <f ca="1">IF(AND($D367="Serviço",AK$12&lt;&gt;0,$H367&gt;0,OR(AUTOEVENTO&lt;&gt;"manual",$M367&lt;&gt;$A$15)),
        IF(Import.TipoArredondamento&lt;&gt;"TransfereGOV",
              ROUND(OFFSET($P367,0,AK$13),15-13*ORÇAMENTO!$AF$7)/$H367*OFFSET(ORÇAMENTO!$X$15,ROW(AK367)-ROW(AK$15),0),
              ROUND(ROUND(OFFSET($P367,0,AK$13),15-13*ORÇAMENTO!$AF$7)*OFFSET(ORÇAMENTO!$W$15,ROW(AK367)-ROW(AK$15),0),15-13*ORÇAMENTO!$AF$11)),
         0)</f>
        <v>0</v>
      </c>
      <c r="AM367" s="172">
        <f ca="1">IF(OR($D367&lt;&gt;"Serviço",AND(AUTOEVENTO="Manual",$M367=$A$15)),0,
         IF(OFFSET(CRONOPLE!$F$15,$M367-$A$15,AM$13)="",10^12,OFFSET(CRONOPLE!$F$15,$M367-$A$15,AM$13)))</f>
        <v>1000000000000</v>
      </c>
      <c r="AN367" s="172">
        <f ca="1">IF(OR($D367&lt;&gt;"Serviço",AND(AUTOEVENTO="Manual",$M367=$A$15)),0,
         IF(OFFSET(CRONOPLE!$F$15,$M367-$A$15,AN$13)="",10^12,OFFSET(CRONOPLE!$F$15,$M367-$A$15,AN$13)))</f>
        <v>1000000000000</v>
      </c>
      <c r="AO367" s="172">
        <f ca="1">IF(OR($D367&lt;&gt;"Serviço",AND(AUTOEVENTO="Manual",$M367=$A$15)),0,
         IF(OFFSET(CRONOPLE!$F$15,$M367-$A$15,AO$13)="",10^12,OFFSET(CRONOPLE!$F$15,$M367-$A$15,AO$13)))</f>
        <v>1000000000000</v>
      </c>
      <c r="AP367" s="172">
        <f ca="1">IF(OR($D367&lt;&gt;"Serviço",AND(AUTOEVENTO="Manual",$M367=$A$15)),0,
         IF(OFFSET(CRONOPLE!$F$15,$M367-$A$15,AP$13)="",10^12,OFFSET(CRONOPLE!$F$15,$M367-$A$15,AP$13)))</f>
        <v>1000000000000</v>
      </c>
      <c r="AQ367" s="172">
        <f ca="1">IF(OR($D367&lt;&gt;"Serviço",AND(AUTOEVENTO="Manual",$M367=$A$15)),0,
         IF(OFFSET(CRONOPLE!$F$15,$M367-$A$15,AQ$13)="",10^12,OFFSET(CRONOPLE!$F$15,$M367-$A$15,AQ$13)))</f>
        <v>1000000000000</v>
      </c>
      <c r="AR367" s="172">
        <f ca="1">IF(OR($D367&lt;&gt;"Serviço",AND(AUTOEVENTO="Manual",$M367=$A$15)),0,
         IF(OFFSET(CRONOPLE!$F$15,$M367-$A$15,AR$13)="",10^12,OFFSET(CRONOPLE!$F$15,$M367-$A$15,AR$13)))</f>
        <v>1000000000000</v>
      </c>
      <c r="AS367" s="172">
        <f ca="1">IF(OR($D367&lt;&gt;"Serviço",AND(AUTOEVENTO="Manual",$M367=$A$15)),0,
         IF(OFFSET(CRONOPLE!$F$15,$M367-$A$15,AS$13)="",10^12,OFFSET(CRONOPLE!$F$15,$M367-$A$15,AS$13)))</f>
        <v>1000000000000</v>
      </c>
      <c r="AT367" s="172">
        <f ca="1">IF(OR($D367&lt;&gt;"Serviço",AND(AUTOEVENTO="Manual",$M367=$A$15)),0,
         IF(OFFSET(CRONOPLE!$F$15,$M367-$A$15,AT$13)="",10^12,OFFSET(CRONOPLE!$F$15,$M367-$A$15,AT$13)))</f>
        <v>1000000000000</v>
      </c>
      <c r="AU367" s="172">
        <f ca="1">IF(OR($D367&lt;&gt;"Serviço",AND(AUTOEVENTO="Manual",$M367=$A$15)),0,
         IF(OFFSET(CRONOPLE!$F$15,$M367-$A$15,AU$13)="",10^12,OFFSET(CRONOPLE!$F$15,$M367-$A$15,AU$13)))</f>
        <v>1000000000000</v>
      </c>
      <c r="AV367" s="172">
        <f ca="1">IF(OR($D367&lt;&gt;"Serviço",AND(AUTOEVENTO="Manual",$M367=$A$15)),0,
         IF(OFFSET(CRONOPLE!$F$15,$M367-$A$15,AV$13)="",10^12,OFFSET(CRONOPLE!$F$15,$M367-$A$15,AV$13)))</f>
        <v>1000000000000</v>
      </c>
      <c r="AX367" s="173">
        <f ca="1">IF(OR($D367&lt;&gt;"Serviço",AND(AUTOEVENTO="Manual",$M367=$A$15),$M367&gt;(ROW(PLE.lastrow)-ROW(PLE.firstrow))),0,
           IF(OFFSET(PLE!$G$15,$M367-$A$15,AX$13)="",10^12,OFFSET(PLE!$G$15,$M367-$A$15,AX$13)))</f>
        <v>1000000000000</v>
      </c>
      <c r="AY367" s="173">
        <f ca="1">IF(OR($D367&lt;&gt;"Serviço",AND(AUTOEVENTO="Manual",$M367=$A$15),$M367&gt;(ROW(PLE.lastrow)-ROW(PLE.firstrow))),0,
           IF(OFFSET(PLE!$G$15,$M367-$A$15,AY$13)="",10^12,OFFSET(PLE!$G$15,$M367-$A$15,AY$13)))</f>
        <v>1000000000000</v>
      </c>
      <c r="AZ367" s="173">
        <f ca="1">IF(OR($D367&lt;&gt;"Serviço",AND(AUTOEVENTO="Manual",$M367=$A$15),$M367&gt;(ROW(PLE.lastrow)-ROW(PLE.firstrow))),0,
           IF(OFFSET(PLE!$G$15,$M367-$A$15,AZ$13)="",10^12,OFFSET(PLE!$G$15,$M367-$A$15,AZ$13)))</f>
        <v>1000000000000</v>
      </c>
      <c r="BA367" s="173">
        <f ca="1">IF(OR($D367&lt;&gt;"Serviço",AND(AUTOEVENTO="Manual",$M367=$A$15),$M367&gt;(ROW(PLE.lastrow)-ROW(PLE.firstrow))),0,
           IF(OFFSET(PLE!$G$15,$M367-$A$15,BA$13)="",10^12,OFFSET(PLE!$G$15,$M367-$A$15,BA$13)))</f>
        <v>1000000000000</v>
      </c>
      <c r="BB367" s="173">
        <f ca="1">IF(OR($D367&lt;&gt;"Serviço",AND(AUTOEVENTO="Manual",$M367=$A$15),$M367&gt;(ROW(PLE.lastrow)-ROW(PLE.firstrow))),0,
           IF(OFFSET(PLE!$G$15,$M367-$A$15,BB$13)="",10^12,OFFSET(PLE!$G$15,$M367-$A$15,BB$13)))</f>
        <v>1000000000000</v>
      </c>
      <c r="BC367" s="173">
        <f ca="1">IF(OR($D367&lt;&gt;"Serviço",AND(AUTOEVENTO="Manual",$M367=$A$15),$M367&gt;(ROW(PLE.lastrow)-ROW(PLE.firstrow))),0,
           IF(OFFSET(PLE!$G$15,$M367-$A$15,BC$13)="",10^12,OFFSET(PLE!$G$15,$M367-$A$15,BC$13)))</f>
        <v>1000000000000</v>
      </c>
      <c r="BD367" s="173">
        <f ca="1">IF(OR($D367&lt;&gt;"Serviço",AND(AUTOEVENTO="Manual",$M367=$A$15),$M367&gt;(ROW(PLE.lastrow)-ROW(PLE.firstrow))),0,
           IF(OFFSET(PLE!$G$15,$M367-$A$15,BD$13)="",10^12,OFFSET(PLE!$G$15,$M367-$A$15,BD$13)))</f>
        <v>1000000000000</v>
      </c>
      <c r="BE367" s="173">
        <f ca="1">IF(OR($D367&lt;&gt;"Serviço",AND(AUTOEVENTO="Manual",$M367=$A$15),$M367&gt;(ROW(PLE.lastrow)-ROW(PLE.firstrow))),0,
           IF(OFFSET(PLE!$G$15,$M367-$A$15,BE$13)="",10^12,OFFSET(PLE!$G$15,$M367-$A$15,BE$13)))</f>
        <v>1000000000000</v>
      </c>
      <c r="BF367" s="173">
        <f ca="1">IF(OR($D367&lt;&gt;"Serviço",AND(AUTOEVENTO="Manual",$M367=$A$15),$M367&gt;(ROW(PLE.lastrow)-ROW(PLE.firstrow))),0,
           IF(OFFSET(PLE!$G$15,$M367-$A$15,BF$13)="",10^12,OFFSET(PLE!$G$15,$M367-$A$15,BF$13)))</f>
        <v>1000000000000</v>
      </c>
      <c r="BG367" s="173">
        <f ca="1">IF(OR($D367&lt;&gt;"Serviço",AND(AUTOEVENTO="Manual",$M367=$A$15),$M367&gt;(ROW(PLE.lastrow)-ROW(PLE.firstrow))),0,
           IF(OFFSET(PLE!$G$15,$M367-$A$15,BG$13)="",10^12,OFFSET(PLE!$G$15,$M367-$A$15,BG$13)))</f>
        <v>1000000000000</v>
      </c>
    </row>
    <row r="368" spans="1:59" ht="12.75" x14ac:dyDescent="0.2">
      <c r="A368" s="7" t="str">
        <f t="shared" ca="1" si="13"/>
        <v>331</v>
      </c>
      <c r="B368" s="7" t="str">
        <f ca="1">OFFSET(ORÇAMENTO!C$15,ROW(B368)-ROW(B$15),0)</f>
        <v>S</v>
      </c>
      <c r="C368" s="7" t="str">
        <f ca="1">OFFSET(ORÇAMENTO!L$15,ROW(C368)-ROW(C$15),0)</f>
        <v/>
      </c>
      <c r="D368" s="117" t="str">
        <f ca="1">OFFSET(ORÇAMENTO!N$15,ROW(D368)-ROW(D$15),0)</f>
        <v>Serviço</v>
      </c>
      <c r="E368" s="118" t="str">
        <f ca="1">OFFSET(ORÇAMENTO!O$15,ROW(E368)-ROW(E$15),0)</f>
        <v>-</v>
      </c>
      <c r="F368" s="164" t="str">
        <f ca="1">OFFSET(ORÇAMENTO!R$15,ROW(F368)-ROW(F$15),0)</f>
        <v>PEDREIRO COM ENCARGOS COMPLEMENTARES</v>
      </c>
      <c r="G368" s="165" t="str">
        <f ca="1">IF($D368&lt;&gt;"Serviço","",OFFSET(ORÇAMENTO!S$15,ROW(G368)-ROW(G$15),0))</f>
        <v>H</v>
      </c>
      <c r="H368" s="123">
        <f ca="1">IF($D368&lt;&gt;"Serviço",0,IF(ACOMPANHAMENTO="BM",ROUND(OFFSET(ORÇAMENTO!AJ$15,ROW(H368)-ROW(H$15),0),15-13*ORÇAMENTO!$AF$7),SUMPRODUCT(($Q$1:$AA$1=1)*ROUND($Q368:$AA368,15-13*ORÇAMENTO!$AF$7))))</f>
        <v>40</v>
      </c>
      <c r="I368" s="469"/>
      <c r="J368" s="577" t="str" cm="1">
        <f t="array" aca="1" ref="J368" ca="1">IF(B368&lt;&gt;"S","",IF(AND(ACOMPANHAMENTO="PLE",AUTOEVENTO="Manual",OR(H368&gt;0,ORÇAMENTO!AC368="QUANT."),OR(K368="",M368=0,N368="")),"►",IF(AND(ACOMPANHAMENTO="PLE",ORÇAMENTO!AC368="QUANT."),"►►",IF(AND(COUNTIF($P$11:$AA$11,"▼")=0,H368&gt;0,I368=""),"◄",""))))</f>
        <v>◄</v>
      </c>
      <c r="K368" s="626"/>
      <c r="L368" s="166" t="s">
        <v>765</v>
      </c>
      <c r="M368" s="167">
        <f ca="1">IF($D368&lt;&gt;"Serviço","",
          IF(AUTOEVENTO="manual",$A368,
                IF(ISERROR(MATCH($A368,$A$15:OFFSET($A368,-1,0),0)),MAX($M$15:OFFSET(M368,-1,0))+1,
                      INDEX($M$15:OFFSET(M368,-1,0),MATCH($A368,$A$15:OFFSET($A368,-1,0),0)))))</f>
        <v>19</v>
      </c>
      <c r="N368" s="168" t="str">
        <f ca="1">IF($D368&lt;&gt;"Serviço","",
         IF(AUTOEVENTO="Manual",
                IF($A368=0,"&lt;-- defina o número do agrupador",
                       OFFSET(EVENTOS!$D$15,$A368-$A$15,0)),
                OFFSET($F$15,$A368,0)))</f>
        <v>FECHAMENTOS EXTERNOS</v>
      </c>
      <c r="O368" s="169"/>
      <c r="Q368" s="169"/>
      <c r="R368" s="170"/>
      <c r="S368" s="170"/>
      <c r="T368" s="170"/>
      <c r="U368" s="170"/>
      <c r="V368" s="170"/>
      <c r="W368" s="170"/>
      <c r="X368" s="170"/>
      <c r="Y368" s="170"/>
      <c r="Z368" s="171"/>
      <c r="AB368" s="454">
        <f ca="1">IF(AND($D368="Serviço",AB$12&lt;&gt;0,$H368&gt;0,OR(AUTOEVENTO&lt;&gt;"manual",$M368&lt;&gt;$A$15)),
        IF(Import.TipoArredondamento&lt;&gt;"TransfereGOV",
              ROUND(OFFSET($P368,0,AB$13),15-13*ORÇAMENTO!$AF$7)/$H368*OFFSET(ORÇAMENTO!$X$15,ROW(AB368)-ROW(AB$15),0),
              ROUND(ROUND(OFFSET($P368,0,AB$13),15-13*ORÇAMENTO!$AF$7)*OFFSET(ORÇAMENTO!$W$15,ROW(AB368)-ROW(AB$15),0),15-13*ORÇAMENTO!$AF$11)),
         0)</f>
        <v>0</v>
      </c>
      <c r="AC368" s="454">
        <f ca="1">IF(AND($D368="Serviço",AC$12&lt;&gt;0,$H368&gt;0,OR(AUTOEVENTO&lt;&gt;"manual",$M368&lt;&gt;$A$15)),
        IF(Import.TipoArredondamento&lt;&gt;"TransfereGOV",
              ROUND(OFFSET($P368,0,AC$13),15-13*ORÇAMENTO!$AF$7)/$H368*OFFSET(ORÇAMENTO!$X$15,ROW(AC368)-ROW(AC$15),0),
              ROUND(ROUND(OFFSET($P368,0,AC$13),15-13*ORÇAMENTO!$AF$7)*OFFSET(ORÇAMENTO!$W$15,ROW(AC368)-ROW(AC$15),0),15-13*ORÇAMENTO!$AF$11)),
         0)</f>
        <v>0</v>
      </c>
      <c r="AD368" s="454">
        <f ca="1">IF(AND($D368="Serviço",AD$12&lt;&gt;0,$H368&gt;0,OR(AUTOEVENTO&lt;&gt;"manual",$M368&lt;&gt;$A$15)),
        IF(Import.TipoArredondamento&lt;&gt;"TransfereGOV",
              ROUND(OFFSET($P368,0,AD$13),15-13*ORÇAMENTO!$AF$7)/$H368*OFFSET(ORÇAMENTO!$X$15,ROW(AD368)-ROW(AD$15),0),
              ROUND(ROUND(OFFSET($P368,0,AD$13),15-13*ORÇAMENTO!$AF$7)*OFFSET(ORÇAMENTO!$W$15,ROW(AD368)-ROW(AD$15),0),15-13*ORÇAMENTO!$AF$11)),
         0)</f>
        <v>0</v>
      </c>
      <c r="AE368" s="454">
        <f ca="1">IF(AND($D368="Serviço",AE$12&lt;&gt;0,$H368&gt;0,OR(AUTOEVENTO&lt;&gt;"manual",$M368&lt;&gt;$A$15)),
        IF(Import.TipoArredondamento&lt;&gt;"TransfereGOV",
              ROUND(OFFSET($P368,0,AE$13),15-13*ORÇAMENTO!$AF$7)/$H368*OFFSET(ORÇAMENTO!$X$15,ROW(AE368)-ROW(AE$15),0),
              ROUND(ROUND(OFFSET($P368,0,AE$13),15-13*ORÇAMENTO!$AF$7)*OFFSET(ORÇAMENTO!$W$15,ROW(AE368)-ROW(AE$15),0),15-13*ORÇAMENTO!$AF$11)),
         0)</f>
        <v>0</v>
      </c>
      <c r="AF368" s="454">
        <f ca="1">IF(AND($D368="Serviço",AF$12&lt;&gt;0,$H368&gt;0,OR(AUTOEVENTO&lt;&gt;"manual",$M368&lt;&gt;$A$15)),
        IF(Import.TipoArredondamento&lt;&gt;"TransfereGOV",
              ROUND(OFFSET($P368,0,AF$13),15-13*ORÇAMENTO!$AF$7)/$H368*OFFSET(ORÇAMENTO!$X$15,ROW(AF368)-ROW(AF$15),0),
              ROUND(ROUND(OFFSET($P368,0,AF$13),15-13*ORÇAMENTO!$AF$7)*OFFSET(ORÇAMENTO!$W$15,ROW(AF368)-ROW(AF$15),0),15-13*ORÇAMENTO!$AF$11)),
         0)</f>
        <v>0</v>
      </c>
      <c r="AG368" s="454">
        <f ca="1">IF(AND($D368="Serviço",AG$12&lt;&gt;0,$H368&gt;0,OR(AUTOEVENTO&lt;&gt;"manual",$M368&lt;&gt;$A$15)),
        IF(Import.TipoArredondamento&lt;&gt;"TransfereGOV",
              ROUND(OFFSET($P368,0,AG$13),15-13*ORÇAMENTO!$AF$7)/$H368*OFFSET(ORÇAMENTO!$X$15,ROW(AG368)-ROW(AG$15),0),
              ROUND(ROUND(OFFSET($P368,0,AG$13),15-13*ORÇAMENTO!$AF$7)*OFFSET(ORÇAMENTO!$W$15,ROW(AG368)-ROW(AG$15),0),15-13*ORÇAMENTO!$AF$11)),
         0)</f>
        <v>0</v>
      </c>
      <c r="AH368" s="454">
        <f ca="1">IF(AND($D368="Serviço",AH$12&lt;&gt;0,$H368&gt;0,OR(AUTOEVENTO&lt;&gt;"manual",$M368&lt;&gt;$A$15)),
        IF(Import.TipoArredondamento&lt;&gt;"TransfereGOV",
              ROUND(OFFSET($P368,0,AH$13),15-13*ORÇAMENTO!$AF$7)/$H368*OFFSET(ORÇAMENTO!$X$15,ROW(AH368)-ROW(AH$15),0),
              ROUND(ROUND(OFFSET($P368,0,AH$13),15-13*ORÇAMENTO!$AF$7)*OFFSET(ORÇAMENTO!$W$15,ROW(AH368)-ROW(AH$15),0),15-13*ORÇAMENTO!$AF$11)),
         0)</f>
        <v>0</v>
      </c>
      <c r="AI368" s="454">
        <f ca="1">IF(AND($D368="Serviço",AI$12&lt;&gt;0,$H368&gt;0,OR(AUTOEVENTO&lt;&gt;"manual",$M368&lt;&gt;$A$15)),
        IF(Import.TipoArredondamento&lt;&gt;"TransfereGOV",
              ROUND(OFFSET($P368,0,AI$13),15-13*ORÇAMENTO!$AF$7)/$H368*OFFSET(ORÇAMENTO!$X$15,ROW(AI368)-ROW(AI$15),0),
              ROUND(ROUND(OFFSET($P368,0,AI$13),15-13*ORÇAMENTO!$AF$7)*OFFSET(ORÇAMENTO!$W$15,ROW(AI368)-ROW(AI$15),0),15-13*ORÇAMENTO!$AF$11)),
         0)</f>
        <v>0</v>
      </c>
      <c r="AJ368" s="454">
        <f ca="1">IF(AND($D368="Serviço",AJ$12&lt;&gt;0,$H368&gt;0,OR(AUTOEVENTO&lt;&gt;"manual",$M368&lt;&gt;$A$15)),
        IF(Import.TipoArredondamento&lt;&gt;"TransfereGOV",
              ROUND(OFFSET($P368,0,AJ$13),15-13*ORÇAMENTO!$AF$7)/$H368*OFFSET(ORÇAMENTO!$X$15,ROW(AJ368)-ROW(AJ$15),0),
              ROUND(ROUND(OFFSET($P368,0,AJ$13),15-13*ORÇAMENTO!$AF$7)*OFFSET(ORÇAMENTO!$W$15,ROW(AJ368)-ROW(AJ$15),0),15-13*ORÇAMENTO!$AF$11)),
         0)</f>
        <v>0</v>
      </c>
      <c r="AK368" s="454">
        <f ca="1">IF(AND($D368="Serviço",AK$12&lt;&gt;0,$H368&gt;0,OR(AUTOEVENTO&lt;&gt;"manual",$M368&lt;&gt;$A$15)),
        IF(Import.TipoArredondamento&lt;&gt;"TransfereGOV",
              ROUND(OFFSET($P368,0,AK$13),15-13*ORÇAMENTO!$AF$7)/$H368*OFFSET(ORÇAMENTO!$X$15,ROW(AK368)-ROW(AK$15),0),
              ROUND(ROUND(OFFSET($P368,0,AK$13),15-13*ORÇAMENTO!$AF$7)*OFFSET(ORÇAMENTO!$W$15,ROW(AK368)-ROW(AK$15),0),15-13*ORÇAMENTO!$AF$11)),
         0)</f>
        <v>0</v>
      </c>
      <c r="AM368" s="172">
        <f ca="1">IF(OR($D368&lt;&gt;"Serviço",AND(AUTOEVENTO="Manual",$M368=$A$15)),0,
         IF(OFFSET(CRONOPLE!$F$15,$M368-$A$15,AM$13)="",10^12,OFFSET(CRONOPLE!$F$15,$M368-$A$15,AM$13)))</f>
        <v>1000000000000</v>
      </c>
      <c r="AN368" s="172">
        <f ca="1">IF(OR($D368&lt;&gt;"Serviço",AND(AUTOEVENTO="Manual",$M368=$A$15)),0,
         IF(OFFSET(CRONOPLE!$F$15,$M368-$A$15,AN$13)="",10^12,OFFSET(CRONOPLE!$F$15,$M368-$A$15,AN$13)))</f>
        <v>1000000000000</v>
      </c>
      <c r="AO368" s="172">
        <f ca="1">IF(OR($D368&lt;&gt;"Serviço",AND(AUTOEVENTO="Manual",$M368=$A$15)),0,
         IF(OFFSET(CRONOPLE!$F$15,$M368-$A$15,AO$13)="",10^12,OFFSET(CRONOPLE!$F$15,$M368-$A$15,AO$13)))</f>
        <v>1000000000000</v>
      </c>
      <c r="AP368" s="172">
        <f ca="1">IF(OR($D368&lt;&gt;"Serviço",AND(AUTOEVENTO="Manual",$M368=$A$15)),0,
         IF(OFFSET(CRONOPLE!$F$15,$M368-$A$15,AP$13)="",10^12,OFFSET(CRONOPLE!$F$15,$M368-$A$15,AP$13)))</f>
        <v>1000000000000</v>
      </c>
      <c r="AQ368" s="172">
        <f ca="1">IF(OR($D368&lt;&gt;"Serviço",AND(AUTOEVENTO="Manual",$M368=$A$15)),0,
         IF(OFFSET(CRONOPLE!$F$15,$M368-$A$15,AQ$13)="",10^12,OFFSET(CRONOPLE!$F$15,$M368-$A$15,AQ$13)))</f>
        <v>1000000000000</v>
      </c>
      <c r="AR368" s="172">
        <f ca="1">IF(OR($D368&lt;&gt;"Serviço",AND(AUTOEVENTO="Manual",$M368=$A$15)),0,
         IF(OFFSET(CRONOPLE!$F$15,$M368-$A$15,AR$13)="",10^12,OFFSET(CRONOPLE!$F$15,$M368-$A$15,AR$13)))</f>
        <v>1000000000000</v>
      </c>
      <c r="AS368" s="172">
        <f ca="1">IF(OR($D368&lt;&gt;"Serviço",AND(AUTOEVENTO="Manual",$M368=$A$15)),0,
         IF(OFFSET(CRONOPLE!$F$15,$M368-$A$15,AS$13)="",10^12,OFFSET(CRONOPLE!$F$15,$M368-$A$15,AS$13)))</f>
        <v>1000000000000</v>
      </c>
      <c r="AT368" s="172">
        <f ca="1">IF(OR($D368&lt;&gt;"Serviço",AND(AUTOEVENTO="Manual",$M368=$A$15)),0,
         IF(OFFSET(CRONOPLE!$F$15,$M368-$A$15,AT$13)="",10^12,OFFSET(CRONOPLE!$F$15,$M368-$A$15,AT$13)))</f>
        <v>1000000000000</v>
      </c>
      <c r="AU368" s="172">
        <f ca="1">IF(OR($D368&lt;&gt;"Serviço",AND(AUTOEVENTO="Manual",$M368=$A$15)),0,
         IF(OFFSET(CRONOPLE!$F$15,$M368-$A$15,AU$13)="",10^12,OFFSET(CRONOPLE!$F$15,$M368-$A$15,AU$13)))</f>
        <v>1000000000000</v>
      </c>
      <c r="AV368" s="172">
        <f ca="1">IF(OR($D368&lt;&gt;"Serviço",AND(AUTOEVENTO="Manual",$M368=$A$15)),0,
         IF(OFFSET(CRONOPLE!$F$15,$M368-$A$15,AV$13)="",10^12,OFFSET(CRONOPLE!$F$15,$M368-$A$15,AV$13)))</f>
        <v>1000000000000</v>
      </c>
      <c r="AX368" s="173">
        <f ca="1">IF(OR($D368&lt;&gt;"Serviço",AND(AUTOEVENTO="Manual",$M368=$A$15),$M368&gt;(ROW(PLE.lastrow)-ROW(PLE.firstrow))),0,
           IF(OFFSET(PLE!$G$15,$M368-$A$15,AX$13)="",10^12,OFFSET(PLE!$G$15,$M368-$A$15,AX$13)))</f>
        <v>1000000000000</v>
      </c>
      <c r="AY368" s="173">
        <f ca="1">IF(OR($D368&lt;&gt;"Serviço",AND(AUTOEVENTO="Manual",$M368=$A$15),$M368&gt;(ROW(PLE.lastrow)-ROW(PLE.firstrow))),0,
           IF(OFFSET(PLE!$G$15,$M368-$A$15,AY$13)="",10^12,OFFSET(PLE!$G$15,$M368-$A$15,AY$13)))</f>
        <v>1000000000000</v>
      </c>
      <c r="AZ368" s="173">
        <f ca="1">IF(OR($D368&lt;&gt;"Serviço",AND(AUTOEVENTO="Manual",$M368=$A$15),$M368&gt;(ROW(PLE.lastrow)-ROW(PLE.firstrow))),0,
           IF(OFFSET(PLE!$G$15,$M368-$A$15,AZ$13)="",10^12,OFFSET(PLE!$G$15,$M368-$A$15,AZ$13)))</f>
        <v>1000000000000</v>
      </c>
      <c r="BA368" s="173">
        <f ca="1">IF(OR($D368&lt;&gt;"Serviço",AND(AUTOEVENTO="Manual",$M368=$A$15),$M368&gt;(ROW(PLE.lastrow)-ROW(PLE.firstrow))),0,
           IF(OFFSET(PLE!$G$15,$M368-$A$15,BA$13)="",10^12,OFFSET(PLE!$G$15,$M368-$A$15,BA$13)))</f>
        <v>1000000000000</v>
      </c>
      <c r="BB368" s="173">
        <f ca="1">IF(OR($D368&lt;&gt;"Serviço",AND(AUTOEVENTO="Manual",$M368=$A$15),$M368&gt;(ROW(PLE.lastrow)-ROW(PLE.firstrow))),0,
           IF(OFFSET(PLE!$G$15,$M368-$A$15,BB$13)="",10^12,OFFSET(PLE!$G$15,$M368-$A$15,BB$13)))</f>
        <v>1000000000000</v>
      </c>
      <c r="BC368" s="173">
        <f ca="1">IF(OR($D368&lt;&gt;"Serviço",AND(AUTOEVENTO="Manual",$M368=$A$15),$M368&gt;(ROW(PLE.lastrow)-ROW(PLE.firstrow))),0,
           IF(OFFSET(PLE!$G$15,$M368-$A$15,BC$13)="",10^12,OFFSET(PLE!$G$15,$M368-$A$15,BC$13)))</f>
        <v>1000000000000</v>
      </c>
      <c r="BD368" s="173">
        <f ca="1">IF(OR($D368&lt;&gt;"Serviço",AND(AUTOEVENTO="Manual",$M368=$A$15),$M368&gt;(ROW(PLE.lastrow)-ROW(PLE.firstrow))),0,
           IF(OFFSET(PLE!$G$15,$M368-$A$15,BD$13)="",10^12,OFFSET(PLE!$G$15,$M368-$A$15,BD$13)))</f>
        <v>1000000000000</v>
      </c>
      <c r="BE368" s="173">
        <f ca="1">IF(OR($D368&lt;&gt;"Serviço",AND(AUTOEVENTO="Manual",$M368=$A$15),$M368&gt;(ROW(PLE.lastrow)-ROW(PLE.firstrow))),0,
           IF(OFFSET(PLE!$G$15,$M368-$A$15,BE$13)="",10^12,OFFSET(PLE!$G$15,$M368-$A$15,BE$13)))</f>
        <v>1000000000000</v>
      </c>
      <c r="BF368" s="173">
        <f ca="1">IF(OR($D368&lt;&gt;"Serviço",AND(AUTOEVENTO="Manual",$M368=$A$15),$M368&gt;(ROW(PLE.lastrow)-ROW(PLE.firstrow))),0,
           IF(OFFSET(PLE!$G$15,$M368-$A$15,BF$13)="",10^12,OFFSET(PLE!$G$15,$M368-$A$15,BF$13)))</f>
        <v>1000000000000</v>
      </c>
      <c r="BG368" s="173">
        <f ca="1">IF(OR($D368&lt;&gt;"Serviço",AND(AUTOEVENTO="Manual",$M368=$A$15),$M368&gt;(ROW(PLE.lastrow)-ROW(PLE.firstrow))),0,
           IF(OFFSET(PLE!$G$15,$M368-$A$15,BG$13)="",10^12,OFFSET(PLE!$G$15,$M368-$A$15,BG$13)))</f>
        <v>1000000000000</v>
      </c>
    </row>
    <row r="369" spans="1:59" ht="12.75" x14ac:dyDescent="0.2">
      <c r="A369" s="7" t="str">
        <f t="shared" ca="1" si="13"/>
        <v>331</v>
      </c>
      <c r="B369" s="7" t="str">
        <f ca="1">OFFSET(ORÇAMENTO!C$15,ROW(B369)-ROW(B$15),0)</f>
        <v>S</v>
      </c>
      <c r="C369" s="7" t="str">
        <f ca="1">OFFSET(ORÇAMENTO!L$15,ROW(C369)-ROW(C$15),0)</f>
        <v/>
      </c>
      <c r="D369" s="117" t="str">
        <f ca="1">OFFSET(ORÇAMENTO!N$15,ROW(D369)-ROW(D$15),0)</f>
        <v>Serviço</v>
      </c>
      <c r="E369" s="118" t="str">
        <f ca="1">OFFSET(ORÇAMENTO!O$15,ROW(E369)-ROW(E$15),0)</f>
        <v>-</v>
      </c>
      <c r="F369" s="164" t="str">
        <f ca="1">OFFSET(ORÇAMENTO!R$15,ROW(F369)-ROW(F$15),0)</f>
        <v>AJUDANTE DE PEDREIRO COM ENCARGOS COMPLEMENTARES</v>
      </c>
      <c r="G369" s="165" t="str">
        <f ca="1">IF($D369&lt;&gt;"Serviço","",OFFSET(ORÇAMENTO!S$15,ROW(G369)-ROW(G$15),0))</f>
        <v>H</v>
      </c>
      <c r="H369" s="123">
        <f ca="1">IF($D369&lt;&gt;"Serviço",0,IF(ACOMPANHAMENTO="BM",ROUND(OFFSET(ORÇAMENTO!AJ$15,ROW(H369)-ROW(H$15),0),15-13*ORÇAMENTO!$AF$7),SUMPRODUCT(($Q$1:$AA$1=1)*ROUND($Q369:$AA369,15-13*ORÇAMENTO!$AF$7))))</f>
        <v>40</v>
      </c>
      <c r="I369" s="469"/>
      <c r="J369" s="577" t="str" cm="1">
        <f t="array" aca="1" ref="J369" ca="1">IF(B369&lt;&gt;"S","",IF(AND(ACOMPANHAMENTO="PLE",AUTOEVENTO="Manual",OR(H369&gt;0,ORÇAMENTO!AC369="QUANT."),OR(K369="",M369=0,N369="")),"►",IF(AND(ACOMPANHAMENTO="PLE",ORÇAMENTO!AC369="QUANT."),"►►",IF(AND(COUNTIF($P$11:$AA$11,"▼")=0,H369&gt;0,I369=""),"◄",""))))</f>
        <v>◄</v>
      </c>
      <c r="K369" s="626"/>
      <c r="L369" s="166" t="s">
        <v>765</v>
      </c>
      <c r="M369" s="167">
        <f ca="1">IF($D369&lt;&gt;"Serviço","",
          IF(AUTOEVENTO="manual",$A369,
                IF(ISERROR(MATCH($A369,$A$15:OFFSET($A369,-1,0),0)),MAX($M$15:OFFSET(M369,-1,0))+1,
                      INDEX($M$15:OFFSET(M369,-1,0),MATCH($A369,$A$15:OFFSET($A369,-1,0),0)))))</f>
        <v>19</v>
      </c>
      <c r="N369" s="168" t="str">
        <f ca="1">IF($D369&lt;&gt;"Serviço","",
         IF(AUTOEVENTO="Manual",
                IF($A369=0,"&lt;-- defina o número do agrupador",
                       OFFSET(EVENTOS!$D$15,$A369-$A$15,0)),
                OFFSET($F$15,$A369,0)))</f>
        <v>FECHAMENTOS EXTERNOS</v>
      </c>
      <c r="O369" s="169"/>
      <c r="Q369" s="169"/>
      <c r="R369" s="170"/>
      <c r="S369" s="170"/>
      <c r="T369" s="170"/>
      <c r="U369" s="170"/>
      <c r="V369" s="170"/>
      <c r="W369" s="170"/>
      <c r="X369" s="170"/>
      <c r="Y369" s="170"/>
      <c r="Z369" s="171"/>
      <c r="AB369" s="454">
        <f ca="1">IF(AND($D369="Serviço",AB$12&lt;&gt;0,$H369&gt;0,OR(AUTOEVENTO&lt;&gt;"manual",$M369&lt;&gt;$A$15)),
        IF(Import.TipoArredondamento&lt;&gt;"TransfereGOV",
              ROUND(OFFSET($P369,0,AB$13),15-13*ORÇAMENTO!$AF$7)/$H369*OFFSET(ORÇAMENTO!$X$15,ROW(AB369)-ROW(AB$15),0),
              ROUND(ROUND(OFFSET($P369,0,AB$13),15-13*ORÇAMENTO!$AF$7)*OFFSET(ORÇAMENTO!$W$15,ROW(AB369)-ROW(AB$15),0),15-13*ORÇAMENTO!$AF$11)),
         0)</f>
        <v>0</v>
      </c>
      <c r="AC369" s="454">
        <f ca="1">IF(AND($D369="Serviço",AC$12&lt;&gt;0,$H369&gt;0,OR(AUTOEVENTO&lt;&gt;"manual",$M369&lt;&gt;$A$15)),
        IF(Import.TipoArredondamento&lt;&gt;"TransfereGOV",
              ROUND(OFFSET($P369,0,AC$13),15-13*ORÇAMENTO!$AF$7)/$H369*OFFSET(ORÇAMENTO!$X$15,ROW(AC369)-ROW(AC$15),0),
              ROUND(ROUND(OFFSET($P369,0,AC$13),15-13*ORÇAMENTO!$AF$7)*OFFSET(ORÇAMENTO!$W$15,ROW(AC369)-ROW(AC$15),0),15-13*ORÇAMENTO!$AF$11)),
         0)</f>
        <v>0</v>
      </c>
      <c r="AD369" s="454">
        <f ca="1">IF(AND($D369="Serviço",AD$12&lt;&gt;0,$H369&gt;0,OR(AUTOEVENTO&lt;&gt;"manual",$M369&lt;&gt;$A$15)),
        IF(Import.TipoArredondamento&lt;&gt;"TransfereGOV",
              ROUND(OFFSET($P369,0,AD$13),15-13*ORÇAMENTO!$AF$7)/$H369*OFFSET(ORÇAMENTO!$X$15,ROW(AD369)-ROW(AD$15),0),
              ROUND(ROUND(OFFSET($P369,0,AD$13),15-13*ORÇAMENTO!$AF$7)*OFFSET(ORÇAMENTO!$W$15,ROW(AD369)-ROW(AD$15),0),15-13*ORÇAMENTO!$AF$11)),
         0)</f>
        <v>0</v>
      </c>
      <c r="AE369" s="454">
        <f ca="1">IF(AND($D369="Serviço",AE$12&lt;&gt;0,$H369&gt;0,OR(AUTOEVENTO&lt;&gt;"manual",$M369&lt;&gt;$A$15)),
        IF(Import.TipoArredondamento&lt;&gt;"TransfereGOV",
              ROUND(OFFSET($P369,0,AE$13),15-13*ORÇAMENTO!$AF$7)/$H369*OFFSET(ORÇAMENTO!$X$15,ROW(AE369)-ROW(AE$15),0),
              ROUND(ROUND(OFFSET($P369,0,AE$13),15-13*ORÇAMENTO!$AF$7)*OFFSET(ORÇAMENTO!$W$15,ROW(AE369)-ROW(AE$15),0),15-13*ORÇAMENTO!$AF$11)),
         0)</f>
        <v>0</v>
      </c>
      <c r="AF369" s="454">
        <f ca="1">IF(AND($D369="Serviço",AF$12&lt;&gt;0,$H369&gt;0,OR(AUTOEVENTO&lt;&gt;"manual",$M369&lt;&gt;$A$15)),
        IF(Import.TipoArredondamento&lt;&gt;"TransfereGOV",
              ROUND(OFFSET($P369,0,AF$13),15-13*ORÇAMENTO!$AF$7)/$H369*OFFSET(ORÇAMENTO!$X$15,ROW(AF369)-ROW(AF$15),0),
              ROUND(ROUND(OFFSET($P369,0,AF$13),15-13*ORÇAMENTO!$AF$7)*OFFSET(ORÇAMENTO!$W$15,ROW(AF369)-ROW(AF$15),0),15-13*ORÇAMENTO!$AF$11)),
         0)</f>
        <v>0</v>
      </c>
      <c r="AG369" s="454">
        <f ca="1">IF(AND($D369="Serviço",AG$12&lt;&gt;0,$H369&gt;0,OR(AUTOEVENTO&lt;&gt;"manual",$M369&lt;&gt;$A$15)),
        IF(Import.TipoArredondamento&lt;&gt;"TransfereGOV",
              ROUND(OFFSET($P369,0,AG$13),15-13*ORÇAMENTO!$AF$7)/$H369*OFFSET(ORÇAMENTO!$X$15,ROW(AG369)-ROW(AG$15),0),
              ROUND(ROUND(OFFSET($P369,0,AG$13),15-13*ORÇAMENTO!$AF$7)*OFFSET(ORÇAMENTO!$W$15,ROW(AG369)-ROW(AG$15),0),15-13*ORÇAMENTO!$AF$11)),
         0)</f>
        <v>0</v>
      </c>
      <c r="AH369" s="454">
        <f ca="1">IF(AND($D369="Serviço",AH$12&lt;&gt;0,$H369&gt;0,OR(AUTOEVENTO&lt;&gt;"manual",$M369&lt;&gt;$A$15)),
        IF(Import.TipoArredondamento&lt;&gt;"TransfereGOV",
              ROUND(OFFSET($P369,0,AH$13),15-13*ORÇAMENTO!$AF$7)/$H369*OFFSET(ORÇAMENTO!$X$15,ROW(AH369)-ROW(AH$15),0),
              ROUND(ROUND(OFFSET($P369,0,AH$13),15-13*ORÇAMENTO!$AF$7)*OFFSET(ORÇAMENTO!$W$15,ROW(AH369)-ROW(AH$15),0),15-13*ORÇAMENTO!$AF$11)),
         0)</f>
        <v>0</v>
      </c>
      <c r="AI369" s="454">
        <f ca="1">IF(AND($D369="Serviço",AI$12&lt;&gt;0,$H369&gt;0,OR(AUTOEVENTO&lt;&gt;"manual",$M369&lt;&gt;$A$15)),
        IF(Import.TipoArredondamento&lt;&gt;"TransfereGOV",
              ROUND(OFFSET($P369,0,AI$13),15-13*ORÇAMENTO!$AF$7)/$H369*OFFSET(ORÇAMENTO!$X$15,ROW(AI369)-ROW(AI$15),0),
              ROUND(ROUND(OFFSET($P369,0,AI$13),15-13*ORÇAMENTO!$AF$7)*OFFSET(ORÇAMENTO!$W$15,ROW(AI369)-ROW(AI$15),0),15-13*ORÇAMENTO!$AF$11)),
         0)</f>
        <v>0</v>
      </c>
      <c r="AJ369" s="454">
        <f ca="1">IF(AND($D369="Serviço",AJ$12&lt;&gt;0,$H369&gt;0,OR(AUTOEVENTO&lt;&gt;"manual",$M369&lt;&gt;$A$15)),
        IF(Import.TipoArredondamento&lt;&gt;"TransfereGOV",
              ROUND(OFFSET($P369,0,AJ$13),15-13*ORÇAMENTO!$AF$7)/$H369*OFFSET(ORÇAMENTO!$X$15,ROW(AJ369)-ROW(AJ$15),0),
              ROUND(ROUND(OFFSET($P369,0,AJ$13),15-13*ORÇAMENTO!$AF$7)*OFFSET(ORÇAMENTO!$W$15,ROW(AJ369)-ROW(AJ$15),0),15-13*ORÇAMENTO!$AF$11)),
         0)</f>
        <v>0</v>
      </c>
      <c r="AK369" s="454">
        <f ca="1">IF(AND($D369="Serviço",AK$12&lt;&gt;0,$H369&gt;0,OR(AUTOEVENTO&lt;&gt;"manual",$M369&lt;&gt;$A$15)),
        IF(Import.TipoArredondamento&lt;&gt;"TransfereGOV",
              ROUND(OFFSET($P369,0,AK$13),15-13*ORÇAMENTO!$AF$7)/$H369*OFFSET(ORÇAMENTO!$X$15,ROW(AK369)-ROW(AK$15),0),
              ROUND(ROUND(OFFSET($P369,0,AK$13),15-13*ORÇAMENTO!$AF$7)*OFFSET(ORÇAMENTO!$W$15,ROW(AK369)-ROW(AK$15),0),15-13*ORÇAMENTO!$AF$11)),
         0)</f>
        <v>0</v>
      </c>
      <c r="AM369" s="172">
        <f ca="1">IF(OR($D369&lt;&gt;"Serviço",AND(AUTOEVENTO="Manual",$M369=$A$15)),0,
         IF(OFFSET(CRONOPLE!$F$15,$M369-$A$15,AM$13)="",10^12,OFFSET(CRONOPLE!$F$15,$M369-$A$15,AM$13)))</f>
        <v>1000000000000</v>
      </c>
      <c r="AN369" s="172">
        <f ca="1">IF(OR($D369&lt;&gt;"Serviço",AND(AUTOEVENTO="Manual",$M369=$A$15)),0,
         IF(OFFSET(CRONOPLE!$F$15,$M369-$A$15,AN$13)="",10^12,OFFSET(CRONOPLE!$F$15,$M369-$A$15,AN$13)))</f>
        <v>1000000000000</v>
      </c>
      <c r="AO369" s="172">
        <f ca="1">IF(OR($D369&lt;&gt;"Serviço",AND(AUTOEVENTO="Manual",$M369=$A$15)),0,
         IF(OFFSET(CRONOPLE!$F$15,$M369-$A$15,AO$13)="",10^12,OFFSET(CRONOPLE!$F$15,$M369-$A$15,AO$13)))</f>
        <v>1000000000000</v>
      </c>
      <c r="AP369" s="172">
        <f ca="1">IF(OR($D369&lt;&gt;"Serviço",AND(AUTOEVENTO="Manual",$M369=$A$15)),0,
         IF(OFFSET(CRONOPLE!$F$15,$M369-$A$15,AP$13)="",10^12,OFFSET(CRONOPLE!$F$15,$M369-$A$15,AP$13)))</f>
        <v>1000000000000</v>
      </c>
      <c r="AQ369" s="172">
        <f ca="1">IF(OR($D369&lt;&gt;"Serviço",AND(AUTOEVENTO="Manual",$M369=$A$15)),0,
         IF(OFFSET(CRONOPLE!$F$15,$M369-$A$15,AQ$13)="",10^12,OFFSET(CRONOPLE!$F$15,$M369-$A$15,AQ$13)))</f>
        <v>1000000000000</v>
      </c>
      <c r="AR369" s="172">
        <f ca="1">IF(OR($D369&lt;&gt;"Serviço",AND(AUTOEVENTO="Manual",$M369=$A$15)),0,
         IF(OFFSET(CRONOPLE!$F$15,$M369-$A$15,AR$13)="",10^12,OFFSET(CRONOPLE!$F$15,$M369-$A$15,AR$13)))</f>
        <v>1000000000000</v>
      </c>
      <c r="AS369" s="172">
        <f ca="1">IF(OR($D369&lt;&gt;"Serviço",AND(AUTOEVENTO="Manual",$M369=$A$15)),0,
         IF(OFFSET(CRONOPLE!$F$15,$M369-$A$15,AS$13)="",10^12,OFFSET(CRONOPLE!$F$15,$M369-$A$15,AS$13)))</f>
        <v>1000000000000</v>
      </c>
      <c r="AT369" s="172">
        <f ca="1">IF(OR($D369&lt;&gt;"Serviço",AND(AUTOEVENTO="Manual",$M369=$A$15)),0,
         IF(OFFSET(CRONOPLE!$F$15,$M369-$A$15,AT$13)="",10^12,OFFSET(CRONOPLE!$F$15,$M369-$A$15,AT$13)))</f>
        <v>1000000000000</v>
      </c>
      <c r="AU369" s="172">
        <f ca="1">IF(OR($D369&lt;&gt;"Serviço",AND(AUTOEVENTO="Manual",$M369=$A$15)),0,
         IF(OFFSET(CRONOPLE!$F$15,$M369-$A$15,AU$13)="",10^12,OFFSET(CRONOPLE!$F$15,$M369-$A$15,AU$13)))</f>
        <v>1000000000000</v>
      </c>
      <c r="AV369" s="172">
        <f ca="1">IF(OR($D369&lt;&gt;"Serviço",AND(AUTOEVENTO="Manual",$M369=$A$15)),0,
         IF(OFFSET(CRONOPLE!$F$15,$M369-$A$15,AV$13)="",10^12,OFFSET(CRONOPLE!$F$15,$M369-$A$15,AV$13)))</f>
        <v>1000000000000</v>
      </c>
      <c r="AX369" s="173">
        <f ca="1">IF(OR($D369&lt;&gt;"Serviço",AND(AUTOEVENTO="Manual",$M369=$A$15),$M369&gt;(ROW(PLE.lastrow)-ROW(PLE.firstrow))),0,
           IF(OFFSET(PLE!$G$15,$M369-$A$15,AX$13)="",10^12,OFFSET(PLE!$G$15,$M369-$A$15,AX$13)))</f>
        <v>1000000000000</v>
      </c>
      <c r="AY369" s="173">
        <f ca="1">IF(OR($D369&lt;&gt;"Serviço",AND(AUTOEVENTO="Manual",$M369=$A$15),$M369&gt;(ROW(PLE.lastrow)-ROW(PLE.firstrow))),0,
           IF(OFFSET(PLE!$G$15,$M369-$A$15,AY$13)="",10^12,OFFSET(PLE!$G$15,$M369-$A$15,AY$13)))</f>
        <v>1000000000000</v>
      </c>
      <c r="AZ369" s="173">
        <f ca="1">IF(OR($D369&lt;&gt;"Serviço",AND(AUTOEVENTO="Manual",$M369=$A$15),$M369&gt;(ROW(PLE.lastrow)-ROW(PLE.firstrow))),0,
           IF(OFFSET(PLE!$G$15,$M369-$A$15,AZ$13)="",10^12,OFFSET(PLE!$G$15,$M369-$A$15,AZ$13)))</f>
        <v>1000000000000</v>
      </c>
      <c r="BA369" s="173">
        <f ca="1">IF(OR($D369&lt;&gt;"Serviço",AND(AUTOEVENTO="Manual",$M369=$A$15),$M369&gt;(ROW(PLE.lastrow)-ROW(PLE.firstrow))),0,
           IF(OFFSET(PLE!$G$15,$M369-$A$15,BA$13)="",10^12,OFFSET(PLE!$G$15,$M369-$A$15,BA$13)))</f>
        <v>1000000000000</v>
      </c>
      <c r="BB369" s="173">
        <f ca="1">IF(OR($D369&lt;&gt;"Serviço",AND(AUTOEVENTO="Manual",$M369=$A$15),$M369&gt;(ROW(PLE.lastrow)-ROW(PLE.firstrow))),0,
           IF(OFFSET(PLE!$G$15,$M369-$A$15,BB$13)="",10^12,OFFSET(PLE!$G$15,$M369-$A$15,BB$13)))</f>
        <v>1000000000000</v>
      </c>
      <c r="BC369" s="173">
        <f ca="1">IF(OR($D369&lt;&gt;"Serviço",AND(AUTOEVENTO="Manual",$M369=$A$15),$M369&gt;(ROW(PLE.lastrow)-ROW(PLE.firstrow))),0,
           IF(OFFSET(PLE!$G$15,$M369-$A$15,BC$13)="",10^12,OFFSET(PLE!$G$15,$M369-$A$15,BC$13)))</f>
        <v>1000000000000</v>
      </c>
      <c r="BD369" s="173">
        <f ca="1">IF(OR($D369&lt;&gt;"Serviço",AND(AUTOEVENTO="Manual",$M369=$A$15),$M369&gt;(ROW(PLE.lastrow)-ROW(PLE.firstrow))),0,
           IF(OFFSET(PLE!$G$15,$M369-$A$15,BD$13)="",10^12,OFFSET(PLE!$G$15,$M369-$A$15,BD$13)))</f>
        <v>1000000000000</v>
      </c>
      <c r="BE369" s="173">
        <f ca="1">IF(OR($D369&lt;&gt;"Serviço",AND(AUTOEVENTO="Manual",$M369=$A$15),$M369&gt;(ROW(PLE.lastrow)-ROW(PLE.firstrow))),0,
           IF(OFFSET(PLE!$G$15,$M369-$A$15,BE$13)="",10^12,OFFSET(PLE!$G$15,$M369-$A$15,BE$13)))</f>
        <v>1000000000000</v>
      </c>
      <c r="BF369" s="173">
        <f ca="1">IF(OR($D369&lt;&gt;"Serviço",AND(AUTOEVENTO="Manual",$M369=$A$15),$M369&gt;(ROW(PLE.lastrow)-ROW(PLE.firstrow))),0,
           IF(OFFSET(PLE!$G$15,$M369-$A$15,BF$13)="",10^12,OFFSET(PLE!$G$15,$M369-$A$15,BF$13)))</f>
        <v>1000000000000</v>
      </c>
      <c r="BG369" s="173">
        <f ca="1">IF(OR($D369&lt;&gt;"Serviço",AND(AUTOEVENTO="Manual",$M369=$A$15),$M369&gt;(ROW(PLE.lastrow)-ROW(PLE.firstrow))),0,
           IF(OFFSET(PLE!$G$15,$M369-$A$15,BG$13)="",10^12,OFFSET(PLE!$G$15,$M369-$A$15,BG$13)))</f>
        <v>1000000000000</v>
      </c>
    </row>
    <row r="370" spans="1:59" ht="12.75" x14ac:dyDescent="0.2">
      <c r="A370" s="7" t="str">
        <f t="shared" ca="1" si="13"/>
        <v>355.</v>
      </c>
      <c r="B370" s="7">
        <f ca="1">OFFSET(ORÇAMENTO!C$15,ROW(B370)-ROW(B$15),0)</f>
        <v>2</v>
      </c>
      <c r="C370" s="7" t="str">
        <f ca="1">OFFSET(ORÇAMENTO!L$15,ROW(C370)-ROW(C$15),0)</f>
        <v>F</v>
      </c>
      <c r="D370" s="117" t="str">
        <f ca="1">OFFSET(ORÇAMENTO!N$15,ROW(D370)-ROW(D$15),0)</f>
        <v>Nível 2</v>
      </c>
      <c r="E370" s="118" t="str">
        <f ca="1">OFFSET(ORÇAMENTO!O$15,ROW(E370)-ROW(E$15),0)</f>
        <v>1.20.</v>
      </c>
      <c r="F370" s="164" t="str">
        <f ca="1">OFFSET(ORÇAMENTO!R$15,ROW(F370)-ROW(F$15),0)</f>
        <v>ACESSIBILIDADE</v>
      </c>
      <c r="G370" s="165" t="str">
        <f ca="1">IF($D370&lt;&gt;"Serviço","",OFFSET(ORÇAMENTO!S$15,ROW(G370)-ROW(G$15),0))</f>
        <v/>
      </c>
      <c r="H370" s="123">
        <f ca="1">IF($D370&lt;&gt;"Serviço",0,IF(ACOMPANHAMENTO="BM",ROUND(OFFSET(ORÇAMENTO!AJ$15,ROW(H370)-ROW(H$15),0),15-13*ORÇAMENTO!$AF$7),SUMPRODUCT(($Q$1:$AA$1=1)*ROUND($Q370:$AA370,15-13*ORÇAMENTO!$AF$7))))</f>
        <v>0</v>
      </c>
      <c r="I370" s="469"/>
      <c r="J370" s="577" t="str" cm="1">
        <f t="array" aca="1" ref="J370" ca="1">IF(B370&lt;&gt;"S","",IF(AND(ACOMPANHAMENTO="PLE",AUTOEVENTO="Manual",OR(H370&gt;0,ORÇAMENTO!AC370="QUANT."),OR(K370="",M370=0,N370="")),"►",IF(AND(ACOMPANHAMENTO="PLE",ORÇAMENTO!AC370="QUANT."),"►►",IF(AND(COUNTIF($P$11:$AA$11,"▼")=0,H370&gt;0,I370=""),"◄",""))))</f>
        <v/>
      </c>
      <c r="K370" s="626"/>
      <c r="L370" s="166" t="s">
        <v>765</v>
      </c>
      <c r="M370" s="167" t="str">
        <f ca="1">IF($D370&lt;&gt;"Serviço","",
          IF(AUTOEVENTO="manual",$A370,
                IF(ISERROR(MATCH($A370,$A$15:OFFSET($A370,-1,0),0)),MAX($M$15:OFFSET(M370,-1,0))+1,
                      INDEX($M$15:OFFSET(M370,-1,0),MATCH($A370,$A$15:OFFSET($A370,-1,0),0)))))</f>
        <v/>
      </c>
      <c r="N370" s="168" t="str">
        <f ca="1">IF($D370&lt;&gt;"Serviço","",
         IF(AUTOEVENTO="Manual",
                IF($A370=0,"&lt;-- defina o número do agrupador",
                       OFFSET(EVENTOS!$D$15,$A370-$A$15,0)),
                OFFSET($F$15,$A370,0)))</f>
        <v/>
      </c>
      <c r="O370" s="169"/>
      <c r="Q370" s="169"/>
      <c r="R370" s="170"/>
      <c r="S370" s="170"/>
      <c r="T370" s="170"/>
      <c r="U370" s="170"/>
      <c r="V370" s="170"/>
      <c r="W370" s="170"/>
      <c r="X370" s="170"/>
      <c r="Y370" s="170"/>
      <c r="Z370" s="171"/>
      <c r="AB370" s="454">
        <f ca="1">IF(AND($D370="Serviço",AB$12&lt;&gt;0,$H370&gt;0,OR(AUTOEVENTO&lt;&gt;"manual",$M370&lt;&gt;$A$15)),
        IF(Import.TipoArredondamento&lt;&gt;"TransfereGOV",
              ROUND(OFFSET($P370,0,AB$13),15-13*ORÇAMENTO!$AF$7)/$H370*OFFSET(ORÇAMENTO!$X$15,ROW(AB370)-ROW(AB$15),0),
              ROUND(ROUND(OFFSET($P370,0,AB$13),15-13*ORÇAMENTO!$AF$7)*OFFSET(ORÇAMENTO!$W$15,ROW(AB370)-ROW(AB$15),0),15-13*ORÇAMENTO!$AF$11)),
         0)</f>
        <v>0</v>
      </c>
      <c r="AC370" s="454">
        <f ca="1">IF(AND($D370="Serviço",AC$12&lt;&gt;0,$H370&gt;0,OR(AUTOEVENTO&lt;&gt;"manual",$M370&lt;&gt;$A$15)),
        IF(Import.TipoArredondamento&lt;&gt;"TransfereGOV",
              ROUND(OFFSET($P370,0,AC$13),15-13*ORÇAMENTO!$AF$7)/$H370*OFFSET(ORÇAMENTO!$X$15,ROW(AC370)-ROW(AC$15),0),
              ROUND(ROUND(OFFSET($P370,0,AC$13),15-13*ORÇAMENTO!$AF$7)*OFFSET(ORÇAMENTO!$W$15,ROW(AC370)-ROW(AC$15),0),15-13*ORÇAMENTO!$AF$11)),
         0)</f>
        <v>0</v>
      </c>
      <c r="AD370" s="454">
        <f ca="1">IF(AND($D370="Serviço",AD$12&lt;&gt;0,$H370&gt;0,OR(AUTOEVENTO&lt;&gt;"manual",$M370&lt;&gt;$A$15)),
        IF(Import.TipoArredondamento&lt;&gt;"TransfereGOV",
              ROUND(OFFSET($P370,0,AD$13),15-13*ORÇAMENTO!$AF$7)/$H370*OFFSET(ORÇAMENTO!$X$15,ROW(AD370)-ROW(AD$15),0),
              ROUND(ROUND(OFFSET($P370,0,AD$13),15-13*ORÇAMENTO!$AF$7)*OFFSET(ORÇAMENTO!$W$15,ROW(AD370)-ROW(AD$15),0),15-13*ORÇAMENTO!$AF$11)),
         0)</f>
        <v>0</v>
      </c>
      <c r="AE370" s="454">
        <f ca="1">IF(AND($D370="Serviço",AE$12&lt;&gt;0,$H370&gt;0,OR(AUTOEVENTO&lt;&gt;"manual",$M370&lt;&gt;$A$15)),
        IF(Import.TipoArredondamento&lt;&gt;"TransfereGOV",
              ROUND(OFFSET($P370,0,AE$13),15-13*ORÇAMENTO!$AF$7)/$H370*OFFSET(ORÇAMENTO!$X$15,ROW(AE370)-ROW(AE$15),0),
              ROUND(ROUND(OFFSET($P370,0,AE$13),15-13*ORÇAMENTO!$AF$7)*OFFSET(ORÇAMENTO!$W$15,ROW(AE370)-ROW(AE$15),0),15-13*ORÇAMENTO!$AF$11)),
         0)</f>
        <v>0</v>
      </c>
      <c r="AF370" s="454">
        <f ca="1">IF(AND($D370="Serviço",AF$12&lt;&gt;0,$H370&gt;0,OR(AUTOEVENTO&lt;&gt;"manual",$M370&lt;&gt;$A$15)),
        IF(Import.TipoArredondamento&lt;&gt;"TransfereGOV",
              ROUND(OFFSET($P370,0,AF$13),15-13*ORÇAMENTO!$AF$7)/$H370*OFFSET(ORÇAMENTO!$X$15,ROW(AF370)-ROW(AF$15),0),
              ROUND(ROUND(OFFSET($P370,0,AF$13),15-13*ORÇAMENTO!$AF$7)*OFFSET(ORÇAMENTO!$W$15,ROW(AF370)-ROW(AF$15),0),15-13*ORÇAMENTO!$AF$11)),
         0)</f>
        <v>0</v>
      </c>
      <c r="AG370" s="454">
        <f ca="1">IF(AND($D370="Serviço",AG$12&lt;&gt;0,$H370&gt;0,OR(AUTOEVENTO&lt;&gt;"manual",$M370&lt;&gt;$A$15)),
        IF(Import.TipoArredondamento&lt;&gt;"TransfereGOV",
              ROUND(OFFSET($P370,0,AG$13),15-13*ORÇAMENTO!$AF$7)/$H370*OFFSET(ORÇAMENTO!$X$15,ROW(AG370)-ROW(AG$15),0),
              ROUND(ROUND(OFFSET($P370,0,AG$13),15-13*ORÇAMENTO!$AF$7)*OFFSET(ORÇAMENTO!$W$15,ROW(AG370)-ROW(AG$15),0),15-13*ORÇAMENTO!$AF$11)),
         0)</f>
        <v>0</v>
      </c>
      <c r="AH370" s="454">
        <f ca="1">IF(AND($D370="Serviço",AH$12&lt;&gt;0,$H370&gt;0,OR(AUTOEVENTO&lt;&gt;"manual",$M370&lt;&gt;$A$15)),
        IF(Import.TipoArredondamento&lt;&gt;"TransfereGOV",
              ROUND(OFFSET($P370,0,AH$13),15-13*ORÇAMENTO!$AF$7)/$H370*OFFSET(ORÇAMENTO!$X$15,ROW(AH370)-ROW(AH$15),0),
              ROUND(ROUND(OFFSET($P370,0,AH$13),15-13*ORÇAMENTO!$AF$7)*OFFSET(ORÇAMENTO!$W$15,ROW(AH370)-ROW(AH$15),0),15-13*ORÇAMENTO!$AF$11)),
         0)</f>
        <v>0</v>
      </c>
      <c r="AI370" s="454">
        <f ca="1">IF(AND($D370="Serviço",AI$12&lt;&gt;0,$H370&gt;0,OR(AUTOEVENTO&lt;&gt;"manual",$M370&lt;&gt;$A$15)),
        IF(Import.TipoArredondamento&lt;&gt;"TransfereGOV",
              ROUND(OFFSET($P370,0,AI$13),15-13*ORÇAMENTO!$AF$7)/$H370*OFFSET(ORÇAMENTO!$X$15,ROW(AI370)-ROW(AI$15),0),
              ROUND(ROUND(OFFSET($P370,0,AI$13),15-13*ORÇAMENTO!$AF$7)*OFFSET(ORÇAMENTO!$W$15,ROW(AI370)-ROW(AI$15),0),15-13*ORÇAMENTO!$AF$11)),
         0)</f>
        <v>0</v>
      </c>
      <c r="AJ370" s="454">
        <f ca="1">IF(AND($D370="Serviço",AJ$12&lt;&gt;0,$H370&gt;0,OR(AUTOEVENTO&lt;&gt;"manual",$M370&lt;&gt;$A$15)),
        IF(Import.TipoArredondamento&lt;&gt;"TransfereGOV",
              ROUND(OFFSET($P370,0,AJ$13),15-13*ORÇAMENTO!$AF$7)/$H370*OFFSET(ORÇAMENTO!$X$15,ROW(AJ370)-ROW(AJ$15),0),
              ROUND(ROUND(OFFSET($P370,0,AJ$13),15-13*ORÇAMENTO!$AF$7)*OFFSET(ORÇAMENTO!$W$15,ROW(AJ370)-ROW(AJ$15),0),15-13*ORÇAMENTO!$AF$11)),
         0)</f>
        <v>0</v>
      </c>
      <c r="AK370" s="454">
        <f ca="1">IF(AND($D370="Serviço",AK$12&lt;&gt;0,$H370&gt;0,OR(AUTOEVENTO&lt;&gt;"manual",$M370&lt;&gt;$A$15)),
        IF(Import.TipoArredondamento&lt;&gt;"TransfereGOV",
              ROUND(OFFSET($P370,0,AK$13),15-13*ORÇAMENTO!$AF$7)/$H370*OFFSET(ORÇAMENTO!$X$15,ROW(AK370)-ROW(AK$15),0),
              ROUND(ROUND(OFFSET($P370,0,AK$13),15-13*ORÇAMENTO!$AF$7)*OFFSET(ORÇAMENTO!$W$15,ROW(AK370)-ROW(AK$15),0),15-13*ORÇAMENTO!$AF$11)),
         0)</f>
        <v>0</v>
      </c>
      <c r="AM370" s="172">
        <f ca="1">IF(OR($D370&lt;&gt;"Serviço",AND(AUTOEVENTO="Manual",$M370=$A$15)),0,
         IF(OFFSET(CRONOPLE!$F$15,$M370-$A$15,AM$13)="",10^12,OFFSET(CRONOPLE!$F$15,$M370-$A$15,AM$13)))</f>
        <v>0</v>
      </c>
      <c r="AN370" s="172">
        <f ca="1">IF(OR($D370&lt;&gt;"Serviço",AND(AUTOEVENTO="Manual",$M370=$A$15)),0,
         IF(OFFSET(CRONOPLE!$F$15,$M370-$A$15,AN$13)="",10^12,OFFSET(CRONOPLE!$F$15,$M370-$A$15,AN$13)))</f>
        <v>0</v>
      </c>
      <c r="AO370" s="172">
        <f ca="1">IF(OR($D370&lt;&gt;"Serviço",AND(AUTOEVENTO="Manual",$M370=$A$15)),0,
         IF(OFFSET(CRONOPLE!$F$15,$M370-$A$15,AO$13)="",10^12,OFFSET(CRONOPLE!$F$15,$M370-$A$15,AO$13)))</f>
        <v>0</v>
      </c>
      <c r="AP370" s="172">
        <f ca="1">IF(OR($D370&lt;&gt;"Serviço",AND(AUTOEVENTO="Manual",$M370=$A$15)),0,
         IF(OFFSET(CRONOPLE!$F$15,$M370-$A$15,AP$13)="",10^12,OFFSET(CRONOPLE!$F$15,$M370-$A$15,AP$13)))</f>
        <v>0</v>
      </c>
      <c r="AQ370" s="172">
        <f ca="1">IF(OR($D370&lt;&gt;"Serviço",AND(AUTOEVENTO="Manual",$M370=$A$15)),0,
         IF(OFFSET(CRONOPLE!$F$15,$M370-$A$15,AQ$13)="",10^12,OFFSET(CRONOPLE!$F$15,$M370-$A$15,AQ$13)))</f>
        <v>0</v>
      </c>
      <c r="AR370" s="172">
        <f ca="1">IF(OR($D370&lt;&gt;"Serviço",AND(AUTOEVENTO="Manual",$M370=$A$15)),0,
         IF(OFFSET(CRONOPLE!$F$15,$M370-$A$15,AR$13)="",10^12,OFFSET(CRONOPLE!$F$15,$M370-$A$15,AR$13)))</f>
        <v>0</v>
      </c>
      <c r="AS370" s="172">
        <f ca="1">IF(OR($D370&lt;&gt;"Serviço",AND(AUTOEVENTO="Manual",$M370=$A$15)),0,
         IF(OFFSET(CRONOPLE!$F$15,$M370-$A$15,AS$13)="",10^12,OFFSET(CRONOPLE!$F$15,$M370-$A$15,AS$13)))</f>
        <v>0</v>
      </c>
      <c r="AT370" s="172">
        <f ca="1">IF(OR($D370&lt;&gt;"Serviço",AND(AUTOEVENTO="Manual",$M370=$A$15)),0,
         IF(OFFSET(CRONOPLE!$F$15,$M370-$A$15,AT$13)="",10^12,OFFSET(CRONOPLE!$F$15,$M370-$A$15,AT$13)))</f>
        <v>0</v>
      </c>
      <c r="AU370" s="172">
        <f ca="1">IF(OR($D370&lt;&gt;"Serviço",AND(AUTOEVENTO="Manual",$M370=$A$15)),0,
         IF(OFFSET(CRONOPLE!$F$15,$M370-$A$15,AU$13)="",10^12,OFFSET(CRONOPLE!$F$15,$M370-$A$15,AU$13)))</f>
        <v>0</v>
      </c>
      <c r="AV370" s="172">
        <f ca="1">IF(OR($D370&lt;&gt;"Serviço",AND(AUTOEVENTO="Manual",$M370=$A$15)),0,
         IF(OFFSET(CRONOPLE!$F$15,$M370-$A$15,AV$13)="",10^12,OFFSET(CRONOPLE!$F$15,$M370-$A$15,AV$13)))</f>
        <v>0</v>
      </c>
      <c r="AX370" s="173">
        <f ca="1">IF(OR($D370&lt;&gt;"Serviço",AND(AUTOEVENTO="Manual",$M370=$A$15),$M370&gt;(ROW(PLE.lastrow)-ROW(PLE.firstrow))),0,
           IF(OFFSET(PLE!$G$15,$M370-$A$15,AX$13)="",10^12,OFFSET(PLE!$G$15,$M370-$A$15,AX$13)))</f>
        <v>0</v>
      </c>
      <c r="AY370" s="173">
        <f ca="1">IF(OR($D370&lt;&gt;"Serviço",AND(AUTOEVENTO="Manual",$M370=$A$15),$M370&gt;(ROW(PLE.lastrow)-ROW(PLE.firstrow))),0,
           IF(OFFSET(PLE!$G$15,$M370-$A$15,AY$13)="",10^12,OFFSET(PLE!$G$15,$M370-$A$15,AY$13)))</f>
        <v>0</v>
      </c>
      <c r="AZ370" s="173">
        <f ca="1">IF(OR($D370&lt;&gt;"Serviço",AND(AUTOEVENTO="Manual",$M370=$A$15),$M370&gt;(ROW(PLE.lastrow)-ROW(PLE.firstrow))),0,
           IF(OFFSET(PLE!$G$15,$M370-$A$15,AZ$13)="",10^12,OFFSET(PLE!$G$15,$M370-$A$15,AZ$13)))</f>
        <v>0</v>
      </c>
      <c r="BA370" s="173">
        <f ca="1">IF(OR($D370&lt;&gt;"Serviço",AND(AUTOEVENTO="Manual",$M370=$A$15),$M370&gt;(ROW(PLE.lastrow)-ROW(PLE.firstrow))),0,
           IF(OFFSET(PLE!$G$15,$M370-$A$15,BA$13)="",10^12,OFFSET(PLE!$G$15,$M370-$A$15,BA$13)))</f>
        <v>0</v>
      </c>
      <c r="BB370" s="173">
        <f ca="1">IF(OR($D370&lt;&gt;"Serviço",AND(AUTOEVENTO="Manual",$M370=$A$15),$M370&gt;(ROW(PLE.lastrow)-ROW(PLE.firstrow))),0,
           IF(OFFSET(PLE!$G$15,$M370-$A$15,BB$13)="",10^12,OFFSET(PLE!$G$15,$M370-$A$15,BB$13)))</f>
        <v>0</v>
      </c>
      <c r="BC370" s="173">
        <f ca="1">IF(OR($D370&lt;&gt;"Serviço",AND(AUTOEVENTO="Manual",$M370=$A$15),$M370&gt;(ROW(PLE.lastrow)-ROW(PLE.firstrow))),0,
           IF(OFFSET(PLE!$G$15,$M370-$A$15,BC$13)="",10^12,OFFSET(PLE!$G$15,$M370-$A$15,BC$13)))</f>
        <v>0</v>
      </c>
      <c r="BD370" s="173">
        <f ca="1">IF(OR($D370&lt;&gt;"Serviço",AND(AUTOEVENTO="Manual",$M370=$A$15),$M370&gt;(ROW(PLE.lastrow)-ROW(PLE.firstrow))),0,
           IF(OFFSET(PLE!$G$15,$M370-$A$15,BD$13)="",10^12,OFFSET(PLE!$G$15,$M370-$A$15,BD$13)))</f>
        <v>0</v>
      </c>
      <c r="BE370" s="173">
        <f ca="1">IF(OR($D370&lt;&gt;"Serviço",AND(AUTOEVENTO="Manual",$M370=$A$15),$M370&gt;(ROW(PLE.lastrow)-ROW(PLE.firstrow))),0,
           IF(OFFSET(PLE!$G$15,$M370-$A$15,BE$13)="",10^12,OFFSET(PLE!$G$15,$M370-$A$15,BE$13)))</f>
        <v>0</v>
      </c>
      <c r="BF370" s="173">
        <f ca="1">IF(OR($D370&lt;&gt;"Serviço",AND(AUTOEVENTO="Manual",$M370=$A$15),$M370&gt;(ROW(PLE.lastrow)-ROW(PLE.firstrow))),0,
           IF(OFFSET(PLE!$G$15,$M370-$A$15,BF$13)="",10^12,OFFSET(PLE!$G$15,$M370-$A$15,BF$13)))</f>
        <v>0</v>
      </c>
      <c r="BG370" s="173">
        <f ca="1">IF(OR($D370&lt;&gt;"Serviço",AND(AUTOEVENTO="Manual",$M370=$A$15),$M370&gt;(ROW(PLE.lastrow)-ROW(PLE.firstrow))),0,
           IF(OFFSET(PLE!$G$15,$M370-$A$15,BG$13)="",10^12,OFFSET(PLE!$G$15,$M370-$A$15,BG$13)))</f>
        <v>0</v>
      </c>
    </row>
    <row r="371" spans="1:59" ht="25.5" x14ac:dyDescent="0.2">
      <c r="A371" s="7" t="str">
        <f t="shared" ca="1" si="13"/>
        <v>355</v>
      </c>
      <c r="B371" s="7" t="str">
        <f ca="1">OFFSET(ORÇAMENTO!C$15,ROW(B371)-ROW(B$15),0)</f>
        <v>S</v>
      </c>
      <c r="C371" s="7" t="str">
        <f ca="1">OFFSET(ORÇAMENTO!L$15,ROW(C371)-ROW(C$15),0)</f>
        <v/>
      </c>
      <c r="D371" s="117" t="str">
        <f ca="1">OFFSET(ORÇAMENTO!N$15,ROW(D371)-ROW(D$15),0)</f>
        <v>Serviço</v>
      </c>
      <c r="E371" s="118" t="str">
        <f ca="1">OFFSET(ORÇAMENTO!O$15,ROW(E371)-ROW(E$15),0)</f>
        <v>-</v>
      </c>
      <c r="F371" s="164" t="str">
        <f ca="1">OFFSET(ORÇAMENTO!R$15,ROW(F371)-ROW(F$15),0)</f>
        <v>PISO PODOTÁTIL DE ALERTA OU DIRECIONAL, DE CONCRETO, ASSENTADO SOBRE ARGAMASSA. AF_03/2024</v>
      </c>
      <c r="G371" s="165" t="str">
        <f ca="1">IF($D371&lt;&gt;"Serviço","",OFFSET(ORÇAMENTO!S$15,ROW(G371)-ROW(G$15),0))</f>
        <v>M2</v>
      </c>
      <c r="H371" s="123">
        <f ca="1">IF($D371&lt;&gt;"Serviço",0,IF(ACOMPANHAMENTO="BM",ROUND(OFFSET(ORÇAMENTO!AJ$15,ROW(H371)-ROW(H$15),0),15-13*ORÇAMENTO!$AF$7),SUMPRODUCT(($Q$1:$AA$1=1)*ROUND($Q371:$AA371,15-13*ORÇAMENTO!$AF$7))))</f>
        <v>28.92</v>
      </c>
      <c r="I371" s="469"/>
      <c r="J371" s="577" t="str" cm="1">
        <f t="array" aca="1" ref="J371" ca="1">IF(B371&lt;&gt;"S","",IF(AND(ACOMPANHAMENTO="PLE",AUTOEVENTO="Manual",OR(H371&gt;0,ORÇAMENTO!AC371="QUANT."),OR(K371="",M371=0,N371="")),"►",IF(AND(ACOMPANHAMENTO="PLE",ORÇAMENTO!AC371="QUANT."),"►►",IF(AND(COUNTIF($P$11:$AA$11,"▼")=0,H371&gt;0,I371=""),"◄",""))))</f>
        <v>◄</v>
      </c>
      <c r="K371" s="626"/>
      <c r="L371" s="166" t="s">
        <v>765</v>
      </c>
      <c r="M371" s="167">
        <f ca="1">IF($D371&lt;&gt;"Serviço","",
          IF(AUTOEVENTO="manual",$A371,
                IF(ISERROR(MATCH($A371,$A$15:OFFSET($A371,-1,0),0)),MAX($M$15:OFFSET(M371,-1,0))+1,
                      INDEX($M$15:OFFSET(M371,-1,0),MATCH($A371,$A$15:OFFSET($A371,-1,0),0)))))</f>
        <v>20</v>
      </c>
      <c r="N371" s="168" t="str">
        <f ca="1">IF($D371&lt;&gt;"Serviço","",
         IF(AUTOEVENTO="Manual",
                IF($A371=0,"&lt;-- defina o número do agrupador",
                       OFFSET(EVENTOS!$D$15,$A371-$A$15,0)),
                OFFSET($F$15,$A371,0)))</f>
        <v>ACESSIBILIDADE</v>
      </c>
      <c r="O371" s="169"/>
      <c r="Q371" s="169"/>
      <c r="R371" s="170"/>
      <c r="S371" s="170"/>
      <c r="T371" s="170"/>
      <c r="U371" s="170"/>
      <c r="V371" s="170"/>
      <c r="W371" s="170"/>
      <c r="X371" s="170"/>
      <c r="Y371" s="170"/>
      <c r="Z371" s="171"/>
      <c r="AB371" s="454">
        <f ca="1">IF(AND($D371="Serviço",AB$12&lt;&gt;0,$H371&gt;0,OR(AUTOEVENTO&lt;&gt;"manual",$M371&lt;&gt;$A$15)),
        IF(Import.TipoArredondamento&lt;&gt;"TransfereGOV",
              ROUND(OFFSET($P371,0,AB$13),15-13*ORÇAMENTO!$AF$7)/$H371*OFFSET(ORÇAMENTO!$X$15,ROW(AB371)-ROW(AB$15),0),
              ROUND(ROUND(OFFSET($P371,0,AB$13),15-13*ORÇAMENTO!$AF$7)*OFFSET(ORÇAMENTO!$W$15,ROW(AB371)-ROW(AB$15),0),15-13*ORÇAMENTO!$AF$11)),
         0)</f>
        <v>0</v>
      </c>
      <c r="AC371" s="454">
        <f ca="1">IF(AND($D371="Serviço",AC$12&lt;&gt;0,$H371&gt;0,OR(AUTOEVENTO&lt;&gt;"manual",$M371&lt;&gt;$A$15)),
        IF(Import.TipoArredondamento&lt;&gt;"TransfereGOV",
              ROUND(OFFSET($P371,0,AC$13),15-13*ORÇAMENTO!$AF$7)/$H371*OFFSET(ORÇAMENTO!$X$15,ROW(AC371)-ROW(AC$15),0),
              ROUND(ROUND(OFFSET($P371,0,AC$13),15-13*ORÇAMENTO!$AF$7)*OFFSET(ORÇAMENTO!$W$15,ROW(AC371)-ROW(AC$15),0),15-13*ORÇAMENTO!$AF$11)),
         0)</f>
        <v>0</v>
      </c>
      <c r="AD371" s="454">
        <f ca="1">IF(AND($D371="Serviço",AD$12&lt;&gt;0,$H371&gt;0,OR(AUTOEVENTO&lt;&gt;"manual",$M371&lt;&gt;$A$15)),
        IF(Import.TipoArredondamento&lt;&gt;"TransfereGOV",
              ROUND(OFFSET($P371,0,AD$13),15-13*ORÇAMENTO!$AF$7)/$H371*OFFSET(ORÇAMENTO!$X$15,ROW(AD371)-ROW(AD$15),0),
              ROUND(ROUND(OFFSET($P371,0,AD$13),15-13*ORÇAMENTO!$AF$7)*OFFSET(ORÇAMENTO!$W$15,ROW(AD371)-ROW(AD$15),0),15-13*ORÇAMENTO!$AF$11)),
         0)</f>
        <v>0</v>
      </c>
      <c r="AE371" s="454">
        <f ca="1">IF(AND($D371="Serviço",AE$12&lt;&gt;0,$H371&gt;0,OR(AUTOEVENTO&lt;&gt;"manual",$M371&lt;&gt;$A$15)),
        IF(Import.TipoArredondamento&lt;&gt;"TransfereGOV",
              ROUND(OFFSET($P371,0,AE$13),15-13*ORÇAMENTO!$AF$7)/$H371*OFFSET(ORÇAMENTO!$X$15,ROW(AE371)-ROW(AE$15),0),
              ROUND(ROUND(OFFSET($P371,0,AE$13),15-13*ORÇAMENTO!$AF$7)*OFFSET(ORÇAMENTO!$W$15,ROW(AE371)-ROW(AE$15),0),15-13*ORÇAMENTO!$AF$11)),
         0)</f>
        <v>0</v>
      </c>
      <c r="AF371" s="454">
        <f ca="1">IF(AND($D371="Serviço",AF$12&lt;&gt;0,$H371&gt;0,OR(AUTOEVENTO&lt;&gt;"manual",$M371&lt;&gt;$A$15)),
        IF(Import.TipoArredondamento&lt;&gt;"TransfereGOV",
              ROUND(OFFSET($P371,0,AF$13),15-13*ORÇAMENTO!$AF$7)/$H371*OFFSET(ORÇAMENTO!$X$15,ROW(AF371)-ROW(AF$15),0),
              ROUND(ROUND(OFFSET($P371,0,AF$13),15-13*ORÇAMENTO!$AF$7)*OFFSET(ORÇAMENTO!$W$15,ROW(AF371)-ROW(AF$15),0),15-13*ORÇAMENTO!$AF$11)),
         0)</f>
        <v>0</v>
      </c>
      <c r="AG371" s="454">
        <f ca="1">IF(AND($D371="Serviço",AG$12&lt;&gt;0,$H371&gt;0,OR(AUTOEVENTO&lt;&gt;"manual",$M371&lt;&gt;$A$15)),
        IF(Import.TipoArredondamento&lt;&gt;"TransfereGOV",
              ROUND(OFFSET($P371,0,AG$13),15-13*ORÇAMENTO!$AF$7)/$H371*OFFSET(ORÇAMENTO!$X$15,ROW(AG371)-ROW(AG$15),0),
              ROUND(ROUND(OFFSET($P371,0,AG$13),15-13*ORÇAMENTO!$AF$7)*OFFSET(ORÇAMENTO!$W$15,ROW(AG371)-ROW(AG$15),0),15-13*ORÇAMENTO!$AF$11)),
         0)</f>
        <v>0</v>
      </c>
      <c r="AH371" s="454">
        <f ca="1">IF(AND($D371="Serviço",AH$12&lt;&gt;0,$H371&gt;0,OR(AUTOEVENTO&lt;&gt;"manual",$M371&lt;&gt;$A$15)),
        IF(Import.TipoArredondamento&lt;&gt;"TransfereGOV",
              ROUND(OFFSET($P371,0,AH$13),15-13*ORÇAMENTO!$AF$7)/$H371*OFFSET(ORÇAMENTO!$X$15,ROW(AH371)-ROW(AH$15),0),
              ROUND(ROUND(OFFSET($P371,0,AH$13),15-13*ORÇAMENTO!$AF$7)*OFFSET(ORÇAMENTO!$W$15,ROW(AH371)-ROW(AH$15),0),15-13*ORÇAMENTO!$AF$11)),
         0)</f>
        <v>0</v>
      </c>
      <c r="AI371" s="454">
        <f ca="1">IF(AND($D371="Serviço",AI$12&lt;&gt;0,$H371&gt;0,OR(AUTOEVENTO&lt;&gt;"manual",$M371&lt;&gt;$A$15)),
        IF(Import.TipoArredondamento&lt;&gt;"TransfereGOV",
              ROUND(OFFSET($P371,0,AI$13),15-13*ORÇAMENTO!$AF$7)/$H371*OFFSET(ORÇAMENTO!$X$15,ROW(AI371)-ROW(AI$15),0),
              ROUND(ROUND(OFFSET($P371,0,AI$13),15-13*ORÇAMENTO!$AF$7)*OFFSET(ORÇAMENTO!$W$15,ROW(AI371)-ROW(AI$15),0),15-13*ORÇAMENTO!$AF$11)),
         0)</f>
        <v>0</v>
      </c>
      <c r="AJ371" s="454">
        <f ca="1">IF(AND($D371="Serviço",AJ$12&lt;&gt;0,$H371&gt;0,OR(AUTOEVENTO&lt;&gt;"manual",$M371&lt;&gt;$A$15)),
        IF(Import.TipoArredondamento&lt;&gt;"TransfereGOV",
              ROUND(OFFSET($P371,0,AJ$13),15-13*ORÇAMENTO!$AF$7)/$H371*OFFSET(ORÇAMENTO!$X$15,ROW(AJ371)-ROW(AJ$15),0),
              ROUND(ROUND(OFFSET($P371,0,AJ$13),15-13*ORÇAMENTO!$AF$7)*OFFSET(ORÇAMENTO!$W$15,ROW(AJ371)-ROW(AJ$15),0),15-13*ORÇAMENTO!$AF$11)),
         0)</f>
        <v>0</v>
      </c>
      <c r="AK371" s="454">
        <f ca="1">IF(AND($D371="Serviço",AK$12&lt;&gt;0,$H371&gt;0,OR(AUTOEVENTO&lt;&gt;"manual",$M371&lt;&gt;$A$15)),
        IF(Import.TipoArredondamento&lt;&gt;"TransfereGOV",
              ROUND(OFFSET($P371,0,AK$13),15-13*ORÇAMENTO!$AF$7)/$H371*OFFSET(ORÇAMENTO!$X$15,ROW(AK371)-ROW(AK$15),0),
              ROUND(ROUND(OFFSET($P371,0,AK$13),15-13*ORÇAMENTO!$AF$7)*OFFSET(ORÇAMENTO!$W$15,ROW(AK371)-ROW(AK$15),0),15-13*ORÇAMENTO!$AF$11)),
         0)</f>
        <v>0</v>
      </c>
      <c r="AM371" s="172">
        <f ca="1">IF(OR($D371&lt;&gt;"Serviço",AND(AUTOEVENTO="Manual",$M371=$A$15)),0,
         IF(OFFSET(CRONOPLE!$F$15,$M371-$A$15,AM$13)="",10^12,OFFSET(CRONOPLE!$F$15,$M371-$A$15,AM$13)))</f>
        <v>1000000000000</v>
      </c>
      <c r="AN371" s="172">
        <f ca="1">IF(OR($D371&lt;&gt;"Serviço",AND(AUTOEVENTO="Manual",$M371=$A$15)),0,
         IF(OFFSET(CRONOPLE!$F$15,$M371-$A$15,AN$13)="",10^12,OFFSET(CRONOPLE!$F$15,$M371-$A$15,AN$13)))</f>
        <v>1000000000000</v>
      </c>
      <c r="AO371" s="172">
        <f ca="1">IF(OR($D371&lt;&gt;"Serviço",AND(AUTOEVENTO="Manual",$M371=$A$15)),0,
         IF(OFFSET(CRONOPLE!$F$15,$M371-$A$15,AO$13)="",10^12,OFFSET(CRONOPLE!$F$15,$M371-$A$15,AO$13)))</f>
        <v>1000000000000</v>
      </c>
      <c r="AP371" s="172">
        <f ca="1">IF(OR($D371&lt;&gt;"Serviço",AND(AUTOEVENTO="Manual",$M371=$A$15)),0,
         IF(OFFSET(CRONOPLE!$F$15,$M371-$A$15,AP$13)="",10^12,OFFSET(CRONOPLE!$F$15,$M371-$A$15,AP$13)))</f>
        <v>1000000000000</v>
      </c>
      <c r="AQ371" s="172">
        <f ca="1">IF(OR($D371&lt;&gt;"Serviço",AND(AUTOEVENTO="Manual",$M371=$A$15)),0,
         IF(OFFSET(CRONOPLE!$F$15,$M371-$A$15,AQ$13)="",10^12,OFFSET(CRONOPLE!$F$15,$M371-$A$15,AQ$13)))</f>
        <v>1000000000000</v>
      </c>
      <c r="AR371" s="172">
        <f ca="1">IF(OR($D371&lt;&gt;"Serviço",AND(AUTOEVENTO="Manual",$M371=$A$15)),0,
         IF(OFFSET(CRONOPLE!$F$15,$M371-$A$15,AR$13)="",10^12,OFFSET(CRONOPLE!$F$15,$M371-$A$15,AR$13)))</f>
        <v>1000000000000</v>
      </c>
      <c r="AS371" s="172">
        <f ca="1">IF(OR($D371&lt;&gt;"Serviço",AND(AUTOEVENTO="Manual",$M371=$A$15)),0,
         IF(OFFSET(CRONOPLE!$F$15,$M371-$A$15,AS$13)="",10^12,OFFSET(CRONOPLE!$F$15,$M371-$A$15,AS$13)))</f>
        <v>1000000000000</v>
      </c>
      <c r="AT371" s="172">
        <f ca="1">IF(OR($D371&lt;&gt;"Serviço",AND(AUTOEVENTO="Manual",$M371=$A$15)),0,
         IF(OFFSET(CRONOPLE!$F$15,$M371-$A$15,AT$13)="",10^12,OFFSET(CRONOPLE!$F$15,$M371-$A$15,AT$13)))</f>
        <v>1000000000000</v>
      </c>
      <c r="AU371" s="172">
        <f ca="1">IF(OR($D371&lt;&gt;"Serviço",AND(AUTOEVENTO="Manual",$M371=$A$15)),0,
         IF(OFFSET(CRONOPLE!$F$15,$M371-$A$15,AU$13)="",10^12,OFFSET(CRONOPLE!$F$15,$M371-$A$15,AU$13)))</f>
        <v>1000000000000</v>
      </c>
      <c r="AV371" s="172">
        <f ca="1">IF(OR($D371&lt;&gt;"Serviço",AND(AUTOEVENTO="Manual",$M371=$A$15)),0,
         IF(OFFSET(CRONOPLE!$F$15,$M371-$A$15,AV$13)="",10^12,OFFSET(CRONOPLE!$F$15,$M371-$A$15,AV$13)))</f>
        <v>1000000000000</v>
      </c>
      <c r="AX371" s="173">
        <f ca="1">IF(OR($D371&lt;&gt;"Serviço",AND(AUTOEVENTO="Manual",$M371=$A$15),$M371&gt;(ROW(PLE.lastrow)-ROW(PLE.firstrow))),0,
           IF(OFFSET(PLE!$G$15,$M371-$A$15,AX$13)="",10^12,OFFSET(PLE!$G$15,$M371-$A$15,AX$13)))</f>
        <v>1000000000000</v>
      </c>
      <c r="AY371" s="173">
        <f ca="1">IF(OR($D371&lt;&gt;"Serviço",AND(AUTOEVENTO="Manual",$M371=$A$15),$M371&gt;(ROW(PLE.lastrow)-ROW(PLE.firstrow))),0,
           IF(OFFSET(PLE!$G$15,$M371-$A$15,AY$13)="",10^12,OFFSET(PLE!$G$15,$M371-$A$15,AY$13)))</f>
        <v>1000000000000</v>
      </c>
      <c r="AZ371" s="173">
        <f ca="1">IF(OR($D371&lt;&gt;"Serviço",AND(AUTOEVENTO="Manual",$M371=$A$15),$M371&gt;(ROW(PLE.lastrow)-ROW(PLE.firstrow))),0,
           IF(OFFSET(PLE!$G$15,$M371-$A$15,AZ$13)="",10^12,OFFSET(PLE!$G$15,$M371-$A$15,AZ$13)))</f>
        <v>1000000000000</v>
      </c>
      <c r="BA371" s="173">
        <f ca="1">IF(OR($D371&lt;&gt;"Serviço",AND(AUTOEVENTO="Manual",$M371=$A$15),$M371&gt;(ROW(PLE.lastrow)-ROW(PLE.firstrow))),0,
           IF(OFFSET(PLE!$G$15,$M371-$A$15,BA$13)="",10^12,OFFSET(PLE!$G$15,$M371-$A$15,BA$13)))</f>
        <v>1000000000000</v>
      </c>
      <c r="BB371" s="173">
        <f ca="1">IF(OR($D371&lt;&gt;"Serviço",AND(AUTOEVENTO="Manual",$M371=$A$15),$M371&gt;(ROW(PLE.lastrow)-ROW(PLE.firstrow))),0,
           IF(OFFSET(PLE!$G$15,$M371-$A$15,BB$13)="",10^12,OFFSET(PLE!$G$15,$M371-$A$15,BB$13)))</f>
        <v>1000000000000</v>
      </c>
      <c r="BC371" s="173">
        <f ca="1">IF(OR($D371&lt;&gt;"Serviço",AND(AUTOEVENTO="Manual",$M371=$A$15),$M371&gt;(ROW(PLE.lastrow)-ROW(PLE.firstrow))),0,
           IF(OFFSET(PLE!$G$15,$M371-$A$15,BC$13)="",10^12,OFFSET(PLE!$G$15,$M371-$A$15,BC$13)))</f>
        <v>1000000000000</v>
      </c>
      <c r="BD371" s="173">
        <f ca="1">IF(OR($D371&lt;&gt;"Serviço",AND(AUTOEVENTO="Manual",$M371=$A$15),$M371&gt;(ROW(PLE.lastrow)-ROW(PLE.firstrow))),0,
           IF(OFFSET(PLE!$G$15,$M371-$A$15,BD$13)="",10^12,OFFSET(PLE!$G$15,$M371-$A$15,BD$13)))</f>
        <v>1000000000000</v>
      </c>
      <c r="BE371" s="173">
        <f ca="1">IF(OR($D371&lt;&gt;"Serviço",AND(AUTOEVENTO="Manual",$M371=$A$15),$M371&gt;(ROW(PLE.lastrow)-ROW(PLE.firstrow))),0,
           IF(OFFSET(PLE!$G$15,$M371-$A$15,BE$13)="",10^12,OFFSET(PLE!$G$15,$M371-$A$15,BE$13)))</f>
        <v>1000000000000</v>
      </c>
      <c r="BF371" s="173">
        <f ca="1">IF(OR($D371&lt;&gt;"Serviço",AND(AUTOEVENTO="Manual",$M371=$A$15),$M371&gt;(ROW(PLE.lastrow)-ROW(PLE.firstrow))),0,
           IF(OFFSET(PLE!$G$15,$M371-$A$15,BF$13)="",10^12,OFFSET(PLE!$G$15,$M371-$A$15,BF$13)))</f>
        <v>1000000000000</v>
      </c>
      <c r="BG371" s="173">
        <f ca="1">IF(OR($D371&lt;&gt;"Serviço",AND(AUTOEVENTO="Manual",$M371=$A$15),$M371&gt;(ROW(PLE.lastrow)-ROW(PLE.firstrow))),0,
           IF(OFFSET(PLE!$G$15,$M371-$A$15,BG$13)="",10^12,OFFSET(PLE!$G$15,$M371-$A$15,BG$13)))</f>
        <v>1000000000000</v>
      </c>
    </row>
    <row r="372" spans="1:59" ht="25.5" x14ac:dyDescent="0.2">
      <c r="A372" s="7" t="str">
        <f t="shared" ca="1" si="13"/>
        <v>355</v>
      </c>
      <c r="B372" s="7" t="str">
        <f ca="1">OFFSET(ORÇAMENTO!C$15,ROW(B372)-ROW(B$15),0)</f>
        <v>S</v>
      </c>
      <c r="C372" s="7" t="str">
        <f ca="1">OFFSET(ORÇAMENTO!L$15,ROW(C372)-ROW(C$15),0)</f>
        <v/>
      </c>
      <c r="D372" s="117" t="str">
        <f ca="1">OFFSET(ORÇAMENTO!N$15,ROW(D372)-ROW(D$15),0)</f>
        <v>Serviço</v>
      </c>
      <c r="E372" s="118" t="str">
        <f ca="1">OFFSET(ORÇAMENTO!O$15,ROW(E372)-ROW(E$15),0)</f>
        <v>-</v>
      </c>
      <c r="F372" s="164" t="str">
        <f ca="1">OFFSET(ORÇAMENTO!R$15,ROW(F372)-ROW(F$15),0)</f>
        <v>CORRIMÃO SIMPLES, DIÂMETRO EXTERNO = 1 1/2", EM AÇO GALVANIZADO. AF_04/2019_PS</v>
      </c>
      <c r="G372" s="165" t="str">
        <f ca="1">IF($D372&lt;&gt;"Serviço","",OFFSET(ORÇAMENTO!S$15,ROW(G372)-ROW(G$15),0))</f>
        <v>M</v>
      </c>
      <c r="H372" s="123">
        <f ca="1">IF($D372&lt;&gt;"Serviço",0,IF(ACOMPANHAMENTO="BM",ROUND(OFFSET(ORÇAMENTO!AJ$15,ROW(H372)-ROW(H$15),0),15-13*ORÇAMENTO!$AF$7),SUMPRODUCT(($Q$1:$AA$1=1)*ROUND($Q372:$AA372,15-13*ORÇAMENTO!$AF$7))))</f>
        <v>120.64</v>
      </c>
      <c r="I372" s="469"/>
      <c r="J372" s="577" t="str" cm="1">
        <f t="array" aca="1" ref="J372" ca="1">IF(B372&lt;&gt;"S","",IF(AND(ACOMPANHAMENTO="PLE",AUTOEVENTO="Manual",OR(H372&gt;0,ORÇAMENTO!AC372="QUANT."),OR(K372="",M372=0,N372="")),"►",IF(AND(ACOMPANHAMENTO="PLE",ORÇAMENTO!AC372="QUANT."),"►►",IF(AND(COUNTIF($P$11:$AA$11,"▼")=0,H372&gt;0,I372=""),"◄",""))))</f>
        <v>◄</v>
      </c>
      <c r="K372" s="626"/>
      <c r="L372" s="166" t="s">
        <v>765</v>
      </c>
      <c r="M372" s="167">
        <f ca="1">IF($D372&lt;&gt;"Serviço","",
          IF(AUTOEVENTO="manual",$A372,
                IF(ISERROR(MATCH($A372,$A$15:OFFSET($A372,-1,0),0)),MAX($M$15:OFFSET(M372,-1,0))+1,
                      INDEX($M$15:OFFSET(M372,-1,0),MATCH($A372,$A$15:OFFSET($A372,-1,0),0)))))</f>
        <v>20</v>
      </c>
      <c r="N372" s="168" t="str">
        <f ca="1">IF($D372&lt;&gt;"Serviço","",
         IF(AUTOEVENTO="Manual",
                IF($A372=0,"&lt;-- defina o número do agrupador",
                       OFFSET(EVENTOS!$D$15,$A372-$A$15,0)),
                OFFSET($F$15,$A372,0)))</f>
        <v>ACESSIBILIDADE</v>
      </c>
      <c r="O372" s="169"/>
      <c r="Q372" s="169"/>
      <c r="R372" s="170"/>
      <c r="S372" s="170"/>
      <c r="T372" s="170"/>
      <c r="U372" s="170"/>
      <c r="V372" s="170"/>
      <c r="W372" s="170"/>
      <c r="X372" s="170"/>
      <c r="Y372" s="170"/>
      <c r="Z372" s="171"/>
      <c r="AB372" s="454">
        <f ca="1">IF(AND($D372="Serviço",AB$12&lt;&gt;0,$H372&gt;0,OR(AUTOEVENTO&lt;&gt;"manual",$M372&lt;&gt;$A$15)),
        IF(Import.TipoArredondamento&lt;&gt;"TransfereGOV",
              ROUND(OFFSET($P372,0,AB$13),15-13*ORÇAMENTO!$AF$7)/$H372*OFFSET(ORÇAMENTO!$X$15,ROW(AB372)-ROW(AB$15),0),
              ROUND(ROUND(OFFSET($P372,0,AB$13),15-13*ORÇAMENTO!$AF$7)*OFFSET(ORÇAMENTO!$W$15,ROW(AB372)-ROW(AB$15),0),15-13*ORÇAMENTO!$AF$11)),
         0)</f>
        <v>0</v>
      </c>
      <c r="AC372" s="454">
        <f ca="1">IF(AND($D372="Serviço",AC$12&lt;&gt;0,$H372&gt;0,OR(AUTOEVENTO&lt;&gt;"manual",$M372&lt;&gt;$A$15)),
        IF(Import.TipoArredondamento&lt;&gt;"TransfereGOV",
              ROUND(OFFSET($P372,0,AC$13),15-13*ORÇAMENTO!$AF$7)/$H372*OFFSET(ORÇAMENTO!$X$15,ROW(AC372)-ROW(AC$15),0),
              ROUND(ROUND(OFFSET($P372,0,AC$13),15-13*ORÇAMENTO!$AF$7)*OFFSET(ORÇAMENTO!$W$15,ROW(AC372)-ROW(AC$15),0),15-13*ORÇAMENTO!$AF$11)),
         0)</f>
        <v>0</v>
      </c>
      <c r="AD372" s="454">
        <f ca="1">IF(AND($D372="Serviço",AD$12&lt;&gt;0,$H372&gt;0,OR(AUTOEVENTO&lt;&gt;"manual",$M372&lt;&gt;$A$15)),
        IF(Import.TipoArredondamento&lt;&gt;"TransfereGOV",
              ROUND(OFFSET($P372,0,AD$13),15-13*ORÇAMENTO!$AF$7)/$H372*OFFSET(ORÇAMENTO!$X$15,ROW(AD372)-ROW(AD$15),0),
              ROUND(ROUND(OFFSET($P372,0,AD$13),15-13*ORÇAMENTO!$AF$7)*OFFSET(ORÇAMENTO!$W$15,ROW(AD372)-ROW(AD$15),0),15-13*ORÇAMENTO!$AF$11)),
         0)</f>
        <v>0</v>
      </c>
      <c r="AE372" s="454">
        <f ca="1">IF(AND($D372="Serviço",AE$12&lt;&gt;0,$H372&gt;0,OR(AUTOEVENTO&lt;&gt;"manual",$M372&lt;&gt;$A$15)),
        IF(Import.TipoArredondamento&lt;&gt;"TransfereGOV",
              ROUND(OFFSET($P372,0,AE$13),15-13*ORÇAMENTO!$AF$7)/$H372*OFFSET(ORÇAMENTO!$X$15,ROW(AE372)-ROW(AE$15),0),
              ROUND(ROUND(OFFSET($P372,0,AE$13),15-13*ORÇAMENTO!$AF$7)*OFFSET(ORÇAMENTO!$W$15,ROW(AE372)-ROW(AE$15),0),15-13*ORÇAMENTO!$AF$11)),
         0)</f>
        <v>0</v>
      </c>
      <c r="AF372" s="454">
        <f ca="1">IF(AND($D372="Serviço",AF$12&lt;&gt;0,$H372&gt;0,OR(AUTOEVENTO&lt;&gt;"manual",$M372&lt;&gt;$A$15)),
        IF(Import.TipoArredondamento&lt;&gt;"TransfereGOV",
              ROUND(OFFSET($P372,0,AF$13),15-13*ORÇAMENTO!$AF$7)/$H372*OFFSET(ORÇAMENTO!$X$15,ROW(AF372)-ROW(AF$15),0),
              ROUND(ROUND(OFFSET($P372,0,AF$13),15-13*ORÇAMENTO!$AF$7)*OFFSET(ORÇAMENTO!$W$15,ROW(AF372)-ROW(AF$15),0),15-13*ORÇAMENTO!$AF$11)),
         0)</f>
        <v>0</v>
      </c>
      <c r="AG372" s="454">
        <f ca="1">IF(AND($D372="Serviço",AG$12&lt;&gt;0,$H372&gt;0,OR(AUTOEVENTO&lt;&gt;"manual",$M372&lt;&gt;$A$15)),
        IF(Import.TipoArredondamento&lt;&gt;"TransfereGOV",
              ROUND(OFFSET($P372,0,AG$13),15-13*ORÇAMENTO!$AF$7)/$H372*OFFSET(ORÇAMENTO!$X$15,ROW(AG372)-ROW(AG$15),0),
              ROUND(ROUND(OFFSET($P372,0,AG$13),15-13*ORÇAMENTO!$AF$7)*OFFSET(ORÇAMENTO!$W$15,ROW(AG372)-ROW(AG$15),0),15-13*ORÇAMENTO!$AF$11)),
         0)</f>
        <v>0</v>
      </c>
      <c r="AH372" s="454">
        <f ca="1">IF(AND($D372="Serviço",AH$12&lt;&gt;0,$H372&gt;0,OR(AUTOEVENTO&lt;&gt;"manual",$M372&lt;&gt;$A$15)),
        IF(Import.TipoArredondamento&lt;&gt;"TransfereGOV",
              ROUND(OFFSET($P372,0,AH$13),15-13*ORÇAMENTO!$AF$7)/$H372*OFFSET(ORÇAMENTO!$X$15,ROW(AH372)-ROW(AH$15),0),
              ROUND(ROUND(OFFSET($P372,0,AH$13),15-13*ORÇAMENTO!$AF$7)*OFFSET(ORÇAMENTO!$W$15,ROW(AH372)-ROW(AH$15),0),15-13*ORÇAMENTO!$AF$11)),
         0)</f>
        <v>0</v>
      </c>
      <c r="AI372" s="454">
        <f ca="1">IF(AND($D372="Serviço",AI$12&lt;&gt;0,$H372&gt;0,OR(AUTOEVENTO&lt;&gt;"manual",$M372&lt;&gt;$A$15)),
        IF(Import.TipoArredondamento&lt;&gt;"TransfereGOV",
              ROUND(OFFSET($P372,0,AI$13),15-13*ORÇAMENTO!$AF$7)/$H372*OFFSET(ORÇAMENTO!$X$15,ROW(AI372)-ROW(AI$15),0),
              ROUND(ROUND(OFFSET($P372,0,AI$13),15-13*ORÇAMENTO!$AF$7)*OFFSET(ORÇAMENTO!$W$15,ROW(AI372)-ROW(AI$15),0),15-13*ORÇAMENTO!$AF$11)),
         0)</f>
        <v>0</v>
      </c>
      <c r="AJ372" s="454">
        <f ca="1">IF(AND($D372="Serviço",AJ$12&lt;&gt;0,$H372&gt;0,OR(AUTOEVENTO&lt;&gt;"manual",$M372&lt;&gt;$A$15)),
        IF(Import.TipoArredondamento&lt;&gt;"TransfereGOV",
              ROUND(OFFSET($P372,0,AJ$13),15-13*ORÇAMENTO!$AF$7)/$H372*OFFSET(ORÇAMENTO!$X$15,ROW(AJ372)-ROW(AJ$15),0),
              ROUND(ROUND(OFFSET($P372,0,AJ$13),15-13*ORÇAMENTO!$AF$7)*OFFSET(ORÇAMENTO!$W$15,ROW(AJ372)-ROW(AJ$15),0),15-13*ORÇAMENTO!$AF$11)),
         0)</f>
        <v>0</v>
      </c>
      <c r="AK372" s="454">
        <f ca="1">IF(AND($D372="Serviço",AK$12&lt;&gt;0,$H372&gt;0,OR(AUTOEVENTO&lt;&gt;"manual",$M372&lt;&gt;$A$15)),
        IF(Import.TipoArredondamento&lt;&gt;"TransfereGOV",
              ROUND(OFFSET($P372,0,AK$13),15-13*ORÇAMENTO!$AF$7)/$H372*OFFSET(ORÇAMENTO!$X$15,ROW(AK372)-ROW(AK$15),0),
              ROUND(ROUND(OFFSET($P372,0,AK$13),15-13*ORÇAMENTO!$AF$7)*OFFSET(ORÇAMENTO!$W$15,ROW(AK372)-ROW(AK$15),0),15-13*ORÇAMENTO!$AF$11)),
         0)</f>
        <v>0</v>
      </c>
      <c r="AM372" s="172">
        <f ca="1">IF(OR($D372&lt;&gt;"Serviço",AND(AUTOEVENTO="Manual",$M372=$A$15)),0,
         IF(OFFSET(CRONOPLE!$F$15,$M372-$A$15,AM$13)="",10^12,OFFSET(CRONOPLE!$F$15,$M372-$A$15,AM$13)))</f>
        <v>1000000000000</v>
      </c>
      <c r="AN372" s="172">
        <f ca="1">IF(OR($D372&lt;&gt;"Serviço",AND(AUTOEVENTO="Manual",$M372=$A$15)),0,
         IF(OFFSET(CRONOPLE!$F$15,$M372-$A$15,AN$13)="",10^12,OFFSET(CRONOPLE!$F$15,$M372-$A$15,AN$13)))</f>
        <v>1000000000000</v>
      </c>
      <c r="AO372" s="172">
        <f ca="1">IF(OR($D372&lt;&gt;"Serviço",AND(AUTOEVENTO="Manual",$M372=$A$15)),0,
         IF(OFFSET(CRONOPLE!$F$15,$M372-$A$15,AO$13)="",10^12,OFFSET(CRONOPLE!$F$15,$M372-$A$15,AO$13)))</f>
        <v>1000000000000</v>
      </c>
      <c r="AP372" s="172">
        <f ca="1">IF(OR($D372&lt;&gt;"Serviço",AND(AUTOEVENTO="Manual",$M372=$A$15)),0,
         IF(OFFSET(CRONOPLE!$F$15,$M372-$A$15,AP$13)="",10^12,OFFSET(CRONOPLE!$F$15,$M372-$A$15,AP$13)))</f>
        <v>1000000000000</v>
      </c>
      <c r="AQ372" s="172">
        <f ca="1">IF(OR($D372&lt;&gt;"Serviço",AND(AUTOEVENTO="Manual",$M372=$A$15)),0,
         IF(OFFSET(CRONOPLE!$F$15,$M372-$A$15,AQ$13)="",10^12,OFFSET(CRONOPLE!$F$15,$M372-$A$15,AQ$13)))</f>
        <v>1000000000000</v>
      </c>
      <c r="AR372" s="172">
        <f ca="1">IF(OR($D372&lt;&gt;"Serviço",AND(AUTOEVENTO="Manual",$M372=$A$15)),0,
         IF(OFFSET(CRONOPLE!$F$15,$M372-$A$15,AR$13)="",10^12,OFFSET(CRONOPLE!$F$15,$M372-$A$15,AR$13)))</f>
        <v>1000000000000</v>
      </c>
      <c r="AS372" s="172">
        <f ca="1">IF(OR($D372&lt;&gt;"Serviço",AND(AUTOEVENTO="Manual",$M372=$A$15)),0,
         IF(OFFSET(CRONOPLE!$F$15,$M372-$A$15,AS$13)="",10^12,OFFSET(CRONOPLE!$F$15,$M372-$A$15,AS$13)))</f>
        <v>1000000000000</v>
      </c>
      <c r="AT372" s="172">
        <f ca="1">IF(OR($D372&lt;&gt;"Serviço",AND(AUTOEVENTO="Manual",$M372=$A$15)),0,
         IF(OFFSET(CRONOPLE!$F$15,$M372-$A$15,AT$13)="",10^12,OFFSET(CRONOPLE!$F$15,$M372-$A$15,AT$13)))</f>
        <v>1000000000000</v>
      </c>
      <c r="AU372" s="172">
        <f ca="1">IF(OR($D372&lt;&gt;"Serviço",AND(AUTOEVENTO="Manual",$M372=$A$15)),0,
         IF(OFFSET(CRONOPLE!$F$15,$M372-$A$15,AU$13)="",10^12,OFFSET(CRONOPLE!$F$15,$M372-$A$15,AU$13)))</f>
        <v>1000000000000</v>
      </c>
      <c r="AV372" s="172">
        <f ca="1">IF(OR($D372&lt;&gt;"Serviço",AND(AUTOEVENTO="Manual",$M372=$A$15)),0,
         IF(OFFSET(CRONOPLE!$F$15,$M372-$A$15,AV$13)="",10^12,OFFSET(CRONOPLE!$F$15,$M372-$A$15,AV$13)))</f>
        <v>1000000000000</v>
      </c>
      <c r="AX372" s="173">
        <f ca="1">IF(OR($D372&lt;&gt;"Serviço",AND(AUTOEVENTO="Manual",$M372=$A$15),$M372&gt;(ROW(PLE.lastrow)-ROW(PLE.firstrow))),0,
           IF(OFFSET(PLE!$G$15,$M372-$A$15,AX$13)="",10^12,OFFSET(PLE!$G$15,$M372-$A$15,AX$13)))</f>
        <v>1000000000000</v>
      </c>
      <c r="AY372" s="173">
        <f ca="1">IF(OR($D372&lt;&gt;"Serviço",AND(AUTOEVENTO="Manual",$M372=$A$15),$M372&gt;(ROW(PLE.lastrow)-ROW(PLE.firstrow))),0,
           IF(OFFSET(PLE!$G$15,$M372-$A$15,AY$13)="",10^12,OFFSET(PLE!$G$15,$M372-$A$15,AY$13)))</f>
        <v>1000000000000</v>
      </c>
      <c r="AZ372" s="173">
        <f ca="1">IF(OR($D372&lt;&gt;"Serviço",AND(AUTOEVENTO="Manual",$M372=$A$15),$M372&gt;(ROW(PLE.lastrow)-ROW(PLE.firstrow))),0,
           IF(OFFSET(PLE!$G$15,$M372-$A$15,AZ$13)="",10^12,OFFSET(PLE!$G$15,$M372-$A$15,AZ$13)))</f>
        <v>1000000000000</v>
      </c>
      <c r="BA372" s="173">
        <f ca="1">IF(OR($D372&lt;&gt;"Serviço",AND(AUTOEVENTO="Manual",$M372=$A$15),$M372&gt;(ROW(PLE.lastrow)-ROW(PLE.firstrow))),0,
           IF(OFFSET(PLE!$G$15,$M372-$A$15,BA$13)="",10^12,OFFSET(PLE!$G$15,$M372-$A$15,BA$13)))</f>
        <v>1000000000000</v>
      </c>
      <c r="BB372" s="173">
        <f ca="1">IF(OR($D372&lt;&gt;"Serviço",AND(AUTOEVENTO="Manual",$M372=$A$15),$M372&gt;(ROW(PLE.lastrow)-ROW(PLE.firstrow))),0,
           IF(OFFSET(PLE!$G$15,$M372-$A$15,BB$13)="",10^12,OFFSET(PLE!$G$15,$M372-$A$15,BB$13)))</f>
        <v>1000000000000</v>
      </c>
      <c r="BC372" s="173">
        <f ca="1">IF(OR($D372&lt;&gt;"Serviço",AND(AUTOEVENTO="Manual",$M372=$A$15),$M372&gt;(ROW(PLE.lastrow)-ROW(PLE.firstrow))),0,
           IF(OFFSET(PLE!$G$15,$M372-$A$15,BC$13)="",10^12,OFFSET(PLE!$G$15,$M372-$A$15,BC$13)))</f>
        <v>1000000000000</v>
      </c>
      <c r="BD372" s="173">
        <f ca="1">IF(OR($D372&lt;&gt;"Serviço",AND(AUTOEVENTO="Manual",$M372=$A$15),$M372&gt;(ROW(PLE.lastrow)-ROW(PLE.firstrow))),0,
           IF(OFFSET(PLE!$G$15,$M372-$A$15,BD$13)="",10^12,OFFSET(PLE!$G$15,$M372-$A$15,BD$13)))</f>
        <v>1000000000000</v>
      </c>
      <c r="BE372" s="173">
        <f ca="1">IF(OR($D372&lt;&gt;"Serviço",AND(AUTOEVENTO="Manual",$M372=$A$15),$M372&gt;(ROW(PLE.lastrow)-ROW(PLE.firstrow))),0,
           IF(OFFSET(PLE!$G$15,$M372-$A$15,BE$13)="",10^12,OFFSET(PLE!$G$15,$M372-$A$15,BE$13)))</f>
        <v>1000000000000</v>
      </c>
      <c r="BF372" s="173">
        <f ca="1">IF(OR($D372&lt;&gt;"Serviço",AND(AUTOEVENTO="Manual",$M372=$A$15),$M372&gt;(ROW(PLE.lastrow)-ROW(PLE.firstrow))),0,
           IF(OFFSET(PLE!$G$15,$M372-$A$15,BF$13)="",10^12,OFFSET(PLE!$G$15,$M372-$A$15,BF$13)))</f>
        <v>1000000000000</v>
      </c>
      <c r="BG372" s="173">
        <f ca="1">IF(OR($D372&lt;&gt;"Serviço",AND(AUTOEVENTO="Manual",$M372=$A$15),$M372&gt;(ROW(PLE.lastrow)-ROW(PLE.firstrow))),0,
           IF(OFFSET(PLE!$G$15,$M372-$A$15,BG$13)="",10^12,OFFSET(PLE!$G$15,$M372-$A$15,BG$13)))</f>
        <v>1000000000000</v>
      </c>
    </row>
    <row r="373" spans="1:59" ht="63.75" x14ac:dyDescent="0.2">
      <c r="A373" s="7" t="str">
        <f t="shared" ca="1" si="13"/>
        <v>355</v>
      </c>
      <c r="B373" s="7" t="str">
        <f ca="1">OFFSET(ORÇAMENTO!C$15,ROW(B373)-ROW(B$15),0)</f>
        <v>S</v>
      </c>
      <c r="C373" s="7" t="str">
        <f ca="1">OFFSET(ORÇAMENTO!L$15,ROW(C373)-ROW(C$15),0)</f>
        <v/>
      </c>
      <c r="D373" s="117" t="str">
        <f ca="1">OFFSET(ORÇAMENTO!N$15,ROW(D373)-ROW(D$15),0)</f>
        <v>Serviço</v>
      </c>
      <c r="E373" s="118" t="str">
        <f ca="1">OFFSET(ORÇAMENTO!O$15,ROW(E373)-ROW(E$15),0)</f>
        <v>-</v>
      </c>
      <c r="F373" s="164" t="str">
        <f ca="1">OFFSET(ORÇAMENTO!R$15,ROW(F373)-ROW(F$15),0)</f>
        <v>GUARDA-CORPO DE AÇO GALVANIZADO DE 1,10M, MONTANTES TUBULARES DE 1.1/4" ESPAÇADOS DE 1,20M, TRAVESSA SUPERIOR DE 1.1/2", GRADIL FORMADO POR TUBOS HORIZONTAIS DE 1" E VERTICAIS DE 3/4", FIXADO COM CHUMBADOR MECÂNICO. AF_04/2019_PS</v>
      </c>
      <c r="G373" s="165" t="str">
        <f ca="1">IF($D373&lt;&gt;"Serviço","",OFFSET(ORÇAMENTO!S$15,ROW(G373)-ROW(G$15),0))</f>
        <v>M</v>
      </c>
      <c r="H373" s="123">
        <f ca="1">IF($D373&lt;&gt;"Serviço",0,IF(ACOMPANHAMENTO="BM",ROUND(OFFSET(ORÇAMENTO!AJ$15,ROW(H373)-ROW(H$15),0),15-13*ORÇAMENTO!$AF$7),SUMPRODUCT(($Q$1:$AA$1=1)*ROUND($Q373:$AA373,15-13*ORÇAMENTO!$AF$7))))</f>
        <v>19.13</v>
      </c>
      <c r="I373" s="469"/>
      <c r="J373" s="577" t="str" cm="1">
        <f t="array" aca="1" ref="J373" ca="1">IF(B373&lt;&gt;"S","",IF(AND(ACOMPANHAMENTO="PLE",AUTOEVENTO="Manual",OR(H373&gt;0,ORÇAMENTO!AC373="QUANT."),OR(K373="",M373=0,N373="")),"►",IF(AND(ACOMPANHAMENTO="PLE",ORÇAMENTO!AC373="QUANT."),"►►",IF(AND(COUNTIF($P$11:$AA$11,"▼")=0,H373&gt;0,I373=""),"◄",""))))</f>
        <v>◄</v>
      </c>
      <c r="K373" s="626"/>
      <c r="L373" s="166" t="s">
        <v>765</v>
      </c>
      <c r="M373" s="167">
        <f ca="1">IF($D373&lt;&gt;"Serviço","",
          IF(AUTOEVENTO="manual",$A373,
                IF(ISERROR(MATCH($A373,$A$15:OFFSET($A373,-1,0),0)),MAX($M$15:OFFSET(M373,-1,0))+1,
                      INDEX($M$15:OFFSET(M373,-1,0),MATCH($A373,$A$15:OFFSET($A373,-1,0),0)))))</f>
        <v>20</v>
      </c>
      <c r="N373" s="168" t="str">
        <f ca="1">IF($D373&lt;&gt;"Serviço","",
         IF(AUTOEVENTO="Manual",
                IF($A373=0,"&lt;-- defina o número do agrupador",
                       OFFSET(EVENTOS!$D$15,$A373-$A$15,0)),
                OFFSET($F$15,$A373,0)))</f>
        <v>ACESSIBILIDADE</v>
      </c>
      <c r="O373" s="169"/>
      <c r="Q373" s="169"/>
      <c r="R373" s="170"/>
      <c r="S373" s="170"/>
      <c r="T373" s="170"/>
      <c r="U373" s="170"/>
      <c r="V373" s="170"/>
      <c r="W373" s="170"/>
      <c r="X373" s="170"/>
      <c r="Y373" s="170"/>
      <c r="Z373" s="171"/>
      <c r="AB373" s="454">
        <f ca="1">IF(AND($D373="Serviço",AB$12&lt;&gt;0,$H373&gt;0,OR(AUTOEVENTO&lt;&gt;"manual",$M373&lt;&gt;$A$15)),
        IF(Import.TipoArredondamento&lt;&gt;"TransfereGOV",
              ROUND(OFFSET($P373,0,AB$13),15-13*ORÇAMENTO!$AF$7)/$H373*OFFSET(ORÇAMENTO!$X$15,ROW(AB373)-ROW(AB$15),0),
              ROUND(ROUND(OFFSET($P373,0,AB$13),15-13*ORÇAMENTO!$AF$7)*OFFSET(ORÇAMENTO!$W$15,ROW(AB373)-ROW(AB$15),0),15-13*ORÇAMENTO!$AF$11)),
         0)</f>
        <v>0</v>
      </c>
      <c r="AC373" s="454">
        <f ca="1">IF(AND($D373="Serviço",AC$12&lt;&gt;0,$H373&gt;0,OR(AUTOEVENTO&lt;&gt;"manual",$M373&lt;&gt;$A$15)),
        IF(Import.TipoArredondamento&lt;&gt;"TransfereGOV",
              ROUND(OFFSET($P373,0,AC$13),15-13*ORÇAMENTO!$AF$7)/$H373*OFFSET(ORÇAMENTO!$X$15,ROW(AC373)-ROW(AC$15),0),
              ROUND(ROUND(OFFSET($P373,0,AC$13),15-13*ORÇAMENTO!$AF$7)*OFFSET(ORÇAMENTO!$W$15,ROW(AC373)-ROW(AC$15),0),15-13*ORÇAMENTO!$AF$11)),
         0)</f>
        <v>0</v>
      </c>
      <c r="AD373" s="454">
        <f ca="1">IF(AND($D373="Serviço",AD$12&lt;&gt;0,$H373&gt;0,OR(AUTOEVENTO&lt;&gt;"manual",$M373&lt;&gt;$A$15)),
        IF(Import.TipoArredondamento&lt;&gt;"TransfereGOV",
              ROUND(OFFSET($P373,0,AD$13),15-13*ORÇAMENTO!$AF$7)/$H373*OFFSET(ORÇAMENTO!$X$15,ROW(AD373)-ROW(AD$15),0),
              ROUND(ROUND(OFFSET($P373,0,AD$13),15-13*ORÇAMENTO!$AF$7)*OFFSET(ORÇAMENTO!$W$15,ROW(AD373)-ROW(AD$15),0),15-13*ORÇAMENTO!$AF$11)),
         0)</f>
        <v>0</v>
      </c>
      <c r="AE373" s="454">
        <f ca="1">IF(AND($D373="Serviço",AE$12&lt;&gt;0,$H373&gt;0,OR(AUTOEVENTO&lt;&gt;"manual",$M373&lt;&gt;$A$15)),
        IF(Import.TipoArredondamento&lt;&gt;"TransfereGOV",
              ROUND(OFFSET($P373,0,AE$13),15-13*ORÇAMENTO!$AF$7)/$H373*OFFSET(ORÇAMENTO!$X$15,ROW(AE373)-ROW(AE$15),0),
              ROUND(ROUND(OFFSET($P373,0,AE$13),15-13*ORÇAMENTO!$AF$7)*OFFSET(ORÇAMENTO!$W$15,ROW(AE373)-ROW(AE$15),0),15-13*ORÇAMENTO!$AF$11)),
         0)</f>
        <v>0</v>
      </c>
      <c r="AF373" s="454">
        <f ca="1">IF(AND($D373="Serviço",AF$12&lt;&gt;0,$H373&gt;0,OR(AUTOEVENTO&lt;&gt;"manual",$M373&lt;&gt;$A$15)),
        IF(Import.TipoArredondamento&lt;&gt;"TransfereGOV",
              ROUND(OFFSET($P373,0,AF$13),15-13*ORÇAMENTO!$AF$7)/$H373*OFFSET(ORÇAMENTO!$X$15,ROW(AF373)-ROW(AF$15),0),
              ROUND(ROUND(OFFSET($P373,0,AF$13),15-13*ORÇAMENTO!$AF$7)*OFFSET(ORÇAMENTO!$W$15,ROW(AF373)-ROW(AF$15),0),15-13*ORÇAMENTO!$AF$11)),
         0)</f>
        <v>0</v>
      </c>
      <c r="AG373" s="454">
        <f ca="1">IF(AND($D373="Serviço",AG$12&lt;&gt;0,$H373&gt;0,OR(AUTOEVENTO&lt;&gt;"manual",$M373&lt;&gt;$A$15)),
        IF(Import.TipoArredondamento&lt;&gt;"TransfereGOV",
              ROUND(OFFSET($P373,0,AG$13),15-13*ORÇAMENTO!$AF$7)/$H373*OFFSET(ORÇAMENTO!$X$15,ROW(AG373)-ROW(AG$15),0),
              ROUND(ROUND(OFFSET($P373,0,AG$13),15-13*ORÇAMENTO!$AF$7)*OFFSET(ORÇAMENTO!$W$15,ROW(AG373)-ROW(AG$15),0),15-13*ORÇAMENTO!$AF$11)),
         0)</f>
        <v>0</v>
      </c>
      <c r="AH373" s="454">
        <f ca="1">IF(AND($D373="Serviço",AH$12&lt;&gt;0,$H373&gt;0,OR(AUTOEVENTO&lt;&gt;"manual",$M373&lt;&gt;$A$15)),
        IF(Import.TipoArredondamento&lt;&gt;"TransfereGOV",
              ROUND(OFFSET($P373,0,AH$13),15-13*ORÇAMENTO!$AF$7)/$H373*OFFSET(ORÇAMENTO!$X$15,ROW(AH373)-ROW(AH$15),0),
              ROUND(ROUND(OFFSET($P373,0,AH$13),15-13*ORÇAMENTO!$AF$7)*OFFSET(ORÇAMENTO!$W$15,ROW(AH373)-ROW(AH$15),0),15-13*ORÇAMENTO!$AF$11)),
         0)</f>
        <v>0</v>
      </c>
      <c r="AI373" s="454">
        <f ca="1">IF(AND($D373="Serviço",AI$12&lt;&gt;0,$H373&gt;0,OR(AUTOEVENTO&lt;&gt;"manual",$M373&lt;&gt;$A$15)),
        IF(Import.TipoArredondamento&lt;&gt;"TransfereGOV",
              ROUND(OFFSET($P373,0,AI$13),15-13*ORÇAMENTO!$AF$7)/$H373*OFFSET(ORÇAMENTO!$X$15,ROW(AI373)-ROW(AI$15),0),
              ROUND(ROUND(OFFSET($P373,0,AI$13),15-13*ORÇAMENTO!$AF$7)*OFFSET(ORÇAMENTO!$W$15,ROW(AI373)-ROW(AI$15),0),15-13*ORÇAMENTO!$AF$11)),
         0)</f>
        <v>0</v>
      </c>
      <c r="AJ373" s="454">
        <f ca="1">IF(AND($D373="Serviço",AJ$12&lt;&gt;0,$H373&gt;0,OR(AUTOEVENTO&lt;&gt;"manual",$M373&lt;&gt;$A$15)),
        IF(Import.TipoArredondamento&lt;&gt;"TransfereGOV",
              ROUND(OFFSET($P373,0,AJ$13),15-13*ORÇAMENTO!$AF$7)/$H373*OFFSET(ORÇAMENTO!$X$15,ROW(AJ373)-ROW(AJ$15),0),
              ROUND(ROUND(OFFSET($P373,0,AJ$13),15-13*ORÇAMENTO!$AF$7)*OFFSET(ORÇAMENTO!$W$15,ROW(AJ373)-ROW(AJ$15),0),15-13*ORÇAMENTO!$AF$11)),
         0)</f>
        <v>0</v>
      </c>
      <c r="AK373" s="454">
        <f ca="1">IF(AND($D373="Serviço",AK$12&lt;&gt;0,$H373&gt;0,OR(AUTOEVENTO&lt;&gt;"manual",$M373&lt;&gt;$A$15)),
        IF(Import.TipoArredondamento&lt;&gt;"TransfereGOV",
              ROUND(OFFSET($P373,0,AK$13),15-13*ORÇAMENTO!$AF$7)/$H373*OFFSET(ORÇAMENTO!$X$15,ROW(AK373)-ROW(AK$15),0),
              ROUND(ROUND(OFFSET($P373,0,AK$13),15-13*ORÇAMENTO!$AF$7)*OFFSET(ORÇAMENTO!$W$15,ROW(AK373)-ROW(AK$15),0),15-13*ORÇAMENTO!$AF$11)),
         0)</f>
        <v>0</v>
      </c>
      <c r="AM373" s="172">
        <f ca="1">IF(OR($D373&lt;&gt;"Serviço",AND(AUTOEVENTO="Manual",$M373=$A$15)),0,
         IF(OFFSET(CRONOPLE!$F$15,$M373-$A$15,AM$13)="",10^12,OFFSET(CRONOPLE!$F$15,$M373-$A$15,AM$13)))</f>
        <v>1000000000000</v>
      </c>
      <c r="AN373" s="172">
        <f ca="1">IF(OR($D373&lt;&gt;"Serviço",AND(AUTOEVENTO="Manual",$M373=$A$15)),0,
         IF(OFFSET(CRONOPLE!$F$15,$M373-$A$15,AN$13)="",10^12,OFFSET(CRONOPLE!$F$15,$M373-$A$15,AN$13)))</f>
        <v>1000000000000</v>
      </c>
      <c r="AO373" s="172">
        <f ca="1">IF(OR($D373&lt;&gt;"Serviço",AND(AUTOEVENTO="Manual",$M373=$A$15)),0,
         IF(OFFSET(CRONOPLE!$F$15,$M373-$A$15,AO$13)="",10^12,OFFSET(CRONOPLE!$F$15,$M373-$A$15,AO$13)))</f>
        <v>1000000000000</v>
      </c>
      <c r="AP373" s="172">
        <f ca="1">IF(OR($D373&lt;&gt;"Serviço",AND(AUTOEVENTO="Manual",$M373=$A$15)),0,
         IF(OFFSET(CRONOPLE!$F$15,$M373-$A$15,AP$13)="",10^12,OFFSET(CRONOPLE!$F$15,$M373-$A$15,AP$13)))</f>
        <v>1000000000000</v>
      </c>
      <c r="AQ373" s="172">
        <f ca="1">IF(OR($D373&lt;&gt;"Serviço",AND(AUTOEVENTO="Manual",$M373=$A$15)),0,
         IF(OFFSET(CRONOPLE!$F$15,$M373-$A$15,AQ$13)="",10^12,OFFSET(CRONOPLE!$F$15,$M373-$A$15,AQ$13)))</f>
        <v>1000000000000</v>
      </c>
      <c r="AR373" s="172">
        <f ca="1">IF(OR($D373&lt;&gt;"Serviço",AND(AUTOEVENTO="Manual",$M373=$A$15)),0,
         IF(OFFSET(CRONOPLE!$F$15,$M373-$A$15,AR$13)="",10^12,OFFSET(CRONOPLE!$F$15,$M373-$A$15,AR$13)))</f>
        <v>1000000000000</v>
      </c>
      <c r="AS373" s="172">
        <f ca="1">IF(OR($D373&lt;&gt;"Serviço",AND(AUTOEVENTO="Manual",$M373=$A$15)),0,
         IF(OFFSET(CRONOPLE!$F$15,$M373-$A$15,AS$13)="",10^12,OFFSET(CRONOPLE!$F$15,$M373-$A$15,AS$13)))</f>
        <v>1000000000000</v>
      </c>
      <c r="AT373" s="172">
        <f ca="1">IF(OR($D373&lt;&gt;"Serviço",AND(AUTOEVENTO="Manual",$M373=$A$15)),0,
         IF(OFFSET(CRONOPLE!$F$15,$M373-$A$15,AT$13)="",10^12,OFFSET(CRONOPLE!$F$15,$M373-$A$15,AT$13)))</f>
        <v>1000000000000</v>
      </c>
      <c r="AU373" s="172">
        <f ca="1">IF(OR($D373&lt;&gt;"Serviço",AND(AUTOEVENTO="Manual",$M373=$A$15)),0,
         IF(OFFSET(CRONOPLE!$F$15,$M373-$A$15,AU$13)="",10^12,OFFSET(CRONOPLE!$F$15,$M373-$A$15,AU$13)))</f>
        <v>1000000000000</v>
      </c>
      <c r="AV373" s="172">
        <f ca="1">IF(OR($D373&lt;&gt;"Serviço",AND(AUTOEVENTO="Manual",$M373=$A$15)),0,
         IF(OFFSET(CRONOPLE!$F$15,$M373-$A$15,AV$13)="",10^12,OFFSET(CRONOPLE!$F$15,$M373-$A$15,AV$13)))</f>
        <v>1000000000000</v>
      </c>
      <c r="AX373" s="173">
        <f ca="1">IF(OR($D373&lt;&gt;"Serviço",AND(AUTOEVENTO="Manual",$M373=$A$15),$M373&gt;(ROW(PLE.lastrow)-ROW(PLE.firstrow))),0,
           IF(OFFSET(PLE!$G$15,$M373-$A$15,AX$13)="",10^12,OFFSET(PLE!$G$15,$M373-$A$15,AX$13)))</f>
        <v>1000000000000</v>
      </c>
      <c r="AY373" s="173">
        <f ca="1">IF(OR($D373&lt;&gt;"Serviço",AND(AUTOEVENTO="Manual",$M373=$A$15),$M373&gt;(ROW(PLE.lastrow)-ROW(PLE.firstrow))),0,
           IF(OFFSET(PLE!$G$15,$M373-$A$15,AY$13)="",10^12,OFFSET(PLE!$G$15,$M373-$A$15,AY$13)))</f>
        <v>1000000000000</v>
      </c>
      <c r="AZ373" s="173">
        <f ca="1">IF(OR($D373&lt;&gt;"Serviço",AND(AUTOEVENTO="Manual",$M373=$A$15),$M373&gt;(ROW(PLE.lastrow)-ROW(PLE.firstrow))),0,
           IF(OFFSET(PLE!$G$15,$M373-$A$15,AZ$13)="",10^12,OFFSET(PLE!$G$15,$M373-$A$15,AZ$13)))</f>
        <v>1000000000000</v>
      </c>
      <c r="BA373" s="173">
        <f ca="1">IF(OR($D373&lt;&gt;"Serviço",AND(AUTOEVENTO="Manual",$M373=$A$15),$M373&gt;(ROW(PLE.lastrow)-ROW(PLE.firstrow))),0,
           IF(OFFSET(PLE!$G$15,$M373-$A$15,BA$13)="",10^12,OFFSET(PLE!$G$15,$M373-$A$15,BA$13)))</f>
        <v>1000000000000</v>
      </c>
      <c r="BB373" s="173">
        <f ca="1">IF(OR($D373&lt;&gt;"Serviço",AND(AUTOEVENTO="Manual",$M373=$A$15),$M373&gt;(ROW(PLE.lastrow)-ROW(PLE.firstrow))),0,
           IF(OFFSET(PLE!$G$15,$M373-$A$15,BB$13)="",10^12,OFFSET(PLE!$G$15,$M373-$A$15,BB$13)))</f>
        <v>1000000000000</v>
      </c>
      <c r="BC373" s="173">
        <f ca="1">IF(OR($D373&lt;&gt;"Serviço",AND(AUTOEVENTO="Manual",$M373=$A$15),$M373&gt;(ROW(PLE.lastrow)-ROW(PLE.firstrow))),0,
           IF(OFFSET(PLE!$G$15,$M373-$A$15,BC$13)="",10^12,OFFSET(PLE!$G$15,$M373-$A$15,BC$13)))</f>
        <v>1000000000000</v>
      </c>
      <c r="BD373" s="173">
        <f ca="1">IF(OR($D373&lt;&gt;"Serviço",AND(AUTOEVENTO="Manual",$M373=$A$15),$M373&gt;(ROW(PLE.lastrow)-ROW(PLE.firstrow))),0,
           IF(OFFSET(PLE!$G$15,$M373-$A$15,BD$13)="",10^12,OFFSET(PLE!$G$15,$M373-$A$15,BD$13)))</f>
        <v>1000000000000</v>
      </c>
      <c r="BE373" s="173">
        <f ca="1">IF(OR($D373&lt;&gt;"Serviço",AND(AUTOEVENTO="Manual",$M373=$A$15),$M373&gt;(ROW(PLE.lastrow)-ROW(PLE.firstrow))),0,
           IF(OFFSET(PLE!$G$15,$M373-$A$15,BE$13)="",10^12,OFFSET(PLE!$G$15,$M373-$A$15,BE$13)))</f>
        <v>1000000000000</v>
      </c>
      <c r="BF373" s="173">
        <f ca="1">IF(OR($D373&lt;&gt;"Serviço",AND(AUTOEVENTO="Manual",$M373=$A$15),$M373&gt;(ROW(PLE.lastrow)-ROW(PLE.firstrow))),0,
           IF(OFFSET(PLE!$G$15,$M373-$A$15,BF$13)="",10^12,OFFSET(PLE!$G$15,$M373-$A$15,BF$13)))</f>
        <v>1000000000000</v>
      </c>
      <c r="BG373" s="173">
        <f ca="1">IF(OR($D373&lt;&gt;"Serviço",AND(AUTOEVENTO="Manual",$M373=$A$15),$M373&gt;(ROW(PLE.lastrow)-ROW(PLE.firstrow))),0,
           IF(OFFSET(PLE!$G$15,$M373-$A$15,BG$13)="",10^12,OFFSET(PLE!$G$15,$M373-$A$15,BG$13)))</f>
        <v>1000000000000</v>
      </c>
    </row>
    <row r="374" spans="1:59" ht="12.75" x14ac:dyDescent="0.2">
      <c r="A374" s="7" t="str">
        <f t="shared" ca="1" si="13"/>
        <v>355</v>
      </c>
      <c r="B374" s="7" t="str">
        <f ca="1">OFFSET(ORÇAMENTO!C$15,ROW(B374)-ROW(B$15),0)</f>
        <v>S</v>
      </c>
      <c r="C374" s="7" t="str">
        <f ca="1">OFFSET(ORÇAMENTO!L$15,ROW(C374)-ROW(C$15),0)</f>
        <v/>
      </c>
      <c r="D374" s="117" t="str">
        <f ca="1">OFFSET(ORÇAMENTO!N$15,ROW(D374)-ROW(D$15),0)</f>
        <v>Serviço</v>
      </c>
      <c r="E374" s="118" t="str">
        <f ca="1">OFFSET(ORÇAMENTO!O$15,ROW(E374)-ROW(E$15),0)</f>
        <v>-</v>
      </c>
      <c r="F374" s="164" t="str">
        <f ca="1">OFFSET(ORÇAMENTO!R$15,ROW(F374)-ROW(F$15),0)</f>
        <v>ALARME BANHEIRO PCD COM ACIONADOR CONFORME NBR 9050</v>
      </c>
      <c r="G374" s="165" t="str">
        <f ca="1">IF($D374&lt;&gt;"Serviço","",OFFSET(ORÇAMENTO!S$15,ROW(G374)-ROW(G$15),0))</f>
        <v>UN</v>
      </c>
      <c r="H374" s="123">
        <f ca="1">IF($D374&lt;&gt;"Serviço",0,IF(ACOMPANHAMENTO="BM",ROUND(OFFSET(ORÇAMENTO!AJ$15,ROW(H374)-ROW(H$15),0),15-13*ORÇAMENTO!$AF$7),SUMPRODUCT(($Q$1:$AA$1=1)*ROUND($Q374:$AA374,15-13*ORÇAMENTO!$AF$7))))</f>
        <v>6</v>
      </c>
      <c r="I374" s="469"/>
      <c r="J374" s="577" t="str" cm="1">
        <f t="array" aca="1" ref="J374" ca="1">IF(B374&lt;&gt;"S","",IF(AND(ACOMPANHAMENTO="PLE",AUTOEVENTO="Manual",OR(H374&gt;0,ORÇAMENTO!AC374="QUANT."),OR(K374="",M374=0,N374="")),"►",IF(AND(ACOMPANHAMENTO="PLE",ORÇAMENTO!AC374="QUANT."),"►►",IF(AND(COUNTIF($P$11:$AA$11,"▼")=0,H374&gt;0,I374=""),"◄",""))))</f>
        <v>◄</v>
      </c>
      <c r="K374" s="626"/>
      <c r="L374" s="166" t="s">
        <v>765</v>
      </c>
      <c r="M374" s="167">
        <f ca="1">IF($D374&lt;&gt;"Serviço","",
          IF(AUTOEVENTO="manual",$A374,
                IF(ISERROR(MATCH($A374,$A$15:OFFSET($A374,-1,0),0)),MAX($M$15:OFFSET(M374,-1,0))+1,
                      INDEX($M$15:OFFSET(M374,-1,0),MATCH($A374,$A$15:OFFSET($A374,-1,0),0)))))</f>
        <v>20</v>
      </c>
      <c r="N374" s="168" t="str">
        <f ca="1">IF($D374&lt;&gt;"Serviço","",
         IF(AUTOEVENTO="Manual",
                IF($A374=0,"&lt;-- defina o número do agrupador",
                       OFFSET(EVENTOS!$D$15,$A374-$A$15,0)),
                OFFSET($F$15,$A374,0)))</f>
        <v>ACESSIBILIDADE</v>
      </c>
      <c r="O374" s="169"/>
      <c r="Q374" s="169"/>
      <c r="R374" s="170"/>
      <c r="S374" s="170"/>
      <c r="T374" s="170"/>
      <c r="U374" s="170"/>
      <c r="V374" s="170"/>
      <c r="W374" s="170"/>
      <c r="X374" s="170"/>
      <c r="Y374" s="170"/>
      <c r="Z374" s="171"/>
      <c r="AB374" s="454">
        <f ca="1">IF(AND($D374="Serviço",AB$12&lt;&gt;0,$H374&gt;0,OR(AUTOEVENTO&lt;&gt;"manual",$M374&lt;&gt;$A$15)),
        IF(Import.TipoArredondamento&lt;&gt;"TransfereGOV",
              ROUND(OFFSET($P374,0,AB$13),15-13*ORÇAMENTO!$AF$7)/$H374*OFFSET(ORÇAMENTO!$X$15,ROW(AB374)-ROW(AB$15),0),
              ROUND(ROUND(OFFSET($P374,0,AB$13),15-13*ORÇAMENTO!$AF$7)*OFFSET(ORÇAMENTO!$W$15,ROW(AB374)-ROW(AB$15),0),15-13*ORÇAMENTO!$AF$11)),
         0)</f>
        <v>0</v>
      </c>
      <c r="AC374" s="454">
        <f ca="1">IF(AND($D374="Serviço",AC$12&lt;&gt;0,$H374&gt;0,OR(AUTOEVENTO&lt;&gt;"manual",$M374&lt;&gt;$A$15)),
        IF(Import.TipoArredondamento&lt;&gt;"TransfereGOV",
              ROUND(OFFSET($P374,0,AC$13),15-13*ORÇAMENTO!$AF$7)/$H374*OFFSET(ORÇAMENTO!$X$15,ROW(AC374)-ROW(AC$15),0),
              ROUND(ROUND(OFFSET($P374,0,AC$13),15-13*ORÇAMENTO!$AF$7)*OFFSET(ORÇAMENTO!$W$15,ROW(AC374)-ROW(AC$15),0),15-13*ORÇAMENTO!$AF$11)),
         0)</f>
        <v>0</v>
      </c>
      <c r="AD374" s="454">
        <f ca="1">IF(AND($D374="Serviço",AD$12&lt;&gt;0,$H374&gt;0,OR(AUTOEVENTO&lt;&gt;"manual",$M374&lt;&gt;$A$15)),
        IF(Import.TipoArredondamento&lt;&gt;"TransfereGOV",
              ROUND(OFFSET($P374,0,AD$13),15-13*ORÇAMENTO!$AF$7)/$H374*OFFSET(ORÇAMENTO!$X$15,ROW(AD374)-ROW(AD$15),0),
              ROUND(ROUND(OFFSET($P374,0,AD$13),15-13*ORÇAMENTO!$AF$7)*OFFSET(ORÇAMENTO!$W$15,ROW(AD374)-ROW(AD$15),0),15-13*ORÇAMENTO!$AF$11)),
         0)</f>
        <v>0</v>
      </c>
      <c r="AE374" s="454">
        <f ca="1">IF(AND($D374="Serviço",AE$12&lt;&gt;0,$H374&gt;0,OR(AUTOEVENTO&lt;&gt;"manual",$M374&lt;&gt;$A$15)),
        IF(Import.TipoArredondamento&lt;&gt;"TransfereGOV",
              ROUND(OFFSET($P374,0,AE$13),15-13*ORÇAMENTO!$AF$7)/$H374*OFFSET(ORÇAMENTO!$X$15,ROW(AE374)-ROW(AE$15),0),
              ROUND(ROUND(OFFSET($P374,0,AE$13),15-13*ORÇAMENTO!$AF$7)*OFFSET(ORÇAMENTO!$W$15,ROW(AE374)-ROW(AE$15),0),15-13*ORÇAMENTO!$AF$11)),
         0)</f>
        <v>0</v>
      </c>
      <c r="AF374" s="454">
        <f ca="1">IF(AND($D374="Serviço",AF$12&lt;&gt;0,$H374&gt;0,OR(AUTOEVENTO&lt;&gt;"manual",$M374&lt;&gt;$A$15)),
        IF(Import.TipoArredondamento&lt;&gt;"TransfereGOV",
              ROUND(OFFSET($P374,0,AF$13),15-13*ORÇAMENTO!$AF$7)/$H374*OFFSET(ORÇAMENTO!$X$15,ROW(AF374)-ROW(AF$15),0),
              ROUND(ROUND(OFFSET($P374,0,AF$13),15-13*ORÇAMENTO!$AF$7)*OFFSET(ORÇAMENTO!$W$15,ROW(AF374)-ROW(AF$15),0),15-13*ORÇAMENTO!$AF$11)),
         0)</f>
        <v>0</v>
      </c>
      <c r="AG374" s="454">
        <f ca="1">IF(AND($D374="Serviço",AG$12&lt;&gt;0,$H374&gt;0,OR(AUTOEVENTO&lt;&gt;"manual",$M374&lt;&gt;$A$15)),
        IF(Import.TipoArredondamento&lt;&gt;"TransfereGOV",
              ROUND(OFFSET($P374,0,AG$13),15-13*ORÇAMENTO!$AF$7)/$H374*OFFSET(ORÇAMENTO!$X$15,ROW(AG374)-ROW(AG$15),0),
              ROUND(ROUND(OFFSET($P374,0,AG$13),15-13*ORÇAMENTO!$AF$7)*OFFSET(ORÇAMENTO!$W$15,ROW(AG374)-ROW(AG$15),0),15-13*ORÇAMENTO!$AF$11)),
         0)</f>
        <v>0</v>
      </c>
      <c r="AH374" s="454">
        <f ca="1">IF(AND($D374="Serviço",AH$12&lt;&gt;0,$H374&gt;0,OR(AUTOEVENTO&lt;&gt;"manual",$M374&lt;&gt;$A$15)),
        IF(Import.TipoArredondamento&lt;&gt;"TransfereGOV",
              ROUND(OFFSET($P374,0,AH$13),15-13*ORÇAMENTO!$AF$7)/$H374*OFFSET(ORÇAMENTO!$X$15,ROW(AH374)-ROW(AH$15),0),
              ROUND(ROUND(OFFSET($P374,0,AH$13),15-13*ORÇAMENTO!$AF$7)*OFFSET(ORÇAMENTO!$W$15,ROW(AH374)-ROW(AH$15),0),15-13*ORÇAMENTO!$AF$11)),
         0)</f>
        <v>0</v>
      </c>
      <c r="AI374" s="454">
        <f ca="1">IF(AND($D374="Serviço",AI$12&lt;&gt;0,$H374&gt;0,OR(AUTOEVENTO&lt;&gt;"manual",$M374&lt;&gt;$A$15)),
        IF(Import.TipoArredondamento&lt;&gt;"TransfereGOV",
              ROUND(OFFSET($P374,0,AI$13),15-13*ORÇAMENTO!$AF$7)/$H374*OFFSET(ORÇAMENTO!$X$15,ROW(AI374)-ROW(AI$15),0),
              ROUND(ROUND(OFFSET($P374,0,AI$13),15-13*ORÇAMENTO!$AF$7)*OFFSET(ORÇAMENTO!$W$15,ROW(AI374)-ROW(AI$15),0),15-13*ORÇAMENTO!$AF$11)),
         0)</f>
        <v>0</v>
      </c>
      <c r="AJ374" s="454">
        <f ca="1">IF(AND($D374="Serviço",AJ$12&lt;&gt;0,$H374&gt;0,OR(AUTOEVENTO&lt;&gt;"manual",$M374&lt;&gt;$A$15)),
        IF(Import.TipoArredondamento&lt;&gt;"TransfereGOV",
              ROUND(OFFSET($P374,0,AJ$13),15-13*ORÇAMENTO!$AF$7)/$H374*OFFSET(ORÇAMENTO!$X$15,ROW(AJ374)-ROW(AJ$15),0),
              ROUND(ROUND(OFFSET($P374,0,AJ$13),15-13*ORÇAMENTO!$AF$7)*OFFSET(ORÇAMENTO!$W$15,ROW(AJ374)-ROW(AJ$15),0),15-13*ORÇAMENTO!$AF$11)),
         0)</f>
        <v>0</v>
      </c>
      <c r="AK374" s="454">
        <f ca="1">IF(AND($D374="Serviço",AK$12&lt;&gt;0,$H374&gt;0,OR(AUTOEVENTO&lt;&gt;"manual",$M374&lt;&gt;$A$15)),
        IF(Import.TipoArredondamento&lt;&gt;"TransfereGOV",
              ROUND(OFFSET($P374,0,AK$13),15-13*ORÇAMENTO!$AF$7)/$H374*OFFSET(ORÇAMENTO!$X$15,ROW(AK374)-ROW(AK$15),0),
              ROUND(ROUND(OFFSET($P374,0,AK$13),15-13*ORÇAMENTO!$AF$7)*OFFSET(ORÇAMENTO!$W$15,ROW(AK374)-ROW(AK$15),0),15-13*ORÇAMENTO!$AF$11)),
         0)</f>
        <v>0</v>
      </c>
      <c r="AM374" s="172">
        <f ca="1">IF(OR($D374&lt;&gt;"Serviço",AND(AUTOEVENTO="Manual",$M374=$A$15)),0,
         IF(OFFSET(CRONOPLE!$F$15,$M374-$A$15,AM$13)="",10^12,OFFSET(CRONOPLE!$F$15,$M374-$A$15,AM$13)))</f>
        <v>1000000000000</v>
      </c>
      <c r="AN374" s="172">
        <f ca="1">IF(OR($D374&lt;&gt;"Serviço",AND(AUTOEVENTO="Manual",$M374=$A$15)),0,
         IF(OFFSET(CRONOPLE!$F$15,$M374-$A$15,AN$13)="",10^12,OFFSET(CRONOPLE!$F$15,$M374-$A$15,AN$13)))</f>
        <v>1000000000000</v>
      </c>
      <c r="AO374" s="172">
        <f ca="1">IF(OR($D374&lt;&gt;"Serviço",AND(AUTOEVENTO="Manual",$M374=$A$15)),0,
         IF(OFFSET(CRONOPLE!$F$15,$M374-$A$15,AO$13)="",10^12,OFFSET(CRONOPLE!$F$15,$M374-$A$15,AO$13)))</f>
        <v>1000000000000</v>
      </c>
      <c r="AP374" s="172">
        <f ca="1">IF(OR($D374&lt;&gt;"Serviço",AND(AUTOEVENTO="Manual",$M374=$A$15)),0,
         IF(OFFSET(CRONOPLE!$F$15,$M374-$A$15,AP$13)="",10^12,OFFSET(CRONOPLE!$F$15,$M374-$A$15,AP$13)))</f>
        <v>1000000000000</v>
      </c>
      <c r="AQ374" s="172">
        <f ca="1">IF(OR($D374&lt;&gt;"Serviço",AND(AUTOEVENTO="Manual",$M374=$A$15)),0,
         IF(OFFSET(CRONOPLE!$F$15,$M374-$A$15,AQ$13)="",10^12,OFFSET(CRONOPLE!$F$15,$M374-$A$15,AQ$13)))</f>
        <v>1000000000000</v>
      </c>
      <c r="AR374" s="172">
        <f ca="1">IF(OR($D374&lt;&gt;"Serviço",AND(AUTOEVENTO="Manual",$M374=$A$15)),0,
         IF(OFFSET(CRONOPLE!$F$15,$M374-$A$15,AR$13)="",10^12,OFFSET(CRONOPLE!$F$15,$M374-$A$15,AR$13)))</f>
        <v>1000000000000</v>
      </c>
      <c r="AS374" s="172">
        <f ca="1">IF(OR($D374&lt;&gt;"Serviço",AND(AUTOEVENTO="Manual",$M374=$A$15)),0,
         IF(OFFSET(CRONOPLE!$F$15,$M374-$A$15,AS$13)="",10^12,OFFSET(CRONOPLE!$F$15,$M374-$A$15,AS$13)))</f>
        <v>1000000000000</v>
      </c>
      <c r="AT374" s="172">
        <f ca="1">IF(OR($D374&lt;&gt;"Serviço",AND(AUTOEVENTO="Manual",$M374=$A$15)),0,
         IF(OFFSET(CRONOPLE!$F$15,$M374-$A$15,AT$13)="",10^12,OFFSET(CRONOPLE!$F$15,$M374-$A$15,AT$13)))</f>
        <v>1000000000000</v>
      </c>
      <c r="AU374" s="172">
        <f ca="1">IF(OR($D374&lt;&gt;"Serviço",AND(AUTOEVENTO="Manual",$M374=$A$15)),0,
         IF(OFFSET(CRONOPLE!$F$15,$M374-$A$15,AU$13)="",10^12,OFFSET(CRONOPLE!$F$15,$M374-$A$15,AU$13)))</f>
        <v>1000000000000</v>
      </c>
      <c r="AV374" s="172">
        <f ca="1">IF(OR($D374&lt;&gt;"Serviço",AND(AUTOEVENTO="Manual",$M374=$A$15)),0,
         IF(OFFSET(CRONOPLE!$F$15,$M374-$A$15,AV$13)="",10^12,OFFSET(CRONOPLE!$F$15,$M374-$A$15,AV$13)))</f>
        <v>1000000000000</v>
      </c>
      <c r="AX374" s="173">
        <f ca="1">IF(OR($D374&lt;&gt;"Serviço",AND(AUTOEVENTO="Manual",$M374=$A$15),$M374&gt;(ROW(PLE.lastrow)-ROW(PLE.firstrow))),0,
           IF(OFFSET(PLE!$G$15,$M374-$A$15,AX$13)="",10^12,OFFSET(PLE!$G$15,$M374-$A$15,AX$13)))</f>
        <v>1000000000000</v>
      </c>
      <c r="AY374" s="173">
        <f ca="1">IF(OR($D374&lt;&gt;"Serviço",AND(AUTOEVENTO="Manual",$M374=$A$15),$M374&gt;(ROW(PLE.lastrow)-ROW(PLE.firstrow))),0,
           IF(OFFSET(PLE!$G$15,$M374-$A$15,AY$13)="",10^12,OFFSET(PLE!$G$15,$M374-$A$15,AY$13)))</f>
        <v>1000000000000</v>
      </c>
      <c r="AZ374" s="173">
        <f ca="1">IF(OR($D374&lt;&gt;"Serviço",AND(AUTOEVENTO="Manual",$M374=$A$15),$M374&gt;(ROW(PLE.lastrow)-ROW(PLE.firstrow))),0,
           IF(OFFSET(PLE!$G$15,$M374-$A$15,AZ$13)="",10^12,OFFSET(PLE!$G$15,$M374-$A$15,AZ$13)))</f>
        <v>1000000000000</v>
      </c>
      <c r="BA374" s="173">
        <f ca="1">IF(OR($D374&lt;&gt;"Serviço",AND(AUTOEVENTO="Manual",$M374=$A$15),$M374&gt;(ROW(PLE.lastrow)-ROW(PLE.firstrow))),0,
           IF(OFFSET(PLE!$G$15,$M374-$A$15,BA$13)="",10^12,OFFSET(PLE!$G$15,$M374-$A$15,BA$13)))</f>
        <v>1000000000000</v>
      </c>
      <c r="BB374" s="173">
        <f ca="1">IF(OR($D374&lt;&gt;"Serviço",AND(AUTOEVENTO="Manual",$M374=$A$15),$M374&gt;(ROW(PLE.lastrow)-ROW(PLE.firstrow))),0,
           IF(OFFSET(PLE!$G$15,$M374-$A$15,BB$13)="",10^12,OFFSET(PLE!$G$15,$M374-$A$15,BB$13)))</f>
        <v>1000000000000</v>
      </c>
      <c r="BC374" s="173">
        <f ca="1">IF(OR($D374&lt;&gt;"Serviço",AND(AUTOEVENTO="Manual",$M374=$A$15),$M374&gt;(ROW(PLE.lastrow)-ROW(PLE.firstrow))),0,
           IF(OFFSET(PLE!$G$15,$M374-$A$15,BC$13)="",10^12,OFFSET(PLE!$G$15,$M374-$A$15,BC$13)))</f>
        <v>1000000000000</v>
      </c>
      <c r="BD374" s="173">
        <f ca="1">IF(OR($D374&lt;&gt;"Serviço",AND(AUTOEVENTO="Manual",$M374=$A$15),$M374&gt;(ROW(PLE.lastrow)-ROW(PLE.firstrow))),0,
           IF(OFFSET(PLE!$G$15,$M374-$A$15,BD$13)="",10^12,OFFSET(PLE!$G$15,$M374-$A$15,BD$13)))</f>
        <v>1000000000000</v>
      </c>
      <c r="BE374" s="173">
        <f ca="1">IF(OR($D374&lt;&gt;"Serviço",AND(AUTOEVENTO="Manual",$M374=$A$15),$M374&gt;(ROW(PLE.lastrow)-ROW(PLE.firstrow))),0,
           IF(OFFSET(PLE!$G$15,$M374-$A$15,BE$13)="",10^12,OFFSET(PLE!$G$15,$M374-$A$15,BE$13)))</f>
        <v>1000000000000</v>
      </c>
      <c r="BF374" s="173">
        <f ca="1">IF(OR($D374&lt;&gt;"Serviço",AND(AUTOEVENTO="Manual",$M374=$A$15),$M374&gt;(ROW(PLE.lastrow)-ROW(PLE.firstrow))),0,
           IF(OFFSET(PLE!$G$15,$M374-$A$15,BF$13)="",10^12,OFFSET(PLE!$G$15,$M374-$A$15,BF$13)))</f>
        <v>1000000000000</v>
      </c>
      <c r="BG374" s="173">
        <f ca="1">IF(OR($D374&lt;&gt;"Serviço",AND(AUTOEVENTO="Manual",$M374=$A$15),$M374&gt;(ROW(PLE.lastrow)-ROW(PLE.firstrow))),0,
           IF(OFFSET(PLE!$G$15,$M374-$A$15,BG$13)="",10^12,OFFSET(PLE!$G$15,$M374-$A$15,BG$13)))</f>
        <v>1000000000000</v>
      </c>
    </row>
    <row r="375" spans="1:59" ht="12.75" x14ac:dyDescent="0.2">
      <c r="A375" s="7" t="str">
        <f t="shared" ca="1" si="13"/>
        <v>355</v>
      </c>
      <c r="B375" s="7" t="str">
        <f ca="1">OFFSET(ORÇAMENTO!C$15,ROW(B375)-ROW(B$15),0)</f>
        <v>S</v>
      </c>
      <c r="C375" s="7" t="str">
        <f ca="1">OFFSET(ORÇAMENTO!L$15,ROW(C375)-ROW(C$15),0)</f>
        <v/>
      </c>
      <c r="D375" s="117" t="str">
        <f ca="1">OFFSET(ORÇAMENTO!N$15,ROW(D375)-ROW(D$15),0)</f>
        <v>Serviço</v>
      </c>
      <c r="E375" s="118" t="str">
        <f ca="1">OFFSET(ORÇAMENTO!O$15,ROW(E375)-ROW(E$15),0)</f>
        <v>-</v>
      </c>
      <c r="F375" s="164" t="str">
        <f ca="1">OFFSET(ORÇAMENTO!R$15,ROW(F375)-ROW(F$15),0)</f>
        <v>MAPA TÁTIL 60x100 cm</v>
      </c>
      <c r="G375" s="165" t="str">
        <f ca="1">IF($D375&lt;&gt;"Serviço","",OFFSET(ORÇAMENTO!S$15,ROW(G375)-ROW(G$15),0))</f>
        <v>UN</v>
      </c>
      <c r="H375" s="123">
        <f ca="1">IF($D375&lt;&gt;"Serviço",0,IF(ACOMPANHAMENTO="BM",ROUND(OFFSET(ORÇAMENTO!AJ$15,ROW(H375)-ROW(H$15),0),15-13*ORÇAMENTO!$AF$7),SUMPRODUCT(($Q$1:$AA$1=1)*ROUND($Q375:$AA375,15-13*ORÇAMENTO!$AF$7))))</f>
        <v>1</v>
      </c>
      <c r="I375" s="469"/>
      <c r="J375" s="577" t="str" cm="1">
        <f t="array" aca="1" ref="J375" ca="1">IF(B375&lt;&gt;"S","",IF(AND(ACOMPANHAMENTO="PLE",AUTOEVENTO="Manual",OR(H375&gt;0,ORÇAMENTO!AC375="QUANT."),OR(K375="",M375=0,N375="")),"►",IF(AND(ACOMPANHAMENTO="PLE",ORÇAMENTO!AC375="QUANT."),"►►",IF(AND(COUNTIF($P$11:$AA$11,"▼")=0,H375&gt;0,I375=""),"◄",""))))</f>
        <v>◄</v>
      </c>
      <c r="K375" s="626"/>
      <c r="L375" s="166" t="s">
        <v>765</v>
      </c>
      <c r="M375" s="167">
        <f ca="1">IF($D375&lt;&gt;"Serviço","",
          IF(AUTOEVENTO="manual",$A375,
                IF(ISERROR(MATCH($A375,$A$15:OFFSET($A375,-1,0),0)),MAX($M$15:OFFSET(M375,-1,0))+1,
                      INDEX($M$15:OFFSET(M375,-1,0),MATCH($A375,$A$15:OFFSET($A375,-1,0),0)))))</f>
        <v>20</v>
      </c>
      <c r="N375" s="168" t="str">
        <f ca="1">IF($D375&lt;&gt;"Serviço","",
         IF(AUTOEVENTO="Manual",
                IF($A375=0,"&lt;-- defina o número do agrupador",
                       OFFSET(EVENTOS!$D$15,$A375-$A$15,0)),
                OFFSET($F$15,$A375,0)))</f>
        <v>ACESSIBILIDADE</v>
      </c>
      <c r="O375" s="169"/>
      <c r="Q375" s="169"/>
      <c r="R375" s="170"/>
      <c r="S375" s="170"/>
      <c r="T375" s="170"/>
      <c r="U375" s="170"/>
      <c r="V375" s="170"/>
      <c r="W375" s="170"/>
      <c r="X375" s="170"/>
      <c r="Y375" s="170"/>
      <c r="Z375" s="171"/>
      <c r="AB375" s="454">
        <f ca="1">IF(AND($D375="Serviço",AB$12&lt;&gt;0,$H375&gt;0,OR(AUTOEVENTO&lt;&gt;"manual",$M375&lt;&gt;$A$15)),
        IF(Import.TipoArredondamento&lt;&gt;"TransfereGOV",
              ROUND(OFFSET($P375,0,AB$13),15-13*ORÇAMENTO!$AF$7)/$H375*OFFSET(ORÇAMENTO!$X$15,ROW(AB375)-ROW(AB$15),0),
              ROUND(ROUND(OFFSET($P375,0,AB$13),15-13*ORÇAMENTO!$AF$7)*OFFSET(ORÇAMENTO!$W$15,ROW(AB375)-ROW(AB$15),0),15-13*ORÇAMENTO!$AF$11)),
         0)</f>
        <v>0</v>
      </c>
      <c r="AC375" s="454">
        <f ca="1">IF(AND($D375="Serviço",AC$12&lt;&gt;0,$H375&gt;0,OR(AUTOEVENTO&lt;&gt;"manual",$M375&lt;&gt;$A$15)),
        IF(Import.TipoArredondamento&lt;&gt;"TransfereGOV",
              ROUND(OFFSET($P375,0,AC$13),15-13*ORÇAMENTO!$AF$7)/$H375*OFFSET(ORÇAMENTO!$X$15,ROW(AC375)-ROW(AC$15),0),
              ROUND(ROUND(OFFSET($P375,0,AC$13),15-13*ORÇAMENTO!$AF$7)*OFFSET(ORÇAMENTO!$W$15,ROW(AC375)-ROW(AC$15),0),15-13*ORÇAMENTO!$AF$11)),
         0)</f>
        <v>0</v>
      </c>
      <c r="AD375" s="454">
        <f ca="1">IF(AND($D375="Serviço",AD$12&lt;&gt;0,$H375&gt;0,OR(AUTOEVENTO&lt;&gt;"manual",$M375&lt;&gt;$A$15)),
        IF(Import.TipoArredondamento&lt;&gt;"TransfereGOV",
              ROUND(OFFSET($P375,0,AD$13),15-13*ORÇAMENTO!$AF$7)/$H375*OFFSET(ORÇAMENTO!$X$15,ROW(AD375)-ROW(AD$15),0),
              ROUND(ROUND(OFFSET($P375,0,AD$13),15-13*ORÇAMENTO!$AF$7)*OFFSET(ORÇAMENTO!$W$15,ROW(AD375)-ROW(AD$15),0),15-13*ORÇAMENTO!$AF$11)),
         0)</f>
        <v>0</v>
      </c>
      <c r="AE375" s="454">
        <f ca="1">IF(AND($D375="Serviço",AE$12&lt;&gt;0,$H375&gt;0,OR(AUTOEVENTO&lt;&gt;"manual",$M375&lt;&gt;$A$15)),
        IF(Import.TipoArredondamento&lt;&gt;"TransfereGOV",
              ROUND(OFFSET($P375,0,AE$13),15-13*ORÇAMENTO!$AF$7)/$H375*OFFSET(ORÇAMENTO!$X$15,ROW(AE375)-ROW(AE$15),0),
              ROUND(ROUND(OFFSET($P375,0,AE$13),15-13*ORÇAMENTO!$AF$7)*OFFSET(ORÇAMENTO!$W$15,ROW(AE375)-ROW(AE$15),0),15-13*ORÇAMENTO!$AF$11)),
         0)</f>
        <v>0</v>
      </c>
      <c r="AF375" s="454">
        <f ca="1">IF(AND($D375="Serviço",AF$12&lt;&gt;0,$H375&gt;0,OR(AUTOEVENTO&lt;&gt;"manual",$M375&lt;&gt;$A$15)),
        IF(Import.TipoArredondamento&lt;&gt;"TransfereGOV",
              ROUND(OFFSET($P375,0,AF$13),15-13*ORÇAMENTO!$AF$7)/$H375*OFFSET(ORÇAMENTO!$X$15,ROW(AF375)-ROW(AF$15),0),
              ROUND(ROUND(OFFSET($P375,0,AF$13),15-13*ORÇAMENTO!$AF$7)*OFFSET(ORÇAMENTO!$W$15,ROW(AF375)-ROW(AF$15),0),15-13*ORÇAMENTO!$AF$11)),
         0)</f>
        <v>0</v>
      </c>
      <c r="AG375" s="454">
        <f ca="1">IF(AND($D375="Serviço",AG$12&lt;&gt;0,$H375&gt;0,OR(AUTOEVENTO&lt;&gt;"manual",$M375&lt;&gt;$A$15)),
        IF(Import.TipoArredondamento&lt;&gt;"TransfereGOV",
              ROUND(OFFSET($P375,0,AG$13),15-13*ORÇAMENTO!$AF$7)/$H375*OFFSET(ORÇAMENTO!$X$15,ROW(AG375)-ROW(AG$15),0),
              ROUND(ROUND(OFFSET($P375,0,AG$13),15-13*ORÇAMENTO!$AF$7)*OFFSET(ORÇAMENTO!$W$15,ROW(AG375)-ROW(AG$15),0),15-13*ORÇAMENTO!$AF$11)),
         0)</f>
        <v>0</v>
      </c>
      <c r="AH375" s="454">
        <f ca="1">IF(AND($D375="Serviço",AH$12&lt;&gt;0,$H375&gt;0,OR(AUTOEVENTO&lt;&gt;"manual",$M375&lt;&gt;$A$15)),
        IF(Import.TipoArredondamento&lt;&gt;"TransfereGOV",
              ROUND(OFFSET($P375,0,AH$13),15-13*ORÇAMENTO!$AF$7)/$H375*OFFSET(ORÇAMENTO!$X$15,ROW(AH375)-ROW(AH$15),0),
              ROUND(ROUND(OFFSET($P375,0,AH$13),15-13*ORÇAMENTO!$AF$7)*OFFSET(ORÇAMENTO!$W$15,ROW(AH375)-ROW(AH$15),0),15-13*ORÇAMENTO!$AF$11)),
         0)</f>
        <v>0</v>
      </c>
      <c r="AI375" s="454">
        <f ca="1">IF(AND($D375="Serviço",AI$12&lt;&gt;0,$H375&gt;0,OR(AUTOEVENTO&lt;&gt;"manual",$M375&lt;&gt;$A$15)),
        IF(Import.TipoArredondamento&lt;&gt;"TransfereGOV",
              ROUND(OFFSET($P375,0,AI$13),15-13*ORÇAMENTO!$AF$7)/$H375*OFFSET(ORÇAMENTO!$X$15,ROW(AI375)-ROW(AI$15),0),
              ROUND(ROUND(OFFSET($P375,0,AI$13),15-13*ORÇAMENTO!$AF$7)*OFFSET(ORÇAMENTO!$W$15,ROW(AI375)-ROW(AI$15),0),15-13*ORÇAMENTO!$AF$11)),
         0)</f>
        <v>0</v>
      </c>
      <c r="AJ375" s="454">
        <f ca="1">IF(AND($D375="Serviço",AJ$12&lt;&gt;0,$H375&gt;0,OR(AUTOEVENTO&lt;&gt;"manual",$M375&lt;&gt;$A$15)),
        IF(Import.TipoArredondamento&lt;&gt;"TransfereGOV",
              ROUND(OFFSET($P375,0,AJ$13),15-13*ORÇAMENTO!$AF$7)/$H375*OFFSET(ORÇAMENTO!$X$15,ROW(AJ375)-ROW(AJ$15),0),
              ROUND(ROUND(OFFSET($P375,0,AJ$13),15-13*ORÇAMENTO!$AF$7)*OFFSET(ORÇAMENTO!$W$15,ROW(AJ375)-ROW(AJ$15),0),15-13*ORÇAMENTO!$AF$11)),
         0)</f>
        <v>0</v>
      </c>
      <c r="AK375" s="454">
        <f ca="1">IF(AND($D375="Serviço",AK$12&lt;&gt;0,$H375&gt;0,OR(AUTOEVENTO&lt;&gt;"manual",$M375&lt;&gt;$A$15)),
        IF(Import.TipoArredondamento&lt;&gt;"TransfereGOV",
              ROUND(OFFSET($P375,0,AK$13),15-13*ORÇAMENTO!$AF$7)/$H375*OFFSET(ORÇAMENTO!$X$15,ROW(AK375)-ROW(AK$15),0),
              ROUND(ROUND(OFFSET($P375,0,AK$13),15-13*ORÇAMENTO!$AF$7)*OFFSET(ORÇAMENTO!$W$15,ROW(AK375)-ROW(AK$15),0),15-13*ORÇAMENTO!$AF$11)),
         0)</f>
        <v>0</v>
      </c>
      <c r="AM375" s="172">
        <f ca="1">IF(OR($D375&lt;&gt;"Serviço",AND(AUTOEVENTO="Manual",$M375=$A$15)),0,
         IF(OFFSET(CRONOPLE!$F$15,$M375-$A$15,AM$13)="",10^12,OFFSET(CRONOPLE!$F$15,$M375-$A$15,AM$13)))</f>
        <v>1000000000000</v>
      </c>
      <c r="AN375" s="172">
        <f ca="1">IF(OR($D375&lt;&gt;"Serviço",AND(AUTOEVENTO="Manual",$M375=$A$15)),0,
         IF(OFFSET(CRONOPLE!$F$15,$M375-$A$15,AN$13)="",10^12,OFFSET(CRONOPLE!$F$15,$M375-$A$15,AN$13)))</f>
        <v>1000000000000</v>
      </c>
      <c r="AO375" s="172">
        <f ca="1">IF(OR($D375&lt;&gt;"Serviço",AND(AUTOEVENTO="Manual",$M375=$A$15)),0,
         IF(OFFSET(CRONOPLE!$F$15,$M375-$A$15,AO$13)="",10^12,OFFSET(CRONOPLE!$F$15,$M375-$A$15,AO$13)))</f>
        <v>1000000000000</v>
      </c>
      <c r="AP375" s="172">
        <f ca="1">IF(OR($D375&lt;&gt;"Serviço",AND(AUTOEVENTO="Manual",$M375=$A$15)),0,
         IF(OFFSET(CRONOPLE!$F$15,$M375-$A$15,AP$13)="",10^12,OFFSET(CRONOPLE!$F$15,$M375-$A$15,AP$13)))</f>
        <v>1000000000000</v>
      </c>
      <c r="AQ375" s="172">
        <f ca="1">IF(OR($D375&lt;&gt;"Serviço",AND(AUTOEVENTO="Manual",$M375=$A$15)),0,
         IF(OFFSET(CRONOPLE!$F$15,$M375-$A$15,AQ$13)="",10^12,OFFSET(CRONOPLE!$F$15,$M375-$A$15,AQ$13)))</f>
        <v>1000000000000</v>
      </c>
      <c r="AR375" s="172">
        <f ca="1">IF(OR($D375&lt;&gt;"Serviço",AND(AUTOEVENTO="Manual",$M375=$A$15)),0,
         IF(OFFSET(CRONOPLE!$F$15,$M375-$A$15,AR$13)="",10^12,OFFSET(CRONOPLE!$F$15,$M375-$A$15,AR$13)))</f>
        <v>1000000000000</v>
      </c>
      <c r="AS375" s="172">
        <f ca="1">IF(OR($D375&lt;&gt;"Serviço",AND(AUTOEVENTO="Manual",$M375=$A$15)),0,
         IF(OFFSET(CRONOPLE!$F$15,$M375-$A$15,AS$13)="",10^12,OFFSET(CRONOPLE!$F$15,$M375-$A$15,AS$13)))</f>
        <v>1000000000000</v>
      </c>
      <c r="AT375" s="172">
        <f ca="1">IF(OR($D375&lt;&gt;"Serviço",AND(AUTOEVENTO="Manual",$M375=$A$15)),0,
         IF(OFFSET(CRONOPLE!$F$15,$M375-$A$15,AT$13)="",10^12,OFFSET(CRONOPLE!$F$15,$M375-$A$15,AT$13)))</f>
        <v>1000000000000</v>
      </c>
      <c r="AU375" s="172">
        <f ca="1">IF(OR($D375&lt;&gt;"Serviço",AND(AUTOEVENTO="Manual",$M375=$A$15)),0,
         IF(OFFSET(CRONOPLE!$F$15,$M375-$A$15,AU$13)="",10^12,OFFSET(CRONOPLE!$F$15,$M375-$A$15,AU$13)))</f>
        <v>1000000000000</v>
      </c>
      <c r="AV375" s="172">
        <f ca="1">IF(OR($D375&lt;&gt;"Serviço",AND(AUTOEVENTO="Manual",$M375=$A$15)),0,
         IF(OFFSET(CRONOPLE!$F$15,$M375-$A$15,AV$13)="",10^12,OFFSET(CRONOPLE!$F$15,$M375-$A$15,AV$13)))</f>
        <v>1000000000000</v>
      </c>
      <c r="AX375" s="173">
        <f ca="1">IF(OR($D375&lt;&gt;"Serviço",AND(AUTOEVENTO="Manual",$M375=$A$15),$M375&gt;(ROW(PLE.lastrow)-ROW(PLE.firstrow))),0,
           IF(OFFSET(PLE!$G$15,$M375-$A$15,AX$13)="",10^12,OFFSET(PLE!$G$15,$M375-$A$15,AX$13)))</f>
        <v>1000000000000</v>
      </c>
      <c r="AY375" s="173">
        <f ca="1">IF(OR($D375&lt;&gt;"Serviço",AND(AUTOEVENTO="Manual",$M375=$A$15),$M375&gt;(ROW(PLE.lastrow)-ROW(PLE.firstrow))),0,
           IF(OFFSET(PLE!$G$15,$M375-$A$15,AY$13)="",10^12,OFFSET(PLE!$G$15,$M375-$A$15,AY$13)))</f>
        <v>1000000000000</v>
      </c>
      <c r="AZ375" s="173">
        <f ca="1">IF(OR($D375&lt;&gt;"Serviço",AND(AUTOEVENTO="Manual",$M375=$A$15),$M375&gt;(ROW(PLE.lastrow)-ROW(PLE.firstrow))),0,
           IF(OFFSET(PLE!$G$15,$M375-$A$15,AZ$13)="",10^12,OFFSET(PLE!$G$15,$M375-$A$15,AZ$13)))</f>
        <v>1000000000000</v>
      </c>
      <c r="BA375" s="173">
        <f ca="1">IF(OR($D375&lt;&gt;"Serviço",AND(AUTOEVENTO="Manual",$M375=$A$15),$M375&gt;(ROW(PLE.lastrow)-ROW(PLE.firstrow))),0,
           IF(OFFSET(PLE!$G$15,$M375-$A$15,BA$13)="",10^12,OFFSET(PLE!$G$15,$M375-$A$15,BA$13)))</f>
        <v>1000000000000</v>
      </c>
      <c r="BB375" s="173">
        <f ca="1">IF(OR($D375&lt;&gt;"Serviço",AND(AUTOEVENTO="Manual",$M375=$A$15),$M375&gt;(ROW(PLE.lastrow)-ROW(PLE.firstrow))),0,
           IF(OFFSET(PLE!$G$15,$M375-$A$15,BB$13)="",10^12,OFFSET(PLE!$G$15,$M375-$A$15,BB$13)))</f>
        <v>1000000000000</v>
      </c>
      <c r="BC375" s="173">
        <f ca="1">IF(OR($D375&lt;&gt;"Serviço",AND(AUTOEVENTO="Manual",$M375=$A$15),$M375&gt;(ROW(PLE.lastrow)-ROW(PLE.firstrow))),0,
           IF(OFFSET(PLE!$G$15,$M375-$A$15,BC$13)="",10^12,OFFSET(PLE!$G$15,$M375-$A$15,BC$13)))</f>
        <v>1000000000000</v>
      </c>
      <c r="BD375" s="173">
        <f ca="1">IF(OR($D375&lt;&gt;"Serviço",AND(AUTOEVENTO="Manual",$M375=$A$15),$M375&gt;(ROW(PLE.lastrow)-ROW(PLE.firstrow))),0,
           IF(OFFSET(PLE!$G$15,$M375-$A$15,BD$13)="",10^12,OFFSET(PLE!$G$15,$M375-$A$15,BD$13)))</f>
        <v>1000000000000</v>
      </c>
      <c r="BE375" s="173">
        <f ca="1">IF(OR($D375&lt;&gt;"Serviço",AND(AUTOEVENTO="Manual",$M375=$A$15),$M375&gt;(ROW(PLE.lastrow)-ROW(PLE.firstrow))),0,
           IF(OFFSET(PLE!$G$15,$M375-$A$15,BE$13)="",10^12,OFFSET(PLE!$G$15,$M375-$A$15,BE$13)))</f>
        <v>1000000000000</v>
      </c>
      <c r="BF375" s="173">
        <f ca="1">IF(OR($D375&lt;&gt;"Serviço",AND(AUTOEVENTO="Manual",$M375=$A$15),$M375&gt;(ROW(PLE.lastrow)-ROW(PLE.firstrow))),0,
           IF(OFFSET(PLE!$G$15,$M375-$A$15,BF$13)="",10^12,OFFSET(PLE!$G$15,$M375-$A$15,BF$13)))</f>
        <v>1000000000000</v>
      </c>
      <c r="BG375" s="173">
        <f ca="1">IF(OR($D375&lt;&gt;"Serviço",AND(AUTOEVENTO="Manual",$M375=$A$15),$M375&gt;(ROW(PLE.lastrow)-ROW(PLE.firstrow))),0,
           IF(OFFSET(PLE!$G$15,$M375-$A$15,BG$13)="",10^12,OFFSET(PLE!$G$15,$M375-$A$15,BG$13)))</f>
        <v>1000000000000</v>
      </c>
    </row>
    <row r="376" spans="1:59" ht="12.75" x14ac:dyDescent="0.2">
      <c r="A376" s="7" t="str">
        <f t="shared" ca="1" si="13"/>
        <v>355</v>
      </c>
      <c r="B376" s="7" t="str">
        <f ca="1">OFFSET(ORÇAMENTO!C$15,ROW(B376)-ROW(B$15),0)</f>
        <v>S</v>
      </c>
      <c r="C376" s="7" t="str">
        <f ca="1">OFFSET(ORÇAMENTO!L$15,ROW(C376)-ROW(C$15),0)</f>
        <v/>
      </c>
      <c r="D376" s="117" t="str">
        <f ca="1">OFFSET(ORÇAMENTO!N$15,ROW(D376)-ROW(D$15),0)</f>
        <v>Serviço</v>
      </c>
      <c r="E376" s="118" t="str">
        <f ca="1">OFFSET(ORÇAMENTO!O$15,ROW(E376)-ROW(E$15),0)</f>
        <v>-</v>
      </c>
      <c r="F376" s="164" t="str">
        <f ca="1">OFFSET(ORÇAMENTO!R$15,ROW(F376)-ROW(F$15),0)</f>
        <v>PEDESTAL EM AÇO PARA MAPA TÁTIL</v>
      </c>
      <c r="G376" s="165" t="str">
        <f ca="1">IF($D376&lt;&gt;"Serviço","",OFFSET(ORÇAMENTO!S$15,ROW(G376)-ROW(G$15),0))</f>
        <v>UN</v>
      </c>
      <c r="H376" s="123">
        <f ca="1">IF($D376&lt;&gt;"Serviço",0,IF(ACOMPANHAMENTO="BM",ROUND(OFFSET(ORÇAMENTO!AJ$15,ROW(H376)-ROW(H$15),0),15-13*ORÇAMENTO!$AF$7),SUMPRODUCT(($Q$1:$AA$1=1)*ROUND($Q376:$AA376,15-13*ORÇAMENTO!$AF$7))))</f>
        <v>1</v>
      </c>
      <c r="I376" s="469"/>
      <c r="J376" s="577" t="str" cm="1">
        <f t="array" aca="1" ref="J376" ca="1">IF(B376&lt;&gt;"S","",IF(AND(ACOMPANHAMENTO="PLE",AUTOEVENTO="Manual",OR(H376&gt;0,ORÇAMENTO!AC376="QUANT."),OR(K376="",M376=0,N376="")),"►",IF(AND(ACOMPANHAMENTO="PLE",ORÇAMENTO!AC376="QUANT."),"►►",IF(AND(COUNTIF($P$11:$AA$11,"▼")=0,H376&gt;0,I376=""),"◄",""))))</f>
        <v>◄</v>
      </c>
      <c r="K376" s="626"/>
      <c r="L376" s="166" t="s">
        <v>765</v>
      </c>
      <c r="M376" s="167">
        <f ca="1">IF($D376&lt;&gt;"Serviço","",
          IF(AUTOEVENTO="manual",$A376,
                IF(ISERROR(MATCH($A376,$A$15:OFFSET($A376,-1,0),0)),MAX($M$15:OFFSET(M376,-1,0))+1,
                      INDEX($M$15:OFFSET(M376,-1,0),MATCH($A376,$A$15:OFFSET($A376,-1,0),0)))))</f>
        <v>20</v>
      </c>
      <c r="N376" s="168" t="str">
        <f ca="1">IF($D376&lt;&gt;"Serviço","",
         IF(AUTOEVENTO="Manual",
                IF($A376=0,"&lt;-- defina o número do agrupador",
                       OFFSET(EVENTOS!$D$15,$A376-$A$15,0)),
                OFFSET($F$15,$A376,0)))</f>
        <v>ACESSIBILIDADE</v>
      </c>
      <c r="O376" s="169"/>
      <c r="Q376" s="169"/>
      <c r="R376" s="170"/>
      <c r="S376" s="170"/>
      <c r="T376" s="170"/>
      <c r="U376" s="170"/>
      <c r="V376" s="170"/>
      <c r="W376" s="170"/>
      <c r="X376" s="170"/>
      <c r="Y376" s="170"/>
      <c r="Z376" s="171"/>
      <c r="AB376" s="454">
        <f ca="1">IF(AND($D376="Serviço",AB$12&lt;&gt;0,$H376&gt;0,OR(AUTOEVENTO&lt;&gt;"manual",$M376&lt;&gt;$A$15)),
        IF(Import.TipoArredondamento&lt;&gt;"TransfereGOV",
              ROUND(OFFSET($P376,0,AB$13),15-13*ORÇAMENTO!$AF$7)/$H376*OFFSET(ORÇAMENTO!$X$15,ROW(AB376)-ROW(AB$15),0),
              ROUND(ROUND(OFFSET($P376,0,AB$13),15-13*ORÇAMENTO!$AF$7)*OFFSET(ORÇAMENTO!$W$15,ROW(AB376)-ROW(AB$15),0),15-13*ORÇAMENTO!$AF$11)),
         0)</f>
        <v>0</v>
      </c>
      <c r="AC376" s="454">
        <f ca="1">IF(AND($D376="Serviço",AC$12&lt;&gt;0,$H376&gt;0,OR(AUTOEVENTO&lt;&gt;"manual",$M376&lt;&gt;$A$15)),
        IF(Import.TipoArredondamento&lt;&gt;"TransfereGOV",
              ROUND(OFFSET($P376,0,AC$13),15-13*ORÇAMENTO!$AF$7)/$H376*OFFSET(ORÇAMENTO!$X$15,ROW(AC376)-ROW(AC$15),0),
              ROUND(ROUND(OFFSET($P376,0,AC$13),15-13*ORÇAMENTO!$AF$7)*OFFSET(ORÇAMENTO!$W$15,ROW(AC376)-ROW(AC$15),0),15-13*ORÇAMENTO!$AF$11)),
         0)</f>
        <v>0</v>
      </c>
      <c r="AD376" s="454">
        <f ca="1">IF(AND($D376="Serviço",AD$12&lt;&gt;0,$H376&gt;0,OR(AUTOEVENTO&lt;&gt;"manual",$M376&lt;&gt;$A$15)),
        IF(Import.TipoArredondamento&lt;&gt;"TransfereGOV",
              ROUND(OFFSET($P376,0,AD$13),15-13*ORÇAMENTO!$AF$7)/$H376*OFFSET(ORÇAMENTO!$X$15,ROW(AD376)-ROW(AD$15),0),
              ROUND(ROUND(OFFSET($P376,0,AD$13),15-13*ORÇAMENTO!$AF$7)*OFFSET(ORÇAMENTO!$W$15,ROW(AD376)-ROW(AD$15),0),15-13*ORÇAMENTO!$AF$11)),
         0)</f>
        <v>0</v>
      </c>
      <c r="AE376" s="454">
        <f ca="1">IF(AND($D376="Serviço",AE$12&lt;&gt;0,$H376&gt;0,OR(AUTOEVENTO&lt;&gt;"manual",$M376&lt;&gt;$A$15)),
        IF(Import.TipoArredondamento&lt;&gt;"TransfereGOV",
              ROUND(OFFSET($P376,0,AE$13),15-13*ORÇAMENTO!$AF$7)/$H376*OFFSET(ORÇAMENTO!$X$15,ROW(AE376)-ROW(AE$15),0),
              ROUND(ROUND(OFFSET($P376,0,AE$13),15-13*ORÇAMENTO!$AF$7)*OFFSET(ORÇAMENTO!$W$15,ROW(AE376)-ROW(AE$15),0),15-13*ORÇAMENTO!$AF$11)),
         0)</f>
        <v>0</v>
      </c>
      <c r="AF376" s="454">
        <f ca="1">IF(AND($D376="Serviço",AF$12&lt;&gt;0,$H376&gt;0,OR(AUTOEVENTO&lt;&gt;"manual",$M376&lt;&gt;$A$15)),
        IF(Import.TipoArredondamento&lt;&gt;"TransfereGOV",
              ROUND(OFFSET($P376,0,AF$13),15-13*ORÇAMENTO!$AF$7)/$H376*OFFSET(ORÇAMENTO!$X$15,ROW(AF376)-ROW(AF$15),0),
              ROUND(ROUND(OFFSET($P376,0,AF$13),15-13*ORÇAMENTO!$AF$7)*OFFSET(ORÇAMENTO!$W$15,ROW(AF376)-ROW(AF$15),0),15-13*ORÇAMENTO!$AF$11)),
         0)</f>
        <v>0</v>
      </c>
      <c r="AG376" s="454">
        <f ca="1">IF(AND($D376="Serviço",AG$12&lt;&gt;0,$H376&gt;0,OR(AUTOEVENTO&lt;&gt;"manual",$M376&lt;&gt;$A$15)),
        IF(Import.TipoArredondamento&lt;&gt;"TransfereGOV",
              ROUND(OFFSET($P376,0,AG$13),15-13*ORÇAMENTO!$AF$7)/$H376*OFFSET(ORÇAMENTO!$X$15,ROW(AG376)-ROW(AG$15),0),
              ROUND(ROUND(OFFSET($P376,0,AG$13),15-13*ORÇAMENTO!$AF$7)*OFFSET(ORÇAMENTO!$W$15,ROW(AG376)-ROW(AG$15),0),15-13*ORÇAMENTO!$AF$11)),
         0)</f>
        <v>0</v>
      </c>
      <c r="AH376" s="454">
        <f ca="1">IF(AND($D376="Serviço",AH$12&lt;&gt;0,$H376&gt;0,OR(AUTOEVENTO&lt;&gt;"manual",$M376&lt;&gt;$A$15)),
        IF(Import.TipoArredondamento&lt;&gt;"TransfereGOV",
              ROUND(OFFSET($P376,0,AH$13),15-13*ORÇAMENTO!$AF$7)/$H376*OFFSET(ORÇAMENTO!$X$15,ROW(AH376)-ROW(AH$15),0),
              ROUND(ROUND(OFFSET($P376,0,AH$13),15-13*ORÇAMENTO!$AF$7)*OFFSET(ORÇAMENTO!$W$15,ROW(AH376)-ROW(AH$15),0),15-13*ORÇAMENTO!$AF$11)),
         0)</f>
        <v>0</v>
      </c>
      <c r="AI376" s="454">
        <f ca="1">IF(AND($D376="Serviço",AI$12&lt;&gt;0,$H376&gt;0,OR(AUTOEVENTO&lt;&gt;"manual",$M376&lt;&gt;$A$15)),
        IF(Import.TipoArredondamento&lt;&gt;"TransfereGOV",
              ROUND(OFFSET($P376,0,AI$13),15-13*ORÇAMENTO!$AF$7)/$H376*OFFSET(ORÇAMENTO!$X$15,ROW(AI376)-ROW(AI$15),0),
              ROUND(ROUND(OFFSET($P376,0,AI$13),15-13*ORÇAMENTO!$AF$7)*OFFSET(ORÇAMENTO!$W$15,ROW(AI376)-ROW(AI$15),0),15-13*ORÇAMENTO!$AF$11)),
         0)</f>
        <v>0</v>
      </c>
      <c r="AJ376" s="454">
        <f ca="1">IF(AND($D376="Serviço",AJ$12&lt;&gt;0,$H376&gt;0,OR(AUTOEVENTO&lt;&gt;"manual",$M376&lt;&gt;$A$15)),
        IF(Import.TipoArredondamento&lt;&gt;"TransfereGOV",
              ROUND(OFFSET($P376,0,AJ$13),15-13*ORÇAMENTO!$AF$7)/$H376*OFFSET(ORÇAMENTO!$X$15,ROW(AJ376)-ROW(AJ$15),0),
              ROUND(ROUND(OFFSET($P376,0,AJ$13),15-13*ORÇAMENTO!$AF$7)*OFFSET(ORÇAMENTO!$W$15,ROW(AJ376)-ROW(AJ$15),0),15-13*ORÇAMENTO!$AF$11)),
         0)</f>
        <v>0</v>
      </c>
      <c r="AK376" s="454">
        <f ca="1">IF(AND($D376="Serviço",AK$12&lt;&gt;0,$H376&gt;0,OR(AUTOEVENTO&lt;&gt;"manual",$M376&lt;&gt;$A$15)),
        IF(Import.TipoArredondamento&lt;&gt;"TransfereGOV",
              ROUND(OFFSET($P376,0,AK$13),15-13*ORÇAMENTO!$AF$7)/$H376*OFFSET(ORÇAMENTO!$X$15,ROW(AK376)-ROW(AK$15),0),
              ROUND(ROUND(OFFSET($P376,0,AK$13),15-13*ORÇAMENTO!$AF$7)*OFFSET(ORÇAMENTO!$W$15,ROW(AK376)-ROW(AK$15),0),15-13*ORÇAMENTO!$AF$11)),
         0)</f>
        <v>0</v>
      </c>
      <c r="AM376" s="172">
        <f ca="1">IF(OR($D376&lt;&gt;"Serviço",AND(AUTOEVENTO="Manual",$M376=$A$15)),0,
         IF(OFFSET(CRONOPLE!$F$15,$M376-$A$15,AM$13)="",10^12,OFFSET(CRONOPLE!$F$15,$M376-$A$15,AM$13)))</f>
        <v>1000000000000</v>
      </c>
      <c r="AN376" s="172">
        <f ca="1">IF(OR($D376&lt;&gt;"Serviço",AND(AUTOEVENTO="Manual",$M376=$A$15)),0,
         IF(OFFSET(CRONOPLE!$F$15,$M376-$A$15,AN$13)="",10^12,OFFSET(CRONOPLE!$F$15,$M376-$A$15,AN$13)))</f>
        <v>1000000000000</v>
      </c>
      <c r="AO376" s="172">
        <f ca="1">IF(OR($D376&lt;&gt;"Serviço",AND(AUTOEVENTO="Manual",$M376=$A$15)),0,
         IF(OFFSET(CRONOPLE!$F$15,$M376-$A$15,AO$13)="",10^12,OFFSET(CRONOPLE!$F$15,$M376-$A$15,AO$13)))</f>
        <v>1000000000000</v>
      </c>
      <c r="AP376" s="172">
        <f ca="1">IF(OR($D376&lt;&gt;"Serviço",AND(AUTOEVENTO="Manual",$M376=$A$15)),0,
         IF(OFFSET(CRONOPLE!$F$15,$M376-$A$15,AP$13)="",10^12,OFFSET(CRONOPLE!$F$15,$M376-$A$15,AP$13)))</f>
        <v>1000000000000</v>
      </c>
      <c r="AQ376" s="172">
        <f ca="1">IF(OR($D376&lt;&gt;"Serviço",AND(AUTOEVENTO="Manual",$M376=$A$15)),0,
         IF(OFFSET(CRONOPLE!$F$15,$M376-$A$15,AQ$13)="",10^12,OFFSET(CRONOPLE!$F$15,$M376-$A$15,AQ$13)))</f>
        <v>1000000000000</v>
      </c>
      <c r="AR376" s="172">
        <f ca="1">IF(OR($D376&lt;&gt;"Serviço",AND(AUTOEVENTO="Manual",$M376=$A$15)),0,
         IF(OFFSET(CRONOPLE!$F$15,$M376-$A$15,AR$13)="",10^12,OFFSET(CRONOPLE!$F$15,$M376-$A$15,AR$13)))</f>
        <v>1000000000000</v>
      </c>
      <c r="AS376" s="172">
        <f ca="1">IF(OR($D376&lt;&gt;"Serviço",AND(AUTOEVENTO="Manual",$M376=$A$15)),0,
         IF(OFFSET(CRONOPLE!$F$15,$M376-$A$15,AS$13)="",10^12,OFFSET(CRONOPLE!$F$15,$M376-$A$15,AS$13)))</f>
        <v>1000000000000</v>
      </c>
      <c r="AT376" s="172">
        <f ca="1">IF(OR($D376&lt;&gt;"Serviço",AND(AUTOEVENTO="Manual",$M376=$A$15)),0,
         IF(OFFSET(CRONOPLE!$F$15,$M376-$A$15,AT$13)="",10^12,OFFSET(CRONOPLE!$F$15,$M376-$A$15,AT$13)))</f>
        <v>1000000000000</v>
      </c>
      <c r="AU376" s="172">
        <f ca="1">IF(OR($D376&lt;&gt;"Serviço",AND(AUTOEVENTO="Manual",$M376=$A$15)),0,
         IF(OFFSET(CRONOPLE!$F$15,$M376-$A$15,AU$13)="",10^12,OFFSET(CRONOPLE!$F$15,$M376-$A$15,AU$13)))</f>
        <v>1000000000000</v>
      </c>
      <c r="AV376" s="172">
        <f ca="1">IF(OR($D376&lt;&gt;"Serviço",AND(AUTOEVENTO="Manual",$M376=$A$15)),0,
         IF(OFFSET(CRONOPLE!$F$15,$M376-$A$15,AV$13)="",10^12,OFFSET(CRONOPLE!$F$15,$M376-$A$15,AV$13)))</f>
        <v>1000000000000</v>
      </c>
      <c r="AX376" s="173">
        <f ca="1">IF(OR($D376&lt;&gt;"Serviço",AND(AUTOEVENTO="Manual",$M376=$A$15),$M376&gt;(ROW(PLE.lastrow)-ROW(PLE.firstrow))),0,
           IF(OFFSET(PLE!$G$15,$M376-$A$15,AX$13)="",10^12,OFFSET(PLE!$G$15,$M376-$A$15,AX$13)))</f>
        <v>1000000000000</v>
      </c>
      <c r="AY376" s="173">
        <f ca="1">IF(OR($D376&lt;&gt;"Serviço",AND(AUTOEVENTO="Manual",$M376=$A$15),$M376&gt;(ROW(PLE.lastrow)-ROW(PLE.firstrow))),0,
           IF(OFFSET(PLE!$G$15,$M376-$A$15,AY$13)="",10^12,OFFSET(PLE!$G$15,$M376-$A$15,AY$13)))</f>
        <v>1000000000000</v>
      </c>
      <c r="AZ376" s="173">
        <f ca="1">IF(OR($D376&lt;&gt;"Serviço",AND(AUTOEVENTO="Manual",$M376=$A$15),$M376&gt;(ROW(PLE.lastrow)-ROW(PLE.firstrow))),0,
           IF(OFFSET(PLE!$G$15,$M376-$A$15,AZ$13)="",10^12,OFFSET(PLE!$G$15,$M376-$A$15,AZ$13)))</f>
        <v>1000000000000</v>
      </c>
      <c r="BA376" s="173">
        <f ca="1">IF(OR($D376&lt;&gt;"Serviço",AND(AUTOEVENTO="Manual",$M376=$A$15),$M376&gt;(ROW(PLE.lastrow)-ROW(PLE.firstrow))),0,
           IF(OFFSET(PLE!$G$15,$M376-$A$15,BA$13)="",10^12,OFFSET(PLE!$G$15,$M376-$A$15,BA$13)))</f>
        <v>1000000000000</v>
      </c>
      <c r="BB376" s="173">
        <f ca="1">IF(OR($D376&lt;&gt;"Serviço",AND(AUTOEVENTO="Manual",$M376=$A$15),$M376&gt;(ROW(PLE.lastrow)-ROW(PLE.firstrow))),0,
           IF(OFFSET(PLE!$G$15,$M376-$A$15,BB$13)="",10^12,OFFSET(PLE!$G$15,$M376-$A$15,BB$13)))</f>
        <v>1000000000000</v>
      </c>
      <c r="BC376" s="173">
        <f ca="1">IF(OR($D376&lt;&gt;"Serviço",AND(AUTOEVENTO="Manual",$M376=$A$15),$M376&gt;(ROW(PLE.lastrow)-ROW(PLE.firstrow))),0,
           IF(OFFSET(PLE!$G$15,$M376-$A$15,BC$13)="",10^12,OFFSET(PLE!$G$15,$M376-$A$15,BC$13)))</f>
        <v>1000000000000</v>
      </c>
      <c r="BD376" s="173">
        <f ca="1">IF(OR($D376&lt;&gt;"Serviço",AND(AUTOEVENTO="Manual",$M376=$A$15),$M376&gt;(ROW(PLE.lastrow)-ROW(PLE.firstrow))),0,
           IF(OFFSET(PLE!$G$15,$M376-$A$15,BD$13)="",10^12,OFFSET(PLE!$G$15,$M376-$A$15,BD$13)))</f>
        <v>1000000000000</v>
      </c>
      <c r="BE376" s="173">
        <f ca="1">IF(OR($D376&lt;&gt;"Serviço",AND(AUTOEVENTO="Manual",$M376=$A$15),$M376&gt;(ROW(PLE.lastrow)-ROW(PLE.firstrow))),0,
           IF(OFFSET(PLE!$G$15,$M376-$A$15,BE$13)="",10^12,OFFSET(PLE!$G$15,$M376-$A$15,BE$13)))</f>
        <v>1000000000000</v>
      </c>
      <c r="BF376" s="173">
        <f ca="1">IF(OR($D376&lt;&gt;"Serviço",AND(AUTOEVENTO="Manual",$M376=$A$15),$M376&gt;(ROW(PLE.lastrow)-ROW(PLE.firstrow))),0,
           IF(OFFSET(PLE!$G$15,$M376-$A$15,BF$13)="",10^12,OFFSET(PLE!$G$15,$M376-$A$15,BF$13)))</f>
        <v>1000000000000</v>
      </c>
      <c r="BG376" s="173">
        <f ca="1">IF(OR($D376&lt;&gt;"Serviço",AND(AUTOEVENTO="Manual",$M376=$A$15),$M376&gt;(ROW(PLE.lastrow)-ROW(PLE.firstrow))),0,
           IF(OFFSET(PLE!$G$15,$M376-$A$15,BG$13)="",10^12,OFFSET(PLE!$G$15,$M376-$A$15,BG$13)))</f>
        <v>1000000000000</v>
      </c>
    </row>
    <row r="377" spans="1:59" ht="12.75" x14ac:dyDescent="0.2">
      <c r="A377" s="7" t="str">
        <f t="shared" ca="1" si="13"/>
        <v>355</v>
      </c>
      <c r="B377" s="7" t="str">
        <f ca="1">OFFSET(ORÇAMENTO!C$15,ROW(B377)-ROW(B$15),0)</f>
        <v>S</v>
      </c>
      <c r="C377" s="7" t="str">
        <f ca="1">OFFSET(ORÇAMENTO!L$15,ROW(C377)-ROW(C$15),0)</f>
        <v/>
      </c>
      <c r="D377" s="117" t="str">
        <f ca="1">OFFSET(ORÇAMENTO!N$15,ROW(D377)-ROW(D$15),0)</f>
        <v>Serviço</v>
      </c>
      <c r="E377" s="118" t="str">
        <f ca="1">OFFSET(ORÇAMENTO!O$15,ROW(E377)-ROW(E$15),0)</f>
        <v>-</v>
      </c>
      <c r="F377" s="164" t="str">
        <f ca="1">OFFSET(ORÇAMENTO!R$15,ROW(F377)-ROW(F$15),0)</f>
        <v>PLACAS DE SINALIZAÇÃO EM BRAILLE</v>
      </c>
      <c r="G377" s="165" t="str">
        <f ca="1">IF($D377&lt;&gt;"Serviço","",OFFSET(ORÇAMENTO!S$15,ROW(G377)-ROW(G$15),0))</f>
        <v>CJ</v>
      </c>
      <c r="H377" s="123">
        <f ca="1">IF($D377&lt;&gt;"Serviço",0,IF(ACOMPANHAMENTO="BM",ROUND(OFFSET(ORÇAMENTO!AJ$15,ROW(H377)-ROW(H$15),0),15-13*ORÇAMENTO!$AF$7),SUMPRODUCT(($Q$1:$AA$1=1)*ROUND($Q377:$AA377,15-13*ORÇAMENTO!$AF$7))))</f>
        <v>1</v>
      </c>
      <c r="I377" s="469"/>
      <c r="J377" s="577" t="str" cm="1">
        <f t="array" aca="1" ref="J377" ca="1">IF(B377&lt;&gt;"S","",IF(AND(ACOMPANHAMENTO="PLE",AUTOEVENTO="Manual",OR(H377&gt;0,ORÇAMENTO!AC377="QUANT."),OR(K377="",M377=0,N377="")),"►",IF(AND(ACOMPANHAMENTO="PLE",ORÇAMENTO!AC377="QUANT."),"►►",IF(AND(COUNTIF($P$11:$AA$11,"▼")=0,H377&gt;0,I377=""),"◄",""))))</f>
        <v>◄</v>
      </c>
      <c r="K377" s="626"/>
      <c r="L377" s="166" t="s">
        <v>765</v>
      </c>
      <c r="M377" s="167">
        <f ca="1">IF($D377&lt;&gt;"Serviço","",
          IF(AUTOEVENTO="manual",$A377,
                IF(ISERROR(MATCH($A377,$A$15:OFFSET($A377,-1,0),0)),MAX($M$15:OFFSET(M377,-1,0))+1,
                      INDEX($M$15:OFFSET(M377,-1,0),MATCH($A377,$A$15:OFFSET($A377,-1,0),0)))))</f>
        <v>20</v>
      </c>
      <c r="N377" s="168" t="str">
        <f ca="1">IF($D377&lt;&gt;"Serviço","",
         IF(AUTOEVENTO="Manual",
                IF($A377=0,"&lt;-- defina o número do agrupador",
                       OFFSET(EVENTOS!$D$15,$A377-$A$15,0)),
                OFFSET($F$15,$A377,0)))</f>
        <v>ACESSIBILIDADE</v>
      </c>
      <c r="O377" s="169"/>
      <c r="Q377" s="169"/>
      <c r="R377" s="170"/>
      <c r="S377" s="170"/>
      <c r="T377" s="170"/>
      <c r="U377" s="170"/>
      <c r="V377" s="170"/>
      <c r="W377" s="170"/>
      <c r="X377" s="170"/>
      <c r="Y377" s="170"/>
      <c r="Z377" s="171"/>
      <c r="AB377" s="454">
        <f ca="1">IF(AND($D377="Serviço",AB$12&lt;&gt;0,$H377&gt;0,OR(AUTOEVENTO&lt;&gt;"manual",$M377&lt;&gt;$A$15)),
        IF(Import.TipoArredondamento&lt;&gt;"TransfereGOV",
              ROUND(OFFSET($P377,0,AB$13),15-13*ORÇAMENTO!$AF$7)/$H377*OFFSET(ORÇAMENTO!$X$15,ROW(AB377)-ROW(AB$15),0),
              ROUND(ROUND(OFFSET($P377,0,AB$13),15-13*ORÇAMENTO!$AF$7)*OFFSET(ORÇAMENTO!$W$15,ROW(AB377)-ROW(AB$15),0),15-13*ORÇAMENTO!$AF$11)),
         0)</f>
        <v>0</v>
      </c>
      <c r="AC377" s="454">
        <f ca="1">IF(AND($D377="Serviço",AC$12&lt;&gt;0,$H377&gt;0,OR(AUTOEVENTO&lt;&gt;"manual",$M377&lt;&gt;$A$15)),
        IF(Import.TipoArredondamento&lt;&gt;"TransfereGOV",
              ROUND(OFFSET($P377,0,AC$13),15-13*ORÇAMENTO!$AF$7)/$H377*OFFSET(ORÇAMENTO!$X$15,ROW(AC377)-ROW(AC$15),0),
              ROUND(ROUND(OFFSET($P377,0,AC$13),15-13*ORÇAMENTO!$AF$7)*OFFSET(ORÇAMENTO!$W$15,ROW(AC377)-ROW(AC$15),0),15-13*ORÇAMENTO!$AF$11)),
         0)</f>
        <v>0</v>
      </c>
      <c r="AD377" s="454">
        <f ca="1">IF(AND($D377="Serviço",AD$12&lt;&gt;0,$H377&gt;0,OR(AUTOEVENTO&lt;&gt;"manual",$M377&lt;&gt;$A$15)),
        IF(Import.TipoArredondamento&lt;&gt;"TransfereGOV",
              ROUND(OFFSET($P377,0,AD$13),15-13*ORÇAMENTO!$AF$7)/$H377*OFFSET(ORÇAMENTO!$X$15,ROW(AD377)-ROW(AD$15),0),
              ROUND(ROUND(OFFSET($P377,0,AD$13),15-13*ORÇAMENTO!$AF$7)*OFFSET(ORÇAMENTO!$W$15,ROW(AD377)-ROW(AD$15),0),15-13*ORÇAMENTO!$AF$11)),
         0)</f>
        <v>0</v>
      </c>
      <c r="AE377" s="454">
        <f ca="1">IF(AND($D377="Serviço",AE$12&lt;&gt;0,$H377&gt;0,OR(AUTOEVENTO&lt;&gt;"manual",$M377&lt;&gt;$A$15)),
        IF(Import.TipoArredondamento&lt;&gt;"TransfereGOV",
              ROUND(OFFSET($P377,0,AE$13),15-13*ORÇAMENTO!$AF$7)/$H377*OFFSET(ORÇAMENTO!$X$15,ROW(AE377)-ROW(AE$15),0),
              ROUND(ROUND(OFFSET($P377,0,AE$13),15-13*ORÇAMENTO!$AF$7)*OFFSET(ORÇAMENTO!$W$15,ROW(AE377)-ROW(AE$15),0),15-13*ORÇAMENTO!$AF$11)),
         0)</f>
        <v>0</v>
      </c>
      <c r="AF377" s="454">
        <f ca="1">IF(AND($D377="Serviço",AF$12&lt;&gt;0,$H377&gt;0,OR(AUTOEVENTO&lt;&gt;"manual",$M377&lt;&gt;$A$15)),
        IF(Import.TipoArredondamento&lt;&gt;"TransfereGOV",
              ROUND(OFFSET($P377,0,AF$13),15-13*ORÇAMENTO!$AF$7)/$H377*OFFSET(ORÇAMENTO!$X$15,ROW(AF377)-ROW(AF$15),0),
              ROUND(ROUND(OFFSET($P377,0,AF$13),15-13*ORÇAMENTO!$AF$7)*OFFSET(ORÇAMENTO!$W$15,ROW(AF377)-ROW(AF$15),0),15-13*ORÇAMENTO!$AF$11)),
         0)</f>
        <v>0</v>
      </c>
      <c r="AG377" s="454">
        <f ca="1">IF(AND($D377="Serviço",AG$12&lt;&gt;0,$H377&gt;0,OR(AUTOEVENTO&lt;&gt;"manual",$M377&lt;&gt;$A$15)),
        IF(Import.TipoArredondamento&lt;&gt;"TransfereGOV",
              ROUND(OFFSET($P377,0,AG$13),15-13*ORÇAMENTO!$AF$7)/$H377*OFFSET(ORÇAMENTO!$X$15,ROW(AG377)-ROW(AG$15),0),
              ROUND(ROUND(OFFSET($P377,0,AG$13),15-13*ORÇAMENTO!$AF$7)*OFFSET(ORÇAMENTO!$W$15,ROW(AG377)-ROW(AG$15),0),15-13*ORÇAMENTO!$AF$11)),
         0)</f>
        <v>0</v>
      </c>
      <c r="AH377" s="454">
        <f ca="1">IF(AND($D377="Serviço",AH$12&lt;&gt;0,$H377&gt;0,OR(AUTOEVENTO&lt;&gt;"manual",$M377&lt;&gt;$A$15)),
        IF(Import.TipoArredondamento&lt;&gt;"TransfereGOV",
              ROUND(OFFSET($P377,0,AH$13),15-13*ORÇAMENTO!$AF$7)/$H377*OFFSET(ORÇAMENTO!$X$15,ROW(AH377)-ROW(AH$15),0),
              ROUND(ROUND(OFFSET($P377,0,AH$13),15-13*ORÇAMENTO!$AF$7)*OFFSET(ORÇAMENTO!$W$15,ROW(AH377)-ROW(AH$15),0),15-13*ORÇAMENTO!$AF$11)),
         0)</f>
        <v>0</v>
      </c>
      <c r="AI377" s="454">
        <f ca="1">IF(AND($D377="Serviço",AI$12&lt;&gt;0,$H377&gt;0,OR(AUTOEVENTO&lt;&gt;"manual",$M377&lt;&gt;$A$15)),
        IF(Import.TipoArredondamento&lt;&gt;"TransfereGOV",
              ROUND(OFFSET($P377,0,AI$13),15-13*ORÇAMENTO!$AF$7)/$H377*OFFSET(ORÇAMENTO!$X$15,ROW(AI377)-ROW(AI$15),0),
              ROUND(ROUND(OFFSET($P377,0,AI$13),15-13*ORÇAMENTO!$AF$7)*OFFSET(ORÇAMENTO!$W$15,ROW(AI377)-ROW(AI$15),0),15-13*ORÇAMENTO!$AF$11)),
         0)</f>
        <v>0</v>
      </c>
      <c r="AJ377" s="454">
        <f ca="1">IF(AND($D377="Serviço",AJ$12&lt;&gt;0,$H377&gt;0,OR(AUTOEVENTO&lt;&gt;"manual",$M377&lt;&gt;$A$15)),
        IF(Import.TipoArredondamento&lt;&gt;"TransfereGOV",
              ROUND(OFFSET($P377,0,AJ$13),15-13*ORÇAMENTO!$AF$7)/$H377*OFFSET(ORÇAMENTO!$X$15,ROW(AJ377)-ROW(AJ$15),0),
              ROUND(ROUND(OFFSET($P377,0,AJ$13),15-13*ORÇAMENTO!$AF$7)*OFFSET(ORÇAMENTO!$W$15,ROW(AJ377)-ROW(AJ$15),0),15-13*ORÇAMENTO!$AF$11)),
         0)</f>
        <v>0</v>
      </c>
      <c r="AK377" s="454">
        <f ca="1">IF(AND($D377="Serviço",AK$12&lt;&gt;0,$H377&gt;0,OR(AUTOEVENTO&lt;&gt;"manual",$M377&lt;&gt;$A$15)),
        IF(Import.TipoArredondamento&lt;&gt;"TransfereGOV",
              ROUND(OFFSET($P377,0,AK$13),15-13*ORÇAMENTO!$AF$7)/$H377*OFFSET(ORÇAMENTO!$X$15,ROW(AK377)-ROW(AK$15),0),
              ROUND(ROUND(OFFSET($P377,0,AK$13),15-13*ORÇAMENTO!$AF$7)*OFFSET(ORÇAMENTO!$W$15,ROW(AK377)-ROW(AK$15),0),15-13*ORÇAMENTO!$AF$11)),
         0)</f>
        <v>0</v>
      </c>
      <c r="AM377" s="172">
        <f ca="1">IF(OR($D377&lt;&gt;"Serviço",AND(AUTOEVENTO="Manual",$M377=$A$15)),0,
         IF(OFFSET(CRONOPLE!$F$15,$M377-$A$15,AM$13)="",10^12,OFFSET(CRONOPLE!$F$15,$M377-$A$15,AM$13)))</f>
        <v>1000000000000</v>
      </c>
      <c r="AN377" s="172">
        <f ca="1">IF(OR($D377&lt;&gt;"Serviço",AND(AUTOEVENTO="Manual",$M377=$A$15)),0,
         IF(OFFSET(CRONOPLE!$F$15,$M377-$A$15,AN$13)="",10^12,OFFSET(CRONOPLE!$F$15,$M377-$A$15,AN$13)))</f>
        <v>1000000000000</v>
      </c>
      <c r="AO377" s="172">
        <f ca="1">IF(OR($D377&lt;&gt;"Serviço",AND(AUTOEVENTO="Manual",$M377=$A$15)),0,
         IF(OFFSET(CRONOPLE!$F$15,$M377-$A$15,AO$13)="",10^12,OFFSET(CRONOPLE!$F$15,$M377-$A$15,AO$13)))</f>
        <v>1000000000000</v>
      </c>
      <c r="AP377" s="172">
        <f ca="1">IF(OR($D377&lt;&gt;"Serviço",AND(AUTOEVENTO="Manual",$M377=$A$15)),0,
         IF(OFFSET(CRONOPLE!$F$15,$M377-$A$15,AP$13)="",10^12,OFFSET(CRONOPLE!$F$15,$M377-$A$15,AP$13)))</f>
        <v>1000000000000</v>
      </c>
      <c r="AQ377" s="172">
        <f ca="1">IF(OR($D377&lt;&gt;"Serviço",AND(AUTOEVENTO="Manual",$M377=$A$15)),0,
         IF(OFFSET(CRONOPLE!$F$15,$M377-$A$15,AQ$13)="",10^12,OFFSET(CRONOPLE!$F$15,$M377-$A$15,AQ$13)))</f>
        <v>1000000000000</v>
      </c>
      <c r="AR377" s="172">
        <f ca="1">IF(OR($D377&lt;&gt;"Serviço",AND(AUTOEVENTO="Manual",$M377=$A$15)),0,
         IF(OFFSET(CRONOPLE!$F$15,$M377-$A$15,AR$13)="",10^12,OFFSET(CRONOPLE!$F$15,$M377-$A$15,AR$13)))</f>
        <v>1000000000000</v>
      </c>
      <c r="AS377" s="172">
        <f ca="1">IF(OR($D377&lt;&gt;"Serviço",AND(AUTOEVENTO="Manual",$M377=$A$15)),0,
         IF(OFFSET(CRONOPLE!$F$15,$M377-$A$15,AS$13)="",10^12,OFFSET(CRONOPLE!$F$15,$M377-$A$15,AS$13)))</f>
        <v>1000000000000</v>
      </c>
      <c r="AT377" s="172">
        <f ca="1">IF(OR($D377&lt;&gt;"Serviço",AND(AUTOEVENTO="Manual",$M377=$A$15)),0,
         IF(OFFSET(CRONOPLE!$F$15,$M377-$A$15,AT$13)="",10^12,OFFSET(CRONOPLE!$F$15,$M377-$A$15,AT$13)))</f>
        <v>1000000000000</v>
      </c>
      <c r="AU377" s="172">
        <f ca="1">IF(OR($D377&lt;&gt;"Serviço",AND(AUTOEVENTO="Manual",$M377=$A$15)),0,
         IF(OFFSET(CRONOPLE!$F$15,$M377-$A$15,AU$13)="",10^12,OFFSET(CRONOPLE!$F$15,$M377-$A$15,AU$13)))</f>
        <v>1000000000000</v>
      </c>
      <c r="AV377" s="172">
        <f ca="1">IF(OR($D377&lt;&gt;"Serviço",AND(AUTOEVENTO="Manual",$M377=$A$15)),0,
         IF(OFFSET(CRONOPLE!$F$15,$M377-$A$15,AV$13)="",10^12,OFFSET(CRONOPLE!$F$15,$M377-$A$15,AV$13)))</f>
        <v>1000000000000</v>
      </c>
      <c r="AX377" s="173">
        <f ca="1">IF(OR($D377&lt;&gt;"Serviço",AND(AUTOEVENTO="Manual",$M377=$A$15),$M377&gt;(ROW(PLE.lastrow)-ROW(PLE.firstrow))),0,
           IF(OFFSET(PLE!$G$15,$M377-$A$15,AX$13)="",10^12,OFFSET(PLE!$G$15,$M377-$A$15,AX$13)))</f>
        <v>1000000000000</v>
      </c>
      <c r="AY377" s="173">
        <f ca="1">IF(OR($D377&lt;&gt;"Serviço",AND(AUTOEVENTO="Manual",$M377=$A$15),$M377&gt;(ROW(PLE.lastrow)-ROW(PLE.firstrow))),0,
           IF(OFFSET(PLE!$G$15,$M377-$A$15,AY$13)="",10^12,OFFSET(PLE!$G$15,$M377-$A$15,AY$13)))</f>
        <v>1000000000000</v>
      </c>
      <c r="AZ377" s="173">
        <f ca="1">IF(OR($D377&lt;&gt;"Serviço",AND(AUTOEVENTO="Manual",$M377=$A$15),$M377&gt;(ROW(PLE.lastrow)-ROW(PLE.firstrow))),0,
           IF(OFFSET(PLE!$G$15,$M377-$A$15,AZ$13)="",10^12,OFFSET(PLE!$G$15,$M377-$A$15,AZ$13)))</f>
        <v>1000000000000</v>
      </c>
      <c r="BA377" s="173">
        <f ca="1">IF(OR($D377&lt;&gt;"Serviço",AND(AUTOEVENTO="Manual",$M377=$A$15),$M377&gt;(ROW(PLE.lastrow)-ROW(PLE.firstrow))),0,
           IF(OFFSET(PLE!$G$15,$M377-$A$15,BA$13)="",10^12,OFFSET(PLE!$G$15,$M377-$A$15,BA$13)))</f>
        <v>1000000000000</v>
      </c>
      <c r="BB377" s="173">
        <f ca="1">IF(OR($D377&lt;&gt;"Serviço",AND(AUTOEVENTO="Manual",$M377=$A$15),$M377&gt;(ROW(PLE.lastrow)-ROW(PLE.firstrow))),0,
           IF(OFFSET(PLE!$G$15,$M377-$A$15,BB$13)="",10^12,OFFSET(PLE!$G$15,$M377-$A$15,BB$13)))</f>
        <v>1000000000000</v>
      </c>
      <c r="BC377" s="173">
        <f ca="1">IF(OR($D377&lt;&gt;"Serviço",AND(AUTOEVENTO="Manual",$M377=$A$15),$M377&gt;(ROW(PLE.lastrow)-ROW(PLE.firstrow))),0,
           IF(OFFSET(PLE!$G$15,$M377-$A$15,BC$13)="",10^12,OFFSET(PLE!$G$15,$M377-$A$15,BC$13)))</f>
        <v>1000000000000</v>
      </c>
      <c r="BD377" s="173">
        <f ca="1">IF(OR($D377&lt;&gt;"Serviço",AND(AUTOEVENTO="Manual",$M377=$A$15),$M377&gt;(ROW(PLE.lastrow)-ROW(PLE.firstrow))),0,
           IF(OFFSET(PLE!$G$15,$M377-$A$15,BD$13)="",10^12,OFFSET(PLE!$G$15,$M377-$A$15,BD$13)))</f>
        <v>1000000000000</v>
      </c>
      <c r="BE377" s="173">
        <f ca="1">IF(OR($D377&lt;&gt;"Serviço",AND(AUTOEVENTO="Manual",$M377=$A$15),$M377&gt;(ROW(PLE.lastrow)-ROW(PLE.firstrow))),0,
           IF(OFFSET(PLE!$G$15,$M377-$A$15,BE$13)="",10^12,OFFSET(PLE!$G$15,$M377-$A$15,BE$13)))</f>
        <v>1000000000000</v>
      </c>
      <c r="BF377" s="173">
        <f ca="1">IF(OR($D377&lt;&gt;"Serviço",AND(AUTOEVENTO="Manual",$M377=$A$15),$M377&gt;(ROW(PLE.lastrow)-ROW(PLE.firstrow))),0,
           IF(OFFSET(PLE!$G$15,$M377-$A$15,BF$13)="",10^12,OFFSET(PLE!$G$15,$M377-$A$15,BF$13)))</f>
        <v>1000000000000</v>
      </c>
      <c r="BG377" s="173">
        <f ca="1">IF(OR($D377&lt;&gt;"Serviço",AND(AUTOEVENTO="Manual",$M377=$A$15),$M377&gt;(ROW(PLE.lastrow)-ROW(PLE.firstrow))),0,
           IF(OFFSET(PLE!$G$15,$M377-$A$15,BG$13)="",10^12,OFFSET(PLE!$G$15,$M377-$A$15,BG$13)))</f>
        <v>1000000000000</v>
      </c>
    </row>
    <row r="378" spans="1:59" ht="12.75" x14ac:dyDescent="0.2">
      <c r="A378" s="7" t="str">
        <f t="shared" ca="1" si="13"/>
        <v>355</v>
      </c>
      <c r="B378" s="7" t="str">
        <f ca="1">OFFSET(ORÇAMENTO!C$15,ROW(B378)-ROW(B$15),0)</f>
        <v>S</v>
      </c>
      <c r="C378" s="7" t="str">
        <f ca="1">OFFSET(ORÇAMENTO!L$15,ROW(C378)-ROW(C$15),0)</f>
        <v/>
      </c>
      <c r="D378" s="117" t="str">
        <f ca="1">OFFSET(ORÇAMENTO!N$15,ROW(D378)-ROW(D$15),0)</f>
        <v>Serviço</v>
      </c>
      <c r="E378" s="118" t="str">
        <f ca="1">OFFSET(ORÇAMENTO!O$15,ROW(E378)-ROW(E$15),0)</f>
        <v>-</v>
      </c>
      <c r="F378" s="164" t="str">
        <f ca="1">OFFSET(ORÇAMENTO!R$15,ROW(F378)-ROW(F$15),0)</f>
        <v>SERVENTE COM ENCARGOS COMPLEMENTARES</v>
      </c>
      <c r="G378" s="165" t="str">
        <f ca="1">IF($D378&lt;&gt;"Serviço","",OFFSET(ORÇAMENTO!S$15,ROW(G378)-ROW(G$15),0))</f>
        <v>H</v>
      </c>
      <c r="H378" s="123">
        <f ca="1">IF($D378&lt;&gt;"Serviço",0,IF(ACOMPANHAMENTO="BM",ROUND(OFFSET(ORÇAMENTO!AJ$15,ROW(H378)-ROW(H$15),0),15-13*ORÇAMENTO!$AF$7),SUMPRODUCT(($Q$1:$AA$1=1)*ROUND($Q378:$AA378,15-13*ORÇAMENTO!$AF$7))))</f>
        <v>16</v>
      </c>
      <c r="I378" s="469"/>
      <c r="J378" s="577" t="str" cm="1">
        <f t="array" aca="1" ref="J378" ca="1">IF(B378&lt;&gt;"S","",IF(AND(ACOMPANHAMENTO="PLE",AUTOEVENTO="Manual",OR(H378&gt;0,ORÇAMENTO!AC378="QUANT."),OR(K378="",M378=0,N378="")),"►",IF(AND(ACOMPANHAMENTO="PLE",ORÇAMENTO!AC378="QUANT."),"►►",IF(AND(COUNTIF($P$11:$AA$11,"▼")=0,H378&gt;0,I378=""),"◄",""))))</f>
        <v>◄</v>
      </c>
      <c r="K378" s="626"/>
      <c r="L378" s="166" t="s">
        <v>765</v>
      </c>
      <c r="M378" s="167">
        <f ca="1">IF($D378&lt;&gt;"Serviço","",
          IF(AUTOEVENTO="manual",$A378,
                IF(ISERROR(MATCH($A378,$A$15:OFFSET($A378,-1,0),0)),MAX($M$15:OFFSET(M378,-1,0))+1,
                      INDEX($M$15:OFFSET(M378,-1,0),MATCH($A378,$A$15:OFFSET($A378,-1,0),0)))))</f>
        <v>20</v>
      </c>
      <c r="N378" s="168" t="str">
        <f ca="1">IF($D378&lt;&gt;"Serviço","",
         IF(AUTOEVENTO="Manual",
                IF($A378=0,"&lt;-- defina o número do agrupador",
                       OFFSET(EVENTOS!$D$15,$A378-$A$15,0)),
                OFFSET($F$15,$A378,0)))</f>
        <v>ACESSIBILIDADE</v>
      </c>
      <c r="O378" s="169"/>
      <c r="Q378" s="169"/>
      <c r="R378" s="170"/>
      <c r="S378" s="170"/>
      <c r="T378" s="170"/>
      <c r="U378" s="170"/>
      <c r="V378" s="170"/>
      <c r="W378" s="170"/>
      <c r="X378" s="170"/>
      <c r="Y378" s="170"/>
      <c r="Z378" s="171"/>
      <c r="AB378" s="454">
        <f ca="1">IF(AND($D378="Serviço",AB$12&lt;&gt;0,$H378&gt;0,OR(AUTOEVENTO&lt;&gt;"manual",$M378&lt;&gt;$A$15)),
        IF(Import.TipoArredondamento&lt;&gt;"TransfereGOV",
              ROUND(OFFSET($P378,0,AB$13),15-13*ORÇAMENTO!$AF$7)/$H378*OFFSET(ORÇAMENTO!$X$15,ROW(AB378)-ROW(AB$15),0),
              ROUND(ROUND(OFFSET($P378,0,AB$13),15-13*ORÇAMENTO!$AF$7)*OFFSET(ORÇAMENTO!$W$15,ROW(AB378)-ROW(AB$15),0),15-13*ORÇAMENTO!$AF$11)),
         0)</f>
        <v>0</v>
      </c>
      <c r="AC378" s="454">
        <f ca="1">IF(AND($D378="Serviço",AC$12&lt;&gt;0,$H378&gt;0,OR(AUTOEVENTO&lt;&gt;"manual",$M378&lt;&gt;$A$15)),
        IF(Import.TipoArredondamento&lt;&gt;"TransfereGOV",
              ROUND(OFFSET($P378,0,AC$13),15-13*ORÇAMENTO!$AF$7)/$H378*OFFSET(ORÇAMENTO!$X$15,ROW(AC378)-ROW(AC$15),0),
              ROUND(ROUND(OFFSET($P378,0,AC$13),15-13*ORÇAMENTO!$AF$7)*OFFSET(ORÇAMENTO!$W$15,ROW(AC378)-ROW(AC$15),0),15-13*ORÇAMENTO!$AF$11)),
         0)</f>
        <v>0</v>
      </c>
      <c r="AD378" s="454">
        <f ca="1">IF(AND($D378="Serviço",AD$12&lt;&gt;0,$H378&gt;0,OR(AUTOEVENTO&lt;&gt;"manual",$M378&lt;&gt;$A$15)),
        IF(Import.TipoArredondamento&lt;&gt;"TransfereGOV",
              ROUND(OFFSET($P378,0,AD$13),15-13*ORÇAMENTO!$AF$7)/$H378*OFFSET(ORÇAMENTO!$X$15,ROW(AD378)-ROW(AD$15),0),
              ROUND(ROUND(OFFSET($P378,0,AD$13),15-13*ORÇAMENTO!$AF$7)*OFFSET(ORÇAMENTO!$W$15,ROW(AD378)-ROW(AD$15),0),15-13*ORÇAMENTO!$AF$11)),
         0)</f>
        <v>0</v>
      </c>
      <c r="AE378" s="454">
        <f ca="1">IF(AND($D378="Serviço",AE$12&lt;&gt;0,$H378&gt;0,OR(AUTOEVENTO&lt;&gt;"manual",$M378&lt;&gt;$A$15)),
        IF(Import.TipoArredondamento&lt;&gt;"TransfereGOV",
              ROUND(OFFSET($P378,0,AE$13),15-13*ORÇAMENTO!$AF$7)/$H378*OFFSET(ORÇAMENTO!$X$15,ROW(AE378)-ROW(AE$15),0),
              ROUND(ROUND(OFFSET($P378,0,AE$13),15-13*ORÇAMENTO!$AF$7)*OFFSET(ORÇAMENTO!$W$15,ROW(AE378)-ROW(AE$15),0),15-13*ORÇAMENTO!$AF$11)),
         0)</f>
        <v>0</v>
      </c>
      <c r="AF378" s="454">
        <f ca="1">IF(AND($D378="Serviço",AF$12&lt;&gt;0,$H378&gt;0,OR(AUTOEVENTO&lt;&gt;"manual",$M378&lt;&gt;$A$15)),
        IF(Import.TipoArredondamento&lt;&gt;"TransfereGOV",
              ROUND(OFFSET($P378,0,AF$13),15-13*ORÇAMENTO!$AF$7)/$H378*OFFSET(ORÇAMENTO!$X$15,ROW(AF378)-ROW(AF$15),0),
              ROUND(ROUND(OFFSET($P378,0,AF$13),15-13*ORÇAMENTO!$AF$7)*OFFSET(ORÇAMENTO!$W$15,ROW(AF378)-ROW(AF$15),0),15-13*ORÇAMENTO!$AF$11)),
         0)</f>
        <v>0</v>
      </c>
      <c r="AG378" s="454">
        <f ca="1">IF(AND($D378="Serviço",AG$12&lt;&gt;0,$H378&gt;0,OR(AUTOEVENTO&lt;&gt;"manual",$M378&lt;&gt;$A$15)),
        IF(Import.TipoArredondamento&lt;&gt;"TransfereGOV",
              ROUND(OFFSET($P378,0,AG$13),15-13*ORÇAMENTO!$AF$7)/$H378*OFFSET(ORÇAMENTO!$X$15,ROW(AG378)-ROW(AG$15),0),
              ROUND(ROUND(OFFSET($P378,0,AG$13),15-13*ORÇAMENTO!$AF$7)*OFFSET(ORÇAMENTO!$W$15,ROW(AG378)-ROW(AG$15),0),15-13*ORÇAMENTO!$AF$11)),
         0)</f>
        <v>0</v>
      </c>
      <c r="AH378" s="454">
        <f ca="1">IF(AND($D378="Serviço",AH$12&lt;&gt;0,$H378&gt;0,OR(AUTOEVENTO&lt;&gt;"manual",$M378&lt;&gt;$A$15)),
        IF(Import.TipoArredondamento&lt;&gt;"TransfereGOV",
              ROUND(OFFSET($P378,0,AH$13),15-13*ORÇAMENTO!$AF$7)/$H378*OFFSET(ORÇAMENTO!$X$15,ROW(AH378)-ROW(AH$15),0),
              ROUND(ROUND(OFFSET($P378,0,AH$13),15-13*ORÇAMENTO!$AF$7)*OFFSET(ORÇAMENTO!$W$15,ROW(AH378)-ROW(AH$15),0),15-13*ORÇAMENTO!$AF$11)),
         0)</f>
        <v>0</v>
      </c>
      <c r="AI378" s="454">
        <f ca="1">IF(AND($D378="Serviço",AI$12&lt;&gt;0,$H378&gt;0,OR(AUTOEVENTO&lt;&gt;"manual",$M378&lt;&gt;$A$15)),
        IF(Import.TipoArredondamento&lt;&gt;"TransfereGOV",
              ROUND(OFFSET($P378,0,AI$13),15-13*ORÇAMENTO!$AF$7)/$H378*OFFSET(ORÇAMENTO!$X$15,ROW(AI378)-ROW(AI$15),0),
              ROUND(ROUND(OFFSET($P378,0,AI$13),15-13*ORÇAMENTO!$AF$7)*OFFSET(ORÇAMENTO!$W$15,ROW(AI378)-ROW(AI$15),0),15-13*ORÇAMENTO!$AF$11)),
         0)</f>
        <v>0</v>
      </c>
      <c r="AJ378" s="454">
        <f ca="1">IF(AND($D378="Serviço",AJ$12&lt;&gt;0,$H378&gt;0,OR(AUTOEVENTO&lt;&gt;"manual",$M378&lt;&gt;$A$15)),
        IF(Import.TipoArredondamento&lt;&gt;"TransfereGOV",
              ROUND(OFFSET($P378,0,AJ$13),15-13*ORÇAMENTO!$AF$7)/$H378*OFFSET(ORÇAMENTO!$X$15,ROW(AJ378)-ROW(AJ$15),0),
              ROUND(ROUND(OFFSET($P378,0,AJ$13),15-13*ORÇAMENTO!$AF$7)*OFFSET(ORÇAMENTO!$W$15,ROW(AJ378)-ROW(AJ$15),0),15-13*ORÇAMENTO!$AF$11)),
         0)</f>
        <v>0</v>
      </c>
      <c r="AK378" s="454">
        <f ca="1">IF(AND($D378="Serviço",AK$12&lt;&gt;0,$H378&gt;0,OR(AUTOEVENTO&lt;&gt;"manual",$M378&lt;&gt;$A$15)),
        IF(Import.TipoArredondamento&lt;&gt;"TransfereGOV",
              ROUND(OFFSET($P378,0,AK$13),15-13*ORÇAMENTO!$AF$7)/$H378*OFFSET(ORÇAMENTO!$X$15,ROW(AK378)-ROW(AK$15),0),
              ROUND(ROUND(OFFSET($P378,0,AK$13),15-13*ORÇAMENTO!$AF$7)*OFFSET(ORÇAMENTO!$W$15,ROW(AK378)-ROW(AK$15),0),15-13*ORÇAMENTO!$AF$11)),
         0)</f>
        <v>0</v>
      </c>
      <c r="AM378" s="172">
        <f ca="1">IF(OR($D378&lt;&gt;"Serviço",AND(AUTOEVENTO="Manual",$M378=$A$15)),0,
         IF(OFFSET(CRONOPLE!$F$15,$M378-$A$15,AM$13)="",10^12,OFFSET(CRONOPLE!$F$15,$M378-$A$15,AM$13)))</f>
        <v>1000000000000</v>
      </c>
      <c r="AN378" s="172">
        <f ca="1">IF(OR($D378&lt;&gt;"Serviço",AND(AUTOEVENTO="Manual",$M378=$A$15)),0,
         IF(OFFSET(CRONOPLE!$F$15,$M378-$A$15,AN$13)="",10^12,OFFSET(CRONOPLE!$F$15,$M378-$A$15,AN$13)))</f>
        <v>1000000000000</v>
      </c>
      <c r="AO378" s="172">
        <f ca="1">IF(OR($D378&lt;&gt;"Serviço",AND(AUTOEVENTO="Manual",$M378=$A$15)),0,
         IF(OFFSET(CRONOPLE!$F$15,$M378-$A$15,AO$13)="",10^12,OFFSET(CRONOPLE!$F$15,$M378-$A$15,AO$13)))</f>
        <v>1000000000000</v>
      </c>
      <c r="AP378" s="172">
        <f ca="1">IF(OR($D378&lt;&gt;"Serviço",AND(AUTOEVENTO="Manual",$M378=$A$15)),0,
         IF(OFFSET(CRONOPLE!$F$15,$M378-$A$15,AP$13)="",10^12,OFFSET(CRONOPLE!$F$15,$M378-$A$15,AP$13)))</f>
        <v>1000000000000</v>
      </c>
      <c r="AQ378" s="172">
        <f ca="1">IF(OR($D378&lt;&gt;"Serviço",AND(AUTOEVENTO="Manual",$M378=$A$15)),0,
         IF(OFFSET(CRONOPLE!$F$15,$M378-$A$15,AQ$13)="",10^12,OFFSET(CRONOPLE!$F$15,$M378-$A$15,AQ$13)))</f>
        <v>1000000000000</v>
      </c>
      <c r="AR378" s="172">
        <f ca="1">IF(OR($D378&lt;&gt;"Serviço",AND(AUTOEVENTO="Manual",$M378=$A$15)),0,
         IF(OFFSET(CRONOPLE!$F$15,$M378-$A$15,AR$13)="",10^12,OFFSET(CRONOPLE!$F$15,$M378-$A$15,AR$13)))</f>
        <v>1000000000000</v>
      </c>
      <c r="AS378" s="172">
        <f ca="1">IF(OR($D378&lt;&gt;"Serviço",AND(AUTOEVENTO="Manual",$M378=$A$15)),0,
         IF(OFFSET(CRONOPLE!$F$15,$M378-$A$15,AS$13)="",10^12,OFFSET(CRONOPLE!$F$15,$M378-$A$15,AS$13)))</f>
        <v>1000000000000</v>
      </c>
      <c r="AT378" s="172">
        <f ca="1">IF(OR($D378&lt;&gt;"Serviço",AND(AUTOEVENTO="Manual",$M378=$A$15)),0,
         IF(OFFSET(CRONOPLE!$F$15,$M378-$A$15,AT$13)="",10^12,OFFSET(CRONOPLE!$F$15,$M378-$A$15,AT$13)))</f>
        <v>1000000000000</v>
      </c>
      <c r="AU378" s="172">
        <f ca="1">IF(OR($D378&lt;&gt;"Serviço",AND(AUTOEVENTO="Manual",$M378=$A$15)),0,
         IF(OFFSET(CRONOPLE!$F$15,$M378-$A$15,AU$13)="",10^12,OFFSET(CRONOPLE!$F$15,$M378-$A$15,AU$13)))</f>
        <v>1000000000000</v>
      </c>
      <c r="AV378" s="172">
        <f ca="1">IF(OR($D378&lt;&gt;"Serviço",AND(AUTOEVENTO="Manual",$M378=$A$15)),0,
         IF(OFFSET(CRONOPLE!$F$15,$M378-$A$15,AV$13)="",10^12,OFFSET(CRONOPLE!$F$15,$M378-$A$15,AV$13)))</f>
        <v>1000000000000</v>
      </c>
      <c r="AX378" s="173">
        <f ca="1">IF(OR($D378&lt;&gt;"Serviço",AND(AUTOEVENTO="Manual",$M378=$A$15),$M378&gt;(ROW(PLE.lastrow)-ROW(PLE.firstrow))),0,
           IF(OFFSET(PLE!$G$15,$M378-$A$15,AX$13)="",10^12,OFFSET(PLE!$G$15,$M378-$A$15,AX$13)))</f>
        <v>1000000000000</v>
      </c>
      <c r="AY378" s="173">
        <f ca="1">IF(OR($D378&lt;&gt;"Serviço",AND(AUTOEVENTO="Manual",$M378=$A$15),$M378&gt;(ROW(PLE.lastrow)-ROW(PLE.firstrow))),0,
           IF(OFFSET(PLE!$G$15,$M378-$A$15,AY$13)="",10^12,OFFSET(PLE!$G$15,$M378-$A$15,AY$13)))</f>
        <v>1000000000000</v>
      </c>
      <c r="AZ378" s="173">
        <f ca="1">IF(OR($D378&lt;&gt;"Serviço",AND(AUTOEVENTO="Manual",$M378=$A$15),$M378&gt;(ROW(PLE.lastrow)-ROW(PLE.firstrow))),0,
           IF(OFFSET(PLE!$G$15,$M378-$A$15,AZ$13)="",10^12,OFFSET(PLE!$G$15,$M378-$A$15,AZ$13)))</f>
        <v>1000000000000</v>
      </c>
      <c r="BA378" s="173">
        <f ca="1">IF(OR($D378&lt;&gt;"Serviço",AND(AUTOEVENTO="Manual",$M378=$A$15),$M378&gt;(ROW(PLE.lastrow)-ROW(PLE.firstrow))),0,
           IF(OFFSET(PLE!$G$15,$M378-$A$15,BA$13)="",10^12,OFFSET(PLE!$G$15,$M378-$A$15,BA$13)))</f>
        <v>1000000000000</v>
      </c>
      <c r="BB378" s="173">
        <f ca="1">IF(OR($D378&lt;&gt;"Serviço",AND(AUTOEVENTO="Manual",$M378=$A$15),$M378&gt;(ROW(PLE.lastrow)-ROW(PLE.firstrow))),0,
           IF(OFFSET(PLE!$G$15,$M378-$A$15,BB$13)="",10^12,OFFSET(PLE!$G$15,$M378-$A$15,BB$13)))</f>
        <v>1000000000000</v>
      </c>
      <c r="BC378" s="173">
        <f ca="1">IF(OR($D378&lt;&gt;"Serviço",AND(AUTOEVENTO="Manual",$M378=$A$15),$M378&gt;(ROW(PLE.lastrow)-ROW(PLE.firstrow))),0,
           IF(OFFSET(PLE!$G$15,$M378-$A$15,BC$13)="",10^12,OFFSET(PLE!$G$15,$M378-$A$15,BC$13)))</f>
        <v>1000000000000</v>
      </c>
      <c r="BD378" s="173">
        <f ca="1">IF(OR($D378&lt;&gt;"Serviço",AND(AUTOEVENTO="Manual",$M378=$A$15),$M378&gt;(ROW(PLE.lastrow)-ROW(PLE.firstrow))),0,
           IF(OFFSET(PLE!$G$15,$M378-$A$15,BD$13)="",10^12,OFFSET(PLE!$G$15,$M378-$A$15,BD$13)))</f>
        <v>1000000000000</v>
      </c>
      <c r="BE378" s="173">
        <f ca="1">IF(OR($D378&lt;&gt;"Serviço",AND(AUTOEVENTO="Manual",$M378=$A$15),$M378&gt;(ROW(PLE.lastrow)-ROW(PLE.firstrow))),0,
           IF(OFFSET(PLE!$G$15,$M378-$A$15,BE$13)="",10^12,OFFSET(PLE!$G$15,$M378-$A$15,BE$13)))</f>
        <v>1000000000000</v>
      </c>
      <c r="BF378" s="173">
        <f ca="1">IF(OR($D378&lt;&gt;"Serviço",AND(AUTOEVENTO="Manual",$M378=$A$15),$M378&gt;(ROW(PLE.lastrow)-ROW(PLE.firstrow))),0,
           IF(OFFSET(PLE!$G$15,$M378-$A$15,BF$13)="",10^12,OFFSET(PLE!$G$15,$M378-$A$15,BF$13)))</f>
        <v>1000000000000</v>
      </c>
      <c r="BG378" s="173">
        <f ca="1">IF(OR($D378&lt;&gt;"Serviço",AND(AUTOEVENTO="Manual",$M378=$A$15),$M378&gt;(ROW(PLE.lastrow)-ROW(PLE.firstrow))),0,
           IF(OFFSET(PLE!$G$15,$M378-$A$15,BG$13)="",10^12,OFFSET(PLE!$G$15,$M378-$A$15,BG$13)))</f>
        <v>1000000000000</v>
      </c>
    </row>
    <row r="379" spans="1:59" ht="51" x14ac:dyDescent="0.2">
      <c r="A379" s="7" t="str">
        <f t="shared" ca="1" si="13"/>
        <v>355</v>
      </c>
      <c r="B379" s="7" t="str">
        <f ca="1">OFFSET(ORÇAMENTO!C$15,ROW(B379)-ROW(B$15),0)</f>
        <v>S</v>
      </c>
      <c r="C379" s="7" t="str">
        <f ca="1">OFFSET(ORÇAMENTO!L$15,ROW(C379)-ROW(C$15),0)</f>
        <v/>
      </c>
      <c r="D379" s="117" t="str">
        <f ca="1">OFFSET(ORÇAMENTO!N$15,ROW(D379)-ROW(D$15),0)</f>
        <v>Serviço</v>
      </c>
      <c r="E379" s="118" t="str">
        <f ca="1">OFFSET(ORÇAMENTO!O$15,ROW(E379)-ROW(E$15),0)</f>
        <v>-</v>
      </c>
      <c r="F379" s="164" t="str">
        <f ca="1">OFFSET(ORÇAMENTO!R$15,ROW(F379)-ROW(F$15),0)</f>
        <v>RAMPAS DE ACESSIBILIDADE PARA ACESSO A EDIFICAÇÕES COM INCLINAÇÃO DE 8,33% EM CONCRETO MOLDADO IN LOCO, COM LARGURA CONFORME PROJETO, FCK 25MPA, NÃO ARMADA, COM JUNTA A CADA 2M COM CORTE À SECO. AF_03/2024_PA</v>
      </c>
      <c r="G379" s="165" t="str">
        <f ca="1">IF($D379&lt;&gt;"Serviço","",OFFSET(ORÇAMENTO!S$15,ROW(G379)-ROW(G$15),0))</f>
        <v>M3</v>
      </c>
      <c r="H379" s="123">
        <f ca="1">IF($D379&lt;&gt;"Serviço",0,IF(ACOMPANHAMENTO="BM",ROUND(OFFSET(ORÇAMENTO!AJ$15,ROW(H379)-ROW(H$15),0),15-13*ORÇAMENTO!$AF$7),SUMPRODUCT(($Q$1:$AA$1=1)*ROUND($Q379:$AA379,15-13*ORÇAMENTO!$AF$7))))</f>
        <v>8</v>
      </c>
      <c r="I379" s="469"/>
      <c r="J379" s="577" t="str" cm="1">
        <f t="array" aca="1" ref="J379" ca="1">IF(B379&lt;&gt;"S","",IF(AND(ACOMPANHAMENTO="PLE",AUTOEVENTO="Manual",OR(H379&gt;0,ORÇAMENTO!AC379="QUANT."),OR(K379="",M379=0,N379="")),"►",IF(AND(ACOMPANHAMENTO="PLE",ORÇAMENTO!AC379="QUANT."),"►►",IF(AND(COUNTIF($P$11:$AA$11,"▼")=0,H379&gt;0,I379=""),"◄",""))))</f>
        <v>◄</v>
      </c>
      <c r="K379" s="626"/>
      <c r="L379" s="166" t="s">
        <v>765</v>
      </c>
      <c r="M379" s="167">
        <f ca="1">IF($D379&lt;&gt;"Serviço","",
          IF(AUTOEVENTO="manual",$A379,
                IF(ISERROR(MATCH($A379,$A$15:OFFSET($A379,-1,0),0)),MAX($M$15:OFFSET(M379,-1,0))+1,
                      INDEX($M$15:OFFSET(M379,-1,0),MATCH($A379,$A$15:OFFSET($A379,-1,0),0)))))</f>
        <v>20</v>
      </c>
      <c r="N379" s="168" t="str">
        <f ca="1">IF($D379&lt;&gt;"Serviço","",
         IF(AUTOEVENTO="Manual",
                IF($A379=0,"&lt;-- defina o número do agrupador",
                       OFFSET(EVENTOS!$D$15,$A379-$A$15,0)),
                OFFSET($F$15,$A379,0)))</f>
        <v>ACESSIBILIDADE</v>
      </c>
      <c r="O379" s="169"/>
      <c r="Q379" s="169"/>
      <c r="R379" s="170"/>
      <c r="S379" s="170"/>
      <c r="T379" s="170"/>
      <c r="U379" s="170"/>
      <c r="V379" s="170"/>
      <c r="W379" s="170"/>
      <c r="X379" s="170"/>
      <c r="Y379" s="170"/>
      <c r="Z379" s="171"/>
      <c r="AB379" s="454">
        <f ca="1">IF(AND($D379="Serviço",AB$12&lt;&gt;0,$H379&gt;0,OR(AUTOEVENTO&lt;&gt;"manual",$M379&lt;&gt;$A$15)),
        IF(Import.TipoArredondamento&lt;&gt;"TransfereGOV",
              ROUND(OFFSET($P379,0,AB$13),15-13*ORÇAMENTO!$AF$7)/$H379*OFFSET(ORÇAMENTO!$X$15,ROW(AB379)-ROW(AB$15),0),
              ROUND(ROUND(OFFSET($P379,0,AB$13),15-13*ORÇAMENTO!$AF$7)*OFFSET(ORÇAMENTO!$W$15,ROW(AB379)-ROW(AB$15),0),15-13*ORÇAMENTO!$AF$11)),
         0)</f>
        <v>0</v>
      </c>
      <c r="AC379" s="454">
        <f ca="1">IF(AND($D379="Serviço",AC$12&lt;&gt;0,$H379&gt;0,OR(AUTOEVENTO&lt;&gt;"manual",$M379&lt;&gt;$A$15)),
        IF(Import.TipoArredondamento&lt;&gt;"TransfereGOV",
              ROUND(OFFSET($P379,0,AC$13),15-13*ORÇAMENTO!$AF$7)/$H379*OFFSET(ORÇAMENTO!$X$15,ROW(AC379)-ROW(AC$15),0),
              ROUND(ROUND(OFFSET($P379,0,AC$13),15-13*ORÇAMENTO!$AF$7)*OFFSET(ORÇAMENTO!$W$15,ROW(AC379)-ROW(AC$15),0),15-13*ORÇAMENTO!$AF$11)),
         0)</f>
        <v>0</v>
      </c>
      <c r="AD379" s="454">
        <f ca="1">IF(AND($D379="Serviço",AD$12&lt;&gt;0,$H379&gt;0,OR(AUTOEVENTO&lt;&gt;"manual",$M379&lt;&gt;$A$15)),
        IF(Import.TipoArredondamento&lt;&gt;"TransfereGOV",
              ROUND(OFFSET($P379,0,AD$13),15-13*ORÇAMENTO!$AF$7)/$H379*OFFSET(ORÇAMENTO!$X$15,ROW(AD379)-ROW(AD$15),0),
              ROUND(ROUND(OFFSET($P379,0,AD$13),15-13*ORÇAMENTO!$AF$7)*OFFSET(ORÇAMENTO!$W$15,ROW(AD379)-ROW(AD$15),0),15-13*ORÇAMENTO!$AF$11)),
         0)</f>
        <v>0</v>
      </c>
      <c r="AE379" s="454">
        <f ca="1">IF(AND($D379="Serviço",AE$12&lt;&gt;0,$H379&gt;0,OR(AUTOEVENTO&lt;&gt;"manual",$M379&lt;&gt;$A$15)),
        IF(Import.TipoArredondamento&lt;&gt;"TransfereGOV",
              ROUND(OFFSET($P379,0,AE$13),15-13*ORÇAMENTO!$AF$7)/$H379*OFFSET(ORÇAMENTO!$X$15,ROW(AE379)-ROW(AE$15),0),
              ROUND(ROUND(OFFSET($P379,0,AE$13),15-13*ORÇAMENTO!$AF$7)*OFFSET(ORÇAMENTO!$W$15,ROW(AE379)-ROW(AE$15),0),15-13*ORÇAMENTO!$AF$11)),
         0)</f>
        <v>0</v>
      </c>
      <c r="AF379" s="454">
        <f ca="1">IF(AND($D379="Serviço",AF$12&lt;&gt;0,$H379&gt;0,OR(AUTOEVENTO&lt;&gt;"manual",$M379&lt;&gt;$A$15)),
        IF(Import.TipoArredondamento&lt;&gt;"TransfereGOV",
              ROUND(OFFSET($P379,0,AF$13),15-13*ORÇAMENTO!$AF$7)/$H379*OFFSET(ORÇAMENTO!$X$15,ROW(AF379)-ROW(AF$15),0),
              ROUND(ROUND(OFFSET($P379,0,AF$13),15-13*ORÇAMENTO!$AF$7)*OFFSET(ORÇAMENTO!$W$15,ROW(AF379)-ROW(AF$15),0),15-13*ORÇAMENTO!$AF$11)),
         0)</f>
        <v>0</v>
      </c>
      <c r="AG379" s="454">
        <f ca="1">IF(AND($D379="Serviço",AG$12&lt;&gt;0,$H379&gt;0,OR(AUTOEVENTO&lt;&gt;"manual",$M379&lt;&gt;$A$15)),
        IF(Import.TipoArredondamento&lt;&gt;"TransfereGOV",
              ROUND(OFFSET($P379,0,AG$13),15-13*ORÇAMENTO!$AF$7)/$H379*OFFSET(ORÇAMENTO!$X$15,ROW(AG379)-ROW(AG$15),0),
              ROUND(ROUND(OFFSET($P379,0,AG$13),15-13*ORÇAMENTO!$AF$7)*OFFSET(ORÇAMENTO!$W$15,ROW(AG379)-ROW(AG$15),0),15-13*ORÇAMENTO!$AF$11)),
         0)</f>
        <v>0</v>
      </c>
      <c r="AH379" s="454">
        <f ca="1">IF(AND($D379="Serviço",AH$12&lt;&gt;0,$H379&gt;0,OR(AUTOEVENTO&lt;&gt;"manual",$M379&lt;&gt;$A$15)),
        IF(Import.TipoArredondamento&lt;&gt;"TransfereGOV",
              ROUND(OFFSET($P379,0,AH$13),15-13*ORÇAMENTO!$AF$7)/$H379*OFFSET(ORÇAMENTO!$X$15,ROW(AH379)-ROW(AH$15),0),
              ROUND(ROUND(OFFSET($P379,0,AH$13),15-13*ORÇAMENTO!$AF$7)*OFFSET(ORÇAMENTO!$W$15,ROW(AH379)-ROW(AH$15),0),15-13*ORÇAMENTO!$AF$11)),
         0)</f>
        <v>0</v>
      </c>
      <c r="AI379" s="454">
        <f ca="1">IF(AND($D379="Serviço",AI$12&lt;&gt;0,$H379&gt;0,OR(AUTOEVENTO&lt;&gt;"manual",$M379&lt;&gt;$A$15)),
        IF(Import.TipoArredondamento&lt;&gt;"TransfereGOV",
              ROUND(OFFSET($P379,0,AI$13),15-13*ORÇAMENTO!$AF$7)/$H379*OFFSET(ORÇAMENTO!$X$15,ROW(AI379)-ROW(AI$15),0),
              ROUND(ROUND(OFFSET($P379,0,AI$13),15-13*ORÇAMENTO!$AF$7)*OFFSET(ORÇAMENTO!$W$15,ROW(AI379)-ROW(AI$15),0),15-13*ORÇAMENTO!$AF$11)),
         0)</f>
        <v>0</v>
      </c>
      <c r="AJ379" s="454">
        <f ca="1">IF(AND($D379="Serviço",AJ$12&lt;&gt;0,$H379&gt;0,OR(AUTOEVENTO&lt;&gt;"manual",$M379&lt;&gt;$A$15)),
        IF(Import.TipoArredondamento&lt;&gt;"TransfereGOV",
              ROUND(OFFSET($P379,0,AJ$13),15-13*ORÇAMENTO!$AF$7)/$H379*OFFSET(ORÇAMENTO!$X$15,ROW(AJ379)-ROW(AJ$15),0),
              ROUND(ROUND(OFFSET($P379,0,AJ$13),15-13*ORÇAMENTO!$AF$7)*OFFSET(ORÇAMENTO!$W$15,ROW(AJ379)-ROW(AJ$15),0),15-13*ORÇAMENTO!$AF$11)),
         0)</f>
        <v>0</v>
      </c>
      <c r="AK379" s="454">
        <f ca="1">IF(AND($D379="Serviço",AK$12&lt;&gt;0,$H379&gt;0,OR(AUTOEVENTO&lt;&gt;"manual",$M379&lt;&gt;$A$15)),
        IF(Import.TipoArredondamento&lt;&gt;"TransfereGOV",
              ROUND(OFFSET($P379,0,AK$13),15-13*ORÇAMENTO!$AF$7)/$H379*OFFSET(ORÇAMENTO!$X$15,ROW(AK379)-ROW(AK$15),0),
              ROUND(ROUND(OFFSET($P379,0,AK$13),15-13*ORÇAMENTO!$AF$7)*OFFSET(ORÇAMENTO!$W$15,ROW(AK379)-ROW(AK$15),0),15-13*ORÇAMENTO!$AF$11)),
         0)</f>
        <v>0</v>
      </c>
      <c r="AM379" s="172">
        <f ca="1">IF(OR($D379&lt;&gt;"Serviço",AND(AUTOEVENTO="Manual",$M379=$A$15)),0,
         IF(OFFSET(CRONOPLE!$F$15,$M379-$A$15,AM$13)="",10^12,OFFSET(CRONOPLE!$F$15,$M379-$A$15,AM$13)))</f>
        <v>1000000000000</v>
      </c>
      <c r="AN379" s="172">
        <f ca="1">IF(OR($D379&lt;&gt;"Serviço",AND(AUTOEVENTO="Manual",$M379=$A$15)),0,
         IF(OFFSET(CRONOPLE!$F$15,$M379-$A$15,AN$13)="",10^12,OFFSET(CRONOPLE!$F$15,$M379-$A$15,AN$13)))</f>
        <v>1000000000000</v>
      </c>
      <c r="AO379" s="172">
        <f ca="1">IF(OR($D379&lt;&gt;"Serviço",AND(AUTOEVENTO="Manual",$M379=$A$15)),0,
         IF(OFFSET(CRONOPLE!$F$15,$M379-$A$15,AO$13)="",10^12,OFFSET(CRONOPLE!$F$15,$M379-$A$15,AO$13)))</f>
        <v>1000000000000</v>
      </c>
      <c r="AP379" s="172">
        <f ca="1">IF(OR($D379&lt;&gt;"Serviço",AND(AUTOEVENTO="Manual",$M379=$A$15)),0,
         IF(OFFSET(CRONOPLE!$F$15,$M379-$A$15,AP$13)="",10^12,OFFSET(CRONOPLE!$F$15,$M379-$A$15,AP$13)))</f>
        <v>1000000000000</v>
      </c>
      <c r="AQ379" s="172">
        <f ca="1">IF(OR($D379&lt;&gt;"Serviço",AND(AUTOEVENTO="Manual",$M379=$A$15)),0,
         IF(OFFSET(CRONOPLE!$F$15,$M379-$A$15,AQ$13)="",10^12,OFFSET(CRONOPLE!$F$15,$M379-$A$15,AQ$13)))</f>
        <v>1000000000000</v>
      </c>
      <c r="AR379" s="172">
        <f ca="1">IF(OR($D379&lt;&gt;"Serviço",AND(AUTOEVENTO="Manual",$M379=$A$15)),0,
         IF(OFFSET(CRONOPLE!$F$15,$M379-$A$15,AR$13)="",10^12,OFFSET(CRONOPLE!$F$15,$M379-$A$15,AR$13)))</f>
        <v>1000000000000</v>
      </c>
      <c r="AS379" s="172">
        <f ca="1">IF(OR($D379&lt;&gt;"Serviço",AND(AUTOEVENTO="Manual",$M379=$A$15)),0,
         IF(OFFSET(CRONOPLE!$F$15,$M379-$A$15,AS$13)="",10^12,OFFSET(CRONOPLE!$F$15,$M379-$A$15,AS$13)))</f>
        <v>1000000000000</v>
      </c>
      <c r="AT379" s="172">
        <f ca="1">IF(OR($D379&lt;&gt;"Serviço",AND(AUTOEVENTO="Manual",$M379=$A$15)),0,
         IF(OFFSET(CRONOPLE!$F$15,$M379-$A$15,AT$13)="",10^12,OFFSET(CRONOPLE!$F$15,$M379-$A$15,AT$13)))</f>
        <v>1000000000000</v>
      </c>
      <c r="AU379" s="172">
        <f ca="1">IF(OR($D379&lt;&gt;"Serviço",AND(AUTOEVENTO="Manual",$M379=$A$15)),0,
         IF(OFFSET(CRONOPLE!$F$15,$M379-$A$15,AU$13)="",10^12,OFFSET(CRONOPLE!$F$15,$M379-$A$15,AU$13)))</f>
        <v>1000000000000</v>
      </c>
      <c r="AV379" s="172">
        <f ca="1">IF(OR($D379&lt;&gt;"Serviço",AND(AUTOEVENTO="Manual",$M379=$A$15)),0,
         IF(OFFSET(CRONOPLE!$F$15,$M379-$A$15,AV$13)="",10^12,OFFSET(CRONOPLE!$F$15,$M379-$A$15,AV$13)))</f>
        <v>1000000000000</v>
      </c>
      <c r="AX379" s="173">
        <f ca="1">IF(OR($D379&lt;&gt;"Serviço",AND(AUTOEVENTO="Manual",$M379=$A$15),$M379&gt;(ROW(PLE.lastrow)-ROW(PLE.firstrow))),0,
           IF(OFFSET(PLE!$G$15,$M379-$A$15,AX$13)="",10^12,OFFSET(PLE!$G$15,$M379-$A$15,AX$13)))</f>
        <v>1000000000000</v>
      </c>
      <c r="AY379" s="173">
        <f ca="1">IF(OR($D379&lt;&gt;"Serviço",AND(AUTOEVENTO="Manual",$M379=$A$15),$M379&gt;(ROW(PLE.lastrow)-ROW(PLE.firstrow))),0,
           IF(OFFSET(PLE!$G$15,$M379-$A$15,AY$13)="",10^12,OFFSET(PLE!$G$15,$M379-$A$15,AY$13)))</f>
        <v>1000000000000</v>
      </c>
      <c r="AZ379" s="173">
        <f ca="1">IF(OR($D379&lt;&gt;"Serviço",AND(AUTOEVENTO="Manual",$M379=$A$15),$M379&gt;(ROW(PLE.lastrow)-ROW(PLE.firstrow))),0,
           IF(OFFSET(PLE!$G$15,$M379-$A$15,AZ$13)="",10^12,OFFSET(PLE!$G$15,$M379-$A$15,AZ$13)))</f>
        <v>1000000000000</v>
      </c>
      <c r="BA379" s="173">
        <f ca="1">IF(OR($D379&lt;&gt;"Serviço",AND(AUTOEVENTO="Manual",$M379=$A$15),$M379&gt;(ROW(PLE.lastrow)-ROW(PLE.firstrow))),0,
           IF(OFFSET(PLE!$G$15,$M379-$A$15,BA$13)="",10^12,OFFSET(PLE!$G$15,$M379-$A$15,BA$13)))</f>
        <v>1000000000000</v>
      </c>
      <c r="BB379" s="173">
        <f ca="1">IF(OR($D379&lt;&gt;"Serviço",AND(AUTOEVENTO="Manual",$M379=$A$15),$M379&gt;(ROW(PLE.lastrow)-ROW(PLE.firstrow))),0,
           IF(OFFSET(PLE!$G$15,$M379-$A$15,BB$13)="",10^12,OFFSET(PLE!$G$15,$M379-$A$15,BB$13)))</f>
        <v>1000000000000</v>
      </c>
      <c r="BC379" s="173">
        <f ca="1">IF(OR($D379&lt;&gt;"Serviço",AND(AUTOEVENTO="Manual",$M379=$A$15),$M379&gt;(ROW(PLE.lastrow)-ROW(PLE.firstrow))),0,
           IF(OFFSET(PLE!$G$15,$M379-$A$15,BC$13)="",10^12,OFFSET(PLE!$G$15,$M379-$A$15,BC$13)))</f>
        <v>1000000000000</v>
      </c>
      <c r="BD379" s="173">
        <f ca="1">IF(OR($D379&lt;&gt;"Serviço",AND(AUTOEVENTO="Manual",$M379=$A$15),$M379&gt;(ROW(PLE.lastrow)-ROW(PLE.firstrow))),0,
           IF(OFFSET(PLE!$G$15,$M379-$A$15,BD$13)="",10^12,OFFSET(PLE!$G$15,$M379-$A$15,BD$13)))</f>
        <v>1000000000000</v>
      </c>
      <c r="BE379" s="173">
        <f ca="1">IF(OR($D379&lt;&gt;"Serviço",AND(AUTOEVENTO="Manual",$M379=$A$15),$M379&gt;(ROW(PLE.lastrow)-ROW(PLE.firstrow))),0,
           IF(OFFSET(PLE!$G$15,$M379-$A$15,BE$13)="",10^12,OFFSET(PLE!$G$15,$M379-$A$15,BE$13)))</f>
        <v>1000000000000</v>
      </c>
      <c r="BF379" s="173">
        <f ca="1">IF(OR($D379&lt;&gt;"Serviço",AND(AUTOEVENTO="Manual",$M379=$A$15),$M379&gt;(ROW(PLE.lastrow)-ROW(PLE.firstrow))),0,
           IF(OFFSET(PLE!$G$15,$M379-$A$15,BF$13)="",10^12,OFFSET(PLE!$G$15,$M379-$A$15,BF$13)))</f>
        <v>1000000000000</v>
      </c>
      <c r="BG379" s="173">
        <f ca="1">IF(OR($D379&lt;&gt;"Serviço",AND(AUTOEVENTO="Manual",$M379=$A$15),$M379&gt;(ROW(PLE.lastrow)-ROW(PLE.firstrow))),0,
           IF(OFFSET(PLE!$G$15,$M379-$A$15,BG$13)="",10^12,OFFSET(PLE!$G$15,$M379-$A$15,BG$13)))</f>
        <v>1000000000000</v>
      </c>
    </row>
    <row r="380" spans="1:59" ht="12.75" x14ac:dyDescent="0.2">
      <c r="A380" s="7" t="str">
        <f t="shared" ca="1" si="13"/>
        <v>365.</v>
      </c>
      <c r="B380" s="7">
        <f ca="1">OFFSET(ORÇAMENTO!C$15,ROW(B380)-ROW(B$15),0)</f>
        <v>2</v>
      </c>
      <c r="C380" s="7" t="str">
        <f ca="1">OFFSET(ORÇAMENTO!L$15,ROW(C380)-ROW(C$15),0)</f>
        <v>F</v>
      </c>
      <c r="D380" s="117" t="str">
        <f ca="1">OFFSET(ORÇAMENTO!N$15,ROW(D380)-ROW(D$15),0)</f>
        <v>Nível 2</v>
      </c>
      <c r="E380" s="118" t="str">
        <f ca="1">OFFSET(ORÇAMENTO!O$15,ROW(E380)-ROW(E$15),0)</f>
        <v>1.21.</v>
      </c>
      <c r="F380" s="164" t="str">
        <f ca="1">OFFSET(ORÇAMENTO!R$15,ROW(F380)-ROW(F$15),0)</f>
        <v>SPDA</v>
      </c>
      <c r="G380" s="165" t="str">
        <f ca="1">IF($D380&lt;&gt;"Serviço","",OFFSET(ORÇAMENTO!S$15,ROW(G380)-ROW(G$15),0))</f>
        <v/>
      </c>
      <c r="H380" s="123">
        <f ca="1">IF($D380&lt;&gt;"Serviço",0,IF(ACOMPANHAMENTO="BM",ROUND(OFFSET(ORÇAMENTO!AJ$15,ROW(H380)-ROW(H$15),0),15-13*ORÇAMENTO!$AF$7),SUMPRODUCT(($Q$1:$AA$1=1)*ROUND($Q380:$AA380,15-13*ORÇAMENTO!$AF$7))))</f>
        <v>0</v>
      </c>
      <c r="I380" s="469"/>
      <c r="J380" s="577" t="str" cm="1">
        <f t="array" aca="1" ref="J380" ca="1">IF(B380&lt;&gt;"S","",IF(AND(ACOMPANHAMENTO="PLE",AUTOEVENTO="Manual",OR(H380&gt;0,ORÇAMENTO!AC380="QUANT."),OR(K380="",M380=0,N380="")),"►",IF(AND(ACOMPANHAMENTO="PLE",ORÇAMENTO!AC380="QUANT."),"►►",IF(AND(COUNTIF($P$11:$AA$11,"▼")=0,H380&gt;0,I380=""),"◄",""))))</f>
        <v/>
      </c>
      <c r="K380" s="626"/>
      <c r="L380" s="166" t="s">
        <v>765</v>
      </c>
      <c r="M380" s="167" t="str">
        <f ca="1">IF($D380&lt;&gt;"Serviço","",
          IF(AUTOEVENTO="manual",$A380,
                IF(ISERROR(MATCH($A380,$A$15:OFFSET($A380,-1,0),0)),MAX($M$15:OFFSET(M380,-1,0))+1,
                      INDEX($M$15:OFFSET(M380,-1,0),MATCH($A380,$A$15:OFFSET($A380,-1,0),0)))))</f>
        <v/>
      </c>
      <c r="N380" s="168" t="str">
        <f ca="1">IF($D380&lt;&gt;"Serviço","",
         IF(AUTOEVENTO="Manual",
                IF($A380=0,"&lt;-- defina o número do agrupador",
                       OFFSET(EVENTOS!$D$15,$A380-$A$15,0)),
                OFFSET($F$15,$A380,0)))</f>
        <v/>
      </c>
      <c r="O380" s="169"/>
      <c r="Q380" s="169"/>
      <c r="R380" s="170"/>
      <c r="S380" s="170"/>
      <c r="T380" s="170"/>
      <c r="U380" s="170"/>
      <c r="V380" s="170"/>
      <c r="W380" s="170"/>
      <c r="X380" s="170"/>
      <c r="Y380" s="170"/>
      <c r="Z380" s="171"/>
      <c r="AB380" s="454">
        <f ca="1">IF(AND($D380="Serviço",AB$12&lt;&gt;0,$H380&gt;0,OR(AUTOEVENTO&lt;&gt;"manual",$M380&lt;&gt;$A$15)),
        IF(Import.TipoArredondamento&lt;&gt;"TransfereGOV",
              ROUND(OFFSET($P380,0,AB$13),15-13*ORÇAMENTO!$AF$7)/$H380*OFFSET(ORÇAMENTO!$X$15,ROW(AB380)-ROW(AB$15),0),
              ROUND(ROUND(OFFSET($P380,0,AB$13),15-13*ORÇAMENTO!$AF$7)*OFFSET(ORÇAMENTO!$W$15,ROW(AB380)-ROW(AB$15),0),15-13*ORÇAMENTO!$AF$11)),
         0)</f>
        <v>0</v>
      </c>
      <c r="AC380" s="454">
        <f ca="1">IF(AND($D380="Serviço",AC$12&lt;&gt;0,$H380&gt;0,OR(AUTOEVENTO&lt;&gt;"manual",$M380&lt;&gt;$A$15)),
        IF(Import.TipoArredondamento&lt;&gt;"TransfereGOV",
              ROUND(OFFSET($P380,0,AC$13),15-13*ORÇAMENTO!$AF$7)/$H380*OFFSET(ORÇAMENTO!$X$15,ROW(AC380)-ROW(AC$15),0),
              ROUND(ROUND(OFFSET($P380,0,AC$13),15-13*ORÇAMENTO!$AF$7)*OFFSET(ORÇAMENTO!$W$15,ROW(AC380)-ROW(AC$15),0),15-13*ORÇAMENTO!$AF$11)),
         0)</f>
        <v>0</v>
      </c>
      <c r="AD380" s="454">
        <f ca="1">IF(AND($D380="Serviço",AD$12&lt;&gt;0,$H380&gt;0,OR(AUTOEVENTO&lt;&gt;"manual",$M380&lt;&gt;$A$15)),
        IF(Import.TipoArredondamento&lt;&gt;"TransfereGOV",
              ROUND(OFFSET($P380,0,AD$13),15-13*ORÇAMENTO!$AF$7)/$H380*OFFSET(ORÇAMENTO!$X$15,ROW(AD380)-ROW(AD$15),0),
              ROUND(ROUND(OFFSET($P380,0,AD$13),15-13*ORÇAMENTO!$AF$7)*OFFSET(ORÇAMENTO!$W$15,ROW(AD380)-ROW(AD$15),0),15-13*ORÇAMENTO!$AF$11)),
         0)</f>
        <v>0</v>
      </c>
      <c r="AE380" s="454">
        <f ca="1">IF(AND($D380="Serviço",AE$12&lt;&gt;0,$H380&gt;0,OR(AUTOEVENTO&lt;&gt;"manual",$M380&lt;&gt;$A$15)),
        IF(Import.TipoArredondamento&lt;&gt;"TransfereGOV",
              ROUND(OFFSET($P380,0,AE$13),15-13*ORÇAMENTO!$AF$7)/$H380*OFFSET(ORÇAMENTO!$X$15,ROW(AE380)-ROW(AE$15),0),
              ROUND(ROUND(OFFSET($P380,0,AE$13),15-13*ORÇAMENTO!$AF$7)*OFFSET(ORÇAMENTO!$W$15,ROW(AE380)-ROW(AE$15),0),15-13*ORÇAMENTO!$AF$11)),
         0)</f>
        <v>0</v>
      </c>
      <c r="AF380" s="454">
        <f ca="1">IF(AND($D380="Serviço",AF$12&lt;&gt;0,$H380&gt;0,OR(AUTOEVENTO&lt;&gt;"manual",$M380&lt;&gt;$A$15)),
        IF(Import.TipoArredondamento&lt;&gt;"TransfereGOV",
              ROUND(OFFSET($P380,0,AF$13),15-13*ORÇAMENTO!$AF$7)/$H380*OFFSET(ORÇAMENTO!$X$15,ROW(AF380)-ROW(AF$15),0),
              ROUND(ROUND(OFFSET($P380,0,AF$13),15-13*ORÇAMENTO!$AF$7)*OFFSET(ORÇAMENTO!$W$15,ROW(AF380)-ROW(AF$15),0),15-13*ORÇAMENTO!$AF$11)),
         0)</f>
        <v>0</v>
      </c>
      <c r="AG380" s="454">
        <f ca="1">IF(AND($D380="Serviço",AG$12&lt;&gt;0,$H380&gt;0,OR(AUTOEVENTO&lt;&gt;"manual",$M380&lt;&gt;$A$15)),
        IF(Import.TipoArredondamento&lt;&gt;"TransfereGOV",
              ROUND(OFFSET($P380,0,AG$13),15-13*ORÇAMENTO!$AF$7)/$H380*OFFSET(ORÇAMENTO!$X$15,ROW(AG380)-ROW(AG$15),0),
              ROUND(ROUND(OFFSET($P380,0,AG$13),15-13*ORÇAMENTO!$AF$7)*OFFSET(ORÇAMENTO!$W$15,ROW(AG380)-ROW(AG$15),0),15-13*ORÇAMENTO!$AF$11)),
         0)</f>
        <v>0</v>
      </c>
      <c r="AH380" s="454">
        <f ca="1">IF(AND($D380="Serviço",AH$12&lt;&gt;0,$H380&gt;0,OR(AUTOEVENTO&lt;&gt;"manual",$M380&lt;&gt;$A$15)),
        IF(Import.TipoArredondamento&lt;&gt;"TransfereGOV",
              ROUND(OFFSET($P380,0,AH$13),15-13*ORÇAMENTO!$AF$7)/$H380*OFFSET(ORÇAMENTO!$X$15,ROW(AH380)-ROW(AH$15),0),
              ROUND(ROUND(OFFSET($P380,0,AH$13),15-13*ORÇAMENTO!$AF$7)*OFFSET(ORÇAMENTO!$W$15,ROW(AH380)-ROW(AH$15),0),15-13*ORÇAMENTO!$AF$11)),
         0)</f>
        <v>0</v>
      </c>
      <c r="AI380" s="454">
        <f ca="1">IF(AND($D380="Serviço",AI$12&lt;&gt;0,$H380&gt;0,OR(AUTOEVENTO&lt;&gt;"manual",$M380&lt;&gt;$A$15)),
        IF(Import.TipoArredondamento&lt;&gt;"TransfereGOV",
              ROUND(OFFSET($P380,0,AI$13),15-13*ORÇAMENTO!$AF$7)/$H380*OFFSET(ORÇAMENTO!$X$15,ROW(AI380)-ROW(AI$15),0),
              ROUND(ROUND(OFFSET($P380,0,AI$13),15-13*ORÇAMENTO!$AF$7)*OFFSET(ORÇAMENTO!$W$15,ROW(AI380)-ROW(AI$15),0),15-13*ORÇAMENTO!$AF$11)),
         0)</f>
        <v>0</v>
      </c>
      <c r="AJ380" s="454">
        <f ca="1">IF(AND($D380="Serviço",AJ$12&lt;&gt;0,$H380&gt;0,OR(AUTOEVENTO&lt;&gt;"manual",$M380&lt;&gt;$A$15)),
        IF(Import.TipoArredondamento&lt;&gt;"TransfereGOV",
              ROUND(OFFSET($P380,0,AJ$13),15-13*ORÇAMENTO!$AF$7)/$H380*OFFSET(ORÇAMENTO!$X$15,ROW(AJ380)-ROW(AJ$15),0),
              ROUND(ROUND(OFFSET($P380,0,AJ$13),15-13*ORÇAMENTO!$AF$7)*OFFSET(ORÇAMENTO!$W$15,ROW(AJ380)-ROW(AJ$15),0),15-13*ORÇAMENTO!$AF$11)),
         0)</f>
        <v>0</v>
      </c>
      <c r="AK380" s="454">
        <f ca="1">IF(AND($D380="Serviço",AK$12&lt;&gt;0,$H380&gt;0,OR(AUTOEVENTO&lt;&gt;"manual",$M380&lt;&gt;$A$15)),
        IF(Import.TipoArredondamento&lt;&gt;"TransfereGOV",
              ROUND(OFFSET($P380,0,AK$13),15-13*ORÇAMENTO!$AF$7)/$H380*OFFSET(ORÇAMENTO!$X$15,ROW(AK380)-ROW(AK$15),0),
              ROUND(ROUND(OFFSET($P380,0,AK$13),15-13*ORÇAMENTO!$AF$7)*OFFSET(ORÇAMENTO!$W$15,ROW(AK380)-ROW(AK$15),0),15-13*ORÇAMENTO!$AF$11)),
         0)</f>
        <v>0</v>
      </c>
      <c r="AM380" s="172">
        <f ca="1">IF(OR($D380&lt;&gt;"Serviço",AND(AUTOEVENTO="Manual",$M380=$A$15)),0,
         IF(OFFSET(CRONOPLE!$F$15,$M380-$A$15,AM$13)="",10^12,OFFSET(CRONOPLE!$F$15,$M380-$A$15,AM$13)))</f>
        <v>0</v>
      </c>
      <c r="AN380" s="172">
        <f ca="1">IF(OR($D380&lt;&gt;"Serviço",AND(AUTOEVENTO="Manual",$M380=$A$15)),0,
         IF(OFFSET(CRONOPLE!$F$15,$M380-$A$15,AN$13)="",10^12,OFFSET(CRONOPLE!$F$15,$M380-$A$15,AN$13)))</f>
        <v>0</v>
      </c>
      <c r="AO380" s="172">
        <f ca="1">IF(OR($D380&lt;&gt;"Serviço",AND(AUTOEVENTO="Manual",$M380=$A$15)),0,
         IF(OFFSET(CRONOPLE!$F$15,$M380-$A$15,AO$13)="",10^12,OFFSET(CRONOPLE!$F$15,$M380-$A$15,AO$13)))</f>
        <v>0</v>
      </c>
      <c r="AP380" s="172">
        <f ca="1">IF(OR($D380&lt;&gt;"Serviço",AND(AUTOEVENTO="Manual",$M380=$A$15)),0,
         IF(OFFSET(CRONOPLE!$F$15,$M380-$A$15,AP$13)="",10^12,OFFSET(CRONOPLE!$F$15,$M380-$A$15,AP$13)))</f>
        <v>0</v>
      </c>
      <c r="AQ380" s="172">
        <f ca="1">IF(OR($D380&lt;&gt;"Serviço",AND(AUTOEVENTO="Manual",$M380=$A$15)),0,
         IF(OFFSET(CRONOPLE!$F$15,$M380-$A$15,AQ$13)="",10^12,OFFSET(CRONOPLE!$F$15,$M380-$A$15,AQ$13)))</f>
        <v>0</v>
      </c>
      <c r="AR380" s="172">
        <f ca="1">IF(OR($D380&lt;&gt;"Serviço",AND(AUTOEVENTO="Manual",$M380=$A$15)),0,
         IF(OFFSET(CRONOPLE!$F$15,$M380-$A$15,AR$13)="",10^12,OFFSET(CRONOPLE!$F$15,$M380-$A$15,AR$13)))</f>
        <v>0</v>
      </c>
      <c r="AS380" s="172">
        <f ca="1">IF(OR($D380&lt;&gt;"Serviço",AND(AUTOEVENTO="Manual",$M380=$A$15)),0,
         IF(OFFSET(CRONOPLE!$F$15,$M380-$A$15,AS$13)="",10^12,OFFSET(CRONOPLE!$F$15,$M380-$A$15,AS$13)))</f>
        <v>0</v>
      </c>
      <c r="AT380" s="172">
        <f ca="1">IF(OR($D380&lt;&gt;"Serviço",AND(AUTOEVENTO="Manual",$M380=$A$15)),0,
         IF(OFFSET(CRONOPLE!$F$15,$M380-$A$15,AT$13)="",10^12,OFFSET(CRONOPLE!$F$15,$M380-$A$15,AT$13)))</f>
        <v>0</v>
      </c>
      <c r="AU380" s="172">
        <f ca="1">IF(OR($D380&lt;&gt;"Serviço",AND(AUTOEVENTO="Manual",$M380=$A$15)),0,
         IF(OFFSET(CRONOPLE!$F$15,$M380-$A$15,AU$13)="",10^12,OFFSET(CRONOPLE!$F$15,$M380-$A$15,AU$13)))</f>
        <v>0</v>
      </c>
      <c r="AV380" s="172">
        <f ca="1">IF(OR($D380&lt;&gt;"Serviço",AND(AUTOEVENTO="Manual",$M380=$A$15)),0,
         IF(OFFSET(CRONOPLE!$F$15,$M380-$A$15,AV$13)="",10^12,OFFSET(CRONOPLE!$F$15,$M380-$A$15,AV$13)))</f>
        <v>0</v>
      </c>
      <c r="AX380" s="173">
        <f ca="1">IF(OR($D380&lt;&gt;"Serviço",AND(AUTOEVENTO="Manual",$M380=$A$15),$M380&gt;(ROW(PLE.lastrow)-ROW(PLE.firstrow))),0,
           IF(OFFSET(PLE!$G$15,$M380-$A$15,AX$13)="",10^12,OFFSET(PLE!$G$15,$M380-$A$15,AX$13)))</f>
        <v>0</v>
      </c>
      <c r="AY380" s="173">
        <f ca="1">IF(OR($D380&lt;&gt;"Serviço",AND(AUTOEVENTO="Manual",$M380=$A$15),$M380&gt;(ROW(PLE.lastrow)-ROW(PLE.firstrow))),0,
           IF(OFFSET(PLE!$G$15,$M380-$A$15,AY$13)="",10^12,OFFSET(PLE!$G$15,$M380-$A$15,AY$13)))</f>
        <v>0</v>
      </c>
      <c r="AZ380" s="173">
        <f ca="1">IF(OR($D380&lt;&gt;"Serviço",AND(AUTOEVENTO="Manual",$M380=$A$15),$M380&gt;(ROW(PLE.lastrow)-ROW(PLE.firstrow))),0,
           IF(OFFSET(PLE!$G$15,$M380-$A$15,AZ$13)="",10^12,OFFSET(PLE!$G$15,$M380-$A$15,AZ$13)))</f>
        <v>0</v>
      </c>
      <c r="BA380" s="173">
        <f ca="1">IF(OR($D380&lt;&gt;"Serviço",AND(AUTOEVENTO="Manual",$M380=$A$15),$M380&gt;(ROW(PLE.lastrow)-ROW(PLE.firstrow))),0,
           IF(OFFSET(PLE!$G$15,$M380-$A$15,BA$13)="",10^12,OFFSET(PLE!$G$15,$M380-$A$15,BA$13)))</f>
        <v>0</v>
      </c>
      <c r="BB380" s="173">
        <f ca="1">IF(OR($D380&lt;&gt;"Serviço",AND(AUTOEVENTO="Manual",$M380=$A$15),$M380&gt;(ROW(PLE.lastrow)-ROW(PLE.firstrow))),0,
           IF(OFFSET(PLE!$G$15,$M380-$A$15,BB$13)="",10^12,OFFSET(PLE!$G$15,$M380-$A$15,BB$13)))</f>
        <v>0</v>
      </c>
      <c r="BC380" s="173">
        <f ca="1">IF(OR($D380&lt;&gt;"Serviço",AND(AUTOEVENTO="Manual",$M380=$A$15),$M380&gt;(ROW(PLE.lastrow)-ROW(PLE.firstrow))),0,
           IF(OFFSET(PLE!$G$15,$M380-$A$15,BC$13)="",10^12,OFFSET(PLE!$G$15,$M380-$A$15,BC$13)))</f>
        <v>0</v>
      </c>
      <c r="BD380" s="173">
        <f ca="1">IF(OR($D380&lt;&gt;"Serviço",AND(AUTOEVENTO="Manual",$M380=$A$15),$M380&gt;(ROW(PLE.lastrow)-ROW(PLE.firstrow))),0,
           IF(OFFSET(PLE!$G$15,$M380-$A$15,BD$13)="",10^12,OFFSET(PLE!$G$15,$M380-$A$15,BD$13)))</f>
        <v>0</v>
      </c>
      <c r="BE380" s="173">
        <f ca="1">IF(OR($D380&lt;&gt;"Serviço",AND(AUTOEVENTO="Manual",$M380=$A$15),$M380&gt;(ROW(PLE.lastrow)-ROW(PLE.firstrow))),0,
           IF(OFFSET(PLE!$G$15,$M380-$A$15,BE$13)="",10^12,OFFSET(PLE!$G$15,$M380-$A$15,BE$13)))</f>
        <v>0</v>
      </c>
      <c r="BF380" s="173">
        <f ca="1">IF(OR($D380&lt;&gt;"Serviço",AND(AUTOEVENTO="Manual",$M380=$A$15),$M380&gt;(ROW(PLE.lastrow)-ROW(PLE.firstrow))),0,
           IF(OFFSET(PLE!$G$15,$M380-$A$15,BF$13)="",10^12,OFFSET(PLE!$G$15,$M380-$A$15,BF$13)))</f>
        <v>0</v>
      </c>
      <c r="BG380" s="173">
        <f ca="1">IF(OR($D380&lt;&gt;"Serviço",AND(AUTOEVENTO="Manual",$M380=$A$15),$M380&gt;(ROW(PLE.lastrow)-ROW(PLE.firstrow))),0,
           IF(OFFSET(PLE!$G$15,$M380-$A$15,BG$13)="",10^12,OFFSET(PLE!$G$15,$M380-$A$15,BG$13)))</f>
        <v>0</v>
      </c>
    </row>
    <row r="381" spans="1:59" ht="25.5" x14ac:dyDescent="0.2">
      <c r="A381" s="7" t="str">
        <f t="shared" ca="1" si="13"/>
        <v>365</v>
      </c>
      <c r="B381" s="7" t="str">
        <f ca="1">OFFSET(ORÇAMENTO!C$15,ROW(B381)-ROW(B$15),0)</f>
        <v>S</v>
      </c>
      <c r="C381" s="7" t="str">
        <f ca="1">OFFSET(ORÇAMENTO!L$15,ROW(C381)-ROW(C$15),0)</f>
        <v/>
      </c>
      <c r="D381" s="117" t="str">
        <f ca="1">OFFSET(ORÇAMENTO!N$15,ROW(D381)-ROW(D$15),0)</f>
        <v>Serviço</v>
      </c>
      <c r="E381" s="118" t="str">
        <f ca="1">OFFSET(ORÇAMENTO!O$15,ROW(E381)-ROW(E$15),0)</f>
        <v>-</v>
      </c>
      <c r="F381" s="164" t="str">
        <f ca="1">OFFSET(ORÇAMENTO!R$15,ROW(F381)-ROW(F$15),0)</f>
        <v xml:space="preserve">CAIXA DE INSPEÇÃO 300X400MM COM TAMPA CIRCULAR DE 300MM DIÂMETRO DE FERRO FUNDIDO - FORNECIMENTO  E INSWTALÇÃO </v>
      </c>
      <c r="G381" s="165" t="str">
        <f ca="1">IF($D381&lt;&gt;"Serviço","",OFFSET(ORÇAMENTO!S$15,ROW(G381)-ROW(G$15),0))</f>
        <v xml:space="preserve">UN    </v>
      </c>
      <c r="H381" s="123">
        <f ca="1">IF($D381&lt;&gt;"Serviço",0,IF(ACOMPANHAMENTO="BM",ROUND(OFFSET(ORÇAMENTO!AJ$15,ROW(H381)-ROW(H$15),0),15-13*ORÇAMENTO!$AF$7),SUMPRODUCT(($Q$1:$AA$1=1)*ROUND($Q381:$AA381,15-13*ORÇAMENTO!$AF$7))))</f>
        <v>128.69999999999999</v>
      </c>
      <c r="I381" s="469"/>
      <c r="J381" s="577" t="str" cm="1">
        <f t="array" aca="1" ref="J381" ca="1">IF(B381&lt;&gt;"S","",IF(AND(ACOMPANHAMENTO="PLE",AUTOEVENTO="Manual",OR(H381&gt;0,ORÇAMENTO!AC381="QUANT."),OR(K381="",M381=0,N381="")),"►",IF(AND(ACOMPANHAMENTO="PLE",ORÇAMENTO!AC381="QUANT."),"►►",IF(AND(COUNTIF($P$11:$AA$11,"▼")=0,H381&gt;0,I381=""),"◄",""))))</f>
        <v>◄</v>
      </c>
      <c r="K381" s="626"/>
      <c r="L381" s="166" t="s">
        <v>765</v>
      </c>
      <c r="M381" s="167">
        <f ca="1">IF($D381&lt;&gt;"Serviço","",
          IF(AUTOEVENTO="manual",$A381,
                IF(ISERROR(MATCH($A381,$A$15:OFFSET($A381,-1,0),0)),MAX($M$15:OFFSET(M381,-1,0))+1,
                      INDEX($M$15:OFFSET(M381,-1,0),MATCH($A381,$A$15:OFFSET($A381,-1,0),0)))))</f>
        <v>21</v>
      </c>
      <c r="N381" s="168" t="str">
        <f ca="1">IF($D381&lt;&gt;"Serviço","",
         IF(AUTOEVENTO="Manual",
                IF($A381=0,"&lt;-- defina o número do agrupador",
                       OFFSET(EVENTOS!$D$15,$A381-$A$15,0)),
                OFFSET($F$15,$A381,0)))</f>
        <v>SPDA</v>
      </c>
      <c r="O381" s="169"/>
      <c r="Q381" s="169"/>
      <c r="R381" s="170"/>
      <c r="S381" s="170"/>
      <c r="T381" s="170"/>
      <c r="U381" s="170"/>
      <c r="V381" s="170"/>
      <c r="W381" s="170"/>
      <c r="X381" s="170"/>
      <c r="Y381" s="170"/>
      <c r="Z381" s="171"/>
      <c r="AB381" s="454">
        <f ca="1">IF(AND($D381="Serviço",AB$12&lt;&gt;0,$H381&gt;0,OR(AUTOEVENTO&lt;&gt;"manual",$M381&lt;&gt;$A$15)),
        IF(Import.TipoArredondamento&lt;&gt;"TransfereGOV",
              ROUND(OFFSET($P381,0,AB$13),15-13*ORÇAMENTO!$AF$7)/$H381*OFFSET(ORÇAMENTO!$X$15,ROW(AB381)-ROW(AB$15),0),
              ROUND(ROUND(OFFSET($P381,0,AB$13),15-13*ORÇAMENTO!$AF$7)*OFFSET(ORÇAMENTO!$W$15,ROW(AB381)-ROW(AB$15),0),15-13*ORÇAMENTO!$AF$11)),
         0)</f>
        <v>0</v>
      </c>
      <c r="AC381" s="454">
        <f ca="1">IF(AND($D381="Serviço",AC$12&lt;&gt;0,$H381&gt;0,OR(AUTOEVENTO&lt;&gt;"manual",$M381&lt;&gt;$A$15)),
        IF(Import.TipoArredondamento&lt;&gt;"TransfereGOV",
              ROUND(OFFSET($P381,0,AC$13),15-13*ORÇAMENTO!$AF$7)/$H381*OFFSET(ORÇAMENTO!$X$15,ROW(AC381)-ROW(AC$15),0),
              ROUND(ROUND(OFFSET($P381,0,AC$13),15-13*ORÇAMENTO!$AF$7)*OFFSET(ORÇAMENTO!$W$15,ROW(AC381)-ROW(AC$15),0),15-13*ORÇAMENTO!$AF$11)),
         0)</f>
        <v>0</v>
      </c>
      <c r="AD381" s="454">
        <f ca="1">IF(AND($D381="Serviço",AD$12&lt;&gt;0,$H381&gt;0,OR(AUTOEVENTO&lt;&gt;"manual",$M381&lt;&gt;$A$15)),
        IF(Import.TipoArredondamento&lt;&gt;"TransfereGOV",
              ROUND(OFFSET($P381,0,AD$13),15-13*ORÇAMENTO!$AF$7)/$H381*OFFSET(ORÇAMENTO!$X$15,ROW(AD381)-ROW(AD$15),0),
              ROUND(ROUND(OFFSET($P381,0,AD$13),15-13*ORÇAMENTO!$AF$7)*OFFSET(ORÇAMENTO!$W$15,ROW(AD381)-ROW(AD$15),0),15-13*ORÇAMENTO!$AF$11)),
         0)</f>
        <v>0</v>
      </c>
      <c r="AE381" s="454">
        <f ca="1">IF(AND($D381="Serviço",AE$12&lt;&gt;0,$H381&gt;0,OR(AUTOEVENTO&lt;&gt;"manual",$M381&lt;&gt;$A$15)),
        IF(Import.TipoArredondamento&lt;&gt;"TransfereGOV",
              ROUND(OFFSET($P381,0,AE$13),15-13*ORÇAMENTO!$AF$7)/$H381*OFFSET(ORÇAMENTO!$X$15,ROW(AE381)-ROW(AE$15),0),
              ROUND(ROUND(OFFSET($P381,0,AE$13),15-13*ORÇAMENTO!$AF$7)*OFFSET(ORÇAMENTO!$W$15,ROW(AE381)-ROW(AE$15),0),15-13*ORÇAMENTO!$AF$11)),
         0)</f>
        <v>0</v>
      </c>
      <c r="AF381" s="454">
        <f ca="1">IF(AND($D381="Serviço",AF$12&lt;&gt;0,$H381&gt;0,OR(AUTOEVENTO&lt;&gt;"manual",$M381&lt;&gt;$A$15)),
        IF(Import.TipoArredondamento&lt;&gt;"TransfereGOV",
              ROUND(OFFSET($P381,0,AF$13),15-13*ORÇAMENTO!$AF$7)/$H381*OFFSET(ORÇAMENTO!$X$15,ROW(AF381)-ROW(AF$15),0),
              ROUND(ROUND(OFFSET($P381,0,AF$13),15-13*ORÇAMENTO!$AF$7)*OFFSET(ORÇAMENTO!$W$15,ROW(AF381)-ROW(AF$15),0),15-13*ORÇAMENTO!$AF$11)),
         0)</f>
        <v>0</v>
      </c>
      <c r="AG381" s="454">
        <f ca="1">IF(AND($D381="Serviço",AG$12&lt;&gt;0,$H381&gt;0,OR(AUTOEVENTO&lt;&gt;"manual",$M381&lt;&gt;$A$15)),
        IF(Import.TipoArredondamento&lt;&gt;"TransfereGOV",
              ROUND(OFFSET($P381,0,AG$13),15-13*ORÇAMENTO!$AF$7)/$H381*OFFSET(ORÇAMENTO!$X$15,ROW(AG381)-ROW(AG$15),0),
              ROUND(ROUND(OFFSET($P381,0,AG$13),15-13*ORÇAMENTO!$AF$7)*OFFSET(ORÇAMENTO!$W$15,ROW(AG381)-ROW(AG$15),0),15-13*ORÇAMENTO!$AF$11)),
         0)</f>
        <v>0</v>
      </c>
      <c r="AH381" s="454">
        <f ca="1">IF(AND($D381="Serviço",AH$12&lt;&gt;0,$H381&gt;0,OR(AUTOEVENTO&lt;&gt;"manual",$M381&lt;&gt;$A$15)),
        IF(Import.TipoArredondamento&lt;&gt;"TransfereGOV",
              ROUND(OFFSET($P381,0,AH$13),15-13*ORÇAMENTO!$AF$7)/$H381*OFFSET(ORÇAMENTO!$X$15,ROW(AH381)-ROW(AH$15),0),
              ROUND(ROUND(OFFSET($P381,0,AH$13),15-13*ORÇAMENTO!$AF$7)*OFFSET(ORÇAMENTO!$W$15,ROW(AH381)-ROW(AH$15),0),15-13*ORÇAMENTO!$AF$11)),
         0)</f>
        <v>0</v>
      </c>
      <c r="AI381" s="454">
        <f ca="1">IF(AND($D381="Serviço",AI$12&lt;&gt;0,$H381&gt;0,OR(AUTOEVENTO&lt;&gt;"manual",$M381&lt;&gt;$A$15)),
        IF(Import.TipoArredondamento&lt;&gt;"TransfereGOV",
              ROUND(OFFSET($P381,0,AI$13),15-13*ORÇAMENTO!$AF$7)/$H381*OFFSET(ORÇAMENTO!$X$15,ROW(AI381)-ROW(AI$15),0),
              ROUND(ROUND(OFFSET($P381,0,AI$13),15-13*ORÇAMENTO!$AF$7)*OFFSET(ORÇAMENTO!$W$15,ROW(AI381)-ROW(AI$15),0),15-13*ORÇAMENTO!$AF$11)),
         0)</f>
        <v>0</v>
      </c>
      <c r="AJ381" s="454">
        <f ca="1">IF(AND($D381="Serviço",AJ$12&lt;&gt;0,$H381&gt;0,OR(AUTOEVENTO&lt;&gt;"manual",$M381&lt;&gt;$A$15)),
        IF(Import.TipoArredondamento&lt;&gt;"TransfereGOV",
              ROUND(OFFSET($P381,0,AJ$13),15-13*ORÇAMENTO!$AF$7)/$H381*OFFSET(ORÇAMENTO!$X$15,ROW(AJ381)-ROW(AJ$15),0),
              ROUND(ROUND(OFFSET($P381,0,AJ$13),15-13*ORÇAMENTO!$AF$7)*OFFSET(ORÇAMENTO!$W$15,ROW(AJ381)-ROW(AJ$15),0),15-13*ORÇAMENTO!$AF$11)),
         0)</f>
        <v>0</v>
      </c>
      <c r="AK381" s="454">
        <f ca="1">IF(AND($D381="Serviço",AK$12&lt;&gt;0,$H381&gt;0,OR(AUTOEVENTO&lt;&gt;"manual",$M381&lt;&gt;$A$15)),
        IF(Import.TipoArredondamento&lt;&gt;"TransfereGOV",
              ROUND(OFFSET($P381,0,AK$13),15-13*ORÇAMENTO!$AF$7)/$H381*OFFSET(ORÇAMENTO!$X$15,ROW(AK381)-ROW(AK$15),0),
              ROUND(ROUND(OFFSET($P381,0,AK$13),15-13*ORÇAMENTO!$AF$7)*OFFSET(ORÇAMENTO!$W$15,ROW(AK381)-ROW(AK$15),0),15-13*ORÇAMENTO!$AF$11)),
         0)</f>
        <v>0</v>
      </c>
      <c r="AM381" s="172">
        <f ca="1">IF(OR($D381&lt;&gt;"Serviço",AND(AUTOEVENTO="Manual",$M381=$A$15)),0,
         IF(OFFSET(CRONOPLE!$F$15,$M381-$A$15,AM$13)="",10^12,OFFSET(CRONOPLE!$F$15,$M381-$A$15,AM$13)))</f>
        <v>1000000000000</v>
      </c>
      <c r="AN381" s="172">
        <f ca="1">IF(OR($D381&lt;&gt;"Serviço",AND(AUTOEVENTO="Manual",$M381=$A$15)),0,
         IF(OFFSET(CRONOPLE!$F$15,$M381-$A$15,AN$13)="",10^12,OFFSET(CRONOPLE!$F$15,$M381-$A$15,AN$13)))</f>
        <v>1000000000000</v>
      </c>
      <c r="AO381" s="172">
        <f ca="1">IF(OR($D381&lt;&gt;"Serviço",AND(AUTOEVENTO="Manual",$M381=$A$15)),0,
         IF(OFFSET(CRONOPLE!$F$15,$M381-$A$15,AO$13)="",10^12,OFFSET(CRONOPLE!$F$15,$M381-$A$15,AO$13)))</f>
        <v>1000000000000</v>
      </c>
      <c r="AP381" s="172">
        <f ca="1">IF(OR($D381&lt;&gt;"Serviço",AND(AUTOEVENTO="Manual",$M381=$A$15)),0,
         IF(OFFSET(CRONOPLE!$F$15,$M381-$A$15,AP$13)="",10^12,OFFSET(CRONOPLE!$F$15,$M381-$A$15,AP$13)))</f>
        <v>1000000000000</v>
      </c>
      <c r="AQ381" s="172">
        <f ca="1">IF(OR($D381&lt;&gt;"Serviço",AND(AUTOEVENTO="Manual",$M381=$A$15)),0,
         IF(OFFSET(CRONOPLE!$F$15,$M381-$A$15,AQ$13)="",10^12,OFFSET(CRONOPLE!$F$15,$M381-$A$15,AQ$13)))</f>
        <v>1000000000000</v>
      </c>
      <c r="AR381" s="172">
        <f ca="1">IF(OR($D381&lt;&gt;"Serviço",AND(AUTOEVENTO="Manual",$M381=$A$15)),0,
         IF(OFFSET(CRONOPLE!$F$15,$M381-$A$15,AR$13)="",10^12,OFFSET(CRONOPLE!$F$15,$M381-$A$15,AR$13)))</f>
        <v>1000000000000</v>
      </c>
      <c r="AS381" s="172">
        <f ca="1">IF(OR($D381&lt;&gt;"Serviço",AND(AUTOEVENTO="Manual",$M381=$A$15)),0,
         IF(OFFSET(CRONOPLE!$F$15,$M381-$A$15,AS$13)="",10^12,OFFSET(CRONOPLE!$F$15,$M381-$A$15,AS$13)))</f>
        <v>1000000000000</v>
      </c>
      <c r="AT381" s="172">
        <f ca="1">IF(OR($D381&lt;&gt;"Serviço",AND(AUTOEVENTO="Manual",$M381=$A$15)),0,
         IF(OFFSET(CRONOPLE!$F$15,$M381-$A$15,AT$13)="",10^12,OFFSET(CRONOPLE!$F$15,$M381-$A$15,AT$13)))</f>
        <v>1000000000000</v>
      </c>
      <c r="AU381" s="172">
        <f ca="1">IF(OR($D381&lt;&gt;"Serviço",AND(AUTOEVENTO="Manual",$M381=$A$15)),0,
         IF(OFFSET(CRONOPLE!$F$15,$M381-$A$15,AU$13)="",10^12,OFFSET(CRONOPLE!$F$15,$M381-$A$15,AU$13)))</f>
        <v>1000000000000</v>
      </c>
      <c r="AV381" s="172">
        <f ca="1">IF(OR($D381&lt;&gt;"Serviço",AND(AUTOEVENTO="Manual",$M381=$A$15)),0,
         IF(OFFSET(CRONOPLE!$F$15,$M381-$A$15,AV$13)="",10^12,OFFSET(CRONOPLE!$F$15,$M381-$A$15,AV$13)))</f>
        <v>1000000000000</v>
      </c>
      <c r="AX381" s="173">
        <f ca="1">IF(OR($D381&lt;&gt;"Serviço",AND(AUTOEVENTO="Manual",$M381=$A$15),$M381&gt;(ROW(PLE.lastrow)-ROW(PLE.firstrow))),0,
           IF(OFFSET(PLE!$G$15,$M381-$A$15,AX$13)="",10^12,OFFSET(PLE!$G$15,$M381-$A$15,AX$13)))</f>
        <v>1000000000000</v>
      </c>
      <c r="AY381" s="173">
        <f ca="1">IF(OR($D381&lt;&gt;"Serviço",AND(AUTOEVENTO="Manual",$M381=$A$15),$M381&gt;(ROW(PLE.lastrow)-ROW(PLE.firstrow))),0,
           IF(OFFSET(PLE!$G$15,$M381-$A$15,AY$13)="",10^12,OFFSET(PLE!$G$15,$M381-$A$15,AY$13)))</f>
        <v>1000000000000</v>
      </c>
      <c r="AZ381" s="173">
        <f ca="1">IF(OR($D381&lt;&gt;"Serviço",AND(AUTOEVENTO="Manual",$M381=$A$15),$M381&gt;(ROW(PLE.lastrow)-ROW(PLE.firstrow))),0,
           IF(OFFSET(PLE!$G$15,$M381-$A$15,AZ$13)="",10^12,OFFSET(PLE!$G$15,$M381-$A$15,AZ$13)))</f>
        <v>1000000000000</v>
      </c>
      <c r="BA381" s="173">
        <f ca="1">IF(OR($D381&lt;&gt;"Serviço",AND(AUTOEVENTO="Manual",$M381=$A$15),$M381&gt;(ROW(PLE.lastrow)-ROW(PLE.firstrow))),0,
           IF(OFFSET(PLE!$G$15,$M381-$A$15,BA$13)="",10^12,OFFSET(PLE!$G$15,$M381-$A$15,BA$13)))</f>
        <v>1000000000000</v>
      </c>
      <c r="BB381" s="173">
        <f ca="1">IF(OR($D381&lt;&gt;"Serviço",AND(AUTOEVENTO="Manual",$M381=$A$15),$M381&gt;(ROW(PLE.lastrow)-ROW(PLE.firstrow))),0,
           IF(OFFSET(PLE!$G$15,$M381-$A$15,BB$13)="",10^12,OFFSET(PLE!$G$15,$M381-$A$15,BB$13)))</f>
        <v>1000000000000</v>
      </c>
      <c r="BC381" s="173">
        <f ca="1">IF(OR($D381&lt;&gt;"Serviço",AND(AUTOEVENTO="Manual",$M381=$A$15),$M381&gt;(ROW(PLE.lastrow)-ROW(PLE.firstrow))),0,
           IF(OFFSET(PLE!$G$15,$M381-$A$15,BC$13)="",10^12,OFFSET(PLE!$G$15,$M381-$A$15,BC$13)))</f>
        <v>1000000000000</v>
      </c>
      <c r="BD381" s="173">
        <f ca="1">IF(OR($D381&lt;&gt;"Serviço",AND(AUTOEVENTO="Manual",$M381=$A$15),$M381&gt;(ROW(PLE.lastrow)-ROW(PLE.firstrow))),0,
           IF(OFFSET(PLE!$G$15,$M381-$A$15,BD$13)="",10^12,OFFSET(PLE!$G$15,$M381-$A$15,BD$13)))</f>
        <v>1000000000000</v>
      </c>
      <c r="BE381" s="173">
        <f ca="1">IF(OR($D381&lt;&gt;"Serviço",AND(AUTOEVENTO="Manual",$M381=$A$15),$M381&gt;(ROW(PLE.lastrow)-ROW(PLE.firstrow))),0,
           IF(OFFSET(PLE!$G$15,$M381-$A$15,BE$13)="",10^12,OFFSET(PLE!$G$15,$M381-$A$15,BE$13)))</f>
        <v>1000000000000</v>
      </c>
      <c r="BF381" s="173">
        <f ca="1">IF(OR($D381&lt;&gt;"Serviço",AND(AUTOEVENTO="Manual",$M381=$A$15),$M381&gt;(ROW(PLE.lastrow)-ROW(PLE.firstrow))),0,
           IF(OFFSET(PLE!$G$15,$M381-$A$15,BF$13)="",10^12,OFFSET(PLE!$G$15,$M381-$A$15,BF$13)))</f>
        <v>1000000000000</v>
      </c>
      <c r="BG381" s="173">
        <f ca="1">IF(OR($D381&lt;&gt;"Serviço",AND(AUTOEVENTO="Manual",$M381=$A$15),$M381&gt;(ROW(PLE.lastrow)-ROW(PLE.firstrow))),0,
           IF(OFFSET(PLE!$G$15,$M381-$A$15,BG$13)="",10^12,OFFSET(PLE!$G$15,$M381-$A$15,BG$13)))</f>
        <v>1000000000000</v>
      </c>
    </row>
    <row r="382" spans="1:59" ht="25.5" x14ac:dyDescent="0.2">
      <c r="A382" s="7" t="str">
        <f t="shared" ca="1" si="13"/>
        <v>365</v>
      </c>
      <c r="B382" s="7" t="str">
        <f ca="1">OFFSET(ORÇAMENTO!C$15,ROW(B382)-ROW(B$15),0)</f>
        <v>S</v>
      </c>
      <c r="C382" s="7" t="str">
        <f ca="1">OFFSET(ORÇAMENTO!L$15,ROW(C382)-ROW(C$15),0)</f>
        <v/>
      </c>
      <c r="D382" s="117" t="str">
        <f ca="1">OFFSET(ORÇAMENTO!N$15,ROW(D382)-ROW(D$15),0)</f>
        <v>Serviço</v>
      </c>
      <c r="E382" s="118" t="str">
        <f ca="1">OFFSET(ORÇAMENTO!O$15,ROW(E382)-ROW(E$15),0)</f>
        <v>-</v>
      </c>
      <c r="F382" s="164" t="str">
        <f ca="1">OFFSET(ORÇAMENTO!R$15,ROW(F382)-ROW(F$15),0)</f>
        <v>HASTE DE ATERRAMENTO TIPO COPPERWELD ALTA CAMADA (254 MICRONS) Ø5/8" X 2,4M</v>
      </c>
      <c r="G382" s="165" t="str">
        <f ca="1">IF($D382&lt;&gt;"Serviço","",OFFSET(ORÇAMENTO!S$15,ROW(G382)-ROW(G$15),0))</f>
        <v xml:space="preserve">UN    </v>
      </c>
      <c r="H382" s="123">
        <f ca="1">IF($D382&lt;&gt;"Serviço",0,IF(ACOMPANHAMENTO="BM",ROUND(OFFSET(ORÇAMENTO!AJ$15,ROW(H382)-ROW(H$15),0),15-13*ORÇAMENTO!$AF$7),SUMPRODUCT(($Q$1:$AA$1=1)*ROUND($Q382:$AA382,15-13*ORÇAMENTO!$AF$7))))</f>
        <v>134.24</v>
      </c>
      <c r="I382" s="469"/>
      <c r="J382" s="577" t="str" cm="1">
        <f t="array" aca="1" ref="J382" ca="1">IF(B382&lt;&gt;"S","",IF(AND(ACOMPANHAMENTO="PLE",AUTOEVENTO="Manual",OR(H382&gt;0,ORÇAMENTO!AC382="QUANT."),OR(K382="",M382=0,N382="")),"►",IF(AND(ACOMPANHAMENTO="PLE",ORÇAMENTO!AC382="QUANT."),"►►",IF(AND(COUNTIF($P$11:$AA$11,"▼")=0,H382&gt;0,I382=""),"◄",""))))</f>
        <v>◄</v>
      </c>
      <c r="K382" s="626"/>
      <c r="L382" s="166" t="s">
        <v>765</v>
      </c>
      <c r="M382" s="167">
        <f ca="1">IF($D382&lt;&gt;"Serviço","",
          IF(AUTOEVENTO="manual",$A382,
                IF(ISERROR(MATCH($A382,$A$15:OFFSET($A382,-1,0),0)),MAX($M$15:OFFSET(M382,-1,0))+1,
                      INDEX($M$15:OFFSET(M382,-1,0),MATCH($A382,$A$15:OFFSET($A382,-1,0),0)))))</f>
        <v>21</v>
      </c>
      <c r="N382" s="168" t="str">
        <f ca="1">IF($D382&lt;&gt;"Serviço","",
         IF(AUTOEVENTO="Manual",
                IF($A382=0,"&lt;-- defina o número do agrupador",
                       OFFSET(EVENTOS!$D$15,$A382-$A$15,0)),
                OFFSET($F$15,$A382,0)))</f>
        <v>SPDA</v>
      </c>
      <c r="O382" s="169"/>
      <c r="Q382" s="169"/>
      <c r="R382" s="170"/>
      <c r="S382" s="170"/>
      <c r="T382" s="170"/>
      <c r="U382" s="170"/>
      <c r="V382" s="170"/>
      <c r="W382" s="170"/>
      <c r="X382" s="170"/>
      <c r="Y382" s="170"/>
      <c r="Z382" s="171"/>
      <c r="AB382" s="454">
        <f ca="1">IF(AND($D382="Serviço",AB$12&lt;&gt;0,$H382&gt;0,OR(AUTOEVENTO&lt;&gt;"manual",$M382&lt;&gt;$A$15)),
        IF(Import.TipoArredondamento&lt;&gt;"TransfereGOV",
              ROUND(OFFSET($P382,0,AB$13),15-13*ORÇAMENTO!$AF$7)/$H382*OFFSET(ORÇAMENTO!$X$15,ROW(AB382)-ROW(AB$15),0),
              ROUND(ROUND(OFFSET($P382,0,AB$13),15-13*ORÇAMENTO!$AF$7)*OFFSET(ORÇAMENTO!$W$15,ROW(AB382)-ROW(AB$15),0),15-13*ORÇAMENTO!$AF$11)),
         0)</f>
        <v>0</v>
      </c>
      <c r="AC382" s="454">
        <f ca="1">IF(AND($D382="Serviço",AC$12&lt;&gt;0,$H382&gt;0,OR(AUTOEVENTO&lt;&gt;"manual",$M382&lt;&gt;$A$15)),
        IF(Import.TipoArredondamento&lt;&gt;"TransfereGOV",
              ROUND(OFFSET($P382,0,AC$13),15-13*ORÇAMENTO!$AF$7)/$H382*OFFSET(ORÇAMENTO!$X$15,ROW(AC382)-ROW(AC$15),0),
              ROUND(ROUND(OFFSET($P382,0,AC$13),15-13*ORÇAMENTO!$AF$7)*OFFSET(ORÇAMENTO!$W$15,ROW(AC382)-ROW(AC$15),0),15-13*ORÇAMENTO!$AF$11)),
         0)</f>
        <v>0</v>
      </c>
      <c r="AD382" s="454">
        <f ca="1">IF(AND($D382="Serviço",AD$12&lt;&gt;0,$H382&gt;0,OR(AUTOEVENTO&lt;&gt;"manual",$M382&lt;&gt;$A$15)),
        IF(Import.TipoArredondamento&lt;&gt;"TransfereGOV",
              ROUND(OFFSET($P382,0,AD$13),15-13*ORÇAMENTO!$AF$7)/$H382*OFFSET(ORÇAMENTO!$X$15,ROW(AD382)-ROW(AD$15),0),
              ROUND(ROUND(OFFSET($P382,0,AD$13),15-13*ORÇAMENTO!$AF$7)*OFFSET(ORÇAMENTO!$W$15,ROW(AD382)-ROW(AD$15),0),15-13*ORÇAMENTO!$AF$11)),
         0)</f>
        <v>0</v>
      </c>
      <c r="AE382" s="454">
        <f ca="1">IF(AND($D382="Serviço",AE$12&lt;&gt;0,$H382&gt;0,OR(AUTOEVENTO&lt;&gt;"manual",$M382&lt;&gt;$A$15)),
        IF(Import.TipoArredondamento&lt;&gt;"TransfereGOV",
              ROUND(OFFSET($P382,0,AE$13),15-13*ORÇAMENTO!$AF$7)/$H382*OFFSET(ORÇAMENTO!$X$15,ROW(AE382)-ROW(AE$15),0),
              ROUND(ROUND(OFFSET($P382,0,AE$13),15-13*ORÇAMENTO!$AF$7)*OFFSET(ORÇAMENTO!$W$15,ROW(AE382)-ROW(AE$15),0),15-13*ORÇAMENTO!$AF$11)),
         0)</f>
        <v>0</v>
      </c>
      <c r="AF382" s="454">
        <f ca="1">IF(AND($D382="Serviço",AF$12&lt;&gt;0,$H382&gt;0,OR(AUTOEVENTO&lt;&gt;"manual",$M382&lt;&gt;$A$15)),
        IF(Import.TipoArredondamento&lt;&gt;"TransfereGOV",
              ROUND(OFFSET($P382,0,AF$13),15-13*ORÇAMENTO!$AF$7)/$H382*OFFSET(ORÇAMENTO!$X$15,ROW(AF382)-ROW(AF$15),0),
              ROUND(ROUND(OFFSET($P382,0,AF$13),15-13*ORÇAMENTO!$AF$7)*OFFSET(ORÇAMENTO!$W$15,ROW(AF382)-ROW(AF$15),0),15-13*ORÇAMENTO!$AF$11)),
         0)</f>
        <v>0</v>
      </c>
      <c r="AG382" s="454">
        <f ca="1">IF(AND($D382="Serviço",AG$12&lt;&gt;0,$H382&gt;0,OR(AUTOEVENTO&lt;&gt;"manual",$M382&lt;&gt;$A$15)),
        IF(Import.TipoArredondamento&lt;&gt;"TransfereGOV",
              ROUND(OFFSET($P382,0,AG$13),15-13*ORÇAMENTO!$AF$7)/$H382*OFFSET(ORÇAMENTO!$X$15,ROW(AG382)-ROW(AG$15),0),
              ROUND(ROUND(OFFSET($P382,0,AG$13),15-13*ORÇAMENTO!$AF$7)*OFFSET(ORÇAMENTO!$W$15,ROW(AG382)-ROW(AG$15),0),15-13*ORÇAMENTO!$AF$11)),
         0)</f>
        <v>0</v>
      </c>
      <c r="AH382" s="454">
        <f ca="1">IF(AND($D382="Serviço",AH$12&lt;&gt;0,$H382&gt;0,OR(AUTOEVENTO&lt;&gt;"manual",$M382&lt;&gt;$A$15)),
        IF(Import.TipoArredondamento&lt;&gt;"TransfereGOV",
              ROUND(OFFSET($P382,0,AH$13),15-13*ORÇAMENTO!$AF$7)/$H382*OFFSET(ORÇAMENTO!$X$15,ROW(AH382)-ROW(AH$15),0),
              ROUND(ROUND(OFFSET($P382,0,AH$13),15-13*ORÇAMENTO!$AF$7)*OFFSET(ORÇAMENTO!$W$15,ROW(AH382)-ROW(AH$15),0),15-13*ORÇAMENTO!$AF$11)),
         0)</f>
        <v>0</v>
      </c>
      <c r="AI382" s="454">
        <f ca="1">IF(AND($D382="Serviço",AI$12&lt;&gt;0,$H382&gt;0,OR(AUTOEVENTO&lt;&gt;"manual",$M382&lt;&gt;$A$15)),
        IF(Import.TipoArredondamento&lt;&gt;"TransfereGOV",
              ROUND(OFFSET($P382,0,AI$13),15-13*ORÇAMENTO!$AF$7)/$H382*OFFSET(ORÇAMENTO!$X$15,ROW(AI382)-ROW(AI$15),0),
              ROUND(ROUND(OFFSET($P382,0,AI$13),15-13*ORÇAMENTO!$AF$7)*OFFSET(ORÇAMENTO!$W$15,ROW(AI382)-ROW(AI$15),0),15-13*ORÇAMENTO!$AF$11)),
         0)</f>
        <v>0</v>
      </c>
      <c r="AJ382" s="454">
        <f ca="1">IF(AND($D382="Serviço",AJ$12&lt;&gt;0,$H382&gt;0,OR(AUTOEVENTO&lt;&gt;"manual",$M382&lt;&gt;$A$15)),
        IF(Import.TipoArredondamento&lt;&gt;"TransfereGOV",
              ROUND(OFFSET($P382,0,AJ$13),15-13*ORÇAMENTO!$AF$7)/$H382*OFFSET(ORÇAMENTO!$X$15,ROW(AJ382)-ROW(AJ$15),0),
              ROUND(ROUND(OFFSET($P382,0,AJ$13),15-13*ORÇAMENTO!$AF$7)*OFFSET(ORÇAMENTO!$W$15,ROW(AJ382)-ROW(AJ$15),0),15-13*ORÇAMENTO!$AF$11)),
         0)</f>
        <v>0</v>
      </c>
      <c r="AK382" s="454">
        <f ca="1">IF(AND($D382="Serviço",AK$12&lt;&gt;0,$H382&gt;0,OR(AUTOEVENTO&lt;&gt;"manual",$M382&lt;&gt;$A$15)),
        IF(Import.TipoArredondamento&lt;&gt;"TransfereGOV",
              ROUND(OFFSET($P382,0,AK$13),15-13*ORÇAMENTO!$AF$7)/$H382*OFFSET(ORÇAMENTO!$X$15,ROW(AK382)-ROW(AK$15),0),
              ROUND(ROUND(OFFSET($P382,0,AK$13),15-13*ORÇAMENTO!$AF$7)*OFFSET(ORÇAMENTO!$W$15,ROW(AK382)-ROW(AK$15),0),15-13*ORÇAMENTO!$AF$11)),
         0)</f>
        <v>0</v>
      </c>
      <c r="AM382" s="172">
        <f ca="1">IF(OR($D382&lt;&gt;"Serviço",AND(AUTOEVENTO="Manual",$M382=$A$15)),0,
         IF(OFFSET(CRONOPLE!$F$15,$M382-$A$15,AM$13)="",10^12,OFFSET(CRONOPLE!$F$15,$M382-$A$15,AM$13)))</f>
        <v>1000000000000</v>
      </c>
      <c r="AN382" s="172">
        <f ca="1">IF(OR($D382&lt;&gt;"Serviço",AND(AUTOEVENTO="Manual",$M382=$A$15)),0,
         IF(OFFSET(CRONOPLE!$F$15,$M382-$A$15,AN$13)="",10^12,OFFSET(CRONOPLE!$F$15,$M382-$A$15,AN$13)))</f>
        <v>1000000000000</v>
      </c>
      <c r="AO382" s="172">
        <f ca="1">IF(OR($D382&lt;&gt;"Serviço",AND(AUTOEVENTO="Manual",$M382=$A$15)),0,
         IF(OFFSET(CRONOPLE!$F$15,$M382-$A$15,AO$13)="",10^12,OFFSET(CRONOPLE!$F$15,$M382-$A$15,AO$13)))</f>
        <v>1000000000000</v>
      </c>
      <c r="AP382" s="172">
        <f ca="1">IF(OR($D382&lt;&gt;"Serviço",AND(AUTOEVENTO="Manual",$M382=$A$15)),0,
         IF(OFFSET(CRONOPLE!$F$15,$M382-$A$15,AP$13)="",10^12,OFFSET(CRONOPLE!$F$15,$M382-$A$15,AP$13)))</f>
        <v>1000000000000</v>
      </c>
      <c r="AQ382" s="172">
        <f ca="1">IF(OR($D382&lt;&gt;"Serviço",AND(AUTOEVENTO="Manual",$M382=$A$15)),0,
         IF(OFFSET(CRONOPLE!$F$15,$M382-$A$15,AQ$13)="",10^12,OFFSET(CRONOPLE!$F$15,$M382-$A$15,AQ$13)))</f>
        <v>1000000000000</v>
      </c>
      <c r="AR382" s="172">
        <f ca="1">IF(OR($D382&lt;&gt;"Serviço",AND(AUTOEVENTO="Manual",$M382=$A$15)),0,
         IF(OFFSET(CRONOPLE!$F$15,$M382-$A$15,AR$13)="",10^12,OFFSET(CRONOPLE!$F$15,$M382-$A$15,AR$13)))</f>
        <v>1000000000000</v>
      </c>
      <c r="AS382" s="172">
        <f ca="1">IF(OR($D382&lt;&gt;"Serviço",AND(AUTOEVENTO="Manual",$M382=$A$15)),0,
         IF(OFFSET(CRONOPLE!$F$15,$M382-$A$15,AS$13)="",10^12,OFFSET(CRONOPLE!$F$15,$M382-$A$15,AS$13)))</f>
        <v>1000000000000</v>
      </c>
      <c r="AT382" s="172">
        <f ca="1">IF(OR($D382&lt;&gt;"Serviço",AND(AUTOEVENTO="Manual",$M382=$A$15)),0,
         IF(OFFSET(CRONOPLE!$F$15,$M382-$A$15,AT$13)="",10^12,OFFSET(CRONOPLE!$F$15,$M382-$A$15,AT$13)))</f>
        <v>1000000000000</v>
      </c>
      <c r="AU382" s="172">
        <f ca="1">IF(OR($D382&lt;&gt;"Serviço",AND(AUTOEVENTO="Manual",$M382=$A$15)),0,
         IF(OFFSET(CRONOPLE!$F$15,$M382-$A$15,AU$13)="",10^12,OFFSET(CRONOPLE!$F$15,$M382-$A$15,AU$13)))</f>
        <v>1000000000000</v>
      </c>
      <c r="AV382" s="172">
        <f ca="1">IF(OR($D382&lt;&gt;"Serviço",AND(AUTOEVENTO="Manual",$M382=$A$15)),0,
         IF(OFFSET(CRONOPLE!$F$15,$M382-$A$15,AV$13)="",10^12,OFFSET(CRONOPLE!$F$15,$M382-$A$15,AV$13)))</f>
        <v>1000000000000</v>
      </c>
      <c r="AX382" s="173">
        <f ca="1">IF(OR($D382&lt;&gt;"Serviço",AND(AUTOEVENTO="Manual",$M382=$A$15),$M382&gt;(ROW(PLE.lastrow)-ROW(PLE.firstrow))),0,
           IF(OFFSET(PLE!$G$15,$M382-$A$15,AX$13)="",10^12,OFFSET(PLE!$G$15,$M382-$A$15,AX$13)))</f>
        <v>1000000000000</v>
      </c>
      <c r="AY382" s="173">
        <f ca="1">IF(OR($D382&lt;&gt;"Serviço",AND(AUTOEVENTO="Manual",$M382=$A$15),$M382&gt;(ROW(PLE.lastrow)-ROW(PLE.firstrow))),0,
           IF(OFFSET(PLE!$G$15,$M382-$A$15,AY$13)="",10^12,OFFSET(PLE!$G$15,$M382-$A$15,AY$13)))</f>
        <v>1000000000000</v>
      </c>
      <c r="AZ382" s="173">
        <f ca="1">IF(OR($D382&lt;&gt;"Serviço",AND(AUTOEVENTO="Manual",$M382=$A$15),$M382&gt;(ROW(PLE.lastrow)-ROW(PLE.firstrow))),0,
           IF(OFFSET(PLE!$G$15,$M382-$A$15,AZ$13)="",10^12,OFFSET(PLE!$G$15,$M382-$A$15,AZ$13)))</f>
        <v>1000000000000</v>
      </c>
      <c r="BA382" s="173">
        <f ca="1">IF(OR($D382&lt;&gt;"Serviço",AND(AUTOEVENTO="Manual",$M382=$A$15),$M382&gt;(ROW(PLE.lastrow)-ROW(PLE.firstrow))),0,
           IF(OFFSET(PLE!$G$15,$M382-$A$15,BA$13)="",10^12,OFFSET(PLE!$G$15,$M382-$A$15,BA$13)))</f>
        <v>1000000000000</v>
      </c>
      <c r="BB382" s="173">
        <f ca="1">IF(OR($D382&lt;&gt;"Serviço",AND(AUTOEVENTO="Manual",$M382=$A$15),$M382&gt;(ROW(PLE.lastrow)-ROW(PLE.firstrow))),0,
           IF(OFFSET(PLE!$G$15,$M382-$A$15,BB$13)="",10^12,OFFSET(PLE!$G$15,$M382-$A$15,BB$13)))</f>
        <v>1000000000000</v>
      </c>
      <c r="BC382" s="173">
        <f ca="1">IF(OR($D382&lt;&gt;"Serviço",AND(AUTOEVENTO="Manual",$M382=$A$15),$M382&gt;(ROW(PLE.lastrow)-ROW(PLE.firstrow))),0,
           IF(OFFSET(PLE!$G$15,$M382-$A$15,BC$13)="",10^12,OFFSET(PLE!$G$15,$M382-$A$15,BC$13)))</f>
        <v>1000000000000</v>
      </c>
      <c r="BD382" s="173">
        <f ca="1">IF(OR($D382&lt;&gt;"Serviço",AND(AUTOEVENTO="Manual",$M382=$A$15),$M382&gt;(ROW(PLE.lastrow)-ROW(PLE.firstrow))),0,
           IF(OFFSET(PLE!$G$15,$M382-$A$15,BD$13)="",10^12,OFFSET(PLE!$G$15,$M382-$A$15,BD$13)))</f>
        <v>1000000000000</v>
      </c>
      <c r="BE382" s="173">
        <f ca="1">IF(OR($D382&lt;&gt;"Serviço",AND(AUTOEVENTO="Manual",$M382=$A$15),$M382&gt;(ROW(PLE.lastrow)-ROW(PLE.firstrow))),0,
           IF(OFFSET(PLE!$G$15,$M382-$A$15,BE$13)="",10^12,OFFSET(PLE!$G$15,$M382-$A$15,BE$13)))</f>
        <v>1000000000000</v>
      </c>
      <c r="BF382" s="173">
        <f ca="1">IF(OR($D382&lt;&gt;"Serviço",AND(AUTOEVENTO="Manual",$M382=$A$15),$M382&gt;(ROW(PLE.lastrow)-ROW(PLE.firstrow))),0,
           IF(OFFSET(PLE!$G$15,$M382-$A$15,BF$13)="",10^12,OFFSET(PLE!$G$15,$M382-$A$15,BF$13)))</f>
        <v>1000000000000</v>
      </c>
      <c r="BG382" s="173">
        <f ca="1">IF(OR($D382&lt;&gt;"Serviço",AND(AUTOEVENTO="Manual",$M382=$A$15),$M382&gt;(ROW(PLE.lastrow)-ROW(PLE.firstrow))),0,
           IF(OFFSET(PLE!$G$15,$M382-$A$15,BG$13)="",10^12,OFFSET(PLE!$G$15,$M382-$A$15,BG$13)))</f>
        <v>1000000000000</v>
      </c>
    </row>
    <row r="383" spans="1:59" ht="38.25" x14ac:dyDescent="0.2">
      <c r="A383" s="7" t="str">
        <f t="shared" ca="1" si="13"/>
        <v>365</v>
      </c>
      <c r="B383" s="7" t="str">
        <f ca="1">OFFSET(ORÇAMENTO!C$15,ROW(B383)-ROW(B$15),0)</f>
        <v>S</v>
      </c>
      <c r="C383" s="7" t="str">
        <f ca="1">OFFSET(ORÇAMENTO!L$15,ROW(C383)-ROW(C$15),0)</f>
        <v/>
      </c>
      <c r="D383" s="117" t="str">
        <f ca="1">OFFSET(ORÇAMENTO!N$15,ROW(D383)-ROW(D$15),0)</f>
        <v>Serviço</v>
      </c>
      <c r="E383" s="118" t="str">
        <f ca="1">OFFSET(ORÇAMENTO!O$15,ROW(E383)-ROW(E$15),0)</f>
        <v>-</v>
      </c>
      <c r="F383" s="164" t="str">
        <f ca="1">OFFSET(ORÇAMENTO!R$15,ROW(F383)-ROW(F$15),0)</f>
        <v>TERMINAL AÉREO DE BARRA CHATA DE ALUMÍNIO 7/8" X 1/8" / 600MM COM PARAFUSO DE FIXAÇÃO EM INOX OU ALUMÍNIO, AUTOPERFURANTE, SEXTAVADO - FORNECIMENTO E INSTALAÇÃO</v>
      </c>
      <c r="G383" s="165" t="str">
        <f ca="1">IF($D383&lt;&gt;"Serviço","",OFFSET(ORÇAMENTO!S$15,ROW(G383)-ROW(G$15),0))</f>
        <v xml:space="preserve">UN    </v>
      </c>
      <c r="H383" s="123">
        <f ca="1">IF($D383&lt;&gt;"Serviço",0,IF(ACOMPANHAMENTO="BM",ROUND(OFFSET(ORÇAMENTO!AJ$15,ROW(H383)-ROW(H$15),0),15-13*ORÇAMENTO!$AF$7),SUMPRODUCT(($Q$1:$AA$1=1)*ROUND($Q383:$AA383,15-13*ORÇAMENTO!$AF$7))))</f>
        <v>53.86</v>
      </c>
      <c r="I383" s="469"/>
      <c r="J383" s="577" t="str" cm="1">
        <f t="array" aca="1" ref="J383" ca="1">IF(B383&lt;&gt;"S","",IF(AND(ACOMPANHAMENTO="PLE",AUTOEVENTO="Manual",OR(H383&gt;0,ORÇAMENTO!AC383="QUANT."),OR(K383="",M383=0,N383="")),"►",IF(AND(ACOMPANHAMENTO="PLE",ORÇAMENTO!AC383="QUANT."),"►►",IF(AND(COUNTIF($P$11:$AA$11,"▼")=0,H383&gt;0,I383=""),"◄",""))))</f>
        <v>◄</v>
      </c>
      <c r="K383" s="626"/>
      <c r="L383" s="166" t="s">
        <v>765</v>
      </c>
      <c r="M383" s="167">
        <f ca="1">IF($D383&lt;&gt;"Serviço","",
          IF(AUTOEVENTO="manual",$A383,
                IF(ISERROR(MATCH($A383,$A$15:OFFSET($A383,-1,0),0)),MAX($M$15:OFFSET(M383,-1,0))+1,
                      INDEX($M$15:OFFSET(M383,-1,0),MATCH($A383,$A$15:OFFSET($A383,-1,0),0)))))</f>
        <v>21</v>
      </c>
      <c r="N383" s="168" t="str">
        <f ca="1">IF($D383&lt;&gt;"Serviço","",
         IF(AUTOEVENTO="Manual",
                IF($A383=0,"&lt;-- defina o número do agrupador",
                       OFFSET(EVENTOS!$D$15,$A383-$A$15,0)),
                OFFSET($F$15,$A383,0)))</f>
        <v>SPDA</v>
      </c>
      <c r="O383" s="169"/>
      <c r="Q383" s="169"/>
      <c r="R383" s="170"/>
      <c r="S383" s="170"/>
      <c r="T383" s="170"/>
      <c r="U383" s="170"/>
      <c r="V383" s="170"/>
      <c r="W383" s="170"/>
      <c r="X383" s="170"/>
      <c r="Y383" s="170"/>
      <c r="Z383" s="171"/>
      <c r="AB383" s="454">
        <f ca="1">IF(AND($D383="Serviço",AB$12&lt;&gt;0,$H383&gt;0,OR(AUTOEVENTO&lt;&gt;"manual",$M383&lt;&gt;$A$15)),
        IF(Import.TipoArredondamento&lt;&gt;"TransfereGOV",
              ROUND(OFFSET($P383,0,AB$13),15-13*ORÇAMENTO!$AF$7)/$H383*OFFSET(ORÇAMENTO!$X$15,ROW(AB383)-ROW(AB$15),0),
              ROUND(ROUND(OFFSET($P383,0,AB$13),15-13*ORÇAMENTO!$AF$7)*OFFSET(ORÇAMENTO!$W$15,ROW(AB383)-ROW(AB$15),0),15-13*ORÇAMENTO!$AF$11)),
         0)</f>
        <v>0</v>
      </c>
      <c r="AC383" s="454">
        <f ca="1">IF(AND($D383="Serviço",AC$12&lt;&gt;0,$H383&gt;0,OR(AUTOEVENTO&lt;&gt;"manual",$M383&lt;&gt;$A$15)),
        IF(Import.TipoArredondamento&lt;&gt;"TransfereGOV",
              ROUND(OFFSET($P383,0,AC$13),15-13*ORÇAMENTO!$AF$7)/$H383*OFFSET(ORÇAMENTO!$X$15,ROW(AC383)-ROW(AC$15),0),
              ROUND(ROUND(OFFSET($P383,0,AC$13),15-13*ORÇAMENTO!$AF$7)*OFFSET(ORÇAMENTO!$W$15,ROW(AC383)-ROW(AC$15),0),15-13*ORÇAMENTO!$AF$11)),
         0)</f>
        <v>0</v>
      </c>
      <c r="AD383" s="454">
        <f ca="1">IF(AND($D383="Serviço",AD$12&lt;&gt;0,$H383&gt;0,OR(AUTOEVENTO&lt;&gt;"manual",$M383&lt;&gt;$A$15)),
        IF(Import.TipoArredondamento&lt;&gt;"TransfereGOV",
              ROUND(OFFSET($P383,0,AD$13),15-13*ORÇAMENTO!$AF$7)/$H383*OFFSET(ORÇAMENTO!$X$15,ROW(AD383)-ROW(AD$15),0),
              ROUND(ROUND(OFFSET($P383,0,AD$13),15-13*ORÇAMENTO!$AF$7)*OFFSET(ORÇAMENTO!$W$15,ROW(AD383)-ROW(AD$15),0),15-13*ORÇAMENTO!$AF$11)),
         0)</f>
        <v>0</v>
      </c>
      <c r="AE383" s="454">
        <f ca="1">IF(AND($D383="Serviço",AE$12&lt;&gt;0,$H383&gt;0,OR(AUTOEVENTO&lt;&gt;"manual",$M383&lt;&gt;$A$15)),
        IF(Import.TipoArredondamento&lt;&gt;"TransfereGOV",
              ROUND(OFFSET($P383,0,AE$13),15-13*ORÇAMENTO!$AF$7)/$H383*OFFSET(ORÇAMENTO!$X$15,ROW(AE383)-ROW(AE$15),0),
              ROUND(ROUND(OFFSET($P383,0,AE$13),15-13*ORÇAMENTO!$AF$7)*OFFSET(ORÇAMENTO!$W$15,ROW(AE383)-ROW(AE$15),0),15-13*ORÇAMENTO!$AF$11)),
         0)</f>
        <v>0</v>
      </c>
      <c r="AF383" s="454">
        <f ca="1">IF(AND($D383="Serviço",AF$12&lt;&gt;0,$H383&gt;0,OR(AUTOEVENTO&lt;&gt;"manual",$M383&lt;&gt;$A$15)),
        IF(Import.TipoArredondamento&lt;&gt;"TransfereGOV",
              ROUND(OFFSET($P383,0,AF$13),15-13*ORÇAMENTO!$AF$7)/$H383*OFFSET(ORÇAMENTO!$X$15,ROW(AF383)-ROW(AF$15),0),
              ROUND(ROUND(OFFSET($P383,0,AF$13),15-13*ORÇAMENTO!$AF$7)*OFFSET(ORÇAMENTO!$W$15,ROW(AF383)-ROW(AF$15),0),15-13*ORÇAMENTO!$AF$11)),
         0)</f>
        <v>0</v>
      </c>
      <c r="AG383" s="454">
        <f ca="1">IF(AND($D383="Serviço",AG$12&lt;&gt;0,$H383&gt;0,OR(AUTOEVENTO&lt;&gt;"manual",$M383&lt;&gt;$A$15)),
        IF(Import.TipoArredondamento&lt;&gt;"TransfereGOV",
              ROUND(OFFSET($P383,0,AG$13),15-13*ORÇAMENTO!$AF$7)/$H383*OFFSET(ORÇAMENTO!$X$15,ROW(AG383)-ROW(AG$15),0),
              ROUND(ROUND(OFFSET($P383,0,AG$13),15-13*ORÇAMENTO!$AF$7)*OFFSET(ORÇAMENTO!$W$15,ROW(AG383)-ROW(AG$15),0),15-13*ORÇAMENTO!$AF$11)),
         0)</f>
        <v>0</v>
      </c>
      <c r="AH383" s="454">
        <f ca="1">IF(AND($D383="Serviço",AH$12&lt;&gt;0,$H383&gt;0,OR(AUTOEVENTO&lt;&gt;"manual",$M383&lt;&gt;$A$15)),
        IF(Import.TipoArredondamento&lt;&gt;"TransfereGOV",
              ROUND(OFFSET($P383,0,AH$13),15-13*ORÇAMENTO!$AF$7)/$H383*OFFSET(ORÇAMENTO!$X$15,ROW(AH383)-ROW(AH$15),0),
              ROUND(ROUND(OFFSET($P383,0,AH$13),15-13*ORÇAMENTO!$AF$7)*OFFSET(ORÇAMENTO!$W$15,ROW(AH383)-ROW(AH$15),0),15-13*ORÇAMENTO!$AF$11)),
         0)</f>
        <v>0</v>
      </c>
      <c r="AI383" s="454">
        <f ca="1">IF(AND($D383="Serviço",AI$12&lt;&gt;0,$H383&gt;0,OR(AUTOEVENTO&lt;&gt;"manual",$M383&lt;&gt;$A$15)),
        IF(Import.TipoArredondamento&lt;&gt;"TransfereGOV",
              ROUND(OFFSET($P383,0,AI$13),15-13*ORÇAMENTO!$AF$7)/$H383*OFFSET(ORÇAMENTO!$X$15,ROW(AI383)-ROW(AI$15),0),
              ROUND(ROUND(OFFSET($P383,0,AI$13),15-13*ORÇAMENTO!$AF$7)*OFFSET(ORÇAMENTO!$W$15,ROW(AI383)-ROW(AI$15),0),15-13*ORÇAMENTO!$AF$11)),
         0)</f>
        <v>0</v>
      </c>
      <c r="AJ383" s="454">
        <f ca="1">IF(AND($D383="Serviço",AJ$12&lt;&gt;0,$H383&gt;0,OR(AUTOEVENTO&lt;&gt;"manual",$M383&lt;&gt;$A$15)),
        IF(Import.TipoArredondamento&lt;&gt;"TransfereGOV",
              ROUND(OFFSET($P383,0,AJ$13),15-13*ORÇAMENTO!$AF$7)/$H383*OFFSET(ORÇAMENTO!$X$15,ROW(AJ383)-ROW(AJ$15),0),
              ROUND(ROUND(OFFSET($P383,0,AJ$13),15-13*ORÇAMENTO!$AF$7)*OFFSET(ORÇAMENTO!$W$15,ROW(AJ383)-ROW(AJ$15),0),15-13*ORÇAMENTO!$AF$11)),
         0)</f>
        <v>0</v>
      </c>
      <c r="AK383" s="454">
        <f ca="1">IF(AND($D383="Serviço",AK$12&lt;&gt;0,$H383&gt;0,OR(AUTOEVENTO&lt;&gt;"manual",$M383&lt;&gt;$A$15)),
        IF(Import.TipoArredondamento&lt;&gt;"TransfereGOV",
              ROUND(OFFSET($P383,0,AK$13),15-13*ORÇAMENTO!$AF$7)/$H383*OFFSET(ORÇAMENTO!$X$15,ROW(AK383)-ROW(AK$15),0),
              ROUND(ROUND(OFFSET($P383,0,AK$13),15-13*ORÇAMENTO!$AF$7)*OFFSET(ORÇAMENTO!$W$15,ROW(AK383)-ROW(AK$15),0),15-13*ORÇAMENTO!$AF$11)),
         0)</f>
        <v>0</v>
      </c>
      <c r="AM383" s="172">
        <f ca="1">IF(OR($D383&lt;&gt;"Serviço",AND(AUTOEVENTO="Manual",$M383=$A$15)),0,
         IF(OFFSET(CRONOPLE!$F$15,$M383-$A$15,AM$13)="",10^12,OFFSET(CRONOPLE!$F$15,$M383-$A$15,AM$13)))</f>
        <v>1000000000000</v>
      </c>
      <c r="AN383" s="172">
        <f ca="1">IF(OR($D383&lt;&gt;"Serviço",AND(AUTOEVENTO="Manual",$M383=$A$15)),0,
         IF(OFFSET(CRONOPLE!$F$15,$M383-$A$15,AN$13)="",10^12,OFFSET(CRONOPLE!$F$15,$M383-$A$15,AN$13)))</f>
        <v>1000000000000</v>
      </c>
      <c r="AO383" s="172">
        <f ca="1">IF(OR($D383&lt;&gt;"Serviço",AND(AUTOEVENTO="Manual",$M383=$A$15)),0,
         IF(OFFSET(CRONOPLE!$F$15,$M383-$A$15,AO$13)="",10^12,OFFSET(CRONOPLE!$F$15,$M383-$A$15,AO$13)))</f>
        <v>1000000000000</v>
      </c>
      <c r="AP383" s="172">
        <f ca="1">IF(OR($D383&lt;&gt;"Serviço",AND(AUTOEVENTO="Manual",$M383=$A$15)),0,
         IF(OFFSET(CRONOPLE!$F$15,$M383-$A$15,AP$13)="",10^12,OFFSET(CRONOPLE!$F$15,$M383-$A$15,AP$13)))</f>
        <v>1000000000000</v>
      </c>
      <c r="AQ383" s="172">
        <f ca="1">IF(OR($D383&lt;&gt;"Serviço",AND(AUTOEVENTO="Manual",$M383=$A$15)),0,
         IF(OFFSET(CRONOPLE!$F$15,$M383-$A$15,AQ$13)="",10^12,OFFSET(CRONOPLE!$F$15,$M383-$A$15,AQ$13)))</f>
        <v>1000000000000</v>
      </c>
      <c r="AR383" s="172">
        <f ca="1">IF(OR($D383&lt;&gt;"Serviço",AND(AUTOEVENTO="Manual",$M383=$A$15)),0,
         IF(OFFSET(CRONOPLE!$F$15,$M383-$A$15,AR$13)="",10^12,OFFSET(CRONOPLE!$F$15,$M383-$A$15,AR$13)))</f>
        <v>1000000000000</v>
      </c>
      <c r="AS383" s="172">
        <f ca="1">IF(OR($D383&lt;&gt;"Serviço",AND(AUTOEVENTO="Manual",$M383=$A$15)),0,
         IF(OFFSET(CRONOPLE!$F$15,$M383-$A$15,AS$13)="",10^12,OFFSET(CRONOPLE!$F$15,$M383-$A$15,AS$13)))</f>
        <v>1000000000000</v>
      </c>
      <c r="AT383" s="172">
        <f ca="1">IF(OR($D383&lt;&gt;"Serviço",AND(AUTOEVENTO="Manual",$M383=$A$15)),0,
         IF(OFFSET(CRONOPLE!$F$15,$M383-$A$15,AT$13)="",10^12,OFFSET(CRONOPLE!$F$15,$M383-$A$15,AT$13)))</f>
        <v>1000000000000</v>
      </c>
      <c r="AU383" s="172">
        <f ca="1">IF(OR($D383&lt;&gt;"Serviço",AND(AUTOEVENTO="Manual",$M383=$A$15)),0,
         IF(OFFSET(CRONOPLE!$F$15,$M383-$A$15,AU$13)="",10^12,OFFSET(CRONOPLE!$F$15,$M383-$A$15,AU$13)))</f>
        <v>1000000000000</v>
      </c>
      <c r="AV383" s="172">
        <f ca="1">IF(OR($D383&lt;&gt;"Serviço",AND(AUTOEVENTO="Manual",$M383=$A$15)),0,
         IF(OFFSET(CRONOPLE!$F$15,$M383-$A$15,AV$13)="",10^12,OFFSET(CRONOPLE!$F$15,$M383-$A$15,AV$13)))</f>
        <v>1000000000000</v>
      </c>
      <c r="AX383" s="173">
        <f ca="1">IF(OR($D383&lt;&gt;"Serviço",AND(AUTOEVENTO="Manual",$M383=$A$15),$M383&gt;(ROW(PLE.lastrow)-ROW(PLE.firstrow))),0,
           IF(OFFSET(PLE!$G$15,$M383-$A$15,AX$13)="",10^12,OFFSET(PLE!$G$15,$M383-$A$15,AX$13)))</f>
        <v>1000000000000</v>
      </c>
      <c r="AY383" s="173">
        <f ca="1">IF(OR($D383&lt;&gt;"Serviço",AND(AUTOEVENTO="Manual",$M383=$A$15),$M383&gt;(ROW(PLE.lastrow)-ROW(PLE.firstrow))),0,
           IF(OFFSET(PLE!$G$15,$M383-$A$15,AY$13)="",10^12,OFFSET(PLE!$G$15,$M383-$A$15,AY$13)))</f>
        <v>1000000000000</v>
      </c>
      <c r="AZ383" s="173">
        <f ca="1">IF(OR($D383&lt;&gt;"Serviço",AND(AUTOEVENTO="Manual",$M383=$A$15),$M383&gt;(ROW(PLE.lastrow)-ROW(PLE.firstrow))),0,
           IF(OFFSET(PLE!$G$15,$M383-$A$15,AZ$13)="",10^12,OFFSET(PLE!$G$15,$M383-$A$15,AZ$13)))</f>
        <v>1000000000000</v>
      </c>
      <c r="BA383" s="173">
        <f ca="1">IF(OR($D383&lt;&gt;"Serviço",AND(AUTOEVENTO="Manual",$M383=$A$15),$M383&gt;(ROW(PLE.lastrow)-ROW(PLE.firstrow))),0,
           IF(OFFSET(PLE!$G$15,$M383-$A$15,BA$13)="",10^12,OFFSET(PLE!$G$15,$M383-$A$15,BA$13)))</f>
        <v>1000000000000</v>
      </c>
      <c r="BB383" s="173">
        <f ca="1">IF(OR($D383&lt;&gt;"Serviço",AND(AUTOEVENTO="Manual",$M383=$A$15),$M383&gt;(ROW(PLE.lastrow)-ROW(PLE.firstrow))),0,
           IF(OFFSET(PLE!$G$15,$M383-$A$15,BB$13)="",10^12,OFFSET(PLE!$G$15,$M383-$A$15,BB$13)))</f>
        <v>1000000000000</v>
      </c>
      <c r="BC383" s="173">
        <f ca="1">IF(OR($D383&lt;&gt;"Serviço",AND(AUTOEVENTO="Manual",$M383=$A$15),$M383&gt;(ROW(PLE.lastrow)-ROW(PLE.firstrow))),0,
           IF(OFFSET(PLE!$G$15,$M383-$A$15,BC$13)="",10^12,OFFSET(PLE!$G$15,$M383-$A$15,BC$13)))</f>
        <v>1000000000000</v>
      </c>
      <c r="BD383" s="173">
        <f ca="1">IF(OR($D383&lt;&gt;"Serviço",AND(AUTOEVENTO="Manual",$M383=$A$15),$M383&gt;(ROW(PLE.lastrow)-ROW(PLE.firstrow))),0,
           IF(OFFSET(PLE!$G$15,$M383-$A$15,BD$13)="",10^12,OFFSET(PLE!$G$15,$M383-$A$15,BD$13)))</f>
        <v>1000000000000</v>
      </c>
      <c r="BE383" s="173">
        <f ca="1">IF(OR($D383&lt;&gt;"Serviço",AND(AUTOEVENTO="Manual",$M383=$A$15),$M383&gt;(ROW(PLE.lastrow)-ROW(PLE.firstrow))),0,
           IF(OFFSET(PLE!$G$15,$M383-$A$15,BE$13)="",10^12,OFFSET(PLE!$G$15,$M383-$A$15,BE$13)))</f>
        <v>1000000000000</v>
      </c>
      <c r="BF383" s="173">
        <f ca="1">IF(OR($D383&lt;&gt;"Serviço",AND(AUTOEVENTO="Manual",$M383=$A$15),$M383&gt;(ROW(PLE.lastrow)-ROW(PLE.firstrow))),0,
           IF(OFFSET(PLE!$G$15,$M383-$A$15,BF$13)="",10^12,OFFSET(PLE!$G$15,$M383-$A$15,BF$13)))</f>
        <v>1000000000000</v>
      </c>
      <c r="BG383" s="173">
        <f ca="1">IF(OR($D383&lt;&gt;"Serviço",AND(AUTOEVENTO="Manual",$M383=$A$15),$M383&gt;(ROW(PLE.lastrow)-ROW(PLE.firstrow))),0,
           IF(OFFSET(PLE!$G$15,$M383-$A$15,BG$13)="",10^12,OFFSET(PLE!$G$15,$M383-$A$15,BG$13)))</f>
        <v>1000000000000</v>
      </c>
    </row>
    <row r="384" spans="1:59" ht="25.5" x14ac:dyDescent="0.2">
      <c r="A384" s="7" t="str">
        <f t="shared" ca="1" si="13"/>
        <v>365</v>
      </c>
      <c r="B384" s="7" t="str">
        <f ca="1">OFFSET(ORÇAMENTO!C$15,ROW(B384)-ROW(B$15),0)</f>
        <v>S</v>
      </c>
      <c r="C384" s="7" t="str">
        <f ca="1">OFFSET(ORÇAMENTO!L$15,ROW(C384)-ROW(C$15),0)</f>
        <v/>
      </c>
      <c r="D384" s="117" t="str">
        <f ca="1">OFFSET(ORÇAMENTO!N$15,ROW(D384)-ROW(D$15),0)</f>
        <v>Serviço</v>
      </c>
      <c r="E384" s="118" t="str">
        <f ca="1">OFFSET(ORÇAMENTO!O$15,ROW(E384)-ROW(E$15),0)</f>
        <v>-</v>
      </c>
      <c r="F384" s="164" t="str">
        <f ca="1">OFFSET(ORÇAMENTO!R$15,ROW(F384)-ROW(F$15),0)</f>
        <v xml:space="preserve">CABO DE COBRE NU SEÇÃO 50 MM² - FORNECIMENTO E INSTALAÇÃO </v>
      </c>
      <c r="G384" s="165" t="str">
        <f ca="1">IF($D384&lt;&gt;"Serviço","",OFFSET(ORÇAMENTO!S$15,ROW(G384)-ROW(G$15),0))</f>
        <v xml:space="preserve">UN    </v>
      </c>
      <c r="H384" s="123">
        <f ca="1">IF($D384&lt;&gt;"Serviço",0,IF(ACOMPANHAMENTO="BM",ROUND(OFFSET(ORÇAMENTO!AJ$15,ROW(H384)-ROW(H$15),0),15-13*ORÇAMENTO!$AF$7),SUMPRODUCT(($Q$1:$AA$1=1)*ROUND($Q384:$AA384,15-13*ORÇAMENTO!$AF$7))))</f>
        <v>109.04</v>
      </c>
      <c r="I384" s="469"/>
      <c r="J384" s="577" t="str" cm="1">
        <f t="array" aca="1" ref="J384" ca="1">IF(B384&lt;&gt;"S","",IF(AND(ACOMPANHAMENTO="PLE",AUTOEVENTO="Manual",OR(H384&gt;0,ORÇAMENTO!AC384="QUANT."),OR(K384="",M384=0,N384="")),"►",IF(AND(ACOMPANHAMENTO="PLE",ORÇAMENTO!AC384="QUANT."),"►►",IF(AND(COUNTIF($P$11:$AA$11,"▼")=0,H384&gt;0,I384=""),"◄",""))))</f>
        <v>◄</v>
      </c>
      <c r="K384" s="626"/>
      <c r="L384" s="166" t="s">
        <v>765</v>
      </c>
      <c r="M384" s="167">
        <f ca="1">IF($D384&lt;&gt;"Serviço","",
          IF(AUTOEVENTO="manual",$A384,
                IF(ISERROR(MATCH($A384,$A$15:OFFSET($A384,-1,0),0)),MAX($M$15:OFFSET(M384,-1,0))+1,
                      INDEX($M$15:OFFSET(M384,-1,0),MATCH($A384,$A$15:OFFSET($A384,-1,0),0)))))</f>
        <v>21</v>
      </c>
      <c r="N384" s="168" t="str">
        <f ca="1">IF($D384&lt;&gt;"Serviço","",
         IF(AUTOEVENTO="Manual",
                IF($A384=0,"&lt;-- defina o número do agrupador",
                       OFFSET(EVENTOS!$D$15,$A384-$A$15,0)),
                OFFSET($F$15,$A384,0)))</f>
        <v>SPDA</v>
      </c>
      <c r="O384" s="169"/>
      <c r="Q384" s="169"/>
      <c r="R384" s="170"/>
      <c r="S384" s="170"/>
      <c r="T384" s="170"/>
      <c r="U384" s="170"/>
      <c r="V384" s="170"/>
      <c r="W384" s="170"/>
      <c r="X384" s="170"/>
      <c r="Y384" s="170"/>
      <c r="Z384" s="171"/>
      <c r="AB384" s="454">
        <f ca="1">IF(AND($D384="Serviço",AB$12&lt;&gt;0,$H384&gt;0,OR(AUTOEVENTO&lt;&gt;"manual",$M384&lt;&gt;$A$15)),
        IF(Import.TipoArredondamento&lt;&gt;"TransfereGOV",
              ROUND(OFFSET($P384,0,AB$13),15-13*ORÇAMENTO!$AF$7)/$H384*OFFSET(ORÇAMENTO!$X$15,ROW(AB384)-ROW(AB$15),0),
              ROUND(ROUND(OFFSET($P384,0,AB$13),15-13*ORÇAMENTO!$AF$7)*OFFSET(ORÇAMENTO!$W$15,ROW(AB384)-ROW(AB$15),0),15-13*ORÇAMENTO!$AF$11)),
         0)</f>
        <v>0</v>
      </c>
      <c r="AC384" s="454">
        <f ca="1">IF(AND($D384="Serviço",AC$12&lt;&gt;0,$H384&gt;0,OR(AUTOEVENTO&lt;&gt;"manual",$M384&lt;&gt;$A$15)),
        IF(Import.TipoArredondamento&lt;&gt;"TransfereGOV",
              ROUND(OFFSET($P384,0,AC$13),15-13*ORÇAMENTO!$AF$7)/$H384*OFFSET(ORÇAMENTO!$X$15,ROW(AC384)-ROW(AC$15),0),
              ROUND(ROUND(OFFSET($P384,0,AC$13),15-13*ORÇAMENTO!$AF$7)*OFFSET(ORÇAMENTO!$W$15,ROW(AC384)-ROW(AC$15),0),15-13*ORÇAMENTO!$AF$11)),
         0)</f>
        <v>0</v>
      </c>
      <c r="AD384" s="454">
        <f ca="1">IF(AND($D384="Serviço",AD$12&lt;&gt;0,$H384&gt;0,OR(AUTOEVENTO&lt;&gt;"manual",$M384&lt;&gt;$A$15)),
        IF(Import.TipoArredondamento&lt;&gt;"TransfereGOV",
              ROUND(OFFSET($P384,0,AD$13),15-13*ORÇAMENTO!$AF$7)/$H384*OFFSET(ORÇAMENTO!$X$15,ROW(AD384)-ROW(AD$15),0),
              ROUND(ROUND(OFFSET($P384,0,AD$13),15-13*ORÇAMENTO!$AF$7)*OFFSET(ORÇAMENTO!$W$15,ROW(AD384)-ROW(AD$15),0),15-13*ORÇAMENTO!$AF$11)),
         0)</f>
        <v>0</v>
      </c>
      <c r="AE384" s="454">
        <f ca="1">IF(AND($D384="Serviço",AE$12&lt;&gt;0,$H384&gt;0,OR(AUTOEVENTO&lt;&gt;"manual",$M384&lt;&gt;$A$15)),
        IF(Import.TipoArredondamento&lt;&gt;"TransfereGOV",
              ROUND(OFFSET($P384,0,AE$13),15-13*ORÇAMENTO!$AF$7)/$H384*OFFSET(ORÇAMENTO!$X$15,ROW(AE384)-ROW(AE$15),0),
              ROUND(ROUND(OFFSET($P384,0,AE$13),15-13*ORÇAMENTO!$AF$7)*OFFSET(ORÇAMENTO!$W$15,ROW(AE384)-ROW(AE$15),0),15-13*ORÇAMENTO!$AF$11)),
         0)</f>
        <v>0</v>
      </c>
      <c r="AF384" s="454">
        <f ca="1">IF(AND($D384="Serviço",AF$12&lt;&gt;0,$H384&gt;0,OR(AUTOEVENTO&lt;&gt;"manual",$M384&lt;&gt;$A$15)),
        IF(Import.TipoArredondamento&lt;&gt;"TransfereGOV",
              ROUND(OFFSET($P384,0,AF$13),15-13*ORÇAMENTO!$AF$7)/$H384*OFFSET(ORÇAMENTO!$X$15,ROW(AF384)-ROW(AF$15),0),
              ROUND(ROUND(OFFSET($P384,0,AF$13),15-13*ORÇAMENTO!$AF$7)*OFFSET(ORÇAMENTO!$W$15,ROW(AF384)-ROW(AF$15),0),15-13*ORÇAMENTO!$AF$11)),
         0)</f>
        <v>0</v>
      </c>
      <c r="AG384" s="454">
        <f ca="1">IF(AND($D384="Serviço",AG$12&lt;&gt;0,$H384&gt;0,OR(AUTOEVENTO&lt;&gt;"manual",$M384&lt;&gt;$A$15)),
        IF(Import.TipoArredondamento&lt;&gt;"TransfereGOV",
              ROUND(OFFSET($P384,0,AG$13),15-13*ORÇAMENTO!$AF$7)/$H384*OFFSET(ORÇAMENTO!$X$15,ROW(AG384)-ROW(AG$15),0),
              ROUND(ROUND(OFFSET($P384,0,AG$13),15-13*ORÇAMENTO!$AF$7)*OFFSET(ORÇAMENTO!$W$15,ROW(AG384)-ROW(AG$15),0),15-13*ORÇAMENTO!$AF$11)),
         0)</f>
        <v>0</v>
      </c>
      <c r="AH384" s="454">
        <f ca="1">IF(AND($D384="Serviço",AH$12&lt;&gt;0,$H384&gt;0,OR(AUTOEVENTO&lt;&gt;"manual",$M384&lt;&gt;$A$15)),
        IF(Import.TipoArredondamento&lt;&gt;"TransfereGOV",
              ROUND(OFFSET($P384,0,AH$13),15-13*ORÇAMENTO!$AF$7)/$H384*OFFSET(ORÇAMENTO!$X$15,ROW(AH384)-ROW(AH$15),0),
              ROUND(ROUND(OFFSET($P384,0,AH$13),15-13*ORÇAMENTO!$AF$7)*OFFSET(ORÇAMENTO!$W$15,ROW(AH384)-ROW(AH$15),0),15-13*ORÇAMENTO!$AF$11)),
         0)</f>
        <v>0</v>
      </c>
      <c r="AI384" s="454">
        <f ca="1">IF(AND($D384="Serviço",AI$12&lt;&gt;0,$H384&gt;0,OR(AUTOEVENTO&lt;&gt;"manual",$M384&lt;&gt;$A$15)),
        IF(Import.TipoArredondamento&lt;&gt;"TransfereGOV",
              ROUND(OFFSET($P384,0,AI$13),15-13*ORÇAMENTO!$AF$7)/$H384*OFFSET(ORÇAMENTO!$X$15,ROW(AI384)-ROW(AI$15),0),
              ROUND(ROUND(OFFSET($P384,0,AI$13),15-13*ORÇAMENTO!$AF$7)*OFFSET(ORÇAMENTO!$W$15,ROW(AI384)-ROW(AI$15),0),15-13*ORÇAMENTO!$AF$11)),
         0)</f>
        <v>0</v>
      </c>
      <c r="AJ384" s="454">
        <f ca="1">IF(AND($D384="Serviço",AJ$12&lt;&gt;0,$H384&gt;0,OR(AUTOEVENTO&lt;&gt;"manual",$M384&lt;&gt;$A$15)),
        IF(Import.TipoArredondamento&lt;&gt;"TransfereGOV",
              ROUND(OFFSET($P384,0,AJ$13),15-13*ORÇAMENTO!$AF$7)/$H384*OFFSET(ORÇAMENTO!$X$15,ROW(AJ384)-ROW(AJ$15),0),
              ROUND(ROUND(OFFSET($P384,0,AJ$13),15-13*ORÇAMENTO!$AF$7)*OFFSET(ORÇAMENTO!$W$15,ROW(AJ384)-ROW(AJ$15),0),15-13*ORÇAMENTO!$AF$11)),
         0)</f>
        <v>0</v>
      </c>
      <c r="AK384" s="454">
        <f ca="1">IF(AND($D384="Serviço",AK$12&lt;&gt;0,$H384&gt;0,OR(AUTOEVENTO&lt;&gt;"manual",$M384&lt;&gt;$A$15)),
        IF(Import.TipoArredondamento&lt;&gt;"TransfereGOV",
              ROUND(OFFSET($P384,0,AK$13),15-13*ORÇAMENTO!$AF$7)/$H384*OFFSET(ORÇAMENTO!$X$15,ROW(AK384)-ROW(AK$15),0),
              ROUND(ROUND(OFFSET($P384,0,AK$13),15-13*ORÇAMENTO!$AF$7)*OFFSET(ORÇAMENTO!$W$15,ROW(AK384)-ROW(AK$15),0),15-13*ORÇAMENTO!$AF$11)),
         0)</f>
        <v>0</v>
      </c>
      <c r="AM384" s="172">
        <f ca="1">IF(OR($D384&lt;&gt;"Serviço",AND(AUTOEVENTO="Manual",$M384=$A$15)),0,
         IF(OFFSET(CRONOPLE!$F$15,$M384-$A$15,AM$13)="",10^12,OFFSET(CRONOPLE!$F$15,$M384-$A$15,AM$13)))</f>
        <v>1000000000000</v>
      </c>
      <c r="AN384" s="172">
        <f ca="1">IF(OR($D384&lt;&gt;"Serviço",AND(AUTOEVENTO="Manual",$M384=$A$15)),0,
         IF(OFFSET(CRONOPLE!$F$15,$M384-$A$15,AN$13)="",10^12,OFFSET(CRONOPLE!$F$15,$M384-$A$15,AN$13)))</f>
        <v>1000000000000</v>
      </c>
      <c r="AO384" s="172">
        <f ca="1">IF(OR($D384&lt;&gt;"Serviço",AND(AUTOEVENTO="Manual",$M384=$A$15)),0,
         IF(OFFSET(CRONOPLE!$F$15,$M384-$A$15,AO$13)="",10^12,OFFSET(CRONOPLE!$F$15,$M384-$A$15,AO$13)))</f>
        <v>1000000000000</v>
      </c>
      <c r="AP384" s="172">
        <f ca="1">IF(OR($D384&lt;&gt;"Serviço",AND(AUTOEVENTO="Manual",$M384=$A$15)),0,
         IF(OFFSET(CRONOPLE!$F$15,$M384-$A$15,AP$13)="",10^12,OFFSET(CRONOPLE!$F$15,$M384-$A$15,AP$13)))</f>
        <v>1000000000000</v>
      </c>
      <c r="AQ384" s="172">
        <f ca="1">IF(OR($D384&lt;&gt;"Serviço",AND(AUTOEVENTO="Manual",$M384=$A$15)),0,
         IF(OFFSET(CRONOPLE!$F$15,$M384-$A$15,AQ$13)="",10^12,OFFSET(CRONOPLE!$F$15,$M384-$A$15,AQ$13)))</f>
        <v>1000000000000</v>
      </c>
      <c r="AR384" s="172">
        <f ca="1">IF(OR($D384&lt;&gt;"Serviço",AND(AUTOEVENTO="Manual",$M384=$A$15)),0,
         IF(OFFSET(CRONOPLE!$F$15,$M384-$A$15,AR$13)="",10^12,OFFSET(CRONOPLE!$F$15,$M384-$A$15,AR$13)))</f>
        <v>1000000000000</v>
      </c>
      <c r="AS384" s="172">
        <f ca="1">IF(OR($D384&lt;&gt;"Serviço",AND(AUTOEVENTO="Manual",$M384=$A$15)),0,
         IF(OFFSET(CRONOPLE!$F$15,$M384-$A$15,AS$13)="",10^12,OFFSET(CRONOPLE!$F$15,$M384-$A$15,AS$13)))</f>
        <v>1000000000000</v>
      </c>
      <c r="AT384" s="172">
        <f ca="1">IF(OR($D384&lt;&gt;"Serviço",AND(AUTOEVENTO="Manual",$M384=$A$15)),0,
         IF(OFFSET(CRONOPLE!$F$15,$M384-$A$15,AT$13)="",10^12,OFFSET(CRONOPLE!$F$15,$M384-$A$15,AT$13)))</f>
        <v>1000000000000</v>
      </c>
      <c r="AU384" s="172">
        <f ca="1">IF(OR($D384&lt;&gt;"Serviço",AND(AUTOEVENTO="Manual",$M384=$A$15)),0,
         IF(OFFSET(CRONOPLE!$F$15,$M384-$A$15,AU$13)="",10^12,OFFSET(CRONOPLE!$F$15,$M384-$A$15,AU$13)))</f>
        <v>1000000000000</v>
      </c>
      <c r="AV384" s="172">
        <f ca="1">IF(OR($D384&lt;&gt;"Serviço",AND(AUTOEVENTO="Manual",$M384=$A$15)),0,
         IF(OFFSET(CRONOPLE!$F$15,$M384-$A$15,AV$13)="",10^12,OFFSET(CRONOPLE!$F$15,$M384-$A$15,AV$13)))</f>
        <v>1000000000000</v>
      </c>
      <c r="AX384" s="173">
        <f ca="1">IF(OR($D384&lt;&gt;"Serviço",AND(AUTOEVENTO="Manual",$M384=$A$15),$M384&gt;(ROW(PLE.lastrow)-ROW(PLE.firstrow))),0,
           IF(OFFSET(PLE!$G$15,$M384-$A$15,AX$13)="",10^12,OFFSET(PLE!$G$15,$M384-$A$15,AX$13)))</f>
        <v>1000000000000</v>
      </c>
      <c r="AY384" s="173">
        <f ca="1">IF(OR($D384&lt;&gt;"Serviço",AND(AUTOEVENTO="Manual",$M384=$A$15),$M384&gt;(ROW(PLE.lastrow)-ROW(PLE.firstrow))),0,
           IF(OFFSET(PLE!$G$15,$M384-$A$15,AY$13)="",10^12,OFFSET(PLE!$G$15,$M384-$A$15,AY$13)))</f>
        <v>1000000000000</v>
      </c>
      <c r="AZ384" s="173">
        <f ca="1">IF(OR($D384&lt;&gt;"Serviço",AND(AUTOEVENTO="Manual",$M384=$A$15),$M384&gt;(ROW(PLE.lastrow)-ROW(PLE.firstrow))),0,
           IF(OFFSET(PLE!$G$15,$M384-$A$15,AZ$13)="",10^12,OFFSET(PLE!$G$15,$M384-$A$15,AZ$13)))</f>
        <v>1000000000000</v>
      </c>
      <c r="BA384" s="173">
        <f ca="1">IF(OR($D384&lt;&gt;"Serviço",AND(AUTOEVENTO="Manual",$M384=$A$15),$M384&gt;(ROW(PLE.lastrow)-ROW(PLE.firstrow))),0,
           IF(OFFSET(PLE!$G$15,$M384-$A$15,BA$13)="",10^12,OFFSET(PLE!$G$15,$M384-$A$15,BA$13)))</f>
        <v>1000000000000</v>
      </c>
      <c r="BB384" s="173">
        <f ca="1">IF(OR($D384&lt;&gt;"Serviço",AND(AUTOEVENTO="Manual",$M384=$A$15),$M384&gt;(ROW(PLE.lastrow)-ROW(PLE.firstrow))),0,
           IF(OFFSET(PLE!$G$15,$M384-$A$15,BB$13)="",10^12,OFFSET(PLE!$G$15,$M384-$A$15,BB$13)))</f>
        <v>1000000000000</v>
      </c>
      <c r="BC384" s="173">
        <f ca="1">IF(OR($D384&lt;&gt;"Serviço",AND(AUTOEVENTO="Manual",$M384=$A$15),$M384&gt;(ROW(PLE.lastrow)-ROW(PLE.firstrow))),0,
           IF(OFFSET(PLE!$G$15,$M384-$A$15,BC$13)="",10^12,OFFSET(PLE!$G$15,$M384-$A$15,BC$13)))</f>
        <v>1000000000000</v>
      </c>
      <c r="BD384" s="173">
        <f ca="1">IF(OR($D384&lt;&gt;"Serviço",AND(AUTOEVENTO="Manual",$M384=$A$15),$M384&gt;(ROW(PLE.lastrow)-ROW(PLE.firstrow))),0,
           IF(OFFSET(PLE!$G$15,$M384-$A$15,BD$13)="",10^12,OFFSET(PLE!$G$15,$M384-$A$15,BD$13)))</f>
        <v>1000000000000</v>
      </c>
      <c r="BE384" s="173">
        <f ca="1">IF(OR($D384&lt;&gt;"Serviço",AND(AUTOEVENTO="Manual",$M384=$A$15),$M384&gt;(ROW(PLE.lastrow)-ROW(PLE.firstrow))),0,
           IF(OFFSET(PLE!$G$15,$M384-$A$15,BE$13)="",10^12,OFFSET(PLE!$G$15,$M384-$A$15,BE$13)))</f>
        <v>1000000000000</v>
      </c>
      <c r="BF384" s="173">
        <f ca="1">IF(OR($D384&lt;&gt;"Serviço",AND(AUTOEVENTO="Manual",$M384=$A$15),$M384&gt;(ROW(PLE.lastrow)-ROW(PLE.firstrow))),0,
           IF(OFFSET(PLE!$G$15,$M384-$A$15,BF$13)="",10^12,OFFSET(PLE!$G$15,$M384-$A$15,BF$13)))</f>
        <v>1000000000000</v>
      </c>
      <c r="BG384" s="173">
        <f ca="1">IF(OR($D384&lt;&gt;"Serviço",AND(AUTOEVENTO="Manual",$M384=$A$15),$M384&gt;(ROW(PLE.lastrow)-ROW(PLE.firstrow))),0,
           IF(OFFSET(PLE!$G$15,$M384-$A$15,BG$13)="",10^12,OFFSET(PLE!$G$15,$M384-$A$15,BG$13)))</f>
        <v>1000000000000</v>
      </c>
    </row>
    <row r="385" spans="1:59" ht="25.5" x14ac:dyDescent="0.2">
      <c r="A385" s="7" t="str">
        <f t="shared" ca="1" si="13"/>
        <v>365</v>
      </c>
      <c r="B385" s="7" t="str">
        <f ca="1">OFFSET(ORÇAMENTO!C$15,ROW(B385)-ROW(B$15),0)</f>
        <v>S</v>
      </c>
      <c r="C385" s="7" t="str">
        <f ca="1">OFFSET(ORÇAMENTO!L$15,ROW(C385)-ROW(C$15),0)</f>
        <v/>
      </c>
      <c r="D385" s="117" t="str">
        <f ca="1">OFFSET(ORÇAMENTO!N$15,ROW(D385)-ROW(D$15),0)</f>
        <v>Serviço</v>
      </c>
      <c r="E385" s="118" t="str">
        <f ca="1">OFFSET(ORÇAMENTO!O$15,ROW(E385)-ROW(E$15),0)</f>
        <v>-</v>
      </c>
      <c r="F385" s="164" t="str">
        <f ca="1">OFFSET(ORÇAMENTO!R$15,ROW(F385)-ROW(F$15),0)</f>
        <v xml:space="preserve">CONECTOR DE ATERRAMENTO , REFORÇADO EM COBRE ESTANHO UM CABO DE 50 MM² 5/8" X 2,4 M   - FORMECIMENTO E INSTAÇÃO </v>
      </c>
      <c r="G385" s="165" t="str">
        <f ca="1">IF($D385&lt;&gt;"Serviço","",OFFSET(ORÇAMENTO!S$15,ROW(G385)-ROW(G$15),0))</f>
        <v xml:space="preserve">UN    </v>
      </c>
      <c r="H385" s="123">
        <f ca="1">IF($D385&lt;&gt;"Serviço",0,IF(ACOMPANHAMENTO="BM",ROUND(OFFSET(ORÇAMENTO!AJ$15,ROW(H385)-ROW(H$15),0),15-13*ORÇAMENTO!$AF$7),SUMPRODUCT(($Q$1:$AA$1=1)*ROUND($Q385:$AA385,15-13*ORÇAMENTO!$AF$7))))</f>
        <v>92.85</v>
      </c>
      <c r="I385" s="469"/>
      <c r="J385" s="577" t="str" cm="1">
        <f t="array" aca="1" ref="J385" ca="1">IF(B385&lt;&gt;"S","",IF(AND(ACOMPANHAMENTO="PLE",AUTOEVENTO="Manual",OR(H385&gt;0,ORÇAMENTO!AC385="QUANT."),OR(K385="",M385=0,N385="")),"►",IF(AND(ACOMPANHAMENTO="PLE",ORÇAMENTO!AC385="QUANT."),"►►",IF(AND(COUNTIF($P$11:$AA$11,"▼")=0,H385&gt;0,I385=""),"◄",""))))</f>
        <v>◄</v>
      </c>
      <c r="K385" s="626"/>
      <c r="L385" s="166" t="s">
        <v>765</v>
      </c>
      <c r="M385" s="167">
        <f ca="1">IF($D385&lt;&gt;"Serviço","",
          IF(AUTOEVENTO="manual",$A385,
                IF(ISERROR(MATCH($A385,$A$15:OFFSET($A385,-1,0),0)),MAX($M$15:OFFSET(M385,-1,0))+1,
                      INDEX($M$15:OFFSET(M385,-1,0),MATCH($A385,$A$15:OFFSET($A385,-1,0),0)))))</f>
        <v>21</v>
      </c>
      <c r="N385" s="168" t="str">
        <f ca="1">IF($D385&lt;&gt;"Serviço","",
         IF(AUTOEVENTO="Manual",
                IF($A385=0,"&lt;-- defina o número do agrupador",
                       OFFSET(EVENTOS!$D$15,$A385-$A$15,0)),
                OFFSET($F$15,$A385,0)))</f>
        <v>SPDA</v>
      </c>
      <c r="O385" s="169"/>
      <c r="Q385" s="169"/>
      <c r="R385" s="170"/>
      <c r="S385" s="170"/>
      <c r="T385" s="170"/>
      <c r="U385" s="170"/>
      <c r="V385" s="170"/>
      <c r="W385" s="170"/>
      <c r="X385" s="170"/>
      <c r="Y385" s="170"/>
      <c r="Z385" s="171"/>
      <c r="AB385" s="454">
        <f ca="1">IF(AND($D385="Serviço",AB$12&lt;&gt;0,$H385&gt;0,OR(AUTOEVENTO&lt;&gt;"manual",$M385&lt;&gt;$A$15)),
        IF(Import.TipoArredondamento&lt;&gt;"TransfereGOV",
              ROUND(OFFSET($P385,0,AB$13),15-13*ORÇAMENTO!$AF$7)/$H385*OFFSET(ORÇAMENTO!$X$15,ROW(AB385)-ROW(AB$15),0),
              ROUND(ROUND(OFFSET($P385,0,AB$13),15-13*ORÇAMENTO!$AF$7)*OFFSET(ORÇAMENTO!$W$15,ROW(AB385)-ROW(AB$15),0),15-13*ORÇAMENTO!$AF$11)),
         0)</f>
        <v>0</v>
      </c>
      <c r="AC385" s="454">
        <f ca="1">IF(AND($D385="Serviço",AC$12&lt;&gt;0,$H385&gt;0,OR(AUTOEVENTO&lt;&gt;"manual",$M385&lt;&gt;$A$15)),
        IF(Import.TipoArredondamento&lt;&gt;"TransfereGOV",
              ROUND(OFFSET($P385,0,AC$13),15-13*ORÇAMENTO!$AF$7)/$H385*OFFSET(ORÇAMENTO!$X$15,ROW(AC385)-ROW(AC$15),0),
              ROUND(ROUND(OFFSET($P385,0,AC$13),15-13*ORÇAMENTO!$AF$7)*OFFSET(ORÇAMENTO!$W$15,ROW(AC385)-ROW(AC$15),0),15-13*ORÇAMENTO!$AF$11)),
         0)</f>
        <v>0</v>
      </c>
      <c r="AD385" s="454">
        <f ca="1">IF(AND($D385="Serviço",AD$12&lt;&gt;0,$H385&gt;0,OR(AUTOEVENTO&lt;&gt;"manual",$M385&lt;&gt;$A$15)),
        IF(Import.TipoArredondamento&lt;&gt;"TransfereGOV",
              ROUND(OFFSET($P385,0,AD$13),15-13*ORÇAMENTO!$AF$7)/$H385*OFFSET(ORÇAMENTO!$X$15,ROW(AD385)-ROW(AD$15),0),
              ROUND(ROUND(OFFSET($P385,0,AD$13),15-13*ORÇAMENTO!$AF$7)*OFFSET(ORÇAMENTO!$W$15,ROW(AD385)-ROW(AD$15),0),15-13*ORÇAMENTO!$AF$11)),
         0)</f>
        <v>0</v>
      </c>
      <c r="AE385" s="454">
        <f ca="1">IF(AND($D385="Serviço",AE$12&lt;&gt;0,$H385&gt;0,OR(AUTOEVENTO&lt;&gt;"manual",$M385&lt;&gt;$A$15)),
        IF(Import.TipoArredondamento&lt;&gt;"TransfereGOV",
              ROUND(OFFSET($P385,0,AE$13),15-13*ORÇAMENTO!$AF$7)/$H385*OFFSET(ORÇAMENTO!$X$15,ROW(AE385)-ROW(AE$15),0),
              ROUND(ROUND(OFFSET($P385,0,AE$13),15-13*ORÇAMENTO!$AF$7)*OFFSET(ORÇAMENTO!$W$15,ROW(AE385)-ROW(AE$15),0),15-13*ORÇAMENTO!$AF$11)),
         0)</f>
        <v>0</v>
      </c>
      <c r="AF385" s="454">
        <f ca="1">IF(AND($D385="Serviço",AF$12&lt;&gt;0,$H385&gt;0,OR(AUTOEVENTO&lt;&gt;"manual",$M385&lt;&gt;$A$15)),
        IF(Import.TipoArredondamento&lt;&gt;"TransfereGOV",
              ROUND(OFFSET($P385,0,AF$13),15-13*ORÇAMENTO!$AF$7)/$H385*OFFSET(ORÇAMENTO!$X$15,ROW(AF385)-ROW(AF$15),0),
              ROUND(ROUND(OFFSET($P385,0,AF$13),15-13*ORÇAMENTO!$AF$7)*OFFSET(ORÇAMENTO!$W$15,ROW(AF385)-ROW(AF$15),0),15-13*ORÇAMENTO!$AF$11)),
         0)</f>
        <v>0</v>
      </c>
      <c r="AG385" s="454">
        <f ca="1">IF(AND($D385="Serviço",AG$12&lt;&gt;0,$H385&gt;0,OR(AUTOEVENTO&lt;&gt;"manual",$M385&lt;&gt;$A$15)),
        IF(Import.TipoArredondamento&lt;&gt;"TransfereGOV",
              ROUND(OFFSET($P385,0,AG$13),15-13*ORÇAMENTO!$AF$7)/$H385*OFFSET(ORÇAMENTO!$X$15,ROW(AG385)-ROW(AG$15),0),
              ROUND(ROUND(OFFSET($P385,0,AG$13),15-13*ORÇAMENTO!$AF$7)*OFFSET(ORÇAMENTO!$W$15,ROW(AG385)-ROW(AG$15),0),15-13*ORÇAMENTO!$AF$11)),
         0)</f>
        <v>0</v>
      </c>
      <c r="AH385" s="454">
        <f ca="1">IF(AND($D385="Serviço",AH$12&lt;&gt;0,$H385&gt;0,OR(AUTOEVENTO&lt;&gt;"manual",$M385&lt;&gt;$A$15)),
        IF(Import.TipoArredondamento&lt;&gt;"TransfereGOV",
              ROUND(OFFSET($P385,0,AH$13),15-13*ORÇAMENTO!$AF$7)/$H385*OFFSET(ORÇAMENTO!$X$15,ROW(AH385)-ROW(AH$15),0),
              ROUND(ROUND(OFFSET($P385,0,AH$13),15-13*ORÇAMENTO!$AF$7)*OFFSET(ORÇAMENTO!$W$15,ROW(AH385)-ROW(AH$15),0),15-13*ORÇAMENTO!$AF$11)),
         0)</f>
        <v>0</v>
      </c>
      <c r="AI385" s="454">
        <f ca="1">IF(AND($D385="Serviço",AI$12&lt;&gt;0,$H385&gt;0,OR(AUTOEVENTO&lt;&gt;"manual",$M385&lt;&gt;$A$15)),
        IF(Import.TipoArredondamento&lt;&gt;"TransfereGOV",
              ROUND(OFFSET($P385,0,AI$13),15-13*ORÇAMENTO!$AF$7)/$H385*OFFSET(ORÇAMENTO!$X$15,ROW(AI385)-ROW(AI$15),0),
              ROUND(ROUND(OFFSET($P385,0,AI$13),15-13*ORÇAMENTO!$AF$7)*OFFSET(ORÇAMENTO!$W$15,ROW(AI385)-ROW(AI$15),0),15-13*ORÇAMENTO!$AF$11)),
         0)</f>
        <v>0</v>
      </c>
      <c r="AJ385" s="454">
        <f ca="1">IF(AND($D385="Serviço",AJ$12&lt;&gt;0,$H385&gt;0,OR(AUTOEVENTO&lt;&gt;"manual",$M385&lt;&gt;$A$15)),
        IF(Import.TipoArredondamento&lt;&gt;"TransfereGOV",
              ROUND(OFFSET($P385,0,AJ$13),15-13*ORÇAMENTO!$AF$7)/$H385*OFFSET(ORÇAMENTO!$X$15,ROW(AJ385)-ROW(AJ$15),0),
              ROUND(ROUND(OFFSET($P385,0,AJ$13),15-13*ORÇAMENTO!$AF$7)*OFFSET(ORÇAMENTO!$W$15,ROW(AJ385)-ROW(AJ$15),0),15-13*ORÇAMENTO!$AF$11)),
         0)</f>
        <v>0</v>
      </c>
      <c r="AK385" s="454">
        <f ca="1">IF(AND($D385="Serviço",AK$12&lt;&gt;0,$H385&gt;0,OR(AUTOEVENTO&lt;&gt;"manual",$M385&lt;&gt;$A$15)),
        IF(Import.TipoArredondamento&lt;&gt;"TransfereGOV",
              ROUND(OFFSET($P385,0,AK$13),15-13*ORÇAMENTO!$AF$7)/$H385*OFFSET(ORÇAMENTO!$X$15,ROW(AK385)-ROW(AK$15),0),
              ROUND(ROUND(OFFSET($P385,0,AK$13),15-13*ORÇAMENTO!$AF$7)*OFFSET(ORÇAMENTO!$W$15,ROW(AK385)-ROW(AK$15),0),15-13*ORÇAMENTO!$AF$11)),
         0)</f>
        <v>0</v>
      </c>
      <c r="AM385" s="172">
        <f ca="1">IF(OR($D385&lt;&gt;"Serviço",AND(AUTOEVENTO="Manual",$M385=$A$15)),0,
         IF(OFFSET(CRONOPLE!$F$15,$M385-$A$15,AM$13)="",10^12,OFFSET(CRONOPLE!$F$15,$M385-$A$15,AM$13)))</f>
        <v>1000000000000</v>
      </c>
      <c r="AN385" s="172">
        <f ca="1">IF(OR($D385&lt;&gt;"Serviço",AND(AUTOEVENTO="Manual",$M385=$A$15)),0,
         IF(OFFSET(CRONOPLE!$F$15,$M385-$A$15,AN$13)="",10^12,OFFSET(CRONOPLE!$F$15,$M385-$A$15,AN$13)))</f>
        <v>1000000000000</v>
      </c>
      <c r="AO385" s="172">
        <f ca="1">IF(OR($D385&lt;&gt;"Serviço",AND(AUTOEVENTO="Manual",$M385=$A$15)),0,
         IF(OFFSET(CRONOPLE!$F$15,$M385-$A$15,AO$13)="",10^12,OFFSET(CRONOPLE!$F$15,$M385-$A$15,AO$13)))</f>
        <v>1000000000000</v>
      </c>
      <c r="AP385" s="172">
        <f ca="1">IF(OR($D385&lt;&gt;"Serviço",AND(AUTOEVENTO="Manual",$M385=$A$15)),0,
         IF(OFFSET(CRONOPLE!$F$15,$M385-$A$15,AP$13)="",10^12,OFFSET(CRONOPLE!$F$15,$M385-$A$15,AP$13)))</f>
        <v>1000000000000</v>
      </c>
      <c r="AQ385" s="172">
        <f ca="1">IF(OR($D385&lt;&gt;"Serviço",AND(AUTOEVENTO="Manual",$M385=$A$15)),0,
         IF(OFFSET(CRONOPLE!$F$15,$M385-$A$15,AQ$13)="",10^12,OFFSET(CRONOPLE!$F$15,$M385-$A$15,AQ$13)))</f>
        <v>1000000000000</v>
      </c>
      <c r="AR385" s="172">
        <f ca="1">IF(OR($D385&lt;&gt;"Serviço",AND(AUTOEVENTO="Manual",$M385=$A$15)),0,
         IF(OFFSET(CRONOPLE!$F$15,$M385-$A$15,AR$13)="",10^12,OFFSET(CRONOPLE!$F$15,$M385-$A$15,AR$13)))</f>
        <v>1000000000000</v>
      </c>
      <c r="AS385" s="172">
        <f ca="1">IF(OR($D385&lt;&gt;"Serviço",AND(AUTOEVENTO="Manual",$M385=$A$15)),0,
         IF(OFFSET(CRONOPLE!$F$15,$M385-$A$15,AS$13)="",10^12,OFFSET(CRONOPLE!$F$15,$M385-$A$15,AS$13)))</f>
        <v>1000000000000</v>
      </c>
      <c r="AT385" s="172">
        <f ca="1">IF(OR($D385&lt;&gt;"Serviço",AND(AUTOEVENTO="Manual",$M385=$A$15)),0,
         IF(OFFSET(CRONOPLE!$F$15,$M385-$A$15,AT$13)="",10^12,OFFSET(CRONOPLE!$F$15,$M385-$A$15,AT$13)))</f>
        <v>1000000000000</v>
      </c>
      <c r="AU385" s="172">
        <f ca="1">IF(OR($D385&lt;&gt;"Serviço",AND(AUTOEVENTO="Manual",$M385=$A$15)),0,
         IF(OFFSET(CRONOPLE!$F$15,$M385-$A$15,AU$13)="",10^12,OFFSET(CRONOPLE!$F$15,$M385-$A$15,AU$13)))</f>
        <v>1000000000000</v>
      </c>
      <c r="AV385" s="172">
        <f ca="1">IF(OR($D385&lt;&gt;"Serviço",AND(AUTOEVENTO="Manual",$M385=$A$15)),0,
         IF(OFFSET(CRONOPLE!$F$15,$M385-$A$15,AV$13)="",10^12,OFFSET(CRONOPLE!$F$15,$M385-$A$15,AV$13)))</f>
        <v>1000000000000</v>
      </c>
      <c r="AX385" s="173">
        <f ca="1">IF(OR($D385&lt;&gt;"Serviço",AND(AUTOEVENTO="Manual",$M385=$A$15),$M385&gt;(ROW(PLE.lastrow)-ROW(PLE.firstrow))),0,
           IF(OFFSET(PLE!$G$15,$M385-$A$15,AX$13)="",10^12,OFFSET(PLE!$G$15,$M385-$A$15,AX$13)))</f>
        <v>1000000000000</v>
      </c>
      <c r="AY385" s="173">
        <f ca="1">IF(OR($D385&lt;&gt;"Serviço",AND(AUTOEVENTO="Manual",$M385=$A$15),$M385&gt;(ROW(PLE.lastrow)-ROW(PLE.firstrow))),0,
           IF(OFFSET(PLE!$G$15,$M385-$A$15,AY$13)="",10^12,OFFSET(PLE!$G$15,$M385-$A$15,AY$13)))</f>
        <v>1000000000000</v>
      </c>
      <c r="AZ385" s="173">
        <f ca="1">IF(OR($D385&lt;&gt;"Serviço",AND(AUTOEVENTO="Manual",$M385=$A$15),$M385&gt;(ROW(PLE.lastrow)-ROW(PLE.firstrow))),0,
           IF(OFFSET(PLE!$G$15,$M385-$A$15,AZ$13)="",10^12,OFFSET(PLE!$G$15,$M385-$A$15,AZ$13)))</f>
        <v>1000000000000</v>
      </c>
      <c r="BA385" s="173">
        <f ca="1">IF(OR($D385&lt;&gt;"Serviço",AND(AUTOEVENTO="Manual",$M385=$A$15),$M385&gt;(ROW(PLE.lastrow)-ROW(PLE.firstrow))),0,
           IF(OFFSET(PLE!$G$15,$M385-$A$15,BA$13)="",10^12,OFFSET(PLE!$G$15,$M385-$A$15,BA$13)))</f>
        <v>1000000000000</v>
      </c>
      <c r="BB385" s="173">
        <f ca="1">IF(OR($D385&lt;&gt;"Serviço",AND(AUTOEVENTO="Manual",$M385=$A$15),$M385&gt;(ROW(PLE.lastrow)-ROW(PLE.firstrow))),0,
           IF(OFFSET(PLE!$G$15,$M385-$A$15,BB$13)="",10^12,OFFSET(PLE!$G$15,$M385-$A$15,BB$13)))</f>
        <v>1000000000000</v>
      </c>
      <c r="BC385" s="173">
        <f ca="1">IF(OR($D385&lt;&gt;"Serviço",AND(AUTOEVENTO="Manual",$M385=$A$15),$M385&gt;(ROW(PLE.lastrow)-ROW(PLE.firstrow))),0,
           IF(OFFSET(PLE!$G$15,$M385-$A$15,BC$13)="",10^12,OFFSET(PLE!$G$15,$M385-$A$15,BC$13)))</f>
        <v>1000000000000</v>
      </c>
      <c r="BD385" s="173">
        <f ca="1">IF(OR($D385&lt;&gt;"Serviço",AND(AUTOEVENTO="Manual",$M385=$A$15),$M385&gt;(ROW(PLE.lastrow)-ROW(PLE.firstrow))),0,
           IF(OFFSET(PLE!$G$15,$M385-$A$15,BD$13)="",10^12,OFFSET(PLE!$G$15,$M385-$A$15,BD$13)))</f>
        <v>1000000000000</v>
      </c>
      <c r="BE385" s="173">
        <f ca="1">IF(OR($D385&lt;&gt;"Serviço",AND(AUTOEVENTO="Manual",$M385=$A$15),$M385&gt;(ROW(PLE.lastrow)-ROW(PLE.firstrow))),0,
           IF(OFFSET(PLE!$G$15,$M385-$A$15,BE$13)="",10^12,OFFSET(PLE!$G$15,$M385-$A$15,BE$13)))</f>
        <v>1000000000000</v>
      </c>
      <c r="BF385" s="173">
        <f ca="1">IF(OR($D385&lt;&gt;"Serviço",AND(AUTOEVENTO="Manual",$M385=$A$15),$M385&gt;(ROW(PLE.lastrow)-ROW(PLE.firstrow))),0,
           IF(OFFSET(PLE!$G$15,$M385-$A$15,BF$13)="",10^12,OFFSET(PLE!$G$15,$M385-$A$15,BF$13)))</f>
        <v>1000000000000</v>
      </c>
      <c r="BG385" s="173">
        <f ca="1">IF(OR($D385&lt;&gt;"Serviço",AND(AUTOEVENTO="Manual",$M385=$A$15),$M385&gt;(ROW(PLE.lastrow)-ROW(PLE.firstrow))),0,
           IF(OFFSET(PLE!$G$15,$M385-$A$15,BG$13)="",10^12,OFFSET(PLE!$G$15,$M385-$A$15,BG$13)))</f>
        <v>1000000000000</v>
      </c>
    </row>
    <row r="386" spans="1:59" ht="25.5" x14ac:dyDescent="0.2">
      <c r="A386" s="7" t="str">
        <f t="shared" ca="1" si="13"/>
        <v>365</v>
      </c>
      <c r="B386" s="7" t="str">
        <f ca="1">OFFSET(ORÇAMENTO!C$15,ROW(B386)-ROW(B$15),0)</f>
        <v>S</v>
      </c>
      <c r="C386" s="7" t="str">
        <f ca="1">OFFSET(ORÇAMENTO!L$15,ROW(C386)-ROW(C$15),0)</f>
        <v/>
      </c>
      <c r="D386" s="117" t="str">
        <f ca="1">OFFSET(ORÇAMENTO!N$15,ROW(D386)-ROW(D$15),0)</f>
        <v>Serviço</v>
      </c>
      <c r="E386" s="118" t="str">
        <f ca="1">OFFSET(ORÇAMENTO!O$15,ROW(E386)-ROW(E$15),0)</f>
        <v>-</v>
      </c>
      <c r="F386" s="164" t="str">
        <f ca="1">OFFSET(ORÇAMENTO!R$15,ROW(F386)-ROW(F$15),0)</f>
        <v xml:space="preserve">CONECTOR DE ATERRAMENTO , REFORÇADO EM COBRE ESTANHO DOIS CABO DE 50 MM² 5/8" X 2,4 M   - FORMECIMENTO E INSTAÇÃO </v>
      </c>
      <c r="G386" s="165" t="str">
        <f ca="1">IF($D386&lt;&gt;"Serviço","",OFFSET(ORÇAMENTO!S$15,ROW(G386)-ROW(G$15),0))</f>
        <v xml:space="preserve">UN    </v>
      </c>
      <c r="H386" s="123">
        <f ca="1">IF($D386&lt;&gt;"Serviço",0,IF(ACOMPANHAMENTO="BM",ROUND(OFFSET(ORÇAMENTO!AJ$15,ROW(H386)-ROW(H$15),0),15-13*ORÇAMENTO!$AF$7),SUMPRODUCT(($Q$1:$AA$1=1)*ROUND($Q386:$AA386,15-13*ORÇAMENTO!$AF$7))))</f>
        <v>104.4</v>
      </c>
      <c r="I386" s="469"/>
      <c r="J386" s="577" t="str" cm="1">
        <f t="array" aca="1" ref="J386" ca="1">IF(B386&lt;&gt;"S","",IF(AND(ACOMPANHAMENTO="PLE",AUTOEVENTO="Manual",OR(H386&gt;0,ORÇAMENTO!AC386="QUANT."),OR(K386="",M386=0,N386="")),"►",IF(AND(ACOMPANHAMENTO="PLE",ORÇAMENTO!AC386="QUANT."),"►►",IF(AND(COUNTIF($P$11:$AA$11,"▼")=0,H386&gt;0,I386=""),"◄",""))))</f>
        <v>◄</v>
      </c>
      <c r="K386" s="626"/>
      <c r="L386" s="166" t="s">
        <v>765</v>
      </c>
      <c r="M386" s="167">
        <f ca="1">IF($D386&lt;&gt;"Serviço","",
          IF(AUTOEVENTO="manual",$A386,
                IF(ISERROR(MATCH($A386,$A$15:OFFSET($A386,-1,0),0)),MAX($M$15:OFFSET(M386,-1,0))+1,
                      INDEX($M$15:OFFSET(M386,-1,0),MATCH($A386,$A$15:OFFSET($A386,-1,0),0)))))</f>
        <v>21</v>
      </c>
      <c r="N386" s="168" t="str">
        <f ca="1">IF($D386&lt;&gt;"Serviço","",
         IF(AUTOEVENTO="Manual",
                IF($A386=0,"&lt;-- defina o número do agrupador",
                       OFFSET(EVENTOS!$D$15,$A386-$A$15,0)),
                OFFSET($F$15,$A386,0)))</f>
        <v>SPDA</v>
      </c>
      <c r="O386" s="169"/>
      <c r="Q386" s="169"/>
      <c r="R386" s="170"/>
      <c r="S386" s="170"/>
      <c r="T386" s="170"/>
      <c r="U386" s="170"/>
      <c r="V386" s="170"/>
      <c r="W386" s="170"/>
      <c r="X386" s="170"/>
      <c r="Y386" s="170"/>
      <c r="Z386" s="171"/>
      <c r="AB386" s="454">
        <f ca="1">IF(AND($D386="Serviço",AB$12&lt;&gt;0,$H386&gt;0,OR(AUTOEVENTO&lt;&gt;"manual",$M386&lt;&gt;$A$15)),
        IF(Import.TipoArredondamento&lt;&gt;"TransfereGOV",
              ROUND(OFFSET($P386,0,AB$13),15-13*ORÇAMENTO!$AF$7)/$H386*OFFSET(ORÇAMENTO!$X$15,ROW(AB386)-ROW(AB$15),0),
              ROUND(ROUND(OFFSET($P386,0,AB$13),15-13*ORÇAMENTO!$AF$7)*OFFSET(ORÇAMENTO!$W$15,ROW(AB386)-ROW(AB$15),0),15-13*ORÇAMENTO!$AF$11)),
         0)</f>
        <v>0</v>
      </c>
      <c r="AC386" s="454">
        <f ca="1">IF(AND($D386="Serviço",AC$12&lt;&gt;0,$H386&gt;0,OR(AUTOEVENTO&lt;&gt;"manual",$M386&lt;&gt;$A$15)),
        IF(Import.TipoArredondamento&lt;&gt;"TransfereGOV",
              ROUND(OFFSET($P386,0,AC$13),15-13*ORÇAMENTO!$AF$7)/$H386*OFFSET(ORÇAMENTO!$X$15,ROW(AC386)-ROW(AC$15),0),
              ROUND(ROUND(OFFSET($P386,0,AC$13),15-13*ORÇAMENTO!$AF$7)*OFFSET(ORÇAMENTO!$W$15,ROW(AC386)-ROW(AC$15),0),15-13*ORÇAMENTO!$AF$11)),
         0)</f>
        <v>0</v>
      </c>
      <c r="AD386" s="454">
        <f ca="1">IF(AND($D386="Serviço",AD$12&lt;&gt;0,$H386&gt;0,OR(AUTOEVENTO&lt;&gt;"manual",$M386&lt;&gt;$A$15)),
        IF(Import.TipoArredondamento&lt;&gt;"TransfereGOV",
              ROUND(OFFSET($P386,0,AD$13),15-13*ORÇAMENTO!$AF$7)/$H386*OFFSET(ORÇAMENTO!$X$15,ROW(AD386)-ROW(AD$15),0),
              ROUND(ROUND(OFFSET($P386,0,AD$13),15-13*ORÇAMENTO!$AF$7)*OFFSET(ORÇAMENTO!$W$15,ROW(AD386)-ROW(AD$15),0),15-13*ORÇAMENTO!$AF$11)),
         0)</f>
        <v>0</v>
      </c>
      <c r="AE386" s="454">
        <f ca="1">IF(AND($D386="Serviço",AE$12&lt;&gt;0,$H386&gt;0,OR(AUTOEVENTO&lt;&gt;"manual",$M386&lt;&gt;$A$15)),
        IF(Import.TipoArredondamento&lt;&gt;"TransfereGOV",
              ROUND(OFFSET($P386,0,AE$13),15-13*ORÇAMENTO!$AF$7)/$H386*OFFSET(ORÇAMENTO!$X$15,ROW(AE386)-ROW(AE$15),0),
              ROUND(ROUND(OFFSET($P386,0,AE$13),15-13*ORÇAMENTO!$AF$7)*OFFSET(ORÇAMENTO!$W$15,ROW(AE386)-ROW(AE$15),0),15-13*ORÇAMENTO!$AF$11)),
         0)</f>
        <v>0</v>
      </c>
      <c r="AF386" s="454">
        <f ca="1">IF(AND($D386="Serviço",AF$12&lt;&gt;0,$H386&gt;0,OR(AUTOEVENTO&lt;&gt;"manual",$M386&lt;&gt;$A$15)),
        IF(Import.TipoArredondamento&lt;&gt;"TransfereGOV",
              ROUND(OFFSET($P386,0,AF$13),15-13*ORÇAMENTO!$AF$7)/$H386*OFFSET(ORÇAMENTO!$X$15,ROW(AF386)-ROW(AF$15),0),
              ROUND(ROUND(OFFSET($P386,0,AF$13),15-13*ORÇAMENTO!$AF$7)*OFFSET(ORÇAMENTO!$W$15,ROW(AF386)-ROW(AF$15),0),15-13*ORÇAMENTO!$AF$11)),
         0)</f>
        <v>0</v>
      </c>
      <c r="AG386" s="454">
        <f ca="1">IF(AND($D386="Serviço",AG$12&lt;&gt;0,$H386&gt;0,OR(AUTOEVENTO&lt;&gt;"manual",$M386&lt;&gt;$A$15)),
        IF(Import.TipoArredondamento&lt;&gt;"TransfereGOV",
              ROUND(OFFSET($P386,0,AG$13),15-13*ORÇAMENTO!$AF$7)/$H386*OFFSET(ORÇAMENTO!$X$15,ROW(AG386)-ROW(AG$15),0),
              ROUND(ROUND(OFFSET($P386,0,AG$13),15-13*ORÇAMENTO!$AF$7)*OFFSET(ORÇAMENTO!$W$15,ROW(AG386)-ROW(AG$15),0),15-13*ORÇAMENTO!$AF$11)),
         0)</f>
        <v>0</v>
      </c>
      <c r="AH386" s="454">
        <f ca="1">IF(AND($D386="Serviço",AH$12&lt;&gt;0,$H386&gt;0,OR(AUTOEVENTO&lt;&gt;"manual",$M386&lt;&gt;$A$15)),
        IF(Import.TipoArredondamento&lt;&gt;"TransfereGOV",
              ROUND(OFFSET($P386,0,AH$13),15-13*ORÇAMENTO!$AF$7)/$H386*OFFSET(ORÇAMENTO!$X$15,ROW(AH386)-ROW(AH$15),0),
              ROUND(ROUND(OFFSET($P386,0,AH$13),15-13*ORÇAMENTO!$AF$7)*OFFSET(ORÇAMENTO!$W$15,ROW(AH386)-ROW(AH$15),0),15-13*ORÇAMENTO!$AF$11)),
         0)</f>
        <v>0</v>
      </c>
      <c r="AI386" s="454">
        <f ca="1">IF(AND($D386="Serviço",AI$12&lt;&gt;0,$H386&gt;0,OR(AUTOEVENTO&lt;&gt;"manual",$M386&lt;&gt;$A$15)),
        IF(Import.TipoArredondamento&lt;&gt;"TransfereGOV",
              ROUND(OFFSET($P386,0,AI$13),15-13*ORÇAMENTO!$AF$7)/$H386*OFFSET(ORÇAMENTO!$X$15,ROW(AI386)-ROW(AI$15),0),
              ROUND(ROUND(OFFSET($P386,0,AI$13),15-13*ORÇAMENTO!$AF$7)*OFFSET(ORÇAMENTO!$W$15,ROW(AI386)-ROW(AI$15),0),15-13*ORÇAMENTO!$AF$11)),
         0)</f>
        <v>0</v>
      </c>
      <c r="AJ386" s="454">
        <f ca="1">IF(AND($D386="Serviço",AJ$12&lt;&gt;0,$H386&gt;0,OR(AUTOEVENTO&lt;&gt;"manual",$M386&lt;&gt;$A$15)),
        IF(Import.TipoArredondamento&lt;&gt;"TransfereGOV",
              ROUND(OFFSET($P386,0,AJ$13),15-13*ORÇAMENTO!$AF$7)/$H386*OFFSET(ORÇAMENTO!$X$15,ROW(AJ386)-ROW(AJ$15),0),
              ROUND(ROUND(OFFSET($P386,0,AJ$13),15-13*ORÇAMENTO!$AF$7)*OFFSET(ORÇAMENTO!$W$15,ROW(AJ386)-ROW(AJ$15),0),15-13*ORÇAMENTO!$AF$11)),
         0)</f>
        <v>0</v>
      </c>
      <c r="AK386" s="454">
        <f ca="1">IF(AND($D386="Serviço",AK$12&lt;&gt;0,$H386&gt;0,OR(AUTOEVENTO&lt;&gt;"manual",$M386&lt;&gt;$A$15)),
        IF(Import.TipoArredondamento&lt;&gt;"TransfereGOV",
              ROUND(OFFSET($P386,0,AK$13),15-13*ORÇAMENTO!$AF$7)/$H386*OFFSET(ORÇAMENTO!$X$15,ROW(AK386)-ROW(AK$15),0),
              ROUND(ROUND(OFFSET($P386,0,AK$13),15-13*ORÇAMENTO!$AF$7)*OFFSET(ORÇAMENTO!$W$15,ROW(AK386)-ROW(AK$15),0),15-13*ORÇAMENTO!$AF$11)),
         0)</f>
        <v>0</v>
      </c>
      <c r="AM386" s="172">
        <f ca="1">IF(OR($D386&lt;&gt;"Serviço",AND(AUTOEVENTO="Manual",$M386=$A$15)),0,
         IF(OFFSET(CRONOPLE!$F$15,$M386-$A$15,AM$13)="",10^12,OFFSET(CRONOPLE!$F$15,$M386-$A$15,AM$13)))</f>
        <v>1000000000000</v>
      </c>
      <c r="AN386" s="172">
        <f ca="1">IF(OR($D386&lt;&gt;"Serviço",AND(AUTOEVENTO="Manual",$M386=$A$15)),0,
         IF(OFFSET(CRONOPLE!$F$15,$M386-$A$15,AN$13)="",10^12,OFFSET(CRONOPLE!$F$15,$M386-$A$15,AN$13)))</f>
        <v>1000000000000</v>
      </c>
      <c r="AO386" s="172">
        <f ca="1">IF(OR($D386&lt;&gt;"Serviço",AND(AUTOEVENTO="Manual",$M386=$A$15)),0,
         IF(OFFSET(CRONOPLE!$F$15,$M386-$A$15,AO$13)="",10^12,OFFSET(CRONOPLE!$F$15,$M386-$A$15,AO$13)))</f>
        <v>1000000000000</v>
      </c>
      <c r="AP386" s="172">
        <f ca="1">IF(OR($D386&lt;&gt;"Serviço",AND(AUTOEVENTO="Manual",$M386=$A$15)),0,
         IF(OFFSET(CRONOPLE!$F$15,$M386-$A$15,AP$13)="",10^12,OFFSET(CRONOPLE!$F$15,$M386-$A$15,AP$13)))</f>
        <v>1000000000000</v>
      </c>
      <c r="AQ386" s="172">
        <f ca="1">IF(OR($D386&lt;&gt;"Serviço",AND(AUTOEVENTO="Manual",$M386=$A$15)),0,
         IF(OFFSET(CRONOPLE!$F$15,$M386-$A$15,AQ$13)="",10^12,OFFSET(CRONOPLE!$F$15,$M386-$A$15,AQ$13)))</f>
        <v>1000000000000</v>
      </c>
      <c r="AR386" s="172">
        <f ca="1">IF(OR($D386&lt;&gt;"Serviço",AND(AUTOEVENTO="Manual",$M386=$A$15)),0,
         IF(OFFSET(CRONOPLE!$F$15,$M386-$A$15,AR$13)="",10^12,OFFSET(CRONOPLE!$F$15,$M386-$A$15,AR$13)))</f>
        <v>1000000000000</v>
      </c>
      <c r="AS386" s="172">
        <f ca="1">IF(OR($D386&lt;&gt;"Serviço",AND(AUTOEVENTO="Manual",$M386=$A$15)),0,
         IF(OFFSET(CRONOPLE!$F$15,$M386-$A$15,AS$13)="",10^12,OFFSET(CRONOPLE!$F$15,$M386-$A$15,AS$13)))</f>
        <v>1000000000000</v>
      </c>
      <c r="AT386" s="172">
        <f ca="1">IF(OR($D386&lt;&gt;"Serviço",AND(AUTOEVENTO="Manual",$M386=$A$15)),0,
         IF(OFFSET(CRONOPLE!$F$15,$M386-$A$15,AT$13)="",10^12,OFFSET(CRONOPLE!$F$15,$M386-$A$15,AT$13)))</f>
        <v>1000000000000</v>
      </c>
      <c r="AU386" s="172">
        <f ca="1">IF(OR($D386&lt;&gt;"Serviço",AND(AUTOEVENTO="Manual",$M386=$A$15)),0,
         IF(OFFSET(CRONOPLE!$F$15,$M386-$A$15,AU$13)="",10^12,OFFSET(CRONOPLE!$F$15,$M386-$A$15,AU$13)))</f>
        <v>1000000000000</v>
      </c>
      <c r="AV386" s="172">
        <f ca="1">IF(OR($D386&lt;&gt;"Serviço",AND(AUTOEVENTO="Manual",$M386=$A$15)),0,
         IF(OFFSET(CRONOPLE!$F$15,$M386-$A$15,AV$13)="",10^12,OFFSET(CRONOPLE!$F$15,$M386-$A$15,AV$13)))</f>
        <v>1000000000000</v>
      </c>
      <c r="AX386" s="173">
        <f ca="1">IF(OR($D386&lt;&gt;"Serviço",AND(AUTOEVENTO="Manual",$M386=$A$15),$M386&gt;(ROW(PLE.lastrow)-ROW(PLE.firstrow))),0,
           IF(OFFSET(PLE!$G$15,$M386-$A$15,AX$13)="",10^12,OFFSET(PLE!$G$15,$M386-$A$15,AX$13)))</f>
        <v>1000000000000</v>
      </c>
      <c r="AY386" s="173">
        <f ca="1">IF(OR($D386&lt;&gt;"Serviço",AND(AUTOEVENTO="Manual",$M386=$A$15),$M386&gt;(ROW(PLE.lastrow)-ROW(PLE.firstrow))),0,
           IF(OFFSET(PLE!$G$15,$M386-$A$15,AY$13)="",10^12,OFFSET(PLE!$G$15,$M386-$A$15,AY$13)))</f>
        <v>1000000000000</v>
      </c>
      <c r="AZ386" s="173">
        <f ca="1">IF(OR($D386&lt;&gt;"Serviço",AND(AUTOEVENTO="Manual",$M386=$A$15),$M386&gt;(ROW(PLE.lastrow)-ROW(PLE.firstrow))),0,
           IF(OFFSET(PLE!$G$15,$M386-$A$15,AZ$13)="",10^12,OFFSET(PLE!$G$15,$M386-$A$15,AZ$13)))</f>
        <v>1000000000000</v>
      </c>
      <c r="BA386" s="173">
        <f ca="1">IF(OR($D386&lt;&gt;"Serviço",AND(AUTOEVENTO="Manual",$M386=$A$15),$M386&gt;(ROW(PLE.lastrow)-ROW(PLE.firstrow))),0,
           IF(OFFSET(PLE!$G$15,$M386-$A$15,BA$13)="",10^12,OFFSET(PLE!$G$15,$M386-$A$15,BA$13)))</f>
        <v>1000000000000</v>
      </c>
      <c r="BB386" s="173">
        <f ca="1">IF(OR($D386&lt;&gt;"Serviço",AND(AUTOEVENTO="Manual",$M386=$A$15),$M386&gt;(ROW(PLE.lastrow)-ROW(PLE.firstrow))),0,
           IF(OFFSET(PLE!$G$15,$M386-$A$15,BB$13)="",10^12,OFFSET(PLE!$G$15,$M386-$A$15,BB$13)))</f>
        <v>1000000000000</v>
      </c>
      <c r="BC386" s="173">
        <f ca="1">IF(OR($D386&lt;&gt;"Serviço",AND(AUTOEVENTO="Manual",$M386=$A$15),$M386&gt;(ROW(PLE.lastrow)-ROW(PLE.firstrow))),0,
           IF(OFFSET(PLE!$G$15,$M386-$A$15,BC$13)="",10^12,OFFSET(PLE!$G$15,$M386-$A$15,BC$13)))</f>
        <v>1000000000000</v>
      </c>
      <c r="BD386" s="173">
        <f ca="1">IF(OR($D386&lt;&gt;"Serviço",AND(AUTOEVENTO="Manual",$M386=$A$15),$M386&gt;(ROW(PLE.lastrow)-ROW(PLE.firstrow))),0,
           IF(OFFSET(PLE!$G$15,$M386-$A$15,BD$13)="",10^12,OFFSET(PLE!$G$15,$M386-$A$15,BD$13)))</f>
        <v>1000000000000</v>
      </c>
      <c r="BE386" s="173">
        <f ca="1">IF(OR($D386&lt;&gt;"Serviço",AND(AUTOEVENTO="Manual",$M386=$A$15),$M386&gt;(ROW(PLE.lastrow)-ROW(PLE.firstrow))),0,
           IF(OFFSET(PLE!$G$15,$M386-$A$15,BE$13)="",10^12,OFFSET(PLE!$G$15,$M386-$A$15,BE$13)))</f>
        <v>1000000000000</v>
      </c>
      <c r="BF386" s="173">
        <f ca="1">IF(OR($D386&lt;&gt;"Serviço",AND(AUTOEVENTO="Manual",$M386=$A$15),$M386&gt;(ROW(PLE.lastrow)-ROW(PLE.firstrow))),0,
           IF(OFFSET(PLE!$G$15,$M386-$A$15,BF$13)="",10^12,OFFSET(PLE!$G$15,$M386-$A$15,BF$13)))</f>
        <v>1000000000000</v>
      </c>
      <c r="BG386" s="173">
        <f ca="1">IF(OR($D386&lt;&gt;"Serviço",AND(AUTOEVENTO="Manual",$M386=$A$15),$M386&gt;(ROW(PLE.lastrow)-ROW(PLE.firstrow))),0,
           IF(OFFSET(PLE!$G$15,$M386-$A$15,BG$13)="",10^12,OFFSET(PLE!$G$15,$M386-$A$15,BG$13)))</f>
        <v>1000000000000</v>
      </c>
    </row>
    <row r="387" spans="1:59" ht="25.5" x14ac:dyDescent="0.2">
      <c r="A387" s="7" t="str">
        <f t="shared" ca="1" si="13"/>
        <v>365</v>
      </c>
      <c r="B387" s="7" t="str">
        <f ca="1">OFFSET(ORÇAMENTO!C$15,ROW(B387)-ROW(B$15),0)</f>
        <v>S</v>
      </c>
      <c r="C387" s="7" t="str">
        <f ca="1">OFFSET(ORÇAMENTO!L$15,ROW(C387)-ROW(C$15),0)</f>
        <v/>
      </c>
      <c r="D387" s="117" t="str">
        <f ca="1">OFFSET(ORÇAMENTO!N$15,ROW(D387)-ROW(D$15),0)</f>
        <v>Serviço</v>
      </c>
      <c r="E387" s="118" t="str">
        <f ca="1">OFFSET(ORÇAMENTO!O$15,ROW(E387)-ROW(E$15),0)</f>
        <v>-</v>
      </c>
      <c r="F387" s="164" t="str">
        <f ca="1">OFFSET(ORÇAMENTO!R$15,ROW(F387)-ROW(F$15),0)</f>
        <v xml:space="preserve">CONECTOR DE COMPRESSAO PARA ATERRAMENTO PARA CABO DE  50MM² 5/8 X 2,40 M - FORNECIMENTO E INSTALAÇAO </v>
      </c>
      <c r="G387" s="165" t="str">
        <f ca="1">IF($D387&lt;&gt;"Serviço","",OFFSET(ORÇAMENTO!S$15,ROW(G387)-ROW(G$15),0))</f>
        <v xml:space="preserve">UN    </v>
      </c>
      <c r="H387" s="123">
        <f ca="1">IF($D387&lt;&gt;"Serviço",0,IF(ACOMPANHAMENTO="BM",ROUND(OFFSET(ORÇAMENTO!AJ$15,ROW(H387)-ROW(H$15),0),15-13*ORÇAMENTO!$AF$7),SUMPRODUCT(($Q$1:$AA$1=1)*ROUND($Q387:$AA387,15-13*ORÇAMENTO!$AF$7))))</f>
        <v>58.59</v>
      </c>
      <c r="I387" s="469"/>
      <c r="J387" s="577" t="str" cm="1">
        <f t="array" aca="1" ref="J387" ca="1">IF(B387&lt;&gt;"S","",IF(AND(ACOMPANHAMENTO="PLE",AUTOEVENTO="Manual",OR(H387&gt;0,ORÇAMENTO!AC387="QUANT."),OR(K387="",M387=0,N387="")),"►",IF(AND(ACOMPANHAMENTO="PLE",ORÇAMENTO!AC387="QUANT."),"►►",IF(AND(COUNTIF($P$11:$AA$11,"▼")=0,H387&gt;0,I387=""),"◄",""))))</f>
        <v>◄</v>
      </c>
      <c r="K387" s="626"/>
      <c r="L387" s="166" t="s">
        <v>765</v>
      </c>
      <c r="M387" s="167">
        <f ca="1">IF($D387&lt;&gt;"Serviço","",
          IF(AUTOEVENTO="manual",$A387,
                IF(ISERROR(MATCH($A387,$A$15:OFFSET($A387,-1,0),0)),MAX($M$15:OFFSET(M387,-1,0))+1,
                      INDEX($M$15:OFFSET(M387,-1,0),MATCH($A387,$A$15:OFFSET($A387,-1,0),0)))))</f>
        <v>21</v>
      </c>
      <c r="N387" s="168" t="str">
        <f ca="1">IF($D387&lt;&gt;"Serviço","",
         IF(AUTOEVENTO="Manual",
                IF($A387=0,"&lt;-- defina o número do agrupador",
                       OFFSET(EVENTOS!$D$15,$A387-$A$15,0)),
                OFFSET($F$15,$A387,0)))</f>
        <v>SPDA</v>
      </c>
      <c r="O387" s="169"/>
      <c r="Q387" s="169"/>
      <c r="R387" s="170"/>
      <c r="S387" s="170"/>
      <c r="T387" s="170"/>
      <c r="U387" s="170"/>
      <c r="V387" s="170"/>
      <c r="W387" s="170"/>
      <c r="X387" s="170"/>
      <c r="Y387" s="170"/>
      <c r="Z387" s="171"/>
      <c r="AB387" s="454">
        <f ca="1">IF(AND($D387="Serviço",AB$12&lt;&gt;0,$H387&gt;0,OR(AUTOEVENTO&lt;&gt;"manual",$M387&lt;&gt;$A$15)),
        IF(Import.TipoArredondamento&lt;&gt;"TransfereGOV",
              ROUND(OFFSET($P387,0,AB$13),15-13*ORÇAMENTO!$AF$7)/$H387*OFFSET(ORÇAMENTO!$X$15,ROW(AB387)-ROW(AB$15),0),
              ROUND(ROUND(OFFSET($P387,0,AB$13),15-13*ORÇAMENTO!$AF$7)*OFFSET(ORÇAMENTO!$W$15,ROW(AB387)-ROW(AB$15),0),15-13*ORÇAMENTO!$AF$11)),
         0)</f>
        <v>0</v>
      </c>
      <c r="AC387" s="454">
        <f ca="1">IF(AND($D387="Serviço",AC$12&lt;&gt;0,$H387&gt;0,OR(AUTOEVENTO&lt;&gt;"manual",$M387&lt;&gt;$A$15)),
        IF(Import.TipoArredondamento&lt;&gt;"TransfereGOV",
              ROUND(OFFSET($P387,0,AC$13),15-13*ORÇAMENTO!$AF$7)/$H387*OFFSET(ORÇAMENTO!$X$15,ROW(AC387)-ROW(AC$15),0),
              ROUND(ROUND(OFFSET($P387,0,AC$13),15-13*ORÇAMENTO!$AF$7)*OFFSET(ORÇAMENTO!$W$15,ROW(AC387)-ROW(AC$15),0),15-13*ORÇAMENTO!$AF$11)),
         0)</f>
        <v>0</v>
      </c>
      <c r="AD387" s="454">
        <f ca="1">IF(AND($D387="Serviço",AD$12&lt;&gt;0,$H387&gt;0,OR(AUTOEVENTO&lt;&gt;"manual",$M387&lt;&gt;$A$15)),
        IF(Import.TipoArredondamento&lt;&gt;"TransfereGOV",
              ROUND(OFFSET($P387,0,AD$13),15-13*ORÇAMENTO!$AF$7)/$H387*OFFSET(ORÇAMENTO!$X$15,ROW(AD387)-ROW(AD$15),0),
              ROUND(ROUND(OFFSET($P387,0,AD$13),15-13*ORÇAMENTO!$AF$7)*OFFSET(ORÇAMENTO!$W$15,ROW(AD387)-ROW(AD$15),0),15-13*ORÇAMENTO!$AF$11)),
         0)</f>
        <v>0</v>
      </c>
      <c r="AE387" s="454">
        <f ca="1">IF(AND($D387="Serviço",AE$12&lt;&gt;0,$H387&gt;0,OR(AUTOEVENTO&lt;&gt;"manual",$M387&lt;&gt;$A$15)),
        IF(Import.TipoArredondamento&lt;&gt;"TransfereGOV",
              ROUND(OFFSET($P387,0,AE$13),15-13*ORÇAMENTO!$AF$7)/$H387*OFFSET(ORÇAMENTO!$X$15,ROW(AE387)-ROW(AE$15),0),
              ROUND(ROUND(OFFSET($P387,0,AE$13),15-13*ORÇAMENTO!$AF$7)*OFFSET(ORÇAMENTO!$W$15,ROW(AE387)-ROW(AE$15),0),15-13*ORÇAMENTO!$AF$11)),
         0)</f>
        <v>0</v>
      </c>
      <c r="AF387" s="454">
        <f ca="1">IF(AND($D387="Serviço",AF$12&lt;&gt;0,$H387&gt;0,OR(AUTOEVENTO&lt;&gt;"manual",$M387&lt;&gt;$A$15)),
        IF(Import.TipoArredondamento&lt;&gt;"TransfereGOV",
              ROUND(OFFSET($P387,0,AF$13),15-13*ORÇAMENTO!$AF$7)/$H387*OFFSET(ORÇAMENTO!$X$15,ROW(AF387)-ROW(AF$15),0),
              ROUND(ROUND(OFFSET($P387,0,AF$13),15-13*ORÇAMENTO!$AF$7)*OFFSET(ORÇAMENTO!$W$15,ROW(AF387)-ROW(AF$15),0),15-13*ORÇAMENTO!$AF$11)),
         0)</f>
        <v>0</v>
      </c>
      <c r="AG387" s="454">
        <f ca="1">IF(AND($D387="Serviço",AG$12&lt;&gt;0,$H387&gt;0,OR(AUTOEVENTO&lt;&gt;"manual",$M387&lt;&gt;$A$15)),
        IF(Import.TipoArredondamento&lt;&gt;"TransfereGOV",
              ROUND(OFFSET($P387,0,AG$13),15-13*ORÇAMENTO!$AF$7)/$H387*OFFSET(ORÇAMENTO!$X$15,ROW(AG387)-ROW(AG$15),0),
              ROUND(ROUND(OFFSET($P387,0,AG$13),15-13*ORÇAMENTO!$AF$7)*OFFSET(ORÇAMENTO!$W$15,ROW(AG387)-ROW(AG$15),0),15-13*ORÇAMENTO!$AF$11)),
         0)</f>
        <v>0</v>
      </c>
      <c r="AH387" s="454">
        <f ca="1">IF(AND($D387="Serviço",AH$12&lt;&gt;0,$H387&gt;0,OR(AUTOEVENTO&lt;&gt;"manual",$M387&lt;&gt;$A$15)),
        IF(Import.TipoArredondamento&lt;&gt;"TransfereGOV",
              ROUND(OFFSET($P387,0,AH$13),15-13*ORÇAMENTO!$AF$7)/$H387*OFFSET(ORÇAMENTO!$X$15,ROW(AH387)-ROW(AH$15),0),
              ROUND(ROUND(OFFSET($P387,0,AH$13),15-13*ORÇAMENTO!$AF$7)*OFFSET(ORÇAMENTO!$W$15,ROW(AH387)-ROW(AH$15),0),15-13*ORÇAMENTO!$AF$11)),
         0)</f>
        <v>0</v>
      </c>
      <c r="AI387" s="454">
        <f ca="1">IF(AND($D387="Serviço",AI$12&lt;&gt;0,$H387&gt;0,OR(AUTOEVENTO&lt;&gt;"manual",$M387&lt;&gt;$A$15)),
        IF(Import.TipoArredondamento&lt;&gt;"TransfereGOV",
              ROUND(OFFSET($P387,0,AI$13),15-13*ORÇAMENTO!$AF$7)/$H387*OFFSET(ORÇAMENTO!$X$15,ROW(AI387)-ROW(AI$15),0),
              ROUND(ROUND(OFFSET($P387,0,AI$13),15-13*ORÇAMENTO!$AF$7)*OFFSET(ORÇAMENTO!$W$15,ROW(AI387)-ROW(AI$15),0),15-13*ORÇAMENTO!$AF$11)),
         0)</f>
        <v>0</v>
      </c>
      <c r="AJ387" s="454">
        <f ca="1">IF(AND($D387="Serviço",AJ$12&lt;&gt;0,$H387&gt;0,OR(AUTOEVENTO&lt;&gt;"manual",$M387&lt;&gt;$A$15)),
        IF(Import.TipoArredondamento&lt;&gt;"TransfereGOV",
              ROUND(OFFSET($P387,0,AJ$13),15-13*ORÇAMENTO!$AF$7)/$H387*OFFSET(ORÇAMENTO!$X$15,ROW(AJ387)-ROW(AJ$15),0),
              ROUND(ROUND(OFFSET($P387,0,AJ$13),15-13*ORÇAMENTO!$AF$7)*OFFSET(ORÇAMENTO!$W$15,ROW(AJ387)-ROW(AJ$15),0),15-13*ORÇAMENTO!$AF$11)),
         0)</f>
        <v>0</v>
      </c>
      <c r="AK387" s="454">
        <f ca="1">IF(AND($D387="Serviço",AK$12&lt;&gt;0,$H387&gt;0,OR(AUTOEVENTO&lt;&gt;"manual",$M387&lt;&gt;$A$15)),
        IF(Import.TipoArredondamento&lt;&gt;"TransfereGOV",
              ROUND(OFFSET($P387,0,AK$13),15-13*ORÇAMENTO!$AF$7)/$H387*OFFSET(ORÇAMENTO!$X$15,ROW(AK387)-ROW(AK$15),0),
              ROUND(ROUND(OFFSET($P387,0,AK$13),15-13*ORÇAMENTO!$AF$7)*OFFSET(ORÇAMENTO!$W$15,ROW(AK387)-ROW(AK$15),0),15-13*ORÇAMENTO!$AF$11)),
         0)</f>
        <v>0</v>
      </c>
      <c r="AM387" s="172">
        <f ca="1">IF(OR($D387&lt;&gt;"Serviço",AND(AUTOEVENTO="Manual",$M387=$A$15)),0,
         IF(OFFSET(CRONOPLE!$F$15,$M387-$A$15,AM$13)="",10^12,OFFSET(CRONOPLE!$F$15,$M387-$A$15,AM$13)))</f>
        <v>1000000000000</v>
      </c>
      <c r="AN387" s="172">
        <f ca="1">IF(OR($D387&lt;&gt;"Serviço",AND(AUTOEVENTO="Manual",$M387=$A$15)),0,
         IF(OFFSET(CRONOPLE!$F$15,$M387-$A$15,AN$13)="",10^12,OFFSET(CRONOPLE!$F$15,$M387-$A$15,AN$13)))</f>
        <v>1000000000000</v>
      </c>
      <c r="AO387" s="172">
        <f ca="1">IF(OR($D387&lt;&gt;"Serviço",AND(AUTOEVENTO="Manual",$M387=$A$15)),0,
         IF(OFFSET(CRONOPLE!$F$15,$M387-$A$15,AO$13)="",10^12,OFFSET(CRONOPLE!$F$15,$M387-$A$15,AO$13)))</f>
        <v>1000000000000</v>
      </c>
      <c r="AP387" s="172">
        <f ca="1">IF(OR($D387&lt;&gt;"Serviço",AND(AUTOEVENTO="Manual",$M387=$A$15)),0,
         IF(OFFSET(CRONOPLE!$F$15,$M387-$A$15,AP$13)="",10^12,OFFSET(CRONOPLE!$F$15,$M387-$A$15,AP$13)))</f>
        <v>1000000000000</v>
      </c>
      <c r="AQ387" s="172">
        <f ca="1">IF(OR($D387&lt;&gt;"Serviço",AND(AUTOEVENTO="Manual",$M387=$A$15)),0,
         IF(OFFSET(CRONOPLE!$F$15,$M387-$A$15,AQ$13)="",10^12,OFFSET(CRONOPLE!$F$15,$M387-$A$15,AQ$13)))</f>
        <v>1000000000000</v>
      </c>
      <c r="AR387" s="172">
        <f ca="1">IF(OR($D387&lt;&gt;"Serviço",AND(AUTOEVENTO="Manual",$M387=$A$15)),0,
         IF(OFFSET(CRONOPLE!$F$15,$M387-$A$15,AR$13)="",10^12,OFFSET(CRONOPLE!$F$15,$M387-$A$15,AR$13)))</f>
        <v>1000000000000</v>
      </c>
      <c r="AS387" s="172">
        <f ca="1">IF(OR($D387&lt;&gt;"Serviço",AND(AUTOEVENTO="Manual",$M387=$A$15)),0,
         IF(OFFSET(CRONOPLE!$F$15,$M387-$A$15,AS$13)="",10^12,OFFSET(CRONOPLE!$F$15,$M387-$A$15,AS$13)))</f>
        <v>1000000000000</v>
      </c>
      <c r="AT387" s="172">
        <f ca="1">IF(OR($D387&lt;&gt;"Serviço",AND(AUTOEVENTO="Manual",$M387=$A$15)),0,
         IF(OFFSET(CRONOPLE!$F$15,$M387-$A$15,AT$13)="",10^12,OFFSET(CRONOPLE!$F$15,$M387-$A$15,AT$13)))</f>
        <v>1000000000000</v>
      </c>
      <c r="AU387" s="172">
        <f ca="1">IF(OR($D387&lt;&gt;"Serviço",AND(AUTOEVENTO="Manual",$M387=$A$15)),0,
         IF(OFFSET(CRONOPLE!$F$15,$M387-$A$15,AU$13)="",10^12,OFFSET(CRONOPLE!$F$15,$M387-$A$15,AU$13)))</f>
        <v>1000000000000</v>
      </c>
      <c r="AV387" s="172">
        <f ca="1">IF(OR($D387&lt;&gt;"Serviço",AND(AUTOEVENTO="Manual",$M387=$A$15)),0,
         IF(OFFSET(CRONOPLE!$F$15,$M387-$A$15,AV$13)="",10^12,OFFSET(CRONOPLE!$F$15,$M387-$A$15,AV$13)))</f>
        <v>1000000000000</v>
      </c>
      <c r="AX387" s="173">
        <f ca="1">IF(OR($D387&lt;&gt;"Serviço",AND(AUTOEVENTO="Manual",$M387=$A$15),$M387&gt;(ROW(PLE.lastrow)-ROW(PLE.firstrow))),0,
           IF(OFFSET(PLE!$G$15,$M387-$A$15,AX$13)="",10^12,OFFSET(PLE!$G$15,$M387-$A$15,AX$13)))</f>
        <v>1000000000000</v>
      </c>
      <c r="AY387" s="173">
        <f ca="1">IF(OR($D387&lt;&gt;"Serviço",AND(AUTOEVENTO="Manual",$M387=$A$15),$M387&gt;(ROW(PLE.lastrow)-ROW(PLE.firstrow))),0,
           IF(OFFSET(PLE!$G$15,$M387-$A$15,AY$13)="",10^12,OFFSET(PLE!$G$15,$M387-$A$15,AY$13)))</f>
        <v>1000000000000</v>
      </c>
      <c r="AZ387" s="173">
        <f ca="1">IF(OR($D387&lt;&gt;"Serviço",AND(AUTOEVENTO="Manual",$M387=$A$15),$M387&gt;(ROW(PLE.lastrow)-ROW(PLE.firstrow))),0,
           IF(OFFSET(PLE!$G$15,$M387-$A$15,AZ$13)="",10^12,OFFSET(PLE!$G$15,$M387-$A$15,AZ$13)))</f>
        <v>1000000000000</v>
      </c>
      <c r="BA387" s="173">
        <f ca="1">IF(OR($D387&lt;&gt;"Serviço",AND(AUTOEVENTO="Manual",$M387=$A$15),$M387&gt;(ROW(PLE.lastrow)-ROW(PLE.firstrow))),0,
           IF(OFFSET(PLE!$G$15,$M387-$A$15,BA$13)="",10^12,OFFSET(PLE!$G$15,$M387-$A$15,BA$13)))</f>
        <v>1000000000000</v>
      </c>
      <c r="BB387" s="173">
        <f ca="1">IF(OR($D387&lt;&gt;"Serviço",AND(AUTOEVENTO="Manual",$M387=$A$15),$M387&gt;(ROW(PLE.lastrow)-ROW(PLE.firstrow))),0,
           IF(OFFSET(PLE!$G$15,$M387-$A$15,BB$13)="",10^12,OFFSET(PLE!$G$15,$M387-$A$15,BB$13)))</f>
        <v>1000000000000</v>
      </c>
      <c r="BC387" s="173">
        <f ca="1">IF(OR($D387&lt;&gt;"Serviço",AND(AUTOEVENTO="Manual",$M387=$A$15),$M387&gt;(ROW(PLE.lastrow)-ROW(PLE.firstrow))),0,
           IF(OFFSET(PLE!$G$15,$M387-$A$15,BC$13)="",10^12,OFFSET(PLE!$G$15,$M387-$A$15,BC$13)))</f>
        <v>1000000000000</v>
      </c>
      <c r="BD387" s="173">
        <f ca="1">IF(OR($D387&lt;&gt;"Serviço",AND(AUTOEVENTO="Manual",$M387=$A$15),$M387&gt;(ROW(PLE.lastrow)-ROW(PLE.firstrow))),0,
           IF(OFFSET(PLE!$G$15,$M387-$A$15,BD$13)="",10^12,OFFSET(PLE!$G$15,$M387-$A$15,BD$13)))</f>
        <v>1000000000000</v>
      </c>
      <c r="BE387" s="173">
        <f ca="1">IF(OR($D387&lt;&gt;"Serviço",AND(AUTOEVENTO="Manual",$M387=$A$15),$M387&gt;(ROW(PLE.lastrow)-ROW(PLE.firstrow))),0,
           IF(OFFSET(PLE!$G$15,$M387-$A$15,BE$13)="",10^12,OFFSET(PLE!$G$15,$M387-$A$15,BE$13)))</f>
        <v>1000000000000</v>
      </c>
      <c r="BF387" s="173">
        <f ca="1">IF(OR($D387&lt;&gt;"Serviço",AND(AUTOEVENTO="Manual",$M387=$A$15),$M387&gt;(ROW(PLE.lastrow)-ROW(PLE.firstrow))),0,
           IF(OFFSET(PLE!$G$15,$M387-$A$15,BF$13)="",10^12,OFFSET(PLE!$G$15,$M387-$A$15,BF$13)))</f>
        <v>1000000000000</v>
      </c>
      <c r="BG387" s="173">
        <f ca="1">IF(OR($D387&lt;&gt;"Serviço",AND(AUTOEVENTO="Manual",$M387=$A$15),$M387&gt;(ROW(PLE.lastrow)-ROW(PLE.firstrow))),0,
           IF(OFFSET(PLE!$G$15,$M387-$A$15,BG$13)="",10^12,OFFSET(PLE!$G$15,$M387-$A$15,BG$13)))</f>
        <v>1000000000000</v>
      </c>
    </row>
    <row r="388" spans="1:59" ht="38.25" x14ac:dyDescent="0.2">
      <c r="A388" s="7" t="str">
        <f t="shared" ca="1" si="13"/>
        <v>365</v>
      </c>
      <c r="B388" s="7" t="str">
        <f ca="1">OFFSET(ORÇAMENTO!C$15,ROW(B388)-ROW(B$15),0)</f>
        <v>S</v>
      </c>
      <c r="C388" s="7" t="str">
        <f ca="1">OFFSET(ORÇAMENTO!L$15,ROW(C388)-ROW(C$15),0)</f>
        <v/>
      </c>
      <c r="D388" s="117" t="str">
        <f ca="1">OFFSET(ORÇAMENTO!N$15,ROW(D388)-ROW(D$15),0)</f>
        <v>Serviço</v>
      </c>
      <c r="E388" s="118" t="str">
        <f ca="1">OFFSET(ORÇAMENTO!O$15,ROW(E388)-ROW(E$15),0)</f>
        <v>-</v>
      </c>
      <c r="F388" s="164" t="str">
        <f ca="1">OFFSET(ORÇAMENTO!R$15,ROW(F388)-ROW(F$15),0)</f>
        <v xml:space="preserve">CONECTOR DE COMPRESSÃO  C EM LIGA DE SOBRE ESTANHO PARA CONEXÃO DE DOIS CABOS DE MM²  - FORNECIEMENTO E INSTALAÇÃO </v>
      </c>
      <c r="G388" s="165" t="str">
        <f ca="1">IF($D388&lt;&gt;"Serviço","",OFFSET(ORÇAMENTO!S$15,ROW(G388)-ROW(G$15),0))</f>
        <v xml:space="preserve">UN    </v>
      </c>
      <c r="H388" s="123">
        <f ca="1">IF($D388&lt;&gt;"Serviço",0,IF(ACOMPANHAMENTO="BM",ROUND(OFFSET(ORÇAMENTO!AJ$15,ROW(H388)-ROW(H$15),0),15-13*ORÇAMENTO!$AF$7),SUMPRODUCT(($Q$1:$AA$1=1)*ROUND($Q388:$AA388,15-13*ORÇAMENTO!$AF$7))))</f>
        <v>87.9</v>
      </c>
      <c r="I388" s="469"/>
      <c r="J388" s="577" t="str" cm="1">
        <f t="array" aca="1" ref="J388" ca="1">IF(B388&lt;&gt;"S","",IF(AND(ACOMPANHAMENTO="PLE",AUTOEVENTO="Manual",OR(H388&gt;0,ORÇAMENTO!AC388="QUANT."),OR(K388="",M388=0,N388="")),"►",IF(AND(ACOMPANHAMENTO="PLE",ORÇAMENTO!AC388="QUANT."),"►►",IF(AND(COUNTIF($P$11:$AA$11,"▼")=0,H388&gt;0,I388=""),"◄",""))))</f>
        <v>◄</v>
      </c>
      <c r="K388" s="626"/>
      <c r="L388" s="166" t="s">
        <v>765</v>
      </c>
      <c r="M388" s="167">
        <f ca="1">IF($D388&lt;&gt;"Serviço","",
          IF(AUTOEVENTO="manual",$A388,
                IF(ISERROR(MATCH($A388,$A$15:OFFSET($A388,-1,0),0)),MAX($M$15:OFFSET(M388,-1,0))+1,
                      INDEX($M$15:OFFSET(M388,-1,0),MATCH($A388,$A$15:OFFSET($A388,-1,0),0)))))</f>
        <v>21</v>
      </c>
      <c r="N388" s="168" t="str">
        <f ca="1">IF($D388&lt;&gt;"Serviço","",
         IF(AUTOEVENTO="Manual",
                IF($A388=0,"&lt;-- defina o número do agrupador",
                       OFFSET(EVENTOS!$D$15,$A388-$A$15,0)),
                OFFSET($F$15,$A388,0)))</f>
        <v>SPDA</v>
      </c>
      <c r="O388" s="169"/>
      <c r="Q388" s="169"/>
      <c r="R388" s="170"/>
      <c r="S388" s="170"/>
      <c r="T388" s="170"/>
      <c r="U388" s="170"/>
      <c r="V388" s="170"/>
      <c r="W388" s="170"/>
      <c r="X388" s="170"/>
      <c r="Y388" s="170"/>
      <c r="Z388" s="171"/>
      <c r="AB388" s="454">
        <f ca="1">IF(AND($D388="Serviço",AB$12&lt;&gt;0,$H388&gt;0,OR(AUTOEVENTO&lt;&gt;"manual",$M388&lt;&gt;$A$15)),
        IF(Import.TipoArredondamento&lt;&gt;"TransfereGOV",
              ROUND(OFFSET($P388,0,AB$13),15-13*ORÇAMENTO!$AF$7)/$H388*OFFSET(ORÇAMENTO!$X$15,ROW(AB388)-ROW(AB$15),0),
              ROUND(ROUND(OFFSET($P388,0,AB$13),15-13*ORÇAMENTO!$AF$7)*OFFSET(ORÇAMENTO!$W$15,ROW(AB388)-ROW(AB$15),0),15-13*ORÇAMENTO!$AF$11)),
         0)</f>
        <v>0</v>
      </c>
      <c r="AC388" s="454">
        <f ca="1">IF(AND($D388="Serviço",AC$12&lt;&gt;0,$H388&gt;0,OR(AUTOEVENTO&lt;&gt;"manual",$M388&lt;&gt;$A$15)),
        IF(Import.TipoArredondamento&lt;&gt;"TransfereGOV",
              ROUND(OFFSET($P388,0,AC$13),15-13*ORÇAMENTO!$AF$7)/$H388*OFFSET(ORÇAMENTO!$X$15,ROW(AC388)-ROW(AC$15),0),
              ROUND(ROUND(OFFSET($P388,0,AC$13),15-13*ORÇAMENTO!$AF$7)*OFFSET(ORÇAMENTO!$W$15,ROW(AC388)-ROW(AC$15),0),15-13*ORÇAMENTO!$AF$11)),
         0)</f>
        <v>0</v>
      </c>
      <c r="AD388" s="454">
        <f ca="1">IF(AND($D388="Serviço",AD$12&lt;&gt;0,$H388&gt;0,OR(AUTOEVENTO&lt;&gt;"manual",$M388&lt;&gt;$A$15)),
        IF(Import.TipoArredondamento&lt;&gt;"TransfereGOV",
              ROUND(OFFSET($P388,0,AD$13),15-13*ORÇAMENTO!$AF$7)/$H388*OFFSET(ORÇAMENTO!$X$15,ROW(AD388)-ROW(AD$15),0),
              ROUND(ROUND(OFFSET($P388,0,AD$13),15-13*ORÇAMENTO!$AF$7)*OFFSET(ORÇAMENTO!$W$15,ROW(AD388)-ROW(AD$15),0),15-13*ORÇAMENTO!$AF$11)),
         0)</f>
        <v>0</v>
      </c>
      <c r="AE388" s="454">
        <f ca="1">IF(AND($D388="Serviço",AE$12&lt;&gt;0,$H388&gt;0,OR(AUTOEVENTO&lt;&gt;"manual",$M388&lt;&gt;$A$15)),
        IF(Import.TipoArredondamento&lt;&gt;"TransfereGOV",
              ROUND(OFFSET($P388,0,AE$13),15-13*ORÇAMENTO!$AF$7)/$H388*OFFSET(ORÇAMENTO!$X$15,ROW(AE388)-ROW(AE$15),0),
              ROUND(ROUND(OFFSET($P388,0,AE$13),15-13*ORÇAMENTO!$AF$7)*OFFSET(ORÇAMENTO!$W$15,ROW(AE388)-ROW(AE$15),0),15-13*ORÇAMENTO!$AF$11)),
         0)</f>
        <v>0</v>
      </c>
      <c r="AF388" s="454">
        <f ca="1">IF(AND($D388="Serviço",AF$12&lt;&gt;0,$H388&gt;0,OR(AUTOEVENTO&lt;&gt;"manual",$M388&lt;&gt;$A$15)),
        IF(Import.TipoArredondamento&lt;&gt;"TransfereGOV",
              ROUND(OFFSET($P388,0,AF$13),15-13*ORÇAMENTO!$AF$7)/$H388*OFFSET(ORÇAMENTO!$X$15,ROW(AF388)-ROW(AF$15),0),
              ROUND(ROUND(OFFSET($P388,0,AF$13),15-13*ORÇAMENTO!$AF$7)*OFFSET(ORÇAMENTO!$W$15,ROW(AF388)-ROW(AF$15),0),15-13*ORÇAMENTO!$AF$11)),
         0)</f>
        <v>0</v>
      </c>
      <c r="AG388" s="454">
        <f ca="1">IF(AND($D388="Serviço",AG$12&lt;&gt;0,$H388&gt;0,OR(AUTOEVENTO&lt;&gt;"manual",$M388&lt;&gt;$A$15)),
        IF(Import.TipoArredondamento&lt;&gt;"TransfereGOV",
              ROUND(OFFSET($P388,0,AG$13),15-13*ORÇAMENTO!$AF$7)/$H388*OFFSET(ORÇAMENTO!$X$15,ROW(AG388)-ROW(AG$15),0),
              ROUND(ROUND(OFFSET($P388,0,AG$13),15-13*ORÇAMENTO!$AF$7)*OFFSET(ORÇAMENTO!$W$15,ROW(AG388)-ROW(AG$15),0),15-13*ORÇAMENTO!$AF$11)),
         0)</f>
        <v>0</v>
      </c>
      <c r="AH388" s="454">
        <f ca="1">IF(AND($D388="Serviço",AH$12&lt;&gt;0,$H388&gt;0,OR(AUTOEVENTO&lt;&gt;"manual",$M388&lt;&gt;$A$15)),
        IF(Import.TipoArredondamento&lt;&gt;"TransfereGOV",
              ROUND(OFFSET($P388,0,AH$13),15-13*ORÇAMENTO!$AF$7)/$H388*OFFSET(ORÇAMENTO!$X$15,ROW(AH388)-ROW(AH$15),0),
              ROUND(ROUND(OFFSET($P388,0,AH$13),15-13*ORÇAMENTO!$AF$7)*OFFSET(ORÇAMENTO!$W$15,ROW(AH388)-ROW(AH$15),0),15-13*ORÇAMENTO!$AF$11)),
         0)</f>
        <v>0</v>
      </c>
      <c r="AI388" s="454">
        <f ca="1">IF(AND($D388="Serviço",AI$12&lt;&gt;0,$H388&gt;0,OR(AUTOEVENTO&lt;&gt;"manual",$M388&lt;&gt;$A$15)),
        IF(Import.TipoArredondamento&lt;&gt;"TransfereGOV",
              ROUND(OFFSET($P388,0,AI$13),15-13*ORÇAMENTO!$AF$7)/$H388*OFFSET(ORÇAMENTO!$X$15,ROW(AI388)-ROW(AI$15),0),
              ROUND(ROUND(OFFSET($P388,0,AI$13),15-13*ORÇAMENTO!$AF$7)*OFFSET(ORÇAMENTO!$W$15,ROW(AI388)-ROW(AI$15),0),15-13*ORÇAMENTO!$AF$11)),
         0)</f>
        <v>0</v>
      </c>
      <c r="AJ388" s="454">
        <f ca="1">IF(AND($D388="Serviço",AJ$12&lt;&gt;0,$H388&gt;0,OR(AUTOEVENTO&lt;&gt;"manual",$M388&lt;&gt;$A$15)),
        IF(Import.TipoArredondamento&lt;&gt;"TransfereGOV",
              ROUND(OFFSET($P388,0,AJ$13),15-13*ORÇAMENTO!$AF$7)/$H388*OFFSET(ORÇAMENTO!$X$15,ROW(AJ388)-ROW(AJ$15),0),
              ROUND(ROUND(OFFSET($P388,0,AJ$13),15-13*ORÇAMENTO!$AF$7)*OFFSET(ORÇAMENTO!$W$15,ROW(AJ388)-ROW(AJ$15),0),15-13*ORÇAMENTO!$AF$11)),
         0)</f>
        <v>0</v>
      </c>
      <c r="AK388" s="454">
        <f ca="1">IF(AND($D388="Serviço",AK$12&lt;&gt;0,$H388&gt;0,OR(AUTOEVENTO&lt;&gt;"manual",$M388&lt;&gt;$A$15)),
        IF(Import.TipoArredondamento&lt;&gt;"TransfereGOV",
              ROUND(OFFSET($P388,0,AK$13),15-13*ORÇAMENTO!$AF$7)/$H388*OFFSET(ORÇAMENTO!$X$15,ROW(AK388)-ROW(AK$15),0),
              ROUND(ROUND(OFFSET($P388,0,AK$13),15-13*ORÇAMENTO!$AF$7)*OFFSET(ORÇAMENTO!$W$15,ROW(AK388)-ROW(AK$15),0),15-13*ORÇAMENTO!$AF$11)),
         0)</f>
        <v>0</v>
      </c>
      <c r="AM388" s="172">
        <f ca="1">IF(OR($D388&lt;&gt;"Serviço",AND(AUTOEVENTO="Manual",$M388=$A$15)),0,
         IF(OFFSET(CRONOPLE!$F$15,$M388-$A$15,AM$13)="",10^12,OFFSET(CRONOPLE!$F$15,$M388-$A$15,AM$13)))</f>
        <v>1000000000000</v>
      </c>
      <c r="AN388" s="172">
        <f ca="1">IF(OR($D388&lt;&gt;"Serviço",AND(AUTOEVENTO="Manual",$M388=$A$15)),0,
         IF(OFFSET(CRONOPLE!$F$15,$M388-$A$15,AN$13)="",10^12,OFFSET(CRONOPLE!$F$15,$M388-$A$15,AN$13)))</f>
        <v>1000000000000</v>
      </c>
      <c r="AO388" s="172">
        <f ca="1">IF(OR($D388&lt;&gt;"Serviço",AND(AUTOEVENTO="Manual",$M388=$A$15)),0,
         IF(OFFSET(CRONOPLE!$F$15,$M388-$A$15,AO$13)="",10^12,OFFSET(CRONOPLE!$F$15,$M388-$A$15,AO$13)))</f>
        <v>1000000000000</v>
      </c>
      <c r="AP388" s="172">
        <f ca="1">IF(OR($D388&lt;&gt;"Serviço",AND(AUTOEVENTO="Manual",$M388=$A$15)),0,
         IF(OFFSET(CRONOPLE!$F$15,$M388-$A$15,AP$13)="",10^12,OFFSET(CRONOPLE!$F$15,$M388-$A$15,AP$13)))</f>
        <v>1000000000000</v>
      </c>
      <c r="AQ388" s="172">
        <f ca="1">IF(OR($D388&lt;&gt;"Serviço",AND(AUTOEVENTO="Manual",$M388=$A$15)),0,
         IF(OFFSET(CRONOPLE!$F$15,$M388-$A$15,AQ$13)="",10^12,OFFSET(CRONOPLE!$F$15,$M388-$A$15,AQ$13)))</f>
        <v>1000000000000</v>
      </c>
      <c r="AR388" s="172">
        <f ca="1">IF(OR($D388&lt;&gt;"Serviço",AND(AUTOEVENTO="Manual",$M388=$A$15)),0,
         IF(OFFSET(CRONOPLE!$F$15,$M388-$A$15,AR$13)="",10^12,OFFSET(CRONOPLE!$F$15,$M388-$A$15,AR$13)))</f>
        <v>1000000000000</v>
      </c>
      <c r="AS388" s="172">
        <f ca="1">IF(OR($D388&lt;&gt;"Serviço",AND(AUTOEVENTO="Manual",$M388=$A$15)),0,
         IF(OFFSET(CRONOPLE!$F$15,$M388-$A$15,AS$13)="",10^12,OFFSET(CRONOPLE!$F$15,$M388-$A$15,AS$13)))</f>
        <v>1000000000000</v>
      </c>
      <c r="AT388" s="172">
        <f ca="1">IF(OR($D388&lt;&gt;"Serviço",AND(AUTOEVENTO="Manual",$M388=$A$15)),0,
         IF(OFFSET(CRONOPLE!$F$15,$M388-$A$15,AT$13)="",10^12,OFFSET(CRONOPLE!$F$15,$M388-$A$15,AT$13)))</f>
        <v>1000000000000</v>
      </c>
      <c r="AU388" s="172">
        <f ca="1">IF(OR($D388&lt;&gt;"Serviço",AND(AUTOEVENTO="Manual",$M388=$A$15)),0,
         IF(OFFSET(CRONOPLE!$F$15,$M388-$A$15,AU$13)="",10^12,OFFSET(CRONOPLE!$F$15,$M388-$A$15,AU$13)))</f>
        <v>1000000000000</v>
      </c>
      <c r="AV388" s="172">
        <f ca="1">IF(OR($D388&lt;&gt;"Serviço",AND(AUTOEVENTO="Manual",$M388=$A$15)),0,
         IF(OFFSET(CRONOPLE!$F$15,$M388-$A$15,AV$13)="",10^12,OFFSET(CRONOPLE!$F$15,$M388-$A$15,AV$13)))</f>
        <v>1000000000000</v>
      </c>
      <c r="AX388" s="173">
        <f ca="1">IF(OR($D388&lt;&gt;"Serviço",AND(AUTOEVENTO="Manual",$M388=$A$15),$M388&gt;(ROW(PLE.lastrow)-ROW(PLE.firstrow))),0,
           IF(OFFSET(PLE!$G$15,$M388-$A$15,AX$13)="",10^12,OFFSET(PLE!$G$15,$M388-$A$15,AX$13)))</f>
        <v>1000000000000</v>
      </c>
      <c r="AY388" s="173">
        <f ca="1">IF(OR($D388&lt;&gt;"Serviço",AND(AUTOEVENTO="Manual",$M388=$A$15),$M388&gt;(ROW(PLE.lastrow)-ROW(PLE.firstrow))),0,
           IF(OFFSET(PLE!$G$15,$M388-$A$15,AY$13)="",10^12,OFFSET(PLE!$G$15,$M388-$A$15,AY$13)))</f>
        <v>1000000000000</v>
      </c>
      <c r="AZ388" s="173">
        <f ca="1">IF(OR($D388&lt;&gt;"Serviço",AND(AUTOEVENTO="Manual",$M388=$A$15),$M388&gt;(ROW(PLE.lastrow)-ROW(PLE.firstrow))),0,
           IF(OFFSET(PLE!$G$15,$M388-$A$15,AZ$13)="",10^12,OFFSET(PLE!$G$15,$M388-$A$15,AZ$13)))</f>
        <v>1000000000000</v>
      </c>
      <c r="BA388" s="173">
        <f ca="1">IF(OR($D388&lt;&gt;"Serviço",AND(AUTOEVENTO="Manual",$M388=$A$15),$M388&gt;(ROW(PLE.lastrow)-ROW(PLE.firstrow))),0,
           IF(OFFSET(PLE!$G$15,$M388-$A$15,BA$13)="",10^12,OFFSET(PLE!$G$15,$M388-$A$15,BA$13)))</f>
        <v>1000000000000</v>
      </c>
      <c r="BB388" s="173">
        <f ca="1">IF(OR($D388&lt;&gt;"Serviço",AND(AUTOEVENTO="Manual",$M388=$A$15),$M388&gt;(ROW(PLE.lastrow)-ROW(PLE.firstrow))),0,
           IF(OFFSET(PLE!$G$15,$M388-$A$15,BB$13)="",10^12,OFFSET(PLE!$G$15,$M388-$A$15,BB$13)))</f>
        <v>1000000000000</v>
      </c>
      <c r="BC388" s="173">
        <f ca="1">IF(OR($D388&lt;&gt;"Serviço",AND(AUTOEVENTO="Manual",$M388=$A$15),$M388&gt;(ROW(PLE.lastrow)-ROW(PLE.firstrow))),0,
           IF(OFFSET(PLE!$G$15,$M388-$A$15,BC$13)="",10^12,OFFSET(PLE!$G$15,$M388-$A$15,BC$13)))</f>
        <v>1000000000000</v>
      </c>
      <c r="BD388" s="173">
        <f ca="1">IF(OR($D388&lt;&gt;"Serviço",AND(AUTOEVENTO="Manual",$M388=$A$15),$M388&gt;(ROW(PLE.lastrow)-ROW(PLE.firstrow))),0,
           IF(OFFSET(PLE!$G$15,$M388-$A$15,BD$13)="",10^12,OFFSET(PLE!$G$15,$M388-$A$15,BD$13)))</f>
        <v>1000000000000</v>
      </c>
      <c r="BE388" s="173">
        <f ca="1">IF(OR($D388&lt;&gt;"Serviço",AND(AUTOEVENTO="Manual",$M388=$A$15),$M388&gt;(ROW(PLE.lastrow)-ROW(PLE.firstrow))),0,
           IF(OFFSET(PLE!$G$15,$M388-$A$15,BE$13)="",10^12,OFFSET(PLE!$G$15,$M388-$A$15,BE$13)))</f>
        <v>1000000000000</v>
      </c>
      <c r="BF388" s="173">
        <f ca="1">IF(OR($D388&lt;&gt;"Serviço",AND(AUTOEVENTO="Manual",$M388=$A$15),$M388&gt;(ROW(PLE.lastrow)-ROW(PLE.firstrow))),0,
           IF(OFFSET(PLE!$G$15,$M388-$A$15,BF$13)="",10^12,OFFSET(PLE!$G$15,$M388-$A$15,BF$13)))</f>
        <v>1000000000000</v>
      </c>
      <c r="BG388" s="173">
        <f ca="1">IF(OR($D388&lt;&gt;"Serviço",AND(AUTOEVENTO="Manual",$M388=$A$15),$M388&gt;(ROW(PLE.lastrow)-ROW(PLE.firstrow))),0,
           IF(OFFSET(PLE!$G$15,$M388-$A$15,BG$13)="",10^12,OFFSET(PLE!$G$15,$M388-$A$15,BG$13)))</f>
        <v>1000000000000</v>
      </c>
    </row>
    <row r="389" spans="1:59" ht="25.5" x14ac:dyDescent="0.2">
      <c r="A389" s="7" t="str">
        <f t="shared" ca="1" si="13"/>
        <v>365</v>
      </c>
      <c r="B389" s="7" t="str">
        <f ca="1">OFFSET(ORÇAMENTO!C$15,ROW(B389)-ROW(B$15),0)</f>
        <v>S</v>
      </c>
      <c r="C389" s="7" t="str">
        <f ca="1">OFFSET(ORÇAMENTO!L$15,ROW(C389)-ROW(C$15),0)</f>
        <v/>
      </c>
      <c r="D389" s="117" t="str">
        <f ca="1">OFFSET(ORÇAMENTO!N$15,ROW(D389)-ROW(D$15),0)</f>
        <v>Serviço</v>
      </c>
      <c r="E389" s="118" t="str">
        <f ca="1">OFFSET(ORÇAMENTO!O$15,ROW(E389)-ROW(E$15),0)</f>
        <v>-</v>
      </c>
      <c r="F389" s="164" t="str">
        <f ca="1">OFFSET(ORÇAMENTO!R$15,ROW(F389)-ROW(F$15),0)</f>
        <v xml:space="preserve">FIXADOR UNIVERSAL DE SPDA ESTANHO PARA CABO DE 50 MM²  - FORNECIMENTO E INSTALAÇÃO </v>
      </c>
      <c r="G389" s="165" t="str">
        <f ca="1">IF($D389&lt;&gt;"Serviço","",OFFSET(ORÇAMENTO!S$15,ROW(G389)-ROW(G$15),0))</f>
        <v xml:space="preserve">UN    </v>
      </c>
      <c r="H389" s="123">
        <f ca="1">IF($D389&lt;&gt;"Serviço",0,IF(ACOMPANHAMENTO="BM",ROUND(OFFSET(ORÇAMENTO!AJ$15,ROW(H389)-ROW(H$15),0),15-13*ORÇAMENTO!$AF$7),SUMPRODUCT(($Q$1:$AA$1=1)*ROUND($Q389:$AA389,15-13*ORÇAMENTO!$AF$7))))</f>
        <v>66.900000000000006</v>
      </c>
      <c r="I389" s="469"/>
      <c r="J389" s="577" t="str" cm="1">
        <f t="array" aca="1" ref="J389" ca="1">IF(B389&lt;&gt;"S","",IF(AND(ACOMPANHAMENTO="PLE",AUTOEVENTO="Manual",OR(H389&gt;0,ORÇAMENTO!AC389="QUANT."),OR(K389="",M389=0,N389="")),"►",IF(AND(ACOMPANHAMENTO="PLE",ORÇAMENTO!AC389="QUANT."),"►►",IF(AND(COUNTIF($P$11:$AA$11,"▼")=0,H389&gt;0,I389=""),"◄",""))))</f>
        <v>◄</v>
      </c>
      <c r="K389" s="626"/>
      <c r="L389" s="166" t="s">
        <v>765</v>
      </c>
      <c r="M389" s="167">
        <f ca="1">IF($D389&lt;&gt;"Serviço","",
          IF(AUTOEVENTO="manual",$A389,
                IF(ISERROR(MATCH($A389,$A$15:OFFSET($A389,-1,0),0)),MAX($M$15:OFFSET(M389,-1,0))+1,
                      INDEX($M$15:OFFSET(M389,-1,0),MATCH($A389,$A$15:OFFSET($A389,-1,0),0)))))</f>
        <v>21</v>
      </c>
      <c r="N389" s="168" t="str">
        <f ca="1">IF($D389&lt;&gt;"Serviço","",
         IF(AUTOEVENTO="Manual",
                IF($A389=0,"&lt;-- defina o número do agrupador",
                       OFFSET(EVENTOS!$D$15,$A389-$A$15,0)),
                OFFSET($F$15,$A389,0)))</f>
        <v>SPDA</v>
      </c>
      <c r="O389" s="169"/>
      <c r="Q389" s="169"/>
      <c r="R389" s="170"/>
      <c r="S389" s="170"/>
      <c r="T389" s="170"/>
      <c r="U389" s="170"/>
      <c r="V389" s="170"/>
      <c r="W389" s="170"/>
      <c r="X389" s="170"/>
      <c r="Y389" s="170"/>
      <c r="Z389" s="171"/>
      <c r="AB389" s="454">
        <f ca="1">IF(AND($D389="Serviço",AB$12&lt;&gt;0,$H389&gt;0,OR(AUTOEVENTO&lt;&gt;"manual",$M389&lt;&gt;$A$15)),
        IF(Import.TipoArredondamento&lt;&gt;"TransfereGOV",
              ROUND(OFFSET($P389,0,AB$13),15-13*ORÇAMENTO!$AF$7)/$H389*OFFSET(ORÇAMENTO!$X$15,ROW(AB389)-ROW(AB$15),0),
              ROUND(ROUND(OFFSET($P389,0,AB$13),15-13*ORÇAMENTO!$AF$7)*OFFSET(ORÇAMENTO!$W$15,ROW(AB389)-ROW(AB$15),0),15-13*ORÇAMENTO!$AF$11)),
         0)</f>
        <v>0</v>
      </c>
      <c r="AC389" s="454">
        <f ca="1">IF(AND($D389="Serviço",AC$12&lt;&gt;0,$H389&gt;0,OR(AUTOEVENTO&lt;&gt;"manual",$M389&lt;&gt;$A$15)),
        IF(Import.TipoArredondamento&lt;&gt;"TransfereGOV",
              ROUND(OFFSET($P389,0,AC$13),15-13*ORÇAMENTO!$AF$7)/$H389*OFFSET(ORÇAMENTO!$X$15,ROW(AC389)-ROW(AC$15),0),
              ROUND(ROUND(OFFSET($P389,0,AC$13),15-13*ORÇAMENTO!$AF$7)*OFFSET(ORÇAMENTO!$W$15,ROW(AC389)-ROW(AC$15),0),15-13*ORÇAMENTO!$AF$11)),
         0)</f>
        <v>0</v>
      </c>
      <c r="AD389" s="454">
        <f ca="1">IF(AND($D389="Serviço",AD$12&lt;&gt;0,$H389&gt;0,OR(AUTOEVENTO&lt;&gt;"manual",$M389&lt;&gt;$A$15)),
        IF(Import.TipoArredondamento&lt;&gt;"TransfereGOV",
              ROUND(OFFSET($P389,0,AD$13),15-13*ORÇAMENTO!$AF$7)/$H389*OFFSET(ORÇAMENTO!$X$15,ROW(AD389)-ROW(AD$15),0),
              ROUND(ROUND(OFFSET($P389,0,AD$13),15-13*ORÇAMENTO!$AF$7)*OFFSET(ORÇAMENTO!$W$15,ROW(AD389)-ROW(AD$15),0),15-13*ORÇAMENTO!$AF$11)),
         0)</f>
        <v>0</v>
      </c>
      <c r="AE389" s="454">
        <f ca="1">IF(AND($D389="Serviço",AE$12&lt;&gt;0,$H389&gt;0,OR(AUTOEVENTO&lt;&gt;"manual",$M389&lt;&gt;$A$15)),
        IF(Import.TipoArredondamento&lt;&gt;"TransfereGOV",
              ROUND(OFFSET($P389,0,AE$13),15-13*ORÇAMENTO!$AF$7)/$H389*OFFSET(ORÇAMENTO!$X$15,ROW(AE389)-ROW(AE$15),0),
              ROUND(ROUND(OFFSET($P389,0,AE$13),15-13*ORÇAMENTO!$AF$7)*OFFSET(ORÇAMENTO!$W$15,ROW(AE389)-ROW(AE$15),0),15-13*ORÇAMENTO!$AF$11)),
         0)</f>
        <v>0</v>
      </c>
      <c r="AF389" s="454">
        <f ca="1">IF(AND($D389="Serviço",AF$12&lt;&gt;0,$H389&gt;0,OR(AUTOEVENTO&lt;&gt;"manual",$M389&lt;&gt;$A$15)),
        IF(Import.TipoArredondamento&lt;&gt;"TransfereGOV",
              ROUND(OFFSET($P389,0,AF$13),15-13*ORÇAMENTO!$AF$7)/$H389*OFFSET(ORÇAMENTO!$X$15,ROW(AF389)-ROW(AF$15),0),
              ROUND(ROUND(OFFSET($P389,0,AF$13),15-13*ORÇAMENTO!$AF$7)*OFFSET(ORÇAMENTO!$W$15,ROW(AF389)-ROW(AF$15),0),15-13*ORÇAMENTO!$AF$11)),
         0)</f>
        <v>0</v>
      </c>
      <c r="AG389" s="454">
        <f ca="1">IF(AND($D389="Serviço",AG$12&lt;&gt;0,$H389&gt;0,OR(AUTOEVENTO&lt;&gt;"manual",$M389&lt;&gt;$A$15)),
        IF(Import.TipoArredondamento&lt;&gt;"TransfereGOV",
              ROUND(OFFSET($P389,0,AG$13),15-13*ORÇAMENTO!$AF$7)/$H389*OFFSET(ORÇAMENTO!$X$15,ROW(AG389)-ROW(AG$15),0),
              ROUND(ROUND(OFFSET($P389,0,AG$13),15-13*ORÇAMENTO!$AF$7)*OFFSET(ORÇAMENTO!$W$15,ROW(AG389)-ROW(AG$15),0),15-13*ORÇAMENTO!$AF$11)),
         0)</f>
        <v>0</v>
      </c>
      <c r="AH389" s="454">
        <f ca="1">IF(AND($D389="Serviço",AH$12&lt;&gt;0,$H389&gt;0,OR(AUTOEVENTO&lt;&gt;"manual",$M389&lt;&gt;$A$15)),
        IF(Import.TipoArredondamento&lt;&gt;"TransfereGOV",
              ROUND(OFFSET($P389,0,AH$13),15-13*ORÇAMENTO!$AF$7)/$H389*OFFSET(ORÇAMENTO!$X$15,ROW(AH389)-ROW(AH$15),0),
              ROUND(ROUND(OFFSET($P389,0,AH$13),15-13*ORÇAMENTO!$AF$7)*OFFSET(ORÇAMENTO!$W$15,ROW(AH389)-ROW(AH$15),0),15-13*ORÇAMENTO!$AF$11)),
         0)</f>
        <v>0</v>
      </c>
      <c r="AI389" s="454">
        <f ca="1">IF(AND($D389="Serviço",AI$12&lt;&gt;0,$H389&gt;0,OR(AUTOEVENTO&lt;&gt;"manual",$M389&lt;&gt;$A$15)),
        IF(Import.TipoArredondamento&lt;&gt;"TransfereGOV",
              ROUND(OFFSET($P389,0,AI$13),15-13*ORÇAMENTO!$AF$7)/$H389*OFFSET(ORÇAMENTO!$X$15,ROW(AI389)-ROW(AI$15),0),
              ROUND(ROUND(OFFSET($P389,0,AI$13),15-13*ORÇAMENTO!$AF$7)*OFFSET(ORÇAMENTO!$W$15,ROW(AI389)-ROW(AI$15),0),15-13*ORÇAMENTO!$AF$11)),
         0)</f>
        <v>0</v>
      </c>
      <c r="AJ389" s="454">
        <f ca="1">IF(AND($D389="Serviço",AJ$12&lt;&gt;0,$H389&gt;0,OR(AUTOEVENTO&lt;&gt;"manual",$M389&lt;&gt;$A$15)),
        IF(Import.TipoArredondamento&lt;&gt;"TransfereGOV",
              ROUND(OFFSET($P389,0,AJ$13),15-13*ORÇAMENTO!$AF$7)/$H389*OFFSET(ORÇAMENTO!$X$15,ROW(AJ389)-ROW(AJ$15),0),
              ROUND(ROUND(OFFSET($P389,0,AJ$13),15-13*ORÇAMENTO!$AF$7)*OFFSET(ORÇAMENTO!$W$15,ROW(AJ389)-ROW(AJ$15),0),15-13*ORÇAMENTO!$AF$11)),
         0)</f>
        <v>0</v>
      </c>
      <c r="AK389" s="454">
        <f ca="1">IF(AND($D389="Serviço",AK$12&lt;&gt;0,$H389&gt;0,OR(AUTOEVENTO&lt;&gt;"manual",$M389&lt;&gt;$A$15)),
        IF(Import.TipoArredondamento&lt;&gt;"TransfereGOV",
              ROUND(OFFSET($P389,0,AK$13),15-13*ORÇAMENTO!$AF$7)/$H389*OFFSET(ORÇAMENTO!$X$15,ROW(AK389)-ROW(AK$15),0),
              ROUND(ROUND(OFFSET($P389,0,AK$13),15-13*ORÇAMENTO!$AF$7)*OFFSET(ORÇAMENTO!$W$15,ROW(AK389)-ROW(AK$15),0),15-13*ORÇAMENTO!$AF$11)),
         0)</f>
        <v>0</v>
      </c>
      <c r="AM389" s="172">
        <f ca="1">IF(OR($D389&lt;&gt;"Serviço",AND(AUTOEVENTO="Manual",$M389=$A$15)),0,
         IF(OFFSET(CRONOPLE!$F$15,$M389-$A$15,AM$13)="",10^12,OFFSET(CRONOPLE!$F$15,$M389-$A$15,AM$13)))</f>
        <v>1000000000000</v>
      </c>
      <c r="AN389" s="172">
        <f ca="1">IF(OR($D389&lt;&gt;"Serviço",AND(AUTOEVENTO="Manual",$M389=$A$15)),0,
         IF(OFFSET(CRONOPLE!$F$15,$M389-$A$15,AN$13)="",10^12,OFFSET(CRONOPLE!$F$15,$M389-$A$15,AN$13)))</f>
        <v>1000000000000</v>
      </c>
      <c r="AO389" s="172">
        <f ca="1">IF(OR($D389&lt;&gt;"Serviço",AND(AUTOEVENTO="Manual",$M389=$A$15)),0,
         IF(OFFSET(CRONOPLE!$F$15,$M389-$A$15,AO$13)="",10^12,OFFSET(CRONOPLE!$F$15,$M389-$A$15,AO$13)))</f>
        <v>1000000000000</v>
      </c>
      <c r="AP389" s="172">
        <f ca="1">IF(OR($D389&lt;&gt;"Serviço",AND(AUTOEVENTO="Manual",$M389=$A$15)),0,
         IF(OFFSET(CRONOPLE!$F$15,$M389-$A$15,AP$13)="",10^12,OFFSET(CRONOPLE!$F$15,$M389-$A$15,AP$13)))</f>
        <v>1000000000000</v>
      </c>
      <c r="AQ389" s="172">
        <f ca="1">IF(OR($D389&lt;&gt;"Serviço",AND(AUTOEVENTO="Manual",$M389=$A$15)),0,
         IF(OFFSET(CRONOPLE!$F$15,$M389-$A$15,AQ$13)="",10^12,OFFSET(CRONOPLE!$F$15,$M389-$A$15,AQ$13)))</f>
        <v>1000000000000</v>
      </c>
      <c r="AR389" s="172">
        <f ca="1">IF(OR($D389&lt;&gt;"Serviço",AND(AUTOEVENTO="Manual",$M389=$A$15)),0,
         IF(OFFSET(CRONOPLE!$F$15,$M389-$A$15,AR$13)="",10^12,OFFSET(CRONOPLE!$F$15,$M389-$A$15,AR$13)))</f>
        <v>1000000000000</v>
      </c>
      <c r="AS389" s="172">
        <f ca="1">IF(OR($D389&lt;&gt;"Serviço",AND(AUTOEVENTO="Manual",$M389=$A$15)),0,
         IF(OFFSET(CRONOPLE!$F$15,$M389-$A$15,AS$13)="",10^12,OFFSET(CRONOPLE!$F$15,$M389-$A$15,AS$13)))</f>
        <v>1000000000000</v>
      </c>
      <c r="AT389" s="172">
        <f ca="1">IF(OR($D389&lt;&gt;"Serviço",AND(AUTOEVENTO="Manual",$M389=$A$15)),0,
         IF(OFFSET(CRONOPLE!$F$15,$M389-$A$15,AT$13)="",10^12,OFFSET(CRONOPLE!$F$15,$M389-$A$15,AT$13)))</f>
        <v>1000000000000</v>
      </c>
      <c r="AU389" s="172">
        <f ca="1">IF(OR($D389&lt;&gt;"Serviço",AND(AUTOEVENTO="Manual",$M389=$A$15)),0,
         IF(OFFSET(CRONOPLE!$F$15,$M389-$A$15,AU$13)="",10^12,OFFSET(CRONOPLE!$F$15,$M389-$A$15,AU$13)))</f>
        <v>1000000000000</v>
      </c>
      <c r="AV389" s="172">
        <f ca="1">IF(OR($D389&lt;&gt;"Serviço",AND(AUTOEVENTO="Manual",$M389=$A$15)),0,
         IF(OFFSET(CRONOPLE!$F$15,$M389-$A$15,AV$13)="",10^12,OFFSET(CRONOPLE!$F$15,$M389-$A$15,AV$13)))</f>
        <v>1000000000000</v>
      </c>
      <c r="AX389" s="173">
        <f ca="1">IF(OR($D389&lt;&gt;"Serviço",AND(AUTOEVENTO="Manual",$M389=$A$15),$M389&gt;(ROW(PLE.lastrow)-ROW(PLE.firstrow))),0,
           IF(OFFSET(PLE!$G$15,$M389-$A$15,AX$13)="",10^12,OFFSET(PLE!$G$15,$M389-$A$15,AX$13)))</f>
        <v>1000000000000</v>
      </c>
      <c r="AY389" s="173">
        <f ca="1">IF(OR($D389&lt;&gt;"Serviço",AND(AUTOEVENTO="Manual",$M389=$A$15),$M389&gt;(ROW(PLE.lastrow)-ROW(PLE.firstrow))),0,
           IF(OFFSET(PLE!$G$15,$M389-$A$15,AY$13)="",10^12,OFFSET(PLE!$G$15,$M389-$A$15,AY$13)))</f>
        <v>1000000000000</v>
      </c>
      <c r="AZ389" s="173">
        <f ca="1">IF(OR($D389&lt;&gt;"Serviço",AND(AUTOEVENTO="Manual",$M389=$A$15),$M389&gt;(ROW(PLE.lastrow)-ROW(PLE.firstrow))),0,
           IF(OFFSET(PLE!$G$15,$M389-$A$15,AZ$13)="",10^12,OFFSET(PLE!$G$15,$M389-$A$15,AZ$13)))</f>
        <v>1000000000000</v>
      </c>
      <c r="BA389" s="173">
        <f ca="1">IF(OR($D389&lt;&gt;"Serviço",AND(AUTOEVENTO="Manual",$M389=$A$15),$M389&gt;(ROW(PLE.lastrow)-ROW(PLE.firstrow))),0,
           IF(OFFSET(PLE!$G$15,$M389-$A$15,BA$13)="",10^12,OFFSET(PLE!$G$15,$M389-$A$15,BA$13)))</f>
        <v>1000000000000</v>
      </c>
      <c r="BB389" s="173">
        <f ca="1">IF(OR($D389&lt;&gt;"Serviço",AND(AUTOEVENTO="Manual",$M389=$A$15),$M389&gt;(ROW(PLE.lastrow)-ROW(PLE.firstrow))),0,
           IF(OFFSET(PLE!$G$15,$M389-$A$15,BB$13)="",10^12,OFFSET(PLE!$G$15,$M389-$A$15,BB$13)))</f>
        <v>1000000000000</v>
      </c>
      <c r="BC389" s="173">
        <f ca="1">IF(OR($D389&lt;&gt;"Serviço",AND(AUTOEVENTO="Manual",$M389=$A$15),$M389&gt;(ROW(PLE.lastrow)-ROW(PLE.firstrow))),0,
           IF(OFFSET(PLE!$G$15,$M389-$A$15,BC$13)="",10^12,OFFSET(PLE!$G$15,$M389-$A$15,BC$13)))</f>
        <v>1000000000000</v>
      </c>
      <c r="BD389" s="173">
        <f ca="1">IF(OR($D389&lt;&gt;"Serviço",AND(AUTOEVENTO="Manual",$M389=$A$15),$M389&gt;(ROW(PLE.lastrow)-ROW(PLE.firstrow))),0,
           IF(OFFSET(PLE!$G$15,$M389-$A$15,BD$13)="",10^12,OFFSET(PLE!$G$15,$M389-$A$15,BD$13)))</f>
        <v>1000000000000</v>
      </c>
      <c r="BE389" s="173">
        <f ca="1">IF(OR($D389&lt;&gt;"Serviço",AND(AUTOEVENTO="Manual",$M389=$A$15),$M389&gt;(ROW(PLE.lastrow)-ROW(PLE.firstrow))),0,
           IF(OFFSET(PLE!$G$15,$M389-$A$15,BE$13)="",10^12,OFFSET(PLE!$G$15,$M389-$A$15,BE$13)))</f>
        <v>1000000000000</v>
      </c>
      <c r="BF389" s="173">
        <f ca="1">IF(OR($D389&lt;&gt;"Serviço",AND(AUTOEVENTO="Manual",$M389=$A$15),$M389&gt;(ROW(PLE.lastrow)-ROW(PLE.firstrow))),0,
           IF(OFFSET(PLE!$G$15,$M389-$A$15,BF$13)="",10^12,OFFSET(PLE!$G$15,$M389-$A$15,BF$13)))</f>
        <v>1000000000000</v>
      </c>
      <c r="BG389" s="173">
        <f ca="1">IF(OR($D389&lt;&gt;"Serviço",AND(AUTOEVENTO="Manual",$M389=$A$15),$M389&gt;(ROW(PLE.lastrow)-ROW(PLE.firstrow))),0,
           IF(OFFSET(PLE!$G$15,$M389-$A$15,BG$13)="",10^12,OFFSET(PLE!$G$15,$M389-$A$15,BG$13)))</f>
        <v>1000000000000</v>
      </c>
    </row>
    <row r="390" spans="1:59" ht="25.5" x14ac:dyDescent="0.2">
      <c r="A390" s="7" t="str">
        <f t="shared" ca="1" si="13"/>
        <v>365</v>
      </c>
      <c r="B390" s="7" t="str">
        <f ca="1">OFFSET(ORÇAMENTO!C$15,ROW(B390)-ROW(B$15),0)</f>
        <v>S</v>
      </c>
      <c r="C390" s="7" t="str">
        <f ca="1">OFFSET(ORÇAMENTO!L$15,ROW(C390)-ROW(C$15),0)</f>
        <v/>
      </c>
      <c r="D390" s="117" t="str">
        <f ca="1">OFFSET(ORÇAMENTO!N$15,ROW(D390)-ROW(D$15),0)</f>
        <v>Serviço</v>
      </c>
      <c r="E390" s="118" t="str">
        <f ca="1">OFFSET(ORÇAMENTO!O$15,ROW(E390)-ROW(E$15),0)</f>
        <v>-</v>
      </c>
      <c r="F390" s="164" t="str">
        <f ca="1">OFFSET(ORÇAMENTO!R$15,ROW(F390)-ROW(F$15),0)</f>
        <v xml:space="preserve">ELETRODUTO PVC RÍGIDO, DIÂMETRO 1", COM 3 METRO - FORNECIMENGTO E INSTALAÇÃO </v>
      </c>
      <c r="G390" s="165" t="str">
        <f ca="1">IF($D390&lt;&gt;"Serviço","",OFFSET(ORÇAMENTO!S$15,ROW(G390)-ROW(G$15),0))</f>
        <v xml:space="preserve">UN    </v>
      </c>
      <c r="H390" s="123">
        <f ca="1">IF($D390&lt;&gt;"Serviço",0,IF(ACOMPANHAMENTO="BM",ROUND(OFFSET(ORÇAMENTO!AJ$15,ROW(H390)-ROW(H$15),0),15-13*ORÇAMENTO!$AF$7),SUMPRODUCT(($Q$1:$AA$1=1)*ROUND($Q390:$AA390,15-13*ORÇAMENTO!$AF$7))))</f>
        <v>69.099999999999994</v>
      </c>
      <c r="I390" s="469"/>
      <c r="J390" s="577" t="str" cm="1">
        <f t="array" aca="1" ref="J390" ca="1">IF(B390&lt;&gt;"S","",IF(AND(ACOMPANHAMENTO="PLE",AUTOEVENTO="Manual",OR(H390&gt;0,ORÇAMENTO!AC390="QUANT."),OR(K390="",M390=0,N390="")),"►",IF(AND(ACOMPANHAMENTO="PLE",ORÇAMENTO!AC390="QUANT."),"►►",IF(AND(COUNTIF($P$11:$AA$11,"▼")=0,H390&gt;0,I390=""),"◄",""))))</f>
        <v>◄</v>
      </c>
      <c r="K390" s="626"/>
      <c r="L390" s="166" t="s">
        <v>765</v>
      </c>
      <c r="M390" s="167">
        <f ca="1">IF($D390&lt;&gt;"Serviço","",
          IF(AUTOEVENTO="manual",$A390,
                IF(ISERROR(MATCH($A390,$A$15:OFFSET($A390,-1,0),0)),MAX($M$15:OFFSET(M390,-1,0))+1,
                      INDEX($M$15:OFFSET(M390,-1,0),MATCH($A390,$A$15:OFFSET($A390,-1,0),0)))))</f>
        <v>21</v>
      </c>
      <c r="N390" s="168" t="str">
        <f ca="1">IF($D390&lt;&gt;"Serviço","",
         IF(AUTOEVENTO="Manual",
                IF($A390=0,"&lt;-- defina o número do agrupador",
                       OFFSET(EVENTOS!$D$15,$A390-$A$15,0)),
                OFFSET($F$15,$A390,0)))</f>
        <v>SPDA</v>
      </c>
      <c r="O390" s="169"/>
      <c r="Q390" s="169"/>
      <c r="R390" s="170"/>
      <c r="S390" s="170"/>
      <c r="T390" s="170"/>
      <c r="U390" s="170"/>
      <c r="V390" s="170"/>
      <c r="W390" s="170"/>
      <c r="X390" s="170"/>
      <c r="Y390" s="170"/>
      <c r="Z390" s="171"/>
      <c r="AB390" s="454">
        <f ca="1">IF(AND($D390="Serviço",AB$12&lt;&gt;0,$H390&gt;0,OR(AUTOEVENTO&lt;&gt;"manual",$M390&lt;&gt;$A$15)),
        IF(Import.TipoArredondamento&lt;&gt;"TransfereGOV",
              ROUND(OFFSET($P390,0,AB$13),15-13*ORÇAMENTO!$AF$7)/$H390*OFFSET(ORÇAMENTO!$X$15,ROW(AB390)-ROW(AB$15),0),
              ROUND(ROUND(OFFSET($P390,0,AB$13),15-13*ORÇAMENTO!$AF$7)*OFFSET(ORÇAMENTO!$W$15,ROW(AB390)-ROW(AB$15),0),15-13*ORÇAMENTO!$AF$11)),
         0)</f>
        <v>0</v>
      </c>
      <c r="AC390" s="454">
        <f ca="1">IF(AND($D390="Serviço",AC$12&lt;&gt;0,$H390&gt;0,OR(AUTOEVENTO&lt;&gt;"manual",$M390&lt;&gt;$A$15)),
        IF(Import.TipoArredondamento&lt;&gt;"TransfereGOV",
              ROUND(OFFSET($P390,0,AC$13),15-13*ORÇAMENTO!$AF$7)/$H390*OFFSET(ORÇAMENTO!$X$15,ROW(AC390)-ROW(AC$15),0),
              ROUND(ROUND(OFFSET($P390,0,AC$13),15-13*ORÇAMENTO!$AF$7)*OFFSET(ORÇAMENTO!$W$15,ROW(AC390)-ROW(AC$15),0),15-13*ORÇAMENTO!$AF$11)),
         0)</f>
        <v>0</v>
      </c>
      <c r="AD390" s="454">
        <f ca="1">IF(AND($D390="Serviço",AD$12&lt;&gt;0,$H390&gt;0,OR(AUTOEVENTO&lt;&gt;"manual",$M390&lt;&gt;$A$15)),
        IF(Import.TipoArredondamento&lt;&gt;"TransfereGOV",
              ROUND(OFFSET($P390,0,AD$13),15-13*ORÇAMENTO!$AF$7)/$H390*OFFSET(ORÇAMENTO!$X$15,ROW(AD390)-ROW(AD$15),0),
              ROUND(ROUND(OFFSET($P390,0,AD$13),15-13*ORÇAMENTO!$AF$7)*OFFSET(ORÇAMENTO!$W$15,ROW(AD390)-ROW(AD$15),0),15-13*ORÇAMENTO!$AF$11)),
         0)</f>
        <v>0</v>
      </c>
      <c r="AE390" s="454">
        <f ca="1">IF(AND($D390="Serviço",AE$12&lt;&gt;0,$H390&gt;0,OR(AUTOEVENTO&lt;&gt;"manual",$M390&lt;&gt;$A$15)),
        IF(Import.TipoArredondamento&lt;&gt;"TransfereGOV",
              ROUND(OFFSET($P390,0,AE$13),15-13*ORÇAMENTO!$AF$7)/$H390*OFFSET(ORÇAMENTO!$X$15,ROW(AE390)-ROW(AE$15),0),
              ROUND(ROUND(OFFSET($P390,0,AE$13),15-13*ORÇAMENTO!$AF$7)*OFFSET(ORÇAMENTO!$W$15,ROW(AE390)-ROW(AE$15),0),15-13*ORÇAMENTO!$AF$11)),
         0)</f>
        <v>0</v>
      </c>
      <c r="AF390" s="454">
        <f ca="1">IF(AND($D390="Serviço",AF$12&lt;&gt;0,$H390&gt;0,OR(AUTOEVENTO&lt;&gt;"manual",$M390&lt;&gt;$A$15)),
        IF(Import.TipoArredondamento&lt;&gt;"TransfereGOV",
              ROUND(OFFSET($P390,0,AF$13),15-13*ORÇAMENTO!$AF$7)/$H390*OFFSET(ORÇAMENTO!$X$15,ROW(AF390)-ROW(AF$15),0),
              ROUND(ROUND(OFFSET($P390,0,AF$13),15-13*ORÇAMENTO!$AF$7)*OFFSET(ORÇAMENTO!$W$15,ROW(AF390)-ROW(AF$15),0),15-13*ORÇAMENTO!$AF$11)),
         0)</f>
        <v>0</v>
      </c>
      <c r="AG390" s="454">
        <f ca="1">IF(AND($D390="Serviço",AG$12&lt;&gt;0,$H390&gt;0,OR(AUTOEVENTO&lt;&gt;"manual",$M390&lt;&gt;$A$15)),
        IF(Import.TipoArredondamento&lt;&gt;"TransfereGOV",
              ROUND(OFFSET($P390,0,AG$13),15-13*ORÇAMENTO!$AF$7)/$H390*OFFSET(ORÇAMENTO!$X$15,ROW(AG390)-ROW(AG$15),0),
              ROUND(ROUND(OFFSET($P390,0,AG$13),15-13*ORÇAMENTO!$AF$7)*OFFSET(ORÇAMENTO!$W$15,ROW(AG390)-ROW(AG$15),0),15-13*ORÇAMENTO!$AF$11)),
         0)</f>
        <v>0</v>
      </c>
      <c r="AH390" s="454">
        <f ca="1">IF(AND($D390="Serviço",AH$12&lt;&gt;0,$H390&gt;0,OR(AUTOEVENTO&lt;&gt;"manual",$M390&lt;&gt;$A$15)),
        IF(Import.TipoArredondamento&lt;&gt;"TransfereGOV",
              ROUND(OFFSET($P390,0,AH$13),15-13*ORÇAMENTO!$AF$7)/$H390*OFFSET(ORÇAMENTO!$X$15,ROW(AH390)-ROW(AH$15),0),
              ROUND(ROUND(OFFSET($P390,0,AH$13),15-13*ORÇAMENTO!$AF$7)*OFFSET(ORÇAMENTO!$W$15,ROW(AH390)-ROW(AH$15),0),15-13*ORÇAMENTO!$AF$11)),
         0)</f>
        <v>0</v>
      </c>
      <c r="AI390" s="454">
        <f ca="1">IF(AND($D390="Serviço",AI$12&lt;&gt;0,$H390&gt;0,OR(AUTOEVENTO&lt;&gt;"manual",$M390&lt;&gt;$A$15)),
        IF(Import.TipoArredondamento&lt;&gt;"TransfereGOV",
              ROUND(OFFSET($P390,0,AI$13),15-13*ORÇAMENTO!$AF$7)/$H390*OFFSET(ORÇAMENTO!$X$15,ROW(AI390)-ROW(AI$15),0),
              ROUND(ROUND(OFFSET($P390,0,AI$13),15-13*ORÇAMENTO!$AF$7)*OFFSET(ORÇAMENTO!$W$15,ROW(AI390)-ROW(AI$15),0),15-13*ORÇAMENTO!$AF$11)),
         0)</f>
        <v>0</v>
      </c>
      <c r="AJ390" s="454">
        <f ca="1">IF(AND($D390="Serviço",AJ$12&lt;&gt;0,$H390&gt;0,OR(AUTOEVENTO&lt;&gt;"manual",$M390&lt;&gt;$A$15)),
        IF(Import.TipoArredondamento&lt;&gt;"TransfereGOV",
              ROUND(OFFSET($P390,0,AJ$13),15-13*ORÇAMENTO!$AF$7)/$H390*OFFSET(ORÇAMENTO!$X$15,ROW(AJ390)-ROW(AJ$15),0),
              ROUND(ROUND(OFFSET($P390,0,AJ$13),15-13*ORÇAMENTO!$AF$7)*OFFSET(ORÇAMENTO!$W$15,ROW(AJ390)-ROW(AJ$15),0),15-13*ORÇAMENTO!$AF$11)),
         0)</f>
        <v>0</v>
      </c>
      <c r="AK390" s="454">
        <f ca="1">IF(AND($D390="Serviço",AK$12&lt;&gt;0,$H390&gt;0,OR(AUTOEVENTO&lt;&gt;"manual",$M390&lt;&gt;$A$15)),
        IF(Import.TipoArredondamento&lt;&gt;"TransfereGOV",
              ROUND(OFFSET($P390,0,AK$13),15-13*ORÇAMENTO!$AF$7)/$H390*OFFSET(ORÇAMENTO!$X$15,ROW(AK390)-ROW(AK$15),0),
              ROUND(ROUND(OFFSET($P390,0,AK$13),15-13*ORÇAMENTO!$AF$7)*OFFSET(ORÇAMENTO!$W$15,ROW(AK390)-ROW(AK$15),0),15-13*ORÇAMENTO!$AF$11)),
         0)</f>
        <v>0</v>
      </c>
      <c r="AM390" s="172">
        <f ca="1">IF(OR($D390&lt;&gt;"Serviço",AND(AUTOEVENTO="Manual",$M390=$A$15)),0,
         IF(OFFSET(CRONOPLE!$F$15,$M390-$A$15,AM$13)="",10^12,OFFSET(CRONOPLE!$F$15,$M390-$A$15,AM$13)))</f>
        <v>1000000000000</v>
      </c>
      <c r="AN390" s="172">
        <f ca="1">IF(OR($D390&lt;&gt;"Serviço",AND(AUTOEVENTO="Manual",$M390=$A$15)),0,
         IF(OFFSET(CRONOPLE!$F$15,$M390-$A$15,AN$13)="",10^12,OFFSET(CRONOPLE!$F$15,$M390-$A$15,AN$13)))</f>
        <v>1000000000000</v>
      </c>
      <c r="AO390" s="172">
        <f ca="1">IF(OR($D390&lt;&gt;"Serviço",AND(AUTOEVENTO="Manual",$M390=$A$15)),0,
         IF(OFFSET(CRONOPLE!$F$15,$M390-$A$15,AO$13)="",10^12,OFFSET(CRONOPLE!$F$15,$M390-$A$15,AO$13)))</f>
        <v>1000000000000</v>
      </c>
      <c r="AP390" s="172">
        <f ca="1">IF(OR($D390&lt;&gt;"Serviço",AND(AUTOEVENTO="Manual",$M390=$A$15)),0,
         IF(OFFSET(CRONOPLE!$F$15,$M390-$A$15,AP$13)="",10^12,OFFSET(CRONOPLE!$F$15,$M390-$A$15,AP$13)))</f>
        <v>1000000000000</v>
      </c>
      <c r="AQ390" s="172">
        <f ca="1">IF(OR($D390&lt;&gt;"Serviço",AND(AUTOEVENTO="Manual",$M390=$A$15)),0,
         IF(OFFSET(CRONOPLE!$F$15,$M390-$A$15,AQ$13)="",10^12,OFFSET(CRONOPLE!$F$15,$M390-$A$15,AQ$13)))</f>
        <v>1000000000000</v>
      </c>
      <c r="AR390" s="172">
        <f ca="1">IF(OR($D390&lt;&gt;"Serviço",AND(AUTOEVENTO="Manual",$M390=$A$15)),0,
         IF(OFFSET(CRONOPLE!$F$15,$M390-$A$15,AR$13)="",10^12,OFFSET(CRONOPLE!$F$15,$M390-$A$15,AR$13)))</f>
        <v>1000000000000</v>
      </c>
      <c r="AS390" s="172">
        <f ca="1">IF(OR($D390&lt;&gt;"Serviço",AND(AUTOEVENTO="Manual",$M390=$A$15)),0,
         IF(OFFSET(CRONOPLE!$F$15,$M390-$A$15,AS$13)="",10^12,OFFSET(CRONOPLE!$F$15,$M390-$A$15,AS$13)))</f>
        <v>1000000000000</v>
      </c>
      <c r="AT390" s="172">
        <f ca="1">IF(OR($D390&lt;&gt;"Serviço",AND(AUTOEVENTO="Manual",$M390=$A$15)),0,
         IF(OFFSET(CRONOPLE!$F$15,$M390-$A$15,AT$13)="",10^12,OFFSET(CRONOPLE!$F$15,$M390-$A$15,AT$13)))</f>
        <v>1000000000000</v>
      </c>
      <c r="AU390" s="172">
        <f ca="1">IF(OR($D390&lt;&gt;"Serviço",AND(AUTOEVENTO="Manual",$M390=$A$15)),0,
         IF(OFFSET(CRONOPLE!$F$15,$M390-$A$15,AU$13)="",10^12,OFFSET(CRONOPLE!$F$15,$M390-$A$15,AU$13)))</f>
        <v>1000000000000</v>
      </c>
      <c r="AV390" s="172">
        <f ca="1">IF(OR($D390&lt;&gt;"Serviço",AND(AUTOEVENTO="Manual",$M390=$A$15)),0,
         IF(OFFSET(CRONOPLE!$F$15,$M390-$A$15,AV$13)="",10^12,OFFSET(CRONOPLE!$F$15,$M390-$A$15,AV$13)))</f>
        <v>1000000000000</v>
      </c>
      <c r="AX390" s="173">
        <f ca="1">IF(OR($D390&lt;&gt;"Serviço",AND(AUTOEVENTO="Manual",$M390=$A$15),$M390&gt;(ROW(PLE.lastrow)-ROW(PLE.firstrow))),0,
           IF(OFFSET(PLE!$G$15,$M390-$A$15,AX$13)="",10^12,OFFSET(PLE!$G$15,$M390-$A$15,AX$13)))</f>
        <v>1000000000000</v>
      </c>
      <c r="AY390" s="173">
        <f ca="1">IF(OR($D390&lt;&gt;"Serviço",AND(AUTOEVENTO="Manual",$M390=$A$15),$M390&gt;(ROW(PLE.lastrow)-ROW(PLE.firstrow))),0,
           IF(OFFSET(PLE!$G$15,$M390-$A$15,AY$13)="",10^12,OFFSET(PLE!$G$15,$M390-$A$15,AY$13)))</f>
        <v>1000000000000</v>
      </c>
      <c r="AZ390" s="173">
        <f ca="1">IF(OR($D390&lt;&gt;"Serviço",AND(AUTOEVENTO="Manual",$M390=$A$15),$M390&gt;(ROW(PLE.lastrow)-ROW(PLE.firstrow))),0,
           IF(OFFSET(PLE!$G$15,$M390-$A$15,AZ$13)="",10^12,OFFSET(PLE!$G$15,$M390-$A$15,AZ$13)))</f>
        <v>1000000000000</v>
      </c>
      <c r="BA390" s="173">
        <f ca="1">IF(OR($D390&lt;&gt;"Serviço",AND(AUTOEVENTO="Manual",$M390=$A$15),$M390&gt;(ROW(PLE.lastrow)-ROW(PLE.firstrow))),0,
           IF(OFFSET(PLE!$G$15,$M390-$A$15,BA$13)="",10^12,OFFSET(PLE!$G$15,$M390-$A$15,BA$13)))</f>
        <v>1000000000000</v>
      </c>
      <c r="BB390" s="173">
        <f ca="1">IF(OR($D390&lt;&gt;"Serviço",AND(AUTOEVENTO="Manual",$M390=$A$15),$M390&gt;(ROW(PLE.lastrow)-ROW(PLE.firstrow))),0,
           IF(OFFSET(PLE!$G$15,$M390-$A$15,BB$13)="",10^12,OFFSET(PLE!$G$15,$M390-$A$15,BB$13)))</f>
        <v>1000000000000</v>
      </c>
      <c r="BC390" s="173">
        <f ca="1">IF(OR($D390&lt;&gt;"Serviço",AND(AUTOEVENTO="Manual",$M390=$A$15),$M390&gt;(ROW(PLE.lastrow)-ROW(PLE.firstrow))),0,
           IF(OFFSET(PLE!$G$15,$M390-$A$15,BC$13)="",10^12,OFFSET(PLE!$G$15,$M390-$A$15,BC$13)))</f>
        <v>1000000000000</v>
      </c>
      <c r="BD390" s="173">
        <f ca="1">IF(OR($D390&lt;&gt;"Serviço",AND(AUTOEVENTO="Manual",$M390=$A$15),$M390&gt;(ROW(PLE.lastrow)-ROW(PLE.firstrow))),0,
           IF(OFFSET(PLE!$G$15,$M390-$A$15,BD$13)="",10^12,OFFSET(PLE!$G$15,$M390-$A$15,BD$13)))</f>
        <v>1000000000000</v>
      </c>
      <c r="BE390" s="173">
        <f ca="1">IF(OR($D390&lt;&gt;"Serviço",AND(AUTOEVENTO="Manual",$M390=$A$15),$M390&gt;(ROW(PLE.lastrow)-ROW(PLE.firstrow))),0,
           IF(OFFSET(PLE!$G$15,$M390-$A$15,BE$13)="",10^12,OFFSET(PLE!$G$15,$M390-$A$15,BE$13)))</f>
        <v>1000000000000</v>
      </c>
      <c r="BF390" s="173">
        <f ca="1">IF(OR($D390&lt;&gt;"Serviço",AND(AUTOEVENTO="Manual",$M390=$A$15),$M390&gt;(ROW(PLE.lastrow)-ROW(PLE.firstrow))),0,
           IF(OFFSET(PLE!$G$15,$M390-$A$15,BF$13)="",10^12,OFFSET(PLE!$G$15,$M390-$A$15,BF$13)))</f>
        <v>1000000000000</v>
      </c>
      <c r="BG390" s="173">
        <f ca="1">IF(OR($D390&lt;&gt;"Serviço",AND(AUTOEVENTO="Manual",$M390=$A$15),$M390&gt;(ROW(PLE.lastrow)-ROW(PLE.firstrow))),0,
           IF(OFFSET(PLE!$G$15,$M390-$A$15,BG$13)="",10^12,OFFSET(PLE!$G$15,$M390-$A$15,BG$13)))</f>
        <v>1000000000000</v>
      </c>
    </row>
    <row r="391" spans="1:59" ht="63.75" x14ac:dyDescent="0.2">
      <c r="A391" s="7" t="str">
        <f t="shared" ca="1" si="13"/>
        <v>365</v>
      </c>
      <c r="B391" s="7" t="str">
        <f ca="1">OFFSET(ORÇAMENTO!C$15,ROW(B391)-ROW(B$15),0)</f>
        <v>S</v>
      </c>
      <c r="C391" s="7" t="str">
        <f ca="1">OFFSET(ORÇAMENTO!L$15,ROW(C391)-ROW(C$15),0)</f>
        <v/>
      </c>
      <c r="D391" s="117" t="str">
        <f ca="1">OFFSET(ORÇAMENTO!N$15,ROW(D391)-ROW(D$15),0)</f>
        <v>Serviço</v>
      </c>
      <c r="E391" s="118" t="str">
        <f ca="1">OFFSET(ORÇAMENTO!O$15,ROW(E391)-ROW(E$15),0)</f>
        <v>-</v>
      </c>
      <c r="F391" s="164" t="str">
        <f ca="1">OFFSET(ORÇAMENTO!R$15,ROW(F391)-ROW(F$15),0)</f>
        <v>ESCAVAÇÃO MECANIZADA DE VALA COM PROF. ATÉ 1,5 M (MÉDIA MONTANTE E JUSANTE/UMA COMPOSIÇÃO POR TRECHO), ESCAVADEIRA (0,8 M3), LARG. DE 1,5 M A 2,5 M, EM SOLO DE 1A CATEGORIA, EM LOCAIS COM ALTO NÍVEL DE INTERFERÊNCIA. AF_09/2024</v>
      </c>
      <c r="G391" s="165" t="str">
        <f ca="1">IF($D391&lt;&gt;"Serviço","",OFFSET(ORÇAMENTO!S$15,ROW(G391)-ROW(G$15),0))</f>
        <v>M3</v>
      </c>
      <c r="H391" s="123">
        <f ca="1">IF($D391&lt;&gt;"Serviço",0,IF(ACOMPANHAMENTO="BM",ROUND(OFFSET(ORÇAMENTO!AJ$15,ROW(H391)-ROW(H$15),0),15-13*ORÇAMENTO!$AF$7),SUMPRODUCT(($Q$1:$AA$1=1)*ROUND($Q391:$AA391,15-13*ORÇAMENTO!$AF$7))))</f>
        <v>9.69</v>
      </c>
      <c r="I391" s="469"/>
      <c r="J391" s="577" t="str" cm="1">
        <f t="array" aca="1" ref="J391" ca="1">IF(B391&lt;&gt;"S","",IF(AND(ACOMPANHAMENTO="PLE",AUTOEVENTO="Manual",OR(H391&gt;0,ORÇAMENTO!AC391="QUANT."),OR(K391="",M391=0,N391="")),"►",IF(AND(ACOMPANHAMENTO="PLE",ORÇAMENTO!AC391="QUANT."),"►►",IF(AND(COUNTIF($P$11:$AA$11,"▼")=0,H391&gt;0,I391=""),"◄",""))))</f>
        <v>◄</v>
      </c>
      <c r="K391" s="626"/>
      <c r="L391" s="166" t="s">
        <v>765</v>
      </c>
      <c r="M391" s="167">
        <f ca="1">IF($D391&lt;&gt;"Serviço","",
          IF(AUTOEVENTO="manual",$A391,
                IF(ISERROR(MATCH($A391,$A$15:OFFSET($A391,-1,0),0)),MAX($M$15:OFFSET(M391,-1,0))+1,
                      INDEX($M$15:OFFSET(M391,-1,0),MATCH($A391,$A$15:OFFSET($A391,-1,0),0)))))</f>
        <v>21</v>
      </c>
      <c r="N391" s="168" t="str">
        <f ca="1">IF($D391&lt;&gt;"Serviço","",
         IF(AUTOEVENTO="Manual",
                IF($A391=0,"&lt;-- defina o número do agrupador",
                       OFFSET(EVENTOS!$D$15,$A391-$A$15,0)),
                OFFSET($F$15,$A391,0)))</f>
        <v>SPDA</v>
      </c>
      <c r="O391" s="169"/>
      <c r="Q391" s="169"/>
      <c r="R391" s="170"/>
      <c r="S391" s="170"/>
      <c r="T391" s="170"/>
      <c r="U391" s="170"/>
      <c r="V391" s="170"/>
      <c r="W391" s="170"/>
      <c r="X391" s="170"/>
      <c r="Y391" s="170"/>
      <c r="Z391" s="171"/>
      <c r="AB391" s="454">
        <f ca="1">IF(AND($D391="Serviço",AB$12&lt;&gt;0,$H391&gt;0,OR(AUTOEVENTO&lt;&gt;"manual",$M391&lt;&gt;$A$15)),
        IF(Import.TipoArredondamento&lt;&gt;"TransfereGOV",
              ROUND(OFFSET($P391,0,AB$13),15-13*ORÇAMENTO!$AF$7)/$H391*OFFSET(ORÇAMENTO!$X$15,ROW(AB391)-ROW(AB$15),0),
              ROUND(ROUND(OFFSET($P391,0,AB$13),15-13*ORÇAMENTO!$AF$7)*OFFSET(ORÇAMENTO!$W$15,ROW(AB391)-ROW(AB$15),0),15-13*ORÇAMENTO!$AF$11)),
         0)</f>
        <v>0</v>
      </c>
      <c r="AC391" s="454">
        <f ca="1">IF(AND($D391="Serviço",AC$12&lt;&gt;0,$H391&gt;0,OR(AUTOEVENTO&lt;&gt;"manual",$M391&lt;&gt;$A$15)),
        IF(Import.TipoArredondamento&lt;&gt;"TransfereGOV",
              ROUND(OFFSET($P391,0,AC$13),15-13*ORÇAMENTO!$AF$7)/$H391*OFFSET(ORÇAMENTO!$X$15,ROW(AC391)-ROW(AC$15),0),
              ROUND(ROUND(OFFSET($P391,0,AC$13),15-13*ORÇAMENTO!$AF$7)*OFFSET(ORÇAMENTO!$W$15,ROW(AC391)-ROW(AC$15),0),15-13*ORÇAMENTO!$AF$11)),
         0)</f>
        <v>0</v>
      </c>
      <c r="AD391" s="454">
        <f ca="1">IF(AND($D391="Serviço",AD$12&lt;&gt;0,$H391&gt;0,OR(AUTOEVENTO&lt;&gt;"manual",$M391&lt;&gt;$A$15)),
        IF(Import.TipoArredondamento&lt;&gt;"TransfereGOV",
              ROUND(OFFSET($P391,0,AD$13),15-13*ORÇAMENTO!$AF$7)/$H391*OFFSET(ORÇAMENTO!$X$15,ROW(AD391)-ROW(AD$15),0),
              ROUND(ROUND(OFFSET($P391,0,AD$13),15-13*ORÇAMENTO!$AF$7)*OFFSET(ORÇAMENTO!$W$15,ROW(AD391)-ROW(AD$15),0),15-13*ORÇAMENTO!$AF$11)),
         0)</f>
        <v>0</v>
      </c>
      <c r="AE391" s="454">
        <f ca="1">IF(AND($D391="Serviço",AE$12&lt;&gt;0,$H391&gt;0,OR(AUTOEVENTO&lt;&gt;"manual",$M391&lt;&gt;$A$15)),
        IF(Import.TipoArredondamento&lt;&gt;"TransfereGOV",
              ROUND(OFFSET($P391,0,AE$13),15-13*ORÇAMENTO!$AF$7)/$H391*OFFSET(ORÇAMENTO!$X$15,ROW(AE391)-ROW(AE$15),0),
              ROUND(ROUND(OFFSET($P391,0,AE$13),15-13*ORÇAMENTO!$AF$7)*OFFSET(ORÇAMENTO!$W$15,ROW(AE391)-ROW(AE$15),0),15-13*ORÇAMENTO!$AF$11)),
         0)</f>
        <v>0</v>
      </c>
      <c r="AF391" s="454">
        <f ca="1">IF(AND($D391="Serviço",AF$12&lt;&gt;0,$H391&gt;0,OR(AUTOEVENTO&lt;&gt;"manual",$M391&lt;&gt;$A$15)),
        IF(Import.TipoArredondamento&lt;&gt;"TransfereGOV",
              ROUND(OFFSET($P391,0,AF$13),15-13*ORÇAMENTO!$AF$7)/$H391*OFFSET(ORÇAMENTO!$X$15,ROW(AF391)-ROW(AF$15),0),
              ROUND(ROUND(OFFSET($P391,0,AF$13),15-13*ORÇAMENTO!$AF$7)*OFFSET(ORÇAMENTO!$W$15,ROW(AF391)-ROW(AF$15),0),15-13*ORÇAMENTO!$AF$11)),
         0)</f>
        <v>0</v>
      </c>
      <c r="AG391" s="454">
        <f ca="1">IF(AND($D391="Serviço",AG$12&lt;&gt;0,$H391&gt;0,OR(AUTOEVENTO&lt;&gt;"manual",$M391&lt;&gt;$A$15)),
        IF(Import.TipoArredondamento&lt;&gt;"TransfereGOV",
              ROUND(OFFSET($P391,0,AG$13),15-13*ORÇAMENTO!$AF$7)/$H391*OFFSET(ORÇAMENTO!$X$15,ROW(AG391)-ROW(AG$15),0),
              ROUND(ROUND(OFFSET($P391,0,AG$13),15-13*ORÇAMENTO!$AF$7)*OFFSET(ORÇAMENTO!$W$15,ROW(AG391)-ROW(AG$15),0),15-13*ORÇAMENTO!$AF$11)),
         0)</f>
        <v>0</v>
      </c>
      <c r="AH391" s="454">
        <f ca="1">IF(AND($D391="Serviço",AH$12&lt;&gt;0,$H391&gt;0,OR(AUTOEVENTO&lt;&gt;"manual",$M391&lt;&gt;$A$15)),
        IF(Import.TipoArredondamento&lt;&gt;"TransfereGOV",
              ROUND(OFFSET($P391,0,AH$13),15-13*ORÇAMENTO!$AF$7)/$H391*OFFSET(ORÇAMENTO!$X$15,ROW(AH391)-ROW(AH$15),0),
              ROUND(ROUND(OFFSET($P391,0,AH$13),15-13*ORÇAMENTO!$AF$7)*OFFSET(ORÇAMENTO!$W$15,ROW(AH391)-ROW(AH$15),0),15-13*ORÇAMENTO!$AF$11)),
         0)</f>
        <v>0</v>
      </c>
      <c r="AI391" s="454">
        <f ca="1">IF(AND($D391="Serviço",AI$12&lt;&gt;0,$H391&gt;0,OR(AUTOEVENTO&lt;&gt;"manual",$M391&lt;&gt;$A$15)),
        IF(Import.TipoArredondamento&lt;&gt;"TransfereGOV",
              ROUND(OFFSET($P391,0,AI$13),15-13*ORÇAMENTO!$AF$7)/$H391*OFFSET(ORÇAMENTO!$X$15,ROW(AI391)-ROW(AI$15),0),
              ROUND(ROUND(OFFSET($P391,0,AI$13),15-13*ORÇAMENTO!$AF$7)*OFFSET(ORÇAMENTO!$W$15,ROW(AI391)-ROW(AI$15),0),15-13*ORÇAMENTO!$AF$11)),
         0)</f>
        <v>0</v>
      </c>
      <c r="AJ391" s="454">
        <f ca="1">IF(AND($D391="Serviço",AJ$12&lt;&gt;0,$H391&gt;0,OR(AUTOEVENTO&lt;&gt;"manual",$M391&lt;&gt;$A$15)),
        IF(Import.TipoArredondamento&lt;&gt;"TransfereGOV",
              ROUND(OFFSET($P391,0,AJ$13),15-13*ORÇAMENTO!$AF$7)/$H391*OFFSET(ORÇAMENTO!$X$15,ROW(AJ391)-ROW(AJ$15),0),
              ROUND(ROUND(OFFSET($P391,0,AJ$13),15-13*ORÇAMENTO!$AF$7)*OFFSET(ORÇAMENTO!$W$15,ROW(AJ391)-ROW(AJ$15),0),15-13*ORÇAMENTO!$AF$11)),
         0)</f>
        <v>0</v>
      </c>
      <c r="AK391" s="454">
        <f ca="1">IF(AND($D391="Serviço",AK$12&lt;&gt;0,$H391&gt;0,OR(AUTOEVENTO&lt;&gt;"manual",$M391&lt;&gt;$A$15)),
        IF(Import.TipoArredondamento&lt;&gt;"TransfereGOV",
              ROUND(OFFSET($P391,0,AK$13),15-13*ORÇAMENTO!$AF$7)/$H391*OFFSET(ORÇAMENTO!$X$15,ROW(AK391)-ROW(AK$15),0),
              ROUND(ROUND(OFFSET($P391,0,AK$13),15-13*ORÇAMENTO!$AF$7)*OFFSET(ORÇAMENTO!$W$15,ROW(AK391)-ROW(AK$15),0),15-13*ORÇAMENTO!$AF$11)),
         0)</f>
        <v>0</v>
      </c>
      <c r="AM391" s="172">
        <f ca="1">IF(OR($D391&lt;&gt;"Serviço",AND(AUTOEVENTO="Manual",$M391=$A$15)),0,
         IF(OFFSET(CRONOPLE!$F$15,$M391-$A$15,AM$13)="",10^12,OFFSET(CRONOPLE!$F$15,$M391-$A$15,AM$13)))</f>
        <v>1000000000000</v>
      </c>
      <c r="AN391" s="172">
        <f ca="1">IF(OR($D391&lt;&gt;"Serviço",AND(AUTOEVENTO="Manual",$M391=$A$15)),0,
         IF(OFFSET(CRONOPLE!$F$15,$M391-$A$15,AN$13)="",10^12,OFFSET(CRONOPLE!$F$15,$M391-$A$15,AN$13)))</f>
        <v>1000000000000</v>
      </c>
      <c r="AO391" s="172">
        <f ca="1">IF(OR($D391&lt;&gt;"Serviço",AND(AUTOEVENTO="Manual",$M391=$A$15)),0,
         IF(OFFSET(CRONOPLE!$F$15,$M391-$A$15,AO$13)="",10^12,OFFSET(CRONOPLE!$F$15,$M391-$A$15,AO$13)))</f>
        <v>1000000000000</v>
      </c>
      <c r="AP391" s="172">
        <f ca="1">IF(OR($D391&lt;&gt;"Serviço",AND(AUTOEVENTO="Manual",$M391=$A$15)),0,
         IF(OFFSET(CRONOPLE!$F$15,$M391-$A$15,AP$13)="",10^12,OFFSET(CRONOPLE!$F$15,$M391-$A$15,AP$13)))</f>
        <v>1000000000000</v>
      </c>
      <c r="AQ391" s="172">
        <f ca="1">IF(OR($D391&lt;&gt;"Serviço",AND(AUTOEVENTO="Manual",$M391=$A$15)),0,
         IF(OFFSET(CRONOPLE!$F$15,$M391-$A$15,AQ$13)="",10^12,OFFSET(CRONOPLE!$F$15,$M391-$A$15,AQ$13)))</f>
        <v>1000000000000</v>
      </c>
      <c r="AR391" s="172">
        <f ca="1">IF(OR($D391&lt;&gt;"Serviço",AND(AUTOEVENTO="Manual",$M391=$A$15)),0,
         IF(OFFSET(CRONOPLE!$F$15,$M391-$A$15,AR$13)="",10^12,OFFSET(CRONOPLE!$F$15,$M391-$A$15,AR$13)))</f>
        <v>1000000000000</v>
      </c>
      <c r="AS391" s="172">
        <f ca="1">IF(OR($D391&lt;&gt;"Serviço",AND(AUTOEVENTO="Manual",$M391=$A$15)),0,
         IF(OFFSET(CRONOPLE!$F$15,$M391-$A$15,AS$13)="",10^12,OFFSET(CRONOPLE!$F$15,$M391-$A$15,AS$13)))</f>
        <v>1000000000000</v>
      </c>
      <c r="AT391" s="172">
        <f ca="1">IF(OR($D391&lt;&gt;"Serviço",AND(AUTOEVENTO="Manual",$M391=$A$15)),0,
         IF(OFFSET(CRONOPLE!$F$15,$M391-$A$15,AT$13)="",10^12,OFFSET(CRONOPLE!$F$15,$M391-$A$15,AT$13)))</f>
        <v>1000000000000</v>
      </c>
      <c r="AU391" s="172">
        <f ca="1">IF(OR($D391&lt;&gt;"Serviço",AND(AUTOEVENTO="Manual",$M391=$A$15)),0,
         IF(OFFSET(CRONOPLE!$F$15,$M391-$A$15,AU$13)="",10^12,OFFSET(CRONOPLE!$F$15,$M391-$A$15,AU$13)))</f>
        <v>1000000000000</v>
      </c>
      <c r="AV391" s="172">
        <f ca="1">IF(OR($D391&lt;&gt;"Serviço",AND(AUTOEVENTO="Manual",$M391=$A$15)),0,
         IF(OFFSET(CRONOPLE!$F$15,$M391-$A$15,AV$13)="",10^12,OFFSET(CRONOPLE!$F$15,$M391-$A$15,AV$13)))</f>
        <v>1000000000000</v>
      </c>
      <c r="AX391" s="173">
        <f ca="1">IF(OR($D391&lt;&gt;"Serviço",AND(AUTOEVENTO="Manual",$M391=$A$15),$M391&gt;(ROW(PLE.lastrow)-ROW(PLE.firstrow))),0,
           IF(OFFSET(PLE!$G$15,$M391-$A$15,AX$13)="",10^12,OFFSET(PLE!$G$15,$M391-$A$15,AX$13)))</f>
        <v>1000000000000</v>
      </c>
      <c r="AY391" s="173">
        <f ca="1">IF(OR($D391&lt;&gt;"Serviço",AND(AUTOEVENTO="Manual",$M391=$A$15),$M391&gt;(ROW(PLE.lastrow)-ROW(PLE.firstrow))),0,
           IF(OFFSET(PLE!$G$15,$M391-$A$15,AY$13)="",10^12,OFFSET(PLE!$G$15,$M391-$A$15,AY$13)))</f>
        <v>1000000000000</v>
      </c>
      <c r="AZ391" s="173">
        <f ca="1">IF(OR($D391&lt;&gt;"Serviço",AND(AUTOEVENTO="Manual",$M391=$A$15),$M391&gt;(ROW(PLE.lastrow)-ROW(PLE.firstrow))),0,
           IF(OFFSET(PLE!$G$15,$M391-$A$15,AZ$13)="",10^12,OFFSET(PLE!$G$15,$M391-$A$15,AZ$13)))</f>
        <v>1000000000000</v>
      </c>
      <c r="BA391" s="173">
        <f ca="1">IF(OR($D391&lt;&gt;"Serviço",AND(AUTOEVENTO="Manual",$M391=$A$15),$M391&gt;(ROW(PLE.lastrow)-ROW(PLE.firstrow))),0,
           IF(OFFSET(PLE!$G$15,$M391-$A$15,BA$13)="",10^12,OFFSET(PLE!$G$15,$M391-$A$15,BA$13)))</f>
        <v>1000000000000</v>
      </c>
      <c r="BB391" s="173">
        <f ca="1">IF(OR($D391&lt;&gt;"Serviço",AND(AUTOEVENTO="Manual",$M391=$A$15),$M391&gt;(ROW(PLE.lastrow)-ROW(PLE.firstrow))),0,
           IF(OFFSET(PLE!$G$15,$M391-$A$15,BB$13)="",10^12,OFFSET(PLE!$G$15,$M391-$A$15,BB$13)))</f>
        <v>1000000000000</v>
      </c>
      <c r="BC391" s="173">
        <f ca="1">IF(OR($D391&lt;&gt;"Serviço",AND(AUTOEVENTO="Manual",$M391=$A$15),$M391&gt;(ROW(PLE.lastrow)-ROW(PLE.firstrow))),0,
           IF(OFFSET(PLE!$G$15,$M391-$A$15,BC$13)="",10^12,OFFSET(PLE!$G$15,$M391-$A$15,BC$13)))</f>
        <v>1000000000000</v>
      </c>
      <c r="BD391" s="173">
        <f ca="1">IF(OR($D391&lt;&gt;"Serviço",AND(AUTOEVENTO="Manual",$M391=$A$15),$M391&gt;(ROW(PLE.lastrow)-ROW(PLE.firstrow))),0,
           IF(OFFSET(PLE!$G$15,$M391-$A$15,BD$13)="",10^12,OFFSET(PLE!$G$15,$M391-$A$15,BD$13)))</f>
        <v>1000000000000</v>
      </c>
      <c r="BE391" s="173">
        <f ca="1">IF(OR($D391&lt;&gt;"Serviço",AND(AUTOEVENTO="Manual",$M391=$A$15),$M391&gt;(ROW(PLE.lastrow)-ROW(PLE.firstrow))),0,
           IF(OFFSET(PLE!$G$15,$M391-$A$15,BE$13)="",10^12,OFFSET(PLE!$G$15,$M391-$A$15,BE$13)))</f>
        <v>1000000000000</v>
      </c>
      <c r="BF391" s="173">
        <f ca="1">IF(OR($D391&lt;&gt;"Serviço",AND(AUTOEVENTO="Manual",$M391=$A$15),$M391&gt;(ROW(PLE.lastrow)-ROW(PLE.firstrow))),0,
           IF(OFFSET(PLE!$G$15,$M391-$A$15,BF$13)="",10^12,OFFSET(PLE!$G$15,$M391-$A$15,BF$13)))</f>
        <v>1000000000000</v>
      </c>
      <c r="BG391" s="173">
        <f ca="1">IF(OR($D391&lt;&gt;"Serviço",AND(AUTOEVENTO="Manual",$M391=$A$15),$M391&gt;(ROW(PLE.lastrow)-ROW(PLE.firstrow))),0,
           IF(OFFSET(PLE!$G$15,$M391-$A$15,BG$13)="",10^12,OFFSET(PLE!$G$15,$M391-$A$15,BG$13)))</f>
        <v>1000000000000</v>
      </c>
    </row>
    <row r="392" spans="1:59" ht="25.5" x14ac:dyDescent="0.2">
      <c r="A392" s="7" t="str">
        <f t="shared" ca="1" si="13"/>
        <v>377.</v>
      </c>
      <c r="B392" s="7">
        <f ca="1">OFFSET(ORÇAMENTO!C$15,ROW(B392)-ROW(B$15),0)</f>
        <v>2</v>
      </c>
      <c r="C392" s="7" t="str">
        <f ca="1">OFFSET(ORÇAMENTO!L$15,ROW(C392)-ROW(C$15),0)</f>
        <v>F</v>
      </c>
      <c r="D392" s="117" t="str">
        <f ca="1">OFFSET(ORÇAMENTO!N$15,ROW(D392)-ROW(D$15),0)</f>
        <v>Nível 2</v>
      </c>
      <c r="E392" s="118" t="str">
        <f ca="1">OFFSET(ORÇAMENTO!O$15,ROW(E392)-ROW(E$15),0)</f>
        <v>1.22.</v>
      </c>
      <c r="F392" s="164" t="str">
        <f ca="1">OFFSET(ORÇAMENTO!R$15,ROW(F392)-ROW(F$15),0)</f>
        <v>INSTALAÇÃO DOS MÓDULOS PRÉ-FABRICADOS NO CANTEIRO DE OBRAS</v>
      </c>
      <c r="G392" s="165" t="str">
        <f ca="1">IF($D392&lt;&gt;"Serviço","",OFFSET(ORÇAMENTO!S$15,ROW(G392)-ROW(G$15),0))</f>
        <v/>
      </c>
      <c r="H392" s="123">
        <f ca="1">IF($D392&lt;&gt;"Serviço",0,IF(ACOMPANHAMENTO="BM",ROUND(OFFSET(ORÇAMENTO!AJ$15,ROW(H392)-ROW(H$15),0),15-13*ORÇAMENTO!$AF$7),SUMPRODUCT(($Q$1:$AA$1=1)*ROUND($Q392:$AA392,15-13*ORÇAMENTO!$AF$7))))</f>
        <v>0</v>
      </c>
      <c r="I392" s="469"/>
      <c r="J392" s="577" t="str" cm="1">
        <f t="array" aca="1" ref="J392" ca="1">IF(B392&lt;&gt;"S","",IF(AND(ACOMPANHAMENTO="PLE",AUTOEVENTO="Manual",OR(H392&gt;0,ORÇAMENTO!AC392="QUANT."),OR(K392="",M392=0,N392="")),"►",IF(AND(ACOMPANHAMENTO="PLE",ORÇAMENTO!AC392="QUANT."),"►►",IF(AND(COUNTIF($P$11:$AA$11,"▼")=0,H392&gt;0,I392=""),"◄",""))))</f>
        <v/>
      </c>
      <c r="K392" s="626"/>
      <c r="L392" s="166" t="s">
        <v>765</v>
      </c>
      <c r="M392" s="167" t="str">
        <f ca="1">IF($D392&lt;&gt;"Serviço","",
          IF(AUTOEVENTO="manual",$A392,
                IF(ISERROR(MATCH($A392,$A$15:OFFSET($A392,-1,0),0)),MAX($M$15:OFFSET(M392,-1,0))+1,
                      INDEX($M$15:OFFSET(M392,-1,0),MATCH($A392,$A$15:OFFSET($A392,-1,0),0)))))</f>
        <v/>
      </c>
      <c r="N392" s="168" t="str">
        <f ca="1">IF($D392&lt;&gt;"Serviço","",
         IF(AUTOEVENTO="Manual",
                IF($A392=0,"&lt;-- defina o número do agrupador",
                       OFFSET(EVENTOS!$D$15,$A392-$A$15,0)),
                OFFSET($F$15,$A392,0)))</f>
        <v/>
      </c>
      <c r="O392" s="169"/>
      <c r="Q392" s="169"/>
      <c r="R392" s="170"/>
      <c r="S392" s="170"/>
      <c r="T392" s="170"/>
      <c r="U392" s="170"/>
      <c r="V392" s="170"/>
      <c r="W392" s="170"/>
      <c r="X392" s="170"/>
      <c r="Y392" s="170"/>
      <c r="Z392" s="171"/>
      <c r="AB392" s="454">
        <f ca="1">IF(AND($D392="Serviço",AB$12&lt;&gt;0,$H392&gt;0,OR(AUTOEVENTO&lt;&gt;"manual",$M392&lt;&gt;$A$15)),
        IF(Import.TipoArredondamento&lt;&gt;"TransfereGOV",
              ROUND(OFFSET($P392,0,AB$13),15-13*ORÇAMENTO!$AF$7)/$H392*OFFSET(ORÇAMENTO!$X$15,ROW(AB392)-ROW(AB$15),0),
              ROUND(ROUND(OFFSET($P392,0,AB$13),15-13*ORÇAMENTO!$AF$7)*OFFSET(ORÇAMENTO!$W$15,ROW(AB392)-ROW(AB$15),0),15-13*ORÇAMENTO!$AF$11)),
         0)</f>
        <v>0</v>
      </c>
      <c r="AC392" s="454">
        <f ca="1">IF(AND($D392="Serviço",AC$12&lt;&gt;0,$H392&gt;0,OR(AUTOEVENTO&lt;&gt;"manual",$M392&lt;&gt;$A$15)),
        IF(Import.TipoArredondamento&lt;&gt;"TransfereGOV",
              ROUND(OFFSET($P392,0,AC$13),15-13*ORÇAMENTO!$AF$7)/$H392*OFFSET(ORÇAMENTO!$X$15,ROW(AC392)-ROW(AC$15),0),
              ROUND(ROUND(OFFSET($P392,0,AC$13),15-13*ORÇAMENTO!$AF$7)*OFFSET(ORÇAMENTO!$W$15,ROW(AC392)-ROW(AC$15),0),15-13*ORÇAMENTO!$AF$11)),
         0)</f>
        <v>0</v>
      </c>
      <c r="AD392" s="454">
        <f ca="1">IF(AND($D392="Serviço",AD$12&lt;&gt;0,$H392&gt;0,OR(AUTOEVENTO&lt;&gt;"manual",$M392&lt;&gt;$A$15)),
        IF(Import.TipoArredondamento&lt;&gt;"TransfereGOV",
              ROUND(OFFSET($P392,0,AD$13),15-13*ORÇAMENTO!$AF$7)/$H392*OFFSET(ORÇAMENTO!$X$15,ROW(AD392)-ROW(AD$15),0),
              ROUND(ROUND(OFFSET($P392,0,AD$13),15-13*ORÇAMENTO!$AF$7)*OFFSET(ORÇAMENTO!$W$15,ROW(AD392)-ROW(AD$15),0),15-13*ORÇAMENTO!$AF$11)),
         0)</f>
        <v>0</v>
      </c>
      <c r="AE392" s="454">
        <f ca="1">IF(AND($D392="Serviço",AE$12&lt;&gt;0,$H392&gt;0,OR(AUTOEVENTO&lt;&gt;"manual",$M392&lt;&gt;$A$15)),
        IF(Import.TipoArredondamento&lt;&gt;"TransfereGOV",
              ROUND(OFFSET($P392,0,AE$13),15-13*ORÇAMENTO!$AF$7)/$H392*OFFSET(ORÇAMENTO!$X$15,ROW(AE392)-ROW(AE$15),0),
              ROUND(ROUND(OFFSET($P392,0,AE$13),15-13*ORÇAMENTO!$AF$7)*OFFSET(ORÇAMENTO!$W$15,ROW(AE392)-ROW(AE$15),0),15-13*ORÇAMENTO!$AF$11)),
         0)</f>
        <v>0</v>
      </c>
      <c r="AF392" s="454">
        <f ca="1">IF(AND($D392="Serviço",AF$12&lt;&gt;0,$H392&gt;0,OR(AUTOEVENTO&lt;&gt;"manual",$M392&lt;&gt;$A$15)),
        IF(Import.TipoArredondamento&lt;&gt;"TransfereGOV",
              ROUND(OFFSET($P392,0,AF$13),15-13*ORÇAMENTO!$AF$7)/$H392*OFFSET(ORÇAMENTO!$X$15,ROW(AF392)-ROW(AF$15),0),
              ROUND(ROUND(OFFSET($P392,0,AF$13),15-13*ORÇAMENTO!$AF$7)*OFFSET(ORÇAMENTO!$W$15,ROW(AF392)-ROW(AF$15),0),15-13*ORÇAMENTO!$AF$11)),
         0)</f>
        <v>0</v>
      </c>
      <c r="AG392" s="454">
        <f ca="1">IF(AND($D392="Serviço",AG$12&lt;&gt;0,$H392&gt;0,OR(AUTOEVENTO&lt;&gt;"manual",$M392&lt;&gt;$A$15)),
        IF(Import.TipoArredondamento&lt;&gt;"TransfereGOV",
              ROUND(OFFSET($P392,0,AG$13),15-13*ORÇAMENTO!$AF$7)/$H392*OFFSET(ORÇAMENTO!$X$15,ROW(AG392)-ROW(AG$15),0),
              ROUND(ROUND(OFFSET($P392,0,AG$13),15-13*ORÇAMENTO!$AF$7)*OFFSET(ORÇAMENTO!$W$15,ROW(AG392)-ROW(AG$15),0),15-13*ORÇAMENTO!$AF$11)),
         0)</f>
        <v>0</v>
      </c>
      <c r="AH392" s="454">
        <f ca="1">IF(AND($D392="Serviço",AH$12&lt;&gt;0,$H392&gt;0,OR(AUTOEVENTO&lt;&gt;"manual",$M392&lt;&gt;$A$15)),
        IF(Import.TipoArredondamento&lt;&gt;"TransfereGOV",
              ROUND(OFFSET($P392,0,AH$13),15-13*ORÇAMENTO!$AF$7)/$H392*OFFSET(ORÇAMENTO!$X$15,ROW(AH392)-ROW(AH$15),0),
              ROUND(ROUND(OFFSET($P392,0,AH$13),15-13*ORÇAMENTO!$AF$7)*OFFSET(ORÇAMENTO!$W$15,ROW(AH392)-ROW(AH$15),0),15-13*ORÇAMENTO!$AF$11)),
         0)</f>
        <v>0</v>
      </c>
      <c r="AI392" s="454">
        <f ca="1">IF(AND($D392="Serviço",AI$12&lt;&gt;0,$H392&gt;0,OR(AUTOEVENTO&lt;&gt;"manual",$M392&lt;&gt;$A$15)),
        IF(Import.TipoArredondamento&lt;&gt;"TransfereGOV",
              ROUND(OFFSET($P392,0,AI$13),15-13*ORÇAMENTO!$AF$7)/$H392*OFFSET(ORÇAMENTO!$X$15,ROW(AI392)-ROW(AI$15),0),
              ROUND(ROUND(OFFSET($P392,0,AI$13),15-13*ORÇAMENTO!$AF$7)*OFFSET(ORÇAMENTO!$W$15,ROW(AI392)-ROW(AI$15),0),15-13*ORÇAMENTO!$AF$11)),
         0)</f>
        <v>0</v>
      </c>
      <c r="AJ392" s="454">
        <f ca="1">IF(AND($D392="Serviço",AJ$12&lt;&gt;0,$H392&gt;0,OR(AUTOEVENTO&lt;&gt;"manual",$M392&lt;&gt;$A$15)),
        IF(Import.TipoArredondamento&lt;&gt;"TransfereGOV",
              ROUND(OFFSET($P392,0,AJ$13),15-13*ORÇAMENTO!$AF$7)/$H392*OFFSET(ORÇAMENTO!$X$15,ROW(AJ392)-ROW(AJ$15),0),
              ROUND(ROUND(OFFSET($P392,0,AJ$13),15-13*ORÇAMENTO!$AF$7)*OFFSET(ORÇAMENTO!$W$15,ROW(AJ392)-ROW(AJ$15),0),15-13*ORÇAMENTO!$AF$11)),
         0)</f>
        <v>0</v>
      </c>
      <c r="AK392" s="454">
        <f ca="1">IF(AND($D392="Serviço",AK$12&lt;&gt;0,$H392&gt;0,OR(AUTOEVENTO&lt;&gt;"manual",$M392&lt;&gt;$A$15)),
        IF(Import.TipoArredondamento&lt;&gt;"TransfereGOV",
              ROUND(OFFSET($P392,0,AK$13),15-13*ORÇAMENTO!$AF$7)/$H392*OFFSET(ORÇAMENTO!$X$15,ROW(AK392)-ROW(AK$15),0),
              ROUND(ROUND(OFFSET($P392,0,AK$13),15-13*ORÇAMENTO!$AF$7)*OFFSET(ORÇAMENTO!$W$15,ROW(AK392)-ROW(AK$15),0),15-13*ORÇAMENTO!$AF$11)),
         0)</f>
        <v>0</v>
      </c>
      <c r="AM392" s="172">
        <f ca="1">IF(OR($D392&lt;&gt;"Serviço",AND(AUTOEVENTO="Manual",$M392=$A$15)),0,
         IF(OFFSET(CRONOPLE!$F$15,$M392-$A$15,AM$13)="",10^12,OFFSET(CRONOPLE!$F$15,$M392-$A$15,AM$13)))</f>
        <v>0</v>
      </c>
      <c r="AN392" s="172">
        <f ca="1">IF(OR($D392&lt;&gt;"Serviço",AND(AUTOEVENTO="Manual",$M392=$A$15)),0,
         IF(OFFSET(CRONOPLE!$F$15,$M392-$A$15,AN$13)="",10^12,OFFSET(CRONOPLE!$F$15,$M392-$A$15,AN$13)))</f>
        <v>0</v>
      </c>
      <c r="AO392" s="172">
        <f ca="1">IF(OR($D392&lt;&gt;"Serviço",AND(AUTOEVENTO="Manual",$M392=$A$15)),0,
         IF(OFFSET(CRONOPLE!$F$15,$M392-$A$15,AO$13)="",10^12,OFFSET(CRONOPLE!$F$15,$M392-$A$15,AO$13)))</f>
        <v>0</v>
      </c>
      <c r="AP392" s="172">
        <f ca="1">IF(OR($D392&lt;&gt;"Serviço",AND(AUTOEVENTO="Manual",$M392=$A$15)),0,
         IF(OFFSET(CRONOPLE!$F$15,$M392-$A$15,AP$13)="",10^12,OFFSET(CRONOPLE!$F$15,$M392-$A$15,AP$13)))</f>
        <v>0</v>
      </c>
      <c r="AQ392" s="172">
        <f ca="1">IF(OR($D392&lt;&gt;"Serviço",AND(AUTOEVENTO="Manual",$M392=$A$15)),0,
         IF(OFFSET(CRONOPLE!$F$15,$M392-$A$15,AQ$13)="",10^12,OFFSET(CRONOPLE!$F$15,$M392-$A$15,AQ$13)))</f>
        <v>0</v>
      </c>
      <c r="AR392" s="172">
        <f ca="1">IF(OR($D392&lt;&gt;"Serviço",AND(AUTOEVENTO="Manual",$M392=$A$15)),0,
         IF(OFFSET(CRONOPLE!$F$15,$M392-$A$15,AR$13)="",10^12,OFFSET(CRONOPLE!$F$15,$M392-$A$15,AR$13)))</f>
        <v>0</v>
      </c>
      <c r="AS392" s="172">
        <f ca="1">IF(OR($D392&lt;&gt;"Serviço",AND(AUTOEVENTO="Manual",$M392=$A$15)),0,
         IF(OFFSET(CRONOPLE!$F$15,$M392-$A$15,AS$13)="",10^12,OFFSET(CRONOPLE!$F$15,$M392-$A$15,AS$13)))</f>
        <v>0</v>
      </c>
      <c r="AT392" s="172">
        <f ca="1">IF(OR($D392&lt;&gt;"Serviço",AND(AUTOEVENTO="Manual",$M392=$A$15)),0,
         IF(OFFSET(CRONOPLE!$F$15,$M392-$A$15,AT$13)="",10^12,OFFSET(CRONOPLE!$F$15,$M392-$A$15,AT$13)))</f>
        <v>0</v>
      </c>
      <c r="AU392" s="172">
        <f ca="1">IF(OR($D392&lt;&gt;"Serviço",AND(AUTOEVENTO="Manual",$M392=$A$15)),0,
         IF(OFFSET(CRONOPLE!$F$15,$M392-$A$15,AU$13)="",10^12,OFFSET(CRONOPLE!$F$15,$M392-$A$15,AU$13)))</f>
        <v>0</v>
      </c>
      <c r="AV392" s="172">
        <f ca="1">IF(OR($D392&lt;&gt;"Serviço",AND(AUTOEVENTO="Manual",$M392=$A$15)),0,
         IF(OFFSET(CRONOPLE!$F$15,$M392-$A$15,AV$13)="",10^12,OFFSET(CRONOPLE!$F$15,$M392-$A$15,AV$13)))</f>
        <v>0</v>
      </c>
      <c r="AX392" s="173">
        <f ca="1">IF(OR($D392&lt;&gt;"Serviço",AND(AUTOEVENTO="Manual",$M392=$A$15),$M392&gt;(ROW(PLE.lastrow)-ROW(PLE.firstrow))),0,
           IF(OFFSET(PLE!$G$15,$M392-$A$15,AX$13)="",10^12,OFFSET(PLE!$G$15,$M392-$A$15,AX$13)))</f>
        <v>0</v>
      </c>
      <c r="AY392" s="173">
        <f ca="1">IF(OR($D392&lt;&gt;"Serviço",AND(AUTOEVENTO="Manual",$M392=$A$15),$M392&gt;(ROW(PLE.lastrow)-ROW(PLE.firstrow))),0,
           IF(OFFSET(PLE!$G$15,$M392-$A$15,AY$13)="",10^12,OFFSET(PLE!$G$15,$M392-$A$15,AY$13)))</f>
        <v>0</v>
      </c>
      <c r="AZ392" s="173">
        <f ca="1">IF(OR($D392&lt;&gt;"Serviço",AND(AUTOEVENTO="Manual",$M392=$A$15),$M392&gt;(ROW(PLE.lastrow)-ROW(PLE.firstrow))),0,
           IF(OFFSET(PLE!$G$15,$M392-$A$15,AZ$13)="",10^12,OFFSET(PLE!$G$15,$M392-$A$15,AZ$13)))</f>
        <v>0</v>
      </c>
      <c r="BA392" s="173">
        <f ca="1">IF(OR($D392&lt;&gt;"Serviço",AND(AUTOEVENTO="Manual",$M392=$A$15),$M392&gt;(ROW(PLE.lastrow)-ROW(PLE.firstrow))),0,
           IF(OFFSET(PLE!$G$15,$M392-$A$15,BA$13)="",10^12,OFFSET(PLE!$G$15,$M392-$A$15,BA$13)))</f>
        <v>0</v>
      </c>
      <c r="BB392" s="173">
        <f ca="1">IF(OR($D392&lt;&gt;"Serviço",AND(AUTOEVENTO="Manual",$M392=$A$15),$M392&gt;(ROW(PLE.lastrow)-ROW(PLE.firstrow))),0,
           IF(OFFSET(PLE!$G$15,$M392-$A$15,BB$13)="",10^12,OFFSET(PLE!$G$15,$M392-$A$15,BB$13)))</f>
        <v>0</v>
      </c>
      <c r="BC392" s="173">
        <f ca="1">IF(OR($D392&lt;&gt;"Serviço",AND(AUTOEVENTO="Manual",$M392=$A$15),$M392&gt;(ROW(PLE.lastrow)-ROW(PLE.firstrow))),0,
           IF(OFFSET(PLE!$G$15,$M392-$A$15,BC$13)="",10^12,OFFSET(PLE!$G$15,$M392-$A$15,BC$13)))</f>
        <v>0</v>
      </c>
      <c r="BD392" s="173">
        <f ca="1">IF(OR($D392&lt;&gt;"Serviço",AND(AUTOEVENTO="Manual",$M392=$A$15),$M392&gt;(ROW(PLE.lastrow)-ROW(PLE.firstrow))),0,
           IF(OFFSET(PLE!$G$15,$M392-$A$15,BD$13)="",10^12,OFFSET(PLE!$G$15,$M392-$A$15,BD$13)))</f>
        <v>0</v>
      </c>
      <c r="BE392" s="173">
        <f ca="1">IF(OR($D392&lt;&gt;"Serviço",AND(AUTOEVENTO="Manual",$M392=$A$15),$M392&gt;(ROW(PLE.lastrow)-ROW(PLE.firstrow))),0,
           IF(OFFSET(PLE!$G$15,$M392-$A$15,BE$13)="",10^12,OFFSET(PLE!$G$15,$M392-$A$15,BE$13)))</f>
        <v>0</v>
      </c>
      <c r="BF392" s="173">
        <f ca="1">IF(OR($D392&lt;&gt;"Serviço",AND(AUTOEVENTO="Manual",$M392=$A$15),$M392&gt;(ROW(PLE.lastrow)-ROW(PLE.firstrow))),0,
           IF(OFFSET(PLE!$G$15,$M392-$A$15,BF$13)="",10^12,OFFSET(PLE!$G$15,$M392-$A$15,BF$13)))</f>
        <v>0</v>
      </c>
      <c r="BG392" s="173">
        <f ca="1">IF(OR($D392&lt;&gt;"Serviço",AND(AUTOEVENTO="Manual",$M392=$A$15),$M392&gt;(ROW(PLE.lastrow)-ROW(PLE.firstrow))),0,
           IF(OFFSET(PLE!$G$15,$M392-$A$15,BG$13)="",10^12,OFFSET(PLE!$G$15,$M392-$A$15,BG$13)))</f>
        <v>0</v>
      </c>
    </row>
    <row r="393" spans="1:59" ht="51" x14ac:dyDescent="0.2">
      <c r="A393" s="7" t="str">
        <f t="shared" ca="1" si="13"/>
        <v>377</v>
      </c>
      <c r="B393" s="7" t="str">
        <f ca="1">OFFSET(ORÇAMENTO!C$15,ROW(B393)-ROW(B$15),0)</f>
        <v>S</v>
      </c>
      <c r="C393" s="7" t="str">
        <f ca="1">OFFSET(ORÇAMENTO!L$15,ROW(C393)-ROW(C$15),0)</f>
        <v/>
      </c>
      <c r="D393" s="117" t="str">
        <f ca="1">OFFSET(ORÇAMENTO!N$15,ROW(D393)-ROW(D$15),0)</f>
        <v>Serviço</v>
      </c>
      <c r="E393" s="118" t="str">
        <f ca="1">OFFSET(ORÇAMENTO!O$15,ROW(E393)-ROW(E$15),0)</f>
        <v>-</v>
      </c>
      <c r="F393" s="164" t="str">
        <f ca="1">OFFSET(ORÇAMENTO!R$15,ROW(F393)-ROW(F$15),0)</f>
        <v>GUINDAUTO HIDRÁULICO, CAPACIDADE MÁXIMA DE CARGA 6500 KG, MOMENTO MÁXIMO DE CARGA 5,8 TM, ALCANCE MÁXIMO HORIZONTAL 7,60 M, INCLUSIVE CAMINHÃO TOCO PBT 9.700 KG, POTÊNCIA DE 160 CV - CHI DIURNO. AF_08/2015</v>
      </c>
      <c r="G393" s="165" t="str">
        <f ca="1">IF($D393&lt;&gt;"Serviço","",OFFSET(ORÇAMENTO!S$15,ROW(G393)-ROW(G$15),0))</f>
        <v>CHI</v>
      </c>
      <c r="H393" s="123">
        <f ca="1">IF($D393&lt;&gt;"Serviço",0,IF(ACOMPANHAMENTO="BM",ROUND(OFFSET(ORÇAMENTO!AJ$15,ROW(H393)-ROW(H$15),0),15-13*ORÇAMENTO!$AF$7),SUMPRODUCT(($Q$1:$AA$1=1)*ROUND($Q393:$AA393,15-13*ORÇAMENTO!$AF$7))))</f>
        <v>210</v>
      </c>
      <c r="I393" s="469"/>
      <c r="J393" s="577" t="str" cm="1">
        <f t="array" aca="1" ref="J393" ca="1">IF(B393&lt;&gt;"S","",IF(AND(ACOMPANHAMENTO="PLE",AUTOEVENTO="Manual",OR(H393&gt;0,ORÇAMENTO!AC393="QUANT."),OR(K393="",M393=0,N393="")),"►",IF(AND(ACOMPANHAMENTO="PLE",ORÇAMENTO!AC393="QUANT."),"►►",IF(AND(COUNTIF($P$11:$AA$11,"▼")=0,H393&gt;0,I393=""),"◄",""))))</f>
        <v>◄</v>
      </c>
      <c r="K393" s="626"/>
      <c r="L393" s="166" t="s">
        <v>765</v>
      </c>
      <c r="M393" s="167">
        <f ca="1">IF($D393&lt;&gt;"Serviço","",
          IF(AUTOEVENTO="manual",$A393,
                IF(ISERROR(MATCH($A393,$A$15:OFFSET($A393,-1,0),0)),MAX($M$15:OFFSET(M393,-1,0))+1,
                      INDEX($M$15:OFFSET(M393,-1,0),MATCH($A393,$A$15:OFFSET($A393,-1,0),0)))))</f>
        <v>22</v>
      </c>
      <c r="N393" s="168" t="str">
        <f ca="1">IF($D393&lt;&gt;"Serviço","",
         IF(AUTOEVENTO="Manual",
                IF($A393=0,"&lt;-- defina o número do agrupador",
                       OFFSET(EVENTOS!$D$15,$A393-$A$15,0)),
                OFFSET($F$15,$A393,0)))</f>
        <v>INSTALAÇÃO DOS MÓDULOS PRÉ-FABRICADOS NO CANTEIRO DE OBRAS</v>
      </c>
      <c r="O393" s="169"/>
      <c r="Q393" s="169"/>
      <c r="R393" s="170"/>
      <c r="S393" s="170"/>
      <c r="T393" s="170"/>
      <c r="U393" s="170"/>
      <c r="V393" s="170"/>
      <c r="W393" s="170"/>
      <c r="X393" s="170"/>
      <c r="Y393" s="170"/>
      <c r="Z393" s="171"/>
      <c r="AB393" s="454">
        <f ca="1">IF(AND($D393="Serviço",AB$12&lt;&gt;0,$H393&gt;0,OR(AUTOEVENTO&lt;&gt;"manual",$M393&lt;&gt;$A$15)),
        IF(Import.TipoArredondamento&lt;&gt;"TransfereGOV",
              ROUND(OFFSET($P393,0,AB$13),15-13*ORÇAMENTO!$AF$7)/$H393*OFFSET(ORÇAMENTO!$X$15,ROW(AB393)-ROW(AB$15),0),
              ROUND(ROUND(OFFSET($P393,0,AB$13),15-13*ORÇAMENTO!$AF$7)*OFFSET(ORÇAMENTO!$W$15,ROW(AB393)-ROW(AB$15),0),15-13*ORÇAMENTO!$AF$11)),
         0)</f>
        <v>0</v>
      </c>
      <c r="AC393" s="454">
        <f ca="1">IF(AND($D393="Serviço",AC$12&lt;&gt;0,$H393&gt;0,OR(AUTOEVENTO&lt;&gt;"manual",$M393&lt;&gt;$A$15)),
        IF(Import.TipoArredondamento&lt;&gt;"TransfereGOV",
              ROUND(OFFSET($P393,0,AC$13),15-13*ORÇAMENTO!$AF$7)/$H393*OFFSET(ORÇAMENTO!$X$15,ROW(AC393)-ROW(AC$15),0),
              ROUND(ROUND(OFFSET($P393,0,AC$13),15-13*ORÇAMENTO!$AF$7)*OFFSET(ORÇAMENTO!$W$15,ROW(AC393)-ROW(AC$15),0),15-13*ORÇAMENTO!$AF$11)),
         0)</f>
        <v>0</v>
      </c>
      <c r="AD393" s="454">
        <f ca="1">IF(AND($D393="Serviço",AD$12&lt;&gt;0,$H393&gt;0,OR(AUTOEVENTO&lt;&gt;"manual",$M393&lt;&gt;$A$15)),
        IF(Import.TipoArredondamento&lt;&gt;"TransfereGOV",
              ROUND(OFFSET($P393,0,AD$13),15-13*ORÇAMENTO!$AF$7)/$H393*OFFSET(ORÇAMENTO!$X$15,ROW(AD393)-ROW(AD$15),0),
              ROUND(ROUND(OFFSET($P393,0,AD$13),15-13*ORÇAMENTO!$AF$7)*OFFSET(ORÇAMENTO!$W$15,ROW(AD393)-ROW(AD$15),0),15-13*ORÇAMENTO!$AF$11)),
         0)</f>
        <v>0</v>
      </c>
      <c r="AE393" s="454">
        <f ca="1">IF(AND($D393="Serviço",AE$12&lt;&gt;0,$H393&gt;0,OR(AUTOEVENTO&lt;&gt;"manual",$M393&lt;&gt;$A$15)),
        IF(Import.TipoArredondamento&lt;&gt;"TransfereGOV",
              ROUND(OFFSET($P393,0,AE$13),15-13*ORÇAMENTO!$AF$7)/$H393*OFFSET(ORÇAMENTO!$X$15,ROW(AE393)-ROW(AE$15),0),
              ROUND(ROUND(OFFSET($P393,0,AE$13),15-13*ORÇAMENTO!$AF$7)*OFFSET(ORÇAMENTO!$W$15,ROW(AE393)-ROW(AE$15),0),15-13*ORÇAMENTO!$AF$11)),
         0)</f>
        <v>0</v>
      </c>
      <c r="AF393" s="454">
        <f ca="1">IF(AND($D393="Serviço",AF$12&lt;&gt;0,$H393&gt;0,OR(AUTOEVENTO&lt;&gt;"manual",$M393&lt;&gt;$A$15)),
        IF(Import.TipoArredondamento&lt;&gt;"TransfereGOV",
              ROUND(OFFSET($P393,0,AF$13),15-13*ORÇAMENTO!$AF$7)/$H393*OFFSET(ORÇAMENTO!$X$15,ROW(AF393)-ROW(AF$15),0),
              ROUND(ROUND(OFFSET($P393,0,AF$13),15-13*ORÇAMENTO!$AF$7)*OFFSET(ORÇAMENTO!$W$15,ROW(AF393)-ROW(AF$15),0),15-13*ORÇAMENTO!$AF$11)),
         0)</f>
        <v>0</v>
      </c>
      <c r="AG393" s="454">
        <f ca="1">IF(AND($D393="Serviço",AG$12&lt;&gt;0,$H393&gt;0,OR(AUTOEVENTO&lt;&gt;"manual",$M393&lt;&gt;$A$15)),
        IF(Import.TipoArredondamento&lt;&gt;"TransfereGOV",
              ROUND(OFFSET($P393,0,AG$13),15-13*ORÇAMENTO!$AF$7)/$H393*OFFSET(ORÇAMENTO!$X$15,ROW(AG393)-ROW(AG$15),0),
              ROUND(ROUND(OFFSET($P393,0,AG$13),15-13*ORÇAMENTO!$AF$7)*OFFSET(ORÇAMENTO!$W$15,ROW(AG393)-ROW(AG$15),0),15-13*ORÇAMENTO!$AF$11)),
         0)</f>
        <v>0</v>
      </c>
      <c r="AH393" s="454">
        <f ca="1">IF(AND($D393="Serviço",AH$12&lt;&gt;0,$H393&gt;0,OR(AUTOEVENTO&lt;&gt;"manual",$M393&lt;&gt;$A$15)),
        IF(Import.TipoArredondamento&lt;&gt;"TransfereGOV",
              ROUND(OFFSET($P393,0,AH$13),15-13*ORÇAMENTO!$AF$7)/$H393*OFFSET(ORÇAMENTO!$X$15,ROW(AH393)-ROW(AH$15),0),
              ROUND(ROUND(OFFSET($P393,0,AH$13),15-13*ORÇAMENTO!$AF$7)*OFFSET(ORÇAMENTO!$W$15,ROW(AH393)-ROW(AH$15),0),15-13*ORÇAMENTO!$AF$11)),
         0)</f>
        <v>0</v>
      </c>
      <c r="AI393" s="454">
        <f ca="1">IF(AND($D393="Serviço",AI$12&lt;&gt;0,$H393&gt;0,OR(AUTOEVENTO&lt;&gt;"manual",$M393&lt;&gt;$A$15)),
        IF(Import.TipoArredondamento&lt;&gt;"TransfereGOV",
              ROUND(OFFSET($P393,0,AI$13),15-13*ORÇAMENTO!$AF$7)/$H393*OFFSET(ORÇAMENTO!$X$15,ROW(AI393)-ROW(AI$15),0),
              ROUND(ROUND(OFFSET($P393,0,AI$13),15-13*ORÇAMENTO!$AF$7)*OFFSET(ORÇAMENTO!$W$15,ROW(AI393)-ROW(AI$15),0),15-13*ORÇAMENTO!$AF$11)),
         0)</f>
        <v>0</v>
      </c>
      <c r="AJ393" s="454">
        <f ca="1">IF(AND($D393="Serviço",AJ$12&lt;&gt;0,$H393&gt;0,OR(AUTOEVENTO&lt;&gt;"manual",$M393&lt;&gt;$A$15)),
        IF(Import.TipoArredondamento&lt;&gt;"TransfereGOV",
              ROUND(OFFSET($P393,0,AJ$13),15-13*ORÇAMENTO!$AF$7)/$H393*OFFSET(ORÇAMENTO!$X$15,ROW(AJ393)-ROW(AJ$15),0),
              ROUND(ROUND(OFFSET($P393,0,AJ$13),15-13*ORÇAMENTO!$AF$7)*OFFSET(ORÇAMENTO!$W$15,ROW(AJ393)-ROW(AJ$15),0),15-13*ORÇAMENTO!$AF$11)),
         0)</f>
        <v>0</v>
      </c>
      <c r="AK393" s="454">
        <f ca="1">IF(AND($D393="Serviço",AK$12&lt;&gt;0,$H393&gt;0,OR(AUTOEVENTO&lt;&gt;"manual",$M393&lt;&gt;$A$15)),
        IF(Import.TipoArredondamento&lt;&gt;"TransfereGOV",
              ROUND(OFFSET($P393,0,AK$13),15-13*ORÇAMENTO!$AF$7)/$H393*OFFSET(ORÇAMENTO!$X$15,ROW(AK393)-ROW(AK$15),0),
              ROUND(ROUND(OFFSET($P393,0,AK$13),15-13*ORÇAMENTO!$AF$7)*OFFSET(ORÇAMENTO!$W$15,ROW(AK393)-ROW(AK$15),0),15-13*ORÇAMENTO!$AF$11)),
         0)</f>
        <v>0</v>
      </c>
      <c r="AM393" s="172">
        <f ca="1">IF(OR($D393&lt;&gt;"Serviço",AND(AUTOEVENTO="Manual",$M393=$A$15)),0,
         IF(OFFSET(CRONOPLE!$F$15,$M393-$A$15,AM$13)="",10^12,OFFSET(CRONOPLE!$F$15,$M393-$A$15,AM$13)))</f>
        <v>1000000000000</v>
      </c>
      <c r="AN393" s="172">
        <f ca="1">IF(OR($D393&lt;&gt;"Serviço",AND(AUTOEVENTO="Manual",$M393=$A$15)),0,
         IF(OFFSET(CRONOPLE!$F$15,$M393-$A$15,AN$13)="",10^12,OFFSET(CRONOPLE!$F$15,$M393-$A$15,AN$13)))</f>
        <v>1000000000000</v>
      </c>
      <c r="AO393" s="172">
        <f ca="1">IF(OR($D393&lt;&gt;"Serviço",AND(AUTOEVENTO="Manual",$M393=$A$15)),0,
         IF(OFFSET(CRONOPLE!$F$15,$M393-$A$15,AO$13)="",10^12,OFFSET(CRONOPLE!$F$15,$M393-$A$15,AO$13)))</f>
        <v>1000000000000</v>
      </c>
      <c r="AP393" s="172">
        <f ca="1">IF(OR($D393&lt;&gt;"Serviço",AND(AUTOEVENTO="Manual",$M393=$A$15)),0,
         IF(OFFSET(CRONOPLE!$F$15,$M393-$A$15,AP$13)="",10^12,OFFSET(CRONOPLE!$F$15,$M393-$A$15,AP$13)))</f>
        <v>1000000000000</v>
      </c>
      <c r="AQ393" s="172">
        <f ca="1">IF(OR($D393&lt;&gt;"Serviço",AND(AUTOEVENTO="Manual",$M393=$A$15)),0,
         IF(OFFSET(CRONOPLE!$F$15,$M393-$A$15,AQ$13)="",10^12,OFFSET(CRONOPLE!$F$15,$M393-$A$15,AQ$13)))</f>
        <v>1000000000000</v>
      </c>
      <c r="AR393" s="172">
        <f ca="1">IF(OR($D393&lt;&gt;"Serviço",AND(AUTOEVENTO="Manual",$M393=$A$15)),0,
         IF(OFFSET(CRONOPLE!$F$15,$M393-$A$15,AR$13)="",10^12,OFFSET(CRONOPLE!$F$15,$M393-$A$15,AR$13)))</f>
        <v>1000000000000</v>
      </c>
      <c r="AS393" s="172">
        <f ca="1">IF(OR($D393&lt;&gt;"Serviço",AND(AUTOEVENTO="Manual",$M393=$A$15)),0,
         IF(OFFSET(CRONOPLE!$F$15,$M393-$A$15,AS$13)="",10^12,OFFSET(CRONOPLE!$F$15,$M393-$A$15,AS$13)))</f>
        <v>1000000000000</v>
      </c>
      <c r="AT393" s="172">
        <f ca="1">IF(OR($D393&lt;&gt;"Serviço",AND(AUTOEVENTO="Manual",$M393=$A$15)),0,
         IF(OFFSET(CRONOPLE!$F$15,$M393-$A$15,AT$13)="",10^12,OFFSET(CRONOPLE!$F$15,$M393-$A$15,AT$13)))</f>
        <v>1000000000000</v>
      </c>
      <c r="AU393" s="172">
        <f ca="1">IF(OR($D393&lt;&gt;"Serviço",AND(AUTOEVENTO="Manual",$M393=$A$15)),0,
         IF(OFFSET(CRONOPLE!$F$15,$M393-$A$15,AU$13)="",10^12,OFFSET(CRONOPLE!$F$15,$M393-$A$15,AU$13)))</f>
        <v>1000000000000</v>
      </c>
      <c r="AV393" s="172">
        <f ca="1">IF(OR($D393&lt;&gt;"Serviço",AND(AUTOEVENTO="Manual",$M393=$A$15)),0,
         IF(OFFSET(CRONOPLE!$F$15,$M393-$A$15,AV$13)="",10^12,OFFSET(CRONOPLE!$F$15,$M393-$A$15,AV$13)))</f>
        <v>1000000000000</v>
      </c>
      <c r="AX393" s="173">
        <f ca="1">IF(OR($D393&lt;&gt;"Serviço",AND(AUTOEVENTO="Manual",$M393=$A$15),$M393&gt;(ROW(PLE.lastrow)-ROW(PLE.firstrow))),0,
           IF(OFFSET(PLE!$G$15,$M393-$A$15,AX$13)="",10^12,OFFSET(PLE!$G$15,$M393-$A$15,AX$13)))</f>
        <v>1000000000000</v>
      </c>
      <c r="AY393" s="173">
        <f ca="1">IF(OR($D393&lt;&gt;"Serviço",AND(AUTOEVENTO="Manual",$M393=$A$15),$M393&gt;(ROW(PLE.lastrow)-ROW(PLE.firstrow))),0,
           IF(OFFSET(PLE!$G$15,$M393-$A$15,AY$13)="",10^12,OFFSET(PLE!$G$15,$M393-$A$15,AY$13)))</f>
        <v>1000000000000</v>
      </c>
      <c r="AZ393" s="173">
        <f ca="1">IF(OR($D393&lt;&gt;"Serviço",AND(AUTOEVENTO="Manual",$M393=$A$15),$M393&gt;(ROW(PLE.lastrow)-ROW(PLE.firstrow))),0,
           IF(OFFSET(PLE!$G$15,$M393-$A$15,AZ$13)="",10^12,OFFSET(PLE!$G$15,$M393-$A$15,AZ$13)))</f>
        <v>1000000000000</v>
      </c>
      <c r="BA393" s="173">
        <f ca="1">IF(OR($D393&lt;&gt;"Serviço",AND(AUTOEVENTO="Manual",$M393=$A$15),$M393&gt;(ROW(PLE.lastrow)-ROW(PLE.firstrow))),0,
           IF(OFFSET(PLE!$G$15,$M393-$A$15,BA$13)="",10^12,OFFSET(PLE!$G$15,$M393-$A$15,BA$13)))</f>
        <v>1000000000000</v>
      </c>
      <c r="BB393" s="173">
        <f ca="1">IF(OR($D393&lt;&gt;"Serviço",AND(AUTOEVENTO="Manual",$M393=$A$15),$M393&gt;(ROW(PLE.lastrow)-ROW(PLE.firstrow))),0,
           IF(OFFSET(PLE!$G$15,$M393-$A$15,BB$13)="",10^12,OFFSET(PLE!$G$15,$M393-$A$15,BB$13)))</f>
        <v>1000000000000</v>
      </c>
      <c r="BC393" s="173">
        <f ca="1">IF(OR($D393&lt;&gt;"Serviço",AND(AUTOEVENTO="Manual",$M393=$A$15),$M393&gt;(ROW(PLE.lastrow)-ROW(PLE.firstrow))),0,
           IF(OFFSET(PLE!$G$15,$M393-$A$15,BC$13)="",10^12,OFFSET(PLE!$G$15,$M393-$A$15,BC$13)))</f>
        <v>1000000000000</v>
      </c>
      <c r="BD393" s="173">
        <f ca="1">IF(OR($D393&lt;&gt;"Serviço",AND(AUTOEVENTO="Manual",$M393=$A$15),$M393&gt;(ROW(PLE.lastrow)-ROW(PLE.firstrow))),0,
           IF(OFFSET(PLE!$G$15,$M393-$A$15,BD$13)="",10^12,OFFSET(PLE!$G$15,$M393-$A$15,BD$13)))</f>
        <v>1000000000000</v>
      </c>
      <c r="BE393" s="173">
        <f ca="1">IF(OR($D393&lt;&gt;"Serviço",AND(AUTOEVENTO="Manual",$M393=$A$15),$M393&gt;(ROW(PLE.lastrow)-ROW(PLE.firstrow))),0,
           IF(OFFSET(PLE!$G$15,$M393-$A$15,BE$13)="",10^12,OFFSET(PLE!$G$15,$M393-$A$15,BE$13)))</f>
        <v>1000000000000</v>
      </c>
      <c r="BF393" s="173">
        <f ca="1">IF(OR($D393&lt;&gt;"Serviço",AND(AUTOEVENTO="Manual",$M393=$A$15),$M393&gt;(ROW(PLE.lastrow)-ROW(PLE.firstrow))),0,
           IF(OFFSET(PLE!$G$15,$M393-$A$15,BF$13)="",10^12,OFFSET(PLE!$G$15,$M393-$A$15,BF$13)))</f>
        <v>1000000000000</v>
      </c>
      <c r="BG393" s="173">
        <f ca="1">IF(OR($D393&lt;&gt;"Serviço",AND(AUTOEVENTO="Manual",$M393=$A$15),$M393&gt;(ROW(PLE.lastrow)-ROW(PLE.firstrow))),0,
           IF(OFFSET(PLE!$G$15,$M393-$A$15,BG$13)="",10^12,OFFSET(PLE!$G$15,$M393-$A$15,BG$13)))</f>
        <v>1000000000000</v>
      </c>
    </row>
    <row r="394" spans="1:59" ht="51" x14ac:dyDescent="0.2">
      <c r="A394" s="7" t="str">
        <f t="shared" ca="1" si="13"/>
        <v>377</v>
      </c>
      <c r="B394" s="7" t="str">
        <f ca="1">OFFSET(ORÇAMENTO!C$15,ROW(B394)-ROW(B$15),0)</f>
        <v>S</v>
      </c>
      <c r="C394" s="7" t="str">
        <f ca="1">OFFSET(ORÇAMENTO!L$15,ROW(C394)-ROW(C$15),0)</f>
        <v/>
      </c>
      <c r="D394" s="117" t="str">
        <f ca="1">OFFSET(ORÇAMENTO!N$15,ROW(D394)-ROW(D$15),0)</f>
        <v>Serviço</v>
      </c>
      <c r="E394" s="118" t="str">
        <f ca="1">OFFSET(ORÇAMENTO!O$15,ROW(E394)-ROW(E$15),0)</f>
        <v>-</v>
      </c>
      <c r="F394" s="164" t="str">
        <f ca="1">OFFSET(ORÇAMENTO!R$15,ROW(F394)-ROW(F$15),0)</f>
        <v>GUINDAUTO HIDRÁULICO, CAPACIDADE MÁXIMA DE CARGA 6500 KG, MOMENTO MÁXIMO DE CARGA 5,8 TM, ALCANCE MÁXIMO HORIZONTAL 7,60 M, INCLUSIVE CAMINHÃO TOCO PBT 9.700 KG, POTÊNCIA DE 160 CV - CHP DIURNO. AF_08/2015</v>
      </c>
      <c r="G394" s="165" t="str">
        <f ca="1">IF($D394&lt;&gt;"Serviço","",OFFSET(ORÇAMENTO!S$15,ROW(G394)-ROW(G$15),0))</f>
        <v>CHP</v>
      </c>
      <c r="H394" s="123">
        <f ca="1">IF($D394&lt;&gt;"Serviço",0,IF(ACOMPANHAMENTO="BM",ROUND(OFFSET(ORÇAMENTO!AJ$15,ROW(H394)-ROW(H$15),0),15-13*ORÇAMENTO!$AF$7),SUMPRODUCT(($Q$1:$AA$1=1)*ROUND($Q394:$AA394,15-13*ORÇAMENTO!$AF$7))))</f>
        <v>210</v>
      </c>
      <c r="I394" s="469"/>
      <c r="J394" s="577" t="str" cm="1">
        <f t="array" aca="1" ref="J394" ca="1">IF(B394&lt;&gt;"S","",IF(AND(ACOMPANHAMENTO="PLE",AUTOEVENTO="Manual",OR(H394&gt;0,ORÇAMENTO!AC394="QUANT."),OR(K394="",M394=0,N394="")),"►",IF(AND(ACOMPANHAMENTO="PLE",ORÇAMENTO!AC394="QUANT."),"►►",IF(AND(COUNTIF($P$11:$AA$11,"▼")=0,H394&gt;0,I394=""),"◄",""))))</f>
        <v>◄</v>
      </c>
      <c r="K394" s="626"/>
      <c r="L394" s="166" t="s">
        <v>765</v>
      </c>
      <c r="M394" s="167">
        <f ca="1">IF($D394&lt;&gt;"Serviço","",
          IF(AUTOEVENTO="manual",$A394,
                IF(ISERROR(MATCH($A394,$A$15:OFFSET($A394,-1,0),0)),MAX($M$15:OFFSET(M394,-1,0))+1,
                      INDEX($M$15:OFFSET(M394,-1,0),MATCH($A394,$A$15:OFFSET($A394,-1,0),0)))))</f>
        <v>22</v>
      </c>
      <c r="N394" s="168" t="str">
        <f ca="1">IF($D394&lt;&gt;"Serviço","",
         IF(AUTOEVENTO="Manual",
                IF($A394=0,"&lt;-- defina o número do agrupador",
                       OFFSET(EVENTOS!$D$15,$A394-$A$15,0)),
                OFFSET($F$15,$A394,0)))</f>
        <v>INSTALAÇÃO DOS MÓDULOS PRÉ-FABRICADOS NO CANTEIRO DE OBRAS</v>
      </c>
      <c r="O394" s="169"/>
      <c r="Q394" s="169"/>
      <c r="R394" s="170"/>
      <c r="S394" s="170"/>
      <c r="T394" s="170"/>
      <c r="U394" s="170"/>
      <c r="V394" s="170"/>
      <c r="W394" s="170"/>
      <c r="X394" s="170"/>
      <c r="Y394" s="170"/>
      <c r="Z394" s="171"/>
      <c r="AB394" s="454">
        <f ca="1">IF(AND($D394="Serviço",AB$12&lt;&gt;0,$H394&gt;0,OR(AUTOEVENTO&lt;&gt;"manual",$M394&lt;&gt;$A$15)),
        IF(Import.TipoArredondamento&lt;&gt;"TransfereGOV",
              ROUND(OFFSET($P394,0,AB$13),15-13*ORÇAMENTO!$AF$7)/$H394*OFFSET(ORÇAMENTO!$X$15,ROW(AB394)-ROW(AB$15),0),
              ROUND(ROUND(OFFSET($P394,0,AB$13),15-13*ORÇAMENTO!$AF$7)*OFFSET(ORÇAMENTO!$W$15,ROW(AB394)-ROW(AB$15),0),15-13*ORÇAMENTO!$AF$11)),
         0)</f>
        <v>0</v>
      </c>
      <c r="AC394" s="454">
        <f ca="1">IF(AND($D394="Serviço",AC$12&lt;&gt;0,$H394&gt;0,OR(AUTOEVENTO&lt;&gt;"manual",$M394&lt;&gt;$A$15)),
        IF(Import.TipoArredondamento&lt;&gt;"TransfereGOV",
              ROUND(OFFSET($P394,0,AC$13),15-13*ORÇAMENTO!$AF$7)/$H394*OFFSET(ORÇAMENTO!$X$15,ROW(AC394)-ROW(AC$15),0),
              ROUND(ROUND(OFFSET($P394,0,AC$13),15-13*ORÇAMENTO!$AF$7)*OFFSET(ORÇAMENTO!$W$15,ROW(AC394)-ROW(AC$15),0),15-13*ORÇAMENTO!$AF$11)),
         0)</f>
        <v>0</v>
      </c>
      <c r="AD394" s="454">
        <f ca="1">IF(AND($D394="Serviço",AD$12&lt;&gt;0,$H394&gt;0,OR(AUTOEVENTO&lt;&gt;"manual",$M394&lt;&gt;$A$15)),
        IF(Import.TipoArredondamento&lt;&gt;"TransfereGOV",
              ROUND(OFFSET($P394,0,AD$13),15-13*ORÇAMENTO!$AF$7)/$H394*OFFSET(ORÇAMENTO!$X$15,ROW(AD394)-ROW(AD$15),0),
              ROUND(ROUND(OFFSET($P394,0,AD$13),15-13*ORÇAMENTO!$AF$7)*OFFSET(ORÇAMENTO!$W$15,ROW(AD394)-ROW(AD$15),0),15-13*ORÇAMENTO!$AF$11)),
         0)</f>
        <v>0</v>
      </c>
      <c r="AE394" s="454">
        <f ca="1">IF(AND($D394="Serviço",AE$12&lt;&gt;0,$H394&gt;0,OR(AUTOEVENTO&lt;&gt;"manual",$M394&lt;&gt;$A$15)),
        IF(Import.TipoArredondamento&lt;&gt;"TransfereGOV",
              ROUND(OFFSET($P394,0,AE$13),15-13*ORÇAMENTO!$AF$7)/$H394*OFFSET(ORÇAMENTO!$X$15,ROW(AE394)-ROW(AE$15),0),
              ROUND(ROUND(OFFSET($P394,0,AE$13),15-13*ORÇAMENTO!$AF$7)*OFFSET(ORÇAMENTO!$W$15,ROW(AE394)-ROW(AE$15),0),15-13*ORÇAMENTO!$AF$11)),
         0)</f>
        <v>0</v>
      </c>
      <c r="AF394" s="454">
        <f ca="1">IF(AND($D394="Serviço",AF$12&lt;&gt;0,$H394&gt;0,OR(AUTOEVENTO&lt;&gt;"manual",$M394&lt;&gt;$A$15)),
        IF(Import.TipoArredondamento&lt;&gt;"TransfereGOV",
              ROUND(OFFSET($P394,0,AF$13),15-13*ORÇAMENTO!$AF$7)/$H394*OFFSET(ORÇAMENTO!$X$15,ROW(AF394)-ROW(AF$15),0),
              ROUND(ROUND(OFFSET($P394,0,AF$13),15-13*ORÇAMENTO!$AF$7)*OFFSET(ORÇAMENTO!$W$15,ROW(AF394)-ROW(AF$15),0),15-13*ORÇAMENTO!$AF$11)),
         0)</f>
        <v>0</v>
      </c>
      <c r="AG394" s="454">
        <f ca="1">IF(AND($D394="Serviço",AG$12&lt;&gt;0,$H394&gt;0,OR(AUTOEVENTO&lt;&gt;"manual",$M394&lt;&gt;$A$15)),
        IF(Import.TipoArredondamento&lt;&gt;"TransfereGOV",
              ROUND(OFFSET($P394,0,AG$13),15-13*ORÇAMENTO!$AF$7)/$H394*OFFSET(ORÇAMENTO!$X$15,ROW(AG394)-ROW(AG$15),0),
              ROUND(ROUND(OFFSET($P394,0,AG$13),15-13*ORÇAMENTO!$AF$7)*OFFSET(ORÇAMENTO!$W$15,ROW(AG394)-ROW(AG$15),0),15-13*ORÇAMENTO!$AF$11)),
         0)</f>
        <v>0</v>
      </c>
      <c r="AH394" s="454">
        <f ca="1">IF(AND($D394="Serviço",AH$12&lt;&gt;0,$H394&gt;0,OR(AUTOEVENTO&lt;&gt;"manual",$M394&lt;&gt;$A$15)),
        IF(Import.TipoArredondamento&lt;&gt;"TransfereGOV",
              ROUND(OFFSET($P394,0,AH$13),15-13*ORÇAMENTO!$AF$7)/$H394*OFFSET(ORÇAMENTO!$X$15,ROW(AH394)-ROW(AH$15),0),
              ROUND(ROUND(OFFSET($P394,0,AH$13),15-13*ORÇAMENTO!$AF$7)*OFFSET(ORÇAMENTO!$W$15,ROW(AH394)-ROW(AH$15),0),15-13*ORÇAMENTO!$AF$11)),
         0)</f>
        <v>0</v>
      </c>
      <c r="AI394" s="454">
        <f ca="1">IF(AND($D394="Serviço",AI$12&lt;&gt;0,$H394&gt;0,OR(AUTOEVENTO&lt;&gt;"manual",$M394&lt;&gt;$A$15)),
        IF(Import.TipoArredondamento&lt;&gt;"TransfereGOV",
              ROUND(OFFSET($P394,0,AI$13),15-13*ORÇAMENTO!$AF$7)/$H394*OFFSET(ORÇAMENTO!$X$15,ROW(AI394)-ROW(AI$15),0),
              ROUND(ROUND(OFFSET($P394,0,AI$13),15-13*ORÇAMENTO!$AF$7)*OFFSET(ORÇAMENTO!$W$15,ROW(AI394)-ROW(AI$15),0),15-13*ORÇAMENTO!$AF$11)),
         0)</f>
        <v>0</v>
      </c>
      <c r="AJ394" s="454">
        <f ca="1">IF(AND($D394="Serviço",AJ$12&lt;&gt;0,$H394&gt;0,OR(AUTOEVENTO&lt;&gt;"manual",$M394&lt;&gt;$A$15)),
        IF(Import.TipoArredondamento&lt;&gt;"TransfereGOV",
              ROUND(OFFSET($P394,0,AJ$13),15-13*ORÇAMENTO!$AF$7)/$H394*OFFSET(ORÇAMENTO!$X$15,ROW(AJ394)-ROW(AJ$15),0),
              ROUND(ROUND(OFFSET($P394,0,AJ$13),15-13*ORÇAMENTO!$AF$7)*OFFSET(ORÇAMENTO!$W$15,ROW(AJ394)-ROW(AJ$15),0),15-13*ORÇAMENTO!$AF$11)),
         0)</f>
        <v>0</v>
      </c>
      <c r="AK394" s="454">
        <f ca="1">IF(AND($D394="Serviço",AK$12&lt;&gt;0,$H394&gt;0,OR(AUTOEVENTO&lt;&gt;"manual",$M394&lt;&gt;$A$15)),
        IF(Import.TipoArredondamento&lt;&gt;"TransfereGOV",
              ROUND(OFFSET($P394,0,AK$13),15-13*ORÇAMENTO!$AF$7)/$H394*OFFSET(ORÇAMENTO!$X$15,ROW(AK394)-ROW(AK$15),0),
              ROUND(ROUND(OFFSET($P394,0,AK$13),15-13*ORÇAMENTO!$AF$7)*OFFSET(ORÇAMENTO!$W$15,ROW(AK394)-ROW(AK$15),0),15-13*ORÇAMENTO!$AF$11)),
         0)</f>
        <v>0</v>
      </c>
      <c r="AM394" s="172">
        <f ca="1">IF(OR($D394&lt;&gt;"Serviço",AND(AUTOEVENTO="Manual",$M394=$A$15)),0,
         IF(OFFSET(CRONOPLE!$F$15,$M394-$A$15,AM$13)="",10^12,OFFSET(CRONOPLE!$F$15,$M394-$A$15,AM$13)))</f>
        <v>1000000000000</v>
      </c>
      <c r="AN394" s="172">
        <f ca="1">IF(OR($D394&lt;&gt;"Serviço",AND(AUTOEVENTO="Manual",$M394=$A$15)),0,
         IF(OFFSET(CRONOPLE!$F$15,$M394-$A$15,AN$13)="",10^12,OFFSET(CRONOPLE!$F$15,$M394-$A$15,AN$13)))</f>
        <v>1000000000000</v>
      </c>
      <c r="AO394" s="172">
        <f ca="1">IF(OR($D394&lt;&gt;"Serviço",AND(AUTOEVENTO="Manual",$M394=$A$15)),0,
         IF(OFFSET(CRONOPLE!$F$15,$M394-$A$15,AO$13)="",10^12,OFFSET(CRONOPLE!$F$15,$M394-$A$15,AO$13)))</f>
        <v>1000000000000</v>
      </c>
      <c r="AP394" s="172">
        <f ca="1">IF(OR($D394&lt;&gt;"Serviço",AND(AUTOEVENTO="Manual",$M394=$A$15)),0,
         IF(OFFSET(CRONOPLE!$F$15,$M394-$A$15,AP$13)="",10^12,OFFSET(CRONOPLE!$F$15,$M394-$A$15,AP$13)))</f>
        <v>1000000000000</v>
      </c>
      <c r="AQ394" s="172">
        <f ca="1">IF(OR($D394&lt;&gt;"Serviço",AND(AUTOEVENTO="Manual",$M394=$A$15)),0,
         IF(OFFSET(CRONOPLE!$F$15,$M394-$A$15,AQ$13)="",10^12,OFFSET(CRONOPLE!$F$15,$M394-$A$15,AQ$13)))</f>
        <v>1000000000000</v>
      </c>
      <c r="AR394" s="172">
        <f ca="1">IF(OR($D394&lt;&gt;"Serviço",AND(AUTOEVENTO="Manual",$M394=$A$15)),0,
         IF(OFFSET(CRONOPLE!$F$15,$M394-$A$15,AR$13)="",10^12,OFFSET(CRONOPLE!$F$15,$M394-$A$15,AR$13)))</f>
        <v>1000000000000</v>
      </c>
      <c r="AS394" s="172">
        <f ca="1">IF(OR($D394&lt;&gt;"Serviço",AND(AUTOEVENTO="Manual",$M394=$A$15)),0,
         IF(OFFSET(CRONOPLE!$F$15,$M394-$A$15,AS$13)="",10^12,OFFSET(CRONOPLE!$F$15,$M394-$A$15,AS$13)))</f>
        <v>1000000000000</v>
      </c>
      <c r="AT394" s="172">
        <f ca="1">IF(OR($D394&lt;&gt;"Serviço",AND(AUTOEVENTO="Manual",$M394=$A$15)),0,
         IF(OFFSET(CRONOPLE!$F$15,$M394-$A$15,AT$13)="",10^12,OFFSET(CRONOPLE!$F$15,$M394-$A$15,AT$13)))</f>
        <v>1000000000000</v>
      </c>
      <c r="AU394" s="172">
        <f ca="1">IF(OR($D394&lt;&gt;"Serviço",AND(AUTOEVENTO="Manual",$M394=$A$15)),0,
         IF(OFFSET(CRONOPLE!$F$15,$M394-$A$15,AU$13)="",10^12,OFFSET(CRONOPLE!$F$15,$M394-$A$15,AU$13)))</f>
        <v>1000000000000</v>
      </c>
      <c r="AV394" s="172">
        <f ca="1">IF(OR($D394&lt;&gt;"Serviço",AND(AUTOEVENTO="Manual",$M394=$A$15)),0,
         IF(OFFSET(CRONOPLE!$F$15,$M394-$A$15,AV$13)="",10^12,OFFSET(CRONOPLE!$F$15,$M394-$A$15,AV$13)))</f>
        <v>1000000000000</v>
      </c>
      <c r="AX394" s="173">
        <f ca="1">IF(OR($D394&lt;&gt;"Serviço",AND(AUTOEVENTO="Manual",$M394=$A$15),$M394&gt;(ROW(PLE.lastrow)-ROW(PLE.firstrow))),0,
           IF(OFFSET(PLE!$G$15,$M394-$A$15,AX$13)="",10^12,OFFSET(PLE!$G$15,$M394-$A$15,AX$13)))</f>
        <v>1000000000000</v>
      </c>
      <c r="AY394" s="173">
        <f ca="1">IF(OR($D394&lt;&gt;"Serviço",AND(AUTOEVENTO="Manual",$M394=$A$15),$M394&gt;(ROW(PLE.lastrow)-ROW(PLE.firstrow))),0,
           IF(OFFSET(PLE!$G$15,$M394-$A$15,AY$13)="",10^12,OFFSET(PLE!$G$15,$M394-$A$15,AY$13)))</f>
        <v>1000000000000</v>
      </c>
      <c r="AZ394" s="173">
        <f ca="1">IF(OR($D394&lt;&gt;"Serviço",AND(AUTOEVENTO="Manual",$M394=$A$15),$M394&gt;(ROW(PLE.lastrow)-ROW(PLE.firstrow))),0,
           IF(OFFSET(PLE!$G$15,$M394-$A$15,AZ$13)="",10^12,OFFSET(PLE!$G$15,$M394-$A$15,AZ$13)))</f>
        <v>1000000000000</v>
      </c>
      <c r="BA394" s="173">
        <f ca="1">IF(OR($D394&lt;&gt;"Serviço",AND(AUTOEVENTO="Manual",$M394=$A$15),$M394&gt;(ROW(PLE.lastrow)-ROW(PLE.firstrow))),0,
           IF(OFFSET(PLE!$G$15,$M394-$A$15,BA$13)="",10^12,OFFSET(PLE!$G$15,$M394-$A$15,BA$13)))</f>
        <v>1000000000000</v>
      </c>
      <c r="BB394" s="173">
        <f ca="1">IF(OR($D394&lt;&gt;"Serviço",AND(AUTOEVENTO="Manual",$M394=$A$15),$M394&gt;(ROW(PLE.lastrow)-ROW(PLE.firstrow))),0,
           IF(OFFSET(PLE!$G$15,$M394-$A$15,BB$13)="",10^12,OFFSET(PLE!$G$15,$M394-$A$15,BB$13)))</f>
        <v>1000000000000</v>
      </c>
      <c r="BC394" s="173">
        <f ca="1">IF(OR($D394&lt;&gt;"Serviço",AND(AUTOEVENTO="Manual",$M394=$A$15),$M394&gt;(ROW(PLE.lastrow)-ROW(PLE.firstrow))),0,
           IF(OFFSET(PLE!$G$15,$M394-$A$15,BC$13)="",10^12,OFFSET(PLE!$G$15,$M394-$A$15,BC$13)))</f>
        <v>1000000000000</v>
      </c>
      <c r="BD394" s="173">
        <f ca="1">IF(OR($D394&lt;&gt;"Serviço",AND(AUTOEVENTO="Manual",$M394=$A$15),$M394&gt;(ROW(PLE.lastrow)-ROW(PLE.firstrow))),0,
           IF(OFFSET(PLE!$G$15,$M394-$A$15,BD$13)="",10^12,OFFSET(PLE!$G$15,$M394-$A$15,BD$13)))</f>
        <v>1000000000000</v>
      </c>
      <c r="BE394" s="173">
        <f ca="1">IF(OR($D394&lt;&gt;"Serviço",AND(AUTOEVENTO="Manual",$M394=$A$15),$M394&gt;(ROW(PLE.lastrow)-ROW(PLE.firstrow))),0,
           IF(OFFSET(PLE!$G$15,$M394-$A$15,BE$13)="",10^12,OFFSET(PLE!$G$15,$M394-$A$15,BE$13)))</f>
        <v>1000000000000</v>
      </c>
      <c r="BF394" s="173">
        <f ca="1">IF(OR($D394&lt;&gt;"Serviço",AND(AUTOEVENTO="Manual",$M394=$A$15),$M394&gt;(ROW(PLE.lastrow)-ROW(PLE.firstrow))),0,
           IF(OFFSET(PLE!$G$15,$M394-$A$15,BF$13)="",10^12,OFFSET(PLE!$G$15,$M394-$A$15,BF$13)))</f>
        <v>1000000000000</v>
      </c>
      <c r="BG394" s="173">
        <f ca="1">IF(OR($D394&lt;&gt;"Serviço",AND(AUTOEVENTO="Manual",$M394=$A$15),$M394&gt;(ROW(PLE.lastrow)-ROW(PLE.firstrow))),0,
           IF(OFFSET(PLE!$G$15,$M394-$A$15,BG$13)="",10^12,OFFSET(PLE!$G$15,$M394-$A$15,BG$13)))</f>
        <v>1000000000000</v>
      </c>
    </row>
    <row r="395" spans="1:59" ht="38.25" x14ac:dyDescent="0.2">
      <c r="A395" s="7" t="str">
        <f t="shared" ca="1" si="13"/>
        <v>377</v>
      </c>
      <c r="B395" s="7" t="str">
        <f ca="1">OFFSET(ORÇAMENTO!C$15,ROW(B395)-ROW(B$15),0)</f>
        <v>S</v>
      </c>
      <c r="C395" s="7" t="str">
        <f ca="1">OFFSET(ORÇAMENTO!L$15,ROW(C395)-ROW(C$15),0)</f>
        <v/>
      </c>
      <c r="D395" s="117" t="str">
        <f ca="1">OFFSET(ORÇAMENTO!N$15,ROW(D395)-ROW(D$15),0)</f>
        <v>Serviço</v>
      </c>
      <c r="E395" s="118" t="str">
        <f ca="1">OFFSET(ORÇAMENTO!O$15,ROW(E395)-ROW(E$15),0)</f>
        <v>-</v>
      </c>
      <c r="F395" s="164" t="str">
        <f ca="1">OFFSET(ORÇAMENTO!R$15,ROW(F395)-ROW(F$15),0)</f>
        <v>SOLDADOR COM ENCARGOS COMPLEMENTARES</v>
      </c>
      <c r="G395" s="165" t="str">
        <f ca="1">IF($D395&lt;&gt;"Serviço","",OFFSET(ORÇAMENTO!S$15,ROW(G395)-ROW(G$15),0))</f>
        <v>H</v>
      </c>
      <c r="H395" s="123">
        <f ca="1">IF($D395&lt;&gt;"Serviço",0,IF(ACOMPANHAMENTO="BM",ROUND(OFFSET(ORÇAMENTO!AJ$15,ROW(H395)-ROW(H$15),0),15-13*ORÇAMENTO!$AF$7),SUMPRODUCT(($Q$1:$AA$1=1)*ROUND($Q395:$AA395,15-13*ORÇAMENTO!$AF$7))))</f>
        <v>60</v>
      </c>
      <c r="I395" s="469"/>
      <c r="J395" s="577" t="str" cm="1">
        <f t="array" aca="1" ref="J395" ca="1">IF(B395&lt;&gt;"S","",IF(AND(ACOMPANHAMENTO="PLE",AUTOEVENTO="Manual",OR(H395&gt;0,ORÇAMENTO!AC395="QUANT."),OR(K395="",M395=0,N395="")),"►",IF(AND(ACOMPANHAMENTO="PLE",ORÇAMENTO!AC395="QUANT."),"►►",IF(AND(COUNTIF($P$11:$AA$11,"▼")=0,H395&gt;0,I395=""),"◄",""))))</f>
        <v>◄</v>
      </c>
      <c r="K395" s="626"/>
      <c r="L395" s="166" t="s">
        <v>765</v>
      </c>
      <c r="M395" s="167">
        <f ca="1">IF($D395&lt;&gt;"Serviço","",
          IF(AUTOEVENTO="manual",$A395,
                IF(ISERROR(MATCH($A395,$A$15:OFFSET($A395,-1,0),0)),MAX($M$15:OFFSET(M395,-1,0))+1,
                      INDEX($M$15:OFFSET(M395,-1,0),MATCH($A395,$A$15:OFFSET($A395,-1,0),0)))))</f>
        <v>22</v>
      </c>
      <c r="N395" s="168" t="str">
        <f ca="1">IF($D395&lt;&gt;"Serviço","",
         IF(AUTOEVENTO="Manual",
                IF($A395=0,"&lt;-- defina o número do agrupador",
                       OFFSET(EVENTOS!$D$15,$A395-$A$15,0)),
                OFFSET($F$15,$A395,0)))</f>
        <v>INSTALAÇÃO DOS MÓDULOS PRÉ-FABRICADOS NO CANTEIRO DE OBRAS</v>
      </c>
      <c r="O395" s="169"/>
      <c r="Q395" s="169"/>
      <c r="R395" s="170"/>
      <c r="S395" s="170"/>
      <c r="T395" s="170"/>
      <c r="U395" s="170"/>
      <c r="V395" s="170"/>
      <c r="W395" s="170"/>
      <c r="X395" s="170"/>
      <c r="Y395" s="170"/>
      <c r="Z395" s="171"/>
      <c r="AB395" s="454">
        <f ca="1">IF(AND($D395="Serviço",AB$12&lt;&gt;0,$H395&gt;0,OR(AUTOEVENTO&lt;&gt;"manual",$M395&lt;&gt;$A$15)),
        IF(Import.TipoArredondamento&lt;&gt;"TransfereGOV",
              ROUND(OFFSET($P395,0,AB$13),15-13*ORÇAMENTO!$AF$7)/$H395*OFFSET(ORÇAMENTO!$X$15,ROW(AB395)-ROW(AB$15),0),
              ROUND(ROUND(OFFSET($P395,0,AB$13),15-13*ORÇAMENTO!$AF$7)*OFFSET(ORÇAMENTO!$W$15,ROW(AB395)-ROW(AB$15),0),15-13*ORÇAMENTO!$AF$11)),
         0)</f>
        <v>0</v>
      </c>
      <c r="AC395" s="454">
        <f ca="1">IF(AND($D395="Serviço",AC$12&lt;&gt;0,$H395&gt;0,OR(AUTOEVENTO&lt;&gt;"manual",$M395&lt;&gt;$A$15)),
        IF(Import.TipoArredondamento&lt;&gt;"TransfereGOV",
              ROUND(OFFSET($P395,0,AC$13),15-13*ORÇAMENTO!$AF$7)/$H395*OFFSET(ORÇAMENTO!$X$15,ROW(AC395)-ROW(AC$15),0),
              ROUND(ROUND(OFFSET($P395,0,AC$13),15-13*ORÇAMENTO!$AF$7)*OFFSET(ORÇAMENTO!$W$15,ROW(AC395)-ROW(AC$15),0),15-13*ORÇAMENTO!$AF$11)),
         0)</f>
        <v>0</v>
      </c>
      <c r="AD395" s="454">
        <f ca="1">IF(AND($D395="Serviço",AD$12&lt;&gt;0,$H395&gt;0,OR(AUTOEVENTO&lt;&gt;"manual",$M395&lt;&gt;$A$15)),
        IF(Import.TipoArredondamento&lt;&gt;"TransfereGOV",
              ROUND(OFFSET($P395,0,AD$13),15-13*ORÇAMENTO!$AF$7)/$H395*OFFSET(ORÇAMENTO!$X$15,ROW(AD395)-ROW(AD$15),0),
              ROUND(ROUND(OFFSET($P395,0,AD$13),15-13*ORÇAMENTO!$AF$7)*OFFSET(ORÇAMENTO!$W$15,ROW(AD395)-ROW(AD$15),0),15-13*ORÇAMENTO!$AF$11)),
         0)</f>
        <v>0</v>
      </c>
      <c r="AE395" s="454">
        <f ca="1">IF(AND($D395="Serviço",AE$12&lt;&gt;0,$H395&gt;0,OR(AUTOEVENTO&lt;&gt;"manual",$M395&lt;&gt;$A$15)),
        IF(Import.TipoArredondamento&lt;&gt;"TransfereGOV",
              ROUND(OFFSET($P395,0,AE$13),15-13*ORÇAMENTO!$AF$7)/$H395*OFFSET(ORÇAMENTO!$X$15,ROW(AE395)-ROW(AE$15),0),
              ROUND(ROUND(OFFSET($P395,0,AE$13),15-13*ORÇAMENTO!$AF$7)*OFFSET(ORÇAMENTO!$W$15,ROW(AE395)-ROW(AE$15),0),15-13*ORÇAMENTO!$AF$11)),
         0)</f>
        <v>0</v>
      </c>
      <c r="AF395" s="454">
        <f ca="1">IF(AND($D395="Serviço",AF$12&lt;&gt;0,$H395&gt;0,OR(AUTOEVENTO&lt;&gt;"manual",$M395&lt;&gt;$A$15)),
        IF(Import.TipoArredondamento&lt;&gt;"TransfereGOV",
              ROUND(OFFSET($P395,0,AF$13),15-13*ORÇAMENTO!$AF$7)/$H395*OFFSET(ORÇAMENTO!$X$15,ROW(AF395)-ROW(AF$15),0),
              ROUND(ROUND(OFFSET($P395,0,AF$13),15-13*ORÇAMENTO!$AF$7)*OFFSET(ORÇAMENTO!$W$15,ROW(AF395)-ROW(AF$15),0),15-13*ORÇAMENTO!$AF$11)),
         0)</f>
        <v>0</v>
      </c>
      <c r="AG395" s="454">
        <f ca="1">IF(AND($D395="Serviço",AG$12&lt;&gt;0,$H395&gt;0,OR(AUTOEVENTO&lt;&gt;"manual",$M395&lt;&gt;$A$15)),
        IF(Import.TipoArredondamento&lt;&gt;"TransfereGOV",
              ROUND(OFFSET($P395,0,AG$13),15-13*ORÇAMENTO!$AF$7)/$H395*OFFSET(ORÇAMENTO!$X$15,ROW(AG395)-ROW(AG$15),0),
              ROUND(ROUND(OFFSET($P395,0,AG$13),15-13*ORÇAMENTO!$AF$7)*OFFSET(ORÇAMENTO!$W$15,ROW(AG395)-ROW(AG$15),0),15-13*ORÇAMENTO!$AF$11)),
         0)</f>
        <v>0</v>
      </c>
      <c r="AH395" s="454">
        <f ca="1">IF(AND($D395="Serviço",AH$12&lt;&gt;0,$H395&gt;0,OR(AUTOEVENTO&lt;&gt;"manual",$M395&lt;&gt;$A$15)),
        IF(Import.TipoArredondamento&lt;&gt;"TransfereGOV",
              ROUND(OFFSET($P395,0,AH$13),15-13*ORÇAMENTO!$AF$7)/$H395*OFFSET(ORÇAMENTO!$X$15,ROW(AH395)-ROW(AH$15),0),
              ROUND(ROUND(OFFSET($P395,0,AH$13),15-13*ORÇAMENTO!$AF$7)*OFFSET(ORÇAMENTO!$W$15,ROW(AH395)-ROW(AH$15),0),15-13*ORÇAMENTO!$AF$11)),
         0)</f>
        <v>0</v>
      </c>
      <c r="AI395" s="454">
        <f ca="1">IF(AND($D395="Serviço",AI$12&lt;&gt;0,$H395&gt;0,OR(AUTOEVENTO&lt;&gt;"manual",$M395&lt;&gt;$A$15)),
        IF(Import.TipoArredondamento&lt;&gt;"TransfereGOV",
              ROUND(OFFSET($P395,0,AI$13),15-13*ORÇAMENTO!$AF$7)/$H395*OFFSET(ORÇAMENTO!$X$15,ROW(AI395)-ROW(AI$15),0),
              ROUND(ROUND(OFFSET($P395,0,AI$13),15-13*ORÇAMENTO!$AF$7)*OFFSET(ORÇAMENTO!$W$15,ROW(AI395)-ROW(AI$15),0),15-13*ORÇAMENTO!$AF$11)),
         0)</f>
        <v>0</v>
      </c>
      <c r="AJ395" s="454">
        <f ca="1">IF(AND($D395="Serviço",AJ$12&lt;&gt;0,$H395&gt;0,OR(AUTOEVENTO&lt;&gt;"manual",$M395&lt;&gt;$A$15)),
        IF(Import.TipoArredondamento&lt;&gt;"TransfereGOV",
              ROUND(OFFSET($P395,0,AJ$13),15-13*ORÇAMENTO!$AF$7)/$H395*OFFSET(ORÇAMENTO!$X$15,ROW(AJ395)-ROW(AJ$15),0),
              ROUND(ROUND(OFFSET($P395,0,AJ$13),15-13*ORÇAMENTO!$AF$7)*OFFSET(ORÇAMENTO!$W$15,ROW(AJ395)-ROW(AJ$15),0),15-13*ORÇAMENTO!$AF$11)),
         0)</f>
        <v>0</v>
      </c>
      <c r="AK395" s="454">
        <f ca="1">IF(AND($D395="Serviço",AK$12&lt;&gt;0,$H395&gt;0,OR(AUTOEVENTO&lt;&gt;"manual",$M395&lt;&gt;$A$15)),
        IF(Import.TipoArredondamento&lt;&gt;"TransfereGOV",
              ROUND(OFFSET($P395,0,AK$13),15-13*ORÇAMENTO!$AF$7)/$H395*OFFSET(ORÇAMENTO!$X$15,ROW(AK395)-ROW(AK$15),0),
              ROUND(ROUND(OFFSET($P395,0,AK$13),15-13*ORÇAMENTO!$AF$7)*OFFSET(ORÇAMENTO!$W$15,ROW(AK395)-ROW(AK$15),0),15-13*ORÇAMENTO!$AF$11)),
         0)</f>
        <v>0</v>
      </c>
      <c r="AM395" s="172">
        <f ca="1">IF(OR($D395&lt;&gt;"Serviço",AND(AUTOEVENTO="Manual",$M395=$A$15)),0,
         IF(OFFSET(CRONOPLE!$F$15,$M395-$A$15,AM$13)="",10^12,OFFSET(CRONOPLE!$F$15,$M395-$A$15,AM$13)))</f>
        <v>1000000000000</v>
      </c>
      <c r="AN395" s="172">
        <f ca="1">IF(OR($D395&lt;&gt;"Serviço",AND(AUTOEVENTO="Manual",$M395=$A$15)),0,
         IF(OFFSET(CRONOPLE!$F$15,$M395-$A$15,AN$13)="",10^12,OFFSET(CRONOPLE!$F$15,$M395-$A$15,AN$13)))</f>
        <v>1000000000000</v>
      </c>
      <c r="AO395" s="172">
        <f ca="1">IF(OR($D395&lt;&gt;"Serviço",AND(AUTOEVENTO="Manual",$M395=$A$15)),0,
         IF(OFFSET(CRONOPLE!$F$15,$M395-$A$15,AO$13)="",10^12,OFFSET(CRONOPLE!$F$15,$M395-$A$15,AO$13)))</f>
        <v>1000000000000</v>
      </c>
      <c r="AP395" s="172">
        <f ca="1">IF(OR($D395&lt;&gt;"Serviço",AND(AUTOEVENTO="Manual",$M395=$A$15)),0,
         IF(OFFSET(CRONOPLE!$F$15,$M395-$A$15,AP$13)="",10^12,OFFSET(CRONOPLE!$F$15,$M395-$A$15,AP$13)))</f>
        <v>1000000000000</v>
      </c>
      <c r="AQ395" s="172">
        <f ca="1">IF(OR($D395&lt;&gt;"Serviço",AND(AUTOEVENTO="Manual",$M395=$A$15)),0,
         IF(OFFSET(CRONOPLE!$F$15,$M395-$A$15,AQ$13)="",10^12,OFFSET(CRONOPLE!$F$15,$M395-$A$15,AQ$13)))</f>
        <v>1000000000000</v>
      </c>
      <c r="AR395" s="172">
        <f ca="1">IF(OR($D395&lt;&gt;"Serviço",AND(AUTOEVENTO="Manual",$M395=$A$15)),0,
         IF(OFFSET(CRONOPLE!$F$15,$M395-$A$15,AR$13)="",10^12,OFFSET(CRONOPLE!$F$15,$M395-$A$15,AR$13)))</f>
        <v>1000000000000</v>
      </c>
      <c r="AS395" s="172">
        <f ca="1">IF(OR($D395&lt;&gt;"Serviço",AND(AUTOEVENTO="Manual",$M395=$A$15)),0,
         IF(OFFSET(CRONOPLE!$F$15,$M395-$A$15,AS$13)="",10^12,OFFSET(CRONOPLE!$F$15,$M395-$A$15,AS$13)))</f>
        <v>1000000000000</v>
      </c>
      <c r="AT395" s="172">
        <f ca="1">IF(OR($D395&lt;&gt;"Serviço",AND(AUTOEVENTO="Manual",$M395=$A$15)),0,
         IF(OFFSET(CRONOPLE!$F$15,$M395-$A$15,AT$13)="",10^12,OFFSET(CRONOPLE!$F$15,$M395-$A$15,AT$13)))</f>
        <v>1000000000000</v>
      </c>
      <c r="AU395" s="172">
        <f ca="1">IF(OR($D395&lt;&gt;"Serviço",AND(AUTOEVENTO="Manual",$M395=$A$15)),0,
         IF(OFFSET(CRONOPLE!$F$15,$M395-$A$15,AU$13)="",10^12,OFFSET(CRONOPLE!$F$15,$M395-$A$15,AU$13)))</f>
        <v>1000000000000</v>
      </c>
      <c r="AV395" s="172">
        <f ca="1">IF(OR($D395&lt;&gt;"Serviço",AND(AUTOEVENTO="Manual",$M395=$A$15)),0,
         IF(OFFSET(CRONOPLE!$F$15,$M395-$A$15,AV$13)="",10^12,OFFSET(CRONOPLE!$F$15,$M395-$A$15,AV$13)))</f>
        <v>1000000000000</v>
      </c>
      <c r="AX395" s="173">
        <f ca="1">IF(OR($D395&lt;&gt;"Serviço",AND(AUTOEVENTO="Manual",$M395=$A$15),$M395&gt;(ROW(PLE.lastrow)-ROW(PLE.firstrow))),0,
           IF(OFFSET(PLE!$G$15,$M395-$A$15,AX$13)="",10^12,OFFSET(PLE!$G$15,$M395-$A$15,AX$13)))</f>
        <v>1000000000000</v>
      </c>
      <c r="AY395" s="173">
        <f ca="1">IF(OR($D395&lt;&gt;"Serviço",AND(AUTOEVENTO="Manual",$M395=$A$15),$M395&gt;(ROW(PLE.lastrow)-ROW(PLE.firstrow))),0,
           IF(OFFSET(PLE!$G$15,$M395-$A$15,AY$13)="",10^12,OFFSET(PLE!$G$15,$M395-$A$15,AY$13)))</f>
        <v>1000000000000</v>
      </c>
      <c r="AZ395" s="173">
        <f ca="1">IF(OR($D395&lt;&gt;"Serviço",AND(AUTOEVENTO="Manual",$M395=$A$15),$M395&gt;(ROW(PLE.lastrow)-ROW(PLE.firstrow))),0,
           IF(OFFSET(PLE!$G$15,$M395-$A$15,AZ$13)="",10^12,OFFSET(PLE!$G$15,$M395-$A$15,AZ$13)))</f>
        <v>1000000000000</v>
      </c>
      <c r="BA395" s="173">
        <f ca="1">IF(OR($D395&lt;&gt;"Serviço",AND(AUTOEVENTO="Manual",$M395=$A$15),$M395&gt;(ROW(PLE.lastrow)-ROW(PLE.firstrow))),0,
           IF(OFFSET(PLE!$G$15,$M395-$A$15,BA$13)="",10^12,OFFSET(PLE!$G$15,$M395-$A$15,BA$13)))</f>
        <v>1000000000000</v>
      </c>
      <c r="BB395" s="173">
        <f ca="1">IF(OR($D395&lt;&gt;"Serviço",AND(AUTOEVENTO="Manual",$M395=$A$15),$M395&gt;(ROW(PLE.lastrow)-ROW(PLE.firstrow))),0,
           IF(OFFSET(PLE!$G$15,$M395-$A$15,BB$13)="",10^12,OFFSET(PLE!$G$15,$M395-$A$15,BB$13)))</f>
        <v>1000000000000</v>
      </c>
      <c r="BC395" s="173">
        <f ca="1">IF(OR($D395&lt;&gt;"Serviço",AND(AUTOEVENTO="Manual",$M395=$A$15),$M395&gt;(ROW(PLE.lastrow)-ROW(PLE.firstrow))),0,
           IF(OFFSET(PLE!$G$15,$M395-$A$15,BC$13)="",10^12,OFFSET(PLE!$G$15,$M395-$A$15,BC$13)))</f>
        <v>1000000000000</v>
      </c>
      <c r="BD395" s="173">
        <f ca="1">IF(OR($D395&lt;&gt;"Serviço",AND(AUTOEVENTO="Manual",$M395=$A$15),$M395&gt;(ROW(PLE.lastrow)-ROW(PLE.firstrow))),0,
           IF(OFFSET(PLE!$G$15,$M395-$A$15,BD$13)="",10^12,OFFSET(PLE!$G$15,$M395-$A$15,BD$13)))</f>
        <v>1000000000000</v>
      </c>
      <c r="BE395" s="173">
        <f ca="1">IF(OR($D395&lt;&gt;"Serviço",AND(AUTOEVENTO="Manual",$M395=$A$15),$M395&gt;(ROW(PLE.lastrow)-ROW(PLE.firstrow))),0,
           IF(OFFSET(PLE!$G$15,$M395-$A$15,BE$13)="",10^12,OFFSET(PLE!$G$15,$M395-$A$15,BE$13)))</f>
        <v>1000000000000</v>
      </c>
      <c r="BF395" s="173">
        <f ca="1">IF(OR($D395&lt;&gt;"Serviço",AND(AUTOEVENTO="Manual",$M395=$A$15),$M395&gt;(ROW(PLE.lastrow)-ROW(PLE.firstrow))),0,
           IF(OFFSET(PLE!$G$15,$M395-$A$15,BF$13)="",10^12,OFFSET(PLE!$G$15,$M395-$A$15,BF$13)))</f>
        <v>1000000000000</v>
      </c>
      <c r="BG395" s="173">
        <f ca="1">IF(OR($D395&lt;&gt;"Serviço",AND(AUTOEVENTO="Manual",$M395=$A$15),$M395&gt;(ROW(PLE.lastrow)-ROW(PLE.firstrow))),0,
           IF(OFFSET(PLE!$G$15,$M395-$A$15,BG$13)="",10^12,OFFSET(PLE!$G$15,$M395-$A$15,BG$13)))</f>
        <v>1000000000000</v>
      </c>
    </row>
    <row r="396" spans="1:59" ht="63.75" x14ac:dyDescent="0.2">
      <c r="A396" s="7" t="str">
        <f t="shared" ca="1" si="13"/>
        <v>377</v>
      </c>
      <c r="B396" s="7" t="str">
        <f ca="1">OFFSET(ORÇAMENTO!C$15,ROW(B396)-ROW(B$15),0)</f>
        <v>S</v>
      </c>
      <c r="C396" s="7" t="str">
        <f ca="1">OFFSET(ORÇAMENTO!L$15,ROW(C396)-ROW(C$15),0)</f>
        <v/>
      </c>
      <c r="D396" s="117" t="str">
        <f ca="1">OFFSET(ORÇAMENTO!N$15,ROW(D396)-ROW(D$15),0)</f>
        <v>Serviço</v>
      </c>
      <c r="E396" s="118" t="str">
        <f ca="1">OFFSET(ORÇAMENTO!O$15,ROW(E396)-ROW(E$15),0)</f>
        <v>-</v>
      </c>
      <c r="F396" s="164" t="str">
        <f ca="1">OFFSET(ORÇAMENTO!R$15,ROW(F396)-ROW(F$15),0)</f>
        <v xml:space="preserve">LOCACAO DE ANDAIME METALICO TIPO FACHADEIRO, PECAS COM APROXIMADAMENTE 1,20 M DE LARGURA E 2,0 M DE ALTURA, INCLUINDO DIAGONAIS EM X, BARRAS DE LIGACAO, SAPATAS E DEMAIS ITENS NECESSARIOS A MONTAGEM (NAO INCLUI INSTALACAO)                            </v>
      </c>
      <c r="G396" s="165" t="str">
        <f ca="1">IF($D396&lt;&gt;"Serviço","",OFFSET(ORÇAMENTO!S$15,ROW(G396)-ROW(G$15),0))</f>
        <v>M2XMES</v>
      </c>
      <c r="H396" s="123">
        <f ca="1">IF($D396&lt;&gt;"Serviço",0,IF(ACOMPANHAMENTO="BM",ROUND(OFFSET(ORÇAMENTO!AJ$15,ROW(H396)-ROW(H$15),0),15-13*ORÇAMENTO!$AF$7),SUMPRODUCT(($Q$1:$AA$1=1)*ROUND($Q396:$AA396,15-13*ORÇAMENTO!$AF$7))))</f>
        <v>20</v>
      </c>
      <c r="I396" s="469"/>
      <c r="J396" s="577" t="str" cm="1">
        <f t="array" aca="1" ref="J396" ca="1">IF(B396&lt;&gt;"S","",IF(AND(ACOMPANHAMENTO="PLE",AUTOEVENTO="Manual",OR(H396&gt;0,ORÇAMENTO!AC396="QUANT."),OR(K396="",M396=0,N396="")),"►",IF(AND(ACOMPANHAMENTO="PLE",ORÇAMENTO!AC396="QUANT."),"►►",IF(AND(COUNTIF($P$11:$AA$11,"▼")=0,H396&gt;0,I396=""),"◄",""))))</f>
        <v>◄</v>
      </c>
      <c r="K396" s="626"/>
      <c r="L396" s="166" t="s">
        <v>765</v>
      </c>
      <c r="M396" s="167">
        <f ca="1">IF($D396&lt;&gt;"Serviço","",
          IF(AUTOEVENTO="manual",$A396,
                IF(ISERROR(MATCH($A396,$A$15:OFFSET($A396,-1,0),0)),MAX($M$15:OFFSET(M396,-1,0))+1,
                      INDEX($M$15:OFFSET(M396,-1,0),MATCH($A396,$A$15:OFFSET($A396,-1,0),0)))))</f>
        <v>22</v>
      </c>
      <c r="N396" s="168" t="str">
        <f ca="1">IF($D396&lt;&gt;"Serviço","",
         IF(AUTOEVENTO="Manual",
                IF($A396=0,"&lt;-- defina o número do agrupador",
                       OFFSET(EVENTOS!$D$15,$A396-$A$15,0)),
                OFFSET($F$15,$A396,0)))</f>
        <v>INSTALAÇÃO DOS MÓDULOS PRÉ-FABRICADOS NO CANTEIRO DE OBRAS</v>
      </c>
      <c r="O396" s="169"/>
      <c r="Q396" s="169"/>
      <c r="R396" s="170"/>
      <c r="S396" s="170"/>
      <c r="T396" s="170"/>
      <c r="U396" s="170"/>
      <c r="V396" s="170"/>
      <c r="W396" s="170"/>
      <c r="X396" s="170"/>
      <c r="Y396" s="170"/>
      <c r="Z396" s="171"/>
      <c r="AB396" s="454">
        <f ca="1">IF(AND($D396="Serviço",AB$12&lt;&gt;0,$H396&gt;0,OR(AUTOEVENTO&lt;&gt;"manual",$M396&lt;&gt;$A$15)),
        IF(Import.TipoArredondamento&lt;&gt;"TransfereGOV",
              ROUND(OFFSET($P396,0,AB$13),15-13*ORÇAMENTO!$AF$7)/$H396*OFFSET(ORÇAMENTO!$X$15,ROW(AB396)-ROW(AB$15),0),
              ROUND(ROUND(OFFSET($P396,0,AB$13),15-13*ORÇAMENTO!$AF$7)*OFFSET(ORÇAMENTO!$W$15,ROW(AB396)-ROW(AB$15),0),15-13*ORÇAMENTO!$AF$11)),
         0)</f>
        <v>0</v>
      </c>
      <c r="AC396" s="454">
        <f ca="1">IF(AND($D396="Serviço",AC$12&lt;&gt;0,$H396&gt;0,OR(AUTOEVENTO&lt;&gt;"manual",$M396&lt;&gt;$A$15)),
        IF(Import.TipoArredondamento&lt;&gt;"TransfereGOV",
              ROUND(OFFSET($P396,0,AC$13),15-13*ORÇAMENTO!$AF$7)/$H396*OFFSET(ORÇAMENTO!$X$15,ROW(AC396)-ROW(AC$15),0),
              ROUND(ROUND(OFFSET($P396,0,AC$13),15-13*ORÇAMENTO!$AF$7)*OFFSET(ORÇAMENTO!$W$15,ROW(AC396)-ROW(AC$15),0),15-13*ORÇAMENTO!$AF$11)),
         0)</f>
        <v>0</v>
      </c>
      <c r="AD396" s="454">
        <f ca="1">IF(AND($D396="Serviço",AD$12&lt;&gt;0,$H396&gt;0,OR(AUTOEVENTO&lt;&gt;"manual",$M396&lt;&gt;$A$15)),
        IF(Import.TipoArredondamento&lt;&gt;"TransfereGOV",
              ROUND(OFFSET($P396,0,AD$13),15-13*ORÇAMENTO!$AF$7)/$H396*OFFSET(ORÇAMENTO!$X$15,ROW(AD396)-ROW(AD$15),0),
              ROUND(ROUND(OFFSET($P396,0,AD$13),15-13*ORÇAMENTO!$AF$7)*OFFSET(ORÇAMENTO!$W$15,ROW(AD396)-ROW(AD$15),0),15-13*ORÇAMENTO!$AF$11)),
         0)</f>
        <v>0</v>
      </c>
      <c r="AE396" s="454">
        <f ca="1">IF(AND($D396="Serviço",AE$12&lt;&gt;0,$H396&gt;0,OR(AUTOEVENTO&lt;&gt;"manual",$M396&lt;&gt;$A$15)),
        IF(Import.TipoArredondamento&lt;&gt;"TransfereGOV",
              ROUND(OFFSET($P396,0,AE$13),15-13*ORÇAMENTO!$AF$7)/$H396*OFFSET(ORÇAMENTO!$X$15,ROW(AE396)-ROW(AE$15),0),
              ROUND(ROUND(OFFSET($P396,0,AE$13),15-13*ORÇAMENTO!$AF$7)*OFFSET(ORÇAMENTO!$W$15,ROW(AE396)-ROW(AE$15),0),15-13*ORÇAMENTO!$AF$11)),
         0)</f>
        <v>0</v>
      </c>
      <c r="AF396" s="454">
        <f ca="1">IF(AND($D396="Serviço",AF$12&lt;&gt;0,$H396&gt;0,OR(AUTOEVENTO&lt;&gt;"manual",$M396&lt;&gt;$A$15)),
        IF(Import.TipoArredondamento&lt;&gt;"TransfereGOV",
              ROUND(OFFSET($P396,0,AF$13),15-13*ORÇAMENTO!$AF$7)/$H396*OFFSET(ORÇAMENTO!$X$15,ROW(AF396)-ROW(AF$15),0),
              ROUND(ROUND(OFFSET($P396,0,AF$13),15-13*ORÇAMENTO!$AF$7)*OFFSET(ORÇAMENTO!$W$15,ROW(AF396)-ROW(AF$15),0),15-13*ORÇAMENTO!$AF$11)),
         0)</f>
        <v>0</v>
      </c>
      <c r="AG396" s="454">
        <f ca="1">IF(AND($D396="Serviço",AG$12&lt;&gt;0,$H396&gt;0,OR(AUTOEVENTO&lt;&gt;"manual",$M396&lt;&gt;$A$15)),
        IF(Import.TipoArredondamento&lt;&gt;"TransfereGOV",
              ROUND(OFFSET($P396,0,AG$13),15-13*ORÇAMENTO!$AF$7)/$H396*OFFSET(ORÇAMENTO!$X$15,ROW(AG396)-ROW(AG$15),0),
              ROUND(ROUND(OFFSET($P396,0,AG$13),15-13*ORÇAMENTO!$AF$7)*OFFSET(ORÇAMENTO!$W$15,ROW(AG396)-ROW(AG$15),0),15-13*ORÇAMENTO!$AF$11)),
         0)</f>
        <v>0</v>
      </c>
      <c r="AH396" s="454">
        <f ca="1">IF(AND($D396="Serviço",AH$12&lt;&gt;0,$H396&gt;0,OR(AUTOEVENTO&lt;&gt;"manual",$M396&lt;&gt;$A$15)),
        IF(Import.TipoArredondamento&lt;&gt;"TransfereGOV",
              ROUND(OFFSET($P396,0,AH$13),15-13*ORÇAMENTO!$AF$7)/$H396*OFFSET(ORÇAMENTO!$X$15,ROW(AH396)-ROW(AH$15),0),
              ROUND(ROUND(OFFSET($P396,0,AH$13),15-13*ORÇAMENTO!$AF$7)*OFFSET(ORÇAMENTO!$W$15,ROW(AH396)-ROW(AH$15),0),15-13*ORÇAMENTO!$AF$11)),
         0)</f>
        <v>0</v>
      </c>
      <c r="AI396" s="454">
        <f ca="1">IF(AND($D396="Serviço",AI$12&lt;&gt;0,$H396&gt;0,OR(AUTOEVENTO&lt;&gt;"manual",$M396&lt;&gt;$A$15)),
        IF(Import.TipoArredondamento&lt;&gt;"TransfereGOV",
              ROUND(OFFSET($P396,0,AI$13),15-13*ORÇAMENTO!$AF$7)/$H396*OFFSET(ORÇAMENTO!$X$15,ROW(AI396)-ROW(AI$15),0),
              ROUND(ROUND(OFFSET($P396,0,AI$13),15-13*ORÇAMENTO!$AF$7)*OFFSET(ORÇAMENTO!$W$15,ROW(AI396)-ROW(AI$15),0),15-13*ORÇAMENTO!$AF$11)),
         0)</f>
        <v>0</v>
      </c>
      <c r="AJ396" s="454">
        <f ca="1">IF(AND($D396="Serviço",AJ$12&lt;&gt;0,$H396&gt;0,OR(AUTOEVENTO&lt;&gt;"manual",$M396&lt;&gt;$A$15)),
        IF(Import.TipoArredondamento&lt;&gt;"TransfereGOV",
              ROUND(OFFSET($P396,0,AJ$13),15-13*ORÇAMENTO!$AF$7)/$H396*OFFSET(ORÇAMENTO!$X$15,ROW(AJ396)-ROW(AJ$15),0),
              ROUND(ROUND(OFFSET($P396,0,AJ$13),15-13*ORÇAMENTO!$AF$7)*OFFSET(ORÇAMENTO!$W$15,ROW(AJ396)-ROW(AJ$15),0),15-13*ORÇAMENTO!$AF$11)),
         0)</f>
        <v>0</v>
      </c>
      <c r="AK396" s="454">
        <f ca="1">IF(AND($D396="Serviço",AK$12&lt;&gt;0,$H396&gt;0,OR(AUTOEVENTO&lt;&gt;"manual",$M396&lt;&gt;$A$15)),
        IF(Import.TipoArredondamento&lt;&gt;"TransfereGOV",
              ROUND(OFFSET($P396,0,AK$13),15-13*ORÇAMENTO!$AF$7)/$H396*OFFSET(ORÇAMENTO!$X$15,ROW(AK396)-ROW(AK$15),0),
              ROUND(ROUND(OFFSET($P396,0,AK$13),15-13*ORÇAMENTO!$AF$7)*OFFSET(ORÇAMENTO!$W$15,ROW(AK396)-ROW(AK$15),0),15-13*ORÇAMENTO!$AF$11)),
         0)</f>
        <v>0</v>
      </c>
      <c r="AM396" s="172">
        <f ca="1">IF(OR($D396&lt;&gt;"Serviço",AND(AUTOEVENTO="Manual",$M396=$A$15)),0,
         IF(OFFSET(CRONOPLE!$F$15,$M396-$A$15,AM$13)="",10^12,OFFSET(CRONOPLE!$F$15,$M396-$A$15,AM$13)))</f>
        <v>1000000000000</v>
      </c>
      <c r="AN396" s="172">
        <f ca="1">IF(OR($D396&lt;&gt;"Serviço",AND(AUTOEVENTO="Manual",$M396=$A$15)),0,
         IF(OFFSET(CRONOPLE!$F$15,$M396-$A$15,AN$13)="",10^12,OFFSET(CRONOPLE!$F$15,$M396-$A$15,AN$13)))</f>
        <v>1000000000000</v>
      </c>
      <c r="AO396" s="172">
        <f ca="1">IF(OR($D396&lt;&gt;"Serviço",AND(AUTOEVENTO="Manual",$M396=$A$15)),0,
         IF(OFFSET(CRONOPLE!$F$15,$M396-$A$15,AO$13)="",10^12,OFFSET(CRONOPLE!$F$15,$M396-$A$15,AO$13)))</f>
        <v>1000000000000</v>
      </c>
      <c r="AP396" s="172">
        <f ca="1">IF(OR($D396&lt;&gt;"Serviço",AND(AUTOEVENTO="Manual",$M396=$A$15)),0,
         IF(OFFSET(CRONOPLE!$F$15,$M396-$A$15,AP$13)="",10^12,OFFSET(CRONOPLE!$F$15,$M396-$A$15,AP$13)))</f>
        <v>1000000000000</v>
      </c>
      <c r="AQ396" s="172">
        <f ca="1">IF(OR($D396&lt;&gt;"Serviço",AND(AUTOEVENTO="Manual",$M396=$A$15)),0,
         IF(OFFSET(CRONOPLE!$F$15,$M396-$A$15,AQ$13)="",10^12,OFFSET(CRONOPLE!$F$15,$M396-$A$15,AQ$13)))</f>
        <v>1000000000000</v>
      </c>
      <c r="AR396" s="172">
        <f ca="1">IF(OR($D396&lt;&gt;"Serviço",AND(AUTOEVENTO="Manual",$M396=$A$15)),0,
         IF(OFFSET(CRONOPLE!$F$15,$M396-$A$15,AR$13)="",10^12,OFFSET(CRONOPLE!$F$15,$M396-$A$15,AR$13)))</f>
        <v>1000000000000</v>
      </c>
      <c r="AS396" s="172">
        <f ca="1">IF(OR($D396&lt;&gt;"Serviço",AND(AUTOEVENTO="Manual",$M396=$A$15)),0,
         IF(OFFSET(CRONOPLE!$F$15,$M396-$A$15,AS$13)="",10^12,OFFSET(CRONOPLE!$F$15,$M396-$A$15,AS$13)))</f>
        <v>1000000000000</v>
      </c>
      <c r="AT396" s="172">
        <f ca="1">IF(OR($D396&lt;&gt;"Serviço",AND(AUTOEVENTO="Manual",$M396=$A$15)),0,
         IF(OFFSET(CRONOPLE!$F$15,$M396-$A$15,AT$13)="",10^12,OFFSET(CRONOPLE!$F$15,$M396-$A$15,AT$13)))</f>
        <v>1000000000000</v>
      </c>
      <c r="AU396" s="172">
        <f ca="1">IF(OR($D396&lt;&gt;"Serviço",AND(AUTOEVENTO="Manual",$M396=$A$15)),0,
         IF(OFFSET(CRONOPLE!$F$15,$M396-$A$15,AU$13)="",10^12,OFFSET(CRONOPLE!$F$15,$M396-$A$15,AU$13)))</f>
        <v>1000000000000</v>
      </c>
      <c r="AV396" s="172">
        <f ca="1">IF(OR($D396&lt;&gt;"Serviço",AND(AUTOEVENTO="Manual",$M396=$A$15)),0,
         IF(OFFSET(CRONOPLE!$F$15,$M396-$A$15,AV$13)="",10^12,OFFSET(CRONOPLE!$F$15,$M396-$A$15,AV$13)))</f>
        <v>1000000000000</v>
      </c>
      <c r="AX396" s="173">
        <f ca="1">IF(OR($D396&lt;&gt;"Serviço",AND(AUTOEVENTO="Manual",$M396=$A$15),$M396&gt;(ROW(PLE.lastrow)-ROW(PLE.firstrow))),0,
           IF(OFFSET(PLE!$G$15,$M396-$A$15,AX$13)="",10^12,OFFSET(PLE!$G$15,$M396-$A$15,AX$13)))</f>
        <v>1000000000000</v>
      </c>
      <c r="AY396" s="173">
        <f ca="1">IF(OR($D396&lt;&gt;"Serviço",AND(AUTOEVENTO="Manual",$M396=$A$15),$M396&gt;(ROW(PLE.lastrow)-ROW(PLE.firstrow))),0,
           IF(OFFSET(PLE!$G$15,$M396-$A$15,AY$13)="",10^12,OFFSET(PLE!$G$15,$M396-$A$15,AY$13)))</f>
        <v>1000000000000</v>
      </c>
      <c r="AZ396" s="173">
        <f ca="1">IF(OR($D396&lt;&gt;"Serviço",AND(AUTOEVENTO="Manual",$M396=$A$15),$M396&gt;(ROW(PLE.lastrow)-ROW(PLE.firstrow))),0,
           IF(OFFSET(PLE!$G$15,$M396-$A$15,AZ$13)="",10^12,OFFSET(PLE!$G$15,$M396-$A$15,AZ$13)))</f>
        <v>1000000000000</v>
      </c>
      <c r="BA396" s="173">
        <f ca="1">IF(OR($D396&lt;&gt;"Serviço",AND(AUTOEVENTO="Manual",$M396=$A$15),$M396&gt;(ROW(PLE.lastrow)-ROW(PLE.firstrow))),0,
           IF(OFFSET(PLE!$G$15,$M396-$A$15,BA$13)="",10^12,OFFSET(PLE!$G$15,$M396-$A$15,BA$13)))</f>
        <v>1000000000000</v>
      </c>
      <c r="BB396" s="173">
        <f ca="1">IF(OR($D396&lt;&gt;"Serviço",AND(AUTOEVENTO="Manual",$M396=$A$15),$M396&gt;(ROW(PLE.lastrow)-ROW(PLE.firstrow))),0,
           IF(OFFSET(PLE!$G$15,$M396-$A$15,BB$13)="",10^12,OFFSET(PLE!$G$15,$M396-$A$15,BB$13)))</f>
        <v>1000000000000</v>
      </c>
      <c r="BC396" s="173">
        <f ca="1">IF(OR($D396&lt;&gt;"Serviço",AND(AUTOEVENTO="Manual",$M396=$A$15),$M396&gt;(ROW(PLE.lastrow)-ROW(PLE.firstrow))),0,
           IF(OFFSET(PLE!$G$15,$M396-$A$15,BC$13)="",10^12,OFFSET(PLE!$G$15,$M396-$A$15,BC$13)))</f>
        <v>1000000000000</v>
      </c>
      <c r="BD396" s="173">
        <f ca="1">IF(OR($D396&lt;&gt;"Serviço",AND(AUTOEVENTO="Manual",$M396=$A$15),$M396&gt;(ROW(PLE.lastrow)-ROW(PLE.firstrow))),0,
           IF(OFFSET(PLE!$G$15,$M396-$A$15,BD$13)="",10^12,OFFSET(PLE!$G$15,$M396-$A$15,BD$13)))</f>
        <v>1000000000000</v>
      </c>
      <c r="BE396" s="173">
        <f ca="1">IF(OR($D396&lt;&gt;"Serviço",AND(AUTOEVENTO="Manual",$M396=$A$15),$M396&gt;(ROW(PLE.lastrow)-ROW(PLE.firstrow))),0,
           IF(OFFSET(PLE!$G$15,$M396-$A$15,BE$13)="",10^12,OFFSET(PLE!$G$15,$M396-$A$15,BE$13)))</f>
        <v>1000000000000</v>
      </c>
      <c r="BF396" s="173">
        <f ca="1">IF(OR($D396&lt;&gt;"Serviço",AND(AUTOEVENTO="Manual",$M396=$A$15),$M396&gt;(ROW(PLE.lastrow)-ROW(PLE.firstrow))),0,
           IF(OFFSET(PLE!$G$15,$M396-$A$15,BF$13)="",10^12,OFFSET(PLE!$G$15,$M396-$A$15,BF$13)))</f>
        <v>1000000000000</v>
      </c>
      <c r="BG396" s="173">
        <f ca="1">IF(OR($D396&lt;&gt;"Serviço",AND(AUTOEVENTO="Manual",$M396=$A$15),$M396&gt;(ROW(PLE.lastrow)-ROW(PLE.firstrow))),0,
           IF(OFFSET(PLE!$G$15,$M396-$A$15,BG$13)="",10^12,OFFSET(PLE!$G$15,$M396-$A$15,BG$13)))</f>
        <v>1000000000000</v>
      </c>
    </row>
    <row r="397" spans="1:59" ht="38.25" x14ac:dyDescent="0.2">
      <c r="A397" s="7" t="str">
        <f t="shared" ca="1" si="13"/>
        <v>377</v>
      </c>
      <c r="B397" s="7" t="str">
        <f ca="1">OFFSET(ORÇAMENTO!C$15,ROW(B397)-ROW(B$15),0)</f>
        <v>S</v>
      </c>
      <c r="C397" s="7" t="str">
        <f ca="1">OFFSET(ORÇAMENTO!L$15,ROW(C397)-ROW(C$15),0)</f>
        <v/>
      </c>
      <c r="D397" s="117" t="str">
        <f ca="1">OFFSET(ORÇAMENTO!N$15,ROW(D397)-ROW(D$15),0)</f>
        <v>Serviço</v>
      </c>
      <c r="E397" s="118" t="str">
        <f ca="1">OFFSET(ORÇAMENTO!O$15,ROW(E397)-ROW(E$15),0)</f>
        <v>-</v>
      </c>
      <c r="F397" s="164" t="str">
        <f ca="1">OFFSET(ORÇAMENTO!R$15,ROW(F397)-ROW(F$15),0)</f>
        <v>MONTAGEM E DESMONTAGEM DE ANDAIME MULTIDIRECIONAL (EXCLUSIVE ANDAIME E LIMPEZA). AF_03/2024</v>
      </c>
      <c r="G397" s="165" t="str">
        <f ca="1">IF($D397&lt;&gt;"Serviço","",OFFSET(ORÇAMENTO!S$15,ROW(G397)-ROW(G$15),0))</f>
        <v>M3</v>
      </c>
      <c r="H397" s="123">
        <f ca="1">IF($D397&lt;&gt;"Serviço",0,IF(ACOMPANHAMENTO="BM",ROUND(OFFSET(ORÇAMENTO!AJ$15,ROW(H397)-ROW(H$15),0),15-13*ORÇAMENTO!$AF$7),SUMPRODUCT(($Q$1:$AA$1=1)*ROUND($Q397:$AA397,15-13*ORÇAMENTO!$AF$7))))</f>
        <v>20</v>
      </c>
      <c r="I397" s="469"/>
      <c r="J397" s="577" t="str" cm="1">
        <f t="array" aca="1" ref="J397" ca="1">IF(B397&lt;&gt;"S","",IF(AND(ACOMPANHAMENTO="PLE",AUTOEVENTO="Manual",OR(H397&gt;0,ORÇAMENTO!AC397="QUANT."),OR(K397="",M397=0,N397="")),"►",IF(AND(ACOMPANHAMENTO="PLE",ORÇAMENTO!AC397="QUANT."),"►►",IF(AND(COUNTIF($P$11:$AA$11,"▼")=0,H397&gt;0,I397=""),"◄",""))))</f>
        <v>◄</v>
      </c>
      <c r="K397" s="626"/>
      <c r="L397" s="166" t="s">
        <v>765</v>
      </c>
      <c r="M397" s="167">
        <f ca="1">IF($D397&lt;&gt;"Serviço","",
          IF(AUTOEVENTO="manual",$A397,
                IF(ISERROR(MATCH($A397,$A$15:OFFSET($A397,-1,0),0)),MAX($M$15:OFFSET(M397,-1,0))+1,
                      INDEX($M$15:OFFSET(M397,-1,0),MATCH($A397,$A$15:OFFSET($A397,-1,0),0)))))</f>
        <v>22</v>
      </c>
      <c r="N397" s="168" t="str">
        <f ca="1">IF($D397&lt;&gt;"Serviço","",
         IF(AUTOEVENTO="Manual",
                IF($A397=0,"&lt;-- defina o número do agrupador",
                       OFFSET(EVENTOS!$D$15,$A397-$A$15,0)),
                OFFSET($F$15,$A397,0)))</f>
        <v>INSTALAÇÃO DOS MÓDULOS PRÉ-FABRICADOS NO CANTEIRO DE OBRAS</v>
      </c>
      <c r="O397" s="169"/>
      <c r="Q397" s="169"/>
      <c r="R397" s="170"/>
      <c r="S397" s="170"/>
      <c r="T397" s="170"/>
      <c r="U397" s="170"/>
      <c r="V397" s="170"/>
      <c r="W397" s="170"/>
      <c r="X397" s="170"/>
      <c r="Y397" s="170"/>
      <c r="Z397" s="171"/>
      <c r="AB397" s="454">
        <f ca="1">IF(AND($D397="Serviço",AB$12&lt;&gt;0,$H397&gt;0,OR(AUTOEVENTO&lt;&gt;"manual",$M397&lt;&gt;$A$15)),
        IF(Import.TipoArredondamento&lt;&gt;"TransfereGOV",
              ROUND(OFFSET($P397,0,AB$13),15-13*ORÇAMENTO!$AF$7)/$H397*OFFSET(ORÇAMENTO!$X$15,ROW(AB397)-ROW(AB$15),0),
              ROUND(ROUND(OFFSET($P397,0,AB$13),15-13*ORÇAMENTO!$AF$7)*OFFSET(ORÇAMENTO!$W$15,ROW(AB397)-ROW(AB$15),0),15-13*ORÇAMENTO!$AF$11)),
         0)</f>
        <v>0</v>
      </c>
      <c r="AC397" s="454">
        <f ca="1">IF(AND($D397="Serviço",AC$12&lt;&gt;0,$H397&gt;0,OR(AUTOEVENTO&lt;&gt;"manual",$M397&lt;&gt;$A$15)),
        IF(Import.TipoArredondamento&lt;&gt;"TransfereGOV",
              ROUND(OFFSET($P397,0,AC$13),15-13*ORÇAMENTO!$AF$7)/$H397*OFFSET(ORÇAMENTO!$X$15,ROW(AC397)-ROW(AC$15),0),
              ROUND(ROUND(OFFSET($P397,0,AC$13),15-13*ORÇAMENTO!$AF$7)*OFFSET(ORÇAMENTO!$W$15,ROW(AC397)-ROW(AC$15),0),15-13*ORÇAMENTO!$AF$11)),
         0)</f>
        <v>0</v>
      </c>
      <c r="AD397" s="454">
        <f ca="1">IF(AND($D397="Serviço",AD$12&lt;&gt;0,$H397&gt;0,OR(AUTOEVENTO&lt;&gt;"manual",$M397&lt;&gt;$A$15)),
        IF(Import.TipoArredondamento&lt;&gt;"TransfereGOV",
              ROUND(OFFSET($P397,0,AD$13),15-13*ORÇAMENTO!$AF$7)/$H397*OFFSET(ORÇAMENTO!$X$15,ROW(AD397)-ROW(AD$15),0),
              ROUND(ROUND(OFFSET($P397,0,AD$13),15-13*ORÇAMENTO!$AF$7)*OFFSET(ORÇAMENTO!$W$15,ROW(AD397)-ROW(AD$15),0),15-13*ORÇAMENTO!$AF$11)),
         0)</f>
        <v>0</v>
      </c>
      <c r="AE397" s="454">
        <f ca="1">IF(AND($D397="Serviço",AE$12&lt;&gt;0,$H397&gt;0,OR(AUTOEVENTO&lt;&gt;"manual",$M397&lt;&gt;$A$15)),
        IF(Import.TipoArredondamento&lt;&gt;"TransfereGOV",
              ROUND(OFFSET($P397,0,AE$13),15-13*ORÇAMENTO!$AF$7)/$H397*OFFSET(ORÇAMENTO!$X$15,ROW(AE397)-ROW(AE$15),0),
              ROUND(ROUND(OFFSET($P397,0,AE$13),15-13*ORÇAMENTO!$AF$7)*OFFSET(ORÇAMENTO!$W$15,ROW(AE397)-ROW(AE$15),0),15-13*ORÇAMENTO!$AF$11)),
         0)</f>
        <v>0</v>
      </c>
      <c r="AF397" s="454">
        <f ca="1">IF(AND($D397="Serviço",AF$12&lt;&gt;0,$H397&gt;0,OR(AUTOEVENTO&lt;&gt;"manual",$M397&lt;&gt;$A$15)),
        IF(Import.TipoArredondamento&lt;&gt;"TransfereGOV",
              ROUND(OFFSET($P397,0,AF$13),15-13*ORÇAMENTO!$AF$7)/$H397*OFFSET(ORÇAMENTO!$X$15,ROW(AF397)-ROW(AF$15),0),
              ROUND(ROUND(OFFSET($P397,0,AF$13),15-13*ORÇAMENTO!$AF$7)*OFFSET(ORÇAMENTO!$W$15,ROW(AF397)-ROW(AF$15),0),15-13*ORÇAMENTO!$AF$11)),
         0)</f>
        <v>0</v>
      </c>
      <c r="AG397" s="454">
        <f ca="1">IF(AND($D397="Serviço",AG$12&lt;&gt;0,$H397&gt;0,OR(AUTOEVENTO&lt;&gt;"manual",$M397&lt;&gt;$A$15)),
        IF(Import.TipoArredondamento&lt;&gt;"TransfereGOV",
              ROUND(OFFSET($P397,0,AG$13),15-13*ORÇAMENTO!$AF$7)/$H397*OFFSET(ORÇAMENTO!$X$15,ROW(AG397)-ROW(AG$15),0),
              ROUND(ROUND(OFFSET($P397,0,AG$13),15-13*ORÇAMENTO!$AF$7)*OFFSET(ORÇAMENTO!$W$15,ROW(AG397)-ROW(AG$15),0),15-13*ORÇAMENTO!$AF$11)),
         0)</f>
        <v>0</v>
      </c>
      <c r="AH397" s="454">
        <f ca="1">IF(AND($D397="Serviço",AH$12&lt;&gt;0,$H397&gt;0,OR(AUTOEVENTO&lt;&gt;"manual",$M397&lt;&gt;$A$15)),
        IF(Import.TipoArredondamento&lt;&gt;"TransfereGOV",
              ROUND(OFFSET($P397,0,AH$13),15-13*ORÇAMENTO!$AF$7)/$H397*OFFSET(ORÇAMENTO!$X$15,ROW(AH397)-ROW(AH$15),0),
              ROUND(ROUND(OFFSET($P397,0,AH$13),15-13*ORÇAMENTO!$AF$7)*OFFSET(ORÇAMENTO!$W$15,ROW(AH397)-ROW(AH$15),0),15-13*ORÇAMENTO!$AF$11)),
         0)</f>
        <v>0</v>
      </c>
      <c r="AI397" s="454">
        <f ca="1">IF(AND($D397="Serviço",AI$12&lt;&gt;0,$H397&gt;0,OR(AUTOEVENTO&lt;&gt;"manual",$M397&lt;&gt;$A$15)),
        IF(Import.TipoArredondamento&lt;&gt;"TransfereGOV",
              ROUND(OFFSET($P397,0,AI$13),15-13*ORÇAMENTO!$AF$7)/$H397*OFFSET(ORÇAMENTO!$X$15,ROW(AI397)-ROW(AI$15),0),
              ROUND(ROUND(OFFSET($P397,0,AI$13),15-13*ORÇAMENTO!$AF$7)*OFFSET(ORÇAMENTO!$W$15,ROW(AI397)-ROW(AI$15),0),15-13*ORÇAMENTO!$AF$11)),
         0)</f>
        <v>0</v>
      </c>
      <c r="AJ397" s="454">
        <f ca="1">IF(AND($D397="Serviço",AJ$12&lt;&gt;0,$H397&gt;0,OR(AUTOEVENTO&lt;&gt;"manual",$M397&lt;&gt;$A$15)),
        IF(Import.TipoArredondamento&lt;&gt;"TransfereGOV",
              ROUND(OFFSET($P397,0,AJ$13),15-13*ORÇAMENTO!$AF$7)/$H397*OFFSET(ORÇAMENTO!$X$15,ROW(AJ397)-ROW(AJ$15),0),
              ROUND(ROUND(OFFSET($P397,0,AJ$13),15-13*ORÇAMENTO!$AF$7)*OFFSET(ORÇAMENTO!$W$15,ROW(AJ397)-ROW(AJ$15),0),15-13*ORÇAMENTO!$AF$11)),
         0)</f>
        <v>0</v>
      </c>
      <c r="AK397" s="454">
        <f ca="1">IF(AND($D397="Serviço",AK$12&lt;&gt;0,$H397&gt;0,OR(AUTOEVENTO&lt;&gt;"manual",$M397&lt;&gt;$A$15)),
        IF(Import.TipoArredondamento&lt;&gt;"TransfereGOV",
              ROUND(OFFSET($P397,0,AK$13),15-13*ORÇAMENTO!$AF$7)/$H397*OFFSET(ORÇAMENTO!$X$15,ROW(AK397)-ROW(AK$15),0),
              ROUND(ROUND(OFFSET($P397,0,AK$13),15-13*ORÇAMENTO!$AF$7)*OFFSET(ORÇAMENTO!$W$15,ROW(AK397)-ROW(AK$15),0),15-13*ORÇAMENTO!$AF$11)),
         0)</f>
        <v>0</v>
      </c>
      <c r="AM397" s="172">
        <f ca="1">IF(OR($D397&lt;&gt;"Serviço",AND(AUTOEVENTO="Manual",$M397=$A$15)),0,
         IF(OFFSET(CRONOPLE!$F$15,$M397-$A$15,AM$13)="",10^12,OFFSET(CRONOPLE!$F$15,$M397-$A$15,AM$13)))</f>
        <v>1000000000000</v>
      </c>
      <c r="AN397" s="172">
        <f ca="1">IF(OR($D397&lt;&gt;"Serviço",AND(AUTOEVENTO="Manual",$M397=$A$15)),0,
         IF(OFFSET(CRONOPLE!$F$15,$M397-$A$15,AN$13)="",10^12,OFFSET(CRONOPLE!$F$15,$M397-$A$15,AN$13)))</f>
        <v>1000000000000</v>
      </c>
      <c r="AO397" s="172">
        <f ca="1">IF(OR($D397&lt;&gt;"Serviço",AND(AUTOEVENTO="Manual",$M397=$A$15)),0,
         IF(OFFSET(CRONOPLE!$F$15,$M397-$A$15,AO$13)="",10^12,OFFSET(CRONOPLE!$F$15,$M397-$A$15,AO$13)))</f>
        <v>1000000000000</v>
      </c>
      <c r="AP397" s="172">
        <f ca="1">IF(OR($D397&lt;&gt;"Serviço",AND(AUTOEVENTO="Manual",$M397=$A$15)),0,
         IF(OFFSET(CRONOPLE!$F$15,$M397-$A$15,AP$13)="",10^12,OFFSET(CRONOPLE!$F$15,$M397-$A$15,AP$13)))</f>
        <v>1000000000000</v>
      </c>
      <c r="AQ397" s="172">
        <f ca="1">IF(OR($D397&lt;&gt;"Serviço",AND(AUTOEVENTO="Manual",$M397=$A$15)),0,
         IF(OFFSET(CRONOPLE!$F$15,$M397-$A$15,AQ$13)="",10^12,OFFSET(CRONOPLE!$F$15,$M397-$A$15,AQ$13)))</f>
        <v>1000000000000</v>
      </c>
      <c r="AR397" s="172">
        <f ca="1">IF(OR($D397&lt;&gt;"Serviço",AND(AUTOEVENTO="Manual",$M397=$A$15)),0,
         IF(OFFSET(CRONOPLE!$F$15,$M397-$A$15,AR$13)="",10^12,OFFSET(CRONOPLE!$F$15,$M397-$A$15,AR$13)))</f>
        <v>1000000000000</v>
      </c>
      <c r="AS397" s="172">
        <f ca="1">IF(OR($D397&lt;&gt;"Serviço",AND(AUTOEVENTO="Manual",$M397=$A$15)),0,
         IF(OFFSET(CRONOPLE!$F$15,$M397-$A$15,AS$13)="",10^12,OFFSET(CRONOPLE!$F$15,$M397-$A$15,AS$13)))</f>
        <v>1000000000000</v>
      </c>
      <c r="AT397" s="172">
        <f ca="1">IF(OR($D397&lt;&gt;"Serviço",AND(AUTOEVENTO="Manual",$M397=$A$15)),0,
         IF(OFFSET(CRONOPLE!$F$15,$M397-$A$15,AT$13)="",10^12,OFFSET(CRONOPLE!$F$15,$M397-$A$15,AT$13)))</f>
        <v>1000000000000</v>
      </c>
      <c r="AU397" s="172">
        <f ca="1">IF(OR($D397&lt;&gt;"Serviço",AND(AUTOEVENTO="Manual",$M397=$A$15)),0,
         IF(OFFSET(CRONOPLE!$F$15,$M397-$A$15,AU$13)="",10^12,OFFSET(CRONOPLE!$F$15,$M397-$A$15,AU$13)))</f>
        <v>1000000000000</v>
      </c>
      <c r="AV397" s="172">
        <f ca="1">IF(OR($D397&lt;&gt;"Serviço",AND(AUTOEVENTO="Manual",$M397=$A$15)),0,
         IF(OFFSET(CRONOPLE!$F$15,$M397-$A$15,AV$13)="",10^12,OFFSET(CRONOPLE!$F$15,$M397-$A$15,AV$13)))</f>
        <v>1000000000000</v>
      </c>
      <c r="AX397" s="173">
        <f ca="1">IF(OR($D397&lt;&gt;"Serviço",AND(AUTOEVENTO="Manual",$M397=$A$15),$M397&gt;(ROW(PLE.lastrow)-ROW(PLE.firstrow))),0,
           IF(OFFSET(PLE!$G$15,$M397-$A$15,AX$13)="",10^12,OFFSET(PLE!$G$15,$M397-$A$15,AX$13)))</f>
        <v>1000000000000</v>
      </c>
      <c r="AY397" s="173">
        <f ca="1">IF(OR($D397&lt;&gt;"Serviço",AND(AUTOEVENTO="Manual",$M397=$A$15),$M397&gt;(ROW(PLE.lastrow)-ROW(PLE.firstrow))),0,
           IF(OFFSET(PLE!$G$15,$M397-$A$15,AY$13)="",10^12,OFFSET(PLE!$G$15,$M397-$A$15,AY$13)))</f>
        <v>1000000000000</v>
      </c>
      <c r="AZ397" s="173">
        <f ca="1">IF(OR($D397&lt;&gt;"Serviço",AND(AUTOEVENTO="Manual",$M397=$A$15),$M397&gt;(ROW(PLE.lastrow)-ROW(PLE.firstrow))),0,
           IF(OFFSET(PLE!$G$15,$M397-$A$15,AZ$13)="",10^12,OFFSET(PLE!$G$15,$M397-$A$15,AZ$13)))</f>
        <v>1000000000000</v>
      </c>
      <c r="BA397" s="173">
        <f ca="1">IF(OR($D397&lt;&gt;"Serviço",AND(AUTOEVENTO="Manual",$M397=$A$15),$M397&gt;(ROW(PLE.lastrow)-ROW(PLE.firstrow))),0,
           IF(OFFSET(PLE!$G$15,$M397-$A$15,BA$13)="",10^12,OFFSET(PLE!$G$15,$M397-$A$15,BA$13)))</f>
        <v>1000000000000</v>
      </c>
      <c r="BB397" s="173">
        <f ca="1">IF(OR($D397&lt;&gt;"Serviço",AND(AUTOEVENTO="Manual",$M397=$A$15),$M397&gt;(ROW(PLE.lastrow)-ROW(PLE.firstrow))),0,
           IF(OFFSET(PLE!$G$15,$M397-$A$15,BB$13)="",10^12,OFFSET(PLE!$G$15,$M397-$A$15,BB$13)))</f>
        <v>1000000000000</v>
      </c>
      <c r="BC397" s="173">
        <f ca="1">IF(OR($D397&lt;&gt;"Serviço",AND(AUTOEVENTO="Manual",$M397=$A$15),$M397&gt;(ROW(PLE.lastrow)-ROW(PLE.firstrow))),0,
           IF(OFFSET(PLE!$G$15,$M397-$A$15,BC$13)="",10^12,OFFSET(PLE!$G$15,$M397-$A$15,BC$13)))</f>
        <v>1000000000000</v>
      </c>
      <c r="BD397" s="173">
        <f ca="1">IF(OR($D397&lt;&gt;"Serviço",AND(AUTOEVENTO="Manual",$M397=$A$15),$M397&gt;(ROW(PLE.lastrow)-ROW(PLE.firstrow))),0,
           IF(OFFSET(PLE!$G$15,$M397-$A$15,BD$13)="",10^12,OFFSET(PLE!$G$15,$M397-$A$15,BD$13)))</f>
        <v>1000000000000</v>
      </c>
      <c r="BE397" s="173">
        <f ca="1">IF(OR($D397&lt;&gt;"Serviço",AND(AUTOEVENTO="Manual",$M397=$A$15),$M397&gt;(ROW(PLE.lastrow)-ROW(PLE.firstrow))),0,
           IF(OFFSET(PLE!$G$15,$M397-$A$15,BE$13)="",10^12,OFFSET(PLE!$G$15,$M397-$A$15,BE$13)))</f>
        <v>1000000000000</v>
      </c>
      <c r="BF397" s="173">
        <f ca="1">IF(OR($D397&lt;&gt;"Serviço",AND(AUTOEVENTO="Manual",$M397=$A$15),$M397&gt;(ROW(PLE.lastrow)-ROW(PLE.firstrow))),0,
           IF(OFFSET(PLE!$G$15,$M397-$A$15,BF$13)="",10^12,OFFSET(PLE!$G$15,$M397-$A$15,BF$13)))</f>
        <v>1000000000000</v>
      </c>
      <c r="BG397" s="173">
        <f ca="1">IF(OR($D397&lt;&gt;"Serviço",AND(AUTOEVENTO="Manual",$M397=$A$15),$M397&gt;(ROW(PLE.lastrow)-ROW(PLE.firstrow))),0,
           IF(OFFSET(PLE!$G$15,$M397-$A$15,BG$13)="",10^12,OFFSET(PLE!$G$15,$M397-$A$15,BG$13)))</f>
        <v>1000000000000</v>
      </c>
    </row>
    <row r="398" spans="1:59" ht="38.25" x14ac:dyDescent="0.2">
      <c r="A398" s="7" t="str">
        <f t="shared" ca="1" si="13"/>
        <v>377</v>
      </c>
      <c r="B398" s="7" t="str">
        <f ca="1">OFFSET(ORÇAMENTO!C$15,ROW(B398)-ROW(B$15),0)</f>
        <v>S</v>
      </c>
      <c r="C398" s="7" t="str">
        <f ca="1">OFFSET(ORÇAMENTO!L$15,ROW(C398)-ROW(C$15),0)</f>
        <v/>
      </c>
      <c r="D398" s="117" t="str">
        <f ca="1">OFFSET(ORÇAMENTO!N$15,ROW(D398)-ROW(D$15),0)</f>
        <v>Serviço</v>
      </c>
      <c r="E398" s="118" t="str">
        <f ca="1">OFFSET(ORÇAMENTO!O$15,ROW(E398)-ROW(E$15),0)</f>
        <v>-</v>
      </c>
      <c r="F398" s="164" t="str">
        <f ca="1">OFFSET(ORÇAMENTO!R$15,ROW(F398)-ROW(F$15),0)</f>
        <v xml:space="preserve">PARAFUSO DE ACO ZINCADO, TIPO CHUMBADOR PARABOLT, DIAMETRO 3/8", COMPRIMENTO 75 MM                                                                                                                                                                        </v>
      </c>
      <c r="G398" s="165" t="str">
        <f ca="1">IF($D398&lt;&gt;"Serviço","",OFFSET(ORÇAMENTO!S$15,ROW(G398)-ROW(G$15),0))</f>
        <v xml:space="preserve">UN    </v>
      </c>
      <c r="H398" s="123">
        <f ca="1">IF($D398&lt;&gt;"Serviço",0,IF(ACOMPANHAMENTO="BM",ROUND(OFFSET(ORÇAMENTO!AJ$15,ROW(H398)-ROW(H$15),0),15-13*ORÇAMENTO!$AF$7),SUMPRODUCT(($Q$1:$AA$1=1)*ROUND($Q398:$AA398,15-13*ORÇAMENTO!$AF$7))))</f>
        <v>800</v>
      </c>
      <c r="I398" s="469"/>
      <c r="J398" s="577" t="str" cm="1">
        <f t="array" aca="1" ref="J398" ca="1">IF(B398&lt;&gt;"S","",IF(AND(ACOMPANHAMENTO="PLE",AUTOEVENTO="Manual",OR(H398&gt;0,ORÇAMENTO!AC398="QUANT."),OR(K398="",M398=0,N398="")),"►",IF(AND(ACOMPANHAMENTO="PLE",ORÇAMENTO!AC398="QUANT."),"►►",IF(AND(COUNTIF($P$11:$AA$11,"▼")=0,H398&gt;0,I398=""),"◄",""))))</f>
        <v>◄</v>
      </c>
      <c r="K398" s="626"/>
      <c r="L398" s="166" t="s">
        <v>765</v>
      </c>
      <c r="M398" s="167">
        <f ca="1">IF($D398&lt;&gt;"Serviço","",
          IF(AUTOEVENTO="manual",$A398,
                IF(ISERROR(MATCH($A398,$A$15:OFFSET($A398,-1,0),0)),MAX($M$15:OFFSET(M398,-1,0))+1,
                      INDEX($M$15:OFFSET(M398,-1,0),MATCH($A398,$A$15:OFFSET($A398,-1,0),0)))))</f>
        <v>22</v>
      </c>
      <c r="N398" s="168" t="str">
        <f ca="1">IF($D398&lt;&gt;"Serviço","",
         IF(AUTOEVENTO="Manual",
                IF($A398=0,"&lt;-- defina o número do agrupador",
                       OFFSET(EVENTOS!$D$15,$A398-$A$15,0)),
                OFFSET($F$15,$A398,0)))</f>
        <v>INSTALAÇÃO DOS MÓDULOS PRÉ-FABRICADOS NO CANTEIRO DE OBRAS</v>
      </c>
      <c r="O398" s="169"/>
      <c r="Q398" s="169"/>
      <c r="R398" s="170"/>
      <c r="S398" s="170"/>
      <c r="T398" s="170"/>
      <c r="U398" s="170"/>
      <c r="V398" s="170"/>
      <c r="W398" s="170"/>
      <c r="X398" s="170"/>
      <c r="Y398" s="170"/>
      <c r="Z398" s="171"/>
      <c r="AB398" s="454">
        <f ca="1">IF(AND($D398="Serviço",AB$12&lt;&gt;0,$H398&gt;0,OR(AUTOEVENTO&lt;&gt;"manual",$M398&lt;&gt;$A$15)),
        IF(Import.TipoArredondamento&lt;&gt;"TransfereGOV",
              ROUND(OFFSET($P398,0,AB$13),15-13*ORÇAMENTO!$AF$7)/$H398*OFFSET(ORÇAMENTO!$X$15,ROW(AB398)-ROW(AB$15),0),
              ROUND(ROUND(OFFSET($P398,0,AB$13),15-13*ORÇAMENTO!$AF$7)*OFFSET(ORÇAMENTO!$W$15,ROW(AB398)-ROW(AB$15),0),15-13*ORÇAMENTO!$AF$11)),
         0)</f>
        <v>0</v>
      </c>
      <c r="AC398" s="454">
        <f ca="1">IF(AND($D398="Serviço",AC$12&lt;&gt;0,$H398&gt;0,OR(AUTOEVENTO&lt;&gt;"manual",$M398&lt;&gt;$A$15)),
        IF(Import.TipoArredondamento&lt;&gt;"TransfereGOV",
              ROUND(OFFSET($P398,0,AC$13),15-13*ORÇAMENTO!$AF$7)/$H398*OFFSET(ORÇAMENTO!$X$15,ROW(AC398)-ROW(AC$15),0),
              ROUND(ROUND(OFFSET($P398,0,AC$13),15-13*ORÇAMENTO!$AF$7)*OFFSET(ORÇAMENTO!$W$15,ROW(AC398)-ROW(AC$15),0),15-13*ORÇAMENTO!$AF$11)),
         0)</f>
        <v>0</v>
      </c>
      <c r="AD398" s="454">
        <f ca="1">IF(AND($D398="Serviço",AD$12&lt;&gt;0,$H398&gt;0,OR(AUTOEVENTO&lt;&gt;"manual",$M398&lt;&gt;$A$15)),
        IF(Import.TipoArredondamento&lt;&gt;"TransfereGOV",
              ROUND(OFFSET($P398,0,AD$13),15-13*ORÇAMENTO!$AF$7)/$H398*OFFSET(ORÇAMENTO!$X$15,ROW(AD398)-ROW(AD$15),0),
              ROUND(ROUND(OFFSET($P398,0,AD$13),15-13*ORÇAMENTO!$AF$7)*OFFSET(ORÇAMENTO!$W$15,ROW(AD398)-ROW(AD$15),0),15-13*ORÇAMENTO!$AF$11)),
         0)</f>
        <v>0</v>
      </c>
      <c r="AE398" s="454">
        <f ca="1">IF(AND($D398="Serviço",AE$12&lt;&gt;0,$H398&gt;0,OR(AUTOEVENTO&lt;&gt;"manual",$M398&lt;&gt;$A$15)),
        IF(Import.TipoArredondamento&lt;&gt;"TransfereGOV",
              ROUND(OFFSET($P398,0,AE$13),15-13*ORÇAMENTO!$AF$7)/$H398*OFFSET(ORÇAMENTO!$X$15,ROW(AE398)-ROW(AE$15),0),
              ROUND(ROUND(OFFSET($P398,0,AE$13),15-13*ORÇAMENTO!$AF$7)*OFFSET(ORÇAMENTO!$W$15,ROW(AE398)-ROW(AE$15),0),15-13*ORÇAMENTO!$AF$11)),
         0)</f>
        <v>0</v>
      </c>
      <c r="AF398" s="454">
        <f ca="1">IF(AND($D398="Serviço",AF$12&lt;&gt;0,$H398&gt;0,OR(AUTOEVENTO&lt;&gt;"manual",$M398&lt;&gt;$A$15)),
        IF(Import.TipoArredondamento&lt;&gt;"TransfereGOV",
              ROUND(OFFSET($P398,0,AF$13),15-13*ORÇAMENTO!$AF$7)/$H398*OFFSET(ORÇAMENTO!$X$15,ROW(AF398)-ROW(AF$15),0),
              ROUND(ROUND(OFFSET($P398,0,AF$13),15-13*ORÇAMENTO!$AF$7)*OFFSET(ORÇAMENTO!$W$15,ROW(AF398)-ROW(AF$15),0),15-13*ORÇAMENTO!$AF$11)),
         0)</f>
        <v>0</v>
      </c>
      <c r="AG398" s="454">
        <f ca="1">IF(AND($D398="Serviço",AG$12&lt;&gt;0,$H398&gt;0,OR(AUTOEVENTO&lt;&gt;"manual",$M398&lt;&gt;$A$15)),
        IF(Import.TipoArredondamento&lt;&gt;"TransfereGOV",
              ROUND(OFFSET($P398,0,AG$13),15-13*ORÇAMENTO!$AF$7)/$H398*OFFSET(ORÇAMENTO!$X$15,ROW(AG398)-ROW(AG$15),0),
              ROUND(ROUND(OFFSET($P398,0,AG$13),15-13*ORÇAMENTO!$AF$7)*OFFSET(ORÇAMENTO!$W$15,ROW(AG398)-ROW(AG$15),0),15-13*ORÇAMENTO!$AF$11)),
         0)</f>
        <v>0</v>
      </c>
      <c r="AH398" s="454">
        <f ca="1">IF(AND($D398="Serviço",AH$12&lt;&gt;0,$H398&gt;0,OR(AUTOEVENTO&lt;&gt;"manual",$M398&lt;&gt;$A$15)),
        IF(Import.TipoArredondamento&lt;&gt;"TransfereGOV",
              ROUND(OFFSET($P398,0,AH$13),15-13*ORÇAMENTO!$AF$7)/$H398*OFFSET(ORÇAMENTO!$X$15,ROW(AH398)-ROW(AH$15),0),
              ROUND(ROUND(OFFSET($P398,0,AH$13),15-13*ORÇAMENTO!$AF$7)*OFFSET(ORÇAMENTO!$W$15,ROW(AH398)-ROW(AH$15),0),15-13*ORÇAMENTO!$AF$11)),
         0)</f>
        <v>0</v>
      </c>
      <c r="AI398" s="454">
        <f ca="1">IF(AND($D398="Serviço",AI$12&lt;&gt;0,$H398&gt;0,OR(AUTOEVENTO&lt;&gt;"manual",$M398&lt;&gt;$A$15)),
        IF(Import.TipoArredondamento&lt;&gt;"TransfereGOV",
              ROUND(OFFSET($P398,0,AI$13),15-13*ORÇAMENTO!$AF$7)/$H398*OFFSET(ORÇAMENTO!$X$15,ROW(AI398)-ROW(AI$15),0),
              ROUND(ROUND(OFFSET($P398,0,AI$13),15-13*ORÇAMENTO!$AF$7)*OFFSET(ORÇAMENTO!$W$15,ROW(AI398)-ROW(AI$15),0),15-13*ORÇAMENTO!$AF$11)),
         0)</f>
        <v>0</v>
      </c>
      <c r="AJ398" s="454">
        <f ca="1">IF(AND($D398="Serviço",AJ$12&lt;&gt;0,$H398&gt;0,OR(AUTOEVENTO&lt;&gt;"manual",$M398&lt;&gt;$A$15)),
        IF(Import.TipoArredondamento&lt;&gt;"TransfereGOV",
              ROUND(OFFSET($P398,0,AJ$13),15-13*ORÇAMENTO!$AF$7)/$H398*OFFSET(ORÇAMENTO!$X$15,ROW(AJ398)-ROW(AJ$15),0),
              ROUND(ROUND(OFFSET($P398,0,AJ$13),15-13*ORÇAMENTO!$AF$7)*OFFSET(ORÇAMENTO!$W$15,ROW(AJ398)-ROW(AJ$15),0),15-13*ORÇAMENTO!$AF$11)),
         0)</f>
        <v>0</v>
      </c>
      <c r="AK398" s="454">
        <f ca="1">IF(AND($D398="Serviço",AK$12&lt;&gt;0,$H398&gt;0,OR(AUTOEVENTO&lt;&gt;"manual",$M398&lt;&gt;$A$15)),
        IF(Import.TipoArredondamento&lt;&gt;"TransfereGOV",
              ROUND(OFFSET($P398,0,AK$13),15-13*ORÇAMENTO!$AF$7)/$H398*OFFSET(ORÇAMENTO!$X$15,ROW(AK398)-ROW(AK$15),0),
              ROUND(ROUND(OFFSET($P398,0,AK$13),15-13*ORÇAMENTO!$AF$7)*OFFSET(ORÇAMENTO!$W$15,ROW(AK398)-ROW(AK$15),0),15-13*ORÇAMENTO!$AF$11)),
         0)</f>
        <v>0</v>
      </c>
      <c r="AM398" s="172">
        <f ca="1">IF(OR($D398&lt;&gt;"Serviço",AND(AUTOEVENTO="Manual",$M398=$A$15)),0,
         IF(OFFSET(CRONOPLE!$F$15,$M398-$A$15,AM$13)="",10^12,OFFSET(CRONOPLE!$F$15,$M398-$A$15,AM$13)))</f>
        <v>1000000000000</v>
      </c>
      <c r="AN398" s="172">
        <f ca="1">IF(OR($D398&lt;&gt;"Serviço",AND(AUTOEVENTO="Manual",$M398=$A$15)),0,
         IF(OFFSET(CRONOPLE!$F$15,$M398-$A$15,AN$13)="",10^12,OFFSET(CRONOPLE!$F$15,$M398-$A$15,AN$13)))</f>
        <v>1000000000000</v>
      </c>
      <c r="AO398" s="172">
        <f ca="1">IF(OR($D398&lt;&gt;"Serviço",AND(AUTOEVENTO="Manual",$M398=$A$15)),0,
         IF(OFFSET(CRONOPLE!$F$15,$M398-$A$15,AO$13)="",10^12,OFFSET(CRONOPLE!$F$15,$M398-$A$15,AO$13)))</f>
        <v>1000000000000</v>
      </c>
      <c r="AP398" s="172">
        <f ca="1">IF(OR($D398&lt;&gt;"Serviço",AND(AUTOEVENTO="Manual",$M398=$A$15)),0,
         IF(OFFSET(CRONOPLE!$F$15,$M398-$A$15,AP$13)="",10^12,OFFSET(CRONOPLE!$F$15,$M398-$A$15,AP$13)))</f>
        <v>1000000000000</v>
      </c>
      <c r="AQ398" s="172">
        <f ca="1">IF(OR($D398&lt;&gt;"Serviço",AND(AUTOEVENTO="Manual",$M398=$A$15)),0,
         IF(OFFSET(CRONOPLE!$F$15,$M398-$A$15,AQ$13)="",10^12,OFFSET(CRONOPLE!$F$15,$M398-$A$15,AQ$13)))</f>
        <v>1000000000000</v>
      </c>
      <c r="AR398" s="172">
        <f ca="1">IF(OR($D398&lt;&gt;"Serviço",AND(AUTOEVENTO="Manual",$M398=$A$15)),0,
         IF(OFFSET(CRONOPLE!$F$15,$M398-$A$15,AR$13)="",10^12,OFFSET(CRONOPLE!$F$15,$M398-$A$15,AR$13)))</f>
        <v>1000000000000</v>
      </c>
      <c r="AS398" s="172">
        <f ca="1">IF(OR($D398&lt;&gt;"Serviço",AND(AUTOEVENTO="Manual",$M398=$A$15)),0,
         IF(OFFSET(CRONOPLE!$F$15,$M398-$A$15,AS$13)="",10^12,OFFSET(CRONOPLE!$F$15,$M398-$A$15,AS$13)))</f>
        <v>1000000000000</v>
      </c>
      <c r="AT398" s="172">
        <f ca="1">IF(OR($D398&lt;&gt;"Serviço",AND(AUTOEVENTO="Manual",$M398=$A$15)),0,
         IF(OFFSET(CRONOPLE!$F$15,$M398-$A$15,AT$13)="",10^12,OFFSET(CRONOPLE!$F$15,$M398-$A$15,AT$13)))</f>
        <v>1000000000000</v>
      </c>
      <c r="AU398" s="172">
        <f ca="1">IF(OR($D398&lt;&gt;"Serviço",AND(AUTOEVENTO="Manual",$M398=$A$15)),0,
         IF(OFFSET(CRONOPLE!$F$15,$M398-$A$15,AU$13)="",10^12,OFFSET(CRONOPLE!$F$15,$M398-$A$15,AU$13)))</f>
        <v>1000000000000</v>
      </c>
      <c r="AV398" s="172">
        <f ca="1">IF(OR($D398&lt;&gt;"Serviço",AND(AUTOEVENTO="Manual",$M398=$A$15)),0,
         IF(OFFSET(CRONOPLE!$F$15,$M398-$A$15,AV$13)="",10^12,OFFSET(CRONOPLE!$F$15,$M398-$A$15,AV$13)))</f>
        <v>1000000000000</v>
      </c>
      <c r="AX398" s="173">
        <f ca="1">IF(OR($D398&lt;&gt;"Serviço",AND(AUTOEVENTO="Manual",$M398=$A$15),$M398&gt;(ROW(PLE.lastrow)-ROW(PLE.firstrow))),0,
           IF(OFFSET(PLE!$G$15,$M398-$A$15,AX$13)="",10^12,OFFSET(PLE!$G$15,$M398-$A$15,AX$13)))</f>
        <v>1000000000000</v>
      </c>
      <c r="AY398" s="173">
        <f ca="1">IF(OR($D398&lt;&gt;"Serviço",AND(AUTOEVENTO="Manual",$M398=$A$15),$M398&gt;(ROW(PLE.lastrow)-ROW(PLE.firstrow))),0,
           IF(OFFSET(PLE!$G$15,$M398-$A$15,AY$13)="",10^12,OFFSET(PLE!$G$15,$M398-$A$15,AY$13)))</f>
        <v>1000000000000</v>
      </c>
      <c r="AZ398" s="173">
        <f ca="1">IF(OR($D398&lt;&gt;"Serviço",AND(AUTOEVENTO="Manual",$M398=$A$15),$M398&gt;(ROW(PLE.lastrow)-ROW(PLE.firstrow))),0,
           IF(OFFSET(PLE!$G$15,$M398-$A$15,AZ$13)="",10^12,OFFSET(PLE!$G$15,$M398-$A$15,AZ$13)))</f>
        <v>1000000000000</v>
      </c>
      <c r="BA398" s="173">
        <f ca="1">IF(OR($D398&lt;&gt;"Serviço",AND(AUTOEVENTO="Manual",$M398=$A$15),$M398&gt;(ROW(PLE.lastrow)-ROW(PLE.firstrow))),0,
           IF(OFFSET(PLE!$G$15,$M398-$A$15,BA$13)="",10^12,OFFSET(PLE!$G$15,$M398-$A$15,BA$13)))</f>
        <v>1000000000000</v>
      </c>
      <c r="BB398" s="173">
        <f ca="1">IF(OR($D398&lt;&gt;"Serviço",AND(AUTOEVENTO="Manual",$M398=$A$15),$M398&gt;(ROW(PLE.lastrow)-ROW(PLE.firstrow))),0,
           IF(OFFSET(PLE!$G$15,$M398-$A$15,BB$13)="",10^12,OFFSET(PLE!$G$15,$M398-$A$15,BB$13)))</f>
        <v>1000000000000</v>
      </c>
      <c r="BC398" s="173">
        <f ca="1">IF(OR($D398&lt;&gt;"Serviço",AND(AUTOEVENTO="Manual",$M398=$A$15),$M398&gt;(ROW(PLE.lastrow)-ROW(PLE.firstrow))),0,
           IF(OFFSET(PLE!$G$15,$M398-$A$15,BC$13)="",10^12,OFFSET(PLE!$G$15,$M398-$A$15,BC$13)))</f>
        <v>1000000000000</v>
      </c>
      <c r="BD398" s="173">
        <f ca="1">IF(OR($D398&lt;&gt;"Serviço",AND(AUTOEVENTO="Manual",$M398=$A$15),$M398&gt;(ROW(PLE.lastrow)-ROW(PLE.firstrow))),0,
           IF(OFFSET(PLE!$G$15,$M398-$A$15,BD$13)="",10^12,OFFSET(PLE!$G$15,$M398-$A$15,BD$13)))</f>
        <v>1000000000000</v>
      </c>
      <c r="BE398" s="173">
        <f ca="1">IF(OR($D398&lt;&gt;"Serviço",AND(AUTOEVENTO="Manual",$M398=$A$15),$M398&gt;(ROW(PLE.lastrow)-ROW(PLE.firstrow))),0,
           IF(OFFSET(PLE!$G$15,$M398-$A$15,BE$13)="",10^12,OFFSET(PLE!$G$15,$M398-$A$15,BE$13)))</f>
        <v>1000000000000</v>
      </c>
      <c r="BF398" s="173">
        <f ca="1">IF(OR($D398&lt;&gt;"Serviço",AND(AUTOEVENTO="Manual",$M398=$A$15),$M398&gt;(ROW(PLE.lastrow)-ROW(PLE.firstrow))),0,
           IF(OFFSET(PLE!$G$15,$M398-$A$15,BF$13)="",10^12,OFFSET(PLE!$G$15,$M398-$A$15,BF$13)))</f>
        <v>1000000000000</v>
      </c>
      <c r="BG398" s="173">
        <f ca="1">IF(OR($D398&lt;&gt;"Serviço",AND(AUTOEVENTO="Manual",$M398=$A$15),$M398&gt;(ROW(PLE.lastrow)-ROW(PLE.firstrow))),0,
           IF(OFFSET(PLE!$G$15,$M398-$A$15,BG$13)="",10^12,OFFSET(PLE!$G$15,$M398-$A$15,BG$13)))</f>
        <v>1000000000000</v>
      </c>
    </row>
    <row r="399" spans="1:59" ht="38.25" x14ac:dyDescent="0.2">
      <c r="A399" s="7" t="str">
        <f t="shared" ca="1" si="13"/>
        <v>377</v>
      </c>
      <c r="B399" s="7" t="str">
        <f ca="1">OFFSET(ORÇAMENTO!C$15,ROW(B399)-ROW(B$15),0)</f>
        <v>S</v>
      </c>
      <c r="C399" s="7" t="str">
        <f ca="1">OFFSET(ORÇAMENTO!L$15,ROW(C399)-ROW(C$15),0)</f>
        <v/>
      </c>
      <c r="D399" s="117" t="str">
        <f ca="1">OFFSET(ORÇAMENTO!N$15,ROW(D399)-ROW(D$15),0)</f>
        <v>Serviço</v>
      </c>
      <c r="E399" s="118" t="str">
        <f ca="1">OFFSET(ORÇAMENTO!O$15,ROW(E399)-ROW(E$15),0)</f>
        <v>-</v>
      </c>
      <c r="F399" s="164" t="str">
        <f ca="1">OFFSET(ORÇAMENTO!R$15,ROW(F399)-ROW(F$15),0)</f>
        <v xml:space="preserve">PARAFUSO ZINCADO, SEXTAVADO, COM ROSCA SOBERBA, DIAMETRO 5/16", COMPRIMENTO 40 MM                                                                                                                                                                         </v>
      </c>
      <c r="G399" s="165" t="str">
        <f ca="1">IF($D399&lt;&gt;"Serviço","",OFFSET(ORÇAMENTO!S$15,ROW(G399)-ROW(G$15),0))</f>
        <v xml:space="preserve">UN    </v>
      </c>
      <c r="H399" s="123">
        <f ca="1">IF($D399&lt;&gt;"Serviço",0,IF(ACOMPANHAMENTO="BM",ROUND(OFFSET(ORÇAMENTO!AJ$15,ROW(H399)-ROW(H$15),0),15-13*ORÇAMENTO!$AF$7),SUMPRODUCT(($Q$1:$AA$1=1)*ROUND($Q399:$AA399,15-13*ORÇAMENTO!$AF$7))))</f>
        <v>800</v>
      </c>
      <c r="I399" s="469"/>
      <c r="J399" s="577" t="str" cm="1">
        <f t="array" aca="1" ref="J399" ca="1">IF(B399&lt;&gt;"S","",IF(AND(ACOMPANHAMENTO="PLE",AUTOEVENTO="Manual",OR(H399&gt;0,ORÇAMENTO!AC399="QUANT."),OR(K399="",M399=0,N399="")),"►",IF(AND(ACOMPANHAMENTO="PLE",ORÇAMENTO!AC399="QUANT."),"►►",IF(AND(COUNTIF($P$11:$AA$11,"▼")=0,H399&gt;0,I399=""),"◄",""))))</f>
        <v>◄</v>
      </c>
      <c r="K399" s="626"/>
      <c r="L399" s="166" t="s">
        <v>765</v>
      </c>
      <c r="M399" s="167">
        <f ca="1">IF($D399&lt;&gt;"Serviço","",
          IF(AUTOEVENTO="manual",$A399,
                IF(ISERROR(MATCH($A399,$A$15:OFFSET($A399,-1,0),0)),MAX($M$15:OFFSET(M399,-1,0))+1,
                      INDEX($M$15:OFFSET(M399,-1,0),MATCH($A399,$A$15:OFFSET($A399,-1,0),0)))))</f>
        <v>22</v>
      </c>
      <c r="N399" s="168" t="str">
        <f ca="1">IF($D399&lt;&gt;"Serviço","",
         IF(AUTOEVENTO="Manual",
                IF($A399=0,"&lt;-- defina o número do agrupador",
                       OFFSET(EVENTOS!$D$15,$A399-$A$15,0)),
                OFFSET($F$15,$A399,0)))</f>
        <v>INSTALAÇÃO DOS MÓDULOS PRÉ-FABRICADOS NO CANTEIRO DE OBRAS</v>
      </c>
      <c r="O399" s="169"/>
      <c r="Q399" s="169"/>
      <c r="R399" s="170"/>
      <c r="S399" s="170"/>
      <c r="T399" s="170"/>
      <c r="U399" s="170"/>
      <c r="V399" s="170"/>
      <c r="W399" s="170"/>
      <c r="X399" s="170"/>
      <c r="Y399" s="170"/>
      <c r="Z399" s="171"/>
      <c r="AB399" s="454">
        <f ca="1">IF(AND($D399="Serviço",AB$12&lt;&gt;0,$H399&gt;0,OR(AUTOEVENTO&lt;&gt;"manual",$M399&lt;&gt;$A$15)),
        IF(Import.TipoArredondamento&lt;&gt;"TransfereGOV",
              ROUND(OFFSET($P399,0,AB$13),15-13*ORÇAMENTO!$AF$7)/$H399*OFFSET(ORÇAMENTO!$X$15,ROW(AB399)-ROW(AB$15),0),
              ROUND(ROUND(OFFSET($P399,0,AB$13),15-13*ORÇAMENTO!$AF$7)*OFFSET(ORÇAMENTO!$W$15,ROW(AB399)-ROW(AB$15),0),15-13*ORÇAMENTO!$AF$11)),
         0)</f>
        <v>0</v>
      </c>
      <c r="AC399" s="454">
        <f ca="1">IF(AND($D399="Serviço",AC$12&lt;&gt;0,$H399&gt;0,OR(AUTOEVENTO&lt;&gt;"manual",$M399&lt;&gt;$A$15)),
        IF(Import.TipoArredondamento&lt;&gt;"TransfereGOV",
              ROUND(OFFSET($P399,0,AC$13),15-13*ORÇAMENTO!$AF$7)/$H399*OFFSET(ORÇAMENTO!$X$15,ROW(AC399)-ROW(AC$15),0),
              ROUND(ROUND(OFFSET($P399,0,AC$13),15-13*ORÇAMENTO!$AF$7)*OFFSET(ORÇAMENTO!$W$15,ROW(AC399)-ROW(AC$15),0),15-13*ORÇAMENTO!$AF$11)),
         0)</f>
        <v>0</v>
      </c>
      <c r="AD399" s="454">
        <f ca="1">IF(AND($D399="Serviço",AD$12&lt;&gt;0,$H399&gt;0,OR(AUTOEVENTO&lt;&gt;"manual",$M399&lt;&gt;$A$15)),
        IF(Import.TipoArredondamento&lt;&gt;"TransfereGOV",
              ROUND(OFFSET($P399,0,AD$13),15-13*ORÇAMENTO!$AF$7)/$H399*OFFSET(ORÇAMENTO!$X$15,ROW(AD399)-ROW(AD$15),0),
              ROUND(ROUND(OFFSET($P399,0,AD$13),15-13*ORÇAMENTO!$AF$7)*OFFSET(ORÇAMENTO!$W$15,ROW(AD399)-ROW(AD$15),0),15-13*ORÇAMENTO!$AF$11)),
         0)</f>
        <v>0</v>
      </c>
      <c r="AE399" s="454">
        <f ca="1">IF(AND($D399="Serviço",AE$12&lt;&gt;0,$H399&gt;0,OR(AUTOEVENTO&lt;&gt;"manual",$M399&lt;&gt;$A$15)),
        IF(Import.TipoArredondamento&lt;&gt;"TransfereGOV",
              ROUND(OFFSET($P399,0,AE$13),15-13*ORÇAMENTO!$AF$7)/$H399*OFFSET(ORÇAMENTO!$X$15,ROW(AE399)-ROW(AE$15),0),
              ROUND(ROUND(OFFSET($P399,0,AE$13),15-13*ORÇAMENTO!$AF$7)*OFFSET(ORÇAMENTO!$W$15,ROW(AE399)-ROW(AE$15),0),15-13*ORÇAMENTO!$AF$11)),
         0)</f>
        <v>0</v>
      </c>
      <c r="AF399" s="454">
        <f ca="1">IF(AND($D399="Serviço",AF$12&lt;&gt;0,$H399&gt;0,OR(AUTOEVENTO&lt;&gt;"manual",$M399&lt;&gt;$A$15)),
        IF(Import.TipoArredondamento&lt;&gt;"TransfereGOV",
              ROUND(OFFSET($P399,0,AF$13),15-13*ORÇAMENTO!$AF$7)/$H399*OFFSET(ORÇAMENTO!$X$15,ROW(AF399)-ROW(AF$15),0),
              ROUND(ROUND(OFFSET($P399,0,AF$13),15-13*ORÇAMENTO!$AF$7)*OFFSET(ORÇAMENTO!$W$15,ROW(AF399)-ROW(AF$15),0),15-13*ORÇAMENTO!$AF$11)),
         0)</f>
        <v>0</v>
      </c>
      <c r="AG399" s="454">
        <f ca="1">IF(AND($D399="Serviço",AG$12&lt;&gt;0,$H399&gt;0,OR(AUTOEVENTO&lt;&gt;"manual",$M399&lt;&gt;$A$15)),
        IF(Import.TipoArredondamento&lt;&gt;"TransfereGOV",
              ROUND(OFFSET($P399,0,AG$13),15-13*ORÇAMENTO!$AF$7)/$H399*OFFSET(ORÇAMENTO!$X$15,ROW(AG399)-ROW(AG$15),0),
              ROUND(ROUND(OFFSET($P399,0,AG$13),15-13*ORÇAMENTO!$AF$7)*OFFSET(ORÇAMENTO!$W$15,ROW(AG399)-ROW(AG$15),0),15-13*ORÇAMENTO!$AF$11)),
         0)</f>
        <v>0</v>
      </c>
      <c r="AH399" s="454">
        <f ca="1">IF(AND($D399="Serviço",AH$12&lt;&gt;0,$H399&gt;0,OR(AUTOEVENTO&lt;&gt;"manual",$M399&lt;&gt;$A$15)),
        IF(Import.TipoArredondamento&lt;&gt;"TransfereGOV",
              ROUND(OFFSET($P399,0,AH$13),15-13*ORÇAMENTO!$AF$7)/$H399*OFFSET(ORÇAMENTO!$X$15,ROW(AH399)-ROW(AH$15),0),
              ROUND(ROUND(OFFSET($P399,0,AH$13),15-13*ORÇAMENTO!$AF$7)*OFFSET(ORÇAMENTO!$W$15,ROW(AH399)-ROW(AH$15),0),15-13*ORÇAMENTO!$AF$11)),
         0)</f>
        <v>0</v>
      </c>
      <c r="AI399" s="454">
        <f ca="1">IF(AND($D399="Serviço",AI$12&lt;&gt;0,$H399&gt;0,OR(AUTOEVENTO&lt;&gt;"manual",$M399&lt;&gt;$A$15)),
        IF(Import.TipoArredondamento&lt;&gt;"TransfereGOV",
              ROUND(OFFSET($P399,0,AI$13),15-13*ORÇAMENTO!$AF$7)/$H399*OFFSET(ORÇAMENTO!$X$15,ROW(AI399)-ROW(AI$15),0),
              ROUND(ROUND(OFFSET($P399,0,AI$13),15-13*ORÇAMENTO!$AF$7)*OFFSET(ORÇAMENTO!$W$15,ROW(AI399)-ROW(AI$15),0),15-13*ORÇAMENTO!$AF$11)),
         0)</f>
        <v>0</v>
      </c>
      <c r="AJ399" s="454">
        <f ca="1">IF(AND($D399="Serviço",AJ$12&lt;&gt;0,$H399&gt;0,OR(AUTOEVENTO&lt;&gt;"manual",$M399&lt;&gt;$A$15)),
        IF(Import.TipoArredondamento&lt;&gt;"TransfereGOV",
              ROUND(OFFSET($P399,0,AJ$13),15-13*ORÇAMENTO!$AF$7)/$H399*OFFSET(ORÇAMENTO!$X$15,ROW(AJ399)-ROW(AJ$15),0),
              ROUND(ROUND(OFFSET($P399,0,AJ$13),15-13*ORÇAMENTO!$AF$7)*OFFSET(ORÇAMENTO!$W$15,ROW(AJ399)-ROW(AJ$15),0),15-13*ORÇAMENTO!$AF$11)),
         0)</f>
        <v>0</v>
      </c>
      <c r="AK399" s="454">
        <f ca="1">IF(AND($D399="Serviço",AK$12&lt;&gt;0,$H399&gt;0,OR(AUTOEVENTO&lt;&gt;"manual",$M399&lt;&gt;$A$15)),
        IF(Import.TipoArredondamento&lt;&gt;"TransfereGOV",
              ROUND(OFFSET($P399,0,AK$13),15-13*ORÇAMENTO!$AF$7)/$H399*OFFSET(ORÇAMENTO!$X$15,ROW(AK399)-ROW(AK$15),0),
              ROUND(ROUND(OFFSET($P399,0,AK$13),15-13*ORÇAMENTO!$AF$7)*OFFSET(ORÇAMENTO!$W$15,ROW(AK399)-ROW(AK$15),0),15-13*ORÇAMENTO!$AF$11)),
         0)</f>
        <v>0</v>
      </c>
      <c r="AM399" s="172">
        <f ca="1">IF(OR($D399&lt;&gt;"Serviço",AND(AUTOEVENTO="Manual",$M399=$A$15)),0,
         IF(OFFSET(CRONOPLE!$F$15,$M399-$A$15,AM$13)="",10^12,OFFSET(CRONOPLE!$F$15,$M399-$A$15,AM$13)))</f>
        <v>1000000000000</v>
      </c>
      <c r="AN399" s="172">
        <f ca="1">IF(OR($D399&lt;&gt;"Serviço",AND(AUTOEVENTO="Manual",$M399=$A$15)),0,
         IF(OFFSET(CRONOPLE!$F$15,$M399-$A$15,AN$13)="",10^12,OFFSET(CRONOPLE!$F$15,$M399-$A$15,AN$13)))</f>
        <v>1000000000000</v>
      </c>
      <c r="AO399" s="172">
        <f ca="1">IF(OR($D399&lt;&gt;"Serviço",AND(AUTOEVENTO="Manual",$M399=$A$15)),0,
         IF(OFFSET(CRONOPLE!$F$15,$M399-$A$15,AO$13)="",10^12,OFFSET(CRONOPLE!$F$15,$M399-$A$15,AO$13)))</f>
        <v>1000000000000</v>
      </c>
      <c r="AP399" s="172">
        <f ca="1">IF(OR($D399&lt;&gt;"Serviço",AND(AUTOEVENTO="Manual",$M399=$A$15)),0,
         IF(OFFSET(CRONOPLE!$F$15,$M399-$A$15,AP$13)="",10^12,OFFSET(CRONOPLE!$F$15,$M399-$A$15,AP$13)))</f>
        <v>1000000000000</v>
      </c>
      <c r="AQ399" s="172">
        <f ca="1">IF(OR($D399&lt;&gt;"Serviço",AND(AUTOEVENTO="Manual",$M399=$A$15)),0,
         IF(OFFSET(CRONOPLE!$F$15,$M399-$A$15,AQ$13)="",10^12,OFFSET(CRONOPLE!$F$15,$M399-$A$15,AQ$13)))</f>
        <v>1000000000000</v>
      </c>
      <c r="AR399" s="172">
        <f ca="1">IF(OR($D399&lt;&gt;"Serviço",AND(AUTOEVENTO="Manual",$M399=$A$15)),0,
         IF(OFFSET(CRONOPLE!$F$15,$M399-$A$15,AR$13)="",10^12,OFFSET(CRONOPLE!$F$15,$M399-$A$15,AR$13)))</f>
        <v>1000000000000</v>
      </c>
      <c r="AS399" s="172">
        <f ca="1">IF(OR($D399&lt;&gt;"Serviço",AND(AUTOEVENTO="Manual",$M399=$A$15)),0,
         IF(OFFSET(CRONOPLE!$F$15,$M399-$A$15,AS$13)="",10^12,OFFSET(CRONOPLE!$F$15,$M399-$A$15,AS$13)))</f>
        <v>1000000000000</v>
      </c>
      <c r="AT399" s="172">
        <f ca="1">IF(OR($D399&lt;&gt;"Serviço",AND(AUTOEVENTO="Manual",$M399=$A$15)),0,
         IF(OFFSET(CRONOPLE!$F$15,$M399-$A$15,AT$13)="",10^12,OFFSET(CRONOPLE!$F$15,$M399-$A$15,AT$13)))</f>
        <v>1000000000000</v>
      </c>
      <c r="AU399" s="172">
        <f ca="1">IF(OR($D399&lt;&gt;"Serviço",AND(AUTOEVENTO="Manual",$M399=$A$15)),0,
         IF(OFFSET(CRONOPLE!$F$15,$M399-$A$15,AU$13)="",10^12,OFFSET(CRONOPLE!$F$15,$M399-$A$15,AU$13)))</f>
        <v>1000000000000</v>
      </c>
      <c r="AV399" s="172">
        <f ca="1">IF(OR($D399&lt;&gt;"Serviço",AND(AUTOEVENTO="Manual",$M399=$A$15)),0,
         IF(OFFSET(CRONOPLE!$F$15,$M399-$A$15,AV$13)="",10^12,OFFSET(CRONOPLE!$F$15,$M399-$A$15,AV$13)))</f>
        <v>1000000000000</v>
      </c>
      <c r="AX399" s="173">
        <f ca="1">IF(OR($D399&lt;&gt;"Serviço",AND(AUTOEVENTO="Manual",$M399=$A$15),$M399&gt;(ROW(PLE.lastrow)-ROW(PLE.firstrow))),0,
           IF(OFFSET(PLE!$G$15,$M399-$A$15,AX$13)="",10^12,OFFSET(PLE!$G$15,$M399-$A$15,AX$13)))</f>
        <v>1000000000000</v>
      </c>
      <c r="AY399" s="173">
        <f ca="1">IF(OR($D399&lt;&gt;"Serviço",AND(AUTOEVENTO="Manual",$M399=$A$15),$M399&gt;(ROW(PLE.lastrow)-ROW(PLE.firstrow))),0,
           IF(OFFSET(PLE!$G$15,$M399-$A$15,AY$13)="",10^12,OFFSET(PLE!$G$15,$M399-$A$15,AY$13)))</f>
        <v>1000000000000</v>
      </c>
      <c r="AZ399" s="173">
        <f ca="1">IF(OR($D399&lt;&gt;"Serviço",AND(AUTOEVENTO="Manual",$M399=$A$15),$M399&gt;(ROW(PLE.lastrow)-ROW(PLE.firstrow))),0,
           IF(OFFSET(PLE!$G$15,$M399-$A$15,AZ$13)="",10^12,OFFSET(PLE!$G$15,$M399-$A$15,AZ$13)))</f>
        <v>1000000000000</v>
      </c>
      <c r="BA399" s="173">
        <f ca="1">IF(OR($D399&lt;&gt;"Serviço",AND(AUTOEVENTO="Manual",$M399=$A$15),$M399&gt;(ROW(PLE.lastrow)-ROW(PLE.firstrow))),0,
           IF(OFFSET(PLE!$G$15,$M399-$A$15,BA$13)="",10^12,OFFSET(PLE!$G$15,$M399-$A$15,BA$13)))</f>
        <v>1000000000000</v>
      </c>
      <c r="BB399" s="173">
        <f ca="1">IF(OR($D399&lt;&gt;"Serviço",AND(AUTOEVENTO="Manual",$M399=$A$15),$M399&gt;(ROW(PLE.lastrow)-ROW(PLE.firstrow))),0,
           IF(OFFSET(PLE!$G$15,$M399-$A$15,BB$13)="",10^12,OFFSET(PLE!$G$15,$M399-$A$15,BB$13)))</f>
        <v>1000000000000</v>
      </c>
      <c r="BC399" s="173">
        <f ca="1">IF(OR($D399&lt;&gt;"Serviço",AND(AUTOEVENTO="Manual",$M399=$A$15),$M399&gt;(ROW(PLE.lastrow)-ROW(PLE.firstrow))),0,
           IF(OFFSET(PLE!$G$15,$M399-$A$15,BC$13)="",10^12,OFFSET(PLE!$G$15,$M399-$A$15,BC$13)))</f>
        <v>1000000000000</v>
      </c>
      <c r="BD399" s="173">
        <f ca="1">IF(OR($D399&lt;&gt;"Serviço",AND(AUTOEVENTO="Manual",$M399=$A$15),$M399&gt;(ROW(PLE.lastrow)-ROW(PLE.firstrow))),0,
           IF(OFFSET(PLE!$G$15,$M399-$A$15,BD$13)="",10^12,OFFSET(PLE!$G$15,$M399-$A$15,BD$13)))</f>
        <v>1000000000000</v>
      </c>
      <c r="BE399" s="173">
        <f ca="1">IF(OR($D399&lt;&gt;"Serviço",AND(AUTOEVENTO="Manual",$M399=$A$15),$M399&gt;(ROW(PLE.lastrow)-ROW(PLE.firstrow))),0,
           IF(OFFSET(PLE!$G$15,$M399-$A$15,BE$13)="",10^12,OFFSET(PLE!$G$15,$M399-$A$15,BE$13)))</f>
        <v>1000000000000</v>
      </c>
      <c r="BF399" s="173">
        <f ca="1">IF(OR($D399&lt;&gt;"Serviço",AND(AUTOEVENTO="Manual",$M399=$A$15),$M399&gt;(ROW(PLE.lastrow)-ROW(PLE.firstrow))),0,
           IF(OFFSET(PLE!$G$15,$M399-$A$15,BF$13)="",10^12,OFFSET(PLE!$G$15,$M399-$A$15,BF$13)))</f>
        <v>1000000000000</v>
      </c>
      <c r="BG399" s="173">
        <f ca="1">IF(OR($D399&lt;&gt;"Serviço",AND(AUTOEVENTO="Manual",$M399=$A$15),$M399&gt;(ROW(PLE.lastrow)-ROW(PLE.firstrow))),0,
           IF(OFFSET(PLE!$G$15,$M399-$A$15,BG$13)="",10^12,OFFSET(PLE!$G$15,$M399-$A$15,BG$13)))</f>
        <v>1000000000000</v>
      </c>
    </row>
    <row r="400" spans="1:59" ht="12.75" x14ac:dyDescent="0.2">
      <c r="A400" s="7" t="str">
        <f t="shared" ca="1" si="13"/>
        <v>385.</v>
      </c>
      <c r="B400" s="7">
        <f ca="1">OFFSET(ORÇAMENTO!C$15,ROW(B400)-ROW(B$15),0)</f>
        <v>2</v>
      </c>
      <c r="C400" s="7" t="str">
        <f ca="1">OFFSET(ORÇAMENTO!L$15,ROW(C400)-ROW(C$15),0)</f>
        <v>F</v>
      </c>
      <c r="D400" s="117" t="str">
        <f ca="1">OFFSET(ORÇAMENTO!N$15,ROW(D400)-ROW(D$15),0)</f>
        <v>Nível 2</v>
      </c>
      <c r="E400" s="118" t="str">
        <f ca="1">OFFSET(ORÇAMENTO!O$15,ROW(E400)-ROW(E$15),0)</f>
        <v>1.23.</v>
      </c>
      <c r="F400" s="164" t="str">
        <f ca="1">OFFSET(ORÇAMENTO!R$15,ROW(F400)-ROW(F$15),0)</f>
        <v>SISTEMA DE REUSO DE ÁGUA</v>
      </c>
      <c r="G400" s="165" t="str">
        <f ca="1">IF($D400&lt;&gt;"Serviço","",OFFSET(ORÇAMENTO!S$15,ROW(G400)-ROW(G$15),0))</f>
        <v/>
      </c>
      <c r="H400" s="123">
        <f ca="1">IF($D400&lt;&gt;"Serviço",0,IF(ACOMPANHAMENTO="BM",ROUND(OFFSET(ORÇAMENTO!AJ$15,ROW(H400)-ROW(H$15),0),15-13*ORÇAMENTO!$AF$7),SUMPRODUCT(($Q$1:$AA$1=1)*ROUND($Q400:$AA400,15-13*ORÇAMENTO!$AF$7))))</f>
        <v>0</v>
      </c>
      <c r="I400" s="469"/>
      <c r="J400" s="577" t="str" cm="1">
        <f t="array" aca="1" ref="J400" ca="1">IF(B400&lt;&gt;"S","",IF(AND(ACOMPANHAMENTO="PLE",AUTOEVENTO="Manual",OR(H400&gt;0,ORÇAMENTO!AC400="QUANT."),OR(K400="",M400=0,N400="")),"►",IF(AND(ACOMPANHAMENTO="PLE",ORÇAMENTO!AC400="QUANT."),"►►",IF(AND(COUNTIF($P$11:$AA$11,"▼")=0,H400&gt;0,I400=""),"◄",""))))</f>
        <v/>
      </c>
      <c r="K400" s="626"/>
      <c r="L400" s="166" t="s">
        <v>765</v>
      </c>
      <c r="M400" s="167" t="str">
        <f ca="1">IF($D400&lt;&gt;"Serviço","",
          IF(AUTOEVENTO="manual",$A400,
                IF(ISERROR(MATCH($A400,$A$15:OFFSET($A400,-1,0),0)),MAX($M$15:OFFSET(M400,-1,0))+1,
                      INDEX($M$15:OFFSET(M400,-1,0),MATCH($A400,$A$15:OFFSET($A400,-1,0),0)))))</f>
        <v/>
      </c>
      <c r="N400" s="168" t="str">
        <f ca="1">IF($D400&lt;&gt;"Serviço","",
         IF(AUTOEVENTO="Manual",
                IF($A400=0,"&lt;-- defina o número do agrupador",
                       OFFSET(EVENTOS!$D$15,$A400-$A$15,0)),
                OFFSET($F$15,$A400,0)))</f>
        <v/>
      </c>
      <c r="O400" s="169"/>
      <c r="Q400" s="169"/>
      <c r="R400" s="170"/>
      <c r="S400" s="170"/>
      <c r="T400" s="170"/>
      <c r="U400" s="170"/>
      <c r="V400" s="170"/>
      <c r="W400" s="170"/>
      <c r="X400" s="170"/>
      <c r="Y400" s="170"/>
      <c r="Z400" s="171"/>
      <c r="AB400" s="454">
        <f ca="1">IF(AND($D400="Serviço",AB$12&lt;&gt;0,$H400&gt;0,OR(AUTOEVENTO&lt;&gt;"manual",$M400&lt;&gt;$A$15)),
        IF(Import.TipoArredondamento&lt;&gt;"TransfereGOV",
              ROUND(OFFSET($P400,0,AB$13),15-13*ORÇAMENTO!$AF$7)/$H400*OFFSET(ORÇAMENTO!$X$15,ROW(AB400)-ROW(AB$15),0),
              ROUND(ROUND(OFFSET($P400,0,AB$13),15-13*ORÇAMENTO!$AF$7)*OFFSET(ORÇAMENTO!$W$15,ROW(AB400)-ROW(AB$15),0),15-13*ORÇAMENTO!$AF$11)),
         0)</f>
        <v>0</v>
      </c>
      <c r="AC400" s="454">
        <f ca="1">IF(AND($D400="Serviço",AC$12&lt;&gt;0,$H400&gt;0,OR(AUTOEVENTO&lt;&gt;"manual",$M400&lt;&gt;$A$15)),
        IF(Import.TipoArredondamento&lt;&gt;"TransfereGOV",
              ROUND(OFFSET($P400,0,AC$13),15-13*ORÇAMENTO!$AF$7)/$H400*OFFSET(ORÇAMENTO!$X$15,ROW(AC400)-ROW(AC$15),0),
              ROUND(ROUND(OFFSET($P400,0,AC$13),15-13*ORÇAMENTO!$AF$7)*OFFSET(ORÇAMENTO!$W$15,ROW(AC400)-ROW(AC$15),0),15-13*ORÇAMENTO!$AF$11)),
         0)</f>
        <v>0</v>
      </c>
      <c r="AD400" s="454">
        <f ca="1">IF(AND($D400="Serviço",AD$12&lt;&gt;0,$H400&gt;0,OR(AUTOEVENTO&lt;&gt;"manual",$M400&lt;&gt;$A$15)),
        IF(Import.TipoArredondamento&lt;&gt;"TransfereGOV",
              ROUND(OFFSET($P400,0,AD$13),15-13*ORÇAMENTO!$AF$7)/$H400*OFFSET(ORÇAMENTO!$X$15,ROW(AD400)-ROW(AD$15),0),
              ROUND(ROUND(OFFSET($P400,0,AD$13),15-13*ORÇAMENTO!$AF$7)*OFFSET(ORÇAMENTO!$W$15,ROW(AD400)-ROW(AD$15),0),15-13*ORÇAMENTO!$AF$11)),
         0)</f>
        <v>0</v>
      </c>
      <c r="AE400" s="454">
        <f ca="1">IF(AND($D400="Serviço",AE$12&lt;&gt;0,$H400&gt;0,OR(AUTOEVENTO&lt;&gt;"manual",$M400&lt;&gt;$A$15)),
        IF(Import.TipoArredondamento&lt;&gt;"TransfereGOV",
              ROUND(OFFSET($P400,0,AE$13),15-13*ORÇAMENTO!$AF$7)/$H400*OFFSET(ORÇAMENTO!$X$15,ROW(AE400)-ROW(AE$15),0),
              ROUND(ROUND(OFFSET($P400,0,AE$13),15-13*ORÇAMENTO!$AF$7)*OFFSET(ORÇAMENTO!$W$15,ROW(AE400)-ROW(AE$15),0),15-13*ORÇAMENTO!$AF$11)),
         0)</f>
        <v>0</v>
      </c>
      <c r="AF400" s="454">
        <f ca="1">IF(AND($D400="Serviço",AF$12&lt;&gt;0,$H400&gt;0,OR(AUTOEVENTO&lt;&gt;"manual",$M400&lt;&gt;$A$15)),
        IF(Import.TipoArredondamento&lt;&gt;"TransfereGOV",
              ROUND(OFFSET($P400,0,AF$13),15-13*ORÇAMENTO!$AF$7)/$H400*OFFSET(ORÇAMENTO!$X$15,ROW(AF400)-ROW(AF$15),0),
              ROUND(ROUND(OFFSET($P400,0,AF$13),15-13*ORÇAMENTO!$AF$7)*OFFSET(ORÇAMENTO!$W$15,ROW(AF400)-ROW(AF$15),0),15-13*ORÇAMENTO!$AF$11)),
         0)</f>
        <v>0</v>
      </c>
      <c r="AG400" s="454">
        <f ca="1">IF(AND($D400="Serviço",AG$12&lt;&gt;0,$H400&gt;0,OR(AUTOEVENTO&lt;&gt;"manual",$M400&lt;&gt;$A$15)),
        IF(Import.TipoArredondamento&lt;&gt;"TransfereGOV",
              ROUND(OFFSET($P400,0,AG$13),15-13*ORÇAMENTO!$AF$7)/$H400*OFFSET(ORÇAMENTO!$X$15,ROW(AG400)-ROW(AG$15),0),
              ROUND(ROUND(OFFSET($P400,0,AG$13),15-13*ORÇAMENTO!$AF$7)*OFFSET(ORÇAMENTO!$W$15,ROW(AG400)-ROW(AG$15),0),15-13*ORÇAMENTO!$AF$11)),
         0)</f>
        <v>0</v>
      </c>
      <c r="AH400" s="454">
        <f ca="1">IF(AND($D400="Serviço",AH$12&lt;&gt;0,$H400&gt;0,OR(AUTOEVENTO&lt;&gt;"manual",$M400&lt;&gt;$A$15)),
        IF(Import.TipoArredondamento&lt;&gt;"TransfereGOV",
              ROUND(OFFSET($P400,0,AH$13),15-13*ORÇAMENTO!$AF$7)/$H400*OFFSET(ORÇAMENTO!$X$15,ROW(AH400)-ROW(AH$15),0),
              ROUND(ROUND(OFFSET($P400,0,AH$13),15-13*ORÇAMENTO!$AF$7)*OFFSET(ORÇAMENTO!$W$15,ROW(AH400)-ROW(AH$15),0),15-13*ORÇAMENTO!$AF$11)),
         0)</f>
        <v>0</v>
      </c>
      <c r="AI400" s="454">
        <f ca="1">IF(AND($D400="Serviço",AI$12&lt;&gt;0,$H400&gt;0,OR(AUTOEVENTO&lt;&gt;"manual",$M400&lt;&gt;$A$15)),
        IF(Import.TipoArredondamento&lt;&gt;"TransfereGOV",
              ROUND(OFFSET($P400,0,AI$13),15-13*ORÇAMENTO!$AF$7)/$H400*OFFSET(ORÇAMENTO!$X$15,ROW(AI400)-ROW(AI$15),0),
              ROUND(ROUND(OFFSET($P400,0,AI$13),15-13*ORÇAMENTO!$AF$7)*OFFSET(ORÇAMENTO!$W$15,ROW(AI400)-ROW(AI$15),0),15-13*ORÇAMENTO!$AF$11)),
         0)</f>
        <v>0</v>
      </c>
      <c r="AJ400" s="454">
        <f ca="1">IF(AND($D400="Serviço",AJ$12&lt;&gt;0,$H400&gt;0,OR(AUTOEVENTO&lt;&gt;"manual",$M400&lt;&gt;$A$15)),
        IF(Import.TipoArredondamento&lt;&gt;"TransfereGOV",
              ROUND(OFFSET($P400,0,AJ$13),15-13*ORÇAMENTO!$AF$7)/$H400*OFFSET(ORÇAMENTO!$X$15,ROW(AJ400)-ROW(AJ$15),0),
              ROUND(ROUND(OFFSET($P400,0,AJ$13),15-13*ORÇAMENTO!$AF$7)*OFFSET(ORÇAMENTO!$W$15,ROW(AJ400)-ROW(AJ$15),0),15-13*ORÇAMENTO!$AF$11)),
         0)</f>
        <v>0</v>
      </c>
      <c r="AK400" s="454">
        <f ca="1">IF(AND($D400="Serviço",AK$12&lt;&gt;0,$H400&gt;0,OR(AUTOEVENTO&lt;&gt;"manual",$M400&lt;&gt;$A$15)),
        IF(Import.TipoArredondamento&lt;&gt;"TransfereGOV",
              ROUND(OFFSET($P400,0,AK$13),15-13*ORÇAMENTO!$AF$7)/$H400*OFFSET(ORÇAMENTO!$X$15,ROW(AK400)-ROW(AK$15),0),
              ROUND(ROUND(OFFSET($P400,0,AK$13),15-13*ORÇAMENTO!$AF$7)*OFFSET(ORÇAMENTO!$W$15,ROW(AK400)-ROW(AK$15),0),15-13*ORÇAMENTO!$AF$11)),
         0)</f>
        <v>0</v>
      </c>
      <c r="AM400" s="172">
        <f ca="1">IF(OR($D400&lt;&gt;"Serviço",AND(AUTOEVENTO="Manual",$M400=$A$15)),0,
         IF(OFFSET(CRONOPLE!$F$15,$M400-$A$15,AM$13)="",10^12,OFFSET(CRONOPLE!$F$15,$M400-$A$15,AM$13)))</f>
        <v>0</v>
      </c>
      <c r="AN400" s="172">
        <f ca="1">IF(OR($D400&lt;&gt;"Serviço",AND(AUTOEVENTO="Manual",$M400=$A$15)),0,
         IF(OFFSET(CRONOPLE!$F$15,$M400-$A$15,AN$13)="",10^12,OFFSET(CRONOPLE!$F$15,$M400-$A$15,AN$13)))</f>
        <v>0</v>
      </c>
      <c r="AO400" s="172">
        <f ca="1">IF(OR($D400&lt;&gt;"Serviço",AND(AUTOEVENTO="Manual",$M400=$A$15)),0,
         IF(OFFSET(CRONOPLE!$F$15,$M400-$A$15,AO$13)="",10^12,OFFSET(CRONOPLE!$F$15,$M400-$A$15,AO$13)))</f>
        <v>0</v>
      </c>
      <c r="AP400" s="172">
        <f ca="1">IF(OR($D400&lt;&gt;"Serviço",AND(AUTOEVENTO="Manual",$M400=$A$15)),0,
         IF(OFFSET(CRONOPLE!$F$15,$M400-$A$15,AP$13)="",10^12,OFFSET(CRONOPLE!$F$15,$M400-$A$15,AP$13)))</f>
        <v>0</v>
      </c>
      <c r="AQ400" s="172">
        <f ca="1">IF(OR($D400&lt;&gt;"Serviço",AND(AUTOEVENTO="Manual",$M400=$A$15)),0,
         IF(OFFSET(CRONOPLE!$F$15,$M400-$A$15,AQ$13)="",10^12,OFFSET(CRONOPLE!$F$15,$M400-$A$15,AQ$13)))</f>
        <v>0</v>
      </c>
      <c r="AR400" s="172">
        <f ca="1">IF(OR($D400&lt;&gt;"Serviço",AND(AUTOEVENTO="Manual",$M400=$A$15)),0,
         IF(OFFSET(CRONOPLE!$F$15,$M400-$A$15,AR$13)="",10^12,OFFSET(CRONOPLE!$F$15,$M400-$A$15,AR$13)))</f>
        <v>0</v>
      </c>
      <c r="AS400" s="172">
        <f ca="1">IF(OR($D400&lt;&gt;"Serviço",AND(AUTOEVENTO="Manual",$M400=$A$15)),0,
         IF(OFFSET(CRONOPLE!$F$15,$M400-$A$15,AS$13)="",10^12,OFFSET(CRONOPLE!$F$15,$M400-$A$15,AS$13)))</f>
        <v>0</v>
      </c>
      <c r="AT400" s="172">
        <f ca="1">IF(OR($D400&lt;&gt;"Serviço",AND(AUTOEVENTO="Manual",$M400=$A$15)),0,
         IF(OFFSET(CRONOPLE!$F$15,$M400-$A$15,AT$13)="",10^12,OFFSET(CRONOPLE!$F$15,$M400-$A$15,AT$13)))</f>
        <v>0</v>
      </c>
      <c r="AU400" s="172">
        <f ca="1">IF(OR($D400&lt;&gt;"Serviço",AND(AUTOEVENTO="Manual",$M400=$A$15)),0,
         IF(OFFSET(CRONOPLE!$F$15,$M400-$A$15,AU$13)="",10^12,OFFSET(CRONOPLE!$F$15,$M400-$A$15,AU$13)))</f>
        <v>0</v>
      </c>
      <c r="AV400" s="172">
        <f ca="1">IF(OR($D400&lt;&gt;"Serviço",AND(AUTOEVENTO="Manual",$M400=$A$15)),0,
         IF(OFFSET(CRONOPLE!$F$15,$M400-$A$15,AV$13)="",10^12,OFFSET(CRONOPLE!$F$15,$M400-$A$15,AV$13)))</f>
        <v>0</v>
      </c>
      <c r="AX400" s="173">
        <f ca="1">IF(OR($D400&lt;&gt;"Serviço",AND(AUTOEVENTO="Manual",$M400=$A$15),$M400&gt;(ROW(PLE.lastrow)-ROW(PLE.firstrow))),0,
           IF(OFFSET(PLE!$G$15,$M400-$A$15,AX$13)="",10^12,OFFSET(PLE!$G$15,$M400-$A$15,AX$13)))</f>
        <v>0</v>
      </c>
      <c r="AY400" s="173">
        <f ca="1">IF(OR($D400&lt;&gt;"Serviço",AND(AUTOEVENTO="Manual",$M400=$A$15),$M400&gt;(ROW(PLE.lastrow)-ROW(PLE.firstrow))),0,
           IF(OFFSET(PLE!$G$15,$M400-$A$15,AY$13)="",10^12,OFFSET(PLE!$G$15,$M400-$A$15,AY$13)))</f>
        <v>0</v>
      </c>
      <c r="AZ400" s="173">
        <f ca="1">IF(OR($D400&lt;&gt;"Serviço",AND(AUTOEVENTO="Manual",$M400=$A$15),$M400&gt;(ROW(PLE.lastrow)-ROW(PLE.firstrow))),0,
           IF(OFFSET(PLE!$G$15,$M400-$A$15,AZ$13)="",10^12,OFFSET(PLE!$G$15,$M400-$A$15,AZ$13)))</f>
        <v>0</v>
      </c>
      <c r="BA400" s="173">
        <f ca="1">IF(OR($D400&lt;&gt;"Serviço",AND(AUTOEVENTO="Manual",$M400=$A$15),$M400&gt;(ROW(PLE.lastrow)-ROW(PLE.firstrow))),0,
           IF(OFFSET(PLE!$G$15,$M400-$A$15,BA$13)="",10^12,OFFSET(PLE!$G$15,$M400-$A$15,BA$13)))</f>
        <v>0</v>
      </c>
      <c r="BB400" s="173">
        <f ca="1">IF(OR($D400&lt;&gt;"Serviço",AND(AUTOEVENTO="Manual",$M400=$A$15),$M400&gt;(ROW(PLE.lastrow)-ROW(PLE.firstrow))),0,
           IF(OFFSET(PLE!$G$15,$M400-$A$15,BB$13)="",10^12,OFFSET(PLE!$G$15,$M400-$A$15,BB$13)))</f>
        <v>0</v>
      </c>
      <c r="BC400" s="173">
        <f ca="1">IF(OR($D400&lt;&gt;"Serviço",AND(AUTOEVENTO="Manual",$M400=$A$15),$M400&gt;(ROW(PLE.lastrow)-ROW(PLE.firstrow))),0,
           IF(OFFSET(PLE!$G$15,$M400-$A$15,BC$13)="",10^12,OFFSET(PLE!$G$15,$M400-$A$15,BC$13)))</f>
        <v>0</v>
      </c>
      <c r="BD400" s="173">
        <f ca="1">IF(OR($D400&lt;&gt;"Serviço",AND(AUTOEVENTO="Manual",$M400=$A$15),$M400&gt;(ROW(PLE.lastrow)-ROW(PLE.firstrow))),0,
           IF(OFFSET(PLE!$G$15,$M400-$A$15,BD$13)="",10^12,OFFSET(PLE!$G$15,$M400-$A$15,BD$13)))</f>
        <v>0</v>
      </c>
      <c r="BE400" s="173">
        <f ca="1">IF(OR($D400&lt;&gt;"Serviço",AND(AUTOEVENTO="Manual",$M400=$A$15),$M400&gt;(ROW(PLE.lastrow)-ROW(PLE.firstrow))),0,
           IF(OFFSET(PLE!$G$15,$M400-$A$15,BE$13)="",10^12,OFFSET(PLE!$G$15,$M400-$A$15,BE$13)))</f>
        <v>0</v>
      </c>
      <c r="BF400" s="173">
        <f ca="1">IF(OR($D400&lt;&gt;"Serviço",AND(AUTOEVENTO="Manual",$M400=$A$15),$M400&gt;(ROW(PLE.lastrow)-ROW(PLE.firstrow))),0,
           IF(OFFSET(PLE!$G$15,$M400-$A$15,BF$13)="",10^12,OFFSET(PLE!$G$15,$M400-$A$15,BF$13)))</f>
        <v>0</v>
      </c>
      <c r="BG400" s="173">
        <f ca="1">IF(OR($D400&lt;&gt;"Serviço",AND(AUTOEVENTO="Manual",$M400=$A$15),$M400&gt;(ROW(PLE.lastrow)-ROW(PLE.firstrow))),0,
           IF(OFFSET(PLE!$G$15,$M400-$A$15,BG$13)="",10^12,OFFSET(PLE!$G$15,$M400-$A$15,BG$13)))</f>
        <v>0</v>
      </c>
    </row>
    <row r="401" spans="1:59" ht="25.5" x14ac:dyDescent="0.2">
      <c r="A401" s="7" t="str">
        <f t="shared" ca="1" si="13"/>
        <v>385</v>
      </c>
      <c r="B401" s="7" t="str">
        <f ca="1">OFFSET(ORÇAMENTO!C$15,ROW(B401)-ROW(B$15),0)</f>
        <v>S</v>
      </c>
      <c r="C401" s="7" t="str">
        <f ca="1">OFFSET(ORÇAMENTO!L$15,ROW(C401)-ROW(C$15),0)</f>
        <v/>
      </c>
      <c r="D401" s="117" t="str">
        <f ca="1">OFFSET(ORÇAMENTO!N$15,ROW(D401)-ROW(D$15),0)</f>
        <v>Serviço</v>
      </c>
      <c r="E401" s="118" t="str">
        <f ca="1">OFFSET(ORÇAMENTO!O$15,ROW(E401)-ROW(E$15),0)</f>
        <v>-</v>
      </c>
      <c r="F401" s="164" t="str">
        <f ca="1">OFFSET(ORÇAMENTO!R$15,ROW(F401)-ROW(F$15),0)</f>
        <v>CISTERNA VERTICAL MODULAR 600 L - FORNECIMENTO E INSTALAÇÃO</v>
      </c>
      <c r="G401" s="165" t="str">
        <f ca="1">IF($D401&lt;&gt;"Serviço","",OFFSET(ORÇAMENTO!S$15,ROW(G401)-ROW(G$15),0))</f>
        <v>UN</v>
      </c>
      <c r="H401" s="123">
        <f ca="1">IF($D401&lt;&gt;"Serviço",0,IF(ACOMPANHAMENTO="BM",ROUND(OFFSET(ORÇAMENTO!AJ$15,ROW(H401)-ROW(H$15),0),15-13*ORÇAMENTO!$AF$7),SUMPRODUCT(($Q$1:$AA$1=1)*ROUND($Q401:$AA401,15-13*ORÇAMENTO!$AF$7))))</f>
        <v>1</v>
      </c>
      <c r="I401" s="469"/>
      <c r="J401" s="577" t="str" cm="1">
        <f t="array" aca="1" ref="J401" ca="1">IF(B401&lt;&gt;"S","",IF(AND(ACOMPANHAMENTO="PLE",AUTOEVENTO="Manual",OR(H401&gt;0,ORÇAMENTO!AC401="QUANT."),OR(K401="",M401=0,N401="")),"►",IF(AND(ACOMPANHAMENTO="PLE",ORÇAMENTO!AC401="QUANT."),"►►",IF(AND(COUNTIF($P$11:$AA$11,"▼")=0,H401&gt;0,I401=""),"◄",""))))</f>
        <v>◄</v>
      </c>
      <c r="K401" s="626"/>
      <c r="L401" s="166" t="s">
        <v>765</v>
      </c>
      <c r="M401" s="167">
        <f ca="1">IF($D401&lt;&gt;"Serviço","",
          IF(AUTOEVENTO="manual",$A401,
                IF(ISERROR(MATCH($A401,$A$15:OFFSET($A401,-1,0),0)),MAX($M$15:OFFSET(M401,-1,0))+1,
                      INDEX($M$15:OFFSET(M401,-1,0),MATCH($A401,$A$15:OFFSET($A401,-1,0),0)))))</f>
        <v>23</v>
      </c>
      <c r="N401" s="168" t="str">
        <f ca="1">IF($D401&lt;&gt;"Serviço","",
         IF(AUTOEVENTO="Manual",
                IF($A401=0,"&lt;-- defina o número do agrupador",
                       OFFSET(EVENTOS!$D$15,$A401-$A$15,0)),
                OFFSET($F$15,$A401,0)))</f>
        <v>SISTEMA DE REUSO DE ÁGUA</v>
      </c>
      <c r="O401" s="169"/>
      <c r="Q401" s="169"/>
      <c r="R401" s="170"/>
      <c r="S401" s="170"/>
      <c r="T401" s="170"/>
      <c r="U401" s="170"/>
      <c r="V401" s="170"/>
      <c r="W401" s="170"/>
      <c r="X401" s="170"/>
      <c r="Y401" s="170"/>
      <c r="Z401" s="171"/>
      <c r="AB401" s="454">
        <f ca="1">IF(AND($D401="Serviço",AB$12&lt;&gt;0,$H401&gt;0,OR(AUTOEVENTO&lt;&gt;"manual",$M401&lt;&gt;$A$15)),
        IF(Import.TipoArredondamento&lt;&gt;"TransfereGOV",
              ROUND(OFFSET($P401,0,AB$13),15-13*ORÇAMENTO!$AF$7)/$H401*OFFSET(ORÇAMENTO!$X$15,ROW(AB401)-ROW(AB$15),0),
              ROUND(ROUND(OFFSET($P401,0,AB$13),15-13*ORÇAMENTO!$AF$7)*OFFSET(ORÇAMENTO!$W$15,ROW(AB401)-ROW(AB$15),0),15-13*ORÇAMENTO!$AF$11)),
         0)</f>
        <v>0</v>
      </c>
      <c r="AC401" s="454">
        <f ca="1">IF(AND($D401="Serviço",AC$12&lt;&gt;0,$H401&gt;0,OR(AUTOEVENTO&lt;&gt;"manual",$M401&lt;&gt;$A$15)),
        IF(Import.TipoArredondamento&lt;&gt;"TransfereGOV",
              ROUND(OFFSET($P401,0,AC$13),15-13*ORÇAMENTO!$AF$7)/$H401*OFFSET(ORÇAMENTO!$X$15,ROW(AC401)-ROW(AC$15),0),
              ROUND(ROUND(OFFSET($P401,0,AC$13),15-13*ORÇAMENTO!$AF$7)*OFFSET(ORÇAMENTO!$W$15,ROW(AC401)-ROW(AC$15),0),15-13*ORÇAMENTO!$AF$11)),
         0)</f>
        <v>0</v>
      </c>
      <c r="AD401" s="454">
        <f ca="1">IF(AND($D401="Serviço",AD$12&lt;&gt;0,$H401&gt;0,OR(AUTOEVENTO&lt;&gt;"manual",$M401&lt;&gt;$A$15)),
        IF(Import.TipoArredondamento&lt;&gt;"TransfereGOV",
              ROUND(OFFSET($P401,0,AD$13),15-13*ORÇAMENTO!$AF$7)/$H401*OFFSET(ORÇAMENTO!$X$15,ROW(AD401)-ROW(AD$15),0),
              ROUND(ROUND(OFFSET($P401,0,AD$13),15-13*ORÇAMENTO!$AF$7)*OFFSET(ORÇAMENTO!$W$15,ROW(AD401)-ROW(AD$15),0),15-13*ORÇAMENTO!$AF$11)),
         0)</f>
        <v>0</v>
      </c>
      <c r="AE401" s="454">
        <f ca="1">IF(AND($D401="Serviço",AE$12&lt;&gt;0,$H401&gt;0,OR(AUTOEVENTO&lt;&gt;"manual",$M401&lt;&gt;$A$15)),
        IF(Import.TipoArredondamento&lt;&gt;"TransfereGOV",
              ROUND(OFFSET($P401,0,AE$13),15-13*ORÇAMENTO!$AF$7)/$H401*OFFSET(ORÇAMENTO!$X$15,ROW(AE401)-ROW(AE$15),0),
              ROUND(ROUND(OFFSET($P401,0,AE$13),15-13*ORÇAMENTO!$AF$7)*OFFSET(ORÇAMENTO!$W$15,ROW(AE401)-ROW(AE$15),0),15-13*ORÇAMENTO!$AF$11)),
         0)</f>
        <v>0</v>
      </c>
      <c r="AF401" s="454">
        <f ca="1">IF(AND($D401="Serviço",AF$12&lt;&gt;0,$H401&gt;0,OR(AUTOEVENTO&lt;&gt;"manual",$M401&lt;&gt;$A$15)),
        IF(Import.TipoArredondamento&lt;&gt;"TransfereGOV",
              ROUND(OFFSET($P401,0,AF$13),15-13*ORÇAMENTO!$AF$7)/$H401*OFFSET(ORÇAMENTO!$X$15,ROW(AF401)-ROW(AF$15),0),
              ROUND(ROUND(OFFSET($P401,0,AF$13),15-13*ORÇAMENTO!$AF$7)*OFFSET(ORÇAMENTO!$W$15,ROW(AF401)-ROW(AF$15),0),15-13*ORÇAMENTO!$AF$11)),
         0)</f>
        <v>0</v>
      </c>
      <c r="AG401" s="454">
        <f ca="1">IF(AND($D401="Serviço",AG$12&lt;&gt;0,$H401&gt;0,OR(AUTOEVENTO&lt;&gt;"manual",$M401&lt;&gt;$A$15)),
        IF(Import.TipoArredondamento&lt;&gt;"TransfereGOV",
              ROUND(OFFSET($P401,0,AG$13),15-13*ORÇAMENTO!$AF$7)/$H401*OFFSET(ORÇAMENTO!$X$15,ROW(AG401)-ROW(AG$15),0),
              ROUND(ROUND(OFFSET($P401,0,AG$13),15-13*ORÇAMENTO!$AF$7)*OFFSET(ORÇAMENTO!$W$15,ROW(AG401)-ROW(AG$15),0),15-13*ORÇAMENTO!$AF$11)),
         0)</f>
        <v>0</v>
      </c>
      <c r="AH401" s="454">
        <f ca="1">IF(AND($D401="Serviço",AH$12&lt;&gt;0,$H401&gt;0,OR(AUTOEVENTO&lt;&gt;"manual",$M401&lt;&gt;$A$15)),
        IF(Import.TipoArredondamento&lt;&gt;"TransfereGOV",
              ROUND(OFFSET($P401,0,AH$13),15-13*ORÇAMENTO!$AF$7)/$H401*OFFSET(ORÇAMENTO!$X$15,ROW(AH401)-ROW(AH$15),0),
              ROUND(ROUND(OFFSET($P401,0,AH$13),15-13*ORÇAMENTO!$AF$7)*OFFSET(ORÇAMENTO!$W$15,ROW(AH401)-ROW(AH$15),0),15-13*ORÇAMENTO!$AF$11)),
         0)</f>
        <v>0</v>
      </c>
      <c r="AI401" s="454">
        <f ca="1">IF(AND($D401="Serviço",AI$12&lt;&gt;0,$H401&gt;0,OR(AUTOEVENTO&lt;&gt;"manual",$M401&lt;&gt;$A$15)),
        IF(Import.TipoArredondamento&lt;&gt;"TransfereGOV",
              ROUND(OFFSET($P401,0,AI$13),15-13*ORÇAMENTO!$AF$7)/$H401*OFFSET(ORÇAMENTO!$X$15,ROW(AI401)-ROW(AI$15),0),
              ROUND(ROUND(OFFSET($P401,0,AI$13),15-13*ORÇAMENTO!$AF$7)*OFFSET(ORÇAMENTO!$W$15,ROW(AI401)-ROW(AI$15),0),15-13*ORÇAMENTO!$AF$11)),
         0)</f>
        <v>0</v>
      </c>
      <c r="AJ401" s="454">
        <f ca="1">IF(AND($D401="Serviço",AJ$12&lt;&gt;0,$H401&gt;0,OR(AUTOEVENTO&lt;&gt;"manual",$M401&lt;&gt;$A$15)),
        IF(Import.TipoArredondamento&lt;&gt;"TransfereGOV",
              ROUND(OFFSET($P401,0,AJ$13),15-13*ORÇAMENTO!$AF$7)/$H401*OFFSET(ORÇAMENTO!$X$15,ROW(AJ401)-ROW(AJ$15),0),
              ROUND(ROUND(OFFSET($P401,0,AJ$13),15-13*ORÇAMENTO!$AF$7)*OFFSET(ORÇAMENTO!$W$15,ROW(AJ401)-ROW(AJ$15),0),15-13*ORÇAMENTO!$AF$11)),
         0)</f>
        <v>0</v>
      </c>
      <c r="AK401" s="454">
        <f ca="1">IF(AND($D401="Serviço",AK$12&lt;&gt;0,$H401&gt;0,OR(AUTOEVENTO&lt;&gt;"manual",$M401&lt;&gt;$A$15)),
        IF(Import.TipoArredondamento&lt;&gt;"TransfereGOV",
              ROUND(OFFSET($P401,0,AK$13),15-13*ORÇAMENTO!$AF$7)/$H401*OFFSET(ORÇAMENTO!$X$15,ROW(AK401)-ROW(AK$15),0),
              ROUND(ROUND(OFFSET($P401,0,AK$13),15-13*ORÇAMENTO!$AF$7)*OFFSET(ORÇAMENTO!$W$15,ROW(AK401)-ROW(AK$15),0),15-13*ORÇAMENTO!$AF$11)),
         0)</f>
        <v>0</v>
      </c>
      <c r="AM401" s="172">
        <f ca="1">IF(OR($D401&lt;&gt;"Serviço",AND(AUTOEVENTO="Manual",$M401=$A$15)),0,
         IF(OFFSET(CRONOPLE!$F$15,$M401-$A$15,AM$13)="",10^12,OFFSET(CRONOPLE!$F$15,$M401-$A$15,AM$13)))</f>
        <v>1000000000000</v>
      </c>
      <c r="AN401" s="172">
        <f ca="1">IF(OR($D401&lt;&gt;"Serviço",AND(AUTOEVENTO="Manual",$M401=$A$15)),0,
         IF(OFFSET(CRONOPLE!$F$15,$M401-$A$15,AN$13)="",10^12,OFFSET(CRONOPLE!$F$15,$M401-$A$15,AN$13)))</f>
        <v>1000000000000</v>
      </c>
      <c r="AO401" s="172">
        <f ca="1">IF(OR($D401&lt;&gt;"Serviço",AND(AUTOEVENTO="Manual",$M401=$A$15)),0,
         IF(OFFSET(CRONOPLE!$F$15,$M401-$A$15,AO$13)="",10^12,OFFSET(CRONOPLE!$F$15,$M401-$A$15,AO$13)))</f>
        <v>1000000000000</v>
      </c>
      <c r="AP401" s="172">
        <f ca="1">IF(OR($D401&lt;&gt;"Serviço",AND(AUTOEVENTO="Manual",$M401=$A$15)),0,
         IF(OFFSET(CRONOPLE!$F$15,$M401-$A$15,AP$13)="",10^12,OFFSET(CRONOPLE!$F$15,$M401-$A$15,AP$13)))</f>
        <v>1000000000000</v>
      </c>
      <c r="AQ401" s="172">
        <f ca="1">IF(OR($D401&lt;&gt;"Serviço",AND(AUTOEVENTO="Manual",$M401=$A$15)),0,
         IF(OFFSET(CRONOPLE!$F$15,$M401-$A$15,AQ$13)="",10^12,OFFSET(CRONOPLE!$F$15,$M401-$A$15,AQ$13)))</f>
        <v>1000000000000</v>
      </c>
      <c r="AR401" s="172">
        <f ca="1">IF(OR($D401&lt;&gt;"Serviço",AND(AUTOEVENTO="Manual",$M401=$A$15)),0,
         IF(OFFSET(CRONOPLE!$F$15,$M401-$A$15,AR$13)="",10^12,OFFSET(CRONOPLE!$F$15,$M401-$A$15,AR$13)))</f>
        <v>1000000000000</v>
      </c>
      <c r="AS401" s="172">
        <f ca="1">IF(OR($D401&lt;&gt;"Serviço",AND(AUTOEVENTO="Manual",$M401=$A$15)),0,
         IF(OFFSET(CRONOPLE!$F$15,$M401-$A$15,AS$13)="",10^12,OFFSET(CRONOPLE!$F$15,$M401-$A$15,AS$13)))</f>
        <v>1000000000000</v>
      </c>
      <c r="AT401" s="172">
        <f ca="1">IF(OR($D401&lt;&gt;"Serviço",AND(AUTOEVENTO="Manual",$M401=$A$15)),0,
         IF(OFFSET(CRONOPLE!$F$15,$M401-$A$15,AT$13)="",10^12,OFFSET(CRONOPLE!$F$15,$M401-$A$15,AT$13)))</f>
        <v>1000000000000</v>
      </c>
      <c r="AU401" s="172">
        <f ca="1">IF(OR($D401&lt;&gt;"Serviço",AND(AUTOEVENTO="Manual",$M401=$A$15)),0,
         IF(OFFSET(CRONOPLE!$F$15,$M401-$A$15,AU$13)="",10^12,OFFSET(CRONOPLE!$F$15,$M401-$A$15,AU$13)))</f>
        <v>1000000000000</v>
      </c>
      <c r="AV401" s="172">
        <f ca="1">IF(OR($D401&lt;&gt;"Serviço",AND(AUTOEVENTO="Manual",$M401=$A$15)),0,
         IF(OFFSET(CRONOPLE!$F$15,$M401-$A$15,AV$13)="",10^12,OFFSET(CRONOPLE!$F$15,$M401-$A$15,AV$13)))</f>
        <v>1000000000000</v>
      </c>
      <c r="AX401" s="173">
        <f ca="1">IF(OR($D401&lt;&gt;"Serviço",AND(AUTOEVENTO="Manual",$M401=$A$15),$M401&gt;(ROW(PLE.lastrow)-ROW(PLE.firstrow))),0,
           IF(OFFSET(PLE!$G$15,$M401-$A$15,AX$13)="",10^12,OFFSET(PLE!$G$15,$M401-$A$15,AX$13)))</f>
        <v>1000000000000</v>
      </c>
      <c r="AY401" s="173">
        <f ca="1">IF(OR($D401&lt;&gt;"Serviço",AND(AUTOEVENTO="Manual",$M401=$A$15),$M401&gt;(ROW(PLE.lastrow)-ROW(PLE.firstrow))),0,
           IF(OFFSET(PLE!$G$15,$M401-$A$15,AY$13)="",10^12,OFFSET(PLE!$G$15,$M401-$A$15,AY$13)))</f>
        <v>1000000000000</v>
      </c>
      <c r="AZ401" s="173">
        <f ca="1">IF(OR($D401&lt;&gt;"Serviço",AND(AUTOEVENTO="Manual",$M401=$A$15),$M401&gt;(ROW(PLE.lastrow)-ROW(PLE.firstrow))),0,
           IF(OFFSET(PLE!$G$15,$M401-$A$15,AZ$13)="",10^12,OFFSET(PLE!$G$15,$M401-$A$15,AZ$13)))</f>
        <v>1000000000000</v>
      </c>
      <c r="BA401" s="173">
        <f ca="1">IF(OR($D401&lt;&gt;"Serviço",AND(AUTOEVENTO="Manual",$M401=$A$15),$M401&gt;(ROW(PLE.lastrow)-ROW(PLE.firstrow))),0,
           IF(OFFSET(PLE!$G$15,$M401-$A$15,BA$13)="",10^12,OFFSET(PLE!$G$15,$M401-$A$15,BA$13)))</f>
        <v>1000000000000</v>
      </c>
      <c r="BB401" s="173">
        <f ca="1">IF(OR($D401&lt;&gt;"Serviço",AND(AUTOEVENTO="Manual",$M401=$A$15),$M401&gt;(ROW(PLE.lastrow)-ROW(PLE.firstrow))),0,
           IF(OFFSET(PLE!$G$15,$M401-$A$15,BB$13)="",10^12,OFFSET(PLE!$G$15,$M401-$A$15,BB$13)))</f>
        <v>1000000000000</v>
      </c>
      <c r="BC401" s="173">
        <f ca="1">IF(OR($D401&lt;&gt;"Serviço",AND(AUTOEVENTO="Manual",$M401=$A$15),$M401&gt;(ROW(PLE.lastrow)-ROW(PLE.firstrow))),0,
           IF(OFFSET(PLE!$G$15,$M401-$A$15,BC$13)="",10^12,OFFSET(PLE!$G$15,$M401-$A$15,BC$13)))</f>
        <v>1000000000000</v>
      </c>
      <c r="BD401" s="173">
        <f ca="1">IF(OR($D401&lt;&gt;"Serviço",AND(AUTOEVENTO="Manual",$M401=$A$15),$M401&gt;(ROW(PLE.lastrow)-ROW(PLE.firstrow))),0,
           IF(OFFSET(PLE!$G$15,$M401-$A$15,BD$13)="",10^12,OFFSET(PLE!$G$15,$M401-$A$15,BD$13)))</f>
        <v>1000000000000</v>
      </c>
      <c r="BE401" s="173">
        <f ca="1">IF(OR($D401&lt;&gt;"Serviço",AND(AUTOEVENTO="Manual",$M401=$A$15),$M401&gt;(ROW(PLE.lastrow)-ROW(PLE.firstrow))),0,
           IF(OFFSET(PLE!$G$15,$M401-$A$15,BE$13)="",10^12,OFFSET(PLE!$G$15,$M401-$A$15,BE$13)))</f>
        <v>1000000000000</v>
      </c>
      <c r="BF401" s="173">
        <f ca="1">IF(OR($D401&lt;&gt;"Serviço",AND(AUTOEVENTO="Manual",$M401=$A$15),$M401&gt;(ROW(PLE.lastrow)-ROW(PLE.firstrow))),0,
           IF(OFFSET(PLE!$G$15,$M401-$A$15,BF$13)="",10^12,OFFSET(PLE!$G$15,$M401-$A$15,BF$13)))</f>
        <v>1000000000000</v>
      </c>
      <c r="BG401" s="173">
        <f ca="1">IF(OR($D401&lt;&gt;"Serviço",AND(AUTOEVENTO="Manual",$M401=$A$15),$M401&gt;(ROW(PLE.lastrow)-ROW(PLE.firstrow))),0,
           IF(OFFSET(PLE!$G$15,$M401-$A$15,BG$13)="",10^12,OFFSET(PLE!$G$15,$M401-$A$15,BG$13)))</f>
        <v>1000000000000</v>
      </c>
    </row>
    <row r="402" spans="1:59" ht="25.5" x14ac:dyDescent="0.2">
      <c r="A402" s="7" t="str">
        <f t="shared" ca="1" si="13"/>
        <v>385</v>
      </c>
      <c r="B402" s="7" t="str">
        <f ca="1">OFFSET(ORÇAMENTO!C$15,ROW(B402)-ROW(B$15),0)</f>
        <v>S</v>
      </c>
      <c r="C402" s="7" t="str">
        <f ca="1">OFFSET(ORÇAMENTO!L$15,ROW(C402)-ROW(C$15),0)</f>
        <v/>
      </c>
      <c r="D402" s="117" t="str">
        <f ca="1">OFFSET(ORÇAMENTO!N$15,ROW(D402)-ROW(D$15),0)</f>
        <v>Serviço</v>
      </c>
      <c r="E402" s="118" t="str">
        <f ca="1">OFFSET(ORÇAMENTO!O$15,ROW(E402)-ROW(E$15),0)</f>
        <v>-</v>
      </c>
      <c r="F402" s="164" t="str">
        <f ca="1">OFFSET(ORÇAMENTO!R$15,ROW(F402)-ROW(F$15),0)</f>
        <v>SMART FILTRO PARA CISTERNA MODULAR - FORNECIMENTO E INSTALAÇÃO</v>
      </c>
      <c r="G402" s="165" t="str">
        <f ca="1">IF($D402&lt;&gt;"Serviço","",OFFSET(ORÇAMENTO!S$15,ROW(G402)-ROW(G$15),0))</f>
        <v>UN</v>
      </c>
      <c r="H402" s="123">
        <f ca="1">IF($D402&lt;&gt;"Serviço",0,IF(ACOMPANHAMENTO="BM",ROUND(OFFSET(ORÇAMENTO!AJ$15,ROW(H402)-ROW(H$15),0),15-13*ORÇAMENTO!$AF$7),SUMPRODUCT(($Q$1:$AA$1=1)*ROUND($Q402:$AA402,15-13*ORÇAMENTO!$AF$7))))</f>
        <v>1</v>
      </c>
      <c r="I402" s="469"/>
      <c r="J402" s="577" t="str" cm="1">
        <f t="array" aca="1" ref="J402" ca="1">IF(B402&lt;&gt;"S","",IF(AND(ACOMPANHAMENTO="PLE",AUTOEVENTO="Manual",OR(H402&gt;0,ORÇAMENTO!AC402="QUANT."),OR(K402="",M402=0,N402="")),"►",IF(AND(ACOMPANHAMENTO="PLE",ORÇAMENTO!AC402="QUANT."),"►►",IF(AND(COUNTIF($P$11:$AA$11,"▼")=0,H402&gt;0,I402=""),"◄",""))))</f>
        <v>◄</v>
      </c>
      <c r="K402" s="626"/>
      <c r="L402" s="166" t="s">
        <v>765</v>
      </c>
      <c r="M402" s="167">
        <f ca="1">IF($D402&lt;&gt;"Serviço","",
          IF(AUTOEVENTO="manual",$A402,
                IF(ISERROR(MATCH($A402,$A$15:OFFSET($A402,-1,0),0)),MAX($M$15:OFFSET(M402,-1,0))+1,
                      INDEX($M$15:OFFSET(M402,-1,0),MATCH($A402,$A$15:OFFSET($A402,-1,0),0)))))</f>
        <v>23</v>
      </c>
      <c r="N402" s="168" t="str">
        <f ca="1">IF($D402&lt;&gt;"Serviço","",
         IF(AUTOEVENTO="Manual",
                IF($A402=0,"&lt;-- defina o número do agrupador",
                       OFFSET(EVENTOS!$D$15,$A402-$A$15,0)),
                OFFSET($F$15,$A402,0)))</f>
        <v>SISTEMA DE REUSO DE ÁGUA</v>
      </c>
      <c r="O402" s="169"/>
      <c r="Q402" s="169"/>
      <c r="R402" s="170"/>
      <c r="S402" s="170"/>
      <c r="T402" s="170"/>
      <c r="U402" s="170"/>
      <c r="V402" s="170"/>
      <c r="W402" s="170"/>
      <c r="X402" s="170"/>
      <c r="Y402" s="170"/>
      <c r="Z402" s="171"/>
      <c r="AB402" s="454">
        <f ca="1">IF(AND($D402="Serviço",AB$12&lt;&gt;0,$H402&gt;0,OR(AUTOEVENTO&lt;&gt;"manual",$M402&lt;&gt;$A$15)),
        IF(Import.TipoArredondamento&lt;&gt;"TransfereGOV",
              ROUND(OFFSET($P402,0,AB$13),15-13*ORÇAMENTO!$AF$7)/$H402*OFFSET(ORÇAMENTO!$X$15,ROW(AB402)-ROW(AB$15),0),
              ROUND(ROUND(OFFSET($P402,0,AB$13),15-13*ORÇAMENTO!$AF$7)*OFFSET(ORÇAMENTO!$W$15,ROW(AB402)-ROW(AB$15),0),15-13*ORÇAMENTO!$AF$11)),
         0)</f>
        <v>0</v>
      </c>
      <c r="AC402" s="454">
        <f ca="1">IF(AND($D402="Serviço",AC$12&lt;&gt;0,$H402&gt;0,OR(AUTOEVENTO&lt;&gt;"manual",$M402&lt;&gt;$A$15)),
        IF(Import.TipoArredondamento&lt;&gt;"TransfereGOV",
              ROUND(OFFSET($P402,0,AC$13),15-13*ORÇAMENTO!$AF$7)/$H402*OFFSET(ORÇAMENTO!$X$15,ROW(AC402)-ROW(AC$15),0),
              ROUND(ROUND(OFFSET($P402,0,AC$13),15-13*ORÇAMENTO!$AF$7)*OFFSET(ORÇAMENTO!$W$15,ROW(AC402)-ROW(AC$15),0),15-13*ORÇAMENTO!$AF$11)),
         0)</f>
        <v>0</v>
      </c>
      <c r="AD402" s="454">
        <f ca="1">IF(AND($D402="Serviço",AD$12&lt;&gt;0,$H402&gt;0,OR(AUTOEVENTO&lt;&gt;"manual",$M402&lt;&gt;$A$15)),
        IF(Import.TipoArredondamento&lt;&gt;"TransfereGOV",
              ROUND(OFFSET($P402,0,AD$13),15-13*ORÇAMENTO!$AF$7)/$H402*OFFSET(ORÇAMENTO!$X$15,ROW(AD402)-ROW(AD$15),0),
              ROUND(ROUND(OFFSET($P402,0,AD$13),15-13*ORÇAMENTO!$AF$7)*OFFSET(ORÇAMENTO!$W$15,ROW(AD402)-ROW(AD$15),0),15-13*ORÇAMENTO!$AF$11)),
         0)</f>
        <v>0</v>
      </c>
      <c r="AE402" s="454">
        <f ca="1">IF(AND($D402="Serviço",AE$12&lt;&gt;0,$H402&gt;0,OR(AUTOEVENTO&lt;&gt;"manual",$M402&lt;&gt;$A$15)),
        IF(Import.TipoArredondamento&lt;&gt;"TransfereGOV",
              ROUND(OFFSET($P402,0,AE$13),15-13*ORÇAMENTO!$AF$7)/$H402*OFFSET(ORÇAMENTO!$X$15,ROW(AE402)-ROW(AE$15),0),
              ROUND(ROUND(OFFSET($P402,0,AE$13),15-13*ORÇAMENTO!$AF$7)*OFFSET(ORÇAMENTO!$W$15,ROW(AE402)-ROW(AE$15),0),15-13*ORÇAMENTO!$AF$11)),
         0)</f>
        <v>0</v>
      </c>
      <c r="AF402" s="454">
        <f ca="1">IF(AND($D402="Serviço",AF$12&lt;&gt;0,$H402&gt;0,OR(AUTOEVENTO&lt;&gt;"manual",$M402&lt;&gt;$A$15)),
        IF(Import.TipoArredondamento&lt;&gt;"TransfereGOV",
              ROUND(OFFSET($P402,0,AF$13),15-13*ORÇAMENTO!$AF$7)/$H402*OFFSET(ORÇAMENTO!$X$15,ROW(AF402)-ROW(AF$15),0),
              ROUND(ROUND(OFFSET($P402,0,AF$13),15-13*ORÇAMENTO!$AF$7)*OFFSET(ORÇAMENTO!$W$15,ROW(AF402)-ROW(AF$15),0),15-13*ORÇAMENTO!$AF$11)),
         0)</f>
        <v>0</v>
      </c>
      <c r="AG402" s="454">
        <f ca="1">IF(AND($D402="Serviço",AG$12&lt;&gt;0,$H402&gt;0,OR(AUTOEVENTO&lt;&gt;"manual",$M402&lt;&gt;$A$15)),
        IF(Import.TipoArredondamento&lt;&gt;"TransfereGOV",
              ROUND(OFFSET($P402,0,AG$13),15-13*ORÇAMENTO!$AF$7)/$H402*OFFSET(ORÇAMENTO!$X$15,ROW(AG402)-ROW(AG$15),0),
              ROUND(ROUND(OFFSET($P402,0,AG$13),15-13*ORÇAMENTO!$AF$7)*OFFSET(ORÇAMENTO!$W$15,ROW(AG402)-ROW(AG$15),0),15-13*ORÇAMENTO!$AF$11)),
         0)</f>
        <v>0</v>
      </c>
      <c r="AH402" s="454">
        <f ca="1">IF(AND($D402="Serviço",AH$12&lt;&gt;0,$H402&gt;0,OR(AUTOEVENTO&lt;&gt;"manual",$M402&lt;&gt;$A$15)),
        IF(Import.TipoArredondamento&lt;&gt;"TransfereGOV",
              ROUND(OFFSET($P402,0,AH$13),15-13*ORÇAMENTO!$AF$7)/$H402*OFFSET(ORÇAMENTO!$X$15,ROW(AH402)-ROW(AH$15),0),
              ROUND(ROUND(OFFSET($P402,0,AH$13),15-13*ORÇAMENTO!$AF$7)*OFFSET(ORÇAMENTO!$W$15,ROW(AH402)-ROW(AH$15),0),15-13*ORÇAMENTO!$AF$11)),
         0)</f>
        <v>0</v>
      </c>
      <c r="AI402" s="454">
        <f ca="1">IF(AND($D402="Serviço",AI$12&lt;&gt;0,$H402&gt;0,OR(AUTOEVENTO&lt;&gt;"manual",$M402&lt;&gt;$A$15)),
        IF(Import.TipoArredondamento&lt;&gt;"TransfereGOV",
              ROUND(OFFSET($P402,0,AI$13),15-13*ORÇAMENTO!$AF$7)/$H402*OFFSET(ORÇAMENTO!$X$15,ROW(AI402)-ROW(AI$15),0),
              ROUND(ROUND(OFFSET($P402,0,AI$13),15-13*ORÇAMENTO!$AF$7)*OFFSET(ORÇAMENTO!$W$15,ROW(AI402)-ROW(AI$15),0),15-13*ORÇAMENTO!$AF$11)),
         0)</f>
        <v>0</v>
      </c>
      <c r="AJ402" s="454">
        <f ca="1">IF(AND($D402="Serviço",AJ$12&lt;&gt;0,$H402&gt;0,OR(AUTOEVENTO&lt;&gt;"manual",$M402&lt;&gt;$A$15)),
        IF(Import.TipoArredondamento&lt;&gt;"TransfereGOV",
              ROUND(OFFSET($P402,0,AJ$13),15-13*ORÇAMENTO!$AF$7)/$H402*OFFSET(ORÇAMENTO!$X$15,ROW(AJ402)-ROW(AJ$15),0),
              ROUND(ROUND(OFFSET($P402,0,AJ$13),15-13*ORÇAMENTO!$AF$7)*OFFSET(ORÇAMENTO!$W$15,ROW(AJ402)-ROW(AJ$15),0),15-13*ORÇAMENTO!$AF$11)),
         0)</f>
        <v>0</v>
      </c>
      <c r="AK402" s="454">
        <f ca="1">IF(AND($D402="Serviço",AK$12&lt;&gt;0,$H402&gt;0,OR(AUTOEVENTO&lt;&gt;"manual",$M402&lt;&gt;$A$15)),
        IF(Import.TipoArredondamento&lt;&gt;"TransfereGOV",
              ROUND(OFFSET($P402,0,AK$13),15-13*ORÇAMENTO!$AF$7)/$H402*OFFSET(ORÇAMENTO!$X$15,ROW(AK402)-ROW(AK$15),0),
              ROUND(ROUND(OFFSET($P402,0,AK$13),15-13*ORÇAMENTO!$AF$7)*OFFSET(ORÇAMENTO!$W$15,ROW(AK402)-ROW(AK$15),0),15-13*ORÇAMENTO!$AF$11)),
         0)</f>
        <v>0</v>
      </c>
      <c r="AM402" s="172">
        <f ca="1">IF(OR($D402&lt;&gt;"Serviço",AND(AUTOEVENTO="Manual",$M402=$A$15)),0,
         IF(OFFSET(CRONOPLE!$F$15,$M402-$A$15,AM$13)="",10^12,OFFSET(CRONOPLE!$F$15,$M402-$A$15,AM$13)))</f>
        <v>1000000000000</v>
      </c>
      <c r="AN402" s="172">
        <f ca="1">IF(OR($D402&lt;&gt;"Serviço",AND(AUTOEVENTO="Manual",$M402=$A$15)),0,
         IF(OFFSET(CRONOPLE!$F$15,$M402-$A$15,AN$13)="",10^12,OFFSET(CRONOPLE!$F$15,$M402-$A$15,AN$13)))</f>
        <v>1000000000000</v>
      </c>
      <c r="AO402" s="172">
        <f ca="1">IF(OR($D402&lt;&gt;"Serviço",AND(AUTOEVENTO="Manual",$M402=$A$15)),0,
         IF(OFFSET(CRONOPLE!$F$15,$M402-$A$15,AO$13)="",10^12,OFFSET(CRONOPLE!$F$15,$M402-$A$15,AO$13)))</f>
        <v>1000000000000</v>
      </c>
      <c r="AP402" s="172">
        <f ca="1">IF(OR($D402&lt;&gt;"Serviço",AND(AUTOEVENTO="Manual",$M402=$A$15)),0,
         IF(OFFSET(CRONOPLE!$F$15,$M402-$A$15,AP$13)="",10^12,OFFSET(CRONOPLE!$F$15,$M402-$A$15,AP$13)))</f>
        <v>1000000000000</v>
      </c>
      <c r="AQ402" s="172">
        <f ca="1">IF(OR($D402&lt;&gt;"Serviço",AND(AUTOEVENTO="Manual",$M402=$A$15)),0,
         IF(OFFSET(CRONOPLE!$F$15,$M402-$A$15,AQ$13)="",10^12,OFFSET(CRONOPLE!$F$15,$M402-$A$15,AQ$13)))</f>
        <v>1000000000000</v>
      </c>
      <c r="AR402" s="172">
        <f ca="1">IF(OR($D402&lt;&gt;"Serviço",AND(AUTOEVENTO="Manual",$M402=$A$15)),0,
         IF(OFFSET(CRONOPLE!$F$15,$M402-$A$15,AR$13)="",10^12,OFFSET(CRONOPLE!$F$15,$M402-$A$15,AR$13)))</f>
        <v>1000000000000</v>
      </c>
      <c r="AS402" s="172">
        <f ca="1">IF(OR($D402&lt;&gt;"Serviço",AND(AUTOEVENTO="Manual",$M402=$A$15)),0,
         IF(OFFSET(CRONOPLE!$F$15,$M402-$A$15,AS$13)="",10^12,OFFSET(CRONOPLE!$F$15,$M402-$A$15,AS$13)))</f>
        <v>1000000000000</v>
      </c>
      <c r="AT402" s="172">
        <f ca="1">IF(OR($D402&lt;&gt;"Serviço",AND(AUTOEVENTO="Manual",$M402=$A$15)),0,
         IF(OFFSET(CRONOPLE!$F$15,$M402-$A$15,AT$13)="",10^12,OFFSET(CRONOPLE!$F$15,$M402-$A$15,AT$13)))</f>
        <v>1000000000000</v>
      </c>
      <c r="AU402" s="172">
        <f ca="1">IF(OR($D402&lt;&gt;"Serviço",AND(AUTOEVENTO="Manual",$M402=$A$15)),0,
         IF(OFFSET(CRONOPLE!$F$15,$M402-$A$15,AU$13)="",10^12,OFFSET(CRONOPLE!$F$15,$M402-$A$15,AU$13)))</f>
        <v>1000000000000</v>
      </c>
      <c r="AV402" s="172">
        <f ca="1">IF(OR($D402&lt;&gt;"Serviço",AND(AUTOEVENTO="Manual",$M402=$A$15)),0,
         IF(OFFSET(CRONOPLE!$F$15,$M402-$A$15,AV$13)="",10^12,OFFSET(CRONOPLE!$F$15,$M402-$A$15,AV$13)))</f>
        <v>1000000000000</v>
      </c>
      <c r="AX402" s="173">
        <f ca="1">IF(OR($D402&lt;&gt;"Serviço",AND(AUTOEVENTO="Manual",$M402=$A$15),$M402&gt;(ROW(PLE.lastrow)-ROW(PLE.firstrow))),0,
           IF(OFFSET(PLE!$G$15,$M402-$A$15,AX$13)="",10^12,OFFSET(PLE!$G$15,$M402-$A$15,AX$13)))</f>
        <v>1000000000000</v>
      </c>
      <c r="AY402" s="173">
        <f ca="1">IF(OR($D402&lt;&gt;"Serviço",AND(AUTOEVENTO="Manual",$M402=$A$15),$M402&gt;(ROW(PLE.lastrow)-ROW(PLE.firstrow))),0,
           IF(OFFSET(PLE!$G$15,$M402-$A$15,AY$13)="",10^12,OFFSET(PLE!$G$15,$M402-$A$15,AY$13)))</f>
        <v>1000000000000</v>
      </c>
      <c r="AZ402" s="173">
        <f ca="1">IF(OR($D402&lt;&gt;"Serviço",AND(AUTOEVENTO="Manual",$M402=$A$15),$M402&gt;(ROW(PLE.lastrow)-ROW(PLE.firstrow))),0,
           IF(OFFSET(PLE!$G$15,$M402-$A$15,AZ$13)="",10^12,OFFSET(PLE!$G$15,$M402-$A$15,AZ$13)))</f>
        <v>1000000000000</v>
      </c>
      <c r="BA402" s="173">
        <f ca="1">IF(OR($D402&lt;&gt;"Serviço",AND(AUTOEVENTO="Manual",$M402=$A$15),$M402&gt;(ROW(PLE.lastrow)-ROW(PLE.firstrow))),0,
           IF(OFFSET(PLE!$G$15,$M402-$A$15,BA$13)="",10^12,OFFSET(PLE!$G$15,$M402-$A$15,BA$13)))</f>
        <v>1000000000000</v>
      </c>
      <c r="BB402" s="173">
        <f ca="1">IF(OR($D402&lt;&gt;"Serviço",AND(AUTOEVENTO="Manual",$M402=$A$15),$M402&gt;(ROW(PLE.lastrow)-ROW(PLE.firstrow))),0,
           IF(OFFSET(PLE!$G$15,$M402-$A$15,BB$13)="",10^12,OFFSET(PLE!$G$15,$M402-$A$15,BB$13)))</f>
        <v>1000000000000</v>
      </c>
      <c r="BC402" s="173">
        <f ca="1">IF(OR($D402&lt;&gt;"Serviço",AND(AUTOEVENTO="Manual",$M402=$A$15),$M402&gt;(ROW(PLE.lastrow)-ROW(PLE.firstrow))),0,
           IF(OFFSET(PLE!$G$15,$M402-$A$15,BC$13)="",10^12,OFFSET(PLE!$G$15,$M402-$A$15,BC$13)))</f>
        <v>1000000000000</v>
      </c>
      <c r="BD402" s="173">
        <f ca="1">IF(OR($D402&lt;&gt;"Serviço",AND(AUTOEVENTO="Manual",$M402=$A$15),$M402&gt;(ROW(PLE.lastrow)-ROW(PLE.firstrow))),0,
           IF(OFFSET(PLE!$G$15,$M402-$A$15,BD$13)="",10^12,OFFSET(PLE!$G$15,$M402-$A$15,BD$13)))</f>
        <v>1000000000000</v>
      </c>
      <c r="BE402" s="173">
        <f ca="1">IF(OR($D402&lt;&gt;"Serviço",AND(AUTOEVENTO="Manual",$M402=$A$15),$M402&gt;(ROW(PLE.lastrow)-ROW(PLE.firstrow))),0,
           IF(OFFSET(PLE!$G$15,$M402-$A$15,BE$13)="",10^12,OFFSET(PLE!$G$15,$M402-$A$15,BE$13)))</f>
        <v>1000000000000</v>
      </c>
      <c r="BF402" s="173">
        <f ca="1">IF(OR($D402&lt;&gt;"Serviço",AND(AUTOEVENTO="Manual",$M402=$A$15),$M402&gt;(ROW(PLE.lastrow)-ROW(PLE.firstrow))),0,
           IF(OFFSET(PLE!$G$15,$M402-$A$15,BF$13)="",10^12,OFFSET(PLE!$G$15,$M402-$A$15,BF$13)))</f>
        <v>1000000000000</v>
      </c>
      <c r="BG402" s="173">
        <f ca="1">IF(OR($D402&lt;&gt;"Serviço",AND(AUTOEVENTO="Manual",$M402=$A$15),$M402&gt;(ROW(PLE.lastrow)-ROW(PLE.firstrow))),0,
           IF(OFFSET(PLE!$G$15,$M402-$A$15,BG$13)="",10^12,OFFSET(PLE!$G$15,$M402-$A$15,BG$13)))</f>
        <v>1000000000000</v>
      </c>
    </row>
    <row r="403" spans="1:59" ht="12.75" x14ac:dyDescent="0.2">
      <c r="A403" s="7" t="str">
        <f t="shared" ca="1" si="13"/>
        <v>388.</v>
      </c>
      <c r="B403" s="7">
        <f ca="1">OFFSET(ORÇAMENTO!C$15,ROW(B403)-ROW(B$15),0)</f>
        <v>2</v>
      </c>
      <c r="C403" s="7" t="str">
        <f ca="1">OFFSET(ORÇAMENTO!L$15,ROW(C403)-ROW(C$15),0)</f>
        <v>F</v>
      </c>
      <c r="D403" s="117" t="str">
        <f ca="1">OFFSET(ORÇAMENTO!N$15,ROW(D403)-ROW(D$15),0)</f>
        <v>Nível 2</v>
      </c>
      <c r="E403" s="118" t="str">
        <f ca="1">OFFSET(ORÇAMENTO!O$15,ROW(E403)-ROW(E$15),0)</f>
        <v>1.24.</v>
      </c>
      <c r="F403" s="164" t="str">
        <f ca="1">OFFSET(ORÇAMENTO!R$15,ROW(F403)-ROW(F$15),0)</f>
        <v>LIMPEZA FINAL DE OBRA</v>
      </c>
      <c r="G403" s="165" t="str">
        <f ca="1">IF($D403&lt;&gt;"Serviço","",OFFSET(ORÇAMENTO!S$15,ROW(G403)-ROW(G$15),0))</f>
        <v/>
      </c>
      <c r="H403" s="123">
        <f ca="1">IF($D403&lt;&gt;"Serviço",0,IF(ACOMPANHAMENTO="BM",ROUND(OFFSET(ORÇAMENTO!AJ$15,ROW(H403)-ROW(H$15),0),15-13*ORÇAMENTO!$AF$7),SUMPRODUCT(($Q$1:$AA$1=1)*ROUND($Q403:$AA403,15-13*ORÇAMENTO!$AF$7))))</f>
        <v>0</v>
      </c>
      <c r="I403" s="469"/>
      <c r="J403" s="577" t="str" cm="1">
        <f t="array" aca="1" ref="J403" ca="1">IF(B403&lt;&gt;"S","",IF(AND(ACOMPANHAMENTO="PLE",AUTOEVENTO="Manual",OR(H403&gt;0,ORÇAMENTO!AC403="QUANT."),OR(K403="",M403=0,N403="")),"►",IF(AND(ACOMPANHAMENTO="PLE",ORÇAMENTO!AC403="QUANT."),"►►",IF(AND(COUNTIF($P$11:$AA$11,"▼")=0,H403&gt;0,I403=""),"◄",""))))</f>
        <v/>
      </c>
      <c r="K403" s="626"/>
      <c r="L403" s="166" t="s">
        <v>765</v>
      </c>
      <c r="M403" s="167" t="str">
        <f ca="1">IF($D403&lt;&gt;"Serviço","",
          IF(AUTOEVENTO="manual",$A403,
                IF(ISERROR(MATCH($A403,$A$15:OFFSET($A403,-1,0),0)),MAX($M$15:OFFSET(M403,-1,0))+1,
                      INDEX($M$15:OFFSET(M403,-1,0),MATCH($A403,$A$15:OFFSET($A403,-1,0),0)))))</f>
        <v/>
      </c>
      <c r="N403" s="168" t="str">
        <f ca="1">IF($D403&lt;&gt;"Serviço","",
         IF(AUTOEVENTO="Manual",
                IF($A403=0,"&lt;-- defina o número do agrupador",
                       OFFSET(EVENTOS!$D$15,$A403-$A$15,0)),
                OFFSET($F$15,$A403,0)))</f>
        <v/>
      </c>
      <c r="O403" s="169"/>
      <c r="Q403" s="169"/>
      <c r="R403" s="170"/>
      <c r="S403" s="170"/>
      <c r="T403" s="170"/>
      <c r="U403" s="170"/>
      <c r="V403" s="170"/>
      <c r="W403" s="170"/>
      <c r="X403" s="170"/>
      <c r="Y403" s="170"/>
      <c r="Z403" s="171"/>
      <c r="AB403" s="454">
        <f ca="1">IF(AND($D403="Serviço",AB$12&lt;&gt;0,$H403&gt;0,OR(AUTOEVENTO&lt;&gt;"manual",$M403&lt;&gt;$A$15)),
        IF(Import.TipoArredondamento&lt;&gt;"TransfereGOV",
              ROUND(OFFSET($P403,0,AB$13),15-13*ORÇAMENTO!$AF$7)/$H403*OFFSET(ORÇAMENTO!$X$15,ROW(AB403)-ROW(AB$15),0),
              ROUND(ROUND(OFFSET($P403,0,AB$13),15-13*ORÇAMENTO!$AF$7)*OFFSET(ORÇAMENTO!$W$15,ROW(AB403)-ROW(AB$15),0),15-13*ORÇAMENTO!$AF$11)),
         0)</f>
        <v>0</v>
      </c>
      <c r="AC403" s="454">
        <f ca="1">IF(AND($D403="Serviço",AC$12&lt;&gt;0,$H403&gt;0,OR(AUTOEVENTO&lt;&gt;"manual",$M403&lt;&gt;$A$15)),
        IF(Import.TipoArredondamento&lt;&gt;"TransfereGOV",
              ROUND(OFFSET($P403,0,AC$13),15-13*ORÇAMENTO!$AF$7)/$H403*OFFSET(ORÇAMENTO!$X$15,ROW(AC403)-ROW(AC$15),0),
              ROUND(ROUND(OFFSET($P403,0,AC$13),15-13*ORÇAMENTO!$AF$7)*OFFSET(ORÇAMENTO!$W$15,ROW(AC403)-ROW(AC$15),0),15-13*ORÇAMENTO!$AF$11)),
         0)</f>
        <v>0</v>
      </c>
      <c r="AD403" s="454">
        <f ca="1">IF(AND($D403="Serviço",AD$12&lt;&gt;0,$H403&gt;0,OR(AUTOEVENTO&lt;&gt;"manual",$M403&lt;&gt;$A$15)),
        IF(Import.TipoArredondamento&lt;&gt;"TransfereGOV",
              ROUND(OFFSET($P403,0,AD$13),15-13*ORÇAMENTO!$AF$7)/$H403*OFFSET(ORÇAMENTO!$X$15,ROW(AD403)-ROW(AD$15),0),
              ROUND(ROUND(OFFSET($P403,0,AD$13),15-13*ORÇAMENTO!$AF$7)*OFFSET(ORÇAMENTO!$W$15,ROW(AD403)-ROW(AD$15),0),15-13*ORÇAMENTO!$AF$11)),
         0)</f>
        <v>0</v>
      </c>
      <c r="AE403" s="454">
        <f ca="1">IF(AND($D403="Serviço",AE$12&lt;&gt;0,$H403&gt;0,OR(AUTOEVENTO&lt;&gt;"manual",$M403&lt;&gt;$A$15)),
        IF(Import.TipoArredondamento&lt;&gt;"TransfereGOV",
              ROUND(OFFSET($P403,0,AE$13),15-13*ORÇAMENTO!$AF$7)/$H403*OFFSET(ORÇAMENTO!$X$15,ROW(AE403)-ROW(AE$15),0),
              ROUND(ROUND(OFFSET($P403,0,AE$13),15-13*ORÇAMENTO!$AF$7)*OFFSET(ORÇAMENTO!$W$15,ROW(AE403)-ROW(AE$15),0),15-13*ORÇAMENTO!$AF$11)),
         0)</f>
        <v>0</v>
      </c>
      <c r="AF403" s="454">
        <f ca="1">IF(AND($D403="Serviço",AF$12&lt;&gt;0,$H403&gt;0,OR(AUTOEVENTO&lt;&gt;"manual",$M403&lt;&gt;$A$15)),
        IF(Import.TipoArredondamento&lt;&gt;"TransfereGOV",
              ROUND(OFFSET($P403,0,AF$13),15-13*ORÇAMENTO!$AF$7)/$H403*OFFSET(ORÇAMENTO!$X$15,ROW(AF403)-ROW(AF$15),0),
              ROUND(ROUND(OFFSET($P403,0,AF$13),15-13*ORÇAMENTO!$AF$7)*OFFSET(ORÇAMENTO!$W$15,ROW(AF403)-ROW(AF$15),0),15-13*ORÇAMENTO!$AF$11)),
         0)</f>
        <v>0</v>
      </c>
      <c r="AG403" s="454">
        <f ca="1">IF(AND($D403="Serviço",AG$12&lt;&gt;0,$H403&gt;0,OR(AUTOEVENTO&lt;&gt;"manual",$M403&lt;&gt;$A$15)),
        IF(Import.TipoArredondamento&lt;&gt;"TransfereGOV",
              ROUND(OFFSET($P403,0,AG$13),15-13*ORÇAMENTO!$AF$7)/$H403*OFFSET(ORÇAMENTO!$X$15,ROW(AG403)-ROW(AG$15),0),
              ROUND(ROUND(OFFSET($P403,0,AG$13),15-13*ORÇAMENTO!$AF$7)*OFFSET(ORÇAMENTO!$W$15,ROW(AG403)-ROW(AG$15),0),15-13*ORÇAMENTO!$AF$11)),
         0)</f>
        <v>0</v>
      </c>
      <c r="AH403" s="454">
        <f ca="1">IF(AND($D403="Serviço",AH$12&lt;&gt;0,$H403&gt;0,OR(AUTOEVENTO&lt;&gt;"manual",$M403&lt;&gt;$A$15)),
        IF(Import.TipoArredondamento&lt;&gt;"TransfereGOV",
              ROUND(OFFSET($P403,0,AH$13),15-13*ORÇAMENTO!$AF$7)/$H403*OFFSET(ORÇAMENTO!$X$15,ROW(AH403)-ROW(AH$15),0),
              ROUND(ROUND(OFFSET($P403,0,AH$13),15-13*ORÇAMENTO!$AF$7)*OFFSET(ORÇAMENTO!$W$15,ROW(AH403)-ROW(AH$15),0),15-13*ORÇAMENTO!$AF$11)),
         0)</f>
        <v>0</v>
      </c>
      <c r="AI403" s="454">
        <f ca="1">IF(AND($D403="Serviço",AI$12&lt;&gt;0,$H403&gt;0,OR(AUTOEVENTO&lt;&gt;"manual",$M403&lt;&gt;$A$15)),
        IF(Import.TipoArredondamento&lt;&gt;"TransfereGOV",
              ROUND(OFFSET($P403,0,AI$13),15-13*ORÇAMENTO!$AF$7)/$H403*OFFSET(ORÇAMENTO!$X$15,ROW(AI403)-ROW(AI$15),0),
              ROUND(ROUND(OFFSET($P403,0,AI$13),15-13*ORÇAMENTO!$AF$7)*OFFSET(ORÇAMENTO!$W$15,ROW(AI403)-ROW(AI$15),0),15-13*ORÇAMENTO!$AF$11)),
         0)</f>
        <v>0</v>
      </c>
      <c r="AJ403" s="454">
        <f ca="1">IF(AND($D403="Serviço",AJ$12&lt;&gt;0,$H403&gt;0,OR(AUTOEVENTO&lt;&gt;"manual",$M403&lt;&gt;$A$15)),
        IF(Import.TipoArredondamento&lt;&gt;"TransfereGOV",
              ROUND(OFFSET($P403,0,AJ$13),15-13*ORÇAMENTO!$AF$7)/$H403*OFFSET(ORÇAMENTO!$X$15,ROW(AJ403)-ROW(AJ$15),0),
              ROUND(ROUND(OFFSET($P403,0,AJ$13),15-13*ORÇAMENTO!$AF$7)*OFFSET(ORÇAMENTO!$W$15,ROW(AJ403)-ROW(AJ$15),0),15-13*ORÇAMENTO!$AF$11)),
         0)</f>
        <v>0</v>
      </c>
      <c r="AK403" s="454">
        <f ca="1">IF(AND($D403="Serviço",AK$12&lt;&gt;0,$H403&gt;0,OR(AUTOEVENTO&lt;&gt;"manual",$M403&lt;&gt;$A$15)),
        IF(Import.TipoArredondamento&lt;&gt;"TransfereGOV",
              ROUND(OFFSET($P403,0,AK$13),15-13*ORÇAMENTO!$AF$7)/$H403*OFFSET(ORÇAMENTO!$X$15,ROW(AK403)-ROW(AK$15),0),
              ROUND(ROUND(OFFSET($P403,0,AK$13),15-13*ORÇAMENTO!$AF$7)*OFFSET(ORÇAMENTO!$W$15,ROW(AK403)-ROW(AK$15),0),15-13*ORÇAMENTO!$AF$11)),
         0)</f>
        <v>0</v>
      </c>
      <c r="AM403" s="172">
        <f ca="1">IF(OR($D403&lt;&gt;"Serviço",AND(AUTOEVENTO="Manual",$M403=$A$15)),0,
         IF(OFFSET(CRONOPLE!$F$15,$M403-$A$15,AM$13)="",10^12,OFFSET(CRONOPLE!$F$15,$M403-$A$15,AM$13)))</f>
        <v>0</v>
      </c>
      <c r="AN403" s="172">
        <f ca="1">IF(OR($D403&lt;&gt;"Serviço",AND(AUTOEVENTO="Manual",$M403=$A$15)),0,
         IF(OFFSET(CRONOPLE!$F$15,$M403-$A$15,AN$13)="",10^12,OFFSET(CRONOPLE!$F$15,$M403-$A$15,AN$13)))</f>
        <v>0</v>
      </c>
      <c r="AO403" s="172">
        <f ca="1">IF(OR($D403&lt;&gt;"Serviço",AND(AUTOEVENTO="Manual",$M403=$A$15)),0,
         IF(OFFSET(CRONOPLE!$F$15,$M403-$A$15,AO$13)="",10^12,OFFSET(CRONOPLE!$F$15,$M403-$A$15,AO$13)))</f>
        <v>0</v>
      </c>
      <c r="AP403" s="172">
        <f ca="1">IF(OR($D403&lt;&gt;"Serviço",AND(AUTOEVENTO="Manual",$M403=$A$15)),0,
         IF(OFFSET(CRONOPLE!$F$15,$M403-$A$15,AP$13)="",10^12,OFFSET(CRONOPLE!$F$15,$M403-$A$15,AP$13)))</f>
        <v>0</v>
      </c>
      <c r="AQ403" s="172">
        <f ca="1">IF(OR($D403&lt;&gt;"Serviço",AND(AUTOEVENTO="Manual",$M403=$A$15)),0,
         IF(OFFSET(CRONOPLE!$F$15,$M403-$A$15,AQ$13)="",10^12,OFFSET(CRONOPLE!$F$15,$M403-$A$15,AQ$13)))</f>
        <v>0</v>
      </c>
      <c r="AR403" s="172">
        <f ca="1">IF(OR($D403&lt;&gt;"Serviço",AND(AUTOEVENTO="Manual",$M403=$A$15)),0,
         IF(OFFSET(CRONOPLE!$F$15,$M403-$A$15,AR$13)="",10^12,OFFSET(CRONOPLE!$F$15,$M403-$A$15,AR$13)))</f>
        <v>0</v>
      </c>
      <c r="AS403" s="172">
        <f ca="1">IF(OR($D403&lt;&gt;"Serviço",AND(AUTOEVENTO="Manual",$M403=$A$15)),0,
         IF(OFFSET(CRONOPLE!$F$15,$M403-$A$15,AS$13)="",10^12,OFFSET(CRONOPLE!$F$15,$M403-$A$15,AS$13)))</f>
        <v>0</v>
      </c>
      <c r="AT403" s="172">
        <f ca="1">IF(OR($D403&lt;&gt;"Serviço",AND(AUTOEVENTO="Manual",$M403=$A$15)),0,
         IF(OFFSET(CRONOPLE!$F$15,$M403-$A$15,AT$13)="",10^12,OFFSET(CRONOPLE!$F$15,$M403-$A$15,AT$13)))</f>
        <v>0</v>
      </c>
      <c r="AU403" s="172">
        <f ca="1">IF(OR($D403&lt;&gt;"Serviço",AND(AUTOEVENTO="Manual",$M403=$A$15)),0,
         IF(OFFSET(CRONOPLE!$F$15,$M403-$A$15,AU$13)="",10^12,OFFSET(CRONOPLE!$F$15,$M403-$A$15,AU$13)))</f>
        <v>0</v>
      </c>
      <c r="AV403" s="172">
        <f ca="1">IF(OR($D403&lt;&gt;"Serviço",AND(AUTOEVENTO="Manual",$M403=$A$15)),0,
         IF(OFFSET(CRONOPLE!$F$15,$M403-$A$15,AV$13)="",10^12,OFFSET(CRONOPLE!$F$15,$M403-$A$15,AV$13)))</f>
        <v>0</v>
      </c>
      <c r="AX403" s="173">
        <f ca="1">IF(OR($D403&lt;&gt;"Serviço",AND(AUTOEVENTO="Manual",$M403=$A$15),$M403&gt;(ROW(PLE.lastrow)-ROW(PLE.firstrow))),0,
           IF(OFFSET(PLE!$G$15,$M403-$A$15,AX$13)="",10^12,OFFSET(PLE!$G$15,$M403-$A$15,AX$13)))</f>
        <v>0</v>
      </c>
      <c r="AY403" s="173">
        <f ca="1">IF(OR($D403&lt;&gt;"Serviço",AND(AUTOEVENTO="Manual",$M403=$A$15),$M403&gt;(ROW(PLE.lastrow)-ROW(PLE.firstrow))),0,
           IF(OFFSET(PLE!$G$15,$M403-$A$15,AY$13)="",10^12,OFFSET(PLE!$G$15,$M403-$A$15,AY$13)))</f>
        <v>0</v>
      </c>
      <c r="AZ403" s="173">
        <f ca="1">IF(OR($D403&lt;&gt;"Serviço",AND(AUTOEVENTO="Manual",$M403=$A$15),$M403&gt;(ROW(PLE.lastrow)-ROW(PLE.firstrow))),0,
           IF(OFFSET(PLE!$G$15,$M403-$A$15,AZ$13)="",10^12,OFFSET(PLE!$G$15,$M403-$A$15,AZ$13)))</f>
        <v>0</v>
      </c>
      <c r="BA403" s="173">
        <f ca="1">IF(OR($D403&lt;&gt;"Serviço",AND(AUTOEVENTO="Manual",$M403=$A$15),$M403&gt;(ROW(PLE.lastrow)-ROW(PLE.firstrow))),0,
           IF(OFFSET(PLE!$G$15,$M403-$A$15,BA$13)="",10^12,OFFSET(PLE!$G$15,$M403-$A$15,BA$13)))</f>
        <v>0</v>
      </c>
      <c r="BB403" s="173">
        <f ca="1">IF(OR($D403&lt;&gt;"Serviço",AND(AUTOEVENTO="Manual",$M403=$A$15),$M403&gt;(ROW(PLE.lastrow)-ROW(PLE.firstrow))),0,
           IF(OFFSET(PLE!$G$15,$M403-$A$15,BB$13)="",10^12,OFFSET(PLE!$G$15,$M403-$A$15,BB$13)))</f>
        <v>0</v>
      </c>
      <c r="BC403" s="173">
        <f ca="1">IF(OR($D403&lt;&gt;"Serviço",AND(AUTOEVENTO="Manual",$M403=$A$15),$M403&gt;(ROW(PLE.lastrow)-ROW(PLE.firstrow))),0,
           IF(OFFSET(PLE!$G$15,$M403-$A$15,BC$13)="",10^12,OFFSET(PLE!$G$15,$M403-$A$15,BC$13)))</f>
        <v>0</v>
      </c>
      <c r="BD403" s="173">
        <f ca="1">IF(OR($D403&lt;&gt;"Serviço",AND(AUTOEVENTO="Manual",$M403=$A$15),$M403&gt;(ROW(PLE.lastrow)-ROW(PLE.firstrow))),0,
           IF(OFFSET(PLE!$G$15,$M403-$A$15,BD$13)="",10^12,OFFSET(PLE!$G$15,$M403-$A$15,BD$13)))</f>
        <v>0</v>
      </c>
      <c r="BE403" s="173">
        <f ca="1">IF(OR($D403&lt;&gt;"Serviço",AND(AUTOEVENTO="Manual",$M403=$A$15),$M403&gt;(ROW(PLE.lastrow)-ROW(PLE.firstrow))),0,
           IF(OFFSET(PLE!$G$15,$M403-$A$15,BE$13)="",10^12,OFFSET(PLE!$G$15,$M403-$A$15,BE$13)))</f>
        <v>0</v>
      </c>
      <c r="BF403" s="173">
        <f ca="1">IF(OR($D403&lt;&gt;"Serviço",AND(AUTOEVENTO="Manual",$M403=$A$15),$M403&gt;(ROW(PLE.lastrow)-ROW(PLE.firstrow))),0,
           IF(OFFSET(PLE!$G$15,$M403-$A$15,BF$13)="",10^12,OFFSET(PLE!$G$15,$M403-$A$15,BF$13)))</f>
        <v>0</v>
      </c>
      <c r="BG403" s="173">
        <f ca="1">IF(OR($D403&lt;&gt;"Serviço",AND(AUTOEVENTO="Manual",$M403=$A$15),$M403&gt;(ROW(PLE.lastrow)-ROW(PLE.firstrow))),0,
           IF(OFFSET(PLE!$G$15,$M403-$A$15,BG$13)="",10^12,OFFSET(PLE!$G$15,$M403-$A$15,BG$13)))</f>
        <v>0</v>
      </c>
    </row>
    <row r="404" spans="1:59" ht="12.75" x14ac:dyDescent="0.2">
      <c r="A404" s="7" t="str">
        <f t="shared" ca="1" si="13"/>
        <v>388</v>
      </c>
      <c r="B404" s="7" t="str">
        <f ca="1">OFFSET(ORÇAMENTO!C$15,ROW(B404)-ROW(B$15),0)</f>
        <v>S</v>
      </c>
      <c r="C404" s="7" t="str">
        <f ca="1">OFFSET(ORÇAMENTO!L$15,ROW(C404)-ROW(C$15),0)</f>
        <v/>
      </c>
      <c r="D404" s="117" t="str">
        <f ca="1">OFFSET(ORÇAMENTO!N$15,ROW(D404)-ROW(D$15),0)</f>
        <v>Serviço</v>
      </c>
      <c r="E404" s="118" t="str">
        <f ca="1">OFFSET(ORÇAMENTO!O$15,ROW(E404)-ROW(E$15),0)</f>
        <v>-</v>
      </c>
      <c r="F404" s="164" t="str">
        <f ca="1">OFFSET(ORÇAMENTO!R$15,ROW(F404)-ROW(F$15),0)</f>
        <v>SERVENTE COM ENCARGOS COMPLEMENTARES</v>
      </c>
      <c r="G404" s="165" t="str">
        <f ca="1">IF($D404&lt;&gt;"Serviço","",OFFSET(ORÇAMENTO!S$15,ROW(G404)-ROW(G$15),0))</f>
        <v>H</v>
      </c>
      <c r="H404" s="123">
        <f ca="1">IF($D404&lt;&gt;"Serviço",0,IF(ACOMPANHAMENTO="BM",ROUND(OFFSET(ORÇAMENTO!AJ$15,ROW(H404)-ROW(H$15),0),15-13*ORÇAMENTO!$AF$7),SUMPRODUCT(($Q$1:$AA$1=1)*ROUND($Q404:$AA404,15-13*ORÇAMENTO!$AF$7))))</f>
        <v>160</v>
      </c>
      <c r="I404" s="469"/>
      <c r="J404" s="577" t="str" cm="1">
        <f t="array" aca="1" ref="J404" ca="1">IF(B404&lt;&gt;"S","",IF(AND(ACOMPANHAMENTO="PLE",AUTOEVENTO="Manual",OR(H404&gt;0,ORÇAMENTO!AC404="QUANT."),OR(K404="",M404=0,N404="")),"►",IF(AND(ACOMPANHAMENTO="PLE",ORÇAMENTO!AC404="QUANT."),"►►",IF(AND(COUNTIF($P$11:$AA$11,"▼")=0,H404&gt;0,I404=""),"◄",""))))</f>
        <v>◄</v>
      </c>
      <c r="K404" s="626"/>
      <c r="L404" s="166" t="s">
        <v>765</v>
      </c>
      <c r="M404" s="167">
        <f ca="1">IF($D404&lt;&gt;"Serviço","",
          IF(AUTOEVENTO="manual",$A404,
                IF(ISERROR(MATCH($A404,$A$15:OFFSET($A404,-1,0),0)),MAX($M$15:OFFSET(M404,-1,0))+1,
                      INDEX($M$15:OFFSET(M404,-1,0),MATCH($A404,$A$15:OFFSET($A404,-1,0),0)))))</f>
        <v>24</v>
      </c>
      <c r="N404" s="168" t="str">
        <f ca="1">IF($D404&lt;&gt;"Serviço","",
         IF(AUTOEVENTO="Manual",
                IF($A404=0,"&lt;-- defina o número do agrupador",
                       OFFSET(EVENTOS!$D$15,$A404-$A$15,0)),
                OFFSET($F$15,$A404,0)))</f>
        <v>LIMPEZA FINAL DE OBRA</v>
      </c>
      <c r="O404" s="169"/>
      <c r="Q404" s="169"/>
      <c r="R404" s="170"/>
      <c r="S404" s="170"/>
      <c r="T404" s="170"/>
      <c r="U404" s="170"/>
      <c r="V404" s="170"/>
      <c r="W404" s="170"/>
      <c r="X404" s="170"/>
      <c r="Y404" s="170"/>
      <c r="Z404" s="171"/>
      <c r="AB404" s="454">
        <f ca="1">IF(AND($D404="Serviço",AB$12&lt;&gt;0,$H404&gt;0,OR(AUTOEVENTO&lt;&gt;"manual",$M404&lt;&gt;$A$15)),
        IF(Import.TipoArredondamento&lt;&gt;"TransfereGOV",
              ROUND(OFFSET($P404,0,AB$13),15-13*ORÇAMENTO!$AF$7)/$H404*OFFSET(ORÇAMENTO!$X$15,ROW(AB404)-ROW(AB$15),0),
              ROUND(ROUND(OFFSET($P404,0,AB$13),15-13*ORÇAMENTO!$AF$7)*OFFSET(ORÇAMENTO!$W$15,ROW(AB404)-ROW(AB$15),0),15-13*ORÇAMENTO!$AF$11)),
         0)</f>
        <v>0</v>
      </c>
      <c r="AC404" s="454">
        <f ca="1">IF(AND($D404="Serviço",AC$12&lt;&gt;0,$H404&gt;0,OR(AUTOEVENTO&lt;&gt;"manual",$M404&lt;&gt;$A$15)),
        IF(Import.TipoArredondamento&lt;&gt;"TransfereGOV",
              ROUND(OFFSET($P404,0,AC$13),15-13*ORÇAMENTO!$AF$7)/$H404*OFFSET(ORÇAMENTO!$X$15,ROW(AC404)-ROW(AC$15),0),
              ROUND(ROUND(OFFSET($P404,0,AC$13),15-13*ORÇAMENTO!$AF$7)*OFFSET(ORÇAMENTO!$W$15,ROW(AC404)-ROW(AC$15),0),15-13*ORÇAMENTO!$AF$11)),
         0)</f>
        <v>0</v>
      </c>
      <c r="AD404" s="454">
        <f ca="1">IF(AND($D404="Serviço",AD$12&lt;&gt;0,$H404&gt;0,OR(AUTOEVENTO&lt;&gt;"manual",$M404&lt;&gt;$A$15)),
        IF(Import.TipoArredondamento&lt;&gt;"TransfereGOV",
              ROUND(OFFSET($P404,0,AD$13),15-13*ORÇAMENTO!$AF$7)/$H404*OFFSET(ORÇAMENTO!$X$15,ROW(AD404)-ROW(AD$15),0),
              ROUND(ROUND(OFFSET($P404,0,AD$13),15-13*ORÇAMENTO!$AF$7)*OFFSET(ORÇAMENTO!$W$15,ROW(AD404)-ROW(AD$15),0),15-13*ORÇAMENTO!$AF$11)),
         0)</f>
        <v>0</v>
      </c>
      <c r="AE404" s="454">
        <f ca="1">IF(AND($D404="Serviço",AE$12&lt;&gt;0,$H404&gt;0,OR(AUTOEVENTO&lt;&gt;"manual",$M404&lt;&gt;$A$15)),
        IF(Import.TipoArredondamento&lt;&gt;"TransfereGOV",
              ROUND(OFFSET($P404,0,AE$13),15-13*ORÇAMENTO!$AF$7)/$H404*OFFSET(ORÇAMENTO!$X$15,ROW(AE404)-ROW(AE$15),0),
              ROUND(ROUND(OFFSET($P404,0,AE$13),15-13*ORÇAMENTO!$AF$7)*OFFSET(ORÇAMENTO!$W$15,ROW(AE404)-ROW(AE$15),0),15-13*ORÇAMENTO!$AF$11)),
         0)</f>
        <v>0</v>
      </c>
      <c r="AF404" s="454">
        <f ca="1">IF(AND($D404="Serviço",AF$12&lt;&gt;0,$H404&gt;0,OR(AUTOEVENTO&lt;&gt;"manual",$M404&lt;&gt;$A$15)),
        IF(Import.TipoArredondamento&lt;&gt;"TransfereGOV",
              ROUND(OFFSET($P404,0,AF$13),15-13*ORÇAMENTO!$AF$7)/$H404*OFFSET(ORÇAMENTO!$X$15,ROW(AF404)-ROW(AF$15),0),
              ROUND(ROUND(OFFSET($P404,0,AF$13),15-13*ORÇAMENTO!$AF$7)*OFFSET(ORÇAMENTO!$W$15,ROW(AF404)-ROW(AF$15),0),15-13*ORÇAMENTO!$AF$11)),
         0)</f>
        <v>0</v>
      </c>
      <c r="AG404" s="454">
        <f ca="1">IF(AND($D404="Serviço",AG$12&lt;&gt;0,$H404&gt;0,OR(AUTOEVENTO&lt;&gt;"manual",$M404&lt;&gt;$A$15)),
        IF(Import.TipoArredondamento&lt;&gt;"TransfereGOV",
              ROUND(OFFSET($P404,0,AG$13),15-13*ORÇAMENTO!$AF$7)/$H404*OFFSET(ORÇAMENTO!$X$15,ROW(AG404)-ROW(AG$15),0),
              ROUND(ROUND(OFFSET($P404,0,AG$13),15-13*ORÇAMENTO!$AF$7)*OFFSET(ORÇAMENTO!$W$15,ROW(AG404)-ROW(AG$15),0),15-13*ORÇAMENTO!$AF$11)),
         0)</f>
        <v>0</v>
      </c>
      <c r="AH404" s="454">
        <f ca="1">IF(AND($D404="Serviço",AH$12&lt;&gt;0,$H404&gt;0,OR(AUTOEVENTO&lt;&gt;"manual",$M404&lt;&gt;$A$15)),
        IF(Import.TipoArredondamento&lt;&gt;"TransfereGOV",
              ROUND(OFFSET($P404,0,AH$13),15-13*ORÇAMENTO!$AF$7)/$H404*OFFSET(ORÇAMENTO!$X$15,ROW(AH404)-ROW(AH$15),0),
              ROUND(ROUND(OFFSET($P404,0,AH$13),15-13*ORÇAMENTO!$AF$7)*OFFSET(ORÇAMENTO!$W$15,ROW(AH404)-ROW(AH$15),0),15-13*ORÇAMENTO!$AF$11)),
         0)</f>
        <v>0</v>
      </c>
      <c r="AI404" s="454">
        <f ca="1">IF(AND($D404="Serviço",AI$12&lt;&gt;0,$H404&gt;0,OR(AUTOEVENTO&lt;&gt;"manual",$M404&lt;&gt;$A$15)),
        IF(Import.TipoArredondamento&lt;&gt;"TransfereGOV",
              ROUND(OFFSET($P404,0,AI$13),15-13*ORÇAMENTO!$AF$7)/$H404*OFFSET(ORÇAMENTO!$X$15,ROW(AI404)-ROW(AI$15),0),
              ROUND(ROUND(OFFSET($P404,0,AI$13),15-13*ORÇAMENTO!$AF$7)*OFFSET(ORÇAMENTO!$W$15,ROW(AI404)-ROW(AI$15),0),15-13*ORÇAMENTO!$AF$11)),
         0)</f>
        <v>0</v>
      </c>
      <c r="AJ404" s="454">
        <f ca="1">IF(AND($D404="Serviço",AJ$12&lt;&gt;0,$H404&gt;0,OR(AUTOEVENTO&lt;&gt;"manual",$M404&lt;&gt;$A$15)),
        IF(Import.TipoArredondamento&lt;&gt;"TransfereGOV",
              ROUND(OFFSET($P404,0,AJ$13),15-13*ORÇAMENTO!$AF$7)/$H404*OFFSET(ORÇAMENTO!$X$15,ROW(AJ404)-ROW(AJ$15),0),
              ROUND(ROUND(OFFSET($P404,0,AJ$13),15-13*ORÇAMENTO!$AF$7)*OFFSET(ORÇAMENTO!$W$15,ROW(AJ404)-ROW(AJ$15),0),15-13*ORÇAMENTO!$AF$11)),
         0)</f>
        <v>0</v>
      </c>
      <c r="AK404" s="454">
        <f ca="1">IF(AND($D404="Serviço",AK$12&lt;&gt;0,$H404&gt;0,OR(AUTOEVENTO&lt;&gt;"manual",$M404&lt;&gt;$A$15)),
        IF(Import.TipoArredondamento&lt;&gt;"TransfereGOV",
              ROUND(OFFSET($P404,0,AK$13),15-13*ORÇAMENTO!$AF$7)/$H404*OFFSET(ORÇAMENTO!$X$15,ROW(AK404)-ROW(AK$15),0),
              ROUND(ROUND(OFFSET($P404,0,AK$13),15-13*ORÇAMENTO!$AF$7)*OFFSET(ORÇAMENTO!$W$15,ROW(AK404)-ROW(AK$15),0),15-13*ORÇAMENTO!$AF$11)),
         0)</f>
        <v>0</v>
      </c>
      <c r="AM404" s="172">
        <f ca="1">IF(OR($D404&lt;&gt;"Serviço",AND(AUTOEVENTO="Manual",$M404=$A$15)),0,
         IF(OFFSET(CRONOPLE!$F$15,$M404-$A$15,AM$13)="",10^12,OFFSET(CRONOPLE!$F$15,$M404-$A$15,AM$13)))</f>
        <v>1000000000000</v>
      </c>
      <c r="AN404" s="172">
        <f ca="1">IF(OR($D404&lt;&gt;"Serviço",AND(AUTOEVENTO="Manual",$M404=$A$15)),0,
         IF(OFFSET(CRONOPLE!$F$15,$M404-$A$15,AN$13)="",10^12,OFFSET(CRONOPLE!$F$15,$M404-$A$15,AN$13)))</f>
        <v>1000000000000</v>
      </c>
      <c r="AO404" s="172">
        <f ca="1">IF(OR($D404&lt;&gt;"Serviço",AND(AUTOEVENTO="Manual",$M404=$A$15)),0,
         IF(OFFSET(CRONOPLE!$F$15,$M404-$A$15,AO$13)="",10^12,OFFSET(CRONOPLE!$F$15,$M404-$A$15,AO$13)))</f>
        <v>1000000000000</v>
      </c>
      <c r="AP404" s="172">
        <f ca="1">IF(OR($D404&lt;&gt;"Serviço",AND(AUTOEVENTO="Manual",$M404=$A$15)),0,
         IF(OFFSET(CRONOPLE!$F$15,$M404-$A$15,AP$13)="",10^12,OFFSET(CRONOPLE!$F$15,$M404-$A$15,AP$13)))</f>
        <v>1000000000000</v>
      </c>
      <c r="AQ404" s="172">
        <f ca="1">IF(OR($D404&lt;&gt;"Serviço",AND(AUTOEVENTO="Manual",$M404=$A$15)),0,
         IF(OFFSET(CRONOPLE!$F$15,$M404-$A$15,AQ$13)="",10^12,OFFSET(CRONOPLE!$F$15,$M404-$A$15,AQ$13)))</f>
        <v>1000000000000</v>
      </c>
      <c r="AR404" s="172">
        <f ca="1">IF(OR($D404&lt;&gt;"Serviço",AND(AUTOEVENTO="Manual",$M404=$A$15)),0,
         IF(OFFSET(CRONOPLE!$F$15,$M404-$A$15,AR$13)="",10^12,OFFSET(CRONOPLE!$F$15,$M404-$A$15,AR$13)))</f>
        <v>1000000000000</v>
      </c>
      <c r="AS404" s="172">
        <f ca="1">IF(OR($D404&lt;&gt;"Serviço",AND(AUTOEVENTO="Manual",$M404=$A$15)),0,
         IF(OFFSET(CRONOPLE!$F$15,$M404-$A$15,AS$13)="",10^12,OFFSET(CRONOPLE!$F$15,$M404-$A$15,AS$13)))</f>
        <v>1000000000000</v>
      </c>
      <c r="AT404" s="172">
        <f ca="1">IF(OR($D404&lt;&gt;"Serviço",AND(AUTOEVENTO="Manual",$M404=$A$15)),0,
         IF(OFFSET(CRONOPLE!$F$15,$M404-$A$15,AT$13)="",10^12,OFFSET(CRONOPLE!$F$15,$M404-$A$15,AT$13)))</f>
        <v>1000000000000</v>
      </c>
      <c r="AU404" s="172">
        <f ca="1">IF(OR($D404&lt;&gt;"Serviço",AND(AUTOEVENTO="Manual",$M404=$A$15)),0,
         IF(OFFSET(CRONOPLE!$F$15,$M404-$A$15,AU$13)="",10^12,OFFSET(CRONOPLE!$F$15,$M404-$A$15,AU$13)))</f>
        <v>1000000000000</v>
      </c>
      <c r="AV404" s="172">
        <f ca="1">IF(OR($D404&lt;&gt;"Serviço",AND(AUTOEVENTO="Manual",$M404=$A$15)),0,
         IF(OFFSET(CRONOPLE!$F$15,$M404-$A$15,AV$13)="",10^12,OFFSET(CRONOPLE!$F$15,$M404-$A$15,AV$13)))</f>
        <v>1000000000000</v>
      </c>
      <c r="AX404" s="173">
        <f ca="1">IF(OR($D404&lt;&gt;"Serviço",AND(AUTOEVENTO="Manual",$M404=$A$15),$M404&gt;(ROW(PLE.lastrow)-ROW(PLE.firstrow))),0,
           IF(OFFSET(PLE!$G$15,$M404-$A$15,AX$13)="",10^12,OFFSET(PLE!$G$15,$M404-$A$15,AX$13)))</f>
        <v>1000000000000</v>
      </c>
      <c r="AY404" s="173">
        <f ca="1">IF(OR($D404&lt;&gt;"Serviço",AND(AUTOEVENTO="Manual",$M404=$A$15),$M404&gt;(ROW(PLE.lastrow)-ROW(PLE.firstrow))),0,
           IF(OFFSET(PLE!$G$15,$M404-$A$15,AY$13)="",10^12,OFFSET(PLE!$G$15,$M404-$A$15,AY$13)))</f>
        <v>1000000000000</v>
      </c>
      <c r="AZ404" s="173">
        <f ca="1">IF(OR($D404&lt;&gt;"Serviço",AND(AUTOEVENTO="Manual",$M404=$A$15),$M404&gt;(ROW(PLE.lastrow)-ROW(PLE.firstrow))),0,
           IF(OFFSET(PLE!$G$15,$M404-$A$15,AZ$13)="",10^12,OFFSET(PLE!$G$15,$M404-$A$15,AZ$13)))</f>
        <v>1000000000000</v>
      </c>
      <c r="BA404" s="173">
        <f ca="1">IF(OR($D404&lt;&gt;"Serviço",AND(AUTOEVENTO="Manual",$M404=$A$15),$M404&gt;(ROW(PLE.lastrow)-ROW(PLE.firstrow))),0,
           IF(OFFSET(PLE!$G$15,$M404-$A$15,BA$13)="",10^12,OFFSET(PLE!$G$15,$M404-$A$15,BA$13)))</f>
        <v>1000000000000</v>
      </c>
      <c r="BB404" s="173">
        <f ca="1">IF(OR($D404&lt;&gt;"Serviço",AND(AUTOEVENTO="Manual",$M404=$A$15),$M404&gt;(ROW(PLE.lastrow)-ROW(PLE.firstrow))),0,
           IF(OFFSET(PLE!$G$15,$M404-$A$15,BB$13)="",10^12,OFFSET(PLE!$G$15,$M404-$A$15,BB$13)))</f>
        <v>1000000000000</v>
      </c>
      <c r="BC404" s="173">
        <f ca="1">IF(OR($D404&lt;&gt;"Serviço",AND(AUTOEVENTO="Manual",$M404=$A$15),$M404&gt;(ROW(PLE.lastrow)-ROW(PLE.firstrow))),0,
           IF(OFFSET(PLE!$G$15,$M404-$A$15,BC$13)="",10^12,OFFSET(PLE!$G$15,$M404-$A$15,BC$13)))</f>
        <v>1000000000000</v>
      </c>
      <c r="BD404" s="173">
        <f ca="1">IF(OR($D404&lt;&gt;"Serviço",AND(AUTOEVENTO="Manual",$M404=$A$15),$M404&gt;(ROW(PLE.lastrow)-ROW(PLE.firstrow))),0,
           IF(OFFSET(PLE!$G$15,$M404-$A$15,BD$13)="",10^12,OFFSET(PLE!$G$15,$M404-$A$15,BD$13)))</f>
        <v>1000000000000</v>
      </c>
      <c r="BE404" s="173">
        <f ca="1">IF(OR($D404&lt;&gt;"Serviço",AND(AUTOEVENTO="Manual",$M404=$A$15),$M404&gt;(ROW(PLE.lastrow)-ROW(PLE.firstrow))),0,
           IF(OFFSET(PLE!$G$15,$M404-$A$15,BE$13)="",10^12,OFFSET(PLE!$G$15,$M404-$A$15,BE$13)))</f>
        <v>1000000000000</v>
      </c>
      <c r="BF404" s="173">
        <f ca="1">IF(OR($D404&lt;&gt;"Serviço",AND(AUTOEVENTO="Manual",$M404=$A$15),$M404&gt;(ROW(PLE.lastrow)-ROW(PLE.firstrow))),0,
           IF(OFFSET(PLE!$G$15,$M404-$A$15,BF$13)="",10^12,OFFSET(PLE!$G$15,$M404-$A$15,BF$13)))</f>
        <v>1000000000000</v>
      </c>
      <c r="BG404" s="173">
        <f ca="1">IF(OR($D404&lt;&gt;"Serviço",AND(AUTOEVENTO="Manual",$M404=$A$15),$M404&gt;(ROW(PLE.lastrow)-ROW(PLE.firstrow))),0,
           IF(OFFSET(PLE!$G$15,$M404-$A$15,BG$13)="",10^12,OFFSET(PLE!$G$15,$M404-$A$15,BG$13)))</f>
        <v>1000000000000</v>
      </c>
    </row>
    <row r="405" spans="1:59" ht="5.0999999999999996" customHeight="1" x14ac:dyDescent="0.2">
      <c r="B405" s="7">
        <f ca="1">OFFSET(ORÇAMENTO!C$15,ROW(B405)-ROW(B$15),0)</f>
        <v>-1</v>
      </c>
      <c r="C405" s="7" t="str">
        <f ca="1">OFFSET(ORÇAMENTO!L$15,ROW(C405)-ROW(C$15),0)</f>
        <v>F</v>
      </c>
      <c r="D405" s="628" t="s">
        <v>701</v>
      </c>
      <c r="E405" s="611"/>
      <c r="F405" s="612"/>
      <c r="G405" s="612"/>
      <c r="H405" s="612"/>
      <c r="I405" s="420"/>
      <c r="K405" s="571"/>
      <c r="L405" s="166" t="s">
        <v>765</v>
      </c>
      <c r="M405" s="422"/>
      <c r="N405" s="421"/>
      <c r="O405" s="629"/>
      <c r="Q405" s="611"/>
      <c r="R405" s="612"/>
      <c r="S405" s="612"/>
      <c r="T405" s="612"/>
      <c r="U405" s="612"/>
      <c r="V405" s="612"/>
      <c r="W405" s="612"/>
      <c r="X405" s="612"/>
      <c r="Y405" s="612"/>
      <c r="Z405" s="420"/>
      <c r="AB405" s="630"/>
      <c r="AC405" s="631"/>
      <c r="AD405" s="631"/>
      <c r="AE405" s="631"/>
      <c r="AF405" s="631"/>
      <c r="AG405" s="631"/>
      <c r="AH405" s="631"/>
      <c r="AI405" s="631"/>
      <c r="AJ405" s="631"/>
      <c r="AK405" s="134"/>
      <c r="AM405" s="630"/>
      <c r="AN405" s="631"/>
      <c r="AO405" s="631"/>
      <c r="AP405" s="631"/>
      <c r="AQ405" s="631"/>
      <c r="AR405" s="631"/>
      <c r="AS405" s="631"/>
      <c r="AT405" s="631"/>
      <c r="AU405" s="631"/>
      <c r="AV405" s="134"/>
      <c r="AX405" s="630"/>
      <c r="AY405" s="631"/>
      <c r="AZ405" s="631"/>
      <c r="BA405" s="631"/>
      <c r="BB405" s="631"/>
      <c r="BC405" s="631"/>
      <c r="BD405" s="631"/>
      <c r="BE405" s="631"/>
      <c r="BF405" s="631"/>
      <c r="BG405" s="134"/>
    </row>
    <row r="406" spans="1:59" ht="12.75" customHeight="1" x14ac:dyDescent="0.2"/>
    <row r="407" spans="1:59" ht="12.75" customHeight="1" x14ac:dyDescent="0.2"/>
    <row r="408" spans="1:59" ht="12.75" customHeight="1" x14ac:dyDescent="0.2"/>
    <row r="409" spans="1:59" ht="15" customHeight="1" x14ac:dyDescent="0.2">
      <c r="F409" s="180" t="str">
        <f>Import.Município</f>
        <v>Caçador/SC</v>
      </c>
      <c r="I409" s="461"/>
      <c r="J409" s="461"/>
      <c r="K409" s="461"/>
      <c r="L409" s="461"/>
      <c r="M409" s="462"/>
      <c r="N409" s="418"/>
      <c r="T409" s="140"/>
      <c r="U409" s="140"/>
      <c r="V409" s="181"/>
      <c r="W409" s="181"/>
      <c r="X409" s="181"/>
      <c r="Y409" s="181"/>
    </row>
    <row r="410" spans="1:59" ht="12.75" customHeight="1" x14ac:dyDescent="0.2">
      <c r="F410" s="9" t="s">
        <v>694</v>
      </c>
      <c r="I410" s="182" t="s">
        <v>697</v>
      </c>
      <c r="J410" s="182"/>
      <c r="K410" s="182"/>
      <c r="L410" s="182"/>
      <c r="T410" s="182" t="s">
        <v>697</v>
      </c>
      <c r="U410" s="182"/>
    </row>
    <row r="411" spans="1:59" ht="12.75" customHeight="1" x14ac:dyDescent="0.2">
      <c r="I411" s="399" t="str">
        <f t="array" aca="1" ref="I411:I413" ca="1">OFFSET(Import.RespOrçamento,0,-1) &amp; " " &amp; Import.RespOrçamento</f>
        <v xml:space="preserve">Nome: </v>
      </c>
      <c r="K411" s="79"/>
      <c r="L411" s="79"/>
      <c r="T411" s="399" t="str">
        <f t="array" aca="1" ref="T411:T413" ca="1">OFFSET(Import.RespOrçamento,0,-1) &amp; " " &amp; Import.RespOrçamento</f>
        <v xml:space="preserve">Nome: </v>
      </c>
      <c r="U411" s="78"/>
    </row>
    <row r="412" spans="1:59" ht="12.75" customHeight="1" x14ac:dyDescent="0.2">
      <c r="F412" s="460">
        <f>DADOS!$C$25</f>
        <v>0</v>
      </c>
      <c r="I412" s="399" t="str">
        <f ca="1"/>
        <v xml:space="preserve">CREA/CAU: </v>
      </c>
      <c r="K412" s="79"/>
      <c r="L412" s="79"/>
      <c r="T412" s="399" t="str">
        <f ca="1"/>
        <v xml:space="preserve">CREA/CAU: </v>
      </c>
      <c r="U412" s="78"/>
    </row>
    <row r="413" spans="1:59" ht="12.75" customHeight="1" x14ac:dyDescent="0.2">
      <c r="F413" s="141" t="s">
        <v>695</v>
      </c>
      <c r="I413" s="399" t="str">
        <f ca="1"/>
        <v xml:space="preserve">ART/RRT: </v>
      </c>
      <c r="K413" s="79"/>
      <c r="L413" s="79"/>
      <c r="T413" s="399" t="str">
        <f ca="1"/>
        <v xml:space="preserve">ART/RRT: </v>
      </c>
      <c r="U413" s="78"/>
    </row>
    <row r="414" spans="1:59" ht="12.75" customHeight="1" x14ac:dyDescent="0.2">
      <c r="C414"/>
      <c r="M414"/>
    </row>
    <row r="415" spans="1:59" ht="12.75" customHeight="1" x14ac:dyDescent="0.2">
      <c r="C415"/>
      <c r="M415"/>
    </row>
    <row r="416" spans="1:59" ht="12.75" customHeight="1" x14ac:dyDescent="0.2">
      <c r="C416"/>
      <c r="M416"/>
    </row>
    <row r="417" spans="3:13" ht="12.75" customHeight="1" x14ac:dyDescent="0.2">
      <c r="C417"/>
      <c r="M417"/>
    </row>
    <row r="418" spans="3:13" ht="12.75" customHeight="1" x14ac:dyDescent="0.2">
      <c r="C418"/>
      <c r="M418"/>
    </row>
    <row r="419" spans="3:13" ht="12.75" customHeight="1" x14ac:dyDescent="0.2">
      <c r="C419"/>
      <c r="M419"/>
    </row>
    <row r="420" spans="3:13" ht="12.75" customHeight="1" x14ac:dyDescent="0.2">
      <c r="C420"/>
      <c r="M420"/>
    </row>
    <row r="421" spans="3:13" ht="12.75" customHeight="1" x14ac:dyDescent="0.2">
      <c r="C421"/>
      <c r="M421"/>
    </row>
    <row r="422" spans="3:13" ht="12.75" customHeight="1" x14ac:dyDescent="0.2">
      <c r="C422"/>
      <c r="M422"/>
    </row>
    <row r="423" spans="3:13" ht="12.75" customHeight="1" x14ac:dyDescent="0.2">
      <c r="C423"/>
      <c r="M423"/>
    </row>
    <row r="424" spans="3:13" ht="12.75" customHeight="1" x14ac:dyDescent="0.2">
      <c r="C424"/>
      <c r="M424"/>
    </row>
    <row r="425" spans="3:13" ht="12.75" customHeight="1" x14ac:dyDescent="0.2">
      <c r="C425"/>
      <c r="M425"/>
    </row>
    <row r="426" spans="3:13" ht="12.75" customHeight="1" x14ac:dyDescent="0.2">
      <c r="C426"/>
      <c r="M426"/>
    </row>
    <row r="427" spans="3:13" ht="12.75" customHeight="1" x14ac:dyDescent="0.2">
      <c r="C427"/>
      <c r="M427"/>
    </row>
    <row r="428" spans="3:13" ht="12.75" customHeight="1" x14ac:dyDescent="0.2">
      <c r="C428"/>
      <c r="M428"/>
    </row>
    <row r="429" spans="3:13" ht="12.75" customHeight="1" x14ac:dyDescent="0.2">
      <c r="C429"/>
      <c r="M429"/>
    </row>
    <row r="430" spans="3:13" ht="12.75" customHeight="1" x14ac:dyDescent="0.2">
      <c r="C430"/>
      <c r="M430"/>
    </row>
    <row r="431" spans="3:13" ht="12.75" customHeight="1" x14ac:dyDescent="0.2">
      <c r="C431"/>
      <c r="M431"/>
    </row>
    <row r="432" spans="3:13" ht="12.75" customHeight="1" x14ac:dyDescent="0.2">
      <c r="C432"/>
      <c r="M432"/>
    </row>
    <row r="433" spans="3:13" ht="12.75" customHeight="1" x14ac:dyDescent="0.2">
      <c r="C433"/>
      <c r="M433"/>
    </row>
    <row r="434" spans="3:13" ht="12.75" customHeight="1" x14ac:dyDescent="0.2">
      <c r="C434"/>
      <c r="M434"/>
    </row>
    <row r="435" spans="3:13" ht="12.75" customHeight="1" x14ac:dyDescent="0.2">
      <c r="C435"/>
      <c r="M435"/>
    </row>
    <row r="436" spans="3:13" ht="12.75" customHeight="1" x14ac:dyDescent="0.2">
      <c r="C436"/>
      <c r="M436"/>
    </row>
    <row r="437" spans="3:13" ht="12.75" customHeight="1" x14ac:dyDescent="0.2">
      <c r="C437"/>
      <c r="M437"/>
    </row>
    <row r="438" spans="3:13" ht="12.75" customHeight="1" x14ac:dyDescent="0.2">
      <c r="C438"/>
      <c r="M438"/>
    </row>
    <row r="439" spans="3:13" ht="12.75" customHeight="1" x14ac:dyDescent="0.2">
      <c r="C439"/>
      <c r="M439"/>
    </row>
    <row r="440" spans="3:13" ht="12.75" customHeight="1" x14ac:dyDescent="0.2">
      <c r="C440"/>
      <c r="M440"/>
    </row>
    <row r="441" spans="3:13" ht="12.75" customHeight="1" x14ac:dyDescent="0.2">
      <c r="C441"/>
      <c r="M441"/>
    </row>
    <row r="442" spans="3:13" ht="12.75" customHeight="1" x14ac:dyDescent="0.2">
      <c r="C442"/>
      <c r="M442"/>
    </row>
    <row r="443" spans="3:13" ht="12.75" customHeight="1" x14ac:dyDescent="0.2">
      <c r="C443"/>
      <c r="M443"/>
    </row>
    <row r="444" spans="3:13" ht="12.75" customHeight="1" x14ac:dyDescent="0.2">
      <c r="C444"/>
      <c r="M444"/>
    </row>
    <row r="445" spans="3:13" ht="12.75" customHeight="1" x14ac:dyDescent="0.2">
      <c r="C445"/>
      <c r="M445"/>
    </row>
    <row r="446" spans="3:13" ht="12.75" customHeight="1" x14ac:dyDescent="0.2">
      <c r="C446"/>
      <c r="M446"/>
    </row>
    <row r="447" spans="3:13" ht="12.75" customHeight="1" x14ac:dyDescent="0.2">
      <c r="C447"/>
      <c r="M447"/>
    </row>
    <row r="448" spans="3:13" ht="12.75" customHeight="1" x14ac:dyDescent="0.2">
      <c r="C448"/>
      <c r="M448"/>
    </row>
    <row r="449" spans="3:13" ht="12.75" customHeight="1" x14ac:dyDescent="0.2">
      <c r="C449"/>
      <c r="M449"/>
    </row>
    <row r="450" spans="3:13" ht="12.75" customHeight="1" x14ac:dyDescent="0.2">
      <c r="C450"/>
      <c r="M450"/>
    </row>
    <row r="451" spans="3:13" ht="12.75" customHeight="1" x14ac:dyDescent="0.2">
      <c r="C451"/>
      <c r="M451"/>
    </row>
    <row r="452" spans="3:13" ht="12.75" customHeight="1" x14ac:dyDescent="0.2">
      <c r="C452"/>
      <c r="M452"/>
    </row>
    <row r="453" spans="3:13" ht="12.75" customHeight="1" x14ac:dyDescent="0.2">
      <c r="C453"/>
      <c r="M453"/>
    </row>
    <row r="454" spans="3:13" ht="12.75" customHeight="1" x14ac:dyDescent="0.2">
      <c r="C454"/>
      <c r="M454"/>
    </row>
    <row r="455" spans="3:13" ht="12.75" customHeight="1" x14ac:dyDescent="0.2">
      <c r="C455"/>
      <c r="M455"/>
    </row>
    <row r="456" spans="3:13" ht="12.75" customHeight="1" x14ac:dyDescent="0.2">
      <c r="C456"/>
      <c r="M456"/>
    </row>
    <row r="457" spans="3:13" ht="12.75" customHeight="1" x14ac:dyDescent="0.2">
      <c r="C457"/>
      <c r="M457"/>
    </row>
    <row r="458" spans="3:13" ht="12.75" customHeight="1" x14ac:dyDescent="0.2">
      <c r="C458"/>
      <c r="M458"/>
    </row>
    <row r="459" spans="3:13" ht="12.75" customHeight="1" x14ac:dyDescent="0.2">
      <c r="C459"/>
      <c r="M459"/>
    </row>
    <row r="460" spans="3:13" ht="12.75" customHeight="1" x14ac:dyDescent="0.2">
      <c r="C460"/>
      <c r="M460"/>
    </row>
    <row r="461" spans="3:13" ht="12.75" customHeight="1" x14ac:dyDescent="0.2">
      <c r="C461"/>
      <c r="M461"/>
    </row>
    <row r="462" spans="3:13" ht="12.75" customHeight="1" x14ac:dyDescent="0.2">
      <c r="C462"/>
      <c r="M462"/>
    </row>
    <row r="463" spans="3:13" ht="12.75" customHeight="1" x14ac:dyDescent="0.2">
      <c r="C463"/>
      <c r="M463"/>
    </row>
    <row r="464" spans="3:13" ht="12.75" customHeight="1" x14ac:dyDescent="0.2">
      <c r="C464"/>
      <c r="M464"/>
    </row>
    <row r="465" spans="3:13" ht="12.75" customHeight="1" x14ac:dyDescent="0.2">
      <c r="C465"/>
      <c r="M465"/>
    </row>
    <row r="466" spans="3:13" ht="12.75" customHeight="1" x14ac:dyDescent="0.2">
      <c r="C466"/>
      <c r="M466"/>
    </row>
    <row r="467" spans="3:13" ht="12.75" customHeight="1" x14ac:dyDescent="0.2">
      <c r="C467"/>
      <c r="M467"/>
    </row>
    <row r="468" spans="3:13" ht="12.75" customHeight="1" x14ac:dyDescent="0.2">
      <c r="C468"/>
      <c r="M468"/>
    </row>
    <row r="469" spans="3:13" ht="12.75" customHeight="1" x14ac:dyDescent="0.2">
      <c r="C469"/>
      <c r="M469"/>
    </row>
    <row r="470" spans="3:13" ht="12.75" customHeight="1" x14ac:dyDescent="0.2">
      <c r="C470"/>
      <c r="M470"/>
    </row>
    <row r="471" spans="3:13" ht="12.75" customHeight="1" x14ac:dyDescent="0.2">
      <c r="C471"/>
      <c r="M471"/>
    </row>
    <row r="472" spans="3:13" ht="12.75" customHeight="1" x14ac:dyDescent="0.2">
      <c r="C472"/>
      <c r="M472"/>
    </row>
    <row r="473" spans="3:13" ht="12.75" customHeight="1" x14ac:dyDescent="0.2">
      <c r="C473"/>
      <c r="M473"/>
    </row>
    <row r="474" spans="3:13" ht="12.75" customHeight="1" x14ac:dyDescent="0.2">
      <c r="C474"/>
      <c r="M474"/>
    </row>
    <row r="475" spans="3:13" ht="12.75" customHeight="1" x14ac:dyDescent="0.2">
      <c r="C475"/>
      <c r="M475"/>
    </row>
    <row r="476" spans="3:13" ht="12.75" customHeight="1" x14ac:dyDescent="0.2">
      <c r="C476"/>
      <c r="M476"/>
    </row>
    <row r="477" spans="3:13" ht="12.75" customHeight="1" x14ac:dyDescent="0.2">
      <c r="C477"/>
      <c r="M477"/>
    </row>
    <row r="478" spans="3:13" ht="12.75" customHeight="1" x14ac:dyDescent="0.2">
      <c r="C478"/>
      <c r="M478"/>
    </row>
    <row r="479" spans="3:13" ht="12.75" customHeight="1" x14ac:dyDescent="0.2">
      <c r="C479"/>
      <c r="M479"/>
    </row>
    <row r="480" spans="3:13" ht="12.75" customHeight="1" x14ac:dyDescent="0.2">
      <c r="C480"/>
      <c r="M480"/>
    </row>
    <row r="481" spans="3:13" ht="12.75" customHeight="1" x14ac:dyDescent="0.2">
      <c r="C481"/>
      <c r="M481"/>
    </row>
    <row r="482" spans="3:13" ht="12.75" customHeight="1" x14ac:dyDescent="0.2">
      <c r="C482"/>
      <c r="M482"/>
    </row>
    <row r="483" spans="3:13" ht="12.75" customHeight="1" x14ac:dyDescent="0.2">
      <c r="C483"/>
      <c r="M483"/>
    </row>
    <row r="484" spans="3:13" ht="12.75" customHeight="1" x14ac:dyDescent="0.2">
      <c r="C484"/>
      <c r="M484"/>
    </row>
    <row r="485" spans="3:13" ht="12.75" customHeight="1" x14ac:dyDescent="0.2">
      <c r="C485"/>
      <c r="M485"/>
    </row>
    <row r="486" spans="3:13" ht="12.75" customHeight="1" x14ac:dyDescent="0.2">
      <c r="C486"/>
      <c r="M486"/>
    </row>
    <row r="487" spans="3:13" ht="12.75" customHeight="1" x14ac:dyDescent="0.2">
      <c r="C487"/>
      <c r="M487"/>
    </row>
    <row r="488" spans="3:13" ht="12.75" customHeight="1" x14ac:dyDescent="0.2">
      <c r="C488"/>
      <c r="M488"/>
    </row>
    <row r="489" spans="3:13" ht="12.75" customHeight="1" x14ac:dyDescent="0.2">
      <c r="C489"/>
      <c r="M489"/>
    </row>
    <row r="490" spans="3:13" ht="12.75" customHeight="1" x14ac:dyDescent="0.2">
      <c r="C490"/>
      <c r="M490"/>
    </row>
    <row r="491" spans="3:13" ht="12.75" customHeight="1" x14ac:dyDescent="0.2">
      <c r="C491"/>
      <c r="M491"/>
    </row>
    <row r="492" spans="3:13" ht="12.75" customHeight="1" x14ac:dyDescent="0.2">
      <c r="C492"/>
      <c r="M492"/>
    </row>
    <row r="493" spans="3:13" ht="12.75" customHeight="1" x14ac:dyDescent="0.2">
      <c r="C493"/>
      <c r="M493"/>
    </row>
    <row r="494" spans="3:13" ht="12.75" customHeight="1" x14ac:dyDescent="0.2">
      <c r="C494"/>
      <c r="M494"/>
    </row>
    <row r="495" spans="3:13" ht="12.75" customHeight="1" x14ac:dyDescent="0.2">
      <c r="C495"/>
      <c r="M495"/>
    </row>
    <row r="496" spans="3:13" ht="12.75" customHeight="1" x14ac:dyDescent="0.2">
      <c r="C496"/>
      <c r="M496"/>
    </row>
    <row r="497" spans="3:13" ht="12.75" customHeight="1" x14ac:dyDescent="0.2">
      <c r="C497"/>
      <c r="M497"/>
    </row>
    <row r="498" spans="3:13" ht="12.75" customHeight="1" x14ac:dyDescent="0.2">
      <c r="C498"/>
      <c r="M498"/>
    </row>
    <row r="499" spans="3:13" ht="12.75" customHeight="1" x14ac:dyDescent="0.2">
      <c r="C499"/>
      <c r="M499"/>
    </row>
    <row r="500" spans="3:13" ht="12.75" customHeight="1" x14ac:dyDescent="0.2">
      <c r="C500"/>
      <c r="M500"/>
    </row>
    <row r="501" spans="3:13" ht="12.75" customHeight="1" x14ac:dyDescent="0.2">
      <c r="C501"/>
      <c r="M501"/>
    </row>
    <row r="502" spans="3:13" ht="12.75" customHeight="1" x14ac:dyDescent="0.2">
      <c r="C502"/>
      <c r="M502"/>
    </row>
    <row r="503" spans="3:13" ht="12.75" customHeight="1" x14ac:dyDescent="0.2">
      <c r="C503"/>
      <c r="M503"/>
    </row>
    <row r="504" spans="3:13" ht="12.75" customHeight="1" x14ac:dyDescent="0.2">
      <c r="C504"/>
      <c r="M504"/>
    </row>
    <row r="505" spans="3:13" ht="12.75" customHeight="1" x14ac:dyDescent="0.2">
      <c r="C505"/>
      <c r="M505"/>
    </row>
    <row r="506" spans="3:13" ht="12.75" customHeight="1" x14ac:dyDescent="0.2">
      <c r="C506"/>
      <c r="M506"/>
    </row>
    <row r="507" spans="3:13" ht="12.75" customHeight="1" x14ac:dyDescent="0.2">
      <c r="C507"/>
      <c r="M507"/>
    </row>
    <row r="508" spans="3:13" ht="12.75" customHeight="1" x14ac:dyDescent="0.2">
      <c r="C508"/>
      <c r="M508"/>
    </row>
    <row r="509" spans="3:13" ht="12.75" customHeight="1" x14ac:dyDescent="0.2">
      <c r="C509"/>
      <c r="M509"/>
    </row>
    <row r="510" spans="3:13" ht="12.75" customHeight="1" x14ac:dyDescent="0.2">
      <c r="C510"/>
      <c r="M510"/>
    </row>
    <row r="511" spans="3:13" ht="12.75" customHeight="1" x14ac:dyDescent="0.2">
      <c r="C511"/>
      <c r="M511"/>
    </row>
    <row r="512" spans="3:13" ht="12.75" customHeight="1" x14ac:dyDescent="0.2">
      <c r="C512"/>
      <c r="M512"/>
    </row>
    <row r="513" spans="3:13" ht="12.75" customHeight="1" x14ac:dyDescent="0.2">
      <c r="C513"/>
      <c r="M513"/>
    </row>
    <row r="514" spans="3:13" ht="12.75" customHeight="1" x14ac:dyDescent="0.2">
      <c r="C514"/>
      <c r="M514"/>
    </row>
    <row r="515" spans="3:13" ht="12.75" customHeight="1" x14ac:dyDescent="0.2">
      <c r="C515"/>
      <c r="M515"/>
    </row>
    <row r="516" spans="3:13" ht="12.75" customHeight="1" x14ac:dyDescent="0.2">
      <c r="C516"/>
      <c r="M516"/>
    </row>
    <row r="517" spans="3:13" ht="12.75" customHeight="1" x14ac:dyDescent="0.2">
      <c r="C517"/>
      <c r="M517"/>
    </row>
    <row r="518" spans="3:13" ht="12.75" customHeight="1" x14ac:dyDescent="0.2">
      <c r="C518"/>
      <c r="M518"/>
    </row>
    <row r="519" spans="3:13" ht="12.75" customHeight="1" x14ac:dyDescent="0.2">
      <c r="C519"/>
      <c r="M519"/>
    </row>
    <row r="520" spans="3:13" ht="12.75" customHeight="1" x14ac:dyDescent="0.2">
      <c r="C520"/>
      <c r="M520"/>
    </row>
    <row r="521" spans="3:13" ht="12.75" customHeight="1" x14ac:dyDescent="0.2">
      <c r="C521"/>
      <c r="M521"/>
    </row>
    <row r="522" spans="3:13" ht="12.75" customHeight="1" x14ac:dyDescent="0.2">
      <c r="C522"/>
      <c r="M522"/>
    </row>
    <row r="523" spans="3:13" ht="12.75" customHeight="1" x14ac:dyDescent="0.2">
      <c r="C523"/>
      <c r="M523"/>
    </row>
    <row r="524" spans="3:13" ht="12.75" customHeight="1" x14ac:dyDescent="0.2">
      <c r="C524"/>
      <c r="M524"/>
    </row>
    <row r="525" spans="3:13" ht="12.75" customHeight="1" x14ac:dyDescent="0.2">
      <c r="C525"/>
      <c r="M525"/>
    </row>
    <row r="526" spans="3:13" ht="12.75" customHeight="1" x14ac:dyDescent="0.2">
      <c r="C526"/>
      <c r="M526"/>
    </row>
    <row r="527" spans="3:13" ht="12.75" customHeight="1" x14ac:dyDescent="0.2">
      <c r="C527"/>
      <c r="M527"/>
    </row>
    <row r="528" spans="3:13" ht="12.75" customHeight="1" x14ac:dyDescent="0.2">
      <c r="C528"/>
      <c r="M528"/>
    </row>
    <row r="529" spans="3:13" ht="12.75" customHeight="1" x14ac:dyDescent="0.2">
      <c r="C529"/>
      <c r="M529"/>
    </row>
    <row r="530" spans="3:13" ht="12.75" customHeight="1" x14ac:dyDescent="0.2">
      <c r="C530"/>
      <c r="M530"/>
    </row>
    <row r="531" spans="3:13" ht="12.75" customHeight="1" x14ac:dyDescent="0.2">
      <c r="C531"/>
      <c r="M531"/>
    </row>
    <row r="532" spans="3:13" ht="12.75" customHeight="1" x14ac:dyDescent="0.2">
      <c r="C532"/>
      <c r="M532"/>
    </row>
    <row r="533" spans="3:13" ht="12.75" customHeight="1" x14ac:dyDescent="0.2">
      <c r="C533"/>
      <c r="M533"/>
    </row>
    <row r="534" spans="3:13" ht="12.75" customHeight="1" x14ac:dyDescent="0.2">
      <c r="C534"/>
      <c r="M534"/>
    </row>
    <row r="535" spans="3:13" ht="12.75" customHeight="1" x14ac:dyDescent="0.2">
      <c r="C535"/>
      <c r="M535"/>
    </row>
    <row r="536" spans="3:13" ht="12.75" customHeight="1" x14ac:dyDescent="0.2">
      <c r="C536"/>
      <c r="M536"/>
    </row>
    <row r="537" spans="3:13" ht="12.75" customHeight="1" x14ac:dyDescent="0.2">
      <c r="C537"/>
      <c r="M537"/>
    </row>
    <row r="538" spans="3:13" ht="12.75" customHeight="1" x14ac:dyDescent="0.2">
      <c r="C538"/>
      <c r="M538"/>
    </row>
    <row r="539" spans="3:13" ht="12.75" customHeight="1" x14ac:dyDescent="0.2">
      <c r="C539"/>
      <c r="M539"/>
    </row>
    <row r="540" spans="3:13" ht="12.75" customHeight="1" x14ac:dyDescent="0.2">
      <c r="C540"/>
      <c r="M540"/>
    </row>
    <row r="541" spans="3:13" ht="12.75" customHeight="1" x14ac:dyDescent="0.2">
      <c r="C541"/>
      <c r="M541"/>
    </row>
    <row r="542" spans="3:13" ht="12.75" customHeight="1" x14ac:dyDescent="0.2">
      <c r="C542"/>
      <c r="M542"/>
    </row>
    <row r="543" spans="3:13" ht="12.75" customHeight="1" x14ac:dyDescent="0.2">
      <c r="C543"/>
      <c r="M543"/>
    </row>
    <row r="544" spans="3:13" ht="12.75" customHeight="1" x14ac:dyDescent="0.2">
      <c r="C544"/>
      <c r="M544"/>
    </row>
    <row r="545" spans="3:13" ht="12.75" customHeight="1" x14ac:dyDescent="0.2">
      <c r="C545"/>
      <c r="M545"/>
    </row>
    <row r="546" spans="3:13" ht="12.75" customHeight="1" x14ac:dyDescent="0.2">
      <c r="C546"/>
      <c r="M546"/>
    </row>
    <row r="547" spans="3:13" ht="12.75" customHeight="1" x14ac:dyDescent="0.2">
      <c r="C547"/>
      <c r="M547"/>
    </row>
    <row r="548" spans="3:13" ht="12.75" customHeight="1" x14ac:dyDescent="0.2">
      <c r="C548"/>
      <c r="M548"/>
    </row>
    <row r="549" spans="3:13" ht="12.75" customHeight="1" x14ac:dyDescent="0.2">
      <c r="C549"/>
      <c r="M549"/>
    </row>
    <row r="550" spans="3:13" ht="12.75" customHeight="1" x14ac:dyDescent="0.2">
      <c r="C550"/>
      <c r="M550"/>
    </row>
    <row r="551" spans="3:13" ht="12.75" customHeight="1" x14ac:dyDescent="0.2">
      <c r="C551"/>
      <c r="M551"/>
    </row>
    <row r="552" spans="3:13" ht="12.75" customHeight="1" x14ac:dyDescent="0.2">
      <c r="C552"/>
      <c r="M552"/>
    </row>
    <row r="553" spans="3:13" ht="12.75" customHeight="1" x14ac:dyDescent="0.2">
      <c r="C553"/>
      <c r="M553"/>
    </row>
    <row r="554" spans="3:13" ht="12.75" customHeight="1" x14ac:dyDescent="0.2">
      <c r="C554"/>
      <c r="M554"/>
    </row>
    <row r="555" spans="3:13" ht="12.75" customHeight="1" x14ac:dyDescent="0.2">
      <c r="C555"/>
      <c r="M555"/>
    </row>
    <row r="556" spans="3:13" ht="12.75" customHeight="1" x14ac:dyDescent="0.2">
      <c r="C556"/>
      <c r="M556"/>
    </row>
    <row r="557" spans="3:13" ht="12.75" customHeight="1" x14ac:dyDescent="0.2">
      <c r="C557"/>
      <c r="M557"/>
    </row>
    <row r="558" spans="3:13" ht="12.75" customHeight="1" x14ac:dyDescent="0.2">
      <c r="C558"/>
      <c r="M558"/>
    </row>
    <row r="559" spans="3:13" ht="12.75" customHeight="1" x14ac:dyDescent="0.2">
      <c r="C559"/>
      <c r="M559"/>
    </row>
    <row r="560" spans="3:13" ht="12.75" customHeight="1" x14ac:dyDescent="0.2">
      <c r="C560"/>
      <c r="M560"/>
    </row>
    <row r="561" spans="3:13" ht="12.75" customHeight="1" x14ac:dyDescent="0.2">
      <c r="C561"/>
      <c r="M561"/>
    </row>
    <row r="562" spans="3:13" ht="12.75" customHeight="1" x14ac:dyDescent="0.2">
      <c r="C562"/>
      <c r="M562"/>
    </row>
    <row r="563" spans="3:13" ht="12.75" customHeight="1" x14ac:dyDescent="0.2">
      <c r="C563"/>
      <c r="M563"/>
    </row>
    <row r="564" spans="3:13" ht="12.75" customHeight="1" x14ac:dyDescent="0.2">
      <c r="C564"/>
      <c r="M564"/>
    </row>
    <row r="565" spans="3:13" ht="12.75" customHeight="1" x14ac:dyDescent="0.2">
      <c r="C565"/>
      <c r="M565"/>
    </row>
    <row r="566" spans="3:13" ht="12.75" customHeight="1" x14ac:dyDescent="0.2">
      <c r="C566"/>
      <c r="M566"/>
    </row>
    <row r="567" spans="3:13" ht="12.75" customHeight="1" x14ac:dyDescent="0.2">
      <c r="C567"/>
      <c r="M567"/>
    </row>
    <row r="568" spans="3:13" ht="12.75" customHeight="1" x14ac:dyDescent="0.2">
      <c r="C568"/>
      <c r="M568"/>
    </row>
    <row r="569" spans="3:13" ht="12.75" customHeight="1" x14ac:dyDescent="0.2">
      <c r="C569"/>
      <c r="M569"/>
    </row>
    <row r="570" spans="3:13" ht="12.75" customHeight="1" x14ac:dyDescent="0.2">
      <c r="C570"/>
      <c r="M570"/>
    </row>
    <row r="571" spans="3:13" ht="12.75" customHeight="1" x14ac:dyDescent="0.2">
      <c r="C571"/>
      <c r="M571"/>
    </row>
    <row r="572" spans="3:13" ht="12.75" customHeight="1" x14ac:dyDescent="0.2">
      <c r="C572"/>
      <c r="M572"/>
    </row>
    <row r="573" spans="3:13" ht="12.75" customHeight="1" x14ac:dyDescent="0.2">
      <c r="C573"/>
      <c r="M573"/>
    </row>
    <row r="574" spans="3:13" ht="12.75" customHeight="1" x14ac:dyDescent="0.2">
      <c r="C574"/>
      <c r="M574"/>
    </row>
    <row r="575" spans="3:13" ht="12.75" customHeight="1" x14ac:dyDescent="0.2">
      <c r="C575"/>
      <c r="M575"/>
    </row>
    <row r="576" spans="3:13" ht="12.75" customHeight="1" x14ac:dyDescent="0.2">
      <c r="C576"/>
      <c r="M576"/>
    </row>
    <row r="577" spans="3:13" ht="12.75" customHeight="1" x14ac:dyDescent="0.2">
      <c r="C577"/>
      <c r="M577"/>
    </row>
    <row r="578" spans="3:13" ht="12.75" customHeight="1" x14ac:dyDescent="0.2">
      <c r="C578"/>
      <c r="M578"/>
    </row>
    <row r="579" spans="3:13" ht="12.75" customHeight="1" x14ac:dyDescent="0.2">
      <c r="C579"/>
      <c r="M579"/>
    </row>
    <row r="580" spans="3:13" ht="12.75" customHeight="1" x14ac:dyDescent="0.2">
      <c r="C580"/>
      <c r="M580"/>
    </row>
    <row r="581" spans="3:13" ht="12.75" customHeight="1" x14ac:dyDescent="0.2">
      <c r="C581"/>
      <c r="M581"/>
    </row>
    <row r="582" spans="3:13" ht="12.75" customHeight="1" x14ac:dyDescent="0.2">
      <c r="C582"/>
      <c r="M582"/>
    </row>
    <row r="583" spans="3:13" ht="12.75" customHeight="1" x14ac:dyDescent="0.2">
      <c r="C583"/>
      <c r="M583"/>
    </row>
    <row r="584" spans="3:13" ht="12.75" customHeight="1" x14ac:dyDescent="0.2">
      <c r="C584"/>
      <c r="M584"/>
    </row>
    <row r="585" spans="3:13" ht="12.75" customHeight="1" x14ac:dyDescent="0.2">
      <c r="C585"/>
      <c r="M585"/>
    </row>
    <row r="586" spans="3:13" ht="12.75" customHeight="1" x14ac:dyDescent="0.2">
      <c r="C586"/>
      <c r="M586"/>
    </row>
    <row r="587" spans="3:13" ht="12.75" customHeight="1" x14ac:dyDescent="0.2">
      <c r="C587"/>
      <c r="M587"/>
    </row>
    <row r="588" spans="3:13" ht="12.75" customHeight="1" x14ac:dyDescent="0.2">
      <c r="C588"/>
      <c r="M588"/>
    </row>
    <row r="589" spans="3:13" ht="12.75" customHeight="1" x14ac:dyDescent="0.2">
      <c r="C589"/>
      <c r="M589"/>
    </row>
    <row r="590" spans="3:13" ht="12.75" customHeight="1" x14ac:dyDescent="0.2">
      <c r="C590"/>
      <c r="M590"/>
    </row>
    <row r="591" spans="3:13" ht="12.75" customHeight="1" x14ac:dyDescent="0.2">
      <c r="C591"/>
      <c r="M591"/>
    </row>
    <row r="592" spans="3:13" ht="12.75" customHeight="1" x14ac:dyDescent="0.2">
      <c r="C592"/>
      <c r="M592"/>
    </row>
    <row r="593" spans="3:13" ht="12.75" customHeight="1" x14ac:dyDescent="0.2">
      <c r="C593"/>
      <c r="M593"/>
    </row>
    <row r="594" spans="3:13" ht="12.75" customHeight="1" x14ac:dyDescent="0.2">
      <c r="C594"/>
      <c r="M594"/>
    </row>
    <row r="595" spans="3:13" ht="12.75" customHeight="1" x14ac:dyDescent="0.2">
      <c r="C595"/>
      <c r="M595"/>
    </row>
    <row r="596" spans="3:13" ht="12.75" customHeight="1" x14ac:dyDescent="0.2">
      <c r="C596"/>
      <c r="M596"/>
    </row>
    <row r="597" spans="3:13" ht="12.75" customHeight="1" x14ac:dyDescent="0.2">
      <c r="C597"/>
      <c r="M597"/>
    </row>
    <row r="598" spans="3:13" ht="12.75" customHeight="1" x14ac:dyDescent="0.2">
      <c r="C598"/>
      <c r="M598"/>
    </row>
    <row r="599" spans="3:13" ht="12.75" customHeight="1" x14ac:dyDescent="0.2">
      <c r="C599"/>
      <c r="M599"/>
    </row>
    <row r="600" spans="3:13" ht="12.75" customHeight="1" x14ac:dyDescent="0.2">
      <c r="C600"/>
      <c r="M600"/>
    </row>
    <row r="601" spans="3:13" ht="12.75" customHeight="1" x14ac:dyDescent="0.2">
      <c r="C601"/>
      <c r="M601"/>
    </row>
    <row r="602" spans="3:13" ht="12.75" customHeight="1" x14ac:dyDescent="0.2">
      <c r="C602"/>
      <c r="M602"/>
    </row>
    <row r="603" spans="3:13" ht="12.75" customHeight="1" x14ac:dyDescent="0.2">
      <c r="C603"/>
      <c r="M603"/>
    </row>
    <row r="604" spans="3:13" ht="12.75" customHeight="1" x14ac:dyDescent="0.2">
      <c r="C604"/>
      <c r="M604"/>
    </row>
    <row r="605" spans="3:13" ht="12.75" customHeight="1" x14ac:dyDescent="0.2">
      <c r="C605"/>
      <c r="M605"/>
    </row>
    <row r="606" spans="3:13" ht="12.75" customHeight="1" x14ac:dyDescent="0.2">
      <c r="C606"/>
      <c r="M606"/>
    </row>
    <row r="607" spans="3:13" ht="12.75" customHeight="1" x14ac:dyDescent="0.2">
      <c r="C607"/>
      <c r="M607"/>
    </row>
    <row r="608" spans="3:13" ht="12.75" customHeight="1" x14ac:dyDescent="0.2">
      <c r="C608"/>
      <c r="M608"/>
    </row>
    <row r="609" spans="3:13" ht="12.75" customHeight="1" x14ac:dyDescent="0.2">
      <c r="C609"/>
      <c r="M609"/>
    </row>
    <row r="610" spans="3:13" ht="12.75" customHeight="1" x14ac:dyDescent="0.2">
      <c r="C610"/>
      <c r="M610"/>
    </row>
    <row r="611" spans="3:13" ht="12.75" customHeight="1" x14ac:dyDescent="0.2">
      <c r="C611"/>
      <c r="M611"/>
    </row>
    <row r="612" spans="3:13" ht="12.75" customHeight="1" x14ac:dyDescent="0.2">
      <c r="C612"/>
      <c r="M612"/>
    </row>
    <row r="613" spans="3:13" ht="12.75" customHeight="1" x14ac:dyDescent="0.2">
      <c r="C613"/>
      <c r="M613"/>
    </row>
    <row r="614" spans="3:13" ht="12.75" customHeight="1" x14ac:dyDescent="0.2">
      <c r="C614"/>
      <c r="M614"/>
    </row>
    <row r="615" spans="3:13" ht="12.75" customHeight="1" x14ac:dyDescent="0.2">
      <c r="C615"/>
      <c r="M615"/>
    </row>
    <row r="616" spans="3:13" ht="12.75" customHeight="1" x14ac:dyDescent="0.2">
      <c r="C616"/>
      <c r="M616"/>
    </row>
    <row r="617" spans="3:13" ht="12.75" customHeight="1" x14ac:dyDescent="0.2">
      <c r="C617"/>
      <c r="M617"/>
    </row>
    <row r="618" spans="3:13" ht="12.75" customHeight="1" x14ac:dyDescent="0.2">
      <c r="C618"/>
      <c r="M618"/>
    </row>
    <row r="619" spans="3:13" ht="12.75" customHeight="1" x14ac:dyDescent="0.2">
      <c r="C619"/>
      <c r="M619"/>
    </row>
    <row r="620" spans="3:13" ht="12.75" customHeight="1" x14ac:dyDescent="0.2">
      <c r="C620"/>
      <c r="M620"/>
    </row>
    <row r="621" spans="3:13" ht="12.75" customHeight="1" x14ac:dyDescent="0.2">
      <c r="C621"/>
      <c r="M621"/>
    </row>
    <row r="622" spans="3:13" ht="12.75" customHeight="1" x14ac:dyDescent="0.2">
      <c r="C622"/>
      <c r="M622"/>
    </row>
    <row r="623" spans="3:13" ht="12.75" customHeight="1" x14ac:dyDescent="0.2">
      <c r="C623"/>
      <c r="M623"/>
    </row>
    <row r="624" spans="3:13" ht="12.75" customHeight="1" x14ac:dyDescent="0.2">
      <c r="C624"/>
      <c r="M624"/>
    </row>
    <row r="625" spans="3:13" ht="12.75" customHeight="1" x14ac:dyDescent="0.2">
      <c r="C625"/>
      <c r="M625"/>
    </row>
    <row r="626" spans="3:13" ht="12.75" customHeight="1" x14ac:dyDescent="0.2">
      <c r="C626"/>
      <c r="M626"/>
    </row>
    <row r="627" spans="3:13" ht="12.75" customHeight="1" x14ac:dyDescent="0.2">
      <c r="C627"/>
      <c r="M627"/>
    </row>
    <row r="628" spans="3:13" ht="12.75" customHeight="1" x14ac:dyDescent="0.2">
      <c r="C628"/>
      <c r="M628"/>
    </row>
    <row r="629" spans="3:13" ht="12.75" customHeight="1" x14ac:dyDescent="0.2">
      <c r="C629"/>
      <c r="M629"/>
    </row>
    <row r="630" spans="3:13" ht="12.75" customHeight="1" x14ac:dyDescent="0.2">
      <c r="C630"/>
      <c r="M630"/>
    </row>
    <row r="631" spans="3:13" ht="12.75" customHeight="1" x14ac:dyDescent="0.2">
      <c r="C631"/>
      <c r="M631"/>
    </row>
    <row r="632" spans="3:13" ht="12.75" customHeight="1" x14ac:dyDescent="0.2">
      <c r="C632"/>
      <c r="M632"/>
    </row>
    <row r="633" spans="3:13" ht="12.75" customHeight="1" x14ac:dyDescent="0.2">
      <c r="C633"/>
      <c r="M633"/>
    </row>
    <row r="634" spans="3:13" ht="12.75" customHeight="1" x14ac:dyDescent="0.2">
      <c r="C634"/>
      <c r="M634"/>
    </row>
    <row r="635" spans="3:13" ht="12.75" customHeight="1" x14ac:dyDescent="0.2">
      <c r="C635"/>
      <c r="M635"/>
    </row>
    <row r="636" spans="3:13" ht="12.75" customHeight="1" x14ac:dyDescent="0.2">
      <c r="C636"/>
      <c r="M636"/>
    </row>
    <row r="637" spans="3:13" ht="12.75" customHeight="1" x14ac:dyDescent="0.2">
      <c r="C637"/>
      <c r="M637"/>
    </row>
    <row r="638" spans="3:13" ht="12.75" customHeight="1" x14ac:dyDescent="0.2">
      <c r="C638"/>
      <c r="M638"/>
    </row>
    <row r="639" spans="3:13" ht="12.75" customHeight="1" x14ac:dyDescent="0.2">
      <c r="C639"/>
      <c r="M639"/>
    </row>
    <row r="640" spans="3:13" ht="12.75" customHeight="1" x14ac:dyDescent="0.2">
      <c r="C640"/>
      <c r="M640"/>
    </row>
    <row r="641" spans="3:13" ht="12.75" customHeight="1" x14ac:dyDescent="0.2">
      <c r="C641"/>
      <c r="M641"/>
    </row>
    <row r="642" spans="3:13" ht="12.75" customHeight="1" x14ac:dyDescent="0.2">
      <c r="C642"/>
      <c r="M642"/>
    </row>
    <row r="643" spans="3:13" ht="12.75" customHeight="1" x14ac:dyDescent="0.2">
      <c r="C643"/>
      <c r="M643"/>
    </row>
    <row r="644" spans="3:13" ht="12.75" customHeight="1" x14ac:dyDescent="0.2">
      <c r="C644"/>
      <c r="M644"/>
    </row>
    <row r="645" spans="3:13" ht="12.75" customHeight="1" x14ac:dyDescent="0.2">
      <c r="C645"/>
      <c r="M645"/>
    </row>
    <row r="646" spans="3:13" ht="12.75" customHeight="1" x14ac:dyDescent="0.2">
      <c r="C646"/>
      <c r="M646"/>
    </row>
    <row r="647" spans="3:13" ht="12.75" customHeight="1" x14ac:dyDescent="0.2">
      <c r="C647"/>
      <c r="M647"/>
    </row>
    <row r="648" spans="3:13" ht="12.75" customHeight="1" x14ac:dyDescent="0.2">
      <c r="C648"/>
      <c r="M648"/>
    </row>
    <row r="649" spans="3:13" ht="12.75" customHeight="1" x14ac:dyDescent="0.2">
      <c r="C649"/>
      <c r="M649"/>
    </row>
    <row r="650" spans="3:13" ht="12.75" customHeight="1" x14ac:dyDescent="0.2">
      <c r="C650"/>
      <c r="M650"/>
    </row>
    <row r="651" spans="3:13" ht="12.75" customHeight="1" x14ac:dyDescent="0.2">
      <c r="C651"/>
      <c r="M651"/>
    </row>
    <row r="652" spans="3:13" ht="12.75" customHeight="1" x14ac:dyDescent="0.2">
      <c r="C652"/>
      <c r="M652"/>
    </row>
    <row r="653" spans="3:13" ht="12.75" customHeight="1" x14ac:dyDescent="0.2">
      <c r="C653"/>
      <c r="M653"/>
    </row>
    <row r="654" spans="3:13" ht="12.75" customHeight="1" x14ac:dyDescent="0.2">
      <c r="C654"/>
      <c r="M654"/>
    </row>
    <row r="655" spans="3:13" ht="12.75" customHeight="1" x14ac:dyDescent="0.2">
      <c r="C655"/>
      <c r="M655"/>
    </row>
    <row r="656" spans="3:13" ht="12.75" customHeight="1" x14ac:dyDescent="0.2">
      <c r="C656"/>
      <c r="M656"/>
    </row>
    <row r="657" spans="3:13" ht="12.75" customHeight="1" x14ac:dyDescent="0.2">
      <c r="C657"/>
      <c r="M657"/>
    </row>
    <row r="658" spans="3:13" ht="12.75" customHeight="1" x14ac:dyDescent="0.2">
      <c r="C658"/>
      <c r="M658"/>
    </row>
    <row r="659" spans="3:13" ht="12.75" customHeight="1" x14ac:dyDescent="0.2">
      <c r="C659"/>
      <c r="M659"/>
    </row>
    <row r="660" spans="3:13" ht="12.75" customHeight="1" x14ac:dyDescent="0.2">
      <c r="C660"/>
      <c r="M660"/>
    </row>
    <row r="661" spans="3:13" ht="12.75" customHeight="1" x14ac:dyDescent="0.2">
      <c r="C661"/>
      <c r="M661"/>
    </row>
    <row r="662" spans="3:13" ht="12.75" customHeight="1" x14ac:dyDescent="0.2">
      <c r="C662"/>
      <c r="M662"/>
    </row>
    <row r="663" spans="3:13" ht="12.75" customHeight="1" x14ac:dyDescent="0.2">
      <c r="C663"/>
      <c r="M663"/>
    </row>
    <row r="664" spans="3:13" ht="12.75" customHeight="1" x14ac:dyDescent="0.2">
      <c r="C664"/>
      <c r="M664"/>
    </row>
    <row r="665" spans="3:13" ht="12.75" customHeight="1" x14ac:dyDescent="0.2">
      <c r="C665"/>
      <c r="M665"/>
    </row>
    <row r="666" spans="3:13" ht="12.75" customHeight="1" x14ac:dyDescent="0.2">
      <c r="C666"/>
      <c r="M666"/>
    </row>
    <row r="667" spans="3:13" ht="12.75" customHeight="1" x14ac:dyDescent="0.2">
      <c r="C667"/>
      <c r="M667"/>
    </row>
    <row r="668" spans="3:13" ht="12.75" customHeight="1" x14ac:dyDescent="0.2">
      <c r="C668"/>
      <c r="M668"/>
    </row>
    <row r="669" spans="3:13" ht="12.75" customHeight="1" x14ac:dyDescent="0.2">
      <c r="C669"/>
      <c r="M669"/>
    </row>
    <row r="670" spans="3:13" ht="12.75" customHeight="1" x14ac:dyDescent="0.2">
      <c r="C670"/>
      <c r="M670"/>
    </row>
    <row r="671" spans="3:13" ht="12.75" customHeight="1" x14ac:dyDescent="0.2">
      <c r="C671"/>
      <c r="M671"/>
    </row>
    <row r="672" spans="3:13" ht="12.75" customHeight="1" x14ac:dyDescent="0.2">
      <c r="C672"/>
      <c r="M672"/>
    </row>
    <row r="673" spans="3:13" ht="12.75" customHeight="1" x14ac:dyDescent="0.2">
      <c r="C673"/>
      <c r="M673"/>
    </row>
    <row r="674" spans="3:13" ht="12.75" customHeight="1" x14ac:dyDescent="0.2">
      <c r="C674"/>
      <c r="M674"/>
    </row>
    <row r="675" spans="3:13" ht="12.75" customHeight="1" x14ac:dyDescent="0.2">
      <c r="C675"/>
      <c r="M675"/>
    </row>
    <row r="676" spans="3:13" ht="12.75" customHeight="1" x14ac:dyDescent="0.2">
      <c r="C676"/>
      <c r="M676"/>
    </row>
    <row r="677" spans="3:13" ht="12.75" customHeight="1" x14ac:dyDescent="0.2">
      <c r="C677"/>
      <c r="M677"/>
    </row>
    <row r="678" spans="3:13" ht="12.75" customHeight="1" x14ac:dyDescent="0.2">
      <c r="C678"/>
      <c r="M678"/>
    </row>
    <row r="679" spans="3:13" ht="12.75" customHeight="1" x14ac:dyDescent="0.2">
      <c r="C679"/>
      <c r="M679"/>
    </row>
    <row r="680" spans="3:13" ht="12.75" customHeight="1" x14ac:dyDescent="0.2">
      <c r="C680"/>
      <c r="M680"/>
    </row>
    <row r="681" spans="3:13" ht="12.75" customHeight="1" x14ac:dyDescent="0.2">
      <c r="C681"/>
      <c r="M681"/>
    </row>
    <row r="682" spans="3:13" ht="12.75" customHeight="1" x14ac:dyDescent="0.2">
      <c r="C682"/>
      <c r="M682"/>
    </row>
    <row r="683" spans="3:13" ht="12.75" customHeight="1" x14ac:dyDescent="0.2">
      <c r="C683"/>
      <c r="M683"/>
    </row>
    <row r="684" spans="3:13" ht="12.75" customHeight="1" x14ac:dyDescent="0.2">
      <c r="C684"/>
      <c r="M684"/>
    </row>
    <row r="685" spans="3:13" ht="12.75" customHeight="1" x14ac:dyDescent="0.2">
      <c r="C685"/>
      <c r="M685"/>
    </row>
    <row r="686" spans="3:13" ht="12.75" customHeight="1" x14ac:dyDescent="0.2">
      <c r="C686"/>
      <c r="M686"/>
    </row>
    <row r="687" spans="3:13" ht="12.75" customHeight="1" x14ac:dyDescent="0.2">
      <c r="C687"/>
      <c r="M687"/>
    </row>
    <row r="688" spans="3:13" ht="12.75" customHeight="1" x14ac:dyDescent="0.2">
      <c r="C688"/>
      <c r="M688"/>
    </row>
    <row r="689" spans="3:13" ht="12.75" customHeight="1" x14ac:dyDescent="0.2">
      <c r="C689"/>
      <c r="M689"/>
    </row>
    <row r="690" spans="3:13" ht="12.75" customHeight="1" x14ac:dyDescent="0.2">
      <c r="C690"/>
      <c r="M690"/>
    </row>
    <row r="691" spans="3:13" ht="12.75" customHeight="1" x14ac:dyDescent="0.2">
      <c r="C691"/>
      <c r="M691"/>
    </row>
    <row r="692" spans="3:13" ht="12.75" customHeight="1" x14ac:dyDescent="0.2">
      <c r="C692"/>
      <c r="M692"/>
    </row>
    <row r="693" spans="3:13" ht="12.75" customHeight="1" x14ac:dyDescent="0.2">
      <c r="C693"/>
      <c r="M693"/>
    </row>
    <row r="694" spans="3:13" ht="12.75" customHeight="1" x14ac:dyDescent="0.2">
      <c r="C694"/>
      <c r="M694"/>
    </row>
    <row r="695" spans="3:13" ht="12.75" customHeight="1" x14ac:dyDescent="0.2">
      <c r="C695"/>
      <c r="M695"/>
    </row>
    <row r="696" spans="3:13" ht="12.75" customHeight="1" x14ac:dyDescent="0.2">
      <c r="C696"/>
      <c r="M696"/>
    </row>
    <row r="697" spans="3:13" ht="12.75" customHeight="1" x14ac:dyDescent="0.2">
      <c r="C697"/>
      <c r="M697"/>
    </row>
    <row r="698" spans="3:13" ht="12.75" customHeight="1" x14ac:dyDescent="0.2">
      <c r="C698"/>
      <c r="M698"/>
    </row>
    <row r="699" spans="3:13" ht="12.75" customHeight="1" x14ac:dyDescent="0.2">
      <c r="C699"/>
      <c r="M699"/>
    </row>
    <row r="700" spans="3:13" ht="12.75" customHeight="1" x14ac:dyDescent="0.2">
      <c r="C700"/>
      <c r="M700"/>
    </row>
    <row r="701" spans="3:13" ht="12.75" customHeight="1" x14ac:dyDescent="0.2">
      <c r="C701"/>
      <c r="M701"/>
    </row>
    <row r="702" spans="3:13" ht="12.75" customHeight="1" x14ac:dyDescent="0.2">
      <c r="C702"/>
      <c r="M702"/>
    </row>
    <row r="703" spans="3:13" ht="12.75" customHeight="1" x14ac:dyDescent="0.2">
      <c r="C703"/>
      <c r="M703"/>
    </row>
    <row r="704" spans="3:13" ht="12.75" customHeight="1" x14ac:dyDescent="0.2">
      <c r="C704"/>
      <c r="M704"/>
    </row>
    <row r="705" spans="3:13" ht="12.75" customHeight="1" x14ac:dyDescent="0.2">
      <c r="C705"/>
      <c r="M705"/>
    </row>
    <row r="706" spans="3:13" ht="12.75" customHeight="1" x14ac:dyDescent="0.2">
      <c r="C706"/>
      <c r="M706"/>
    </row>
    <row r="707" spans="3:13" ht="12.75" customHeight="1" x14ac:dyDescent="0.2">
      <c r="C707"/>
      <c r="M707"/>
    </row>
    <row r="708" spans="3:13" ht="12.75" customHeight="1" x14ac:dyDescent="0.2">
      <c r="C708"/>
      <c r="M708"/>
    </row>
    <row r="709" spans="3:13" ht="12.75" customHeight="1" x14ac:dyDescent="0.2">
      <c r="C709"/>
      <c r="M709"/>
    </row>
    <row r="710" spans="3:13" ht="12.75" customHeight="1" x14ac:dyDescent="0.2">
      <c r="C710"/>
      <c r="M710"/>
    </row>
    <row r="711" spans="3:13" ht="12.75" customHeight="1" x14ac:dyDescent="0.2">
      <c r="C711"/>
      <c r="M711"/>
    </row>
    <row r="712" spans="3:13" ht="12.75" customHeight="1" x14ac:dyDescent="0.2">
      <c r="C712"/>
      <c r="M712"/>
    </row>
    <row r="713" spans="3:13" ht="12.75" customHeight="1" x14ac:dyDescent="0.2">
      <c r="C713"/>
      <c r="M713"/>
    </row>
    <row r="714" spans="3:13" ht="12.75" customHeight="1" x14ac:dyDescent="0.2">
      <c r="C714"/>
      <c r="M714"/>
    </row>
    <row r="715" spans="3:13" ht="12.75" customHeight="1" x14ac:dyDescent="0.2">
      <c r="C715"/>
      <c r="M715"/>
    </row>
    <row r="716" spans="3:13" ht="12.75" customHeight="1" x14ac:dyDescent="0.2">
      <c r="C716"/>
      <c r="M716"/>
    </row>
    <row r="717" spans="3:13" ht="12.75" customHeight="1" x14ac:dyDescent="0.2">
      <c r="C717"/>
      <c r="M717"/>
    </row>
    <row r="718" spans="3:13" ht="12.75" customHeight="1" x14ac:dyDescent="0.2">
      <c r="C718"/>
      <c r="M718"/>
    </row>
    <row r="719" spans="3:13" ht="12.75" customHeight="1" x14ac:dyDescent="0.2">
      <c r="C719"/>
      <c r="M719"/>
    </row>
    <row r="720" spans="3:13" ht="12.75" customHeight="1" x14ac:dyDescent="0.2">
      <c r="C720"/>
      <c r="M720"/>
    </row>
    <row r="721" spans="3:13" ht="12.75" customHeight="1" x14ac:dyDescent="0.2">
      <c r="C721"/>
      <c r="M721"/>
    </row>
    <row r="722" spans="3:13" ht="12.75" customHeight="1" x14ac:dyDescent="0.2">
      <c r="C722"/>
      <c r="M722"/>
    </row>
    <row r="723" spans="3:13" ht="12.75" customHeight="1" x14ac:dyDescent="0.2">
      <c r="C723"/>
      <c r="M723"/>
    </row>
    <row r="724" spans="3:13" ht="12.75" customHeight="1" x14ac:dyDescent="0.2">
      <c r="C724"/>
      <c r="M724"/>
    </row>
    <row r="725" spans="3:13" ht="12.75" customHeight="1" x14ac:dyDescent="0.2">
      <c r="C725"/>
      <c r="M725"/>
    </row>
    <row r="726" spans="3:13" ht="12.75" customHeight="1" x14ac:dyDescent="0.2">
      <c r="C726"/>
      <c r="M726"/>
    </row>
    <row r="727" spans="3:13" ht="12.75" customHeight="1" x14ac:dyDescent="0.2">
      <c r="C727"/>
      <c r="M727"/>
    </row>
    <row r="728" spans="3:13" ht="12.75" customHeight="1" x14ac:dyDescent="0.2">
      <c r="C728"/>
      <c r="M728"/>
    </row>
    <row r="729" spans="3:13" ht="12.75" customHeight="1" x14ac:dyDescent="0.2">
      <c r="C729"/>
      <c r="M729"/>
    </row>
    <row r="730" spans="3:13" ht="12.75" customHeight="1" x14ac:dyDescent="0.2">
      <c r="C730"/>
      <c r="M730"/>
    </row>
    <row r="731" spans="3:13" ht="12.75" customHeight="1" x14ac:dyDescent="0.2">
      <c r="C731"/>
      <c r="M731"/>
    </row>
    <row r="732" spans="3:13" ht="12.75" customHeight="1" x14ac:dyDescent="0.2">
      <c r="C732"/>
      <c r="M732"/>
    </row>
    <row r="733" spans="3:13" ht="12.75" customHeight="1" x14ac:dyDescent="0.2">
      <c r="C733"/>
      <c r="M733"/>
    </row>
    <row r="734" spans="3:13" ht="12.75" customHeight="1" x14ac:dyDescent="0.2">
      <c r="C734"/>
      <c r="M734"/>
    </row>
    <row r="735" spans="3:13" ht="12.75" customHeight="1" x14ac:dyDescent="0.2">
      <c r="C735"/>
      <c r="M735"/>
    </row>
    <row r="736" spans="3:13" ht="12.75" customHeight="1" x14ac:dyDescent="0.2">
      <c r="C736"/>
      <c r="M736"/>
    </row>
    <row r="737" spans="3:13" ht="12.75" customHeight="1" x14ac:dyDescent="0.2">
      <c r="C737"/>
      <c r="M737"/>
    </row>
    <row r="738" spans="3:13" ht="12.75" customHeight="1" x14ac:dyDescent="0.2">
      <c r="C738"/>
      <c r="M738"/>
    </row>
    <row r="739" spans="3:13" ht="12.75" customHeight="1" x14ac:dyDescent="0.2">
      <c r="C739"/>
      <c r="M739"/>
    </row>
    <row r="740" spans="3:13" ht="12.75" customHeight="1" x14ac:dyDescent="0.2">
      <c r="C740"/>
      <c r="M740"/>
    </row>
    <row r="741" spans="3:13" ht="12.75" customHeight="1" x14ac:dyDescent="0.2">
      <c r="C741"/>
      <c r="M741"/>
    </row>
    <row r="742" spans="3:13" ht="12.75" customHeight="1" x14ac:dyDescent="0.2">
      <c r="C742"/>
      <c r="M742"/>
    </row>
    <row r="743" spans="3:13" ht="12.75" customHeight="1" x14ac:dyDescent="0.2">
      <c r="C743"/>
      <c r="M743"/>
    </row>
    <row r="744" spans="3:13" ht="12.75" customHeight="1" x14ac:dyDescent="0.2">
      <c r="C744"/>
      <c r="M744"/>
    </row>
    <row r="745" spans="3:13" ht="12.75" customHeight="1" x14ac:dyDescent="0.2">
      <c r="C745"/>
      <c r="M745"/>
    </row>
    <row r="746" spans="3:13" ht="12.75" customHeight="1" x14ac:dyDescent="0.2">
      <c r="C746"/>
      <c r="M746"/>
    </row>
    <row r="747" spans="3:13" ht="12.75" customHeight="1" x14ac:dyDescent="0.2">
      <c r="C747"/>
      <c r="M747"/>
    </row>
    <row r="748" spans="3:13" ht="12.75" customHeight="1" x14ac:dyDescent="0.2">
      <c r="C748"/>
      <c r="M748"/>
    </row>
    <row r="749" spans="3:13" ht="12.75" customHeight="1" x14ac:dyDescent="0.2">
      <c r="C749"/>
      <c r="M749"/>
    </row>
    <row r="750" spans="3:13" ht="12.75" customHeight="1" x14ac:dyDescent="0.2">
      <c r="C750"/>
      <c r="M750"/>
    </row>
    <row r="751" spans="3:13" ht="12.75" customHeight="1" x14ac:dyDescent="0.2">
      <c r="C751"/>
      <c r="M751"/>
    </row>
    <row r="752" spans="3:13" ht="12.75" customHeight="1" x14ac:dyDescent="0.2">
      <c r="C752"/>
      <c r="M752"/>
    </row>
    <row r="753" spans="3:13" ht="12.75" customHeight="1" x14ac:dyDescent="0.2">
      <c r="C753"/>
      <c r="M753"/>
    </row>
    <row r="754" spans="3:13" ht="12.75" customHeight="1" x14ac:dyDescent="0.2">
      <c r="C754"/>
      <c r="M754"/>
    </row>
    <row r="755" spans="3:13" ht="12.75" customHeight="1" x14ac:dyDescent="0.2">
      <c r="C755"/>
      <c r="M755"/>
    </row>
    <row r="756" spans="3:13" ht="12.75" customHeight="1" x14ac:dyDescent="0.2">
      <c r="C756"/>
      <c r="M756"/>
    </row>
    <row r="757" spans="3:13" ht="12.75" customHeight="1" x14ac:dyDescent="0.2">
      <c r="C757"/>
      <c r="M757"/>
    </row>
    <row r="758" spans="3:13" ht="12.75" customHeight="1" x14ac:dyDescent="0.2">
      <c r="C758"/>
      <c r="M758"/>
    </row>
    <row r="759" spans="3:13" ht="12.75" customHeight="1" x14ac:dyDescent="0.2">
      <c r="C759"/>
      <c r="M759"/>
    </row>
    <row r="760" spans="3:13" ht="12.75" customHeight="1" x14ac:dyDescent="0.2">
      <c r="C760"/>
      <c r="M760"/>
    </row>
    <row r="761" spans="3:13" ht="12.75" customHeight="1" x14ac:dyDescent="0.2">
      <c r="C761"/>
      <c r="M761"/>
    </row>
    <row r="762" spans="3:13" ht="12.75" customHeight="1" x14ac:dyDescent="0.2">
      <c r="C762"/>
      <c r="M762"/>
    </row>
    <row r="763" spans="3:13" ht="12.75" customHeight="1" x14ac:dyDescent="0.2">
      <c r="C763"/>
      <c r="M763"/>
    </row>
    <row r="764" spans="3:13" ht="12.75" customHeight="1" x14ac:dyDescent="0.2">
      <c r="C764"/>
      <c r="M764"/>
    </row>
    <row r="765" spans="3:13" ht="12.75" customHeight="1" x14ac:dyDescent="0.2">
      <c r="C765"/>
      <c r="M765"/>
    </row>
    <row r="766" spans="3:13" ht="12.75" customHeight="1" x14ac:dyDescent="0.2">
      <c r="C766"/>
      <c r="M766"/>
    </row>
    <row r="767" spans="3:13" ht="12.75" customHeight="1" x14ac:dyDescent="0.2">
      <c r="C767"/>
      <c r="M767"/>
    </row>
    <row r="768" spans="3:13" ht="12.75" customHeight="1" x14ac:dyDescent="0.2">
      <c r="C768"/>
      <c r="M768"/>
    </row>
    <row r="769" spans="3:13" ht="12.75" customHeight="1" x14ac:dyDescent="0.2">
      <c r="C769"/>
      <c r="M769"/>
    </row>
    <row r="770" spans="3:13" ht="12.75" customHeight="1" x14ac:dyDescent="0.2">
      <c r="C770"/>
      <c r="M770"/>
    </row>
    <row r="771" spans="3:13" ht="12.75" customHeight="1" x14ac:dyDescent="0.2">
      <c r="C771"/>
      <c r="M771"/>
    </row>
    <row r="772" spans="3:13" ht="12.75" customHeight="1" x14ac:dyDescent="0.2">
      <c r="C772"/>
      <c r="M772"/>
    </row>
    <row r="773" spans="3:13" ht="12.75" customHeight="1" x14ac:dyDescent="0.2">
      <c r="C773"/>
      <c r="M773"/>
    </row>
    <row r="774" spans="3:13" ht="12.75" customHeight="1" x14ac:dyDescent="0.2">
      <c r="C774"/>
      <c r="M774"/>
    </row>
    <row r="775" spans="3:13" ht="12.75" customHeight="1" x14ac:dyDescent="0.2">
      <c r="C775"/>
      <c r="M775"/>
    </row>
    <row r="776" spans="3:13" ht="12.75" customHeight="1" x14ac:dyDescent="0.2">
      <c r="C776"/>
      <c r="M776"/>
    </row>
    <row r="777" spans="3:13" ht="12.75" customHeight="1" x14ac:dyDescent="0.2">
      <c r="C777"/>
      <c r="M777"/>
    </row>
    <row r="778" spans="3:13" ht="12.75" customHeight="1" x14ac:dyDescent="0.2">
      <c r="C778"/>
      <c r="M778"/>
    </row>
    <row r="779" spans="3:13" ht="12.75" customHeight="1" x14ac:dyDescent="0.2">
      <c r="C779"/>
      <c r="M779"/>
    </row>
    <row r="780" spans="3:13" ht="12.75" customHeight="1" x14ac:dyDescent="0.2">
      <c r="C780"/>
      <c r="M780"/>
    </row>
    <row r="781" spans="3:13" ht="12.75" customHeight="1" x14ac:dyDescent="0.2">
      <c r="C781"/>
      <c r="M781"/>
    </row>
    <row r="782" spans="3:13" ht="12.75" customHeight="1" x14ac:dyDescent="0.2">
      <c r="C782"/>
      <c r="M782"/>
    </row>
    <row r="783" spans="3:13" ht="12.75" customHeight="1" x14ac:dyDescent="0.2">
      <c r="C783"/>
      <c r="M783"/>
    </row>
    <row r="784" spans="3:13" ht="12.75" customHeight="1" x14ac:dyDescent="0.2">
      <c r="C784"/>
      <c r="M784"/>
    </row>
    <row r="785" spans="3:13" ht="12.75" customHeight="1" x14ac:dyDescent="0.2">
      <c r="C785"/>
      <c r="M785"/>
    </row>
    <row r="786" spans="3:13" ht="12.75" customHeight="1" x14ac:dyDescent="0.2">
      <c r="C786"/>
      <c r="M786"/>
    </row>
    <row r="787" spans="3:13" ht="12.75" customHeight="1" x14ac:dyDescent="0.2">
      <c r="C787"/>
      <c r="M787"/>
    </row>
    <row r="788" spans="3:13" ht="12.75" customHeight="1" x14ac:dyDescent="0.2">
      <c r="C788"/>
      <c r="M788"/>
    </row>
    <row r="789" spans="3:13" ht="12.75" customHeight="1" x14ac:dyDescent="0.2">
      <c r="C789"/>
      <c r="M789"/>
    </row>
    <row r="790" spans="3:13" ht="12.75" customHeight="1" x14ac:dyDescent="0.2">
      <c r="C790"/>
      <c r="M790"/>
    </row>
    <row r="791" spans="3:13" ht="12.75" customHeight="1" x14ac:dyDescent="0.2">
      <c r="C791"/>
      <c r="M791"/>
    </row>
    <row r="792" spans="3:13" ht="12.75" customHeight="1" x14ac:dyDescent="0.2">
      <c r="C792"/>
      <c r="M792"/>
    </row>
    <row r="793" spans="3:13" ht="12.75" customHeight="1" x14ac:dyDescent="0.2">
      <c r="C793"/>
      <c r="M793"/>
    </row>
    <row r="794" spans="3:13" ht="12.75" customHeight="1" x14ac:dyDescent="0.2">
      <c r="C794"/>
      <c r="M794"/>
    </row>
    <row r="795" spans="3:13" ht="12.75" customHeight="1" x14ac:dyDescent="0.2">
      <c r="C795"/>
      <c r="M795"/>
    </row>
    <row r="796" spans="3:13" ht="12.75" customHeight="1" x14ac:dyDescent="0.2">
      <c r="C796"/>
      <c r="M796"/>
    </row>
    <row r="797" spans="3:13" ht="12.75" customHeight="1" x14ac:dyDescent="0.2">
      <c r="C797"/>
      <c r="M797"/>
    </row>
    <row r="798" spans="3:13" ht="12.75" customHeight="1" x14ac:dyDescent="0.2">
      <c r="C798"/>
      <c r="M798"/>
    </row>
    <row r="799" spans="3:13" ht="12.75" customHeight="1" x14ac:dyDescent="0.2">
      <c r="C799"/>
      <c r="M799"/>
    </row>
    <row r="800" spans="3:13" ht="12.75" customHeight="1" x14ac:dyDescent="0.2">
      <c r="C800"/>
      <c r="M800"/>
    </row>
    <row r="801" spans="3:13" ht="12.75" customHeight="1" x14ac:dyDescent="0.2">
      <c r="C801"/>
      <c r="M801"/>
    </row>
    <row r="802" spans="3:13" ht="12.75" customHeight="1" x14ac:dyDescent="0.2">
      <c r="C802"/>
      <c r="M802"/>
    </row>
    <row r="803" spans="3:13" ht="12.75" customHeight="1" x14ac:dyDescent="0.2">
      <c r="C803"/>
      <c r="M803"/>
    </row>
    <row r="804" spans="3:13" ht="12.75" customHeight="1" x14ac:dyDescent="0.2">
      <c r="C804"/>
      <c r="M804"/>
    </row>
    <row r="805" spans="3:13" ht="12.75" customHeight="1" x14ac:dyDescent="0.2">
      <c r="C805"/>
      <c r="M805"/>
    </row>
    <row r="806" spans="3:13" ht="12.75" customHeight="1" x14ac:dyDescent="0.2">
      <c r="C806"/>
      <c r="M806"/>
    </row>
    <row r="807" spans="3:13" ht="12.75" customHeight="1" x14ac:dyDescent="0.2">
      <c r="C807"/>
      <c r="M807"/>
    </row>
    <row r="808" spans="3:13" ht="12.75" customHeight="1" x14ac:dyDescent="0.2">
      <c r="C808"/>
      <c r="M808"/>
    </row>
    <row r="809" spans="3:13" ht="12.75" customHeight="1" x14ac:dyDescent="0.2">
      <c r="C809"/>
      <c r="M809"/>
    </row>
    <row r="810" spans="3:13" ht="12.75" customHeight="1" x14ac:dyDescent="0.2">
      <c r="C810"/>
      <c r="M810"/>
    </row>
    <row r="811" spans="3:13" ht="12.75" customHeight="1" x14ac:dyDescent="0.2">
      <c r="C811"/>
      <c r="M811"/>
    </row>
    <row r="812" spans="3:13" ht="12.75" customHeight="1" x14ac:dyDescent="0.2">
      <c r="C812"/>
      <c r="M812"/>
    </row>
    <row r="813" spans="3:13" ht="12.75" customHeight="1" x14ac:dyDescent="0.2">
      <c r="C813"/>
      <c r="M813"/>
    </row>
    <row r="814" spans="3:13" ht="12.75" customHeight="1" x14ac:dyDescent="0.2">
      <c r="C814"/>
      <c r="M814"/>
    </row>
    <row r="815" spans="3:13" ht="12.75" customHeight="1" x14ac:dyDescent="0.2">
      <c r="C815"/>
      <c r="M815"/>
    </row>
    <row r="816" spans="3:13" ht="12.75" customHeight="1" x14ac:dyDescent="0.2">
      <c r="C816"/>
      <c r="M816"/>
    </row>
    <row r="817" spans="3:13" ht="12.75" customHeight="1" x14ac:dyDescent="0.2">
      <c r="C817"/>
      <c r="M817"/>
    </row>
    <row r="818" spans="3:13" ht="12.75" customHeight="1" x14ac:dyDescent="0.2">
      <c r="C818"/>
      <c r="M818"/>
    </row>
    <row r="819" spans="3:13" ht="12.75" customHeight="1" x14ac:dyDescent="0.2">
      <c r="C819"/>
      <c r="M819"/>
    </row>
    <row r="820" spans="3:13" ht="12.75" customHeight="1" x14ac:dyDescent="0.2">
      <c r="C820"/>
      <c r="M820"/>
    </row>
    <row r="821" spans="3:13" ht="12.75" customHeight="1" x14ac:dyDescent="0.2">
      <c r="C821"/>
      <c r="M821"/>
    </row>
    <row r="822" spans="3:13" ht="12.75" customHeight="1" x14ac:dyDescent="0.2">
      <c r="C822"/>
      <c r="M822"/>
    </row>
    <row r="823" spans="3:13" ht="12.75" customHeight="1" x14ac:dyDescent="0.2">
      <c r="C823"/>
      <c r="M823"/>
    </row>
    <row r="824" spans="3:13" ht="12.75" customHeight="1" x14ac:dyDescent="0.2">
      <c r="C824"/>
      <c r="M824"/>
    </row>
    <row r="825" spans="3:13" ht="12.75" customHeight="1" x14ac:dyDescent="0.2">
      <c r="C825"/>
      <c r="M825"/>
    </row>
    <row r="826" spans="3:13" ht="12.75" customHeight="1" x14ac:dyDescent="0.2">
      <c r="C826"/>
      <c r="M826"/>
    </row>
    <row r="827" spans="3:13" ht="12.75" customHeight="1" x14ac:dyDescent="0.2">
      <c r="C827"/>
      <c r="M827"/>
    </row>
    <row r="828" spans="3:13" ht="12.75" customHeight="1" x14ac:dyDescent="0.2">
      <c r="C828"/>
      <c r="M828"/>
    </row>
    <row r="829" spans="3:13" ht="12.75" customHeight="1" x14ac:dyDescent="0.2">
      <c r="C829"/>
      <c r="M829"/>
    </row>
    <row r="830" spans="3:13" ht="12.75" customHeight="1" x14ac:dyDescent="0.2">
      <c r="C830"/>
      <c r="M830"/>
    </row>
    <row r="831" spans="3:13" ht="12.75" customHeight="1" x14ac:dyDescent="0.2">
      <c r="C831"/>
      <c r="M831"/>
    </row>
    <row r="832" spans="3:13" ht="12.75" customHeight="1" x14ac:dyDescent="0.2">
      <c r="C832"/>
      <c r="M832"/>
    </row>
    <row r="833" spans="3:13" ht="12.75" customHeight="1" x14ac:dyDescent="0.2">
      <c r="C833"/>
      <c r="M833"/>
    </row>
    <row r="834" spans="3:13" ht="12.75" customHeight="1" x14ac:dyDescent="0.2">
      <c r="C834"/>
      <c r="M834"/>
    </row>
    <row r="835" spans="3:13" ht="12.75" customHeight="1" x14ac:dyDescent="0.2">
      <c r="C835"/>
      <c r="M835"/>
    </row>
    <row r="836" spans="3:13" ht="12.75" customHeight="1" x14ac:dyDescent="0.2">
      <c r="C836"/>
      <c r="M836"/>
    </row>
    <row r="837" spans="3:13" ht="12.75" customHeight="1" x14ac:dyDescent="0.2">
      <c r="C837"/>
      <c r="M837"/>
    </row>
    <row r="838" spans="3:13" ht="12.75" customHeight="1" x14ac:dyDescent="0.2">
      <c r="C838"/>
      <c r="M838"/>
    </row>
    <row r="839" spans="3:13" ht="12.75" customHeight="1" x14ac:dyDescent="0.2">
      <c r="C839"/>
      <c r="M839"/>
    </row>
    <row r="840" spans="3:13" ht="12.75" customHeight="1" x14ac:dyDescent="0.2">
      <c r="C840"/>
      <c r="M840"/>
    </row>
    <row r="841" spans="3:13" ht="12.75" customHeight="1" x14ac:dyDescent="0.2">
      <c r="C841"/>
      <c r="M841"/>
    </row>
    <row r="842" spans="3:13" ht="12.75" customHeight="1" x14ac:dyDescent="0.2">
      <c r="C842"/>
      <c r="M842"/>
    </row>
    <row r="843" spans="3:13" ht="12.75" customHeight="1" x14ac:dyDescent="0.2">
      <c r="C843"/>
      <c r="M843"/>
    </row>
    <row r="844" spans="3:13" ht="12.75" customHeight="1" x14ac:dyDescent="0.2">
      <c r="C844"/>
      <c r="M844"/>
    </row>
    <row r="845" spans="3:13" ht="12.75" customHeight="1" x14ac:dyDescent="0.2">
      <c r="C845"/>
      <c r="M845"/>
    </row>
    <row r="846" spans="3:13" ht="12.75" customHeight="1" x14ac:dyDescent="0.2">
      <c r="C846"/>
      <c r="M846"/>
    </row>
    <row r="847" spans="3:13" ht="12.75" customHeight="1" x14ac:dyDescent="0.2">
      <c r="C847"/>
      <c r="M847"/>
    </row>
    <row r="848" spans="3:13" ht="12.75" customHeight="1" x14ac:dyDescent="0.2">
      <c r="C848"/>
      <c r="M848"/>
    </row>
    <row r="849" spans="3:13" ht="12.75" customHeight="1" x14ac:dyDescent="0.2">
      <c r="C849"/>
      <c r="M849"/>
    </row>
    <row r="850" spans="3:13" ht="12.75" customHeight="1" x14ac:dyDescent="0.2">
      <c r="C850"/>
      <c r="M850"/>
    </row>
    <row r="851" spans="3:13" ht="12.75" customHeight="1" x14ac:dyDescent="0.2">
      <c r="C851"/>
      <c r="M851"/>
    </row>
    <row r="852" spans="3:13" ht="12.75" customHeight="1" x14ac:dyDescent="0.2">
      <c r="C852"/>
      <c r="M852"/>
    </row>
    <row r="853" spans="3:13" ht="12.75" customHeight="1" x14ac:dyDescent="0.2">
      <c r="C853"/>
      <c r="M853"/>
    </row>
    <row r="854" spans="3:13" ht="12.75" customHeight="1" x14ac:dyDescent="0.2">
      <c r="C854"/>
      <c r="M854"/>
    </row>
    <row r="855" spans="3:13" ht="12.75" customHeight="1" x14ac:dyDescent="0.2">
      <c r="C855"/>
      <c r="M855"/>
    </row>
    <row r="856" spans="3:13" ht="12.75" customHeight="1" x14ac:dyDescent="0.2">
      <c r="C856"/>
      <c r="M856"/>
    </row>
    <row r="857" spans="3:13" ht="12.75" customHeight="1" x14ac:dyDescent="0.2">
      <c r="C857"/>
      <c r="M857"/>
    </row>
    <row r="858" spans="3:13" ht="12.75" customHeight="1" x14ac:dyDescent="0.2">
      <c r="C858"/>
      <c r="M858"/>
    </row>
    <row r="859" spans="3:13" ht="12.75" customHeight="1" x14ac:dyDescent="0.2">
      <c r="C859"/>
      <c r="M859"/>
    </row>
    <row r="860" spans="3:13" ht="12.75" customHeight="1" x14ac:dyDescent="0.2">
      <c r="C860"/>
      <c r="M860"/>
    </row>
    <row r="861" spans="3:13" ht="12.75" customHeight="1" x14ac:dyDescent="0.2">
      <c r="C861"/>
      <c r="M861"/>
    </row>
    <row r="862" spans="3:13" ht="12.75" customHeight="1" x14ac:dyDescent="0.2">
      <c r="C862"/>
      <c r="M862"/>
    </row>
    <row r="863" spans="3:13" ht="12.75" customHeight="1" x14ac:dyDescent="0.2">
      <c r="C863"/>
      <c r="M863"/>
    </row>
    <row r="864" spans="3:13" ht="12.75" customHeight="1" x14ac:dyDescent="0.2">
      <c r="C864"/>
      <c r="M864"/>
    </row>
    <row r="865" spans="3:13" ht="12.75" customHeight="1" x14ac:dyDescent="0.2">
      <c r="C865"/>
      <c r="M865"/>
    </row>
    <row r="866" spans="3:13" ht="12.75" customHeight="1" x14ac:dyDescent="0.2">
      <c r="C866"/>
      <c r="M866"/>
    </row>
    <row r="867" spans="3:13" ht="12.75" customHeight="1" x14ac:dyDescent="0.2">
      <c r="C867"/>
      <c r="M867"/>
    </row>
    <row r="868" spans="3:13" ht="12.75" customHeight="1" x14ac:dyDescent="0.2">
      <c r="C868"/>
      <c r="M868"/>
    </row>
    <row r="869" spans="3:13" ht="12.75" customHeight="1" x14ac:dyDescent="0.2">
      <c r="C869"/>
      <c r="M869"/>
    </row>
    <row r="870" spans="3:13" ht="12.75" customHeight="1" x14ac:dyDescent="0.2">
      <c r="C870"/>
      <c r="M870"/>
    </row>
    <row r="871" spans="3:13" ht="12.75" customHeight="1" x14ac:dyDescent="0.2">
      <c r="C871"/>
      <c r="M871"/>
    </row>
    <row r="872" spans="3:13" ht="12.75" customHeight="1" x14ac:dyDescent="0.2">
      <c r="C872"/>
      <c r="M872"/>
    </row>
    <row r="873" spans="3:13" ht="12.75" customHeight="1" x14ac:dyDescent="0.2">
      <c r="C873"/>
      <c r="M873"/>
    </row>
    <row r="874" spans="3:13" ht="12.75" customHeight="1" x14ac:dyDescent="0.2">
      <c r="C874"/>
      <c r="M874"/>
    </row>
    <row r="875" spans="3:13" ht="12.75" customHeight="1" x14ac:dyDescent="0.2">
      <c r="C875"/>
      <c r="M875"/>
    </row>
    <row r="876" spans="3:13" ht="12.75" customHeight="1" x14ac:dyDescent="0.2">
      <c r="C876"/>
      <c r="M876"/>
    </row>
    <row r="877" spans="3:13" ht="12.75" customHeight="1" x14ac:dyDescent="0.2">
      <c r="C877"/>
      <c r="M877"/>
    </row>
    <row r="878" spans="3:13" ht="12.75" customHeight="1" x14ac:dyDescent="0.2">
      <c r="C878"/>
      <c r="M878"/>
    </row>
    <row r="879" spans="3:13" ht="12.75" customHeight="1" x14ac:dyDescent="0.2">
      <c r="C879"/>
      <c r="M879"/>
    </row>
    <row r="880" spans="3:13" ht="12.75" customHeight="1" x14ac:dyDescent="0.2">
      <c r="C880"/>
      <c r="M880"/>
    </row>
    <row r="881" spans="3:13" ht="12.75" customHeight="1" x14ac:dyDescent="0.2">
      <c r="C881"/>
      <c r="M881"/>
    </row>
    <row r="882" spans="3:13" ht="12.75" customHeight="1" x14ac:dyDescent="0.2">
      <c r="C882"/>
      <c r="M882"/>
    </row>
    <row r="883" spans="3:13" ht="12.75" customHeight="1" x14ac:dyDescent="0.2">
      <c r="C883"/>
      <c r="M883"/>
    </row>
    <row r="884" spans="3:13" ht="12.75" customHeight="1" x14ac:dyDescent="0.2">
      <c r="C884"/>
      <c r="M884"/>
    </row>
    <row r="885" spans="3:13" ht="12.75" customHeight="1" x14ac:dyDescent="0.2">
      <c r="C885"/>
      <c r="M885"/>
    </row>
    <row r="886" spans="3:13" ht="12.75" customHeight="1" x14ac:dyDescent="0.2">
      <c r="C886"/>
      <c r="M886"/>
    </row>
    <row r="887" spans="3:13" ht="12.75" customHeight="1" x14ac:dyDescent="0.2">
      <c r="C887"/>
      <c r="M887"/>
    </row>
    <row r="888" spans="3:13" ht="12.75" customHeight="1" x14ac:dyDescent="0.2">
      <c r="C888"/>
      <c r="M888"/>
    </row>
    <row r="889" spans="3:13" ht="12.75" customHeight="1" x14ac:dyDescent="0.2">
      <c r="C889"/>
      <c r="M889"/>
    </row>
    <row r="890" spans="3:13" ht="12.75" customHeight="1" x14ac:dyDescent="0.2">
      <c r="C890"/>
      <c r="M890"/>
    </row>
    <row r="891" spans="3:13" ht="12.75" customHeight="1" x14ac:dyDescent="0.2">
      <c r="C891"/>
      <c r="M891"/>
    </row>
    <row r="892" spans="3:13" ht="12.75" customHeight="1" x14ac:dyDescent="0.2">
      <c r="C892"/>
      <c r="M892"/>
    </row>
    <row r="893" spans="3:13" ht="12.75" customHeight="1" x14ac:dyDescent="0.2">
      <c r="C893"/>
      <c r="M893"/>
    </row>
    <row r="894" spans="3:13" ht="12.75" customHeight="1" x14ac:dyDescent="0.2">
      <c r="C894"/>
      <c r="M894"/>
    </row>
    <row r="895" spans="3:13" ht="12.75" customHeight="1" x14ac:dyDescent="0.2">
      <c r="C895"/>
      <c r="M895"/>
    </row>
    <row r="896" spans="3:13" ht="12.75" customHeight="1" x14ac:dyDescent="0.2">
      <c r="C896"/>
      <c r="M896"/>
    </row>
    <row r="897" spans="3:13" ht="12.75" customHeight="1" x14ac:dyDescent="0.2">
      <c r="C897"/>
      <c r="M897"/>
    </row>
    <row r="898" spans="3:13" ht="12.75" customHeight="1" x14ac:dyDescent="0.2">
      <c r="C898"/>
      <c r="M898"/>
    </row>
    <row r="899" spans="3:13" ht="12.75" customHeight="1" x14ac:dyDescent="0.2">
      <c r="C899"/>
      <c r="M899"/>
    </row>
    <row r="900" spans="3:13" ht="12.75" customHeight="1" x14ac:dyDescent="0.2">
      <c r="C900"/>
      <c r="M900"/>
    </row>
    <row r="901" spans="3:13" ht="12.75" customHeight="1" x14ac:dyDescent="0.2">
      <c r="C901"/>
      <c r="M901"/>
    </row>
    <row r="902" spans="3:13" ht="12.75" customHeight="1" x14ac:dyDescent="0.2">
      <c r="C902"/>
      <c r="M902"/>
    </row>
    <row r="903" spans="3:13" ht="12.75" customHeight="1" x14ac:dyDescent="0.2">
      <c r="C903"/>
      <c r="M903"/>
    </row>
    <row r="904" spans="3:13" ht="12.75" customHeight="1" x14ac:dyDescent="0.2">
      <c r="C904"/>
      <c r="M904"/>
    </row>
    <row r="905" spans="3:13" ht="12.75" customHeight="1" x14ac:dyDescent="0.2">
      <c r="C905"/>
      <c r="M905"/>
    </row>
    <row r="906" spans="3:13" ht="12.75" customHeight="1" x14ac:dyDescent="0.2">
      <c r="C906"/>
      <c r="M906"/>
    </row>
    <row r="907" spans="3:13" ht="12.75" customHeight="1" x14ac:dyDescent="0.2">
      <c r="C907"/>
      <c r="M907"/>
    </row>
    <row r="908" spans="3:13" ht="12.75" customHeight="1" x14ac:dyDescent="0.2">
      <c r="C908"/>
      <c r="M908"/>
    </row>
    <row r="909" spans="3:13" ht="12.75" customHeight="1" x14ac:dyDescent="0.2">
      <c r="C909"/>
      <c r="M909"/>
    </row>
    <row r="910" spans="3:13" ht="12.75" customHeight="1" x14ac:dyDescent="0.2">
      <c r="C910"/>
      <c r="M910"/>
    </row>
    <row r="911" spans="3:13" ht="12.75" customHeight="1" x14ac:dyDescent="0.2">
      <c r="C911"/>
      <c r="M911"/>
    </row>
    <row r="912" spans="3:13" ht="12.75" customHeight="1" x14ac:dyDescent="0.2">
      <c r="C912"/>
      <c r="M912"/>
    </row>
    <row r="913" spans="3:13" ht="12.75" customHeight="1" x14ac:dyDescent="0.2">
      <c r="C913"/>
      <c r="M913"/>
    </row>
    <row r="914" spans="3:13" ht="12.75" customHeight="1" x14ac:dyDescent="0.2">
      <c r="C914"/>
      <c r="M914"/>
    </row>
    <row r="915" spans="3:13" ht="12.75" customHeight="1" x14ac:dyDescent="0.2">
      <c r="C915"/>
      <c r="M915"/>
    </row>
    <row r="916" spans="3:13" ht="12.75" customHeight="1" x14ac:dyDescent="0.2">
      <c r="C916"/>
      <c r="M916"/>
    </row>
    <row r="917" spans="3:13" ht="12.75" customHeight="1" x14ac:dyDescent="0.2">
      <c r="C917"/>
      <c r="M917"/>
    </row>
    <row r="918" spans="3:13" ht="12.75" customHeight="1" x14ac:dyDescent="0.2">
      <c r="C918"/>
      <c r="M918"/>
    </row>
    <row r="919" spans="3:13" ht="12.75" customHeight="1" x14ac:dyDescent="0.2">
      <c r="C919"/>
      <c r="M919"/>
    </row>
    <row r="920" spans="3:13" ht="12.75" customHeight="1" x14ac:dyDescent="0.2">
      <c r="C920"/>
      <c r="M920"/>
    </row>
    <row r="921" spans="3:13" ht="12.75" customHeight="1" x14ac:dyDescent="0.2">
      <c r="C921"/>
      <c r="M921"/>
    </row>
    <row r="922" spans="3:13" ht="12.75" customHeight="1" x14ac:dyDescent="0.2">
      <c r="C922"/>
      <c r="M922"/>
    </row>
    <row r="923" spans="3:13" ht="12.75" customHeight="1" x14ac:dyDescent="0.2">
      <c r="C923"/>
      <c r="M923"/>
    </row>
    <row r="924" spans="3:13" ht="12.75" customHeight="1" x14ac:dyDescent="0.2">
      <c r="C924"/>
      <c r="M924"/>
    </row>
    <row r="925" spans="3:13" ht="12.75" customHeight="1" x14ac:dyDescent="0.2">
      <c r="C925"/>
      <c r="M925"/>
    </row>
    <row r="926" spans="3:13" ht="12.75" customHeight="1" x14ac:dyDescent="0.2">
      <c r="C926"/>
      <c r="M926"/>
    </row>
    <row r="927" spans="3:13" ht="12.75" customHeight="1" x14ac:dyDescent="0.2">
      <c r="C927"/>
      <c r="M927"/>
    </row>
    <row r="928" spans="3:13" ht="12.75" customHeight="1" x14ac:dyDescent="0.2">
      <c r="C928"/>
      <c r="M928"/>
    </row>
    <row r="929" spans="3:13" ht="12.75" customHeight="1" x14ac:dyDescent="0.2">
      <c r="C929"/>
      <c r="M929"/>
    </row>
    <row r="930" spans="3:13" ht="12.75" customHeight="1" x14ac:dyDescent="0.2">
      <c r="C930"/>
      <c r="M930"/>
    </row>
    <row r="931" spans="3:13" ht="12.75" customHeight="1" x14ac:dyDescent="0.2">
      <c r="C931"/>
      <c r="M931"/>
    </row>
    <row r="932" spans="3:13" ht="12.75" customHeight="1" x14ac:dyDescent="0.2">
      <c r="C932"/>
      <c r="M932"/>
    </row>
    <row r="933" spans="3:13" ht="12.75" customHeight="1" x14ac:dyDescent="0.2">
      <c r="C933"/>
      <c r="M933"/>
    </row>
    <row r="934" spans="3:13" ht="12.75" customHeight="1" x14ac:dyDescent="0.2">
      <c r="C934"/>
      <c r="M934"/>
    </row>
    <row r="935" spans="3:13" ht="12.75" customHeight="1" x14ac:dyDescent="0.2">
      <c r="C935"/>
      <c r="M935"/>
    </row>
    <row r="936" spans="3:13" ht="12.75" customHeight="1" x14ac:dyDescent="0.2">
      <c r="C936"/>
      <c r="M936"/>
    </row>
    <row r="937" spans="3:13" ht="12.75" customHeight="1" x14ac:dyDescent="0.2">
      <c r="C937"/>
      <c r="M937"/>
    </row>
    <row r="938" spans="3:13" ht="12.75" customHeight="1" x14ac:dyDescent="0.2">
      <c r="C938"/>
      <c r="M938"/>
    </row>
    <row r="939" spans="3:13" ht="12.75" customHeight="1" x14ac:dyDescent="0.2">
      <c r="C939"/>
      <c r="M939"/>
    </row>
    <row r="940" spans="3:13" ht="12.75" customHeight="1" x14ac:dyDescent="0.2">
      <c r="C940"/>
      <c r="M940"/>
    </row>
    <row r="941" spans="3:13" ht="12.75" customHeight="1" x14ac:dyDescent="0.2">
      <c r="C941"/>
      <c r="M941"/>
    </row>
    <row r="942" spans="3:13" ht="12.75" customHeight="1" x14ac:dyDescent="0.2">
      <c r="C942"/>
      <c r="M942"/>
    </row>
    <row r="943" spans="3:13" ht="12.75" customHeight="1" x14ac:dyDescent="0.2">
      <c r="C943"/>
      <c r="M943"/>
    </row>
    <row r="944" spans="3:13" ht="12.75" customHeight="1" x14ac:dyDescent="0.2">
      <c r="C944"/>
      <c r="M944"/>
    </row>
    <row r="945" spans="3:13" ht="12.75" customHeight="1" x14ac:dyDescent="0.2">
      <c r="C945"/>
      <c r="M945"/>
    </row>
    <row r="946" spans="3:13" ht="12.75" customHeight="1" x14ac:dyDescent="0.2">
      <c r="C946"/>
      <c r="M946"/>
    </row>
    <row r="947" spans="3:13" ht="12.75" customHeight="1" x14ac:dyDescent="0.2">
      <c r="C947"/>
      <c r="M947"/>
    </row>
    <row r="948" spans="3:13" ht="12.75" customHeight="1" x14ac:dyDescent="0.2">
      <c r="C948"/>
      <c r="M948"/>
    </row>
    <row r="949" spans="3:13" ht="12.75" customHeight="1" x14ac:dyDescent="0.2">
      <c r="C949"/>
      <c r="M949"/>
    </row>
    <row r="950" spans="3:13" ht="12.75" customHeight="1" x14ac:dyDescent="0.2">
      <c r="C950"/>
      <c r="M950"/>
    </row>
    <row r="951" spans="3:13" ht="12.75" customHeight="1" x14ac:dyDescent="0.2">
      <c r="C951"/>
      <c r="M951"/>
    </row>
    <row r="952" spans="3:13" ht="12.75" customHeight="1" x14ac:dyDescent="0.2">
      <c r="C952"/>
      <c r="M952"/>
    </row>
    <row r="953" spans="3:13" ht="12.75" customHeight="1" x14ac:dyDescent="0.2">
      <c r="C953"/>
      <c r="M953"/>
    </row>
    <row r="954" spans="3:13" ht="12.75" customHeight="1" x14ac:dyDescent="0.2">
      <c r="C954"/>
      <c r="M954"/>
    </row>
    <row r="955" spans="3:13" ht="12.75" customHeight="1" x14ac:dyDescent="0.2">
      <c r="C955"/>
      <c r="M955"/>
    </row>
    <row r="956" spans="3:13" ht="12.75" customHeight="1" x14ac:dyDescent="0.2">
      <c r="C956"/>
      <c r="M956"/>
    </row>
    <row r="957" spans="3:13" ht="12.75" customHeight="1" x14ac:dyDescent="0.2">
      <c r="C957"/>
      <c r="M957"/>
    </row>
    <row r="958" spans="3:13" ht="12.75" customHeight="1" x14ac:dyDescent="0.2">
      <c r="C958"/>
      <c r="M958"/>
    </row>
    <row r="959" spans="3:13" ht="12.75" customHeight="1" x14ac:dyDescent="0.2">
      <c r="C959"/>
      <c r="M959"/>
    </row>
    <row r="960" spans="3:13" ht="12.75" customHeight="1" x14ac:dyDescent="0.2">
      <c r="C960"/>
      <c r="M960"/>
    </row>
    <row r="961" spans="3:13" ht="12.75" customHeight="1" x14ac:dyDescent="0.2">
      <c r="C961"/>
      <c r="M961"/>
    </row>
    <row r="962" spans="3:13" ht="12.75" customHeight="1" x14ac:dyDescent="0.2">
      <c r="C962"/>
      <c r="M962"/>
    </row>
    <row r="963" spans="3:13" ht="12.75" customHeight="1" x14ac:dyDescent="0.2">
      <c r="C963"/>
      <c r="M963"/>
    </row>
    <row r="964" spans="3:13" ht="12.75" customHeight="1" x14ac:dyDescent="0.2">
      <c r="C964"/>
      <c r="M964"/>
    </row>
    <row r="965" spans="3:13" ht="12.75" customHeight="1" x14ac:dyDescent="0.2">
      <c r="C965"/>
      <c r="M965"/>
    </row>
    <row r="966" spans="3:13" ht="12.75" customHeight="1" x14ac:dyDescent="0.2">
      <c r="C966"/>
      <c r="M966"/>
    </row>
    <row r="967" spans="3:13" ht="12.75" customHeight="1" x14ac:dyDescent="0.2">
      <c r="C967"/>
      <c r="M967"/>
    </row>
    <row r="968" spans="3:13" ht="12.75" customHeight="1" x14ac:dyDescent="0.2">
      <c r="C968"/>
      <c r="M968"/>
    </row>
    <row r="969" spans="3:13" ht="12.75" customHeight="1" x14ac:dyDescent="0.2">
      <c r="C969"/>
      <c r="M969"/>
    </row>
    <row r="970" spans="3:13" ht="12.75" customHeight="1" x14ac:dyDescent="0.2">
      <c r="C970"/>
      <c r="M970"/>
    </row>
    <row r="971" spans="3:13" ht="12.75" customHeight="1" x14ac:dyDescent="0.2">
      <c r="C971"/>
      <c r="M971"/>
    </row>
    <row r="972" spans="3:13" ht="12.75" customHeight="1" x14ac:dyDescent="0.2">
      <c r="C972"/>
      <c r="M972"/>
    </row>
    <row r="973" spans="3:13" ht="12.75" customHeight="1" x14ac:dyDescent="0.2">
      <c r="C973"/>
      <c r="M973"/>
    </row>
    <row r="974" spans="3:13" ht="12.75" customHeight="1" x14ac:dyDescent="0.2">
      <c r="C974"/>
      <c r="M974"/>
    </row>
    <row r="975" spans="3:13" ht="12.75" customHeight="1" x14ac:dyDescent="0.2">
      <c r="C975"/>
      <c r="M975"/>
    </row>
    <row r="976" spans="3:13" ht="12.75" customHeight="1" x14ac:dyDescent="0.2">
      <c r="C976"/>
      <c r="M976"/>
    </row>
    <row r="977" spans="3:13" ht="12.75" customHeight="1" x14ac:dyDescent="0.2">
      <c r="C977"/>
      <c r="M977"/>
    </row>
    <row r="978" spans="3:13" ht="12.75" customHeight="1" x14ac:dyDescent="0.2">
      <c r="C978"/>
      <c r="M978"/>
    </row>
    <row r="979" spans="3:13" ht="12.75" customHeight="1" x14ac:dyDescent="0.2">
      <c r="C979"/>
      <c r="M979"/>
    </row>
    <row r="980" spans="3:13" ht="12.75" customHeight="1" x14ac:dyDescent="0.2">
      <c r="C980"/>
      <c r="M980"/>
    </row>
    <row r="981" spans="3:13" ht="12.75" customHeight="1" x14ac:dyDescent="0.2">
      <c r="C981"/>
      <c r="M981"/>
    </row>
    <row r="982" spans="3:13" ht="12.75" customHeight="1" x14ac:dyDescent="0.2">
      <c r="C982"/>
      <c r="M982"/>
    </row>
    <row r="983" spans="3:13" ht="12.75" customHeight="1" x14ac:dyDescent="0.2">
      <c r="C983"/>
      <c r="M983"/>
    </row>
    <row r="984" spans="3:13" ht="12.75" customHeight="1" x14ac:dyDescent="0.2">
      <c r="C984"/>
      <c r="M984"/>
    </row>
    <row r="985" spans="3:13" ht="12.75" customHeight="1" x14ac:dyDescent="0.2">
      <c r="C985"/>
      <c r="M985"/>
    </row>
    <row r="986" spans="3:13" ht="12.75" customHeight="1" x14ac:dyDescent="0.2">
      <c r="C986"/>
      <c r="M986"/>
    </row>
    <row r="987" spans="3:13" ht="12.75" customHeight="1" x14ac:dyDescent="0.2">
      <c r="C987"/>
      <c r="M987"/>
    </row>
    <row r="988" spans="3:13" ht="12.75" customHeight="1" x14ac:dyDescent="0.2">
      <c r="C988"/>
      <c r="M988"/>
    </row>
    <row r="989" spans="3:13" ht="12.75" customHeight="1" x14ac:dyDescent="0.2">
      <c r="C989"/>
      <c r="M989"/>
    </row>
    <row r="990" spans="3:13" ht="12.75" customHeight="1" x14ac:dyDescent="0.2">
      <c r="C990"/>
      <c r="M990"/>
    </row>
    <row r="991" spans="3:13" ht="12.75" customHeight="1" x14ac:dyDescent="0.2">
      <c r="C991"/>
      <c r="M991"/>
    </row>
    <row r="992" spans="3:13" ht="12.75" customHeight="1" x14ac:dyDescent="0.2">
      <c r="C992"/>
      <c r="M992"/>
    </row>
    <row r="993" spans="3:13" ht="12.75" customHeight="1" x14ac:dyDescent="0.2">
      <c r="C993"/>
      <c r="M993"/>
    </row>
    <row r="994" spans="3:13" ht="12.75" customHeight="1" x14ac:dyDescent="0.2">
      <c r="C994"/>
      <c r="M994"/>
    </row>
    <row r="995" spans="3:13" ht="12.75" customHeight="1" x14ac:dyDescent="0.2">
      <c r="C995"/>
      <c r="M995"/>
    </row>
    <row r="996" spans="3:13" ht="12.75" customHeight="1" x14ac:dyDescent="0.2">
      <c r="C996"/>
      <c r="M996"/>
    </row>
    <row r="997" spans="3:13" ht="12.75" customHeight="1" x14ac:dyDescent="0.2">
      <c r="C997"/>
      <c r="M997"/>
    </row>
    <row r="998" spans="3:13" ht="12.75" customHeight="1" x14ac:dyDescent="0.2">
      <c r="C998"/>
      <c r="M998"/>
    </row>
    <row r="999" spans="3:13" ht="12.75" customHeight="1" x14ac:dyDescent="0.2">
      <c r="C999"/>
      <c r="M999"/>
    </row>
    <row r="1000" spans="3:13" ht="12.75" customHeight="1" x14ac:dyDescent="0.2">
      <c r="C1000"/>
      <c r="M1000"/>
    </row>
    <row r="1001" spans="3:13" ht="12.75" customHeight="1" x14ac:dyDescent="0.2">
      <c r="C1001"/>
      <c r="M1001"/>
    </row>
    <row r="1002" spans="3:13" ht="12.75" customHeight="1" x14ac:dyDescent="0.2">
      <c r="C1002"/>
      <c r="M1002"/>
    </row>
    <row r="1003" spans="3:13" ht="12.75" customHeight="1" x14ac:dyDescent="0.2">
      <c r="C1003"/>
      <c r="M1003"/>
    </row>
    <row r="1004" spans="3:13" ht="12.75" customHeight="1" x14ac:dyDescent="0.2">
      <c r="C1004"/>
      <c r="M1004"/>
    </row>
    <row r="1005" spans="3:13" ht="12.75" customHeight="1" x14ac:dyDescent="0.2">
      <c r="C1005"/>
      <c r="M1005"/>
    </row>
    <row r="1006" spans="3:13" ht="12.75" customHeight="1" x14ac:dyDescent="0.2">
      <c r="C1006"/>
      <c r="M1006"/>
    </row>
    <row r="1007" spans="3:13" ht="12.75" customHeight="1" x14ac:dyDescent="0.2">
      <c r="C1007"/>
      <c r="M1007"/>
    </row>
    <row r="1008" spans="3:13" ht="12.75" customHeight="1" x14ac:dyDescent="0.2">
      <c r="C1008"/>
      <c r="M1008"/>
    </row>
    <row r="1009" spans="3:13" ht="12.75" customHeight="1" x14ac:dyDescent="0.2">
      <c r="C1009"/>
      <c r="M1009"/>
    </row>
    <row r="1010" spans="3:13" ht="12.75" customHeight="1" x14ac:dyDescent="0.2">
      <c r="C1010"/>
      <c r="M1010"/>
    </row>
    <row r="1011" spans="3:13" ht="12.75" customHeight="1" x14ac:dyDescent="0.2">
      <c r="C1011"/>
      <c r="M1011"/>
    </row>
    <row r="1012" spans="3:13" ht="12.75" customHeight="1" x14ac:dyDescent="0.2">
      <c r="C1012"/>
      <c r="M1012"/>
    </row>
    <row r="1013" spans="3:13" ht="12.75" customHeight="1" x14ac:dyDescent="0.2">
      <c r="C1013"/>
      <c r="M1013"/>
    </row>
    <row r="1014" spans="3:13" ht="12.75" customHeight="1" x14ac:dyDescent="0.2">
      <c r="C1014"/>
      <c r="M1014"/>
    </row>
    <row r="1015" spans="3:13" ht="12.75" customHeight="1" x14ac:dyDescent="0.2">
      <c r="C1015"/>
      <c r="M1015"/>
    </row>
    <row r="1016" spans="3:13" ht="12.75" customHeight="1" x14ac:dyDescent="0.2">
      <c r="C1016"/>
      <c r="M1016"/>
    </row>
    <row r="1017" spans="3:13" ht="12.75" customHeight="1" x14ac:dyDescent="0.2">
      <c r="C1017"/>
      <c r="M1017"/>
    </row>
    <row r="1018" spans="3:13" ht="12.75" customHeight="1" x14ac:dyDescent="0.2">
      <c r="C1018"/>
      <c r="M1018"/>
    </row>
    <row r="1019" spans="3:13" ht="12.75" customHeight="1" x14ac:dyDescent="0.2">
      <c r="C1019"/>
      <c r="M1019"/>
    </row>
    <row r="1020" spans="3:13" ht="12.75" customHeight="1" x14ac:dyDescent="0.2">
      <c r="C1020"/>
      <c r="M1020"/>
    </row>
    <row r="1021" spans="3:13" ht="12.75" customHeight="1" x14ac:dyDescent="0.2">
      <c r="C1021"/>
      <c r="M1021"/>
    </row>
    <row r="1022" spans="3:13" ht="12.75" customHeight="1" x14ac:dyDescent="0.2">
      <c r="C1022"/>
      <c r="M1022"/>
    </row>
    <row r="1023" spans="3:13" ht="12.75" customHeight="1" x14ac:dyDescent="0.2">
      <c r="C1023"/>
      <c r="M1023"/>
    </row>
    <row r="1024" spans="3:13" ht="12.75" customHeight="1" x14ac:dyDescent="0.2">
      <c r="C1024"/>
      <c r="M1024"/>
    </row>
    <row r="1025" spans="3:13" ht="12.75" customHeight="1" x14ac:dyDescent="0.2">
      <c r="C1025"/>
      <c r="M1025"/>
    </row>
    <row r="1026" spans="3:13" ht="12.75" customHeight="1" x14ac:dyDescent="0.2">
      <c r="C1026"/>
      <c r="M1026"/>
    </row>
    <row r="1027" spans="3:13" ht="12.75" customHeight="1" x14ac:dyDescent="0.2">
      <c r="C1027"/>
      <c r="M1027"/>
    </row>
    <row r="1028" spans="3:13" ht="12.75" customHeight="1" x14ac:dyDescent="0.2">
      <c r="C1028"/>
      <c r="M1028"/>
    </row>
    <row r="1029" spans="3:13" ht="12.75" customHeight="1" x14ac:dyDescent="0.2">
      <c r="C1029"/>
      <c r="M1029"/>
    </row>
    <row r="1030" spans="3:13" ht="12.75" customHeight="1" x14ac:dyDescent="0.2">
      <c r="C1030"/>
      <c r="M1030"/>
    </row>
    <row r="1031" spans="3:13" ht="12.75" customHeight="1" x14ac:dyDescent="0.2">
      <c r="C1031"/>
      <c r="M1031"/>
    </row>
    <row r="1032" spans="3:13" ht="12.75" customHeight="1" x14ac:dyDescent="0.2">
      <c r="C1032"/>
      <c r="M1032"/>
    </row>
    <row r="1033" spans="3:13" ht="12.75" customHeight="1" x14ac:dyDescent="0.2">
      <c r="C1033"/>
      <c r="M1033"/>
    </row>
    <row r="1034" spans="3:13" ht="12.75" customHeight="1" x14ac:dyDescent="0.2">
      <c r="C1034"/>
      <c r="M1034"/>
    </row>
    <row r="1035" spans="3:13" ht="12.75" customHeight="1" x14ac:dyDescent="0.2">
      <c r="C1035"/>
      <c r="M1035"/>
    </row>
    <row r="1036" spans="3:13" ht="12.75" customHeight="1" x14ac:dyDescent="0.2">
      <c r="C1036"/>
      <c r="M1036"/>
    </row>
    <row r="1037" spans="3:13" ht="12.75" customHeight="1" x14ac:dyDescent="0.2">
      <c r="C1037"/>
      <c r="M1037"/>
    </row>
    <row r="1038" spans="3:13" ht="12.75" customHeight="1" x14ac:dyDescent="0.2">
      <c r="C1038"/>
      <c r="M1038"/>
    </row>
    <row r="1039" spans="3:13" ht="12.75" customHeight="1" x14ac:dyDescent="0.2">
      <c r="C1039"/>
      <c r="M1039"/>
    </row>
    <row r="1040" spans="3:13" ht="12.75" customHeight="1" x14ac:dyDescent="0.2">
      <c r="C1040"/>
      <c r="M1040"/>
    </row>
    <row r="1041" spans="3:13" ht="12.75" customHeight="1" x14ac:dyDescent="0.2">
      <c r="C1041"/>
      <c r="M1041"/>
    </row>
    <row r="1042" spans="3:13" ht="12.75" customHeight="1" x14ac:dyDescent="0.2">
      <c r="C1042"/>
      <c r="M1042"/>
    </row>
    <row r="1043" spans="3:13" ht="12.75" customHeight="1" x14ac:dyDescent="0.2">
      <c r="C1043"/>
      <c r="M1043"/>
    </row>
    <row r="1044" spans="3:13" ht="12.75" customHeight="1" x14ac:dyDescent="0.2">
      <c r="C1044"/>
      <c r="M1044"/>
    </row>
    <row r="1045" spans="3:13" ht="12.75" customHeight="1" x14ac:dyDescent="0.2">
      <c r="C1045"/>
      <c r="M1045"/>
    </row>
    <row r="1046" spans="3:13" ht="12.75" customHeight="1" x14ac:dyDescent="0.2">
      <c r="C1046"/>
      <c r="M1046"/>
    </row>
    <row r="1047" spans="3:13" ht="12.75" customHeight="1" x14ac:dyDescent="0.2">
      <c r="C1047"/>
      <c r="M1047"/>
    </row>
    <row r="1048" spans="3:13" ht="12.75" customHeight="1" x14ac:dyDescent="0.2">
      <c r="C1048"/>
      <c r="M1048"/>
    </row>
    <row r="1049" spans="3:13" ht="12.75" customHeight="1" x14ac:dyDescent="0.2">
      <c r="C1049"/>
      <c r="M1049"/>
    </row>
    <row r="1050" spans="3:13" ht="12.75" customHeight="1" x14ac:dyDescent="0.2">
      <c r="C1050"/>
      <c r="M1050"/>
    </row>
    <row r="1051" spans="3:13" ht="12.75" customHeight="1" x14ac:dyDescent="0.2">
      <c r="C1051"/>
      <c r="M1051"/>
    </row>
    <row r="1052" spans="3:13" ht="12.75" customHeight="1" x14ac:dyDescent="0.2">
      <c r="C1052"/>
      <c r="M1052"/>
    </row>
    <row r="1053" spans="3:13" ht="12.75" customHeight="1" x14ac:dyDescent="0.2">
      <c r="C1053"/>
      <c r="M1053"/>
    </row>
    <row r="1054" spans="3:13" ht="12.75" customHeight="1" x14ac:dyDescent="0.2">
      <c r="C1054"/>
      <c r="M1054"/>
    </row>
    <row r="1055" spans="3:13" ht="12.75" customHeight="1" x14ac:dyDescent="0.2">
      <c r="C1055"/>
      <c r="M1055"/>
    </row>
    <row r="1056" spans="3:13" ht="12.75" customHeight="1" x14ac:dyDescent="0.2">
      <c r="C1056"/>
      <c r="M1056"/>
    </row>
    <row r="1057" spans="3:13" ht="12.75" customHeight="1" x14ac:dyDescent="0.2">
      <c r="C1057"/>
      <c r="M1057"/>
    </row>
    <row r="1058" spans="3:13" ht="12.75" customHeight="1" x14ac:dyDescent="0.2">
      <c r="C1058"/>
      <c r="M1058"/>
    </row>
    <row r="1059" spans="3:13" ht="12.75" customHeight="1" x14ac:dyDescent="0.2">
      <c r="C1059"/>
      <c r="M1059"/>
    </row>
    <row r="1060" spans="3:13" ht="12.75" customHeight="1" x14ac:dyDescent="0.2">
      <c r="C1060"/>
      <c r="M1060"/>
    </row>
    <row r="1061" spans="3:13" ht="12.75" customHeight="1" x14ac:dyDescent="0.2">
      <c r="C1061"/>
      <c r="M1061"/>
    </row>
    <row r="1062" spans="3:13" ht="12.75" customHeight="1" x14ac:dyDescent="0.2">
      <c r="C1062"/>
      <c r="M1062"/>
    </row>
    <row r="1063" spans="3:13" ht="12.75" customHeight="1" x14ac:dyDescent="0.2">
      <c r="C1063"/>
      <c r="M1063"/>
    </row>
    <row r="1064" spans="3:13" ht="12.75" customHeight="1" x14ac:dyDescent="0.2">
      <c r="C1064"/>
      <c r="M1064"/>
    </row>
    <row r="1065" spans="3:13" ht="12.75" customHeight="1" x14ac:dyDescent="0.2">
      <c r="C1065"/>
      <c r="M1065"/>
    </row>
    <row r="1066" spans="3:13" ht="12.75" customHeight="1" x14ac:dyDescent="0.2">
      <c r="C1066"/>
      <c r="M1066"/>
    </row>
    <row r="1067" spans="3:13" ht="12.75" customHeight="1" x14ac:dyDescent="0.2">
      <c r="C1067"/>
      <c r="M1067"/>
    </row>
    <row r="1068" spans="3:13" ht="12.75" customHeight="1" x14ac:dyDescent="0.2">
      <c r="C1068"/>
      <c r="M1068"/>
    </row>
    <row r="1069" spans="3:13" ht="12.75" customHeight="1" x14ac:dyDescent="0.2">
      <c r="C1069"/>
      <c r="M1069"/>
    </row>
    <row r="1070" spans="3:13" ht="12.75" customHeight="1" x14ac:dyDescent="0.2">
      <c r="C1070"/>
      <c r="M1070"/>
    </row>
    <row r="1071" spans="3:13" ht="12.75" customHeight="1" x14ac:dyDescent="0.2">
      <c r="C1071"/>
      <c r="M1071"/>
    </row>
    <row r="1072" spans="3:13" ht="12.75" customHeight="1" x14ac:dyDescent="0.2">
      <c r="C1072"/>
      <c r="M1072"/>
    </row>
    <row r="1073" spans="3:13" ht="12.75" customHeight="1" x14ac:dyDescent="0.2">
      <c r="C1073"/>
      <c r="M1073"/>
    </row>
    <row r="1074" spans="3:13" ht="12.75" customHeight="1" x14ac:dyDescent="0.2">
      <c r="C1074"/>
      <c r="M1074"/>
    </row>
    <row r="1075" spans="3:13" ht="12.75" customHeight="1" x14ac:dyDescent="0.2">
      <c r="C1075"/>
      <c r="M1075"/>
    </row>
    <row r="1076" spans="3:13" ht="12.75" customHeight="1" x14ac:dyDescent="0.2">
      <c r="C1076"/>
      <c r="M1076"/>
    </row>
    <row r="1077" spans="3:13" ht="12.75" customHeight="1" x14ac:dyDescent="0.2">
      <c r="C1077"/>
      <c r="M1077"/>
    </row>
    <row r="1078" spans="3:13" ht="12.75" customHeight="1" x14ac:dyDescent="0.2">
      <c r="C1078"/>
      <c r="M1078"/>
    </row>
    <row r="1079" spans="3:13" ht="12.75" customHeight="1" x14ac:dyDescent="0.2">
      <c r="C1079"/>
      <c r="M1079"/>
    </row>
    <row r="1080" spans="3:13" ht="12.75" customHeight="1" x14ac:dyDescent="0.2">
      <c r="C1080"/>
      <c r="M1080"/>
    </row>
    <row r="1081" spans="3:13" ht="12.75" customHeight="1" x14ac:dyDescent="0.2">
      <c r="C1081"/>
      <c r="M1081"/>
    </row>
    <row r="1082" spans="3:13" ht="12.75" customHeight="1" x14ac:dyDescent="0.2">
      <c r="C1082"/>
      <c r="M1082"/>
    </row>
    <row r="1083" spans="3:13" ht="12.75" customHeight="1" x14ac:dyDescent="0.2">
      <c r="C1083"/>
      <c r="M1083"/>
    </row>
    <row r="1084" spans="3:13" ht="12.75" customHeight="1" x14ac:dyDescent="0.2">
      <c r="C1084"/>
      <c r="M1084"/>
    </row>
    <row r="1085" spans="3:13" ht="12.75" customHeight="1" x14ac:dyDescent="0.2">
      <c r="C1085"/>
      <c r="M1085"/>
    </row>
    <row r="1086" spans="3:13" ht="12.75" customHeight="1" x14ac:dyDescent="0.2">
      <c r="C1086"/>
      <c r="M1086"/>
    </row>
    <row r="1087" spans="3:13" ht="12.75" customHeight="1" x14ac:dyDescent="0.2">
      <c r="C1087"/>
      <c r="M1087"/>
    </row>
    <row r="1088" spans="3:13" ht="12.75" customHeight="1" x14ac:dyDescent="0.2">
      <c r="C1088"/>
      <c r="M1088"/>
    </row>
    <row r="1089" spans="3:13" ht="12.75" customHeight="1" x14ac:dyDescent="0.2">
      <c r="C1089"/>
      <c r="M1089"/>
    </row>
    <row r="1090" spans="3:13" ht="12.75" customHeight="1" x14ac:dyDescent="0.2">
      <c r="C1090"/>
      <c r="M1090"/>
    </row>
    <row r="1091" spans="3:13" ht="12.75" customHeight="1" x14ac:dyDescent="0.2">
      <c r="C1091"/>
      <c r="M1091"/>
    </row>
    <row r="1092" spans="3:13" ht="12.75" customHeight="1" x14ac:dyDescent="0.2">
      <c r="C1092"/>
      <c r="M1092"/>
    </row>
    <row r="1093" spans="3:13" ht="12.75" customHeight="1" x14ac:dyDescent="0.2">
      <c r="C1093"/>
      <c r="M1093"/>
    </row>
    <row r="1094" spans="3:13" ht="12.75" customHeight="1" x14ac:dyDescent="0.2">
      <c r="C1094"/>
      <c r="M1094"/>
    </row>
    <row r="1095" spans="3:13" ht="12.75" customHeight="1" x14ac:dyDescent="0.2">
      <c r="C1095"/>
      <c r="M1095"/>
    </row>
    <row r="1096" spans="3:13" ht="12.75" customHeight="1" x14ac:dyDescent="0.2">
      <c r="C1096"/>
      <c r="M1096"/>
    </row>
    <row r="1097" spans="3:13" ht="12.75" customHeight="1" x14ac:dyDescent="0.2">
      <c r="C1097"/>
      <c r="M1097"/>
    </row>
    <row r="1098" spans="3:13" ht="12.75" customHeight="1" x14ac:dyDescent="0.2">
      <c r="C1098"/>
      <c r="M1098"/>
    </row>
    <row r="1099" spans="3:13" ht="12.75" customHeight="1" x14ac:dyDescent="0.2">
      <c r="C1099"/>
      <c r="M1099"/>
    </row>
    <row r="1100" spans="3:13" ht="12.75" customHeight="1" x14ac:dyDescent="0.2">
      <c r="C1100"/>
      <c r="M1100"/>
    </row>
    <row r="1101" spans="3:13" ht="12.75" customHeight="1" x14ac:dyDescent="0.2">
      <c r="C1101"/>
      <c r="M1101"/>
    </row>
    <row r="1102" spans="3:13" ht="12.75" customHeight="1" x14ac:dyDescent="0.2">
      <c r="C1102"/>
      <c r="M1102"/>
    </row>
    <row r="1103" spans="3:13" ht="12.75" customHeight="1" x14ac:dyDescent="0.2">
      <c r="C1103"/>
      <c r="M1103"/>
    </row>
    <row r="1104" spans="3:13" ht="12.75" customHeight="1" x14ac:dyDescent="0.2">
      <c r="C1104"/>
      <c r="M1104"/>
    </row>
    <row r="1105" spans="3:13" ht="12.75" customHeight="1" x14ac:dyDescent="0.2">
      <c r="C1105"/>
      <c r="M1105"/>
    </row>
    <row r="1106" spans="3:13" ht="12.75" customHeight="1" x14ac:dyDescent="0.2">
      <c r="C1106"/>
      <c r="M1106"/>
    </row>
    <row r="1107" spans="3:13" ht="12.75" customHeight="1" x14ac:dyDescent="0.2">
      <c r="C1107"/>
      <c r="M1107"/>
    </row>
    <row r="1108" spans="3:13" ht="12.75" customHeight="1" x14ac:dyDescent="0.2">
      <c r="C1108"/>
      <c r="M1108"/>
    </row>
    <row r="1109" spans="3:13" ht="12.75" customHeight="1" x14ac:dyDescent="0.2">
      <c r="C1109"/>
      <c r="M1109"/>
    </row>
    <row r="1110" spans="3:13" ht="12.75" customHeight="1" x14ac:dyDescent="0.2">
      <c r="C1110"/>
      <c r="M1110"/>
    </row>
    <row r="1111" spans="3:13" ht="12.75" customHeight="1" x14ac:dyDescent="0.2">
      <c r="C1111"/>
      <c r="M1111"/>
    </row>
    <row r="1112" spans="3:13" ht="12.75" customHeight="1" x14ac:dyDescent="0.2">
      <c r="C1112"/>
      <c r="M1112"/>
    </row>
    <row r="1113" spans="3:13" ht="12.75" customHeight="1" x14ac:dyDescent="0.2">
      <c r="C1113"/>
      <c r="M1113"/>
    </row>
    <row r="1114" spans="3:13" ht="12.75" customHeight="1" x14ac:dyDescent="0.2">
      <c r="C1114"/>
      <c r="M1114"/>
    </row>
    <row r="1115" spans="3:13" ht="12.75" customHeight="1" x14ac:dyDescent="0.2">
      <c r="C1115"/>
      <c r="M1115"/>
    </row>
    <row r="1116" spans="3:13" ht="12.75" customHeight="1" x14ac:dyDescent="0.2">
      <c r="C1116"/>
      <c r="M1116"/>
    </row>
    <row r="1117" spans="3:13" ht="12.75" customHeight="1" x14ac:dyDescent="0.2">
      <c r="C1117"/>
      <c r="M1117"/>
    </row>
    <row r="1118" spans="3:13" ht="12.75" customHeight="1" x14ac:dyDescent="0.2">
      <c r="C1118"/>
      <c r="M1118"/>
    </row>
    <row r="1119" spans="3:13" ht="12.75" customHeight="1" x14ac:dyDescent="0.2">
      <c r="C1119"/>
      <c r="M1119"/>
    </row>
    <row r="1120" spans="3:13" ht="12.75" customHeight="1" x14ac:dyDescent="0.2">
      <c r="C1120"/>
      <c r="M1120"/>
    </row>
    <row r="1121" spans="3:13" ht="12.75" customHeight="1" x14ac:dyDescent="0.2">
      <c r="C1121"/>
      <c r="M1121"/>
    </row>
    <row r="1122" spans="3:13" ht="12.75" customHeight="1" x14ac:dyDescent="0.2">
      <c r="C1122"/>
      <c r="M1122"/>
    </row>
    <row r="1123" spans="3:13" ht="12.75" customHeight="1" x14ac:dyDescent="0.2">
      <c r="C1123"/>
      <c r="M1123"/>
    </row>
    <row r="1124" spans="3:13" ht="12.75" customHeight="1" x14ac:dyDescent="0.2">
      <c r="C1124"/>
      <c r="M1124"/>
    </row>
    <row r="1125" spans="3:13" ht="12.75" customHeight="1" x14ac:dyDescent="0.2">
      <c r="C1125"/>
      <c r="M1125"/>
    </row>
    <row r="1126" spans="3:13" ht="12.75" customHeight="1" x14ac:dyDescent="0.2">
      <c r="C1126"/>
      <c r="M1126"/>
    </row>
    <row r="1127" spans="3:13" ht="12.75" customHeight="1" x14ac:dyDescent="0.2">
      <c r="C1127"/>
      <c r="M1127"/>
    </row>
    <row r="1128" spans="3:13" ht="12.75" customHeight="1" x14ac:dyDescent="0.2">
      <c r="C1128"/>
      <c r="M1128"/>
    </row>
    <row r="1129" spans="3:13" ht="12.75" customHeight="1" x14ac:dyDescent="0.2">
      <c r="C1129"/>
      <c r="M1129"/>
    </row>
    <row r="1130" spans="3:13" ht="12.75" customHeight="1" x14ac:dyDescent="0.2">
      <c r="C1130"/>
      <c r="M1130"/>
    </row>
    <row r="1131" spans="3:13" ht="12.75" customHeight="1" x14ac:dyDescent="0.2">
      <c r="C1131"/>
      <c r="M1131"/>
    </row>
    <row r="1132" spans="3:13" ht="12.75" customHeight="1" x14ac:dyDescent="0.2">
      <c r="C1132"/>
      <c r="M1132"/>
    </row>
    <row r="1133" spans="3:13" ht="12.75" customHeight="1" x14ac:dyDescent="0.2">
      <c r="C1133"/>
      <c r="M1133"/>
    </row>
    <row r="1134" spans="3:13" ht="12.75" customHeight="1" x14ac:dyDescent="0.2">
      <c r="C1134"/>
      <c r="M1134"/>
    </row>
    <row r="1135" spans="3:13" ht="12.75" customHeight="1" x14ac:dyDescent="0.2">
      <c r="C1135"/>
      <c r="M1135"/>
    </row>
    <row r="1136" spans="3:13" ht="12.75" customHeight="1" x14ac:dyDescent="0.2">
      <c r="C1136"/>
      <c r="M1136"/>
    </row>
    <row r="1137" spans="3:13" ht="12.75" customHeight="1" x14ac:dyDescent="0.2">
      <c r="C1137"/>
      <c r="M1137"/>
    </row>
    <row r="1138" spans="3:13" ht="12.75" customHeight="1" x14ac:dyDescent="0.2">
      <c r="C1138"/>
      <c r="M1138"/>
    </row>
    <row r="1139" spans="3:13" ht="12.75" customHeight="1" x14ac:dyDescent="0.2">
      <c r="C1139"/>
      <c r="M1139"/>
    </row>
    <row r="1140" spans="3:13" ht="12.75" customHeight="1" x14ac:dyDescent="0.2">
      <c r="C1140"/>
      <c r="M1140"/>
    </row>
    <row r="1141" spans="3:13" ht="12.75" customHeight="1" x14ac:dyDescent="0.2">
      <c r="C1141"/>
      <c r="M1141"/>
    </row>
    <row r="1142" spans="3:13" ht="12.75" customHeight="1" x14ac:dyDescent="0.2">
      <c r="C1142"/>
      <c r="M1142"/>
    </row>
    <row r="1143" spans="3:13" ht="12.75" customHeight="1" x14ac:dyDescent="0.2">
      <c r="C1143"/>
      <c r="M1143"/>
    </row>
    <row r="1144" spans="3:13" ht="12.75" customHeight="1" x14ac:dyDescent="0.2">
      <c r="C1144"/>
      <c r="M1144"/>
    </row>
    <row r="1145" spans="3:13" ht="12.75" customHeight="1" x14ac:dyDescent="0.2">
      <c r="C1145"/>
      <c r="M1145"/>
    </row>
    <row r="1146" spans="3:13" ht="12.75" customHeight="1" x14ac:dyDescent="0.2">
      <c r="C1146"/>
      <c r="M1146"/>
    </row>
    <row r="1147" spans="3:13" ht="12.75" customHeight="1" x14ac:dyDescent="0.2">
      <c r="C1147"/>
      <c r="M1147"/>
    </row>
    <row r="1148" spans="3:13" ht="12.75" customHeight="1" x14ac:dyDescent="0.2">
      <c r="C1148"/>
      <c r="M1148"/>
    </row>
    <row r="1149" spans="3:13" ht="12.75" customHeight="1" x14ac:dyDescent="0.2">
      <c r="C1149"/>
      <c r="M1149"/>
    </row>
    <row r="1150" spans="3:13" ht="12.75" customHeight="1" x14ac:dyDescent="0.2">
      <c r="C1150"/>
      <c r="M1150"/>
    </row>
    <row r="1151" spans="3:13" ht="12.75" customHeight="1" x14ac:dyDescent="0.2">
      <c r="C1151"/>
      <c r="M1151"/>
    </row>
    <row r="1152" spans="3:13" ht="12.75" customHeight="1" x14ac:dyDescent="0.2">
      <c r="C1152"/>
      <c r="M1152"/>
    </row>
    <row r="1153" spans="3:13" ht="12.75" customHeight="1" x14ac:dyDescent="0.2">
      <c r="C1153"/>
      <c r="M1153"/>
    </row>
    <row r="1154" spans="3:13" ht="12.75" customHeight="1" x14ac:dyDescent="0.2">
      <c r="C1154"/>
      <c r="M1154"/>
    </row>
    <row r="1155" spans="3:13" ht="12.75" customHeight="1" x14ac:dyDescent="0.2">
      <c r="C1155"/>
      <c r="M1155"/>
    </row>
    <row r="1156" spans="3:13" ht="12.75" customHeight="1" x14ac:dyDescent="0.2">
      <c r="C1156"/>
      <c r="M1156"/>
    </row>
    <row r="1157" spans="3:13" ht="12.75" customHeight="1" x14ac:dyDescent="0.2">
      <c r="C1157"/>
      <c r="M1157"/>
    </row>
    <row r="1158" spans="3:13" ht="12.75" customHeight="1" x14ac:dyDescent="0.2">
      <c r="C1158"/>
      <c r="M1158"/>
    </row>
    <row r="1159" spans="3:13" ht="12.75" customHeight="1" x14ac:dyDescent="0.2">
      <c r="C1159"/>
      <c r="M1159"/>
    </row>
    <row r="1160" spans="3:13" ht="12.75" customHeight="1" x14ac:dyDescent="0.2">
      <c r="C1160"/>
      <c r="M1160"/>
    </row>
    <row r="1161" spans="3:13" ht="12.75" customHeight="1" x14ac:dyDescent="0.2">
      <c r="C1161"/>
      <c r="M1161"/>
    </row>
    <row r="1162" spans="3:13" ht="12.75" customHeight="1" x14ac:dyDescent="0.2">
      <c r="C1162"/>
      <c r="M1162"/>
    </row>
    <row r="1163" spans="3:13" ht="12.75" customHeight="1" x14ac:dyDescent="0.2">
      <c r="C1163"/>
      <c r="M1163"/>
    </row>
    <row r="1164" spans="3:13" ht="12.75" customHeight="1" x14ac:dyDescent="0.2">
      <c r="C1164"/>
      <c r="M1164"/>
    </row>
    <row r="1165" spans="3:13" ht="12.75" customHeight="1" x14ac:dyDescent="0.2">
      <c r="C1165"/>
      <c r="M1165"/>
    </row>
    <row r="1166" spans="3:13" ht="12.75" customHeight="1" x14ac:dyDescent="0.2">
      <c r="C1166"/>
      <c r="M1166"/>
    </row>
    <row r="1167" spans="3:13" ht="12.75" customHeight="1" x14ac:dyDescent="0.2">
      <c r="C1167"/>
      <c r="M1167"/>
    </row>
    <row r="1168" spans="3:13" ht="12.75" customHeight="1" x14ac:dyDescent="0.2">
      <c r="C1168"/>
      <c r="M1168"/>
    </row>
    <row r="1169" spans="3:13" ht="12.75" customHeight="1" x14ac:dyDescent="0.2">
      <c r="C1169"/>
      <c r="M1169"/>
    </row>
    <row r="1170" spans="3:13" ht="12.75" customHeight="1" x14ac:dyDescent="0.2">
      <c r="C1170"/>
      <c r="M1170"/>
    </row>
    <row r="1171" spans="3:13" ht="12.75" customHeight="1" x14ac:dyDescent="0.2">
      <c r="C1171"/>
      <c r="M1171"/>
    </row>
    <row r="1172" spans="3:13" ht="12.75" customHeight="1" x14ac:dyDescent="0.2">
      <c r="C1172"/>
      <c r="M1172"/>
    </row>
    <row r="1173" spans="3:13" ht="12.75" customHeight="1" x14ac:dyDescent="0.2">
      <c r="C1173"/>
      <c r="M1173"/>
    </row>
    <row r="1174" spans="3:13" ht="12.75" customHeight="1" x14ac:dyDescent="0.2">
      <c r="C1174"/>
      <c r="M1174"/>
    </row>
    <row r="1175" spans="3:13" ht="12.75" customHeight="1" x14ac:dyDescent="0.2">
      <c r="C1175"/>
      <c r="M1175"/>
    </row>
    <row r="1176" spans="3:13" ht="12.75" customHeight="1" x14ac:dyDescent="0.2">
      <c r="C1176"/>
      <c r="M1176"/>
    </row>
    <row r="1177" spans="3:13" ht="12.75" customHeight="1" x14ac:dyDescent="0.2">
      <c r="C1177"/>
      <c r="M1177"/>
    </row>
    <row r="1178" spans="3:13" ht="12.75" customHeight="1" x14ac:dyDescent="0.2">
      <c r="C1178"/>
      <c r="M1178"/>
    </row>
    <row r="1179" spans="3:13" ht="12.75" customHeight="1" x14ac:dyDescent="0.2">
      <c r="C1179"/>
      <c r="M1179"/>
    </row>
    <row r="1180" spans="3:13" ht="12.75" customHeight="1" x14ac:dyDescent="0.2">
      <c r="C1180"/>
      <c r="M1180"/>
    </row>
    <row r="1181" spans="3:13" ht="12.75" customHeight="1" x14ac:dyDescent="0.2">
      <c r="C1181"/>
      <c r="M1181"/>
    </row>
    <row r="1182" spans="3:13" ht="12.75" customHeight="1" x14ac:dyDescent="0.2">
      <c r="C1182"/>
      <c r="M1182"/>
    </row>
    <row r="1183" spans="3:13" ht="12.75" customHeight="1" x14ac:dyDescent="0.2">
      <c r="C1183"/>
      <c r="M1183"/>
    </row>
    <row r="1184" spans="3:13" ht="12.75" customHeight="1" x14ac:dyDescent="0.2">
      <c r="C1184"/>
      <c r="M1184"/>
    </row>
    <row r="1185" spans="3:13" ht="12.75" customHeight="1" x14ac:dyDescent="0.2">
      <c r="C1185"/>
      <c r="M1185"/>
    </row>
    <row r="1186" spans="3:13" ht="12.75" customHeight="1" x14ac:dyDescent="0.2">
      <c r="C1186"/>
      <c r="M1186"/>
    </row>
    <row r="1187" spans="3:13" ht="12.75" customHeight="1" x14ac:dyDescent="0.2">
      <c r="C1187"/>
      <c r="M1187"/>
    </row>
    <row r="1188" spans="3:13" ht="12.75" customHeight="1" x14ac:dyDescent="0.2">
      <c r="C1188"/>
      <c r="M1188"/>
    </row>
    <row r="1189" spans="3:13" ht="12.75" customHeight="1" x14ac:dyDescent="0.2">
      <c r="C1189"/>
      <c r="M1189"/>
    </row>
    <row r="1190" spans="3:13" ht="12.75" customHeight="1" x14ac:dyDescent="0.2">
      <c r="C1190"/>
      <c r="M1190"/>
    </row>
    <row r="1191" spans="3:13" ht="12.75" customHeight="1" x14ac:dyDescent="0.2">
      <c r="C1191"/>
      <c r="M1191"/>
    </row>
    <row r="1192" spans="3:13" ht="12.75" customHeight="1" x14ac:dyDescent="0.2">
      <c r="C1192"/>
      <c r="M1192"/>
    </row>
    <row r="1193" spans="3:13" ht="12.75" customHeight="1" x14ac:dyDescent="0.2">
      <c r="C1193"/>
      <c r="M1193"/>
    </row>
    <row r="1194" spans="3:13" ht="12.75" customHeight="1" x14ac:dyDescent="0.2">
      <c r="C1194"/>
      <c r="M1194"/>
    </row>
    <row r="1195" spans="3:13" ht="12.75" customHeight="1" x14ac:dyDescent="0.2">
      <c r="C1195"/>
      <c r="M1195"/>
    </row>
    <row r="1196" spans="3:13" ht="12.75" customHeight="1" x14ac:dyDescent="0.2">
      <c r="C1196"/>
      <c r="M1196"/>
    </row>
    <row r="1197" spans="3:13" ht="12.75" customHeight="1" x14ac:dyDescent="0.2">
      <c r="C1197"/>
      <c r="M1197"/>
    </row>
    <row r="1198" spans="3:13" ht="12.75" customHeight="1" x14ac:dyDescent="0.2">
      <c r="C1198"/>
      <c r="M1198"/>
    </row>
    <row r="1199" spans="3:13" ht="12.75" customHeight="1" x14ac:dyDescent="0.2">
      <c r="C1199"/>
      <c r="M1199"/>
    </row>
    <row r="1200" spans="3:13" ht="12.75" customHeight="1" x14ac:dyDescent="0.2">
      <c r="C1200"/>
      <c r="M1200"/>
    </row>
    <row r="1201" spans="3:13" ht="12.75" customHeight="1" x14ac:dyDescent="0.2">
      <c r="C1201"/>
      <c r="M1201"/>
    </row>
    <row r="1202" spans="3:13" ht="12.75" customHeight="1" x14ac:dyDescent="0.2">
      <c r="C1202"/>
      <c r="M1202"/>
    </row>
    <row r="1203" spans="3:13" ht="12.75" customHeight="1" x14ac:dyDescent="0.2">
      <c r="C1203"/>
      <c r="M1203"/>
    </row>
    <row r="1204" spans="3:13" ht="12.75" customHeight="1" x14ac:dyDescent="0.2">
      <c r="C1204"/>
      <c r="M1204"/>
    </row>
    <row r="1205" spans="3:13" ht="12.75" customHeight="1" x14ac:dyDescent="0.2">
      <c r="C1205"/>
      <c r="M1205"/>
    </row>
    <row r="1206" spans="3:13" ht="12.75" customHeight="1" x14ac:dyDescent="0.2">
      <c r="C1206"/>
      <c r="M1206"/>
    </row>
    <row r="1207" spans="3:13" ht="12.75" customHeight="1" x14ac:dyDescent="0.2">
      <c r="C1207"/>
      <c r="M1207"/>
    </row>
    <row r="1208" spans="3:13" ht="12.75" customHeight="1" x14ac:dyDescent="0.2">
      <c r="C1208"/>
      <c r="M1208"/>
    </row>
    <row r="1209" spans="3:13" ht="12.75" customHeight="1" x14ac:dyDescent="0.2">
      <c r="C1209"/>
      <c r="M1209"/>
    </row>
    <row r="1210" spans="3:13" ht="12.75" customHeight="1" x14ac:dyDescent="0.2">
      <c r="C1210"/>
      <c r="M1210"/>
    </row>
    <row r="1211" spans="3:13" ht="12.75" customHeight="1" x14ac:dyDescent="0.2">
      <c r="C1211"/>
      <c r="M1211"/>
    </row>
    <row r="1212" spans="3:13" ht="12.75" customHeight="1" x14ac:dyDescent="0.2">
      <c r="C1212"/>
      <c r="M1212"/>
    </row>
    <row r="1213" spans="3:13" ht="12.75" customHeight="1" x14ac:dyDescent="0.2">
      <c r="C1213"/>
      <c r="M1213"/>
    </row>
    <row r="1214" spans="3:13" ht="12.75" customHeight="1" x14ac:dyDescent="0.2">
      <c r="C1214"/>
      <c r="M1214"/>
    </row>
    <row r="1215" spans="3:13" ht="12.75" customHeight="1" x14ac:dyDescent="0.2">
      <c r="C1215"/>
      <c r="M1215"/>
    </row>
    <row r="1216" spans="3:13" ht="12.75" customHeight="1" x14ac:dyDescent="0.2">
      <c r="C1216"/>
      <c r="M1216"/>
    </row>
    <row r="1217" spans="3:13" ht="12.75" customHeight="1" x14ac:dyDescent="0.2">
      <c r="C1217"/>
      <c r="M1217"/>
    </row>
    <row r="1218" spans="3:13" ht="12.75" customHeight="1" x14ac:dyDescent="0.2">
      <c r="C1218"/>
      <c r="M1218"/>
    </row>
    <row r="1219" spans="3:13" ht="12.75" customHeight="1" x14ac:dyDescent="0.2">
      <c r="C1219"/>
      <c r="M1219"/>
    </row>
    <row r="1220" spans="3:13" ht="12.75" customHeight="1" x14ac:dyDescent="0.2">
      <c r="C1220"/>
      <c r="M1220"/>
    </row>
    <row r="1221" spans="3:13" ht="12.75" customHeight="1" x14ac:dyDescent="0.2">
      <c r="C1221"/>
      <c r="M1221"/>
    </row>
    <row r="1222" spans="3:13" ht="12.75" customHeight="1" x14ac:dyDescent="0.2">
      <c r="C1222"/>
      <c r="M1222"/>
    </row>
    <row r="1223" spans="3:13" ht="12.75" customHeight="1" x14ac:dyDescent="0.2">
      <c r="C1223"/>
      <c r="M1223"/>
    </row>
    <row r="1224" spans="3:13" ht="12.75" customHeight="1" x14ac:dyDescent="0.2">
      <c r="C1224"/>
      <c r="M1224"/>
    </row>
    <row r="1225" spans="3:13" ht="12.75" customHeight="1" x14ac:dyDescent="0.2">
      <c r="C1225"/>
      <c r="M1225"/>
    </row>
    <row r="1226" spans="3:13" ht="12.75" customHeight="1" x14ac:dyDescent="0.2">
      <c r="C1226"/>
      <c r="M1226"/>
    </row>
    <row r="1227" spans="3:13" ht="12.75" customHeight="1" x14ac:dyDescent="0.2">
      <c r="C1227"/>
      <c r="M1227"/>
    </row>
    <row r="1228" spans="3:13" ht="12.75" customHeight="1" x14ac:dyDescent="0.2">
      <c r="C1228"/>
      <c r="M1228"/>
    </row>
    <row r="1229" spans="3:13" ht="12.75" customHeight="1" x14ac:dyDescent="0.2">
      <c r="C1229"/>
      <c r="M1229"/>
    </row>
    <row r="1230" spans="3:13" ht="12.75" customHeight="1" x14ac:dyDescent="0.2">
      <c r="C1230"/>
      <c r="M1230"/>
    </row>
    <row r="1231" spans="3:13" ht="12.75" customHeight="1" x14ac:dyDescent="0.2">
      <c r="C1231"/>
      <c r="M1231"/>
    </row>
    <row r="1232" spans="3:13" ht="12.75" customHeight="1" x14ac:dyDescent="0.2">
      <c r="C1232"/>
      <c r="M1232"/>
    </row>
    <row r="1233" spans="3:13" ht="12.75" customHeight="1" x14ac:dyDescent="0.2">
      <c r="C1233"/>
      <c r="M1233"/>
    </row>
    <row r="1234" spans="3:13" ht="12.75" customHeight="1" x14ac:dyDescent="0.2">
      <c r="C1234"/>
      <c r="M1234"/>
    </row>
    <row r="1235" spans="3:13" ht="12.75" customHeight="1" x14ac:dyDescent="0.2">
      <c r="C1235"/>
      <c r="M1235"/>
    </row>
    <row r="1236" spans="3:13" ht="12.75" customHeight="1" x14ac:dyDescent="0.2">
      <c r="C1236"/>
      <c r="M1236"/>
    </row>
    <row r="1237" spans="3:13" ht="12.75" customHeight="1" x14ac:dyDescent="0.2">
      <c r="C1237"/>
      <c r="M1237"/>
    </row>
    <row r="1238" spans="3:13" ht="12.75" customHeight="1" x14ac:dyDescent="0.2">
      <c r="C1238"/>
      <c r="M1238"/>
    </row>
    <row r="1239" spans="3:13" ht="12.75" customHeight="1" x14ac:dyDescent="0.2">
      <c r="C1239"/>
      <c r="M1239"/>
    </row>
    <row r="1240" spans="3:13" ht="12.75" customHeight="1" x14ac:dyDescent="0.2">
      <c r="C1240"/>
      <c r="M1240"/>
    </row>
    <row r="1241" spans="3:13" ht="12.75" customHeight="1" x14ac:dyDescent="0.2">
      <c r="C1241"/>
      <c r="M1241"/>
    </row>
    <row r="1242" spans="3:13" ht="12.75" customHeight="1" x14ac:dyDescent="0.2">
      <c r="C1242"/>
      <c r="M1242"/>
    </row>
    <row r="1243" spans="3:13" ht="12.75" customHeight="1" x14ac:dyDescent="0.2">
      <c r="C1243"/>
      <c r="M1243"/>
    </row>
    <row r="1244" spans="3:13" ht="12.75" customHeight="1" x14ac:dyDescent="0.2">
      <c r="C1244"/>
      <c r="M1244"/>
    </row>
    <row r="1245" spans="3:13" ht="12.75" customHeight="1" x14ac:dyDescent="0.2">
      <c r="C1245"/>
      <c r="M1245"/>
    </row>
    <row r="1246" spans="3:13" ht="12.75" customHeight="1" x14ac:dyDescent="0.2">
      <c r="C1246"/>
      <c r="M1246"/>
    </row>
    <row r="1247" spans="3:13" ht="12.75" customHeight="1" x14ac:dyDescent="0.2">
      <c r="C1247"/>
      <c r="M1247"/>
    </row>
    <row r="1248" spans="3:13" ht="12.75" customHeight="1" x14ac:dyDescent="0.2">
      <c r="C1248"/>
      <c r="M1248"/>
    </row>
    <row r="1249" spans="3:13" ht="12.75" customHeight="1" x14ac:dyDescent="0.2">
      <c r="C1249"/>
      <c r="M1249"/>
    </row>
    <row r="1250" spans="3:13" ht="12.75" customHeight="1" x14ac:dyDescent="0.2">
      <c r="C1250"/>
      <c r="M1250"/>
    </row>
    <row r="1251" spans="3:13" ht="12.75" customHeight="1" x14ac:dyDescent="0.2">
      <c r="C1251"/>
      <c r="M1251"/>
    </row>
    <row r="1252" spans="3:13" ht="12.75" customHeight="1" x14ac:dyDescent="0.2">
      <c r="C1252"/>
      <c r="M1252"/>
    </row>
    <row r="1253" spans="3:13" ht="12.75" customHeight="1" x14ac:dyDescent="0.2">
      <c r="C1253"/>
      <c r="M1253"/>
    </row>
    <row r="1254" spans="3:13" ht="12.75" customHeight="1" x14ac:dyDescent="0.2">
      <c r="C1254"/>
      <c r="M1254"/>
    </row>
    <row r="1255" spans="3:13" ht="12.75" customHeight="1" x14ac:dyDescent="0.2">
      <c r="C1255"/>
      <c r="M1255"/>
    </row>
    <row r="1256" spans="3:13" ht="12.75" customHeight="1" x14ac:dyDescent="0.2">
      <c r="C1256"/>
      <c r="M1256"/>
    </row>
    <row r="1257" spans="3:13" ht="12.75" customHeight="1" x14ac:dyDescent="0.2">
      <c r="C1257"/>
      <c r="M1257"/>
    </row>
    <row r="1258" spans="3:13" ht="12.75" customHeight="1" x14ac:dyDescent="0.2">
      <c r="C1258"/>
      <c r="M1258"/>
    </row>
    <row r="1259" spans="3:13" ht="12.75" customHeight="1" x14ac:dyDescent="0.2">
      <c r="C1259"/>
      <c r="M1259"/>
    </row>
    <row r="1260" spans="3:13" ht="12.75" customHeight="1" x14ac:dyDescent="0.2">
      <c r="C1260"/>
      <c r="M1260"/>
    </row>
    <row r="1261" spans="3:13" ht="12.75" customHeight="1" x14ac:dyDescent="0.2">
      <c r="C1261"/>
      <c r="M1261"/>
    </row>
    <row r="1262" spans="3:13" ht="12.75" customHeight="1" x14ac:dyDescent="0.2">
      <c r="C1262"/>
      <c r="M1262"/>
    </row>
    <row r="1263" spans="3:13" ht="12.75" customHeight="1" x14ac:dyDescent="0.2">
      <c r="C1263"/>
      <c r="M1263"/>
    </row>
    <row r="1264" spans="3:13" ht="12.75" customHeight="1" x14ac:dyDescent="0.2">
      <c r="C1264"/>
      <c r="M1264"/>
    </row>
    <row r="1265" spans="3:13" ht="12.75" customHeight="1" x14ac:dyDescent="0.2">
      <c r="C1265"/>
      <c r="M1265"/>
    </row>
    <row r="1266" spans="3:13" ht="12.75" customHeight="1" x14ac:dyDescent="0.2">
      <c r="C1266"/>
      <c r="M1266"/>
    </row>
    <row r="1267" spans="3:13" ht="12.75" customHeight="1" x14ac:dyDescent="0.2">
      <c r="C1267"/>
      <c r="M1267"/>
    </row>
    <row r="1268" spans="3:13" ht="12.75" customHeight="1" x14ac:dyDescent="0.2">
      <c r="C1268"/>
      <c r="M1268"/>
    </row>
    <row r="1269" spans="3:13" ht="12.75" customHeight="1" x14ac:dyDescent="0.2">
      <c r="C1269"/>
      <c r="M1269"/>
    </row>
    <row r="1270" spans="3:13" ht="12.75" customHeight="1" x14ac:dyDescent="0.2">
      <c r="C1270"/>
      <c r="M1270"/>
    </row>
    <row r="1271" spans="3:13" ht="12.75" customHeight="1" x14ac:dyDescent="0.2">
      <c r="C1271"/>
      <c r="M1271"/>
    </row>
    <row r="1272" spans="3:13" ht="12.75" customHeight="1" x14ac:dyDescent="0.2">
      <c r="C1272"/>
      <c r="M1272"/>
    </row>
    <row r="1273" spans="3:13" ht="12.75" customHeight="1" x14ac:dyDescent="0.2">
      <c r="C1273"/>
      <c r="M1273"/>
    </row>
    <row r="1274" spans="3:13" ht="12.75" customHeight="1" x14ac:dyDescent="0.2">
      <c r="C1274"/>
      <c r="M1274"/>
    </row>
    <row r="1275" spans="3:13" ht="12.75" customHeight="1" x14ac:dyDescent="0.2">
      <c r="C1275"/>
      <c r="M1275"/>
    </row>
    <row r="1276" spans="3:13" ht="12.75" customHeight="1" x14ac:dyDescent="0.2">
      <c r="C1276"/>
      <c r="M1276"/>
    </row>
    <row r="1277" spans="3:13" ht="12.75" customHeight="1" x14ac:dyDescent="0.2">
      <c r="C1277"/>
      <c r="M1277"/>
    </row>
    <row r="1278" spans="3:13" ht="12.75" customHeight="1" x14ac:dyDescent="0.2">
      <c r="C1278"/>
      <c r="M1278"/>
    </row>
    <row r="1279" spans="3:13" ht="12.75" customHeight="1" x14ac:dyDescent="0.2">
      <c r="C1279"/>
      <c r="M1279"/>
    </row>
    <row r="1280" spans="3:13" ht="12.75" customHeight="1" x14ac:dyDescent="0.2">
      <c r="C1280"/>
      <c r="M1280"/>
    </row>
    <row r="1281" spans="3:13" ht="12.75" customHeight="1" x14ac:dyDescent="0.2">
      <c r="C1281"/>
      <c r="M1281"/>
    </row>
    <row r="1282" spans="3:13" ht="12.75" customHeight="1" x14ac:dyDescent="0.2">
      <c r="C1282"/>
      <c r="M1282"/>
    </row>
    <row r="1283" spans="3:13" ht="12.75" customHeight="1" x14ac:dyDescent="0.2">
      <c r="C1283"/>
      <c r="M1283"/>
    </row>
    <row r="1284" spans="3:13" ht="12.75" customHeight="1" x14ac:dyDescent="0.2">
      <c r="C1284"/>
      <c r="M1284"/>
    </row>
    <row r="1285" spans="3:13" ht="12.75" customHeight="1" x14ac:dyDescent="0.2">
      <c r="C1285"/>
      <c r="M1285"/>
    </row>
    <row r="1286" spans="3:13" ht="12.75" customHeight="1" x14ac:dyDescent="0.2">
      <c r="C1286"/>
      <c r="M1286"/>
    </row>
    <row r="1287" spans="3:13" ht="12.75" customHeight="1" x14ac:dyDescent="0.2">
      <c r="C1287"/>
      <c r="M1287"/>
    </row>
    <row r="1288" spans="3:13" ht="12.75" customHeight="1" x14ac:dyDescent="0.2">
      <c r="C1288"/>
      <c r="M1288"/>
    </row>
    <row r="1289" spans="3:13" ht="12.75" customHeight="1" x14ac:dyDescent="0.2">
      <c r="C1289"/>
      <c r="M1289"/>
    </row>
    <row r="1290" spans="3:13" ht="12.75" customHeight="1" x14ac:dyDescent="0.2">
      <c r="C1290"/>
      <c r="M1290"/>
    </row>
    <row r="1291" spans="3:13" ht="12.75" customHeight="1" x14ac:dyDescent="0.2">
      <c r="C1291"/>
      <c r="M1291"/>
    </row>
    <row r="1292" spans="3:13" ht="12.75" customHeight="1" x14ac:dyDescent="0.2">
      <c r="C1292"/>
      <c r="M1292"/>
    </row>
    <row r="1293" spans="3:13" ht="12.75" customHeight="1" x14ac:dyDescent="0.2">
      <c r="C1293"/>
      <c r="M1293"/>
    </row>
    <row r="1294" spans="3:13" ht="12.75" customHeight="1" x14ac:dyDescent="0.2">
      <c r="C1294"/>
      <c r="M1294"/>
    </row>
    <row r="1295" spans="3:13" ht="12.75" customHeight="1" x14ac:dyDescent="0.2">
      <c r="C1295"/>
      <c r="M1295"/>
    </row>
    <row r="1296" spans="3:13" ht="12.75" customHeight="1" x14ac:dyDescent="0.2">
      <c r="C1296"/>
      <c r="M1296"/>
    </row>
    <row r="1297" spans="3:13" ht="12.75" customHeight="1" x14ac:dyDescent="0.2">
      <c r="C1297"/>
      <c r="M1297"/>
    </row>
    <row r="1298" spans="3:13" ht="12.75" customHeight="1" x14ac:dyDescent="0.2">
      <c r="C1298"/>
      <c r="M1298"/>
    </row>
    <row r="1299" spans="3:13" ht="12.75" customHeight="1" x14ac:dyDescent="0.2">
      <c r="C1299"/>
      <c r="M1299"/>
    </row>
    <row r="1300" spans="3:13" ht="12.75" customHeight="1" x14ac:dyDescent="0.2">
      <c r="C1300"/>
      <c r="M1300"/>
    </row>
    <row r="1301" spans="3:13" ht="12.75" customHeight="1" x14ac:dyDescent="0.2">
      <c r="C1301"/>
      <c r="M1301"/>
    </row>
    <row r="1302" spans="3:13" ht="12.75" customHeight="1" x14ac:dyDescent="0.2">
      <c r="C1302"/>
      <c r="M1302"/>
    </row>
    <row r="1303" spans="3:13" ht="12.75" customHeight="1" x14ac:dyDescent="0.2">
      <c r="C1303"/>
      <c r="M1303"/>
    </row>
    <row r="1304" spans="3:13" ht="12.75" customHeight="1" x14ac:dyDescent="0.2">
      <c r="C1304"/>
      <c r="M1304"/>
    </row>
    <row r="1305" spans="3:13" ht="12.75" customHeight="1" x14ac:dyDescent="0.2">
      <c r="C1305"/>
      <c r="M1305"/>
    </row>
    <row r="1306" spans="3:13" ht="12.75" customHeight="1" x14ac:dyDescent="0.2">
      <c r="C1306"/>
      <c r="M1306"/>
    </row>
    <row r="1307" spans="3:13" ht="12.75" customHeight="1" x14ac:dyDescent="0.2">
      <c r="C1307"/>
      <c r="M1307"/>
    </row>
    <row r="1308" spans="3:13" ht="12.75" customHeight="1" x14ac:dyDescent="0.2">
      <c r="C1308"/>
      <c r="M1308"/>
    </row>
    <row r="1309" spans="3:13" ht="12.75" customHeight="1" x14ac:dyDescent="0.2">
      <c r="C1309"/>
      <c r="M1309"/>
    </row>
    <row r="1310" spans="3:13" ht="12.75" customHeight="1" x14ac:dyDescent="0.2">
      <c r="C1310"/>
      <c r="M1310"/>
    </row>
    <row r="1311" spans="3:13" ht="12.75" customHeight="1" x14ac:dyDescent="0.2">
      <c r="C1311"/>
      <c r="M1311"/>
    </row>
    <row r="1312" spans="3:13" ht="12.75" customHeight="1" x14ac:dyDescent="0.2">
      <c r="C1312"/>
      <c r="M1312"/>
    </row>
    <row r="1313" spans="3:13" ht="12.75" customHeight="1" x14ac:dyDescent="0.2">
      <c r="C1313"/>
      <c r="M1313"/>
    </row>
    <row r="1314" spans="3:13" ht="12.75" customHeight="1" x14ac:dyDescent="0.2">
      <c r="C1314"/>
      <c r="M1314"/>
    </row>
    <row r="1315" spans="3:13" ht="12.75" customHeight="1" x14ac:dyDescent="0.2">
      <c r="C1315"/>
      <c r="M1315"/>
    </row>
    <row r="1316" spans="3:13" ht="12.75" customHeight="1" x14ac:dyDescent="0.2">
      <c r="C1316"/>
      <c r="M1316"/>
    </row>
    <row r="1317" spans="3:13" ht="12.75" customHeight="1" x14ac:dyDescent="0.2">
      <c r="C1317"/>
      <c r="M1317"/>
    </row>
    <row r="1318" spans="3:13" ht="12.75" customHeight="1" x14ac:dyDescent="0.2">
      <c r="C1318"/>
      <c r="M1318"/>
    </row>
    <row r="1319" spans="3:13" ht="12.75" customHeight="1" x14ac:dyDescent="0.2">
      <c r="C1319"/>
      <c r="M1319"/>
    </row>
    <row r="1320" spans="3:13" ht="12.75" customHeight="1" x14ac:dyDescent="0.2">
      <c r="C1320"/>
      <c r="M1320"/>
    </row>
    <row r="1321" spans="3:13" ht="12.75" customHeight="1" x14ac:dyDescent="0.2">
      <c r="C1321"/>
      <c r="M1321"/>
    </row>
    <row r="1322" spans="3:13" ht="12.75" customHeight="1" x14ac:dyDescent="0.2">
      <c r="C1322"/>
      <c r="M1322"/>
    </row>
    <row r="1323" spans="3:13" ht="12.75" customHeight="1" x14ac:dyDescent="0.2">
      <c r="C1323"/>
      <c r="M1323"/>
    </row>
    <row r="1324" spans="3:13" ht="12.75" customHeight="1" x14ac:dyDescent="0.2">
      <c r="C1324"/>
      <c r="M1324"/>
    </row>
    <row r="1325" spans="3:13" ht="12.75" customHeight="1" x14ac:dyDescent="0.2">
      <c r="C1325"/>
      <c r="M1325"/>
    </row>
    <row r="1326" spans="3:13" ht="12.75" customHeight="1" x14ac:dyDescent="0.2">
      <c r="C1326"/>
      <c r="M1326"/>
    </row>
    <row r="1327" spans="3:13" ht="12.75" customHeight="1" x14ac:dyDescent="0.2">
      <c r="C1327"/>
      <c r="M1327"/>
    </row>
    <row r="1328" spans="3:13" ht="12.75" customHeight="1" x14ac:dyDescent="0.2">
      <c r="C1328"/>
      <c r="M1328"/>
    </row>
    <row r="1329" spans="3:13" ht="12.75" customHeight="1" x14ac:dyDescent="0.2">
      <c r="C1329"/>
      <c r="M1329"/>
    </row>
    <row r="1330" spans="3:13" ht="12.75" customHeight="1" x14ac:dyDescent="0.2">
      <c r="C1330"/>
      <c r="M1330"/>
    </row>
    <row r="1331" spans="3:13" ht="12.75" customHeight="1" x14ac:dyDescent="0.2">
      <c r="C1331"/>
      <c r="M1331"/>
    </row>
    <row r="1332" spans="3:13" ht="12.75" customHeight="1" x14ac:dyDescent="0.2">
      <c r="C1332"/>
      <c r="M1332"/>
    </row>
    <row r="1333" spans="3:13" ht="12.75" customHeight="1" x14ac:dyDescent="0.2">
      <c r="C1333"/>
      <c r="M1333"/>
    </row>
    <row r="1334" spans="3:13" ht="12.75" customHeight="1" x14ac:dyDescent="0.2">
      <c r="C1334"/>
      <c r="M1334"/>
    </row>
    <row r="1335" spans="3:13" ht="12.75" customHeight="1" x14ac:dyDescent="0.2">
      <c r="C1335"/>
      <c r="M1335"/>
    </row>
    <row r="1336" spans="3:13" ht="12.75" customHeight="1" x14ac:dyDescent="0.2">
      <c r="C1336"/>
      <c r="M1336"/>
    </row>
    <row r="1337" spans="3:13" ht="12.75" customHeight="1" x14ac:dyDescent="0.2">
      <c r="C1337"/>
      <c r="M1337"/>
    </row>
    <row r="1338" spans="3:13" ht="12.75" customHeight="1" x14ac:dyDescent="0.2">
      <c r="C1338"/>
      <c r="M1338"/>
    </row>
    <row r="1339" spans="3:13" ht="12.75" customHeight="1" x14ac:dyDescent="0.2">
      <c r="C1339"/>
      <c r="M1339"/>
    </row>
    <row r="1340" spans="3:13" ht="12.75" customHeight="1" x14ac:dyDescent="0.2">
      <c r="C1340"/>
      <c r="M1340"/>
    </row>
    <row r="1341" spans="3:13" ht="12.75" customHeight="1" x14ac:dyDescent="0.2">
      <c r="C1341"/>
      <c r="M1341"/>
    </row>
    <row r="1342" spans="3:13" ht="12.75" customHeight="1" x14ac:dyDescent="0.2">
      <c r="C1342"/>
      <c r="M1342"/>
    </row>
    <row r="1343" spans="3:13" ht="12.75" customHeight="1" x14ac:dyDescent="0.2">
      <c r="C1343"/>
      <c r="M1343"/>
    </row>
    <row r="1344" spans="3:13" ht="12.75" customHeight="1" x14ac:dyDescent="0.2">
      <c r="C1344"/>
      <c r="M1344"/>
    </row>
    <row r="1345" spans="3:13" ht="12.75" customHeight="1" x14ac:dyDescent="0.2">
      <c r="C1345"/>
      <c r="M1345"/>
    </row>
    <row r="1346" spans="3:13" ht="12.75" customHeight="1" x14ac:dyDescent="0.2">
      <c r="C1346"/>
      <c r="M1346"/>
    </row>
    <row r="1347" spans="3:13" ht="12.75" customHeight="1" x14ac:dyDescent="0.2">
      <c r="C1347"/>
      <c r="M1347"/>
    </row>
    <row r="1348" spans="3:13" ht="12.75" customHeight="1" x14ac:dyDescent="0.2">
      <c r="C1348"/>
      <c r="M1348"/>
    </row>
    <row r="1349" spans="3:13" ht="12.75" customHeight="1" x14ac:dyDescent="0.2">
      <c r="C1349"/>
      <c r="M1349"/>
    </row>
    <row r="1350" spans="3:13" ht="12.75" customHeight="1" x14ac:dyDescent="0.2">
      <c r="C1350"/>
      <c r="M1350"/>
    </row>
    <row r="1351" spans="3:13" ht="12.75" customHeight="1" x14ac:dyDescent="0.2">
      <c r="C1351"/>
      <c r="M1351"/>
    </row>
    <row r="1352" spans="3:13" ht="12.75" customHeight="1" x14ac:dyDescent="0.2">
      <c r="C1352"/>
      <c r="M1352"/>
    </row>
    <row r="1353" spans="3:13" ht="12.75" customHeight="1" x14ac:dyDescent="0.2">
      <c r="C1353"/>
      <c r="M1353"/>
    </row>
    <row r="1354" spans="3:13" ht="12.75" customHeight="1" x14ac:dyDescent="0.2">
      <c r="C1354"/>
      <c r="M1354"/>
    </row>
    <row r="1355" spans="3:13" ht="12.75" customHeight="1" x14ac:dyDescent="0.2">
      <c r="C1355"/>
      <c r="M1355"/>
    </row>
    <row r="1356" spans="3:13" ht="12.75" customHeight="1" x14ac:dyDescent="0.2">
      <c r="C1356"/>
      <c r="M1356"/>
    </row>
    <row r="1357" spans="3:13" ht="12.75" customHeight="1" x14ac:dyDescent="0.2">
      <c r="C1357"/>
      <c r="M1357"/>
    </row>
    <row r="1358" spans="3:13" ht="12.75" customHeight="1" x14ac:dyDescent="0.2">
      <c r="C1358"/>
      <c r="M1358"/>
    </row>
    <row r="1359" spans="3:13" ht="12.75" customHeight="1" x14ac:dyDescent="0.2">
      <c r="C1359"/>
      <c r="M1359"/>
    </row>
    <row r="1360" spans="3:13" ht="12.75" customHeight="1" x14ac:dyDescent="0.2">
      <c r="C1360"/>
      <c r="M1360"/>
    </row>
    <row r="1361" spans="3:13" ht="12.75" customHeight="1" x14ac:dyDescent="0.2">
      <c r="C1361"/>
      <c r="M1361"/>
    </row>
    <row r="1362" spans="3:13" ht="12.75" customHeight="1" x14ac:dyDescent="0.2">
      <c r="C1362"/>
      <c r="M1362"/>
    </row>
    <row r="1363" spans="3:13" ht="12.75" customHeight="1" x14ac:dyDescent="0.2">
      <c r="C1363"/>
      <c r="M1363"/>
    </row>
    <row r="1364" spans="3:13" ht="12.75" customHeight="1" x14ac:dyDescent="0.2">
      <c r="C1364"/>
      <c r="M1364"/>
    </row>
    <row r="1365" spans="3:13" ht="12.75" customHeight="1" x14ac:dyDescent="0.2">
      <c r="C1365"/>
      <c r="M1365"/>
    </row>
    <row r="1366" spans="3:13" ht="12.75" customHeight="1" x14ac:dyDescent="0.2">
      <c r="C1366"/>
      <c r="M1366"/>
    </row>
    <row r="1367" spans="3:13" ht="12.75" customHeight="1" x14ac:dyDescent="0.2">
      <c r="C1367"/>
      <c r="M1367"/>
    </row>
    <row r="1368" spans="3:13" ht="12.75" customHeight="1" x14ac:dyDescent="0.2">
      <c r="C1368"/>
      <c r="M1368"/>
    </row>
    <row r="1369" spans="3:13" ht="12.75" customHeight="1" x14ac:dyDescent="0.2">
      <c r="C1369"/>
      <c r="M1369"/>
    </row>
    <row r="1370" spans="3:13" ht="12.75" customHeight="1" x14ac:dyDescent="0.2">
      <c r="C1370"/>
      <c r="M1370"/>
    </row>
    <row r="1371" spans="3:13" ht="12.75" customHeight="1" x14ac:dyDescent="0.2">
      <c r="C1371"/>
      <c r="M1371"/>
    </row>
    <row r="1372" spans="3:13" ht="12.75" customHeight="1" x14ac:dyDescent="0.2">
      <c r="C1372"/>
      <c r="M1372"/>
    </row>
    <row r="1373" spans="3:13" ht="12.75" customHeight="1" x14ac:dyDescent="0.2">
      <c r="C1373"/>
      <c r="M1373"/>
    </row>
    <row r="1374" spans="3:13" ht="12.75" customHeight="1" x14ac:dyDescent="0.2">
      <c r="C1374"/>
      <c r="M1374"/>
    </row>
    <row r="1375" spans="3:13" ht="12.75" customHeight="1" x14ac:dyDescent="0.2">
      <c r="C1375"/>
      <c r="M1375"/>
    </row>
    <row r="1376" spans="3:13" ht="12.75" customHeight="1" x14ac:dyDescent="0.2">
      <c r="C1376"/>
      <c r="M1376"/>
    </row>
    <row r="1377" spans="3:13" ht="12.75" customHeight="1" x14ac:dyDescent="0.2">
      <c r="C1377"/>
      <c r="M1377"/>
    </row>
    <row r="1378" spans="3:13" ht="12.75" customHeight="1" x14ac:dyDescent="0.2">
      <c r="C1378"/>
      <c r="M1378"/>
    </row>
    <row r="1379" spans="3:13" ht="12.75" customHeight="1" x14ac:dyDescent="0.2">
      <c r="C1379"/>
      <c r="M1379"/>
    </row>
    <row r="1380" spans="3:13" ht="12.75" customHeight="1" x14ac:dyDescent="0.2">
      <c r="C1380"/>
      <c r="M1380"/>
    </row>
    <row r="1381" spans="3:13" ht="12.75" customHeight="1" x14ac:dyDescent="0.2">
      <c r="C1381"/>
      <c r="M1381"/>
    </row>
    <row r="1382" spans="3:13" ht="12.75" customHeight="1" x14ac:dyDescent="0.2">
      <c r="C1382"/>
      <c r="M1382"/>
    </row>
    <row r="1383" spans="3:13" ht="12.75" customHeight="1" x14ac:dyDescent="0.2">
      <c r="C1383"/>
      <c r="M1383"/>
    </row>
    <row r="1384" spans="3:13" ht="12.75" customHeight="1" x14ac:dyDescent="0.2">
      <c r="C1384"/>
      <c r="M1384"/>
    </row>
    <row r="1385" spans="3:13" ht="12.75" customHeight="1" x14ac:dyDescent="0.2">
      <c r="C1385"/>
      <c r="M1385"/>
    </row>
    <row r="1386" spans="3:13" ht="12.75" customHeight="1" x14ac:dyDescent="0.2">
      <c r="C1386"/>
      <c r="M1386"/>
    </row>
    <row r="1387" spans="3:13" ht="12.75" customHeight="1" x14ac:dyDescent="0.2">
      <c r="C1387"/>
      <c r="M1387"/>
    </row>
    <row r="1388" spans="3:13" ht="12.75" customHeight="1" x14ac:dyDescent="0.2">
      <c r="C1388"/>
      <c r="M1388"/>
    </row>
    <row r="1389" spans="3:13" ht="12.75" customHeight="1" x14ac:dyDescent="0.2">
      <c r="C1389"/>
      <c r="M1389"/>
    </row>
    <row r="1390" spans="3:13" ht="12.75" customHeight="1" x14ac:dyDescent="0.2">
      <c r="C1390"/>
      <c r="M1390"/>
    </row>
    <row r="1391" spans="3:13" ht="12.75" customHeight="1" x14ac:dyDescent="0.2">
      <c r="C1391"/>
      <c r="M1391"/>
    </row>
    <row r="1392" spans="3:13" ht="12.75" customHeight="1" x14ac:dyDescent="0.2">
      <c r="C1392"/>
      <c r="M1392"/>
    </row>
    <row r="1393" spans="3:13" ht="12.75" customHeight="1" x14ac:dyDescent="0.2">
      <c r="C1393"/>
      <c r="M1393"/>
    </row>
    <row r="1394" spans="3:13" ht="12.75" customHeight="1" x14ac:dyDescent="0.2">
      <c r="C1394"/>
      <c r="M1394"/>
    </row>
    <row r="1395" spans="3:13" ht="12.75" customHeight="1" x14ac:dyDescent="0.2">
      <c r="C1395"/>
      <c r="M1395"/>
    </row>
    <row r="1396" spans="3:13" ht="12.75" customHeight="1" x14ac:dyDescent="0.2">
      <c r="C1396"/>
      <c r="M1396"/>
    </row>
    <row r="1397" spans="3:13" ht="12.75" customHeight="1" x14ac:dyDescent="0.2">
      <c r="C1397"/>
      <c r="M1397"/>
    </row>
    <row r="1398" spans="3:13" ht="12.75" customHeight="1" x14ac:dyDescent="0.2">
      <c r="C1398"/>
      <c r="M1398"/>
    </row>
    <row r="1399" spans="3:13" ht="12.75" customHeight="1" x14ac:dyDescent="0.2">
      <c r="C1399"/>
      <c r="M1399"/>
    </row>
    <row r="1400" spans="3:13" ht="12.75" customHeight="1" x14ac:dyDescent="0.2">
      <c r="C1400"/>
      <c r="M1400"/>
    </row>
    <row r="1401" spans="3:13" ht="12.75" customHeight="1" x14ac:dyDescent="0.2">
      <c r="C1401"/>
      <c r="M1401"/>
    </row>
    <row r="1402" spans="3:13" ht="12.75" customHeight="1" x14ac:dyDescent="0.2">
      <c r="C1402"/>
      <c r="M1402"/>
    </row>
    <row r="1403" spans="3:13" ht="12.75" customHeight="1" x14ac:dyDescent="0.2">
      <c r="C1403"/>
      <c r="M1403"/>
    </row>
    <row r="1404" spans="3:13" ht="12.75" customHeight="1" x14ac:dyDescent="0.2">
      <c r="C1404"/>
      <c r="M1404"/>
    </row>
    <row r="1405" spans="3:13" ht="12.75" customHeight="1" x14ac:dyDescent="0.2">
      <c r="C1405"/>
      <c r="M1405"/>
    </row>
    <row r="1406" spans="3:13" ht="12.75" customHeight="1" x14ac:dyDescent="0.2">
      <c r="C1406"/>
      <c r="M1406"/>
    </row>
    <row r="1407" spans="3:13" ht="12.75" customHeight="1" x14ac:dyDescent="0.2">
      <c r="C1407"/>
      <c r="M1407"/>
    </row>
    <row r="1408" spans="3:13" ht="12.75" customHeight="1" x14ac:dyDescent="0.2">
      <c r="C1408"/>
      <c r="M1408"/>
    </row>
    <row r="1409" spans="3:13" ht="12.75" customHeight="1" x14ac:dyDescent="0.2">
      <c r="C1409"/>
      <c r="M1409"/>
    </row>
    <row r="1410" spans="3:13" ht="12.75" customHeight="1" x14ac:dyDescent="0.2">
      <c r="C1410"/>
      <c r="M1410"/>
    </row>
    <row r="1411" spans="3:13" ht="12.75" customHeight="1" x14ac:dyDescent="0.2">
      <c r="C1411"/>
      <c r="M1411"/>
    </row>
    <row r="1412" spans="3:13" ht="12.75" customHeight="1" x14ac:dyDescent="0.2">
      <c r="C1412"/>
      <c r="M1412"/>
    </row>
    <row r="1413" spans="3:13" ht="12.75" customHeight="1" x14ac:dyDescent="0.2">
      <c r="C1413"/>
      <c r="M1413"/>
    </row>
    <row r="1414" spans="3:13" ht="12.75" customHeight="1" x14ac:dyDescent="0.2">
      <c r="C1414"/>
      <c r="M1414"/>
    </row>
    <row r="1415" spans="3:13" ht="12.75" customHeight="1" x14ac:dyDescent="0.2">
      <c r="C1415"/>
      <c r="M1415"/>
    </row>
    <row r="1416" spans="3:13" ht="12.75" customHeight="1" x14ac:dyDescent="0.2">
      <c r="C1416"/>
      <c r="M1416"/>
    </row>
    <row r="1417" spans="3:13" ht="12.75" customHeight="1" x14ac:dyDescent="0.2">
      <c r="C1417"/>
      <c r="M1417"/>
    </row>
    <row r="1418" spans="3:13" ht="12.75" customHeight="1" x14ac:dyDescent="0.2">
      <c r="C1418"/>
      <c r="M1418"/>
    </row>
    <row r="1419" spans="3:13" ht="12.75" customHeight="1" x14ac:dyDescent="0.2">
      <c r="C1419"/>
      <c r="M1419"/>
    </row>
    <row r="1420" spans="3:13" ht="12.75" customHeight="1" x14ac:dyDescent="0.2">
      <c r="C1420"/>
      <c r="M1420"/>
    </row>
    <row r="1421" spans="3:13" ht="12.75" customHeight="1" x14ac:dyDescent="0.2">
      <c r="C1421"/>
      <c r="M1421"/>
    </row>
    <row r="1422" spans="3:13" ht="12.75" customHeight="1" x14ac:dyDescent="0.2">
      <c r="C1422"/>
      <c r="M1422"/>
    </row>
    <row r="1423" spans="3:13" ht="12.75" customHeight="1" x14ac:dyDescent="0.2">
      <c r="C1423"/>
      <c r="M1423"/>
    </row>
    <row r="1424" spans="3:13" ht="12.75" customHeight="1" x14ac:dyDescent="0.2">
      <c r="C1424"/>
      <c r="M1424"/>
    </row>
    <row r="1425" spans="3:13" ht="12.75" customHeight="1" x14ac:dyDescent="0.2">
      <c r="C1425"/>
      <c r="M1425"/>
    </row>
    <row r="1426" spans="3:13" ht="12.75" customHeight="1" x14ac:dyDescent="0.2">
      <c r="C1426"/>
      <c r="M1426"/>
    </row>
    <row r="1427" spans="3:13" ht="12.75" customHeight="1" x14ac:dyDescent="0.2">
      <c r="C1427"/>
      <c r="M1427"/>
    </row>
    <row r="1428" spans="3:13" ht="12.75" customHeight="1" x14ac:dyDescent="0.2">
      <c r="C1428"/>
      <c r="M1428"/>
    </row>
    <row r="1429" spans="3:13" ht="12.75" customHeight="1" x14ac:dyDescent="0.2">
      <c r="C1429"/>
      <c r="M1429"/>
    </row>
    <row r="1430" spans="3:13" ht="12.75" customHeight="1" x14ac:dyDescent="0.2">
      <c r="C1430"/>
      <c r="M1430"/>
    </row>
    <row r="1431" spans="3:13" ht="12.75" customHeight="1" x14ac:dyDescent="0.2">
      <c r="C1431"/>
      <c r="M1431"/>
    </row>
    <row r="1432" spans="3:13" ht="12.75" customHeight="1" x14ac:dyDescent="0.2">
      <c r="C1432"/>
      <c r="M1432"/>
    </row>
    <row r="1433" spans="3:13" ht="12.75" customHeight="1" x14ac:dyDescent="0.2">
      <c r="C1433"/>
      <c r="M1433"/>
    </row>
    <row r="1434" spans="3:13" ht="12.75" customHeight="1" x14ac:dyDescent="0.2">
      <c r="C1434"/>
      <c r="M1434"/>
    </row>
    <row r="1435" spans="3:13" ht="12.75" customHeight="1" x14ac:dyDescent="0.2">
      <c r="C1435"/>
      <c r="M1435"/>
    </row>
    <row r="1436" spans="3:13" ht="12.75" customHeight="1" x14ac:dyDescent="0.2">
      <c r="C1436"/>
      <c r="M1436"/>
    </row>
    <row r="1437" spans="3:13" ht="12.75" customHeight="1" x14ac:dyDescent="0.2">
      <c r="C1437"/>
      <c r="M1437"/>
    </row>
    <row r="1438" spans="3:13" ht="12.75" customHeight="1" x14ac:dyDescent="0.2">
      <c r="C1438"/>
      <c r="M1438"/>
    </row>
    <row r="1439" spans="3:13" ht="12.75" customHeight="1" x14ac:dyDescent="0.2">
      <c r="C1439"/>
      <c r="M1439"/>
    </row>
    <row r="1440" spans="3:13" ht="12.75" customHeight="1" x14ac:dyDescent="0.2">
      <c r="C1440"/>
      <c r="M1440"/>
    </row>
    <row r="1441" spans="3:13" ht="12.75" customHeight="1" x14ac:dyDescent="0.2">
      <c r="C1441"/>
      <c r="M1441"/>
    </row>
    <row r="1442" spans="3:13" ht="12.75" customHeight="1" x14ac:dyDescent="0.2">
      <c r="C1442"/>
      <c r="M1442"/>
    </row>
    <row r="1443" spans="3:13" ht="12.75" customHeight="1" x14ac:dyDescent="0.2">
      <c r="C1443"/>
      <c r="M1443"/>
    </row>
    <row r="1444" spans="3:13" ht="12.75" customHeight="1" x14ac:dyDescent="0.2">
      <c r="C1444"/>
      <c r="M1444"/>
    </row>
    <row r="1445" spans="3:13" ht="12.75" customHeight="1" x14ac:dyDescent="0.2">
      <c r="C1445"/>
      <c r="M1445"/>
    </row>
    <row r="1446" spans="3:13" ht="12.75" customHeight="1" x14ac:dyDescent="0.2">
      <c r="C1446"/>
      <c r="M1446"/>
    </row>
    <row r="1447" spans="3:13" ht="12.75" customHeight="1" x14ac:dyDescent="0.2">
      <c r="C1447"/>
      <c r="M1447"/>
    </row>
    <row r="1448" spans="3:13" ht="12.75" customHeight="1" x14ac:dyDescent="0.2">
      <c r="C1448"/>
      <c r="M1448"/>
    </row>
    <row r="1449" spans="3:13" ht="12.75" customHeight="1" x14ac:dyDescent="0.2">
      <c r="C1449"/>
      <c r="M1449"/>
    </row>
    <row r="1450" spans="3:13" ht="12.75" customHeight="1" x14ac:dyDescent="0.2">
      <c r="C1450"/>
      <c r="M1450"/>
    </row>
    <row r="1451" spans="3:13" ht="12.75" customHeight="1" x14ac:dyDescent="0.2">
      <c r="C1451"/>
      <c r="M1451"/>
    </row>
    <row r="1452" spans="3:13" ht="12.75" customHeight="1" x14ac:dyDescent="0.2">
      <c r="C1452"/>
      <c r="M1452"/>
    </row>
    <row r="1453" spans="3:13" ht="12.75" customHeight="1" x14ac:dyDescent="0.2">
      <c r="C1453"/>
      <c r="M1453"/>
    </row>
    <row r="1454" spans="3:13" ht="12.75" customHeight="1" x14ac:dyDescent="0.2">
      <c r="C1454"/>
      <c r="M1454"/>
    </row>
    <row r="1455" spans="3:13" ht="12.75" customHeight="1" x14ac:dyDescent="0.2">
      <c r="C1455"/>
      <c r="M1455"/>
    </row>
    <row r="1456" spans="3:13" ht="12.75" customHeight="1" x14ac:dyDescent="0.2">
      <c r="C1456"/>
      <c r="M1456"/>
    </row>
    <row r="1457" spans="3:13" ht="12.75" customHeight="1" x14ac:dyDescent="0.2">
      <c r="C1457"/>
      <c r="M1457"/>
    </row>
    <row r="1458" spans="3:13" ht="12.75" customHeight="1" x14ac:dyDescent="0.2">
      <c r="C1458"/>
      <c r="M1458"/>
    </row>
    <row r="1459" spans="3:13" ht="12.75" customHeight="1" x14ac:dyDescent="0.2">
      <c r="C1459"/>
      <c r="M1459"/>
    </row>
    <row r="1460" spans="3:13" ht="12.75" customHeight="1" x14ac:dyDescent="0.2">
      <c r="C1460"/>
      <c r="M1460"/>
    </row>
    <row r="1461" spans="3:13" ht="12.75" customHeight="1" x14ac:dyDescent="0.2">
      <c r="C1461"/>
      <c r="M1461"/>
    </row>
    <row r="1462" spans="3:13" ht="12.75" customHeight="1" x14ac:dyDescent="0.2">
      <c r="C1462"/>
      <c r="M1462"/>
    </row>
    <row r="1463" spans="3:13" ht="12.75" customHeight="1" x14ac:dyDescent="0.2">
      <c r="C1463"/>
      <c r="M1463"/>
    </row>
    <row r="1464" spans="3:13" ht="12.75" customHeight="1" x14ac:dyDescent="0.2">
      <c r="C1464"/>
      <c r="M1464"/>
    </row>
    <row r="1465" spans="3:13" ht="12.75" customHeight="1" x14ac:dyDescent="0.2">
      <c r="C1465"/>
      <c r="M1465"/>
    </row>
    <row r="1466" spans="3:13" ht="12.75" customHeight="1" x14ac:dyDescent="0.2">
      <c r="C1466"/>
      <c r="M1466"/>
    </row>
    <row r="1467" spans="3:13" ht="12.75" customHeight="1" x14ac:dyDescent="0.2">
      <c r="C1467"/>
      <c r="M1467"/>
    </row>
    <row r="1468" spans="3:13" ht="12.75" customHeight="1" x14ac:dyDescent="0.2">
      <c r="C1468"/>
      <c r="M1468"/>
    </row>
    <row r="1469" spans="3:13" ht="12.75" customHeight="1" x14ac:dyDescent="0.2">
      <c r="C1469"/>
      <c r="M1469"/>
    </row>
    <row r="1470" spans="3:13" ht="12.75" customHeight="1" x14ac:dyDescent="0.2">
      <c r="C1470"/>
      <c r="M1470"/>
    </row>
    <row r="1471" spans="3:13" ht="12.75" customHeight="1" x14ac:dyDescent="0.2">
      <c r="C1471"/>
      <c r="M1471"/>
    </row>
    <row r="1472" spans="3:13" ht="12.75" customHeight="1" x14ac:dyDescent="0.2">
      <c r="C1472"/>
      <c r="M1472"/>
    </row>
    <row r="1473" spans="3:13" ht="12.75" customHeight="1" x14ac:dyDescent="0.2">
      <c r="C1473"/>
      <c r="M1473"/>
    </row>
    <row r="1474" spans="3:13" ht="12.75" customHeight="1" x14ac:dyDescent="0.2">
      <c r="C1474"/>
      <c r="M1474"/>
    </row>
    <row r="1475" spans="3:13" ht="12.75" customHeight="1" x14ac:dyDescent="0.2">
      <c r="C1475"/>
      <c r="M1475"/>
    </row>
    <row r="1476" spans="3:13" ht="12.75" customHeight="1" x14ac:dyDescent="0.2">
      <c r="C1476"/>
      <c r="M1476"/>
    </row>
    <row r="1477" spans="3:13" ht="12.75" customHeight="1" x14ac:dyDescent="0.2">
      <c r="C1477"/>
      <c r="M1477"/>
    </row>
    <row r="1478" spans="3:13" ht="12.75" customHeight="1" x14ac:dyDescent="0.2">
      <c r="C1478"/>
      <c r="M1478"/>
    </row>
    <row r="1479" spans="3:13" ht="12.75" customHeight="1" x14ac:dyDescent="0.2">
      <c r="C1479"/>
      <c r="M1479"/>
    </row>
    <row r="1480" spans="3:13" ht="12.75" customHeight="1" x14ac:dyDescent="0.2">
      <c r="C1480"/>
      <c r="M1480"/>
    </row>
    <row r="1481" spans="3:13" ht="12.75" customHeight="1" x14ac:dyDescent="0.2">
      <c r="C1481"/>
      <c r="M1481"/>
    </row>
    <row r="1482" spans="3:13" ht="12.75" customHeight="1" x14ac:dyDescent="0.2">
      <c r="C1482"/>
      <c r="M1482"/>
    </row>
    <row r="1483" spans="3:13" ht="12.75" customHeight="1" x14ac:dyDescent="0.2">
      <c r="C1483"/>
      <c r="M1483"/>
    </row>
    <row r="1484" spans="3:13" ht="12.75" customHeight="1" x14ac:dyDescent="0.2">
      <c r="C1484"/>
      <c r="M1484"/>
    </row>
    <row r="1485" spans="3:13" ht="12.75" customHeight="1" x14ac:dyDescent="0.2">
      <c r="C1485"/>
      <c r="M1485"/>
    </row>
    <row r="1486" spans="3:13" ht="12.75" customHeight="1" x14ac:dyDescent="0.2">
      <c r="C1486"/>
      <c r="M1486"/>
    </row>
    <row r="1487" spans="3:13" ht="12.75" customHeight="1" x14ac:dyDescent="0.2">
      <c r="C1487"/>
      <c r="M1487"/>
    </row>
    <row r="1488" spans="3:13" ht="12.75" customHeight="1" x14ac:dyDescent="0.2">
      <c r="C1488"/>
      <c r="M1488"/>
    </row>
    <row r="1489" spans="3:13" ht="12.75" customHeight="1" x14ac:dyDescent="0.2">
      <c r="C1489"/>
      <c r="M1489"/>
    </row>
    <row r="1490" spans="3:13" ht="12.75" customHeight="1" x14ac:dyDescent="0.2">
      <c r="C1490"/>
      <c r="M1490"/>
    </row>
    <row r="1491" spans="3:13" ht="12.75" customHeight="1" x14ac:dyDescent="0.2">
      <c r="C1491"/>
      <c r="M1491"/>
    </row>
    <row r="1492" spans="3:13" ht="12.75" customHeight="1" x14ac:dyDescent="0.2">
      <c r="C1492"/>
      <c r="M1492"/>
    </row>
    <row r="1493" spans="3:13" ht="12.75" customHeight="1" x14ac:dyDescent="0.2">
      <c r="C1493"/>
      <c r="M1493"/>
    </row>
    <row r="1494" spans="3:13" ht="12.75" customHeight="1" x14ac:dyDescent="0.2">
      <c r="C1494"/>
      <c r="M1494"/>
    </row>
    <row r="1495" spans="3:13" ht="12.75" customHeight="1" x14ac:dyDescent="0.2">
      <c r="C1495"/>
      <c r="M1495"/>
    </row>
    <row r="1496" spans="3:13" ht="12.75" customHeight="1" x14ac:dyDescent="0.2">
      <c r="C1496"/>
      <c r="M1496"/>
    </row>
    <row r="1497" spans="3:13" ht="12.75" customHeight="1" x14ac:dyDescent="0.2">
      <c r="C1497"/>
      <c r="M1497"/>
    </row>
    <row r="1498" spans="3:13" ht="12.75" customHeight="1" x14ac:dyDescent="0.2">
      <c r="C1498"/>
      <c r="M1498"/>
    </row>
    <row r="1499" spans="3:13" ht="12.75" customHeight="1" x14ac:dyDescent="0.2">
      <c r="C1499"/>
      <c r="M1499"/>
    </row>
    <row r="1500" spans="3:13" ht="12.75" customHeight="1" x14ac:dyDescent="0.2">
      <c r="C1500"/>
      <c r="M1500"/>
    </row>
    <row r="1501" spans="3:13" ht="12.75" customHeight="1" x14ac:dyDescent="0.2">
      <c r="C1501"/>
      <c r="M1501"/>
    </row>
    <row r="1502" spans="3:13" ht="12.75" customHeight="1" x14ac:dyDescent="0.2">
      <c r="C1502"/>
      <c r="M1502"/>
    </row>
    <row r="1503" spans="3:13" ht="12.75" customHeight="1" x14ac:dyDescent="0.2">
      <c r="C1503"/>
      <c r="M1503"/>
    </row>
    <row r="1504" spans="3:13" ht="12.75" customHeight="1" x14ac:dyDescent="0.2">
      <c r="C1504"/>
      <c r="M1504"/>
    </row>
    <row r="1505" spans="3:13" ht="12.75" customHeight="1" x14ac:dyDescent="0.2">
      <c r="C1505"/>
      <c r="M1505"/>
    </row>
    <row r="1506" spans="3:13" ht="12.75" customHeight="1" x14ac:dyDescent="0.2">
      <c r="C1506"/>
      <c r="M1506"/>
    </row>
    <row r="1507" spans="3:13" ht="12.75" customHeight="1" x14ac:dyDescent="0.2">
      <c r="C1507"/>
      <c r="M1507"/>
    </row>
    <row r="1508" spans="3:13" ht="12.75" customHeight="1" x14ac:dyDescent="0.2">
      <c r="C1508"/>
      <c r="M1508"/>
    </row>
    <row r="1509" spans="3:13" ht="12.75" customHeight="1" x14ac:dyDescent="0.2">
      <c r="C1509"/>
      <c r="M1509"/>
    </row>
    <row r="1510" spans="3:13" ht="12.75" customHeight="1" x14ac:dyDescent="0.2">
      <c r="C1510"/>
      <c r="M1510"/>
    </row>
    <row r="1511" spans="3:13" ht="12.75" customHeight="1" x14ac:dyDescent="0.2">
      <c r="C1511"/>
      <c r="M1511"/>
    </row>
    <row r="1512" spans="3:13" ht="12.75" customHeight="1" x14ac:dyDescent="0.2">
      <c r="C1512"/>
      <c r="M1512"/>
    </row>
    <row r="1513" spans="3:13" ht="12.75" customHeight="1" x14ac:dyDescent="0.2">
      <c r="C1513"/>
      <c r="M1513"/>
    </row>
    <row r="1514" spans="3:13" ht="12.75" customHeight="1" x14ac:dyDescent="0.2">
      <c r="C1514"/>
      <c r="M1514"/>
    </row>
    <row r="1515" spans="3:13" ht="12.75" customHeight="1" x14ac:dyDescent="0.2">
      <c r="C1515"/>
      <c r="M1515"/>
    </row>
    <row r="1516" spans="3:13" ht="12.75" customHeight="1" x14ac:dyDescent="0.2">
      <c r="C1516"/>
      <c r="M1516"/>
    </row>
    <row r="1517" spans="3:13" ht="12.75" customHeight="1" x14ac:dyDescent="0.2">
      <c r="C1517"/>
      <c r="M1517"/>
    </row>
    <row r="1518" spans="3:13" ht="12.75" customHeight="1" x14ac:dyDescent="0.2">
      <c r="C1518"/>
      <c r="M1518"/>
    </row>
    <row r="1519" spans="3:13" ht="12.75" customHeight="1" x14ac:dyDescent="0.2">
      <c r="C1519"/>
      <c r="M1519"/>
    </row>
    <row r="1520" spans="3:13" ht="12.75" customHeight="1" x14ac:dyDescent="0.2">
      <c r="C1520"/>
      <c r="M1520"/>
    </row>
    <row r="1521" spans="3:13" ht="12.75" customHeight="1" x14ac:dyDescent="0.2">
      <c r="C1521"/>
      <c r="M1521"/>
    </row>
    <row r="1522" spans="3:13" ht="12.75" customHeight="1" x14ac:dyDescent="0.2">
      <c r="C1522"/>
      <c r="M1522"/>
    </row>
    <row r="1523" spans="3:13" ht="12.75" customHeight="1" x14ac:dyDescent="0.2">
      <c r="C1523"/>
      <c r="M1523"/>
    </row>
    <row r="1524" spans="3:13" ht="12.75" customHeight="1" x14ac:dyDescent="0.2">
      <c r="C1524"/>
      <c r="M1524"/>
    </row>
    <row r="1525" spans="3:13" ht="12.75" customHeight="1" x14ac:dyDescent="0.2">
      <c r="C1525"/>
      <c r="M1525"/>
    </row>
    <row r="1526" spans="3:13" ht="12.75" customHeight="1" x14ac:dyDescent="0.2">
      <c r="C1526"/>
      <c r="M1526"/>
    </row>
    <row r="1527" spans="3:13" ht="12.75" customHeight="1" x14ac:dyDescent="0.2">
      <c r="C1527"/>
      <c r="M1527"/>
    </row>
    <row r="1528" spans="3:13" ht="12.75" customHeight="1" x14ac:dyDescent="0.2">
      <c r="C1528"/>
      <c r="M1528"/>
    </row>
    <row r="1529" spans="3:13" ht="12.75" customHeight="1" x14ac:dyDescent="0.2">
      <c r="C1529"/>
      <c r="M1529"/>
    </row>
    <row r="1530" spans="3:13" ht="12.75" customHeight="1" x14ac:dyDescent="0.2">
      <c r="C1530"/>
      <c r="M1530"/>
    </row>
    <row r="1531" spans="3:13" ht="12.75" customHeight="1" x14ac:dyDescent="0.2">
      <c r="C1531"/>
      <c r="M1531"/>
    </row>
    <row r="1532" spans="3:13" ht="12.75" customHeight="1" x14ac:dyDescent="0.2">
      <c r="C1532"/>
      <c r="M1532"/>
    </row>
    <row r="1533" spans="3:13" ht="12.75" customHeight="1" x14ac:dyDescent="0.2">
      <c r="C1533"/>
      <c r="M1533"/>
    </row>
    <row r="1534" spans="3:13" ht="12.75" customHeight="1" x14ac:dyDescent="0.2">
      <c r="C1534"/>
      <c r="M1534"/>
    </row>
    <row r="1535" spans="3:13" ht="12.75" customHeight="1" x14ac:dyDescent="0.2">
      <c r="C1535"/>
      <c r="M1535"/>
    </row>
    <row r="1536" spans="3:13" ht="12.75" customHeight="1" x14ac:dyDescent="0.2">
      <c r="C1536"/>
      <c r="M1536"/>
    </row>
    <row r="1537" spans="3:13" ht="12.75" customHeight="1" x14ac:dyDescent="0.2">
      <c r="C1537"/>
      <c r="M1537"/>
    </row>
    <row r="1538" spans="3:13" ht="12.75" customHeight="1" x14ac:dyDescent="0.2">
      <c r="C1538"/>
      <c r="M1538"/>
    </row>
    <row r="1539" spans="3:13" ht="12.75" customHeight="1" x14ac:dyDescent="0.2">
      <c r="C1539"/>
      <c r="M1539"/>
    </row>
    <row r="1540" spans="3:13" ht="12.75" customHeight="1" x14ac:dyDescent="0.2">
      <c r="C1540"/>
      <c r="M1540"/>
    </row>
    <row r="1541" spans="3:13" ht="12.75" customHeight="1" x14ac:dyDescent="0.2">
      <c r="C1541"/>
      <c r="M1541"/>
    </row>
    <row r="1542" spans="3:13" ht="12.75" customHeight="1" x14ac:dyDescent="0.2">
      <c r="C1542"/>
      <c r="M1542"/>
    </row>
    <row r="1543" spans="3:13" ht="12.75" customHeight="1" x14ac:dyDescent="0.2">
      <c r="C1543"/>
      <c r="M1543"/>
    </row>
    <row r="1544" spans="3:13" ht="12.75" customHeight="1" x14ac:dyDescent="0.2">
      <c r="C1544"/>
      <c r="M1544"/>
    </row>
    <row r="1545" spans="3:13" ht="12.75" customHeight="1" x14ac:dyDescent="0.2">
      <c r="C1545"/>
      <c r="M1545"/>
    </row>
    <row r="1546" spans="3:13" ht="12.75" customHeight="1" x14ac:dyDescent="0.2">
      <c r="C1546"/>
      <c r="M1546"/>
    </row>
    <row r="1547" spans="3:13" ht="12.75" customHeight="1" x14ac:dyDescent="0.2">
      <c r="C1547"/>
      <c r="M1547"/>
    </row>
    <row r="1548" spans="3:13" ht="12.75" customHeight="1" x14ac:dyDescent="0.2">
      <c r="C1548"/>
      <c r="M1548"/>
    </row>
    <row r="1549" spans="3:13" ht="12.75" customHeight="1" x14ac:dyDescent="0.2">
      <c r="C1549"/>
      <c r="M1549"/>
    </row>
    <row r="1550" spans="3:13" ht="12.75" customHeight="1" x14ac:dyDescent="0.2">
      <c r="C1550"/>
      <c r="M1550"/>
    </row>
    <row r="1551" spans="3:13" ht="12.75" customHeight="1" x14ac:dyDescent="0.2">
      <c r="C1551"/>
      <c r="M1551"/>
    </row>
    <row r="1552" spans="3:13" ht="12.75" customHeight="1" x14ac:dyDescent="0.2">
      <c r="C1552"/>
      <c r="M1552"/>
    </row>
    <row r="1553" spans="3:13" ht="12.75" customHeight="1" x14ac:dyDescent="0.2">
      <c r="C1553"/>
      <c r="M1553"/>
    </row>
    <row r="1554" spans="3:13" ht="12.75" customHeight="1" x14ac:dyDescent="0.2">
      <c r="C1554"/>
      <c r="M1554"/>
    </row>
    <row r="1555" spans="3:13" ht="12.75" customHeight="1" x14ac:dyDescent="0.2">
      <c r="C1555"/>
      <c r="M1555"/>
    </row>
    <row r="1556" spans="3:13" ht="12.75" customHeight="1" x14ac:dyDescent="0.2">
      <c r="C1556"/>
      <c r="M1556"/>
    </row>
    <row r="1557" spans="3:13" ht="12.75" customHeight="1" x14ac:dyDescent="0.2">
      <c r="C1557"/>
      <c r="M1557"/>
    </row>
    <row r="1558" spans="3:13" ht="12.75" customHeight="1" x14ac:dyDescent="0.2">
      <c r="C1558"/>
      <c r="M1558"/>
    </row>
    <row r="1559" spans="3:13" ht="12.75" customHeight="1" x14ac:dyDescent="0.2">
      <c r="C1559"/>
      <c r="M1559"/>
    </row>
    <row r="1560" spans="3:13" ht="12.75" customHeight="1" x14ac:dyDescent="0.2">
      <c r="C1560"/>
      <c r="M1560"/>
    </row>
    <row r="1561" spans="3:13" ht="12.75" customHeight="1" x14ac:dyDescent="0.2">
      <c r="C1561"/>
      <c r="M1561"/>
    </row>
    <row r="1562" spans="3:13" ht="12.75" customHeight="1" x14ac:dyDescent="0.2">
      <c r="C1562"/>
      <c r="M1562"/>
    </row>
    <row r="1563" spans="3:13" ht="12.75" customHeight="1" x14ac:dyDescent="0.2">
      <c r="C1563"/>
      <c r="M1563"/>
    </row>
    <row r="1564" spans="3:13" ht="12.75" customHeight="1" x14ac:dyDescent="0.2">
      <c r="C1564"/>
      <c r="M1564"/>
    </row>
    <row r="1565" spans="3:13" ht="12.75" customHeight="1" x14ac:dyDescent="0.2">
      <c r="C1565"/>
      <c r="M1565"/>
    </row>
    <row r="1566" spans="3:13" ht="12.75" customHeight="1" x14ac:dyDescent="0.2">
      <c r="C1566"/>
      <c r="M1566"/>
    </row>
    <row r="1567" spans="3:13" ht="12.75" customHeight="1" x14ac:dyDescent="0.2">
      <c r="C1567"/>
      <c r="M1567"/>
    </row>
    <row r="1568" spans="3:13" ht="12.75" customHeight="1" x14ac:dyDescent="0.2">
      <c r="C1568"/>
      <c r="M1568"/>
    </row>
    <row r="1569" spans="3:13" ht="12.75" customHeight="1" x14ac:dyDescent="0.2">
      <c r="C1569"/>
      <c r="M1569"/>
    </row>
    <row r="1570" spans="3:13" ht="12.75" customHeight="1" x14ac:dyDescent="0.2">
      <c r="C1570"/>
      <c r="M1570"/>
    </row>
    <row r="1571" spans="3:13" ht="12.75" customHeight="1" x14ac:dyDescent="0.2">
      <c r="C1571"/>
      <c r="M1571"/>
    </row>
    <row r="1572" spans="3:13" ht="12.75" customHeight="1" x14ac:dyDescent="0.2">
      <c r="C1572"/>
      <c r="M1572"/>
    </row>
    <row r="1573" spans="3:13" ht="12.75" customHeight="1" x14ac:dyDescent="0.2">
      <c r="C1573"/>
      <c r="M1573"/>
    </row>
    <row r="1574" spans="3:13" ht="12.75" customHeight="1" x14ac:dyDescent="0.2">
      <c r="C1574"/>
      <c r="M1574"/>
    </row>
    <row r="1575" spans="3:13" ht="12.75" customHeight="1" x14ac:dyDescent="0.2">
      <c r="C1575"/>
      <c r="M1575"/>
    </row>
    <row r="1576" spans="3:13" ht="12.75" customHeight="1" x14ac:dyDescent="0.2">
      <c r="C1576"/>
      <c r="M1576"/>
    </row>
    <row r="1577" spans="3:13" ht="12.75" customHeight="1" x14ac:dyDescent="0.2">
      <c r="C1577"/>
      <c r="M1577"/>
    </row>
    <row r="1578" spans="3:13" ht="12.75" customHeight="1" x14ac:dyDescent="0.2">
      <c r="C1578"/>
      <c r="M1578"/>
    </row>
    <row r="1579" spans="3:13" ht="12.75" customHeight="1" x14ac:dyDescent="0.2">
      <c r="C1579"/>
      <c r="M1579"/>
    </row>
    <row r="1580" spans="3:13" ht="12.75" customHeight="1" x14ac:dyDescent="0.2">
      <c r="C1580"/>
      <c r="M1580"/>
    </row>
    <row r="1581" spans="3:13" ht="12.75" customHeight="1" x14ac:dyDescent="0.2">
      <c r="C1581"/>
      <c r="M1581"/>
    </row>
    <row r="1582" spans="3:13" ht="12.75" customHeight="1" x14ac:dyDescent="0.2">
      <c r="C1582"/>
      <c r="M1582"/>
    </row>
    <row r="1583" spans="3:13" ht="12.75" customHeight="1" x14ac:dyDescent="0.2">
      <c r="C1583"/>
      <c r="M1583"/>
    </row>
    <row r="1584" spans="3:13" ht="12.75" customHeight="1" x14ac:dyDescent="0.2">
      <c r="C1584"/>
      <c r="M1584"/>
    </row>
    <row r="1585" spans="3:13" ht="12.75" customHeight="1" x14ac:dyDescent="0.2">
      <c r="C1585"/>
      <c r="M1585"/>
    </row>
    <row r="1586" spans="3:13" ht="12.75" customHeight="1" x14ac:dyDescent="0.2">
      <c r="C1586"/>
      <c r="M1586"/>
    </row>
    <row r="1587" spans="3:13" ht="12.75" customHeight="1" x14ac:dyDescent="0.2">
      <c r="C1587"/>
      <c r="M1587"/>
    </row>
    <row r="1588" spans="3:13" ht="12.75" customHeight="1" x14ac:dyDescent="0.2">
      <c r="C1588"/>
      <c r="M1588"/>
    </row>
    <row r="1589" spans="3:13" ht="12.75" customHeight="1" x14ac:dyDescent="0.2">
      <c r="C1589"/>
      <c r="M1589"/>
    </row>
    <row r="1590" spans="3:13" ht="12.75" customHeight="1" x14ac:dyDescent="0.2">
      <c r="C1590"/>
      <c r="M1590"/>
    </row>
    <row r="1591" spans="3:13" ht="12.75" customHeight="1" x14ac:dyDescent="0.2">
      <c r="C1591"/>
      <c r="M1591"/>
    </row>
    <row r="1592" spans="3:13" ht="12.75" customHeight="1" x14ac:dyDescent="0.2">
      <c r="C1592"/>
      <c r="M1592"/>
    </row>
    <row r="1593" spans="3:13" ht="12.75" customHeight="1" x14ac:dyDescent="0.2">
      <c r="C1593"/>
      <c r="M1593"/>
    </row>
    <row r="1594" spans="3:13" ht="12.75" customHeight="1" x14ac:dyDescent="0.2">
      <c r="C1594"/>
      <c r="M1594"/>
    </row>
    <row r="1595" spans="3:13" ht="12.75" customHeight="1" x14ac:dyDescent="0.2">
      <c r="C1595"/>
      <c r="M1595"/>
    </row>
    <row r="1596" spans="3:13" ht="12.75" customHeight="1" x14ac:dyDescent="0.2">
      <c r="C1596"/>
      <c r="M1596"/>
    </row>
    <row r="1597" spans="3:13" ht="12.75" customHeight="1" x14ac:dyDescent="0.2">
      <c r="C1597"/>
      <c r="M1597"/>
    </row>
    <row r="1598" spans="3:13" ht="12.75" customHeight="1" x14ac:dyDescent="0.2">
      <c r="C1598"/>
      <c r="M1598"/>
    </row>
    <row r="1599" spans="3:13" ht="12.75" customHeight="1" x14ac:dyDescent="0.2">
      <c r="C1599"/>
      <c r="M1599"/>
    </row>
    <row r="1600" spans="3:13" ht="12.75" customHeight="1" x14ac:dyDescent="0.2">
      <c r="C1600"/>
      <c r="M1600"/>
    </row>
    <row r="1601" spans="3:13" ht="12.75" customHeight="1" x14ac:dyDescent="0.2">
      <c r="C1601"/>
      <c r="M1601"/>
    </row>
    <row r="1602" spans="3:13" ht="12.75" customHeight="1" x14ac:dyDescent="0.2">
      <c r="C1602"/>
      <c r="M1602"/>
    </row>
    <row r="1603" spans="3:13" ht="12.75" customHeight="1" x14ac:dyDescent="0.2">
      <c r="C1603"/>
      <c r="M1603"/>
    </row>
    <row r="1604" spans="3:13" ht="12.75" customHeight="1" x14ac:dyDescent="0.2">
      <c r="C1604"/>
      <c r="M1604"/>
    </row>
    <row r="1605" spans="3:13" ht="12.75" customHeight="1" x14ac:dyDescent="0.2">
      <c r="C1605"/>
      <c r="M1605"/>
    </row>
    <row r="1606" spans="3:13" ht="12.75" customHeight="1" x14ac:dyDescent="0.2">
      <c r="C1606"/>
      <c r="M1606"/>
    </row>
    <row r="1607" spans="3:13" ht="12.75" customHeight="1" x14ac:dyDescent="0.2">
      <c r="C1607"/>
      <c r="M1607"/>
    </row>
    <row r="1608" spans="3:13" ht="12.75" customHeight="1" x14ac:dyDescent="0.2">
      <c r="C1608"/>
      <c r="M1608"/>
    </row>
    <row r="1609" spans="3:13" ht="12.75" customHeight="1" x14ac:dyDescent="0.2">
      <c r="C1609"/>
      <c r="M1609"/>
    </row>
    <row r="1610" spans="3:13" ht="12.75" customHeight="1" x14ac:dyDescent="0.2">
      <c r="C1610"/>
      <c r="M1610"/>
    </row>
    <row r="1611" spans="3:13" ht="12.75" customHeight="1" x14ac:dyDescent="0.2">
      <c r="C1611"/>
      <c r="M1611"/>
    </row>
    <row r="1612" spans="3:13" ht="12.75" customHeight="1" x14ac:dyDescent="0.2">
      <c r="C1612"/>
      <c r="M1612"/>
    </row>
    <row r="1613" spans="3:13" ht="12.75" customHeight="1" x14ac:dyDescent="0.2">
      <c r="C1613"/>
      <c r="M1613"/>
    </row>
    <row r="1614" spans="3:13" ht="12.75" customHeight="1" x14ac:dyDescent="0.2">
      <c r="C1614"/>
      <c r="M1614"/>
    </row>
    <row r="1615" spans="3:13" ht="12.75" customHeight="1" x14ac:dyDescent="0.2">
      <c r="C1615"/>
      <c r="M1615"/>
    </row>
    <row r="1616" spans="3:13" ht="12.75" customHeight="1" x14ac:dyDescent="0.2">
      <c r="C1616"/>
      <c r="M1616"/>
    </row>
    <row r="1617" spans="3:13" ht="12.75" customHeight="1" x14ac:dyDescent="0.2">
      <c r="C1617"/>
      <c r="M1617"/>
    </row>
    <row r="1618" spans="3:13" ht="12.75" customHeight="1" x14ac:dyDescent="0.2">
      <c r="C1618"/>
      <c r="M1618"/>
    </row>
    <row r="1619" spans="3:13" ht="12.75" customHeight="1" x14ac:dyDescent="0.2">
      <c r="C1619"/>
      <c r="M1619"/>
    </row>
    <row r="1620" spans="3:13" ht="12.75" customHeight="1" x14ac:dyDescent="0.2">
      <c r="C1620"/>
      <c r="M1620"/>
    </row>
    <row r="1621" spans="3:13" ht="12.75" customHeight="1" x14ac:dyDescent="0.2">
      <c r="C1621"/>
      <c r="M1621"/>
    </row>
    <row r="1622" spans="3:13" ht="12.75" customHeight="1" x14ac:dyDescent="0.2">
      <c r="C1622"/>
      <c r="M1622"/>
    </row>
    <row r="1623" spans="3:13" ht="12.75" customHeight="1" x14ac:dyDescent="0.2">
      <c r="C1623"/>
      <c r="M1623"/>
    </row>
    <row r="1624" spans="3:13" ht="12.75" customHeight="1" x14ac:dyDescent="0.2">
      <c r="C1624"/>
      <c r="M1624"/>
    </row>
    <row r="1625" spans="3:13" ht="12.75" customHeight="1" x14ac:dyDescent="0.2">
      <c r="C1625"/>
      <c r="M1625"/>
    </row>
    <row r="1626" spans="3:13" ht="12.75" customHeight="1" x14ac:dyDescent="0.2">
      <c r="C1626"/>
      <c r="M1626"/>
    </row>
    <row r="1627" spans="3:13" ht="12.75" customHeight="1" x14ac:dyDescent="0.2">
      <c r="C1627"/>
      <c r="M1627"/>
    </row>
    <row r="1628" spans="3:13" ht="12.75" customHeight="1" x14ac:dyDescent="0.2">
      <c r="C1628"/>
      <c r="M1628"/>
    </row>
    <row r="1629" spans="3:13" ht="12.75" customHeight="1" x14ac:dyDescent="0.2">
      <c r="C1629"/>
      <c r="M1629"/>
    </row>
    <row r="1630" spans="3:13" ht="12.75" customHeight="1" x14ac:dyDescent="0.2">
      <c r="C1630"/>
      <c r="M1630"/>
    </row>
    <row r="1631" spans="3:13" ht="12.75" customHeight="1" x14ac:dyDescent="0.2">
      <c r="C1631"/>
      <c r="M1631"/>
    </row>
    <row r="1632" spans="3:13" ht="12.75" customHeight="1" x14ac:dyDescent="0.2">
      <c r="C1632"/>
      <c r="M1632"/>
    </row>
    <row r="1633" spans="3:13" ht="12.75" customHeight="1" x14ac:dyDescent="0.2">
      <c r="C1633"/>
      <c r="M1633"/>
    </row>
    <row r="1634" spans="3:13" ht="12.75" customHeight="1" x14ac:dyDescent="0.2">
      <c r="C1634"/>
      <c r="M1634"/>
    </row>
    <row r="1635" spans="3:13" ht="12.75" customHeight="1" x14ac:dyDescent="0.2">
      <c r="C1635"/>
      <c r="M1635"/>
    </row>
    <row r="1636" spans="3:13" ht="12.75" customHeight="1" x14ac:dyDescent="0.2">
      <c r="C1636"/>
      <c r="M1636"/>
    </row>
    <row r="1637" spans="3:13" ht="12.75" customHeight="1" x14ac:dyDescent="0.2">
      <c r="C1637"/>
      <c r="M1637"/>
    </row>
    <row r="1638" spans="3:13" ht="12.75" customHeight="1" x14ac:dyDescent="0.2">
      <c r="C1638"/>
      <c r="M1638"/>
    </row>
    <row r="1639" spans="3:13" ht="12.75" customHeight="1" x14ac:dyDescent="0.2">
      <c r="C1639"/>
      <c r="M1639"/>
    </row>
    <row r="1640" spans="3:13" ht="12.75" customHeight="1" x14ac:dyDescent="0.2">
      <c r="C1640"/>
      <c r="M1640"/>
    </row>
    <row r="1641" spans="3:13" ht="12.75" customHeight="1" x14ac:dyDescent="0.2">
      <c r="C1641"/>
      <c r="M1641"/>
    </row>
    <row r="1642" spans="3:13" ht="12.75" customHeight="1" x14ac:dyDescent="0.2">
      <c r="C1642"/>
      <c r="M1642"/>
    </row>
    <row r="1643" spans="3:13" ht="12.75" customHeight="1" x14ac:dyDescent="0.2">
      <c r="C1643"/>
      <c r="M1643"/>
    </row>
    <row r="1644" spans="3:13" ht="12.75" customHeight="1" x14ac:dyDescent="0.2">
      <c r="C1644"/>
      <c r="M1644"/>
    </row>
    <row r="1645" spans="3:13" ht="12.75" customHeight="1" x14ac:dyDescent="0.2">
      <c r="C1645"/>
      <c r="M1645"/>
    </row>
    <row r="1646" spans="3:13" ht="12.75" customHeight="1" x14ac:dyDescent="0.2">
      <c r="C1646"/>
      <c r="M1646"/>
    </row>
    <row r="1647" spans="3:13" ht="12.75" customHeight="1" x14ac:dyDescent="0.2">
      <c r="C1647"/>
      <c r="M1647"/>
    </row>
    <row r="1648" spans="3:13" ht="12.75" customHeight="1" x14ac:dyDescent="0.2">
      <c r="C1648"/>
      <c r="M1648"/>
    </row>
    <row r="1649" spans="3:13" ht="12.75" customHeight="1" x14ac:dyDescent="0.2">
      <c r="C1649"/>
      <c r="M1649"/>
    </row>
    <row r="1650" spans="3:13" ht="12.75" customHeight="1" x14ac:dyDescent="0.2">
      <c r="C1650"/>
      <c r="M1650"/>
    </row>
    <row r="1651" spans="3:13" ht="12.75" customHeight="1" x14ac:dyDescent="0.2">
      <c r="C1651"/>
      <c r="M1651"/>
    </row>
    <row r="1652" spans="3:13" ht="12.75" customHeight="1" x14ac:dyDescent="0.2">
      <c r="C1652"/>
      <c r="M1652"/>
    </row>
    <row r="1653" spans="3:13" ht="12.75" customHeight="1" x14ac:dyDescent="0.2">
      <c r="C1653"/>
      <c r="M1653"/>
    </row>
    <row r="1654" spans="3:13" ht="12.75" customHeight="1" x14ac:dyDescent="0.2">
      <c r="C1654"/>
      <c r="M1654"/>
    </row>
    <row r="1655" spans="3:13" ht="12.75" customHeight="1" x14ac:dyDescent="0.2">
      <c r="C1655"/>
      <c r="M1655"/>
    </row>
    <row r="1656" spans="3:13" ht="12.75" customHeight="1" x14ac:dyDescent="0.2">
      <c r="C1656"/>
      <c r="M1656"/>
    </row>
    <row r="1657" spans="3:13" ht="12.75" customHeight="1" x14ac:dyDescent="0.2">
      <c r="C1657"/>
      <c r="M1657"/>
    </row>
    <row r="1658" spans="3:13" ht="12.75" customHeight="1" x14ac:dyDescent="0.2">
      <c r="C1658"/>
      <c r="M1658"/>
    </row>
    <row r="1659" spans="3:13" ht="12.75" customHeight="1" x14ac:dyDescent="0.2">
      <c r="C1659"/>
      <c r="M1659"/>
    </row>
    <row r="1660" spans="3:13" ht="12.75" customHeight="1" x14ac:dyDescent="0.2">
      <c r="C1660"/>
      <c r="M1660"/>
    </row>
    <row r="1661" spans="3:13" ht="12.75" customHeight="1" x14ac:dyDescent="0.2">
      <c r="C1661"/>
      <c r="M1661"/>
    </row>
    <row r="1662" spans="3:13" ht="12.75" customHeight="1" x14ac:dyDescent="0.2">
      <c r="C1662"/>
      <c r="M1662"/>
    </row>
    <row r="1663" spans="3:13" ht="12.75" customHeight="1" x14ac:dyDescent="0.2">
      <c r="C1663"/>
      <c r="M1663"/>
    </row>
    <row r="1664" spans="3:13" ht="12.75" customHeight="1" x14ac:dyDescent="0.2">
      <c r="C1664"/>
      <c r="M1664"/>
    </row>
    <row r="1665" spans="3:13" ht="12.75" customHeight="1" x14ac:dyDescent="0.2">
      <c r="C1665"/>
      <c r="M1665"/>
    </row>
    <row r="1666" spans="3:13" ht="12.75" customHeight="1" x14ac:dyDescent="0.2">
      <c r="C1666"/>
      <c r="M1666"/>
    </row>
    <row r="1667" spans="3:13" ht="12.75" customHeight="1" x14ac:dyDescent="0.2">
      <c r="C1667"/>
      <c r="M1667"/>
    </row>
    <row r="1668" spans="3:13" ht="12.75" customHeight="1" x14ac:dyDescent="0.2">
      <c r="C1668"/>
      <c r="M1668"/>
    </row>
    <row r="1669" spans="3:13" ht="12.75" customHeight="1" x14ac:dyDescent="0.2">
      <c r="C1669"/>
      <c r="M1669"/>
    </row>
    <row r="1670" spans="3:13" ht="12.75" customHeight="1" x14ac:dyDescent="0.2">
      <c r="C1670"/>
      <c r="M1670"/>
    </row>
    <row r="1671" spans="3:13" ht="12.75" customHeight="1" x14ac:dyDescent="0.2">
      <c r="C1671"/>
      <c r="M1671"/>
    </row>
    <row r="1672" spans="3:13" ht="12.75" customHeight="1" x14ac:dyDescent="0.2">
      <c r="C1672"/>
      <c r="M1672"/>
    </row>
    <row r="1673" spans="3:13" ht="12.75" customHeight="1" x14ac:dyDescent="0.2">
      <c r="C1673"/>
      <c r="M1673"/>
    </row>
    <row r="1674" spans="3:13" ht="12.75" customHeight="1" x14ac:dyDescent="0.2">
      <c r="C1674"/>
      <c r="M1674"/>
    </row>
    <row r="1675" spans="3:13" ht="12.75" customHeight="1" x14ac:dyDescent="0.2">
      <c r="C1675"/>
      <c r="M1675"/>
    </row>
    <row r="1676" spans="3:13" ht="12.75" customHeight="1" x14ac:dyDescent="0.2">
      <c r="C1676"/>
      <c r="M1676"/>
    </row>
    <row r="1677" spans="3:13" ht="12.75" customHeight="1" x14ac:dyDescent="0.2">
      <c r="C1677"/>
      <c r="M1677"/>
    </row>
    <row r="1678" spans="3:13" ht="12.75" customHeight="1" x14ac:dyDescent="0.2">
      <c r="C1678"/>
      <c r="M1678"/>
    </row>
    <row r="1679" spans="3:13" ht="12.75" customHeight="1" x14ac:dyDescent="0.2">
      <c r="C1679"/>
      <c r="M1679"/>
    </row>
    <row r="1680" spans="3:13" ht="12.75" customHeight="1" x14ac:dyDescent="0.2">
      <c r="C1680"/>
      <c r="M1680"/>
    </row>
    <row r="1681" spans="3:13" ht="12.75" customHeight="1" x14ac:dyDescent="0.2">
      <c r="C1681"/>
      <c r="M1681"/>
    </row>
    <row r="1682" spans="3:13" ht="12.75" customHeight="1" x14ac:dyDescent="0.2">
      <c r="C1682"/>
      <c r="M1682"/>
    </row>
    <row r="1683" spans="3:13" ht="12.75" customHeight="1" x14ac:dyDescent="0.2">
      <c r="C1683"/>
      <c r="M1683"/>
    </row>
    <row r="1684" spans="3:13" ht="12.75" customHeight="1" x14ac:dyDescent="0.2">
      <c r="C1684"/>
      <c r="M1684"/>
    </row>
    <row r="1685" spans="3:13" ht="12.75" customHeight="1" x14ac:dyDescent="0.2">
      <c r="C1685"/>
      <c r="M1685"/>
    </row>
    <row r="1686" spans="3:13" ht="12.75" customHeight="1" x14ac:dyDescent="0.2">
      <c r="C1686"/>
      <c r="M1686"/>
    </row>
    <row r="1687" spans="3:13" ht="12.75" customHeight="1" x14ac:dyDescent="0.2">
      <c r="C1687"/>
      <c r="M1687"/>
    </row>
    <row r="1688" spans="3:13" ht="12.75" customHeight="1" x14ac:dyDescent="0.2">
      <c r="C1688"/>
      <c r="M1688"/>
    </row>
    <row r="1689" spans="3:13" ht="12.75" customHeight="1" x14ac:dyDescent="0.2">
      <c r="C1689"/>
      <c r="M1689"/>
    </row>
    <row r="1690" spans="3:13" ht="12.75" customHeight="1" x14ac:dyDescent="0.2">
      <c r="C1690"/>
      <c r="M1690"/>
    </row>
    <row r="1691" spans="3:13" ht="12.75" customHeight="1" x14ac:dyDescent="0.2">
      <c r="C1691"/>
      <c r="M1691"/>
    </row>
    <row r="1692" spans="3:13" ht="12.75" customHeight="1" x14ac:dyDescent="0.2">
      <c r="C1692"/>
      <c r="M1692"/>
    </row>
    <row r="1693" spans="3:13" ht="12.75" customHeight="1" x14ac:dyDescent="0.2">
      <c r="C1693"/>
      <c r="M1693"/>
    </row>
    <row r="1694" spans="3:13" ht="12.75" customHeight="1" x14ac:dyDescent="0.2">
      <c r="C1694"/>
      <c r="M1694"/>
    </row>
    <row r="1695" spans="3:13" ht="12.75" customHeight="1" x14ac:dyDescent="0.2">
      <c r="C1695"/>
      <c r="M1695"/>
    </row>
    <row r="1696" spans="3:13" ht="12.75" customHeight="1" x14ac:dyDescent="0.2">
      <c r="C1696"/>
      <c r="M1696"/>
    </row>
    <row r="1697" spans="3:13" ht="12.75" customHeight="1" x14ac:dyDescent="0.2">
      <c r="C1697"/>
      <c r="M1697"/>
    </row>
    <row r="1698" spans="3:13" ht="12.75" customHeight="1" x14ac:dyDescent="0.2">
      <c r="C1698"/>
      <c r="M1698"/>
    </row>
    <row r="1699" spans="3:13" ht="12.75" customHeight="1" x14ac:dyDescent="0.2">
      <c r="C1699"/>
      <c r="M1699"/>
    </row>
    <row r="1700" spans="3:13" ht="12.75" customHeight="1" x14ac:dyDescent="0.2">
      <c r="C1700"/>
      <c r="M1700"/>
    </row>
    <row r="1701" spans="3:13" ht="12.75" customHeight="1" x14ac:dyDescent="0.2">
      <c r="C1701"/>
      <c r="M1701"/>
    </row>
    <row r="1702" spans="3:13" ht="12.75" customHeight="1" x14ac:dyDescent="0.2">
      <c r="C1702"/>
      <c r="M1702"/>
    </row>
    <row r="1703" spans="3:13" ht="12.75" customHeight="1" x14ac:dyDescent="0.2">
      <c r="C1703"/>
      <c r="M1703"/>
    </row>
    <row r="1704" spans="3:13" ht="12.75" customHeight="1" x14ac:dyDescent="0.2">
      <c r="C1704"/>
      <c r="M1704"/>
    </row>
    <row r="1705" spans="3:13" ht="12.75" customHeight="1" x14ac:dyDescent="0.2">
      <c r="C1705"/>
      <c r="M1705"/>
    </row>
    <row r="1706" spans="3:13" ht="12.75" customHeight="1" x14ac:dyDescent="0.2">
      <c r="C1706"/>
      <c r="M1706"/>
    </row>
    <row r="1707" spans="3:13" ht="12.75" customHeight="1" x14ac:dyDescent="0.2">
      <c r="C1707"/>
      <c r="M1707"/>
    </row>
    <row r="1708" spans="3:13" ht="12.75" customHeight="1" x14ac:dyDescent="0.2">
      <c r="C1708"/>
      <c r="M1708"/>
    </row>
    <row r="1709" spans="3:13" ht="12.75" customHeight="1" x14ac:dyDescent="0.2">
      <c r="C1709"/>
      <c r="M1709"/>
    </row>
    <row r="1710" spans="3:13" ht="12.75" customHeight="1" x14ac:dyDescent="0.2">
      <c r="C1710"/>
      <c r="M1710"/>
    </row>
    <row r="1711" spans="3:13" ht="12.75" customHeight="1" x14ac:dyDescent="0.2">
      <c r="C1711"/>
      <c r="M1711"/>
    </row>
    <row r="1712" spans="3:13" ht="12.75" customHeight="1" x14ac:dyDescent="0.2">
      <c r="C1712"/>
      <c r="M1712"/>
    </row>
    <row r="1713" spans="3:13" ht="12.75" customHeight="1" x14ac:dyDescent="0.2">
      <c r="C1713"/>
      <c r="M1713"/>
    </row>
    <row r="1714" spans="3:13" ht="12.75" customHeight="1" x14ac:dyDescent="0.2">
      <c r="C1714"/>
      <c r="M1714"/>
    </row>
    <row r="1715" spans="3:13" ht="12.75" customHeight="1" x14ac:dyDescent="0.2">
      <c r="C1715"/>
      <c r="M1715"/>
    </row>
    <row r="1716" spans="3:13" ht="12.75" customHeight="1" x14ac:dyDescent="0.2">
      <c r="C1716"/>
      <c r="M1716"/>
    </row>
    <row r="1717" spans="3:13" ht="12.75" customHeight="1" x14ac:dyDescent="0.2">
      <c r="C1717"/>
      <c r="M1717"/>
    </row>
    <row r="1718" spans="3:13" ht="12.75" customHeight="1" x14ac:dyDescent="0.2">
      <c r="C1718"/>
      <c r="M1718"/>
    </row>
    <row r="1719" spans="3:13" ht="12.75" customHeight="1" x14ac:dyDescent="0.2">
      <c r="C1719"/>
      <c r="M1719"/>
    </row>
    <row r="1720" spans="3:13" ht="12.75" customHeight="1" x14ac:dyDescent="0.2">
      <c r="C1720"/>
      <c r="M1720"/>
    </row>
    <row r="1721" spans="3:13" ht="12.75" customHeight="1" x14ac:dyDescent="0.2">
      <c r="C1721"/>
      <c r="M1721"/>
    </row>
    <row r="1722" spans="3:13" ht="12.75" customHeight="1" x14ac:dyDescent="0.2">
      <c r="C1722"/>
      <c r="M1722"/>
    </row>
    <row r="1723" spans="3:13" ht="12.75" customHeight="1" x14ac:dyDescent="0.2">
      <c r="C1723"/>
      <c r="M1723"/>
    </row>
    <row r="1724" spans="3:13" ht="12.75" customHeight="1" x14ac:dyDescent="0.2">
      <c r="C1724"/>
      <c r="M1724"/>
    </row>
    <row r="1725" spans="3:13" ht="12.75" customHeight="1" x14ac:dyDescent="0.2">
      <c r="C1725"/>
      <c r="M1725"/>
    </row>
    <row r="1726" spans="3:13" ht="12.75" customHeight="1" x14ac:dyDescent="0.2">
      <c r="C1726"/>
      <c r="M1726"/>
    </row>
    <row r="1727" spans="3:13" ht="12.75" customHeight="1" x14ac:dyDescent="0.2">
      <c r="C1727"/>
      <c r="M1727"/>
    </row>
    <row r="1728" spans="3:13" ht="12.75" customHeight="1" x14ac:dyDescent="0.2">
      <c r="C1728"/>
      <c r="M1728"/>
    </row>
    <row r="1729" spans="3:13" ht="12.75" customHeight="1" x14ac:dyDescent="0.2">
      <c r="C1729"/>
      <c r="M1729"/>
    </row>
    <row r="1730" spans="3:13" ht="12.75" customHeight="1" x14ac:dyDescent="0.2">
      <c r="C1730"/>
      <c r="M1730"/>
    </row>
    <row r="1731" spans="3:13" ht="12.75" customHeight="1" x14ac:dyDescent="0.2">
      <c r="C1731"/>
      <c r="M1731"/>
    </row>
    <row r="1732" spans="3:13" ht="12.75" customHeight="1" x14ac:dyDescent="0.2">
      <c r="C1732"/>
      <c r="M1732"/>
    </row>
    <row r="1733" spans="3:13" ht="12.75" customHeight="1" x14ac:dyDescent="0.2">
      <c r="C1733"/>
      <c r="M1733"/>
    </row>
    <row r="1734" spans="3:13" ht="12.75" customHeight="1" x14ac:dyDescent="0.2">
      <c r="C1734"/>
      <c r="M1734"/>
    </row>
    <row r="1735" spans="3:13" ht="12.75" customHeight="1" x14ac:dyDescent="0.2">
      <c r="C1735"/>
      <c r="M1735"/>
    </row>
    <row r="1736" spans="3:13" ht="12.75" customHeight="1" x14ac:dyDescent="0.2">
      <c r="C1736"/>
      <c r="M1736"/>
    </row>
    <row r="1737" spans="3:13" ht="12.75" customHeight="1" x14ac:dyDescent="0.2">
      <c r="C1737"/>
      <c r="M1737"/>
    </row>
    <row r="1738" spans="3:13" ht="12.75" customHeight="1" x14ac:dyDescent="0.2">
      <c r="C1738"/>
      <c r="M1738"/>
    </row>
    <row r="1739" spans="3:13" ht="12.75" customHeight="1" x14ac:dyDescent="0.2">
      <c r="C1739"/>
      <c r="M1739"/>
    </row>
    <row r="1740" spans="3:13" ht="12.75" customHeight="1" x14ac:dyDescent="0.2">
      <c r="C1740"/>
      <c r="M1740"/>
    </row>
    <row r="1741" spans="3:13" ht="12.75" customHeight="1" x14ac:dyDescent="0.2">
      <c r="C1741"/>
      <c r="M1741"/>
    </row>
    <row r="1742" spans="3:13" ht="12.75" customHeight="1" x14ac:dyDescent="0.2">
      <c r="C1742"/>
      <c r="M1742"/>
    </row>
    <row r="1743" spans="3:13" ht="12.75" customHeight="1" x14ac:dyDescent="0.2">
      <c r="C1743"/>
      <c r="M1743"/>
    </row>
    <row r="1744" spans="3:13" ht="12.75" customHeight="1" x14ac:dyDescent="0.2">
      <c r="C1744"/>
      <c r="M1744"/>
    </row>
    <row r="1745" spans="3:13" ht="12.75" customHeight="1" x14ac:dyDescent="0.2">
      <c r="C1745"/>
      <c r="M1745"/>
    </row>
    <row r="1746" spans="3:13" ht="12.75" customHeight="1" x14ac:dyDescent="0.2">
      <c r="C1746"/>
      <c r="M1746"/>
    </row>
    <row r="1747" spans="3:13" ht="12.75" customHeight="1" x14ac:dyDescent="0.2">
      <c r="C1747"/>
      <c r="M1747"/>
    </row>
    <row r="1748" spans="3:13" ht="12.75" customHeight="1" x14ac:dyDescent="0.2">
      <c r="C1748"/>
      <c r="M1748"/>
    </row>
    <row r="1749" spans="3:13" ht="12.75" customHeight="1" x14ac:dyDescent="0.2">
      <c r="C1749"/>
      <c r="M1749"/>
    </row>
    <row r="1750" spans="3:13" ht="12.75" customHeight="1" x14ac:dyDescent="0.2">
      <c r="C1750"/>
      <c r="M1750"/>
    </row>
    <row r="1751" spans="3:13" ht="12.75" customHeight="1" x14ac:dyDescent="0.2">
      <c r="C1751"/>
      <c r="M1751"/>
    </row>
    <row r="1752" spans="3:13" ht="12.75" customHeight="1" x14ac:dyDescent="0.2">
      <c r="C1752"/>
      <c r="M1752"/>
    </row>
    <row r="1753" spans="3:13" ht="12.75" customHeight="1" x14ac:dyDescent="0.2">
      <c r="C1753"/>
      <c r="M1753"/>
    </row>
    <row r="1754" spans="3:13" ht="12.75" customHeight="1" x14ac:dyDescent="0.2">
      <c r="C1754"/>
      <c r="M1754"/>
    </row>
    <row r="1755" spans="3:13" ht="12.75" customHeight="1" x14ac:dyDescent="0.2">
      <c r="C1755"/>
      <c r="M1755"/>
    </row>
    <row r="1756" spans="3:13" ht="12.75" customHeight="1" x14ac:dyDescent="0.2">
      <c r="C1756"/>
      <c r="M1756"/>
    </row>
    <row r="1757" spans="3:13" ht="12.75" customHeight="1" x14ac:dyDescent="0.2">
      <c r="C1757"/>
      <c r="M1757"/>
    </row>
    <row r="1758" spans="3:13" ht="12.75" customHeight="1" x14ac:dyDescent="0.2">
      <c r="C1758"/>
      <c r="M1758"/>
    </row>
    <row r="1759" spans="3:13" ht="12.75" customHeight="1" x14ac:dyDescent="0.2">
      <c r="C1759"/>
      <c r="M1759"/>
    </row>
    <row r="1760" spans="3:13" ht="12.75" customHeight="1" x14ac:dyDescent="0.2">
      <c r="C1760"/>
      <c r="M1760"/>
    </row>
    <row r="1761" spans="3:13" ht="12.75" customHeight="1" x14ac:dyDescent="0.2">
      <c r="C1761"/>
      <c r="M1761"/>
    </row>
    <row r="1762" spans="3:13" ht="12.75" customHeight="1" x14ac:dyDescent="0.2">
      <c r="C1762"/>
      <c r="M1762"/>
    </row>
    <row r="1763" spans="3:13" ht="12.75" customHeight="1" x14ac:dyDescent="0.2">
      <c r="C1763"/>
      <c r="M1763"/>
    </row>
    <row r="1764" spans="3:13" ht="12.75" customHeight="1" x14ac:dyDescent="0.2">
      <c r="C1764"/>
      <c r="M1764"/>
    </row>
    <row r="1765" spans="3:13" ht="12.75" customHeight="1" x14ac:dyDescent="0.2">
      <c r="C1765"/>
      <c r="M1765"/>
    </row>
    <row r="1766" spans="3:13" ht="12.75" customHeight="1" x14ac:dyDescent="0.2">
      <c r="C1766"/>
      <c r="M1766"/>
    </row>
    <row r="1767" spans="3:13" ht="12.75" customHeight="1" x14ac:dyDescent="0.2">
      <c r="C1767"/>
      <c r="M1767"/>
    </row>
    <row r="1768" spans="3:13" ht="12.75" customHeight="1" x14ac:dyDescent="0.2">
      <c r="C1768"/>
      <c r="M1768"/>
    </row>
    <row r="1769" spans="3:13" ht="12.75" customHeight="1" x14ac:dyDescent="0.2">
      <c r="C1769"/>
      <c r="M1769"/>
    </row>
    <row r="1770" spans="3:13" ht="12.75" customHeight="1" x14ac:dyDescent="0.2">
      <c r="C1770"/>
      <c r="M1770"/>
    </row>
    <row r="1771" spans="3:13" ht="12.75" customHeight="1" x14ac:dyDescent="0.2">
      <c r="C1771"/>
      <c r="M1771"/>
    </row>
    <row r="1772" spans="3:13" ht="12.75" customHeight="1" x14ac:dyDescent="0.2">
      <c r="C1772"/>
      <c r="M1772"/>
    </row>
    <row r="1773" spans="3:13" ht="12.75" customHeight="1" x14ac:dyDescent="0.2">
      <c r="C1773"/>
      <c r="M1773"/>
    </row>
    <row r="1774" spans="3:13" ht="12.75" customHeight="1" x14ac:dyDescent="0.2">
      <c r="C1774"/>
      <c r="M1774"/>
    </row>
    <row r="1775" spans="3:13" ht="12.75" customHeight="1" x14ac:dyDescent="0.2">
      <c r="C1775"/>
      <c r="M1775"/>
    </row>
    <row r="1776" spans="3:13" ht="12.75" customHeight="1" x14ac:dyDescent="0.2">
      <c r="C1776"/>
      <c r="M1776"/>
    </row>
    <row r="1777" spans="3:13" ht="12.75" customHeight="1" x14ac:dyDescent="0.2">
      <c r="C1777"/>
      <c r="M1777"/>
    </row>
    <row r="1778" spans="3:13" ht="12.75" customHeight="1" x14ac:dyDescent="0.2">
      <c r="C1778"/>
      <c r="M1778"/>
    </row>
    <row r="1779" spans="3:13" ht="12.75" customHeight="1" x14ac:dyDescent="0.2">
      <c r="C1779"/>
      <c r="M1779"/>
    </row>
    <row r="1780" spans="3:13" ht="12.75" customHeight="1" x14ac:dyDescent="0.2">
      <c r="C1780"/>
      <c r="M1780"/>
    </row>
    <row r="1781" spans="3:13" ht="12.75" customHeight="1" x14ac:dyDescent="0.2">
      <c r="C1781"/>
      <c r="M1781"/>
    </row>
    <row r="1782" spans="3:13" ht="12.75" customHeight="1" x14ac:dyDescent="0.2">
      <c r="C1782"/>
      <c r="M1782"/>
    </row>
    <row r="1783" spans="3:13" ht="12.75" customHeight="1" x14ac:dyDescent="0.2">
      <c r="C1783"/>
      <c r="M1783"/>
    </row>
    <row r="1784" spans="3:13" ht="12.75" customHeight="1" x14ac:dyDescent="0.2">
      <c r="C1784"/>
      <c r="M1784"/>
    </row>
    <row r="1785" spans="3:13" ht="12.75" customHeight="1" x14ac:dyDescent="0.2">
      <c r="C1785"/>
      <c r="M1785"/>
    </row>
    <row r="1786" spans="3:13" ht="12.75" customHeight="1" x14ac:dyDescent="0.2">
      <c r="C1786"/>
      <c r="M1786"/>
    </row>
    <row r="1787" spans="3:13" ht="12.75" customHeight="1" x14ac:dyDescent="0.2">
      <c r="C1787"/>
      <c r="M1787"/>
    </row>
    <row r="1788" spans="3:13" ht="12.75" customHeight="1" x14ac:dyDescent="0.2">
      <c r="C1788"/>
      <c r="M1788"/>
    </row>
    <row r="1789" spans="3:13" ht="12.75" customHeight="1" x14ac:dyDescent="0.2">
      <c r="C1789"/>
      <c r="M1789"/>
    </row>
    <row r="1790" spans="3:13" ht="12.75" customHeight="1" x14ac:dyDescent="0.2">
      <c r="C1790"/>
      <c r="M1790"/>
    </row>
    <row r="1791" spans="3:13" ht="12.75" customHeight="1" x14ac:dyDescent="0.2">
      <c r="C1791"/>
      <c r="M1791"/>
    </row>
    <row r="1792" spans="3:13" ht="12.75" customHeight="1" x14ac:dyDescent="0.2">
      <c r="C1792"/>
      <c r="M1792"/>
    </row>
    <row r="1793" spans="3:13" ht="12.75" customHeight="1" x14ac:dyDescent="0.2">
      <c r="C1793"/>
      <c r="M1793"/>
    </row>
    <row r="1794" spans="3:13" ht="12.75" customHeight="1" x14ac:dyDescent="0.2">
      <c r="C1794"/>
      <c r="M1794"/>
    </row>
    <row r="1795" spans="3:13" ht="12.75" customHeight="1" x14ac:dyDescent="0.2">
      <c r="C1795"/>
      <c r="M1795"/>
    </row>
    <row r="1796" spans="3:13" ht="12.75" customHeight="1" x14ac:dyDescent="0.2">
      <c r="C1796"/>
      <c r="M1796"/>
    </row>
    <row r="1797" spans="3:13" ht="12.75" customHeight="1" x14ac:dyDescent="0.2">
      <c r="C1797"/>
      <c r="M1797"/>
    </row>
    <row r="1798" spans="3:13" ht="12.75" customHeight="1" x14ac:dyDescent="0.2">
      <c r="C1798"/>
      <c r="M1798"/>
    </row>
    <row r="1799" spans="3:13" ht="12.75" customHeight="1" x14ac:dyDescent="0.2">
      <c r="C1799"/>
      <c r="M1799"/>
    </row>
    <row r="1800" spans="3:13" ht="12.75" customHeight="1" x14ac:dyDescent="0.2">
      <c r="C1800"/>
      <c r="M1800"/>
    </row>
    <row r="1801" spans="3:13" ht="12.75" customHeight="1" x14ac:dyDescent="0.2">
      <c r="C1801"/>
      <c r="M1801"/>
    </row>
    <row r="1802" spans="3:13" ht="12.75" customHeight="1" x14ac:dyDescent="0.2">
      <c r="C1802"/>
      <c r="M1802"/>
    </row>
    <row r="1803" spans="3:13" ht="12.75" customHeight="1" x14ac:dyDescent="0.2">
      <c r="C1803"/>
      <c r="M1803"/>
    </row>
    <row r="1804" spans="3:13" ht="12.75" customHeight="1" x14ac:dyDescent="0.2">
      <c r="C1804"/>
      <c r="M1804"/>
    </row>
    <row r="1805" spans="3:13" ht="12.75" customHeight="1" x14ac:dyDescent="0.2">
      <c r="C1805"/>
      <c r="M1805"/>
    </row>
    <row r="1806" spans="3:13" ht="12.75" customHeight="1" x14ac:dyDescent="0.2">
      <c r="C1806"/>
      <c r="M1806"/>
    </row>
    <row r="1807" spans="3:13" ht="12.75" customHeight="1" x14ac:dyDescent="0.2">
      <c r="C1807"/>
      <c r="M1807"/>
    </row>
    <row r="1808" spans="3:13" ht="12.75" customHeight="1" x14ac:dyDescent="0.2">
      <c r="C1808"/>
      <c r="M1808"/>
    </row>
    <row r="1809" spans="3:13" ht="12.75" customHeight="1" x14ac:dyDescent="0.2">
      <c r="C1809"/>
      <c r="M1809"/>
    </row>
    <row r="1810" spans="3:13" ht="12.75" customHeight="1" x14ac:dyDescent="0.2">
      <c r="C1810"/>
      <c r="M1810"/>
    </row>
    <row r="1811" spans="3:13" ht="12.75" customHeight="1" x14ac:dyDescent="0.2">
      <c r="C1811"/>
      <c r="M1811"/>
    </row>
    <row r="1812" spans="3:13" ht="12.75" customHeight="1" x14ac:dyDescent="0.2">
      <c r="C1812"/>
      <c r="M1812"/>
    </row>
    <row r="1813" spans="3:13" ht="12.75" customHeight="1" x14ac:dyDescent="0.2">
      <c r="C1813"/>
      <c r="M1813"/>
    </row>
    <row r="1814" spans="3:13" ht="12.75" customHeight="1" x14ac:dyDescent="0.2">
      <c r="C1814"/>
      <c r="M1814"/>
    </row>
    <row r="1815" spans="3:13" ht="12.75" customHeight="1" x14ac:dyDescent="0.2">
      <c r="C1815"/>
      <c r="M1815"/>
    </row>
    <row r="1816" spans="3:13" ht="12.75" customHeight="1" x14ac:dyDescent="0.2">
      <c r="C1816"/>
      <c r="M1816"/>
    </row>
    <row r="1817" spans="3:13" ht="12.75" customHeight="1" x14ac:dyDescent="0.2">
      <c r="C1817"/>
      <c r="M1817"/>
    </row>
    <row r="1818" spans="3:13" ht="12.75" customHeight="1" x14ac:dyDescent="0.2">
      <c r="C1818"/>
      <c r="M1818"/>
    </row>
    <row r="1819" spans="3:13" ht="12.75" customHeight="1" x14ac:dyDescent="0.2">
      <c r="C1819"/>
      <c r="M1819"/>
    </row>
    <row r="1820" spans="3:13" ht="12.75" customHeight="1" x14ac:dyDescent="0.2">
      <c r="C1820"/>
      <c r="M1820"/>
    </row>
    <row r="1821" spans="3:13" ht="12.75" customHeight="1" x14ac:dyDescent="0.2">
      <c r="C1821"/>
      <c r="M1821"/>
    </row>
    <row r="1822" spans="3:13" ht="12.75" customHeight="1" x14ac:dyDescent="0.2">
      <c r="C1822"/>
      <c r="M1822"/>
    </row>
    <row r="1823" spans="3:13" ht="12.75" customHeight="1" x14ac:dyDescent="0.2">
      <c r="C1823"/>
      <c r="M1823"/>
    </row>
    <row r="1824" spans="3:13" ht="12.75" customHeight="1" x14ac:dyDescent="0.2">
      <c r="C1824"/>
      <c r="M1824"/>
    </row>
    <row r="1825" spans="3:13" ht="12.75" customHeight="1" x14ac:dyDescent="0.2">
      <c r="C1825"/>
      <c r="M1825"/>
    </row>
    <row r="1826" spans="3:13" ht="12.75" customHeight="1" x14ac:dyDescent="0.2">
      <c r="C1826"/>
      <c r="M1826"/>
    </row>
    <row r="1827" spans="3:13" ht="12.75" customHeight="1" x14ac:dyDescent="0.2">
      <c r="C1827"/>
      <c r="M1827"/>
    </row>
    <row r="1828" spans="3:13" ht="12.75" customHeight="1" x14ac:dyDescent="0.2">
      <c r="C1828"/>
      <c r="M1828"/>
    </row>
    <row r="1829" spans="3:13" ht="12.75" customHeight="1" x14ac:dyDescent="0.2">
      <c r="C1829"/>
      <c r="M1829"/>
    </row>
    <row r="1830" spans="3:13" ht="12.75" customHeight="1" x14ac:dyDescent="0.2">
      <c r="C1830"/>
      <c r="M1830"/>
    </row>
    <row r="1831" spans="3:13" ht="12.75" customHeight="1" x14ac:dyDescent="0.2">
      <c r="C1831"/>
      <c r="M1831"/>
    </row>
    <row r="1832" spans="3:13" ht="12.75" customHeight="1" x14ac:dyDescent="0.2">
      <c r="C1832"/>
      <c r="M1832"/>
    </row>
    <row r="1833" spans="3:13" ht="12.75" customHeight="1" x14ac:dyDescent="0.2">
      <c r="C1833"/>
      <c r="M1833"/>
    </row>
    <row r="1834" spans="3:13" ht="12.75" customHeight="1" x14ac:dyDescent="0.2">
      <c r="C1834"/>
      <c r="M1834"/>
    </row>
    <row r="1835" spans="3:13" ht="12.75" customHeight="1" x14ac:dyDescent="0.2">
      <c r="C1835"/>
      <c r="M1835"/>
    </row>
    <row r="1836" spans="3:13" ht="12.75" customHeight="1" x14ac:dyDescent="0.2">
      <c r="C1836"/>
      <c r="M1836"/>
    </row>
    <row r="1837" spans="3:13" ht="12.75" customHeight="1" x14ac:dyDescent="0.2">
      <c r="C1837"/>
      <c r="M1837"/>
    </row>
    <row r="1838" spans="3:13" ht="12.75" customHeight="1" x14ac:dyDescent="0.2">
      <c r="C1838"/>
      <c r="M1838"/>
    </row>
    <row r="1839" spans="3:13" ht="12.75" customHeight="1" x14ac:dyDescent="0.2">
      <c r="C1839"/>
      <c r="M1839"/>
    </row>
    <row r="1840" spans="3:13" ht="12.75" customHeight="1" x14ac:dyDescent="0.2">
      <c r="C1840"/>
      <c r="M1840"/>
    </row>
    <row r="1841" spans="3:13" ht="12.75" customHeight="1" x14ac:dyDescent="0.2">
      <c r="C1841"/>
      <c r="M1841"/>
    </row>
    <row r="1842" spans="3:13" ht="12.75" customHeight="1" x14ac:dyDescent="0.2">
      <c r="C1842"/>
      <c r="M1842"/>
    </row>
    <row r="1843" spans="3:13" ht="12.75" customHeight="1" x14ac:dyDescent="0.2">
      <c r="C1843"/>
      <c r="M1843"/>
    </row>
    <row r="1844" spans="3:13" ht="12.75" customHeight="1" x14ac:dyDescent="0.2">
      <c r="C1844"/>
      <c r="M1844"/>
    </row>
    <row r="1845" spans="3:13" ht="12.75" customHeight="1" x14ac:dyDescent="0.2">
      <c r="C1845"/>
      <c r="M1845"/>
    </row>
    <row r="1846" spans="3:13" ht="12.75" customHeight="1" x14ac:dyDescent="0.2">
      <c r="C1846"/>
      <c r="M1846"/>
    </row>
    <row r="1847" spans="3:13" ht="12.75" customHeight="1" x14ac:dyDescent="0.2">
      <c r="C1847"/>
      <c r="M1847"/>
    </row>
    <row r="1848" spans="3:13" ht="12.75" customHeight="1" x14ac:dyDescent="0.2">
      <c r="C1848"/>
      <c r="M1848"/>
    </row>
    <row r="1849" spans="3:13" ht="12.75" customHeight="1" x14ac:dyDescent="0.2">
      <c r="C1849"/>
      <c r="M1849"/>
    </row>
    <row r="1850" spans="3:13" ht="12.75" customHeight="1" x14ac:dyDescent="0.2">
      <c r="C1850"/>
      <c r="M1850"/>
    </row>
    <row r="1851" spans="3:13" ht="12.75" customHeight="1" x14ac:dyDescent="0.2">
      <c r="C1851"/>
      <c r="M1851"/>
    </row>
    <row r="1852" spans="3:13" ht="12.75" customHeight="1" x14ac:dyDescent="0.2">
      <c r="C1852"/>
      <c r="M1852"/>
    </row>
    <row r="1853" spans="3:13" ht="12.75" customHeight="1" x14ac:dyDescent="0.2">
      <c r="C1853"/>
      <c r="M1853"/>
    </row>
    <row r="1854" spans="3:13" ht="12.75" customHeight="1" x14ac:dyDescent="0.2">
      <c r="C1854"/>
      <c r="M1854"/>
    </row>
    <row r="1855" spans="3:13" ht="12.75" customHeight="1" x14ac:dyDescent="0.2">
      <c r="C1855"/>
      <c r="M1855"/>
    </row>
    <row r="1856" spans="3:13" ht="12.75" customHeight="1" x14ac:dyDescent="0.2">
      <c r="C1856"/>
      <c r="M1856"/>
    </row>
    <row r="1857" spans="3:13" ht="12.75" customHeight="1" x14ac:dyDescent="0.2">
      <c r="C1857"/>
      <c r="M1857"/>
    </row>
    <row r="1858" spans="3:13" ht="12.75" customHeight="1" x14ac:dyDescent="0.2">
      <c r="C1858"/>
      <c r="M1858"/>
    </row>
    <row r="1859" spans="3:13" ht="12.75" customHeight="1" x14ac:dyDescent="0.2">
      <c r="C1859"/>
      <c r="M1859"/>
    </row>
    <row r="1860" spans="3:13" ht="12.75" customHeight="1" x14ac:dyDescent="0.2">
      <c r="C1860"/>
      <c r="M1860"/>
    </row>
    <row r="1861" spans="3:13" ht="12.75" customHeight="1" x14ac:dyDescent="0.2">
      <c r="C1861"/>
      <c r="M1861"/>
    </row>
    <row r="1862" spans="3:13" ht="12.75" customHeight="1" x14ac:dyDescent="0.2">
      <c r="C1862"/>
      <c r="M1862"/>
    </row>
    <row r="1863" spans="3:13" ht="12.75" customHeight="1" x14ac:dyDescent="0.2">
      <c r="C1863"/>
      <c r="M1863"/>
    </row>
    <row r="1864" spans="3:13" ht="12.75" customHeight="1" x14ac:dyDescent="0.2">
      <c r="C1864"/>
      <c r="M1864"/>
    </row>
    <row r="1865" spans="3:13" ht="12.75" customHeight="1" x14ac:dyDescent="0.2">
      <c r="C1865"/>
      <c r="M1865"/>
    </row>
    <row r="1866" spans="3:13" ht="12.75" customHeight="1" x14ac:dyDescent="0.2">
      <c r="C1866"/>
      <c r="M1866"/>
    </row>
    <row r="1867" spans="3:13" ht="12.75" customHeight="1" x14ac:dyDescent="0.2">
      <c r="C1867"/>
      <c r="M1867"/>
    </row>
    <row r="1868" spans="3:13" ht="12.75" customHeight="1" x14ac:dyDescent="0.2">
      <c r="C1868"/>
      <c r="M1868"/>
    </row>
    <row r="1869" spans="3:13" ht="12.75" customHeight="1" x14ac:dyDescent="0.2">
      <c r="C1869"/>
      <c r="M1869"/>
    </row>
    <row r="1870" spans="3:13" ht="12.75" customHeight="1" x14ac:dyDescent="0.2">
      <c r="C1870"/>
      <c r="M1870"/>
    </row>
    <row r="1871" spans="3:13" ht="12.75" customHeight="1" x14ac:dyDescent="0.2">
      <c r="C1871"/>
      <c r="M1871"/>
    </row>
    <row r="1872" spans="3:13" ht="12.75" customHeight="1" x14ac:dyDescent="0.2">
      <c r="C1872"/>
      <c r="M1872"/>
    </row>
    <row r="1873" spans="3:13" ht="12.75" customHeight="1" x14ac:dyDescent="0.2">
      <c r="C1873"/>
      <c r="M1873"/>
    </row>
    <row r="1874" spans="3:13" ht="12.75" customHeight="1" x14ac:dyDescent="0.2">
      <c r="C1874"/>
      <c r="M1874"/>
    </row>
    <row r="1875" spans="3:13" ht="12.75" customHeight="1" x14ac:dyDescent="0.2">
      <c r="C1875"/>
      <c r="M1875"/>
    </row>
    <row r="1876" spans="3:13" ht="12.75" customHeight="1" x14ac:dyDescent="0.2">
      <c r="C1876"/>
      <c r="M1876"/>
    </row>
    <row r="1877" spans="3:13" ht="12.75" customHeight="1" x14ac:dyDescent="0.2">
      <c r="C1877"/>
      <c r="M1877"/>
    </row>
    <row r="1878" spans="3:13" ht="12.75" customHeight="1" x14ac:dyDescent="0.2">
      <c r="C1878"/>
      <c r="M1878"/>
    </row>
    <row r="1879" spans="3:13" ht="12.75" customHeight="1" x14ac:dyDescent="0.2">
      <c r="C1879"/>
      <c r="M1879"/>
    </row>
    <row r="1880" spans="3:13" ht="12.75" customHeight="1" x14ac:dyDescent="0.2">
      <c r="C1880"/>
      <c r="M1880"/>
    </row>
    <row r="1881" spans="3:13" ht="12.75" customHeight="1" x14ac:dyDescent="0.2">
      <c r="C1881"/>
      <c r="M1881"/>
    </row>
    <row r="1882" spans="3:13" ht="12.75" customHeight="1" x14ac:dyDescent="0.2">
      <c r="C1882"/>
      <c r="M1882"/>
    </row>
    <row r="1883" spans="3:13" ht="12.75" customHeight="1" x14ac:dyDescent="0.2">
      <c r="C1883"/>
      <c r="M1883"/>
    </row>
    <row r="1884" spans="3:13" ht="12.75" customHeight="1" x14ac:dyDescent="0.2">
      <c r="C1884"/>
      <c r="M1884"/>
    </row>
    <row r="1885" spans="3:13" ht="12.75" customHeight="1" x14ac:dyDescent="0.2">
      <c r="C1885"/>
      <c r="M1885"/>
    </row>
    <row r="1886" spans="3:13" ht="12.75" customHeight="1" x14ac:dyDescent="0.2">
      <c r="C1886"/>
      <c r="M1886"/>
    </row>
    <row r="1887" spans="3:13" ht="12.75" customHeight="1" x14ac:dyDescent="0.2">
      <c r="C1887"/>
      <c r="M1887"/>
    </row>
    <row r="1888" spans="3:13" ht="12.75" customHeight="1" x14ac:dyDescent="0.2">
      <c r="C1888"/>
      <c r="M1888"/>
    </row>
    <row r="1889" spans="3:13" ht="12.75" customHeight="1" x14ac:dyDescent="0.2">
      <c r="C1889"/>
      <c r="M1889"/>
    </row>
    <row r="1890" spans="3:13" ht="12.75" customHeight="1" x14ac:dyDescent="0.2">
      <c r="C1890"/>
      <c r="M1890"/>
    </row>
    <row r="1891" spans="3:13" ht="12.75" customHeight="1" x14ac:dyDescent="0.2">
      <c r="C1891"/>
      <c r="M1891"/>
    </row>
    <row r="1892" spans="3:13" ht="12.75" customHeight="1" x14ac:dyDescent="0.2">
      <c r="C1892"/>
      <c r="M1892"/>
    </row>
    <row r="1893" spans="3:13" ht="12.75" customHeight="1" x14ac:dyDescent="0.2">
      <c r="C1893"/>
      <c r="M1893"/>
    </row>
    <row r="1894" spans="3:13" ht="12.75" customHeight="1" x14ac:dyDescent="0.2">
      <c r="C1894"/>
      <c r="M1894"/>
    </row>
    <row r="1895" spans="3:13" ht="12.75" customHeight="1" x14ac:dyDescent="0.2">
      <c r="C1895"/>
      <c r="M1895"/>
    </row>
    <row r="1896" spans="3:13" ht="12.75" customHeight="1" x14ac:dyDescent="0.2">
      <c r="C1896"/>
      <c r="M1896"/>
    </row>
    <row r="1897" spans="3:13" ht="12.75" customHeight="1" x14ac:dyDescent="0.2">
      <c r="C1897"/>
      <c r="M1897"/>
    </row>
    <row r="1898" spans="3:13" ht="12.75" customHeight="1" x14ac:dyDescent="0.2">
      <c r="C1898"/>
      <c r="M1898"/>
    </row>
    <row r="1899" spans="3:13" ht="12.75" customHeight="1" x14ac:dyDescent="0.2">
      <c r="C1899"/>
      <c r="M1899"/>
    </row>
    <row r="1900" spans="3:13" ht="12.75" customHeight="1" x14ac:dyDescent="0.2">
      <c r="C1900"/>
      <c r="M1900"/>
    </row>
    <row r="1901" spans="3:13" ht="12.75" customHeight="1" x14ac:dyDescent="0.2">
      <c r="C1901"/>
      <c r="M1901"/>
    </row>
    <row r="1902" spans="3:13" ht="12.75" customHeight="1" x14ac:dyDescent="0.2">
      <c r="C1902"/>
      <c r="M1902"/>
    </row>
    <row r="1903" spans="3:13" ht="12.75" customHeight="1" x14ac:dyDescent="0.2">
      <c r="C1903"/>
      <c r="M1903"/>
    </row>
    <row r="1904" spans="3:13" ht="12.75" customHeight="1" x14ac:dyDescent="0.2">
      <c r="C1904"/>
      <c r="M1904"/>
    </row>
    <row r="1905" spans="3:13" ht="12.75" customHeight="1" x14ac:dyDescent="0.2">
      <c r="C1905"/>
      <c r="M1905"/>
    </row>
    <row r="1906" spans="3:13" ht="12.75" customHeight="1" x14ac:dyDescent="0.2">
      <c r="C1906"/>
      <c r="M1906"/>
    </row>
    <row r="1907" spans="3:13" ht="12.75" customHeight="1" x14ac:dyDescent="0.2">
      <c r="C1907"/>
      <c r="M1907"/>
    </row>
    <row r="1908" spans="3:13" ht="12.75" customHeight="1" x14ac:dyDescent="0.2">
      <c r="C1908"/>
      <c r="M1908"/>
    </row>
    <row r="1909" spans="3:13" ht="12.75" customHeight="1" x14ac:dyDescent="0.2">
      <c r="C1909"/>
      <c r="M1909"/>
    </row>
    <row r="1910" spans="3:13" ht="12.75" customHeight="1" x14ac:dyDescent="0.2">
      <c r="C1910"/>
      <c r="M1910"/>
    </row>
    <row r="1911" spans="3:13" ht="12.75" customHeight="1" x14ac:dyDescent="0.2">
      <c r="C1911"/>
      <c r="M1911"/>
    </row>
    <row r="1912" spans="3:13" ht="12.75" customHeight="1" x14ac:dyDescent="0.2">
      <c r="C1912"/>
      <c r="M1912"/>
    </row>
    <row r="1913" spans="3:13" ht="12.75" customHeight="1" x14ac:dyDescent="0.2">
      <c r="C1913"/>
      <c r="M1913"/>
    </row>
    <row r="1914" spans="3:13" ht="12.75" customHeight="1" x14ac:dyDescent="0.2">
      <c r="C1914"/>
      <c r="M1914"/>
    </row>
    <row r="1915" spans="3:13" ht="12.75" customHeight="1" x14ac:dyDescent="0.2">
      <c r="C1915"/>
      <c r="M1915"/>
    </row>
    <row r="1916" spans="3:13" ht="12.75" customHeight="1" x14ac:dyDescent="0.2">
      <c r="C1916"/>
      <c r="M1916"/>
    </row>
    <row r="1917" spans="3:13" ht="12.75" customHeight="1" x14ac:dyDescent="0.2">
      <c r="C1917"/>
      <c r="M1917"/>
    </row>
    <row r="1918" spans="3:13" ht="12.75" customHeight="1" x14ac:dyDescent="0.2">
      <c r="C1918"/>
      <c r="M1918"/>
    </row>
    <row r="1919" spans="3:13" ht="12.75" customHeight="1" x14ac:dyDescent="0.2">
      <c r="C1919"/>
      <c r="M1919"/>
    </row>
    <row r="1920" spans="3:13" ht="12.75" customHeight="1" x14ac:dyDescent="0.2">
      <c r="C1920"/>
      <c r="M1920"/>
    </row>
    <row r="1921" spans="3:13" ht="12.75" customHeight="1" x14ac:dyDescent="0.2">
      <c r="C1921"/>
      <c r="M1921"/>
    </row>
    <row r="1922" spans="3:13" ht="12.75" customHeight="1" x14ac:dyDescent="0.2">
      <c r="C1922"/>
      <c r="M1922"/>
    </row>
    <row r="1923" spans="3:13" ht="12.75" customHeight="1" x14ac:dyDescent="0.2">
      <c r="C1923"/>
      <c r="M1923"/>
    </row>
    <row r="1924" spans="3:13" ht="12.75" customHeight="1" x14ac:dyDescent="0.2">
      <c r="C1924"/>
      <c r="M1924"/>
    </row>
    <row r="1925" spans="3:13" ht="12.75" customHeight="1" x14ac:dyDescent="0.2">
      <c r="C1925"/>
      <c r="M1925"/>
    </row>
    <row r="1926" spans="3:13" ht="12.75" customHeight="1" x14ac:dyDescent="0.2">
      <c r="C1926"/>
      <c r="M1926"/>
    </row>
    <row r="1927" spans="3:13" ht="12.75" customHeight="1" x14ac:dyDescent="0.2">
      <c r="C1927"/>
      <c r="M1927"/>
    </row>
    <row r="1928" spans="3:13" ht="12.75" customHeight="1" x14ac:dyDescent="0.2">
      <c r="C1928"/>
      <c r="M1928"/>
    </row>
    <row r="1929" spans="3:13" ht="12.75" customHeight="1" x14ac:dyDescent="0.2">
      <c r="C1929"/>
      <c r="M1929"/>
    </row>
    <row r="1930" spans="3:13" ht="12.75" customHeight="1" x14ac:dyDescent="0.2">
      <c r="C1930"/>
      <c r="M1930"/>
    </row>
    <row r="1931" spans="3:13" ht="12.75" customHeight="1" x14ac:dyDescent="0.2">
      <c r="C1931"/>
      <c r="M1931"/>
    </row>
    <row r="1932" spans="3:13" ht="12.75" customHeight="1" x14ac:dyDescent="0.2">
      <c r="C1932"/>
      <c r="M1932"/>
    </row>
    <row r="1933" spans="3:13" ht="12.75" customHeight="1" x14ac:dyDescent="0.2">
      <c r="C1933"/>
      <c r="M1933"/>
    </row>
    <row r="1934" spans="3:13" ht="12.75" customHeight="1" x14ac:dyDescent="0.2">
      <c r="C1934"/>
      <c r="M1934"/>
    </row>
    <row r="1935" spans="3:13" ht="12.75" customHeight="1" x14ac:dyDescent="0.2">
      <c r="C1935"/>
      <c r="M1935"/>
    </row>
    <row r="1936" spans="3:13" ht="12.75" customHeight="1" x14ac:dyDescent="0.2">
      <c r="C1936"/>
      <c r="M1936"/>
    </row>
    <row r="1937" spans="3:13" ht="12.75" customHeight="1" x14ac:dyDescent="0.2">
      <c r="C1937"/>
      <c r="M1937"/>
    </row>
    <row r="1938" spans="3:13" ht="12.75" customHeight="1" x14ac:dyDescent="0.2">
      <c r="C1938"/>
      <c r="M1938"/>
    </row>
    <row r="1939" spans="3:13" ht="12.75" customHeight="1" x14ac:dyDescent="0.2">
      <c r="C1939"/>
      <c r="M1939"/>
    </row>
    <row r="1940" spans="3:13" ht="12.75" customHeight="1" x14ac:dyDescent="0.2">
      <c r="C1940"/>
      <c r="M1940"/>
    </row>
    <row r="1941" spans="3:13" ht="12.75" customHeight="1" x14ac:dyDescent="0.2">
      <c r="C1941"/>
      <c r="M1941"/>
    </row>
    <row r="1942" spans="3:13" ht="12.75" customHeight="1" x14ac:dyDescent="0.2">
      <c r="C1942"/>
      <c r="M1942"/>
    </row>
    <row r="1943" spans="3:13" ht="12.75" customHeight="1" x14ac:dyDescent="0.2">
      <c r="C1943"/>
      <c r="M1943"/>
    </row>
    <row r="1944" spans="3:13" ht="12.75" customHeight="1" x14ac:dyDescent="0.2">
      <c r="C1944"/>
      <c r="M1944"/>
    </row>
    <row r="1945" spans="3:13" ht="12.75" customHeight="1" x14ac:dyDescent="0.2">
      <c r="C1945"/>
      <c r="M1945"/>
    </row>
    <row r="1946" spans="3:13" ht="12.75" customHeight="1" x14ac:dyDescent="0.2">
      <c r="C1946"/>
      <c r="M1946"/>
    </row>
    <row r="1947" spans="3:13" ht="12.75" customHeight="1" x14ac:dyDescent="0.2">
      <c r="C1947"/>
      <c r="M1947"/>
    </row>
    <row r="1948" spans="3:13" ht="12.75" customHeight="1" x14ac:dyDescent="0.2">
      <c r="C1948"/>
      <c r="M1948"/>
    </row>
    <row r="1949" spans="3:13" ht="12.75" customHeight="1" x14ac:dyDescent="0.2">
      <c r="C1949"/>
      <c r="M1949"/>
    </row>
    <row r="1950" spans="3:13" ht="12.75" customHeight="1" x14ac:dyDescent="0.2">
      <c r="C1950"/>
      <c r="M1950"/>
    </row>
    <row r="1951" spans="3:13" ht="12.75" customHeight="1" x14ac:dyDescent="0.2">
      <c r="C1951"/>
      <c r="M1951"/>
    </row>
    <row r="1952" spans="3:13" ht="12.75" customHeight="1" x14ac:dyDescent="0.2">
      <c r="C1952"/>
      <c r="M1952"/>
    </row>
    <row r="1953" spans="3:13" ht="12.75" customHeight="1" x14ac:dyDescent="0.2">
      <c r="C1953"/>
      <c r="M1953"/>
    </row>
    <row r="1954" spans="3:13" ht="12.75" customHeight="1" x14ac:dyDescent="0.2">
      <c r="C1954"/>
      <c r="M1954"/>
    </row>
    <row r="1955" spans="3:13" ht="12.75" customHeight="1" x14ac:dyDescent="0.2">
      <c r="C1955"/>
      <c r="M1955"/>
    </row>
    <row r="1956" spans="3:13" ht="12.75" customHeight="1" x14ac:dyDescent="0.2">
      <c r="C1956"/>
      <c r="M1956"/>
    </row>
    <row r="1957" spans="3:13" ht="12.75" customHeight="1" x14ac:dyDescent="0.2">
      <c r="C1957"/>
      <c r="M1957"/>
    </row>
    <row r="1958" spans="3:13" ht="12.75" customHeight="1" x14ac:dyDescent="0.2">
      <c r="C1958"/>
      <c r="M1958"/>
    </row>
    <row r="1959" spans="3:13" ht="12.75" customHeight="1" x14ac:dyDescent="0.2">
      <c r="C1959"/>
      <c r="M1959"/>
    </row>
    <row r="1960" spans="3:13" ht="12.75" customHeight="1" x14ac:dyDescent="0.2">
      <c r="C1960"/>
      <c r="M1960"/>
    </row>
    <row r="1961" spans="3:13" ht="12.75" customHeight="1" x14ac:dyDescent="0.2">
      <c r="C1961"/>
      <c r="M1961"/>
    </row>
    <row r="1962" spans="3:13" ht="12.75" customHeight="1" x14ac:dyDescent="0.2">
      <c r="C1962"/>
      <c r="M1962"/>
    </row>
    <row r="1963" spans="3:13" ht="12.75" customHeight="1" x14ac:dyDescent="0.2">
      <c r="C1963"/>
      <c r="M1963"/>
    </row>
    <row r="1964" spans="3:13" ht="12.75" customHeight="1" x14ac:dyDescent="0.2">
      <c r="C1964"/>
      <c r="M1964"/>
    </row>
    <row r="1965" spans="3:13" ht="12.75" customHeight="1" x14ac:dyDescent="0.2">
      <c r="C1965"/>
      <c r="M1965"/>
    </row>
    <row r="1966" spans="3:13" ht="12.75" customHeight="1" x14ac:dyDescent="0.2">
      <c r="C1966"/>
      <c r="M1966"/>
    </row>
    <row r="1967" spans="3:13" ht="12.75" customHeight="1" x14ac:dyDescent="0.2">
      <c r="C1967"/>
      <c r="M1967"/>
    </row>
    <row r="1968" spans="3:13" ht="12.75" customHeight="1" x14ac:dyDescent="0.2">
      <c r="C1968"/>
      <c r="M1968"/>
    </row>
    <row r="1969" spans="3:13" ht="12.75" customHeight="1" x14ac:dyDescent="0.2">
      <c r="C1969"/>
      <c r="M1969"/>
    </row>
    <row r="1970" spans="3:13" ht="12.75" customHeight="1" x14ac:dyDescent="0.2">
      <c r="C1970"/>
      <c r="M1970"/>
    </row>
    <row r="1971" spans="3:13" ht="12.75" customHeight="1" x14ac:dyDescent="0.2">
      <c r="C1971"/>
      <c r="M1971"/>
    </row>
    <row r="1972" spans="3:13" ht="12.75" customHeight="1" x14ac:dyDescent="0.2">
      <c r="C1972"/>
      <c r="M1972"/>
    </row>
    <row r="1973" spans="3:13" ht="12.75" customHeight="1" x14ac:dyDescent="0.2">
      <c r="C1973"/>
      <c r="M1973"/>
    </row>
    <row r="1974" spans="3:13" ht="12.75" customHeight="1" x14ac:dyDescent="0.2">
      <c r="C1974"/>
      <c r="M1974"/>
    </row>
    <row r="1975" spans="3:13" ht="12.75" customHeight="1" x14ac:dyDescent="0.2">
      <c r="C1975"/>
      <c r="M1975"/>
    </row>
    <row r="1976" spans="3:13" ht="12.75" customHeight="1" x14ac:dyDescent="0.2">
      <c r="C1976"/>
      <c r="M1976"/>
    </row>
    <row r="1977" spans="3:13" ht="12.75" customHeight="1" x14ac:dyDescent="0.2">
      <c r="C1977"/>
      <c r="M1977"/>
    </row>
    <row r="1978" spans="3:13" ht="12.75" customHeight="1" x14ac:dyDescent="0.2">
      <c r="C1978"/>
      <c r="M1978"/>
    </row>
    <row r="1979" spans="3:13" ht="12.75" customHeight="1" x14ac:dyDescent="0.2">
      <c r="C1979"/>
      <c r="M1979"/>
    </row>
    <row r="1980" spans="3:13" ht="12.75" customHeight="1" x14ac:dyDescent="0.2">
      <c r="C1980"/>
      <c r="M1980"/>
    </row>
    <row r="1981" spans="3:13" ht="12.75" customHeight="1" x14ac:dyDescent="0.2">
      <c r="C1981"/>
      <c r="M1981"/>
    </row>
    <row r="1982" spans="3:13" ht="12.75" customHeight="1" x14ac:dyDescent="0.2">
      <c r="C1982"/>
      <c r="M1982"/>
    </row>
    <row r="1983" spans="3:13" ht="12.75" customHeight="1" x14ac:dyDescent="0.2">
      <c r="C1983"/>
      <c r="M1983"/>
    </row>
    <row r="1984" spans="3:13" ht="12.75" customHeight="1" x14ac:dyDescent="0.2">
      <c r="C1984"/>
      <c r="M1984"/>
    </row>
    <row r="1985" spans="3:13" ht="12.75" customHeight="1" x14ac:dyDescent="0.2">
      <c r="C1985"/>
      <c r="M1985"/>
    </row>
    <row r="1986" spans="3:13" ht="12.75" customHeight="1" x14ac:dyDescent="0.2">
      <c r="C1986"/>
      <c r="M1986"/>
    </row>
    <row r="1987" spans="3:13" ht="12.75" customHeight="1" x14ac:dyDescent="0.2">
      <c r="C1987"/>
      <c r="M1987"/>
    </row>
    <row r="1988" spans="3:13" ht="12.75" customHeight="1" x14ac:dyDescent="0.2">
      <c r="C1988"/>
      <c r="M1988"/>
    </row>
    <row r="1989" spans="3:13" ht="12.75" customHeight="1" x14ac:dyDescent="0.2">
      <c r="C1989"/>
      <c r="M1989"/>
    </row>
    <row r="1990" spans="3:13" ht="12.75" customHeight="1" x14ac:dyDescent="0.2">
      <c r="C1990"/>
      <c r="M1990"/>
    </row>
    <row r="1991" spans="3:13" ht="12.75" customHeight="1" x14ac:dyDescent="0.2">
      <c r="C1991"/>
      <c r="M1991"/>
    </row>
    <row r="1992" spans="3:13" ht="12.75" customHeight="1" x14ac:dyDescent="0.2">
      <c r="C1992"/>
      <c r="M1992"/>
    </row>
    <row r="1993" spans="3:13" ht="12.75" customHeight="1" x14ac:dyDescent="0.2">
      <c r="C1993"/>
      <c r="M1993"/>
    </row>
    <row r="1994" spans="3:13" ht="12.75" customHeight="1" x14ac:dyDescent="0.2">
      <c r="C1994"/>
      <c r="M1994"/>
    </row>
    <row r="1995" spans="3:13" ht="12.75" customHeight="1" x14ac:dyDescent="0.2">
      <c r="C1995"/>
      <c r="M1995"/>
    </row>
    <row r="1996" spans="3:13" ht="12.75" customHeight="1" x14ac:dyDescent="0.2">
      <c r="C1996"/>
      <c r="M1996"/>
    </row>
    <row r="1997" spans="3:13" ht="12.75" customHeight="1" x14ac:dyDescent="0.2">
      <c r="C1997"/>
      <c r="M1997"/>
    </row>
    <row r="1998" spans="3:13" ht="12.75" customHeight="1" x14ac:dyDescent="0.2">
      <c r="C1998"/>
      <c r="M1998"/>
    </row>
    <row r="1999" spans="3:13" ht="12.75" customHeight="1" x14ac:dyDescent="0.2">
      <c r="C1999"/>
      <c r="M1999"/>
    </row>
    <row r="2000" spans="3:13" ht="12.75" customHeight="1" x14ac:dyDescent="0.2">
      <c r="C2000"/>
      <c r="M2000"/>
    </row>
    <row r="2001" spans="3:13" ht="12.75" customHeight="1" x14ac:dyDescent="0.2">
      <c r="C2001"/>
      <c r="M2001"/>
    </row>
    <row r="2002" spans="3:13" ht="12.75" customHeight="1" x14ac:dyDescent="0.2">
      <c r="C2002"/>
      <c r="M2002"/>
    </row>
    <row r="2003" spans="3:13" ht="12.75" customHeight="1" x14ac:dyDescent="0.2">
      <c r="C2003"/>
      <c r="M2003"/>
    </row>
    <row r="2004" spans="3:13" ht="12.75" customHeight="1" x14ac:dyDescent="0.2">
      <c r="C2004"/>
      <c r="M2004"/>
    </row>
    <row r="2005" spans="3:13" ht="12.75" customHeight="1" x14ac:dyDescent="0.2">
      <c r="C2005"/>
      <c r="M2005"/>
    </row>
    <row r="2006" spans="3:13" ht="12.75" customHeight="1" x14ac:dyDescent="0.2">
      <c r="C2006"/>
      <c r="M2006"/>
    </row>
    <row r="2007" spans="3:13" ht="12.75" customHeight="1" x14ac:dyDescent="0.2">
      <c r="C2007"/>
      <c r="M2007"/>
    </row>
    <row r="2008" spans="3:13" ht="12.75" customHeight="1" x14ac:dyDescent="0.2">
      <c r="C2008"/>
      <c r="M2008"/>
    </row>
    <row r="2009" spans="3:13" ht="12.75" customHeight="1" x14ac:dyDescent="0.2">
      <c r="C2009"/>
      <c r="M2009"/>
    </row>
    <row r="2010" spans="3:13" ht="12.75" customHeight="1" x14ac:dyDescent="0.2">
      <c r="C2010"/>
      <c r="M2010"/>
    </row>
    <row r="2011" spans="3:13" ht="12.75" customHeight="1" x14ac:dyDescent="0.2">
      <c r="C2011"/>
      <c r="M2011"/>
    </row>
    <row r="2012" spans="3:13" ht="12.75" customHeight="1" x14ac:dyDescent="0.2">
      <c r="C2012"/>
      <c r="M2012"/>
    </row>
    <row r="2013" spans="3:13" ht="12.75" customHeight="1" x14ac:dyDescent="0.2">
      <c r="C2013"/>
      <c r="M2013"/>
    </row>
    <row r="2014" spans="3:13" ht="12.75" customHeight="1" x14ac:dyDescent="0.2">
      <c r="C2014"/>
      <c r="M2014"/>
    </row>
    <row r="2015" spans="3:13" ht="12.75" customHeight="1" x14ac:dyDescent="0.2">
      <c r="C2015"/>
      <c r="M2015"/>
    </row>
    <row r="2016" spans="3:13" ht="12.75" customHeight="1" x14ac:dyDescent="0.2">
      <c r="C2016"/>
      <c r="M2016"/>
    </row>
    <row r="2017" spans="3:13" ht="12.75" customHeight="1" x14ac:dyDescent="0.2">
      <c r="C2017"/>
      <c r="M2017"/>
    </row>
    <row r="2018" spans="3:13" ht="12.75" customHeight="1" x14ac:dyDescent="0.2">
      <c r="C2018"/>
      <c r="M2018"/>
    </row>
    <row r="2019" spans="3:13" ht="12.75" customHeight="1" x14ac:dyDescent="0.2">
      <c r="C2019"/>
      <c r="M2019"/>
    </row>
    <row r="2020" spans="3:13" ht="12.75" customHeight="1" x14ac:dyDescent="0.2">
      <c r="C2020"/>
      <c r="M2020"/>
    </row>
    <row r="2021" spans="3:13" ht="12.75" customHeight="1" x14ac:dyDescent="0.2">
      <c r="C2021"/>
      <c r="M2021"/>
    </row>
    <row r="2022" spans="3:13" ht="12.75" customHeight="1" x14ac:dyDescent="0.2">
      <c r="C2022"/>
      <c r="M2022"/>
    </row>
    <row r="2023" spans="3:13" ht="12.75" customHeight="1" x14ac:dyDescent="0.2">
      <c r="C2023"/>
      <c r="M2023"/>
    </row>
    <row r="2024" spans="3:13" ht="12.75" customHeight="1" x14ac:dyDescent="0.2">
      <c r="C2024"/>
      <c r="M2024"/>
    </row>
    <row r="2025" spans="3:13" ht="12.75" customHeight="1" x14ac:dyDescent="0.2">
      <c r="C2025"/>
      <c r="M2025"/>
    </row>
    <row r="2026" spans="3:13" ht="12.75" customHeight="1" x14ac:dyDescent="0.2">
      <c r="C2026"/>
      <c r="M2026"/>
    </row>
    <row r="2027" spans="3:13" ht="12.75" customHeight="1" x14ac:dyDescent="0.2">
      <c r="C2027"/>
      <c r="M2027"/>
    </row>
    <row r="2028" spans="3:13" ht="12.75" customHeight="1" x14ac:dyDescent="0.2">
      <c r="C2028"/>
      <c r="M2028"/>
    </row>
    <row r="2029" spans="3:13" ht="12.75" customHeight="1" x14ac:dyDescent="0.2">
      <c r="C2029"/>
      <c r="M2029"/>
    </row>
    <row r="2030" spans="3:13" ht="12.75" customHeight="1" x14ac:dyDescent="0.2">
      <c r="C2030"/>
      <c r="M2030"/>
    </row>
    <row r="2031" spans="3:13" ht="12.75" customHeight="1" x14ac:dyDescent="0.2">
      <c r="C2031"/>
      <c r="M2031"/>
    </row>
    <row r="2032" spans="3:13" ht="12.75" customHeight="1" x14ac:dyDescent="0.2">
      <c r="C2032"/>
      <c r="M2032"/>
    </row>
    <row r="2033" spans="3:13" ht="12.75" customHeight="1" x14ac:dyDescent="0.2">
      <c r="C2033"/>
      <c r="M2033"/>
    </row>
    <row r="2034" spans="3:13" ht="12.75" customHeight="1" x14ac:dyDescent="0.2">
      <c r="C2034"/>
      <c r="M2034"/>
    </row>
    <row r="2035" spans="3:13" ht="12.75" customHeight="1" x14ac:dyDescent="0.2">
      <c r="C2035"/>
      <c r="M2035"/>
    </row>
    <row r="2036" spans="3:13" ht="12.75" customHeight="1" x14ac:dyDescent="0.2">
      <c r="C2036"/>
      <c r="M2036"/>
    </row>
    <row r="2037" spans="3:13" ht="12.75" customHeight="1" x14ac:dyDescent="0.2">
      <c r="C2037"/>
      <c r="M2037"/>
    </row>
    <row r="2038" spans="3:13" ht="12.75" customHeight="1" x14ac:dyDescent="0.2">
      <c r="C2038"/>
      <c r="M2038"/>
    </row>
    <row r="2039" spans="3:13" ht="12.75" customHeight="1" x14ac:dyDescent="0.2">
      <c r="C2039"/>
      <c r="M2039"/>
    </row>
    <row r="2040" spans="3:13" ht="12.75" customHeight="1" x14ac:dyDescent="0.2">
      <c r="C2040"/>
      <c r="M2040"/>
    </row>
    <row r="2041" spans="3:13" ht="12.75" customHeight="1" x14ac:dyDescent="0.2">
      <c r="C2041"/>
      <c r="M2041"/>
    </row>
    <row r="2042" spans="3:13" ht="12.75" customHeight="1" x14ac:dyDescent="0.2">
      <c r="C2042"/>
      <c r="M2042"/>
    </row>
    <row r="2043" spans="3:13" ht="12.75" customHeight="1" x14ac:dyDescent="0.2">
      <c r="C2043"/>
      <c r="M2043"/>
    </row>
    <row r="2044" spans="3:13" ht="12.75" customHeight="1" x14ac:dyDescent="0.2">
      <c r="C2044"/>
      <c r="M2044"/>
    </row>
    <row r="2045" spans="3:13" ht="12.75" customHeight="1" x14ac:dyDescent="0.2">
      <c r="C2045"/>
      <c r="M2045"/>
    </row>
    <row r="2046" spans="3:13" ht="12.75" customHeight="1" x14ac:dyDescent="0.2">
      <c r="C2046"/>
      <c r="M2046"/>
    </row>
    <row r="2047" spans="3:13" ht="12.75" customHeight="1" x14ac:dyDescent="0.2">
      <c r="C2047"/>
      <c r="M2047"/>
    </row>
    <row r="2048" spans="3:13" ht="12.75" customHeight="1" x14ac:dyDescent="0.2">
      <c r="C2048"/>
      <c r="M2048"/>
    </row>
    <row r="2049" spans="3:13" ht="12.75" customHeight="1" x14ac:dyDescent="0.2">
      <c r="C2049"/>
      <c r="M2049"/>
    </row>
    <row r="2050" spans="3:13" ht="12.75" customHeight="1" x14ac:dyDescent="0.2">
      <c r="C2050"/>
      <c r="M2050"/>
    </row>
    <row r="2051" spans="3:13" ht="12.75" customHeight="1" x14ac:dyDescent="0.2">
      <c r="C2051"/>
      <c r="M2051"/>
    </row>
    <row r="2052" spans="3:13" ht="12.75" customHeight="1" x14ac:dyDescent="0.2">
      <c r="C2052"/>
      <c r="M2052"/>
    </row>
    <row r="2053" spans="3:13" ht="12.75" customHeight="1" x14ac:dyDescent="0.2">
      <c r="C2053"/>
      <c r="M2053"/>
    </row>
    <row r="2054" spans="3:13" ht="12.75" customHeight="1" x14ac:dyDescent="0.2">
      <c r="C2054"/>
      <c r="M2054"/>
    </row>
    <row r="2055" spans="3:13" ht="12.75" customHeight="1" x14ac:dyDescent="0.2">
      <c r="C2055"/>
      <c r="M2055"/>
    </row>
    <row r="2056" spans="3:13" ht="12.75" customHeight="1" x14ac:dyDescent="0.2">
      <c r="C2056"/>
      <c r="M2056"/>
    </row>
    <row r="2057" spans="3:13" ht="12.75" customHeight="1" x14ac:dyDescent="0.2">
      <c r="C2057"/>
      <c r="M2057"/>
    </row>
    <row r="2058" spans="3:13" ht="12.75" customHeight="1" x14ac:dyDescent="0.2">
      <c r="C2058"/>
      <c r="M2058"/>
    </row>
    <row r="2059" spans="3:13" ht="12.75" customHeight="1" x14ac:dyDescent="0.2">
      <c r="C2059"/>
      <c r="M2059"/>
    </row>
    <row r="2060" spans="3:13" ht="12.75" customHeight="1" x14ac:dyDescent="0.2">
      <c r="C2060"/>
      <c r="M2060"/>
    </row>
    <row r="2061" spans="3:13" ht="12.75" customHeight="1" x14ac:dyDescent="0.2">
      <c r="C2061"/>
      <c r="M2061"/>
    </row>
    <row r="2062" spans="3:13" ht="12.75" customHeight="1" x14ac:dyDescent="0.2">
      <c r="C2062"/>
      <c r="M2062"/>
    </row>
    <row r="2063" spans="3:13" ht="12.75" customHeight="1" x14ac:dyDescent="0.2">
      <c r="C2063"/>
      <c r="M2063"/>
    </row>
    <row r="2064" spans="3:13" ht="12.75" customHeight="1" x14ac:dyDescent="0.2">
      <c r="C2064"/>
      <c r="M2064"/>
    </row>
    <row r="2065" spans="3:13" ht="12.75" customHeight="1" x14ac:dyDescent="0.2">
      <c r="C2065"/>
      <c r="M2065"/>
    </row>
    <row r="2066" spans="3:13" ht="12.75" customHeight="1" x14ac:dyDescent="0.2">
      <c r="C2066"/>
      <c r="M2066"/>
    </row>
    <row r="2067" spans="3:13" ht="12.75" customHeight="1" x14ac:dyDescent="0.2">
      <c r="C2067"/>
      <c r="M2067"/>
    </row>
    <row r="2068" spans="3:13" ht="12.75" customHeight="1" x14ac:dyDescent="0.2">
      <c r="C2068"/>
      <c r="M2068"/>
    </row>
    <row r="2069" spans="3:13" ht="12.75" customHeight="1" x14ac:dyDescent="0.2">
      <c r="C2069"/>
      <c r="M2069"/>
    </row>
    <row r="2070" spans="3:13" ht="12.75" customHeight="1" x14ac:dyDescent="0.2">
      <c r="C2070"/>
      <c r="M2070"/>
    </row>
    <row r="2071" spans="3:13" ht="12.75" customHeight="1" x14ac:dyDescent="0.2">
      <c r="C2071"/>
      <c r="M2071"/>
    </row>
    <row r="2072" spans="3:13" ht="12.75" customHeight="1" x14ac:dyDescent="0.2">
      <c r="C2072"/>
      <c r="M2072"/>
    </row>
    <row r="2073" spans="3:13" ht="12.75" customHeight="1" x14ac:dyDescent="0.2">
      <c r="C2073"/>
      <c r="M2073"/>
    </row>
    <row r="2074" spans="3:13" ht="12.75" customHeight="1" x14ac:dyDescent="0.2">
      <c r="C2074"/>
      <c r="M2074"/>
    </row>
    <row r="2075" spans="3:13" ht="12.75" customHeight="1" x14ac:dyDescent="0.2">
      <c r="C2075"/>
      <c r="M2075"/>
    </row>
    <row r="2076" spans="3:13" ht="12.75" customHeight="1" x14ac:dyDescent="0.2">
      <c r="C2076"/>
      <c r="M2076"/>
    </row>
    <row r="2077" spans="3:13" ht="12.75" customHeight="1" x14ac:dyDescent="0.2">
      <c r="C2077"/>
      <c r="M2077"/>
    </row>
    <row r="2078" spans="3:13" ht="12.75" customHeight="1" x14ac:dyDescent="0.2">
      <c r="C2078"/>
      <c r="M2078"/>
    </row>
    <row r="2079" spans="3:13" ht="12.75" customHeight="1" x14ac:dyDescent="0.2">
      <c r="C2079"/>
      <c r="M2079"/>
    </row>
    <row r="2080" spans="3:13" ht="12.75" customHeight="1" x14ac:dyDescent="0.2">
      <c r="C2080"/>
      <c r="M2080"/>
    </row>
    <row r="2081" spans="3:13" ht="12.75" customHeight="1" x14ac:dyDescent="0.2">
      <c r="C2081"/>
      <c r="M2081"/>
    </row>
    <row r="2082" spans="3:13" ht="12.75" customHeight="1" x14ac:dyDescent="0.2">
      <c r="C2082"/>
      <c r="M2082"/>
    </row>
    <row r="2083" spans="3:13" ht="12.75" customHeight="1" x14ac:dyDescent="0.2">
      <c r="C2083"/>
      <c r="M2083"/>
    </row>
    <row r="2084" spans="3:13" ht="12.75" customHeight="1" x14ac:dyDescent="0.2">
      <c r="C2084"/>
      <c r="M2084"/>
    </row>
    <row r="2085" spans="3:13" ht="12.75" customHeight="1" x14ac:dyDescent="0.2">
      <c r="C2085"/>
      <c r="M2085"/>
    </row>
    <row r="2086" spans="3:13" ht="12.75" customHeight="1" x14ac:dyDescent="0.2">
      <c r="C2086"/>
      <c r="M2086"/>
    </row>
    <row r="2087" spans="3:13" ht="12.75" customHeight="1" x14ac:dyDescent="0.2">
      <c r="C2087"/>
      <c r="M2087"/>
    </row>
    <row r="2088" spans="3:13" ht="12.75" customHeight="1" x14ac:dyDescent="0.2">
      <c r="C2088"/>
      <c r="M2088"/>
    </row>
    <row r="2089" spans="3:13" ht="12.75" customHeight="1" x14ac:dyDescent="0.2">
      <c r="C2089"/>
      <c r="M2089"/>
    </row>
    <row r="2090" spans="3:13" ht="12.75" customHeight="1" x14ac:dyDescent="0.2">
      <c r="C2090"/>
      <c r="M2090"/>
    </row>
    <row r="2091" spans="3:13" ht="12.75" customHeight="1" x14ac:dyDescent="0.2">
      <c r="C2091"/>
      <c r="M2091"/>
    </row>
    <row r="2092" spans="3:13" ht="12.75" customHeight="1" x14ac:dyDescent="0.2">
      <c r="C2092"/>
      <c r="M2092"/>
    </row>
    <row r="2093" spans="3:13" ht="12.75" customHeight="1" x14ac:dyDescent="0.2">
      <c r="C2093"/>
      <c r="M2093"/>
    </row>
    <row r="2094" spans="3:13" ht="12.75" customHeight="1" x14ac:dyDescent="0.2">
      <c r="C2094"/>
      <c r="M2094"/>
    </row>
    <row r="2095" spans="3:13" ht="12.75" customHeight="1" x14ac:dyDescent="0.2">
      <c r="C2095"/>
      <c r="M2095"/>
    </row>
    <row r="2096" spans="3:13" ht="12.75" customHeight="1" x14ac:dyDescent="0.2">
      <c r="C2096"/>
      <c r="M2096"/>
    </row>
    <row r="2097" spans="3:13" ht="12.75" customHeight="1" x14ac:dyDescent="0.2">
      <c r="C2097"/>
      <c r="M2097"/>
    </row>
    <row r="2098" spans="3:13" ht="12.75" customHeight="1" x14ac:dyDescent="0.2">
      <c r="C2098"/>
      <c r="M2098"/>
    </row>
    <row r="2099" spans="3:13" ht="12.75" customHeight="1" x14ac:dyDescent="0.2">
      <c r="C2099"/>
      <c r="M2099"/>
    </row>
    <row r="2100" spans="3:13" ht="12.75" customHeight="1" x14ac:dyDescent="0.2">
      <c r="C2100"/>
      <c r="M2100"/>
    </row>
    <row r="2101" spans="3:13" ht="12.75" customHeight="1" x14ac:dyDescent="0.2">
      <c r="C2101"/>
      <c r="M2101"/>
    </row>
    <row r="2102" spans="3:13" ht="12.75" customHeight="1" x14ac:dyDescent="0.2">
      <c r="C2102"/>
      <c r="M2102"/>
    </row>
    <row r="2103" spans="3:13" ht="12.75" customHeight="1" x14ac:dyDescent="0.2">
      <c r="C2103"/>
      <c r="M2103"/>
    </row>
    <row r="2104" spans="3:13" ht="12.75" customHeight="1" x14ac:dyDescent="0.2">
      <c r="C2104"/>
      <c r="M2104"/>
    </row>
    <row r="2105" spans="3:13" ht="12.75" customHeight="1" x14ac:dyDescent="0.2">
      <c r="C2105"/>
      <c r="M2105"/>
    </row>
    <row r="2106" spans="3:13" ht="12.75" customHeight="1" x14ac:dyDescent="0.2">
      <c r="C2106"/>
      <c r="M2106"/>
    </row>
    <row r="2107" spans="3:13" ht="12.75" customHeight="1" x14ac:dyDescent="0.2">
      <c r="C2107"/>
      <c r="M2107"/>
    </row>
    <row r="2108" spans="3:13" ht="12.75" customHeight="1" x14ac:dyDescent="0.2">
      <c r="C2108"/>
      <c r="M2108"/>
    </row>
    <row r="2109" spans="3:13" ht="12.75" customHeight="1" x14ac:dyDescent="0.2">
      <c r="C2109"/>
      <c r="M2109"/>
    </row>
    <row r="2110" spans="3:13" ht="12.75" customHeight="1" x14ac:dyDescent="0.2">
      <c r="C2110"/>
      <c r="M2110"/>
    </row>
    <row r="2111" spans="3:13" ht="12.75" customHeight="1" x14ac:dyDescent="0.2">
      <c r="C2111"/>
      <c r="M2111"/>
    </row>
    <row r="2112" spans="3:13" ht="12.75" customHeight="1" x14ac:dyDescent="0.2">
      <c r="C2112"/>
      <c r="M2112"/>
    </row>
    <row r="2113" spans="3:13" ht="12.75" customHeight="1" x14ac:dyDescent="0.2">
      <c r="C2113"/>
      <c r="M2113"/>
    </row>
    <row r="2114" spans="3:13" ht="12.75" customHeight="1" x14ac:dyDescent="0.2">
      <c r="C2114"/>
      <c r="M2114"/>
    </row>
    <row r="2115" spans="3:13" ht="12.75" customHeight="1" x14ac:dyDescent="0.2">
      <c r="C2115"/>
      <c r="M2115"/>
    </row>
    <row r="2116" spans="3:13" ht="12.75" customHeight="1" x14ac:dyDescent="0.2">
      <c r="C2116"/>
      <c r="M2116"/>
    </row>
    <row r="2117" spans="3:13" ht="12.75" customHeight="1" x14ac:dyDescent="0.2">
      <c r="C2117"/>
      <c r="M2117"/>
    </row>
    <row r="2118" spans="3:13" ht="12.75" customHeight="1" x14ac:dyDescent="0.2">
      <c r="C2118"/>
      <c r="M2118"/>
    </row>
    <row r="2119" spans="3:13" ht="12.75" customHeight="1" x14ac:dyDescent="0.2">
      <c r="C2119"/>
      <c r="M2119"/>
    </row>
    <row r="2120" spans="3:13" ht="12.75" customHeight="1" x14ac:dyDescent="0.2">
      <c r="C2120"/>
      <c r="M2120"/>
    </row>
    <row r="2121" spans="3:13" ht="12.75" customHeight="1" x14ac:dyDescent="0.2">
      <c r="C2121"/>
      <c r="M2121"/>
    </row>
    <row r="2122" spans="3:13" ht="12.75" customHeight="1" x14ac:dyDescent="0.2">
      <c r="C2122"/>
      <c r="M2122"/>
    </row>
    <row r="2123" spans="3:13" ht="12.75" customHeight="1" x14ac:dyDescent="0.2">
      <c r="C2123"/>
      <c r="M2123"/>
    </row>
    <row r="2124" spans="3:13" ht="12.75" customHeight="1" x14ac:dyDescent="0.2">
      <c r="C2124"/>
      <c r="M2124"/>
    </row>
    <row r="2125" spans="3:13" ht="12.75" customHeight="1" x14ac:dyDescent="0.2">
      <c r="C2125"/>
      <c r="M2125"/>
    </row>
    <row r="2126" spans="3:13" ht="12.75" customHeight="1" x14ac:dyDescent="0.2">
      <c r="C2126"/>
      <c r="M2126"/>
    </row>
    <row r="2127" spans="3:13" ht="12.75" customHeight="1" x14ac:dyDescent="0.2">
      <c r="C2127"/>
      <c r="M2127"/>
    </row>
    <row r="2128" spans="3:13" ht="12.75" customHeight="1" x14ac:dyDescent="0.2">
      <c r="C2128"/>
      <c r="M2128"/>
    </row>
    <row r="2129" spans="3:13" ht="12.75" customHeight="1" x14ac:dyDescent="0.2">
      <c r="C2129"/>
      <c r="M2129"/>
    </row>
    <row r="2130" spans="3:13" ht="12.75" customHeight="1" x14ac:dyDescent="0.2">
      <c r="C2130"/>
      <c r="M2130"/>
    </row>
    <row r="2131" spans="3:13" ht="12.75" customHeight="1" x14ac:dyDescent="0.2">
      <c r="C2131"/>
      <c r="M2131"/>
    </row>
    <row r="2132" spans="3:13" ht="12.75" customHeight="1" x14ac:dyDescent="0.2">
      <c r="C2132"/>
      <c r="M2132"/>
    </row>
    <row r="2133" spans="3:13" ht="12.75" customHeight="1" x14ac:dyDescent="0.2">
      <c r="C2133"/>
      <c r="M2133"/>
    </row>
    <row r="2134" spans="3:13" ht="12.75" customHeight="1" x14ac:dyDescent="0.2">
      <c r="C2134"/>
      <c r="M2134"/>
    </row>
    <row r="2135" spans="3:13" ht="12.75" customHeight="1" x14ac:dyDescent="0.2">
      <c r="C2135"/>
      <c r="M2135"/>
    </row>
    <row r="2136" spans="3:13" ht="12.75" customHeight="1" x14ac:dyDescent="0.2">
      <c r="C2136"/>
      <c r="M2136"/>
    </row>
    <row r="2137" spans="3:13" ht="12.75" customHeight="1" x14ac:dyDescent="0.2">
      <c r="C2137"/>
      <c r="M2137"/>
    </row>
    <row r="2138" spans="3:13" ht="12.75" customHeight="1" x14ac:dyDescent="0.2">
      <c r="C2138"/>
      <c r="M2138"/>
    </row>
    <row r="2139" spans="3:13" ht="12.75" customHeight="1" x14ac:dyDescent="0.2">
      <c r="C2139"/>
      <c r="M2139"/>
    </row>
    <row r="2140" spans="3:13" ht="12.75" customHeight="1" x14ac:dyDescent="0.2">
      <c r="C2140"/>
      <c r="M2140"/>
    </row>
    <row r="2141" spans="3:13" ht="12.75" customHeight="1" x14ac:dyDescent="0.2">
      <c r="C2141"/>
      <c r="M2141"/>
    </row>
    <row r="2142" spans="3:13" ht="12.75" customHeight="1" x14ac:dyDescent="0.2">
      <c r="C2142"/>
      <c r="M2142"/>
    </row>
    <row r="2143" spans="3:13" ht="12.75" customHeight="1" x14ac:dyDescent="0.2">
      <c r="C2143"/>
      <c r="M2143"/>
    </row>
    <row r="2144" spans="3:13" ht="12.75" customHeight="1" x14ac:dyDescent="0.2">
      <c r="C2144"/>
      <c r="M2144"/>
    </row>
    <row r="2145" spans="3:13" ht="12.75" customHeight="1" x14ac:dyDescent="0.2">
      <c r="C2145"/>
      <c r="M2145"/>
    </row>
    <row r="2146" spans="3:13" ht="12.75" customHeight="1" x14ac:dyDescent="0.2">
      <c r="C2146"/>
      <c r="M2146"/>
    </row>
    <row r="2147" spans="3:13" ht="12.75" customHeight="1" x14ac:dyDescent="0.2">
      <c r="C2147"/>
      <c r="M2147"/>
    </row>
    <row r="2148" spans="3:13" ht="12.75" customHeight="1" x14ac:dyDescent="0.2">
      <c r="C2148"/>
      <c r="M2148"/>
    </row>
    <row r="2149" spans="3:13" ht="12.75" customHeight="1" x14ac:dyDescent="0.2">
      <c r="C2149"/>
      <c r="M2149"/>
    </row>
    <row r="2150" spans="3:13" ht="12.75" customHeight="1" x14ac:dyDescent="0.2">
      <c r="C2150"/>
      <c r="M2150"/>
    </row>
    <row r="2151" spans="3:13" ht="12.75" customHeight="1" x14ac:dyDescent="0.2">
      <c r="C2151"/>
      <c r="M2151"/>
    </row>
    <row r="2152" spans="3:13" ht="12.75" customHeight="1" x14ac:dyDescent="0.2">
      <c r="C2152"/>
      <c r="M2152"/>
    </row>
    <row r="2153" spans="3:13" ht="12.75" customHeight="1" x14ac:dyDescent="0.2">
      <c r="C2153"/>
      <c r="M2153"/>
    </row>
    <row r="2154" spans="3:13" ht="12.75" customHeight="1" x14ac:dyDescent="0.2">
      <c r="C2154"/>
      <c r="M2154"/>
    </row>
    <row r="2155" spans="3:13" ht="12.75" customHeight="1" x14ac:dyDescent="0.2">
      <c r="C2155"/>
      <c r="M2155"/>
    </row>
    <row r="2156" spans="3:13" ht="12.75" customHeight="1" x14ac:dyDescent="0.2">
      <c r="C2156"/>
      <c r="M2156"/>
    </row>
    <row r="2157" spans="3:13" ht="12.75" customHeight="1" x14ac:dyDescent="0.2">
      <c r="C2157"/>
      <c r="M2157"/>
    </row>
    <row r="2158" spans="3:13" ht="12.75" customHeight="1" x14ac:dyDescent="0.2">
      <c r="C2158"/>
      <c r="M2158"/>
    </row>
    <row r="2159" spans="3:13" ht="12.75" customHeight="1" x14ac:dyDescent="0.2">
      <c r="C2159"/>
      <c r="M2159"/>
    </row>
    <row r="2160" spans="3:13" ht="12.75" customHeight="1" x14ac:dyDescent="0.2">
      <c r="C2160"/>
      <c r="M2160"/>
    </row>
    <row r="2161" spans="3:13" ht="12.75" customHeight="1" x14ac:dyDescent="0.2">
      <c r="C2161"/>
      <c r="M2161"/>
    </row>
    <row r="2162" spans="3:13" ht="12.75" customHeight="1" x14ac:dyDescent="0.2">
      <c r="C2162"/>
      <c r="M2162"/>
    </row>
    <row r="2163" spans="3:13" ht="12.75" customHeight="1" x14ac:dyDescent="0.2">
      <c r="C2163"/>
      <c r="M2163"/>
    </row>
    <row r="2164" spans="3:13" ht="12.75" customHeight="1" x14ac:dyDescent="0.2">
      <c r="C2164"/>
      <c r="M2164"/>
    </row>
    <row r="2165" spans="3:13" ht="12.75" customHeight="1" x14ac:dyDescent="0.2">
      <c r="C2165"/>
      <c r="M2165"/>
    </row>
    <row r="2166" spans="3:13" ht="12.75" customHeight="1" x14ac:dyDescent="0.2">
      <c r="C2166"/>
      <c r="M2166"/>
    </row>
    <row r="2167" spans="3:13" ht="12.75" customHeight="1" x14ac:dyDescent="0.2">
      <c r="C2167"/>
      <c r="M2167"/>
    </row>
    <row r="2168" spans="3:13" ht="12.75" customHeight="1" x14ac:dyDescent="0.2">
      <c r="C2168"/>
      <c r="M2168"/>
    </row>
    <row r="2169" spans="3:13" ht="12.75" customHeight="1" x14ac:dyDescent="0.2">
      <c r="C2169"/>
      <c r="M2169"/>
    </row>
    <row r="2170" spans="3:13" ht="12.75" customHeight="1" x14ac:dyDescent="0.2">
      <c r="C2170"/>
      <c r="M2170"/>
    </row>
    <row r="2171" spans="3:13" ht="12.75" customHeight="1" x14ac:dyDescent="0.2">
      <c r="C2171"/>
      <c r="M2171"/>
    </row>
    <row r="2172" spans="3:13" ht="12.75" customHeight="1" x14ac:dyDescent="0.2">
      <c r="C2172"/>
      <c r="M2172"/>
    </row>
    <row r="2173" spans="3:13" ht="12.75" customHeight="1" x14ac:dyDescent="0.2">
      <c r="C2173"/>
      <c r="M2173"/>
    </row>
    <row r="2174" spans="3:13" ht="12.75" customHeight="1" x14ac:dyDescent="0.2">
      <c r="C2174"/>
      <c r="M2174"/>
    </row>
    <row r="2175" spans="3:13" ht="12.75" customHeight="1" x14ac:dyDescent="0.2">
      <c r="C2175"/>
      <c r="M2175"/>
    </row>
    <row r="2176" spans="3:13" ht="12.75" customHeight="1" x14ac:dyDescent="0.2">
      <c r="C2176"/>
      <c r="M2176"/>
    </row>
    <row r="2177" spans="3:13" ht="12.75" customHeight="1" x14ac:dyDescent="0.2">
      <c r="C2177"/>
      <c r="M2177"/>
    </row>
    <row r="2178" spans="3:13" ht="12.75" customHeight="1" x14ac:dyDescent="0.2">
      <c r="C2178"/>
      <c r="M2178"/>
    </row>
    <row r="2179" spans="3:13" ht="12.75" customHeight="1" x14ac:dyDescent="0.2">
      <c r="C2179"/>
      <c r="M2179"/>
    </row>
    <row r="2180" spans="3:13" ht="12.75" customHeight="1" x14ac:dyDescent="0.2">
      <c r="C2180"/>
      <c r="M2180"/>
    </row>
    <row r="2181" spans="3:13" ht="12.75" customHeight="1" x14ac:dyDescent="0.2">
      <c r="C2181"/>
      <c r="M2181"/>
    </row>
    <row r="2182" spans="3:13" ht="12.75" customHeight="1" x14ac:dyDescent="0.2">
      <c r="C2182"/>
      <c r="M2182"/>
    </row>
    <row r="2183" spans="3:13" ht="12.75" customHeight="1" x14ac:dyDescent="0.2">
      <c r="C2183"/>
      <c r="M2183"/>
    </row>
    <row r="2184" spans="3:13" ht="12.75" customHeight="1" x14ac:dyDescent="0.2">
      <c r="C2184"/>
      <c r="M2184"/>
    </row>
    <row r="2185" spans="3:13" ht="12.75" customHeight="1" x14ac:dyDescent="0.2">
      <c r="C2185"/>
      <c r="M2185"/>
    </row>
    <row r="2186" spans="3:13" ht="12.75" customHeight="1" x14ac:dyDescent="0.2">
      <c r="C2186"/>
      <c r="M2186"/>
    </row>
    <row r="2187" spans="3:13" ht="12.75" customHeight="1" x14ac:dyDescent="0.2">
      <c r="C2187"/>
      <c r="M2187"/>
    </row>
    <row r="2188" spans="3:13" ht="12.75" customHeight="1" x14ac:dyDescent="0.2">
      <c r="C2188"/>
      <c r="M2188"/>
    </row>
    <row r="2189" spans="3:13" ht="12.75" customHeight="1" x14ac:dyDescent="0.2">
      <c r="C2189"/>
      <c r="M2189"/>
    </row>
    <row r="2190" spans="3:13" ht="12.75" customHeight="1" x14ac:dyDescent="0.2">
      <c r="C2190"/>
      <c r="M2190"/>
    </row>
    <row r="2191" spans="3:13" ht="12.75" customHeight="1" x14ac:dyDescent="0.2">
      <c r="C2191"/>
      <c r="M2191"/>
    </row>
    <row r="2192" spans="3:13" ht="12.75" customHeight="1" x14ac:dyDescent="0.2">
      <c r="C2192"/>
      <c r="M2192"/>
    </row>
    <row r="2193" spans="3:13" ht="12.75" customHeight="1" x14ac:dyDescent="0.2">
      <c r="C2193"/>
      <c r="M2193"/>
    </row>
    <row r="2194" spans="3:13" ht="12.75" customHeight="1" x14ac:dyDescent="0.2">
      <c r="C2194"/>
      <c r="M2194"/>
    </row>
    <row r="2195" spans="3:13" ht="12.75" customHeight="1" x14ac:dyDescent="0.2">
      <c r="C2195"/>
      <c r="M2195"/>
    </row>
    <row r="2196" spans="3:13" ht="12.75" customHeight="1" x14ac:dyDescent="0.2">
      <c r="C2196"/>
      <c r="M2196"/>
    </row>
    <row r="2197" spans="3:13" ht="12.75" customHeight="1" x14ac:dyDescent="0.2">
      <c r="C2197"/>
      <c r="M2197"/>
    </row>
    <row r="2198" spans="3:13" ht="12.75" customHeight="1" x14ac:dyDescent="0.2">
      <c r="C2198"/>
      <c r="M2198"/>
    </row>
    <row r="2199" spans="3:13" ht="12.75" customHeight="1" x14ac:dyDescent="0.2">
      <c r="C2199"/>
      <c r="M2199"/>
    </row>
    <row r="2200" spans="3:13" ht="12.75" customHeight="1" x14ac:dyDescent="0.2">
      <c r="C2200"/>
      <c r="M2200"/>
    </row>
    <row r="2201" spans="3:13" ht="12.75" customHeight="1" x14ac:dyDescent="0.2">
      <c r="C2201"/>
      <c r="M2201"/>
    </row>
    <row r="2202" spans="3:13" ht="12.75" customHeight="1" x14ac:dyDescent="0.2">
      <c r="C2202"/>
      <c r="M2202"/>
    </row>
    <row r="2203" spans="3:13" ht="12.75" customHeight="1" x14ac:dyDescent="0.2">
      <c r="C2203"/>
      <c r="M2203"/>
    </row>
    <row r="2204" spans="3:13" ht="12.75" customHeight="1" x14ac:dyDescent="0.2">
      <c r="C2204"/>
      <c r="M2204"/>
    </row>
    <row r="2205" spans="3:13" ht="12.75" customHeight="1" x14ac:dyDescent="0.2">
      <c r="C2205"/>
      <c r="M2205"/>
    </row>
    <row r="2206" spans="3:13" ht="12.75" customHeight="1" x14ac:dyDescent="0.2">
      <c r="C2206"/>
      <c r="M2206"/>
    </row>
    <row r="2207" spans="3:13" ht="12.75" customHeight="1" x14ac:dyDescent="0.2">
      <c r="C2207"/>
      <c r="M2207"/>
    </row>
    <row r="2208" spans="3:13" ht="12.75" customHeight="1" x14ac:dyDescent="0.2">
      <c r="C2208"/>
      <c r="M2208"/>
    </row>
    <row r="2209" spans="3:13" ht="12.75" customHeight="1" x14ac:dyDescent="0.2">
      <c r="C2209"/>
      <c r="M2209"/>
    </row>
    <row r="2210" spans="3:13" ht="12.75" customHeight="1" x14ac:dyDescent="0.2">
      <c r="C2210"/>
      <c r="M2210"/>
    </row>
    <row r="2211" spans="3:13" ht="12.75" customHeight="1" x14ac:dyDescent="0.2">
      <c r="C2211"/>
      <c r="M2211"/>
    </row>
    <row r="2212" spans="3:13" ht="12.75" customHeight="1" x14ac:dyDescent="0.2">
      <c r="C2212"/>
      <c r="M2212"/>
    </row>
    <row r="2213" spans="3:13" ht="12.75" customHeight="1" x14ac:dyDescent="0.2">
      <c r="C2213"/>
      <c r="M2213"/>
    </row>
    <row r="2214" spans="3:13" ht="12.75" customHeight="1" x14ac:dyDescent="0.2">
      <c r="C2214"/>
      <c r="M2214"/>
    </row>
    <row r="2215" spans="3:13" ht="12.75" customHeight="1" x14ac:dyDescent="0.2">
      <c r="C2215"/>
      <c r="M2215"/>
    </row>
    <row r="2216" spans="3:13" ht="12.75" customHeight="1" x14ac:dyDescent="0.2">
      <c r="C2216"/>
      <c r="M2216"/>
    </row>
    <row r="2217" spans="3:13" ht="12.75" customHeight="1" x14ac:dyDescent="0.2">
      <c r="C2217"/>
      <c r="M2217"/>
    </row>
    <row r="2218" spans="3:13" ht="12.75" customHeight="1" x14ac:dyDescent="0.2">
      <c r="C2218"/>
      <c r="M2218"/>
    </row>
    <row r="2219" spans="3:13" ht="12.75" customHeight="1" x14ac:dyDescent="0.2">
      <c r="C2219"/>
      <c r="M2219"/>
    </row>
    <row r="2220" spans="3:13" ht="12.75" customHeight="1" x14ac:dyDescent="0.2">
      <c r="C2220"/>
      <c r="M2220"/>
    </row>
    <row r="2221" spans="3:13" ht="12.75" customHeight="1" x14ac:dyDescent="0.2">
      <c r="C2221"/>
      <c r="M2221"/>
    </row>
    <row r="2222" spans="3:13" ht="12.75" customHeight="1" x14ac:dyDescent="0.2">
      <c r="C2222"/>
      <c r="M2222"/>
    </row>
    <row r="2223" spans="3:13" ht="12.75" customHeight="1" x14ac:dyDescent="0.2">
      <c r="C2223"/>
      <c r="M2223"/>
    </row>
    <row r="2224" spans="3:13" ht="12.75" customHeight="1" x14ac:dyDescent="0.2">
      <c r="C2224"/>
      <c r="M2224"/>
    </row>
    <row r="2225" spans="3:13" ht="12.75" customHeight="1" x14ac:dyDescent="0.2">
      <c r="C2225"/>
      <c r="M2225"/>
    </row>
    <row r="2226" spans="3:13" ht="12.75" customHeight="1" x14ac:dyDescent="0.2">
      <c r="C2226"/>
      <c r="M2226"/>
    </row>
    <row r="2227" spans="3:13" ht="12.75" customHeight="1" x14ac:dyDescent="0.2">
      <c r="C2227"/>
      <c r="M2227"/>
    </row>
    <row r="2228" spans="3:13" ht="12.75" customHeight="1" x14ac:dyDescent="0.2">
      <c r="C2228"/>
      <c r="M2228"/>
    </row>
    <row r="2229" spans="3:13" ht="12.75" customHeight="1" x14ac:dyDescent="0.2">
      <c r="C2229"/>
      <c r="M2229"/>
    </row>
    <row r="2230" spans="3:13" ht="12.75" customHeight="1" x14ac:dyDescent="0.2">
      <c r="C2230"/>
      <c r="M2230"/>
    </row>
    <row r="2231" spans="3:13" ht="12.75" customHeight="1" x14ac:dyDescent="0.2">
      <c r="C2231"/>
      <c r="M2231"/>
    </row>
    <row r="2232" spans="3:13" ht="12.75" customHeight="1" x14ac:dyDescent="0.2">
      <c r="C2232"/>
      <c r="M2232"/>
    </row>
    <row r="2233" spans="3:13" ht="12.75" customHeight="1" x14ac:dyDescent="0.2">
      <c r="C2233"/>
      <c r="M2233"/>
    </row>
    <row r="2234" spans="3:13" ht="12.75" customHeight="1" x14ac:dyDescent="0.2">
      <c r="C2234"/>
      <c r="M2234"/>
    </row>
    <row r="2235" spans="3:13" ht="12.75" customHeight="1" x14ac:dyDescent="0.2">
      <c r="C2235"/>
      <c r="M2235"/>
    </row>
    <row r="2236" spans="3:13" ht="12.75" customHeight="1" x14ac:dyDescent="0.2">
      <c r="C2236"/>
      <c r="M2236"/>
    </row>
    <row r="2237" spans="3:13" ht="12.75" customHeight="1" x14ac:dyDescent="0.2">
      <c r="C2237"/>
      <c r="M2237"/>
    </row>
    <row r="2238" spans="3:13" ht="12.75" customHeight="1" x14ac:dyDescent="0.2">
      <c r="C2238"/>
      <c r="M2238"/>
    </row>
    <row r="2239" spans="3:13" ht="12.75" customHeight="1" x14ac:dyDescent="0.2">
      <c r="C2239"/>
      <c r="M2239"/>
    </row>
    <row r="2240" spans="3:13" ht="12.75" customHeight="1" x14ac:dyDescent="0.2">
      <c r="C2240"/>
      <c r="M2240"/>
    </row>
    <row r="2241" spans="3:13" ht="12.75" customHeight="1" x14ac:dyDescent="0.2">
      <c r="C2241"/>
      <c r="M2241"/>
    </row>
    <row r="2242" spans="3:13" ht="12.75" customHeight="1" x14ac:dyDescent="0.2">
      <c r="C2242"/>
      <c r="M2242"/>
    </row>
    <row r="2243" spans="3:13" ht="12.75" customHeight="1" x14ac:dyDescent="0.2">
      <c r="C2243"/>
      <c r="M2243"/>
    </row>
    <row r="2244" spans="3:13" ht="12.75" customHeight="1" x14ac:dyDescent="0.2">
      <c r="C2244"/>
      <c r="M2244"/>
    </row>
    <row r="2245" spans="3:13" ht="12.75" customHeight="1" x14ac:dyDescent="0.2">
      <c r="C2245"/>
      <c r="M2245"/>
    </row>
    <row r="2246" spans="3:13" ht="12.75" customHeight="1" x14ac:dyDescent="0.2">
      <c r="C2246"/>
      <c r="M2246"/>
    </row>
    <row r="2247" spans="3:13" ht="12.75" customHeight="1" x14ac:dyDescent="0.2">
      <c r="C2247"/>
      <c r="M2247"/>
    </row>
    <row r="2248" spans="3:13" ht="12.75" customHeight="1" x14ac:dyDescent="0.2">
      <c r="C2248"/>
      <c r="M2248"/>
    </row>
    <row r="2249" spans="3:13" ht="12.75" customHeight="1" x14ac:dyDescent="0.2">
      <c r="C2249"/>
      <c r="M2249"/>
    </row>
    <row r="2250" spans="3:13" ht="12.75" customHeight="1" x14ac:dyDescent="0.2">
      <c r="C2250"/>
      <c r="M2250"/>
    </row>
    <row r="2251" spans="3:13" ht="12.75" customHeight="1" x14ac:dyDescent="0.2">
      <c r="C2251"/>
      <c r="M2251"/>
    </row>
    <row r="2252" spans="3:13" ht="12.75" customHeight="1" x14ac:dyDescent="0.2">
      <c r="C2252"/>
      <c r="M2252"/>
    </row>
    <row r="2253" spans="3:13" ht="12.75" customHeight="1" x14ac:dyDescent="0.2">
      <c r="C2253"/>
      <c r="M2253"/>
    </row>
    <row r="2254" spans="3:13" ht="12.75" customHeight="1" x14ac:dyDescent="0.2">
      <c r="C2254"/>
      <c r="M2254"/>
    </row>
    <row r="2255" spans="3:13" ht="12.75" customHeight="1" x14ac:dyDescent="0.2">
      <c r="C2255"/>
      <c r="M2255"/>
    </row>
    <row r="2256" spans="3:13" ht="12.75" customHeight="1" x14ac:dyDescent="0.2">
      <c r="C2256"/>
      <c r="M2256"/>
    </row>
    <row r="2257" spans="3:13" ht="12.75" customHeight="1" x14ac:dyDescent="0.2">
      <c r="C2257"/>
      <c r="M2257"/>
    </row>
    <row r="2258" spans="3:13" ht="12.75" customHeight="1" x14ac:dyDescent="0.2">
      <c r="C2258"/>
      <c r="M2258"/>
    </row>
    <row r="2259" spans="3:13" ht="12.75" customHeight="1" x14ac:dyDescent="0.2">
      <c r="C2259"/>
      <c r="M2259"/>
    </row>
    <row r="2260" spans="3:13" ht="12.75" customHeight="1" x14ac:dyDescent="0.2">
      <c r="C2260"/>
      <c r="M2260"/>
    </row>
    <row r="2261" spans="3:13" ht="12.75" customHeight="1" x14ac:dyDescent="0.2">
      <c r="C2261"/>
      <c r="M2261"/>
    </row>
    <row r="2262" spans="3:13" ht="12.75" customHeight="1" x14ac:dyDescent="0.2">
      <c r="C2262"/>
      <c r="M2262"/>
    </row>
    <row r="2263" spans="3:13" ht="12.75" customHeight="1" x14ac:dyDescent="0.2">
      <c r="C2263"/>
      <c r="M2263"/>
    </row>
    <row r="2264" spans="3:13" ht="12.75" customHeight="1" x14ac:dyDescent="0.2">
      <c r="C2264"/>
      <c r="M2264"/>
    </row>
    <row r="2265" spans="3:13" ht="12.75" customHeight="1" x14ac:dyDescent="0.2">
      <c r="C2265"/>
      <c r="M2265"/>
    </row>
    <row r="2266" spans="3:13" ht="12.75" customHeight="1" x14ac:dyDescent="0.2">
      <c r="C2266"/>
      <c r="M2266"/>
    </row>
    <row r="2267" spans="3:13" ht="12.75" customHeight="1" x14ac:dyDescent="0.2">
      <c r="C2267"/>
      <c r="M2267"/>
    </row>
    <row r="2268" spans="3:13" ht="12.75" customHeight="1" x14ac:dyDescent="0.2">
      <c r="C2268"/>
      <c r="M2268"/>
    </row>
    <row r="2269" spans="3:13" ht="12.75" customHeight="1" x14ac:dyDescent="0.2">
      <c r="C2269"/>
      <c r="M2269"/>
    </row>
    <row r="2270" spans="3:13" ht="12.75" customHeight="1" x14ac:dyDescent="0.2">
      <c r="C2270"/>
      <c r="M2270"/>
    </row>
    <row r="2271" spans="3:13" ht="12.75" customHeight="1" x14ac:dyDescent="0.2">
      <c r="C2271"/>
      <c r="M2271"/>
    </row>
    <row r="2272" spans="3:13" ht="12.75" customHeight="1" x14ac:dyDescent="0.2">
      <c r="C2272"/>
      <c r="M2272"/>
    </row>
    <row r="2273" spans="3:13" ht="12.75" customHeight="1" x14ac:dyDescent="0.2">
      <c r="C2273"/>
      <c r="M2273"/>
    </row>
    <row r="2274" spans="3:13" ht="12.75" customHeight="1" x14ac:dyDescent="0.2">
      <c r="C2274"/>
      <c r="M2274"/>
    </row>
    <row r="2275" spans="3:13" ht="12.75" customHeight="1" x14ac:dyDescent="0.2">
      <c r="C2275"/>
      <c r="M2275"/>
    </row>
    <row r="2276" spans="3:13" ht="12.75" customHeight="1" x14ac:dyDescent="0.2">
      <c r="C2276"/>
      <c r="M2276"/>
    </row>
    <row r="2277" spans="3:13" ht="12.75" customHeight="1" x14ac:dyDescent="0.2">
      <c r="C2277"/>
      <c r="M2277"/>
    </row>
    <row r="2278" spans="3:13" ht="12.75" customHeight="1" x14ac:dyDescent="0.2">
      <c r="C2278"/>
      <c r="M2278"/>
    </row>
    <row r="2279" spans="3:13" ht="12.75" customHeight="1" x14ac:dyDescent="0.2">
      <c r="C2279"/>
      <c r="M2279"/>
    </row>
    <row r="2280" spans="3:13" ht="12.75" customHeight="1" x14ac:dyDescent="0.2">
      <c r="C2280"/>
      <c r="M2280"/>
    </row>
    <row r="2281" spans="3:13" ht="12.75" customHeight="1" x14ac:dyDescent="0.2">
      <c r="C2281"/>
      <c r="M2281"/>
    </row>
    <row r="2282" spans="3:13" ht="12.75" customHeight="1" x14ac:dyDescent="0.2">
      <c r="C2282"/>
      <c r="M2282"/>
    </row>
    <row r="2283" spans="3:13" ht="12.75" customHeight="1" x14ac:dyDescent="0.2">
      <c r="C2283"/>
      <c r="M2283"/>
    </row>
    <row r="2284" spans="3:13" ht="12.75" customHeight="1" x14ac:dyDescent="0.2">
      <c r="C2284"/>
      <c r="M2284"/>
    </row>
    <row r="2285" spans="3:13" ht="12.75" customHeight="1" x14ac:dyDescent="0.2">
      <c r="C2285"/>
      <c r="M2285"/>
    </row>
    <row r="2286" spans="3:13" ht="12.75" customHeight="1" x14ac:dyDescent="0.2">
      <c r="C2286"/>
      <c r="M2286"/>
    </row>
    <row r="2287" spans="3:13" ht="12.75" customHeight="1" x14ac:dyDescent="0.2">
      <c r="C2287"/>
      <c r="M2287"/>
    </row>
    <row r="2288" spans="3:13" ht="12.75" customHeight="1" x14ac:dyDescent="0.2">
      <c r="C2288"/>
      <c r="M2288"/>
    </row>
    <row r="2289" spans="3:13" ht="12.75" customHeight="1" x14ac:dyDescent="0.2">
      <c r="C2289"/>
      <c r="M2289"/>
    </row>
    <row r="2290" spans="3:13" ht="12.75" customHeight="1" x14ac:dyDescent="0.2">
      <c r="C2290"/>
      <c r="M2290"/>
    </row>
    <row r="2291" spans="3:13" ht="12.75" customHeight="1" x14ac:dyDescent="0.2">
      <c r="C2291"/>
      <c r="M2291"/>
    </row>
    <row r="2292" spans="3:13" ht="12.75" customHeight="1" x14ac:dyDescent="0.2">
      <c r="C2292"/>
      <c r="M2292"/>
    </row>
    <row r="2293" spans="3:13" ht="12.75" customHeight="1" x14ac:dyDescent="0.2">
      <c r="C2293"/>
      <c r="M2293"/>
    </row>
    <row r="2294" spans="3:13" ht="12.75" customHeight="1" x14ac:dyDescent="0.2">
      <c r="C2294"/>
      <c r="M2294"/>
    </row>
    <row r="2295" spans="3:13" ht="12.75" customHeight="1" x14ac:dyDescent="0.2">
      <c r="C2295"/>
      <c r="M2295"/>
    </row>
    <row r="2296" spans="3:13" ht="12.75" customHeight="1" x14ac:dyDescent="0.2">
      <c r="C2296"/>
      <c r="M2296"/>
    </row>
    <row r="2297" spans="3:13" ht="12.75" customHeight="1" x14ac:dyDescent="0.2">
      <c r="C2297"/>
      <c r="M2297"/>
    </row>
    <row r="2298" spans="3:13" ht="12.75" customHeight="1" x14ac:dyDescent="0.2">
      <c r="C2298"/>
      <c r="M2298"/>
    </row>
    <row r="2299" spans="3:13" ht="12.75" customHeight="1" x14ac:dyDescent="0.2">
      <c r="C2299"/>
      <c r="M2299"/>
    </row>
    <row r="2300" spans="3:13" ht="12.75" customHeight="1" x14ac:dyDescent="0.2">
      <c r="C2300"/>
      <c r="M2300"/>
    </row>
    <row r="2301" spans="3:13" ht="12.75" customHeight="1" x14ac:dyDescent="0.2">
      <c r="C2301"/>
      <c r="M2301"/>
    </row>
    <row r="2302" spans="3:13" ht="12.75" customHeight="1" x14ac:dyDescent="0.2">
      <c r="C2302"/>
      <c r="M2302"/>
    </row>
    <row r="2303" spans="3:13" ht="12.75" customHeight="1" x14ac:dyDescent="0.2">
      <c r="C2303"/>
      <c r="M2303"/>
    </row>
    <row r="2304" spans="3:13" ht="12.75" customHeight="1" x14ac:dyDescent="0.2">
      <c r="C2304"/>
      <c r="M2304"/>
    </row>
    <row r="2305" spans="3:13" ht="12.75" customHeight="1" x14ac:dyDescent="0.2">
      <c r="C2305"/>
      <c r="M2305"/>
    </row>
    <row r="2306" spans="3:13" ht="12.75" customHeight="1" x14ac:dyDescent="0.2">
      <c r="C2306"/>
      <c r="M2306"/>
    </row>
    <row r="2307" spans="3:13" ht="12.75" customHeight="1" x14ac:dyDescent="0.2">
      <c r="C2307"/>
      <c r="M2307"/>
    </row>
    <row r="2308" spans="3:13" ht="12.75" customHeight="1" x14ac:dyDescent="0.2">
      <c r="C2308"/>
      <c r="M2308"/>
    </row>
    <row r="2309" spans="3:13" ht="12.75" customHeight="1" x14ac:dyDescent="0.2">
      <c r="C2309"/>
      <c r="M2309"/>
    </row>
    <row r="2310" spans="3:13" ht="12.75" customHeight="1" x14ac:dyDescent="0.2">
      <c r="C2310"/>
      <c r="M2310"/>
    </row>
    <row r="2311" spans="3:13" ht="12.75" customHeight="1" x14ac:dyDescent="0.2">
      <c r="C2311"/>
      <c r="M2311"/>
    </row>
    <row r="2312" spans="3:13" ht="12.75" customHeight="1" x14ac:dyDescent="0.2">
      <c r="C2312"/>
      <c r="M2312"/>
    </row>
    <row r="2313" spans="3:13" ht="12.75" customHeight="1" x14ac:dyDescent="0.2">
      <c r="C2313"/>
      <c r="M2313"/>
    </row>
    <row r="2314" spans="3:13" ht="12.75" customHeight="1" x14ac:dyDescent="0.2">
      <c r="C2314"/>
      <c r="M2314"/>
    </row>
    <row r="2315" spans="3:13" ht="12.75" customHeight="1" x14ac:dyDescent="0.2">
      <c r="C2315"/>
      <c r="M2315"/>
    </row>
    <row r="2316" spans="3:13" ht="12.75" customHeight="1" x14ac:dyDescent="0.2">
      <c r="C2316"/>
      <c r="M2316"/>
    </row>
    <row r="2317" spans="3:13" ht="12.75" customHeight="1" x14ac:dyDescent="0.2">
      <c r="C2317"/>
      <c r="M2317"/>
    </row>
    <row r="2318" spans="3:13" ht="12.75" customHeight="1" x14ac:dyDescent="0.2">
      <c r="C2318"/>
      <c r="M2318"/>
    </row>
    <row r="2319" spans="3:13" ht="12.75" customHeight="1" x14ac:dyDescent="0.2">
      <c r="C2319"/>
      <c r="M2319"/>
    </row>
    <row r="2320" spans="3:13" ht="12.75" customHeight="1" x14ac:dyDescent="0.2">
      <c r="C2320"/>
      <c r="M2320"/>
    </row>
    <row r="2321" spans="3:13" ht="12.75" customHeight="1" x14ac:dyDescent="0.2">
      <c r="C2321"/>
      <c r="M2321"/>
    </row>
    <row r="2322" spans="3:13" ht="12.75" customHeight="1" x14ac:dyDescent="0.2">
      <c r="C2322"/>
      <c r="M2322"/>
    </row>
    <row r="2323" spans="3:13" ht="12.75" customHeight="1" x14ac:dyDescent="0.2">
      <c r="C2323"/>
      <c r="M2323"/>
    </row>
    <row r="2324" spans="3:13" ht="12.75" customHeight="1" x14ac:dyDescent="0.2">
      <c r="C2324"/>
      <c r="M2324"/>
    </row>
    <row r="2325" spans="3:13" ht="12.75" customHeight="1" x14ac:dyDescent="0.2">
      <c r="C2325"/>
      <c r="M2325"/>
    </row>
    <row r="2326" spans="3:13" ht="12.75" customHeight="1" x14ac:dyDescent="0.2">
      <c r="C2326"/>
      <c r="M2326"/>
    </row>
    <row r="2327" spans="3:13" ht="12.75" customHeight="1" x14ac:dyDescent="0.2">
      <c r="C2327"/>
      <c r="M2327"/>
    </row>
    <row r="2328" spans="3:13" ht="12.75" customHeight="1" x14ac:dyDescent="0.2">
      <c r="C2328"/>
      <c r="M2328"/>
    </row>
    <row r="2329" spans="3:13" ht="12.75" customHeight="1" x14ac:dyDescent="0.2">
      <c r="C2329"/>
      <c r="M2329"/>
    </row>
    <row r="2330" spans="3:13" ht="12.75" customHeight="1" x14ac:dyDescent="0.2">
      <c r="C2330"/>
      <c r="M2330"/>
    </row>
    <row r="2331" spans="3:13" ht="12.75" customHeight="1" x14ac:dyDescent="0.2">
      <c r="C2331"/>
      <c r="M2331"/>
    </row>
    <row r="2332" spans="3:13" ht="12.75" customHeight="1" x14ac:dyDescent="0.2">
      <c r="C2332"/>
      <c r="M2332"/>
    </row>
    <row r="2333" spans="3:13" ht="12.75" customHeight="1" x14ac:dyDescent="0.2">
      <c r="C2333"/>
      <c r="M2333"/>
    </row>
    <row r="2334" spans="3:13" ht="12.75" customHeight="1" x14ac:dyDescent="0.2">
      <c r="C2334"/>
      <c r="M2334"/>
    </row>
    <row r="2335" spans="3:13" ht="12.75" customHeight="1" x14ac:dyDescent="0.2">
      <c r="C2335"/>
      <c r="M2335"/>
    </row>
    <row r="2336" spans="3:13" ht="12.75" customHeight="1" x14ac:dyDescent="0.2">
      <c r="C2336"/>
      <c r="M2336"/>
    </row>
    <row r="2337" spans="3:13" ht="12.75" customHeight="1" x14ac:dyDescent="0.2">
      <c r="C2337"/>
      <c r="M2337"/>
    </row>
    <row r="2338" spans="3:13" ht="12.75" customHeight="1" x14ac:dyDescent="0.2">
      <c r="C2338"/>
      <c r="M2338"/>
    </row>
    <row r="2339" spans="3:13" ht="12.75" customHeight="1" x14ac:dyDescent="0.2">
      <c r="C2339"/>
      <c r="M2339"/>
    </row>
    <row r="2340" spans="3:13" ht="12.75" customHeight="1" x14ac:dyDescent="0.2">
      <c r="C2340"/>
      <c r="M2340"/>
    </row>
    <row r="2341" spans="3:13" ht="12.75" customHeight="1" x14ac:dyDescent="0.2">
      <c r="C2341"/>
      <c r="M2341"/>
    </row>
    <row r="2342" spans="3:13" ht="12.75" customHeight="1" x14ac:dyDescent="0.2">
      <c r="C2342"/>
      <c r="M2342"/>
    </row>
    <row r="2343" spans="3:13" ht="12.75" customHeight="1" x14ac:dyDescent="0.2">
      <c r="C2343"/>
      <c r="M2343"/>
    </row>
    <row r="2344" spans="3:13" ht="12.75" customHeight="1" x14ac:dyDescent="0.2">
      <c r="C2344"/>
      <c r="M2344"/>
    </row>
    <row r="2345" spans="3:13" ht="12.75" customHeight="1" x14ac:dyDescent="0.2">
      <c r="C2345"/>
      <c r="M2345"/>
    </row>
    <row r="2346" spans="3:13" ht="12.75" customHeight="1" x14ac:dyDescent="0.2">
      <c r="C2346"/>
      <c r="M2346"/>
    </row>
    <row r="2347" spans="3:13" ht="12.75" customHeight="1" x14ac:dyDescent="0.2">
      <c r="C2347"/>
      <c r="M2347"/>
    </row>
    <row r="2348" spans="3:13" ht="12.75" customHeight="1" x14ac:dyDescent="0.2">
      <c r="C2348"/>
      <c r="M2348"/>
    </row>
    <row r="2349" spans="3:13" ht="12.75" customHeight="1" x14ac:dyDescent="0.2">
      <c r="C2349"/>
      <c r="M2349"/>
    </row>
    <row r="2350" spans="3:13" ht="12.75" customHeight="1" x14ac:dyDescent="0.2">
      <c r="C2350"/>
      <c r="M2350"/>
    </row>
    <row r="2351" spans="3:13" ht="12.75" customHeight="1" x14ac:dyDescent="0.2">
      <c r="C2351"/>
      <c r="M2351"/>
    </row>
    <row r="2352" spans="3:13" ht="12.75" customHeight="1" x14ac:dyDescent="0.2">
      <c r="C2352"/>
      <c r="M2352"/>
    </row>
    <row r="2353" spans="3:13" ht="12.75" customHeight="1" x14ac:dyDescent="0.2">
      <c r="C2353"/>
      <c r="M2353"/>
    </row>
    <row r="2354" spans="3:13" ht="12.75" customHeight="1" x14ac:dyDescent="0.2">
      <c r="C2354"/>
      <c r="M2354"/>
    </row>
    <row r="2355" spans="3:13" ht="12.75" customHeight="1" x14ac:dyDescent="0.2">
      <c r="C2355"/>
      <c r="M2355"/>
    </row>
    <row r="2356" spans="3:13" ht="12.75" customHeight="1" x14ac:dyDescent="0.2">
      <c r="C2356"/>
      <c r="M2356"/>
    </row>
    <row r="2357" spans="3:13" ht="12.75" customHeight="1" x14ac:dyDescent="0.2">
      <c r="C2357"/>
      <c r="M2357"/>
    </row>
    <row r="2358" spans="3:13" ht="12.75" customHeight="1" x14ac:dyDescent="0.2">
      <c r="C2358"/>
      <c r="M2358"/>
    </row>
    <row r="2359" spans="3:13" ht="12.75" customHeight="1" x14ac:dyDescent="0.2">
      <c r="C2359"/>
      <c r="M2359"/>
    </row>
    <row r="2360" spans="3:13" ht="12.75" customHeight="1" x14ac:dyDescent="0.2">
      <c r="C2360"/>
      <c r="M2360"/>
    </row>
    <row r="2361" spans="3:13" ht="12.75" customHeight="1" x14ac:dyDescent="0.2">
      <c r="C2361"/>
      <c r="M2361"/>
    </row>
    <row r="2362" spans="3:13" ht="12.75" customHeight="1" x14ac:dyDescent="0.2">
      <c r="C2362"/>
      <c r="M2362"/>
    </row>
    <row r="2363" spans="3:13" ht="12.75" customHeight="1" x14ac:dyDescent="0.2">
      <c r="C2363"/>
      <c r="M2363"/>
    </row>
    <row r="2364" spans="3:13" ht="12.75" customHeight="1" x14ac:dyDescent="0.2">
      <c r="C2364"/>
      <c r="M2364"/>
    </row>
    <row r="2365" spans="3:13" ht="12.75" customHeight="1" x14ac:dyDescent="0.2">
      <c r="C2365"/>
      <c r="M2365"/>
    </row>
    <row r="2366" spans="3:13" ht="12.75" customHeight="1" x14ac:dyDescent="0.2">
      <c r="C2366"/>
      <c r="M2366"/>
    </row>
    <row r="2367" spans="3:13" ht="12.75" customHeight="1" x14ac:dyDescent="0.2">
      <c r="C2367"/>
      <c r="M2367"/>
    </row>
    <row r="2368" spans="3:13" ht="12.75" customHeight="1" x14ac:dyDescent="0.2">
      <c r="C2368"/>
      <c r="M2368"/>
    </row>
    <row r="2369" spans="3:13" ht="12.75" customHeight="1" x14ac:dyDescent="0.2">
      <c r="C2369"/>
      <c r="M2369"/>
    </row>
    <row r="2370" spans="3:13" ht="12.75" customHeight="1" x14ac:dyDescent="0.2">
      <c r="C2370"/>
      <c r="M2370"/>
    </row>
    <row r="2371" spans="3:13" ht="12.75" customHeight="1" x14ac:dyDescent="0.2">
      <c r="C2371"/>
      <c r="M2371"/>
    </row>
    <row r="2372" spans="3:13" ht="12.75" customHeight="1" x14ac:dyDescent="0.2">
      <c r="C2372"/>
      <c r="M2372"/>
    </row>
    <row r="2373" spans="3:13" ht="12.75" customHeight="1" x14ac:dyDescent="0.2">
      <c r="C2373"/>
      <c r="M2373"/>
    </row>
    <row r="2374" spans="3:13" ht="12.75" customHeight="1" x14ac:dyDescent="0.2">
      <c r="C2374"/>
      <c r="M2374"/>
    </row>
    <row r="2375" spans="3:13" ht="12.75" customHeight="1" x14ac:dyDescent="0.2">
      <c r="C2375"/>
      <c r="M2375"/>
    </row>
    <row r="2376" spans="3:13" ht="12.75" customHeight="1" x14ac:dyDescent="0.2">
      <c r="C2376"/>
      <c r="M2376"/>
    </row>
    <row r="2377" spans="3:13" ht="12.75" customHeight="1" x14ac:dyDescent="0.2">
      <c r="C2377"/>
      <c r="M2377"/>
    </row>
    <row r="2378" spans="3:13" ht="12.75" customHeight="1" x14ac:dyDescent="0.2">
      <c r="C2378"/>
      <c r="M2378"/>
    </row>
    <row r="2379" spans="3:13" ht="12.75" customHeight="1" x14ac:dyDescent="0.2">
      <c r="C2379"/>
      <c r="M2379"/>
    </row>
    <row r="2380" spans="3:13" ht="12.75" customHeight="1" x14ac:dyDescent="0.2">
      <c r="C2380"/>
      <c r="M2380"/>
    </row>
    <row r="2381" spans="3:13" ht="12.75" customHeight="1" x14ac:dyDescent="0.2">
      <c r="C2381"/>
      <c r="M2381"/>
    </row>
    <row r="2382" spans="3:13" ht="12.75" customHeight="1" x14ac:dyDescent="0.2">
      <c r="C2382"/>
      <c r="M2382"/>
    </row>
    <row r="2383" spans="3:13" ht="12.75" customHeight="1" x14ac:dyDescent="0.2">
      <c r="C2383"/>
      <c r="M2383"/>
    </row>
    <row r="2384" spans="3:13" ht="12.75" customHeight="1" x14ac:dyDescent="0.2">
      <c r="C2384"/>
      <c r="M2384"/>
    </row>
    <row r="2385" spans="3:13" ht="12.75" customHeight="1" x14ac:dyDescent="0.2">
      <c r="C2385"/>
      <c r="M2385"/>
    </row>
    <row r="2386" spans="3:13" ht="12.75" customHeight="1" x14ac:dyDescent="0.2">
      <c r="C2386"/>
      <c r="M2386"/>
    </row>
    <row r="2387" spans="3:13" ht="12.75" customHeight="1" x14ac:dyDescent="0.2">
      <c r="C2387"/>
      <c r="M2387"/>
    </row>
    <row r="2388" spans="3:13" ht="12.75" customHeight="1" x14ac:dyDescent="0.2">
      <c r="C2388"/>
      <c r="M2388"/>
    </row>
    <row r="2389" spans="3:13" ht="12.75" customHeight="1" x14ac:dyDescent="0.2">
      <c r="C2389"/>
      <c r="M2389"/>
    </row>
    <row r="2390" spans="3:13" ht="12.75" customHeight="1" x14ac:dyDescent="0.2">
      <c r="C2390"/>
      <c r="M2390"/>
    </row>
    <row r="2391" spans="3:13" ht="12.75" customHeight="1" x14ac:dyDescent="0.2">
      <c r="C2391"/>
      <c r="M2391"/>
    </row>
    <row r="2392" spans="3:13" ht="12.75" customHeight="1" x14ac:dyDescent="0.2">
      <c r="C2392"/>
      <c r="M2392"/>
    </row>
    <row r="2393" spans="3:13" ht="12.75" customHeight="1" x14ac:dyDescent="0.2">
      <c r="C2393"/>
      <c r="M2393"/>
    </row>
    <row r="2394" spans="3:13" ht="12.75" customHeight="1" x14ac:dyDescent="0.2">
      <c r="C2394"/>
      <c r="M2394"/>
    </row>
    <row r="2395" spans="3:13" ht="12.75" customHeight="1" x14ac:dyDescent="0.2">
      <c r="C2395"/>
      <c r="M2395"/>
    </row>
    <row r="2396" spans="3:13" ht="12.75" customHeight="1" x14ac:dyDescent="0.2">
      <c r="C2396"/>
      <c r="M2396"/>
    </row>
    <row r="2397" spans="3:13" ht="12.75" customHeight="1" x14ac:dyDescent="0.2">
      <c r="C2397"/>
      <c r="M2397"/>
    </row>
    <row r="2398" spans="3:13" ht="12.75" customHeight="1" x14ac:dyDescent="0.2">
      <c r="C2398"/>
      <c r="M2398"/>
    </row>
    <row r="2399" spans="3:13" ht="12.75" customHeight="1" x14ac:dyDescent="0.2">
      <c r="C2399"/>
      <c r="M2399"/>
    </row>
    <row r="2400" spans="3:13" ht="12.75" customHeight="1" x14ac:dyDescent="0.2">
      <c r="C2400"/>
      <c r="M2400"/>
    </row>
    <row r="2401" spans="3:13" ht="12.75" customHeight="1" x14ac:dyDescent="0.2">
      <c r="C2401"/>
      <c r="M2401"/>
    </row>
    <row r="2402" spans="3:13" ht="12.75" customHeight="1" x14ac:dyDescent="0.2">
      <c r="C2402"/>
      <c r="M2402"/>
    </row>
    <row r="2403" spans="3:13" ht="12.75" customHeight="1" x14ac:dyDescent="0.2">
      <c r="C2403"/>
      <c r="M2403"/>
    </row>
    <row r="2404" spans="3:13" ht="12.75" customHeight="1" x14ac:dyDescent="0.2">
      <c r="C2404"/>
      <c r="M2404"/>
    </row>
    <row r="2405" spans="3:13" ht="12.75" customHeight="1" x14ac:dyDescent="0.2">
      <c r="C2405"/>
      <c r="M2405"/>
    </row>
    <row r="2406" spans="3:13" ht="12.75" customHeight="1" x14ac:dyDescent="0.2">
      <c r="C2406"/>
      <c r="M2406"/>
    </row>
    <row r="2407" spans="3:13" ht="12.75" customHeight="1" x14ac:dyDescent="0.2">
      <c r="C2407"/>
      <c r="M2407"/>
    </row>
    <row r="2408" spans="3:13" ht="12.75" customHeight="1" x14ac:dyDescent="0.2">
      <c r="C2408"/>
      <c r="M2408"/>
    </row>
    <row r="2409" spans="3:13" ht="12.75" customHeight="1" x14ac:dyDescent="0.2">
      <c r="C2409"/>
      <c r="M2409"/>
    </row>
    <row r="2410" spans="3:13" ht="12.75" customHeight="1" x14ac:dyDescent="0.2">
      <c r="C2410"/>
      <c r="M2410"/>
    </row>
    <row r="2411" spans="3:13" ht="12.75" customHeight="1" x14ac:dyDescent="0.2">
      <c r="C2411"/>
      <c r="M2411"/>
    </row>
    <row r="2412" spans="3:13" ht="12.75" customHeight="1" x14ac:dyDescent="0.2">
      <c r="C2412"/>
      <c r="M2412"/>
    </row>
    <row r="2413" spans="3:13" ht="12.75" customHeight="1" x14ac:dyDescent="0.2">
      <c r="C2413"/>
      <c r="M2413"/>
    </row>
    <row r="2414" spans="3:13" ht="12.75" customHeight="1" x14ac:dyDescent="0.2">
      <c r="C2414"/>
      <c r="M2414"/>
    </row>
    <row r="2415" spans="3:13" ht="12.75" customHeight="1" x14ac:dyDescent="0.2">
      <c r="C2415"/>
      <c r="M2415"/>
    </row>
    <row r="2416" spans="3:13" ht="12.75" customHeight="1" x14ac:dyDescent="0.2">
      <c r="C2416"/>
      <c r="M2416"/>
    </row>
    <row r="2417" spans="3:13" ht="12.75" customHeight="1" x14ac:dyDescent="0.2">
      <c r="C2417"/>
      <c r="M2417"/>
    </row>
    <row r="2418" spans="3:13" ht="12.75" customHeight="1" x14ac:dyDescent="0.2">
      <c r="C2418"/>
      <c r="M2418"/>
    </row>
    <row r="2419" spans="3:13" ht="12.75" customHeight="1" x14ac:dyDescent="0.2">
      <c r="C2419"/>
      <c r="M2419"/>
    </row>
    <row r="2420" spans="3:13" ht="12.75" customHeight="1" x14ac:dyDescent="0.2">
      <c r="C2420"/>
      <c r="M2420"/>
    </row>
    <row r="2421" spans="3:13" ht="12.75" customHeight="1" x14ac:dyDescent="0.2">
      <c r="C2421"/>
      <c r="M2421"/>
    </row>
    <row r="2422" spans="3:13" ht="12.75" customHeight="1" x14ac:dyDescent="0.2">
      <c r="C2422"/>
      <c r="M2422"/>
    </row>
    <row r="2423" spans="3:13" ht="12.75" customHeight="1" x14ac:dyDescent="0.2">
      <c r="C2423"/>
      <c r="M2423"/>
    </row>
    <row r="2424" spans="3:13" ht="12.75" customHeight="1" x14ac:dyDescent="0.2">
      <c r="C2424"/>
      <c r="M2424"/>
    </row>
    <row r="2425" spans="3:13" ht="12.75" customHeight="1" x14ac:dyDescent="0.2">
      <c r="C2425"/>
      <c r="M2425"/>
    </row>
    <row r="2426" spans="3:13" ht="12.75" customHeight="1" x14ac:dyDescent="0.2">
      <c r="C2426"/>
      <c r="M2426"/>
    </row>
    <row r="2427" spans="3:13" ht="12.75" customHeight="1" x14ac:dyDescent="0.2">
      <c r="C2427"/>
      <c r="M2427"/>
    </row>
    <row r="2428" spans="3:13" ht="12.75" customHeight="1" x14ac:dyDescent="0.2">
      <c r="C2428"/>
      <c r="M2428"/>
    </row>
    <row r="2429" spans="3:13" ht="12.75" customHeight="1" x14ac:dyDescent="0.2">
      <c r="C2429"/>
      <c r="M2429"/>
    </row>
    <row r="2430" spans="3:13" ht="12.75" customHeight="1" x14ac:dyDescent="0.2">
      <c r="C2430"/>
      <c r="M2430"/>
    </row>
    <row r="2431" spans="3:13" ht="12.75" customHeight="1" x14ac:dyDescent="0.2">
      <c r="C2431"/>
      <c r="M2431"/>
    </row>
    <row r="2432" spans="3:13" ht="12.75" customHeight="1" x14ac:dyDescent="0.2">
      <c r="C2432"/>
      <c r="M2432"/>
    </row>
    <row r="2433" spans="3:13" ht="12.75" customHeight="1" x14ac:dyDescent="0.2">
      <c r="C2433"/>
      <c r="M2433"/>
    </row>
    <row r="2434" spans="3:13" ht="12.75" customHeight="1" x14ac:dyDescent="0.2">
      <c r="C2434"/>
      <c r="M2434"/>
    </row>
    <row r="2435" spans="3:13" ht="12.75" customHeight="1" x14ac:dyDescent="0.2">
      <c r="C2435"/>
      <c r="M2435"/>
    </row>
    <row r="2436" spans="3:13" ht="12.75" customHeight="1" x14ac:dyDescent="0.2">
      <c r="C2436"/>
      <c r="M2436"/>
    </row>
    <row r="2437" spans="3:13" ht="12.75" customHeight="1" x14ac:dyDescent="0.2">
      <c r="C2437"/>
      <c r="M2437"/>
    </row>
    <row r="2438" spans="3:13" ht="12.75" customHeight="1" x14ac:dyDescent="0.2">
      <c r="C2438"/>
      <c r="M2438"/>
    </row>
    <row r="2439" spans="3:13" ht="12.75" customHeight="1" x14ac:dyDescent="0.2">
      <c r="C2439"/>
      <c r="M2439"/>
    </row>
    <row r="2440" spans="3:13" ht="12.75" customHeight="1" x14ac:dyDescent="0.2">
      <c r="C2440"/>
      <c r="M2440"/>
    </row>
    <row r="2441" spans="3:13" ht="12.75" customHeight="1" x14ac:dyDescent="0.2">
      <c r="C2441"/>
      <c r="M2441"/>
    </row>
    <row r="2442" spans="3:13" ht="12.75" customHeight="1" x14ac:dyDescent="0.2">
      <c r="C2442"/>
      <c r="M2442"/>
    </row>
    <row r="2443" spans="3:13" ht="12.75" customHeight="1" x14ac:dyDescent="0.2">
      <c r="C2443"/>
      <c r="M2443"/>
    </row>
    <row r="2444" spans="3:13" ht="12.75" customHeight="1" x14ac:dyDescent="0.2">
      <c r="C2444"/>
      <c r="M2444"/>
    </row>
    <row r="2445" spans="3:13" ht="12.75" customHeight="1" x14ac:dyDescent="0.2">
      <c r="C2445"/>
      <c r="M2445"/>
    </row>
    <row r="2446" spans="3:13" ht="12.75" customHeight="1" x14ac:dyDescent="0.2">
      <c r="C2446"/>
      <c r="M2446"/>
    </row>
    <row r="2447" spans="3:13" ht="12.75" customHeight="1" x14ac:dyDescent="0.2">
      <c r="C2447"/>
      <c r="M2447"/>
    </row>
    <row r="2448" spans="3:13" ht="12.75" customHeight="1" x14ac:dyDescent="0.2">
      <c r="C2448"/>
      <c r="M2448"/>
    </row>
    <row r="2449" spans="3:13" ht="12.75" customHeight="1" x14ac:dyDescent="0.2">
      <c r="C2449"/>
      <c r="M2449"/>
    </row>
    <row r="2450" spans="3:13" ht="12.75" customHeight="1" x14ac:dyDescent="0.2">
      <c r="C2450"/>
      <c r="M2450"/>
    </row>
    <row r="2451" spans="3:13" ht="12.75" customHeight="1" x14ac:dyDescent="0.2">
      <c r="C2451"/>
      <c r="M2451"/>
    </row>
    <row r="2452" spans="3:13" ht="12.75" customHeight="1" x14ac:dyDescent="0.2">
      <c r="C2452"/>
      <c r="M2452"/>
    </row>
    <row r="2453" spans="3:13" ht="12.75" customHeight="1" x14ac:dyDescent="0.2">
      <c r="C2453"/>
      <c r="M2453"/>
    </row>
    <row r="2454" spans="3:13" ht="12.75" customHeight="1" x14ac:dyDescent="0.2">
      <c r="C2454"/>
      <c r="M2454"/>
    </row>
    <row r="2455" spans="3:13" ht="12.75" customHeight="1" x14ac:dyDescent="0.2">
      <c r="C2455"/>
      <c r="M2455"/>
    </row>
    <row r="2456" spans="3:13" ht="12.75" customHeight="1" x14ac:dyDescent="0.2">
      <c r="C2456"/>
      <c r="M2456"/>
    </row>
    <row r="2457" spans="3:13" ht="12.75" customHeight="1" x14ac:dyDescent="0.2">
      <c r="C2457"/>
      <c r="M2457"/>
    </row>
    <row r="2458" spans="3:13" ht="12.75" customHeight="1" x14ac:dyDescent="0.2">
      <c r="C2458"/>
      <c r="M2458"/>
    </row>
    <row r="2459" spans="3:13" ht="12.75" customHeight="1" x14ac:dyDescent="0.2">
      <c r="C2459"/>
      <c r="M2459"/>
    </row>
    <row r="2460" spans="3:13" ht="12.75" customHeight="1" x14ac:dyDescent="0.2">
      <c r="C2460"/>
      <c r="M2460"/>
    </row>
    <row r="2461" spans="3:13" ht="12.75" customHeight="1" x14ac:dyDescent="0.2">
      <c r="C2461"/>
      <c r="M2461"/>
    </row>
    <row r="2462" spans="3:13" ht="12.75" customHeight="1" x14ac:dyDescent="0.2">
      <c r="C2462"/>
      <c r="M2462"/>
    </row>
    <row r="2463" spans="3:13" ht="12.75" customHeight="1" x14ac:dyDescent="0.2">
      <c r="C2463"/>
      <c r="M2463"/>
    </row>
    <row r="2464" spans="3:13" ht="12.75" customHeight="1" x14ac:dyDescent="0.2">
      <c r="C2464"/>
      <c r="M2464"/>
    </row>
    <row r="2465" spans="3:13" ht="12.75" customHeight="1" x14ac:dyDescent="0.2">
      <c r="C2465"/>
      <c r="M2465"/>
    </row>
    <row r="2466" spans="3:13" ht="12.75" customHeight="1" x14ac:dyDescent="0.2">
      <c r="C2466"/>
      <c r="M2466"/>
    </row>
    <row r="2467" spans="3:13" ht="12.75" customHeight="1" x14ac:dyDescent="0.2">
      <c r="C2467"/>
      <c r="M2467"/>
    </row>
    <row r="2468" spans="3:13" ht="12.75" customHeight="1" x14ac:dyDescent="0.2">
      <c r="C2468"/>
      <c r="M2468"/>
    </row>
    <row r="2469" spans="3:13" ht="12.75" customHeight="1" x14ac:dyDescent="0.2">
      <c r="C2469"/>
      <c r="M2469"/>
    </row>
    <row r="2470" spans="3:13" ht="12.75" customHeight="1" x14ac:dyDescent="0.2">
      <c r="C2470"/>
      <c r="M2470"/>
    </row>
    <row r="2471" spans="3:13" ht="12.75" customHeight="1" x14ac:dyDescent="0.2">
      <c r="C2471"/>
      <c r="M2471"/>
    </row>
    <row r="2472" spans="3:13" ht="12.75" customHeight="1" x14ac:dyDescent="0.2">
      <c r="C2472"/>
      <c r="M2472"/>
    </row>
    <row r="2473" spans="3:13" ht="12.75" customHeight="1" x14ac:dyDescent="0.2">
      <c r="C2473"/>
      <c r="M2473"/>
    </row>
    <row r="2474" spans="3:13" ht="12.75" customHeight="1" x14ac:dyDescent="0.2">
      <c r="C2474"/>
      <c r="M2474"/>
    </row>
    <row r="2475" spans="3:13" ht="12.75" customHeight="1" x14ac:dyDescent="0.2">
      <c r="C2475"/>
      <c r="M2475"/>
    </row>
    <row r="2476" spans="3:13" ht="12.75" customHeight="1" x14ac:dyDescent="0.2">
      <c r="C2476"/>
      <c r="M2476"/>
    </row>
    <row r="2477" spans="3:13" ht="12.75" customHeight="1" x14ac:dyDescent="0.2">
      <c r="C2477"/>
      <c r="M2477"/>
    </row>
    <row r="2478" spans="3:13" ht="12.75" customHeight="1" x14ac:dyDescent="0.2">
      <c r="C2478"/>
      <c r="M2478"/>
    </row>
    <row r="2479" spans="3:13" ht="12.75" customHeight="1" x14ac:dyDescent="0.2">
      <c r="C2479"/>
      <c r="M2479"/>
    </row>
    <row r="2480" spans="3:13" ht="12.75" customHeight="1" x14ac:dyDescent="0.2">
      <c r="C2480"/>
      <c r="M2480"/>
    </row>
    <row r="2481" spans="3:13" ht="12.75" customHeight="1" x14ac:dyDescent="0.2">
      <c r="C2481"/>
      <c r="M2481"/>
    </row>
    <row r="2482" spans="3:13" ht="12.75" customHeight="1" x14ac:dyDescent="0.2">
      <c r="C2482"/>
      <c r="M2482"/>
    </row>
    <row r="2483" spans="3:13" ht="12.75" customHeight="1" x14ac:dyDescent="0.2">
      <c r="C2483"/>
      <c r="M2483"/>
    </row>
    <row r="2484" spans="3:13" ht="12.75" customHeight="1" x14ac:dyDescent="0.2">
      <c r="C2484"/>
      <c r="M2484"/>
    </row>
    <row r="2485" spans="3:13" ht="12.75" customHeight="1" x14ac:dyDescent="0.2">
      <c r="C2485"/>
      <c r="M2485"/>
    </row>
    <row r="2486" spans="3:13" ht="12.75" customHeight="1" x14ac:dyDescent="0.2">
      <c r="C2486"/>
      <c r="M2486"/>
    </row>
    <row r="2487" spans="3:13" ht="12.75" customHeight="1" x14ac:dyDescent="0.2">
      <c r="C2487"/>
      <c r="M2487"/>
    </row>
    <row r="2488" spans="3:13" ht="12.75" customHeight="1" x14ac:dyDescent="0.2">
      <c r="C2488"/>
      <c r="M2488"/>
    </row>
    <row r="2489" spans="3:13" ht="12.75" customHeight="1" x14ac:dyDescent="0.2">
      <c r="C2489"/>
      <c r="M2489"/>
    </row>
    <row r="2490" spans="3:13" ht="12.75" customHeight="1" x14ac:dyDescent="0.2">
      <c r="C2490"/>
      <c r="M2490"/>
    </row>
    <row r="2491" spans="3:13" ht="12.75" customHeight="1" x14ac:dyDescent="0.2">
      <c r="C2491"/>
      <c r="M2491"/>
    </row>
    <row r="2492" spans="3:13" ht="12.75" customHeight="1" x14ac:dyDescent="0.2">
      <c r="C2492"/>
      <c r="M2492"/>
    </row>
    <row r="2493" spans="3:13" ht="12.75" customHeight="1" x14ac:dyDescent="0.2">
      <c r="C2493"/>
      <c r="M2493"/>
    </row>
    <row r="2494" spans="3:13" ht="12.75" customHeight="1" x14ac:dyDescent="0.2">
      <c r="C2494"/>
      <c r="M2494"/>
    </row>
    <row r="2495" spans="3:13" ht="12.75" customHeight="1" x14ac:dyDescent="0.2">
      <c r="C2495"/>
      <c r="M2495"/>
    </row>
    <row r="2496" spans="3:13" ht="12.75" customHeight="1" x14ac:dyDescent="0.2">
      <c r="C2496"/>
      <c r="M2496"/>
    </row>
    <row r="2497" spans="3:13" ht="12.75" customHeight="1" x14ac:dyDescent="0.2">
      <c r="C2497"/>
      <c r="M2497"/>
    </row>
    <row r="2498" spans="3:13" ht="12.75" customHeight="1" x14ac:dyDescent="0.2">
      <c r="C2498"/>
      <c r="M2498"/>
    </row>
    <row r="2499" spans="3:13" ht="12.75" customHeight="1" x14ac:dyDescent="0.2">
      <c r="C2499"/>
      <c r="M2499"/>
    </row>
    <row r="2500" spans="3:13" ht="12.75" customHeight="1" x14ac:dyDescent="0.2">
      <c r="C2500"/>
      <c r="M2500"/>
    </row>
    <row r="2501" spans="3:13" ht="12.75" customHeight="1" x14ac:dyDescent="0.2">
      <c r="C2501"/>
      <c r="M2501"/>
    </row>
    <row r="2502" spans="3:13" ht="12.75" customHeight="1" x14ac:dyDescent="0.2">
      <c r="C2502"/>
      <c r="M2502"/>
    </row>
    <row r="2503" spans="3:13" ht="12.75" customHeight="1" x14ac:dyDescent="0.2">
      <c r="C2503"/>
      <c r="M2503"/>
    </row>
    <row r="2504" spans="3:13" ht="12.75" customHeight="1" x14ac:dyDescent="0.2">
      <c r="C2504"/>
      <c r="M2504"/>
    </row>
    <row r="2505" spans="3:13" ht="12.75" customHeight="1" x14ac:dyDescent="0.2">
      <c r="C2505"/>
      <c r="M2505"/>
    </row>
    <row r="2506" spans="3:13" ht="12.75" customHeight="1" x14ac:dyDescent="0.2">
      <c r="C2506"/>
      <c r="M2506"/>
    </row>
    <row r="2507" spans="3:13" ht="12.75" customHeight="1" x14ac:dyDescent="0.2">
      <c r="C2507"/>
      <c r="M2507"/>
    </row>
    <row r="2508" spans="3:13" ht="12.75" customHeight="1" x14ac:dyDescent="0.2">
      <c r="C2508"/>
      <c r="M2508"/>
    </row>
    <row r="2509" spans="3:13" ht="12.75" customHeight="1" x14ac:dyDescent="0.2">
      <c r="C2509"/>
      <c r="M2509"/>
    </row>
    <row r="2510" spans="3:13" ht="12.75" customHeight="1" x14ac:dyDescent="0.2">
      <c r="C2510"/>
      <c r="M2510"/>
    </row>
    <row r="2511" spans="3:13" ht="12.75" customHeight="1" x14ac:dyDescent="0.2">
      <c r="C2511"/>
      <c r="M2511"/>
    </row>
    <row r="2512" spans="3:13" ht="12.75" customHeight="1" x14ac:dyDescent="0.2">
      <c r="C2512"/>
      <c r="M2512"/>
    </row>
    <row r="2513" spans="3:13" ht="12.75" customHeight="1" x14ac:dyDescent="0.2">
      <c r="C2513"/>
      <c r="M2513"/>
    </row>
    <row r="2514" spans="3:13" ht="12.75" customHeight="1" x14ac:dyDescent="0.2">
      <c r="C2514"/>
      <c r="M2514"/>
    </row>
    <row r="2515" spans="3:13" ht="12.75" customHeight="1" x14ac:dyDescent="0.2">
      <c r="C2515"/>
      <c r="M2515"/>
    </row>
    <row r="2516" spans="3:13" ht="12.75" customHeight="1" x14ac:dyDescent="0.2">
      <c r="C2516"/>
      <c r="M2516"/>
    </row>
    <row r="2517" spans="3:13" ht="12.75" customHeight="1" x14ac:dyDescent="0.2">
      <c r="C2517"/>
      <c r="M2517"/>
    </row>
    <row r="2518" spans="3:13" ht="12.75" customHeight="1" x14ac:dyDescent="0.2">
      <c r="C2518"/>
      <c r="M2518"/>
    </row>
    <row r="2519" spans="3:13" ht="12.75" customHeight="1" x14ac:dyDescent="0.2">
      <c r="C2519"/>
      <c r="M2519"/>
    </row>
    <row r="2520" spans="3:13" ht="12.75" customHeight="1" x14ac:dyDescent="0.2">
      <c r="C2520"/>
      <c r="M2520"/>
    </row>
    <row r="2521" spans="3:13" ht="12.75" customHeight="1" x14ac:dyDescent="0.2">
      <c r="C2521"/>
      <c r="M2521"/>
    </row>
    <row r="2522" spans="3:13" ht="12.75" customHeight="1" x14ac:dyDescent="0.2">
      <c r="C2522"/>
      <c r="M2522"/>
    </row>
    <row r="2523" spans="3:13" ht="12.75" customHeight="1" x14ac:dyDescent="0.2">
      <c r="C2523"/>
      <c r="M2523"/>
    </row>
    <row r="2524" spans="3:13" ht="12.75" customHeight="1" x14ac:dyDescent="0.2">
      <c r="C2524"/>
      <c r="M2524"/>
    </row>
    <row r="2525" spans="3:13" ht="12.75" customHeight="1" x14ac:dyDescent="0.2">
      <c r="C2525"/>
      <c r="M2525"/>
    </row>
    <row r="2526" spans="3:13" ht="12.75" customHeight="1" x14ac:dyDescent="0.2">
      <c r="C2526"/>
      <c r="M2526"/>
    </row>
    <row r="2527" spans="3:13" ht="12.75" customHeight="1" x14ac:dyDescent="0.2">
      <c r="C2527"/>
      <c r="M2527"/>
    </row>
    <row r="2528" spans="3:13" ht="12.75" customHeight="1" x14ac:dyDescent="0.2">
      <c r="C2528"/>
      <c r="M2528"/>
    </row>
    <row r="2529" spans="3:13" ht="12.75" customHeight="1" x14ac:dyDescent="0.2">
      <c r="C2529"/>
      <c r="M2529"/>
    </row>
    <row r="2530" spans="3:13" ht="12.75" customHeight="1" x14ac:dyDescent="0.2">
      <c r="C2530"/>
      <c r="M2530"/>
    </row>
    <row r="2531" spans="3:13" ht="12.75" customHeight="1" x14ac:dyDescent="0.2">
      <c r="C2531"/>
      <c r="M2531"/>
    </row>
    <row r="2532" spans="3:13" ht="12.75" customHeight="1" x14ac:dyDescent="0.2">
      <c r="C2532"/>
      <c r="M2532"/>
    </row>
    <row r="2533" spans="3:13" ht="12.75" customHeight="1" x14ac:dyDescent="0.2">
      <c r="C2533"/>
      <c r="M2533"/>
    </row>
    <row r="2534" spans="3:13" ht="12.75" customHeight="1" x14ac:dyDescent="0.2">
      <c r="C2534"/>
      <c r="M2534"/>
    </row>
    <row r="2535" spans="3:13" ht="12.75" customHeight="1" x14ac:dyDescent="0.2">
      <c r="C2535"/>
      <c r="M2535"/>
    </row>
    <row r="2536" spans="3:13" ht="12.75" customHeight="1" x14ac:dyDescent="0.2">
      <c r="C2536"/>
      <c r="M2536"/>
    </row>
    <row r="2537" spans="3:13" ht="12.75" customHeight="1" x14ac:dyDescent="0.2">
      <c r="C2537"/>
      <c r="M2537"/>
    </row>
    <row r="2538" spans="3:13" ht="12.75" customHeight="1" x14ac:dyDescent="0.2">
      <c r="C2538"/>
      <c r="M2538"/>
    </row>
    <row r="2539" spans="3:13" ht="12.75" customHeight="1" x14ac:dyDescent="0.2">
      <c r="C2539"/>
      <c r="M2539"/>
    </row>
    <row r="2540" spans="3:13" ht="12.75" customHeight="1" x14ac:dyDescent="0.2">
      <c r="C2540"/>
      <c r="M2540"/>
    </row>
    <row r="2541" spans="3:13" ht="12.75" customHeight="1" x14ac:dyDescent="0.2">
      <c r="C2541"/>
      <c r="M2541"/>
    </row>
    <row r="2542" spans="3:13" ht="12.75" customHeight="1" x14ac:dyDescent="0.2">
      <c r="C2542"/>
      <c r="M2542"/>
    </row>
    <row r="2543" spans="3:13" ht="12.75" customHeight="1" x14ac:dyDescent="0.2">
      <c r="C2543"/>
      <c r="M2543"/>
    </row>
    <row r="2544" spans="3:13" ht="12.75" customHeight="1" x14ac:dyDescent="0.2">
      <c r="C2544"/>
      <c r="M2544"/>
    </row>
    <row r="2545" spans="3:13" ht="12.75" customHeight="1" x14ac:dyDescent="0.2">
      <c r="C2545"/>
      <c r="M2545"/>
    </row>
    <row r="2546" spans="3:13" ht="12.75" customHeight="1" x14ac:dyDescent="0.2">
      <c r="C2546"/>
      <c r="M2546"/>
    </row>
    <row r="2547" spans="3:13" ht="12.75" customHeight="1" x14ac:dyDescent="0.2">
      <c r="C2547"/>
      <c r="M2547"/>
    </row>
    <row r="2548" spans="3:13" ht="12.75" customHeight="1" x14ac:dyDescent="0.2">
      <c r="C2548"/>
      <c r="M2548"/>
    </row>
    <row r="2549" spans="3:13" ht="12.75" customHeight="1" x14ac:dyDescent="0.2">
      <c r="C2549"/>
      <c r="M2549"/>
    </row>
    <row r="2550" spans="3:13" ht="12.75" customHeight="1" x14ac:dyDescent="0.2">
      <c r="C2550"/>
      <c r="M2550"/>
    </row>
    <row r="2551" spans="3:13" ht="12.75" customHeight="1" x14ac:dyDescent="0.2">
      <c r="C2551"/>
      <c r="M2551"/>
    </row>
    <row r="2552" spans="3:13" ht="12.75" customHeight="1" x14ac:dyDescent="0.2">
      <c r="C2552"/>
      <c r="M2552"/>
    </row>
    <row r="2553" spans="3:13" ht="12.75" customHeight="1" x14ac:dyDescent="0.2">
      <c r="C2553"/>
      <c r="M2553"/>
    </row>
    <row r="2554" spans="3:13" ht="12.75" customHeight="1" x14ac:dyDescent="0.2">
      <c r="C2554"/>
      <c r="M2554"/>
    </row>
    <row r="2555" spans="3:13" ht="12.75" customHeight="1" x14ac:dyDescent="0.2">
      <c r="C2555"/>
      <c r="M2555"/>
    </row>
    <row r="2556" spans="3:13" ht="12.75" customHeight="1" x14ac:dyDescent="0.2">
      <c r="C2556"/>
      <c r="M2556"/>
    </row>
    <row r="2557" spans="3:13" ht="12.75" customHeight="1" x14ac:dyDescent="0.2">
      <c r="C2557"/>
      <c r="M2557"/>
    </row>
    <row r="2558" spans="3:13" ht="12.75" customHeight="1" x14ac:dyDescent="0.2">
      <c r="C2558"/>
      <c r="M2558"/>
    </row>
    <row r="2559" spans="3:13" ht="12.75" customHeight="1" x14ac:dyDescent="0.2">
      <c r="C2559"/>
      <c r="M2559"/>
    </row>
    <row r="2560" spans="3:13" ht="12.75" customHeight="1" x14ac:dyDescent="0.2">
      <c r="C2560"/>
      <c r="M2560"/>
    </row>
    <row r="2561" spans="3:13" ht="12.75" customHeight="1" x14ac:dyDescent="0.2">
      <c r="C2561"/>
      <c r="M2561"/>
    </row>
    <row r="2562" spans="3:13" ht="12.75" customHeight="1" x14ac:dyDescent="0.2">
      <c r="C2562"/>
      <c r="M2562"/>
    </row>
    <row r="2563" spans="3:13" ht="12.75" customHeight="1" x14ac:dyDescent="0.2">
      <c r="C2563"/>
      <c r="M2563"/>
    </row>
    <row r="2564" spans="3:13" ht="12.75" customHeight="1" x14ac:dyDescent="0.2">
      <c r="C2564"/>
      <c r="M2564"/>
    </row>
    <row r="2565" spans="3:13" ht="12.75" customHeight="1" x14ac:dyDescent="0.2">
      <c r="C2565"/>
      <c r="M2565"/>
    </row>
    <row r="2566" spans="3:13" ht="12.75" customHeight="1" x14ac:dyDescent="0.2">
      <c r="C2566"/>
      <c r="M2566"/>
    </row>
    <row r="2567" spans="3:13" ht="12.75" customHeight="1" x14ac:dyDescent="0.2">
      <c r="C2567"/>
      <c r="M2567"/>
    </row>
    <row r="2568" spans="3:13" ht="12.75" customHeight="1" x14ac:dyDescent="0.2">
      <c r="C2568"/>
      <c r="M2568"/>
    </row>
    <row r="2569" spans="3:13" ht="12.75" customHeight="1" x14ac:dyDescent="0.2">
      <c r="C2569"/>
      <c r="M2569"/>
    </row>
    <row r="2570" spans="3:13" ht="12.75" customHeight="1" x14ac:dyDescent="0.2">
      <c r="C2570"/>
      <c r="M2570"/>
    </row>
    <row r="2571" spans="3:13" ht="12.75" customHeight="1" x14ac:dyDescent="0.2">
      <c r="C2571"/>
      <c r="M2571"/>
    </row>
    <row r="2572" spans="3:13" ht="12.75" customHeight="1" x14ac:dyDescent="0.2">
      <c r="C2572"/>
      <c r="M2572"/>
    </row>
    <row r="2573" spans="3:13" ht="12.75" customHeight="1" x14ac:dyDescent="0.2">
      <c r="C2573"/>
      <c r="M2573"/>
    </row>
    <row r="2574" spans="3:13" ht="12.75" customHeight="1" x14ac:dyDescent="0.2">
      <c r="C2574"/>
      <c r="M2574"/>
    </row>
    <row r="2575" spans="3:13" ht="12.75" customHeight="1" x14ac:dyDescent="0.2">
      <c r="C2575"/>
      <c r="M2575"/>
    </row>
    <row r="2576" spans="3:13" ht="12.75" customHeight="1" x14ac:dyDescent="0.2">
      <c r="C2576"/>
      <c r="M2576"/>
    </row>
    <row r="2577" spans="3:13" ht="12.75" customHeight="1" x14ac:dyDescent="0.2">
      <c r="C2577"/>
      <c r="M2577"/>
    </row>
    <row r="2578" spans="3:13" ht="12.75" customHeight="1" x14ac:dyDescent="0.2">
      <c r="C2578"/>
      <c r="M2578"/>
    </row>
    <row r="2579" spans="3:13" ht="12.75" customHeight="1" x14ac:dyDescent="0.2">
      <c r="C2579"/>
      <c r="M2579"/>
    </row>
    <row r="2580" spans="3:13" ht="12.75" customHeight="1" x14ac:dyDescent="0.2">
      <c r="C2580"/>
      <c r="M2580"/>
    </row>
    <row r="2581" spans="3:13" ht="12.75" customHeight="1" x14ac:dyDescent="0.2">
      <c r="C2581"/>
      <c r="M2581"/>
    </row>
    <row r="2582" spans="3:13" ht="12.75" customHeight="1" x14ac:dyDescent="0.2">
      <c r="C2582"/>
      <c r="M2582"/>
    </row>
    <row r="2583" spans="3:13" ht="12.75" customHeight="1" x14ac:dyDescent="0.2">
      <c r="C2583"/>
      <c r="M2583"/>
    </row>
    <row r="2584" spans="3:13" ht="12.75" customHeight="1" x14ac:dyDescent="0.2">
      <c r="C2584"/>
      <c r="M2584"/>
    </row>
    <row r="2585" spans="3:13" ht="12.75" customHeight="1" x14ac:dyDescent="0.2">
      <c r="C2585"/>
      <c r="M2585"/>
    </row>
    <row r="2586" spans="3:13" ht="12.75" customHeight="1" x14ac:dyDescent="0.2">
      <c r="C2586"/>
      <c r="M2586"/>
    </row>
    <row r="2587" spans="3:13" ht="12.75" customHeight="1" x14ac:dyDescent="0.2">
      <c r="C2587"/>
      <c r="M2587"/>
    </row>
    <row r="2588" spans="3:13" ht="12.75" customHeight="1" x14ac:dyDescent="0.2">
      <c r="C2588"/>
      <c r="M2588"/>
    </row>
    <row r="2589" spans="3:13" ht="12.75" customHeight="1" x14ac:dyDescent="0.2">
      <c r="C2589"/>
      <c r="M2589"/>
    </row>
    <row r="2590" spans="3:13" ht="12.75" customHeight="1" x14ac:dyDescent="0.2">
      <c r="C2590"/>
      <c r="M2590"/>
    </row>
    <row r="2591" spans="3:13" ht="12.75" customHeight="1" x14ac:dyDescent="0.2">
      <c r="C2591"/>
      <c r="M2591"/>
    </row>
    <row r="2592" spans="3:13" ht="12.75" customHeight="1" x14ac:dyDescent="0.2">
      <c r="C2592"/>
      <c r="M2592"/>
    </row>
    <row r="2593" spans="3:13" ht="12.75" customHeight="1" x14ac:dyDescent="0.2">
      <c r="C2593"/>
      <c r="M2593"/>
    </row>
    <row r="2594" spans="3:13" ht="12.75" customHeight="1" x14ac:dyDescent="0.2">
      <c r="C2594"/>
      <c r="M2594"/>
    </row>
    <row r="2595" spans="3:13" ht="12.75" customHeight="1" x14ac:dyDescent="0.2">
      <c r="C2595"/>
      <c r="M2595"/>
    </row>
    <row r="2596" spans="3:13" ht="12.75" customHeight="1" x14ac:dyDescent="0.2">
      <c r="C2596"/>
      <c r="M2596"/>
    </row>
    <row r="2597" spans="3:13" ht="12.75" customHeight="1" x14ac:dyDescent="0.2">
      <c r="C2597"/>
      <c r="M2597"/>
    </row>
    <row r="2598" spans="3:13" ht="12.75" customHeight="1" x14ac:dyDescent="0.2">
      <c r="C2598"/>
      <c r="M2598"/>
    </row>
    <row r="2599" spans="3:13" ht="12.75" customHeight="1" x14ac:dyDescent="0.2">
      <c r="C2599"/>
      <c r="M2599"/>
    </row>
    <row r="2600" spans="3:13" ht="12.75" customHeight="1" x14ac:dyDescent="0.2">
      <c r="C2600"/>
      <c r="M2600"/>
    </row>
    <row r="2601" spans="3:13" ht="12.75" customHeight="1" x14ac:dyDescent="0.2">
      <c r="C2601"/>
      <c r="M2601"/>
    </row>
    <row r="2602" spans="3:13" ht="12.75" customHeight="1" x14ac:dyDescent="0.2">
      <c r="C2602"/>
      <c r="M2602"/>
    </row>
    <row r="2603" spans="3:13" ht="12.75" customHeight="1" x14ac:dyDescent="0.2">
      <c r="C2603"/>
      <c r="M2603"/>
    </row>
    <row r="2604" spans="3:13" ht="12.75" customHeight="1" x14ac:dyDescent="0.2">
      <c r="C2604"/>
      <c r="M2604"/>
    </row>
    <row r="2605" spans="3:13" ht="12.75" customHeight="1" x14ac:dyDescent="0.2">
      <c r="C2605"/>
      <c r="M2605"/>
    </row>
    <row r="2606" spans="3:13" ht="12.75" customHeight="1" x14ac:dyDescent="0.2">
      <c r="C2606"/>
      <c r="M2606"/>
    </row>
    <row r="2607" spans="3:13" ht="12.75" customHeight="1" x14ac:dyDescent="0.2">
      <c r="C2607"/>
      <c r="M2607"/>
    </row>
    <row r="2608" spans="3:13" ht="12.75" customHeight="1" x14ac:dyDescent="0.2">
      <c r="C2608"/>
      <c r="M2608"/>
    </row>
    <row r="2609" spans="3:13" ht="12.75" customHeight="1" x14ac:dyDescent="0.2">
      <c r="C2609"/>
      <c r="M2609"/>
    </row>
    <row r="2610" spans="3:13" ht="12.75" customHeight="1" x14ac:dyDescent="0.2">
      <c r="C2610"/>
      <c r="M2610"/>
    </row>
    <row r="2611" spans="3:13" ht="12.75" customHeight="1" x14ac:dyDescent="0.2">
      <c r="C2611"/>
      <c r="M2611"/>
    </row>
    <row r="2612" spans="3:13" ht="12.75" customHeight="1" x14ac:dyDescent="0.2">
      <c r="C2612"/>
      <c r="M2612"/>
    </row>
    <row r="2613" spans="3:13" ht="12.75" customHeight="1" x14ac:dyDescent="0.2">
      <c r="C2613"/>
      <c r="M2613"/>
    </row>
    <row r="2614" spans="3:13" ht="12.75" customHeight="1" x14ac:dyDescent="0.2">
      <c r="C2614"/>
      <c r="M2614"/>
    </row>
    <row r="2615" spans="3:13" ht="12.75" customHeight="1" x14ac:dyDescent="0.2">
      <c r="C2615"/>
      <c r="M2615"/>
    </row>
    <row r="2616" spans="3:13" ht="12.75" customHeight="1" x14ac:dyDescent="0.2">
      <c r="C2616"/>
      <c r="M2616"/>
    </row>
    <row r="2617" spans="3:13" ht="12.75" customHeight="1" x14ac:dyDescent="0.2">
      <c r="C2617"/>
      <c r="M2617"/>
    </row>
    <row r="2618" spans="3:13" ht="12.75" customHeight="1" x14ac:dyDescent="0.2">
      <c r="C2618"/>
      <c r="M2618"/>
    </row>
    <row r="2619" spans="3:13" ht="12.75" customHeight="1" x14ac:dyDescent="0.2">
      <c r="C2619"/>
      <c r="M2619"/>
    </row>
    <row r="2620" spans="3:13" ht="12.75" customHeight="1" x14ac:dyDescent="0.2">
      <c r="C2620"/>
      <c r="M2620"/>
    </row>
    <row r="2621" spans="3:13" ht="12.75" customHeight="1" x14ac:dyDescent="0.2">
      <c r="C2621"/>
      <c r="M2621"/>
    </row>
    <row r="2622" spans="3:13" ht="12.75" customHeight="1" x14ac:dyDescent="0.2">
      <c r="C2622"/>
      <c r="M2622"/>
    </row>
    <row r="2623" spans="3:13" ht="12.75" customHeight="1" x14ac:dyDescent="0.2">
      <c r="C2623"/>
      <c r="M2623"/>
    </row>
    <row r="2624" spans="3:13" ht="12.75" customHeight="1" x14ac:dyDescent="0.2">
      <c r="C2624"/>
      <c r="M2624"/>
    </row>
    <row r="2625" spans="3:13" ht="12.75" customHeight="1" x14ac:dyDescent="0.2">
      <c r="C2625"/>
      <c r="M2625"/>
    </row>
    <row r="2626" spans="3:13" ht="12.75" customHeight="1" x14ac:dyDescent="0.2">
      <c r="C2626"/>
      <c r="M2626"/>
    </row>
    <row r="2627" spans="3:13" ht="12.75" customHeight="1" x14ac:dyDescent="0.2">
      <c r="C2627"/>
      <c r="M2627"/>
    </row>
    <row r="2628" spans="3:13" ht="12.75" customHeight="1" x14ac:dyDescent="0.2">
      <c r="C2628"/>
      <c r="M2628"/>
    </row>
    <row r="2629" spans="3:13" ht="12.75" customHeight="1" x14ac:dyDescent="0.2">
      <c r="C2629"/>
      <c r="M2629"/>
    </row>
    <row r="2630" spans="3:13" ht="12.75" customHeight="1" x14ac:dyDescent="0.2">
      <c r="C2630"/>
      <c r="M2630"/>
    </row>
    <row r="2631" spans="3:13" ht="12.75" customHeight="1" x14ac:dyDescent="0.2">
      <c r="C2631"/>
      <c r="M2631"/>
    </row>
    <row r="2632" spans="3:13" ht="12.75" customHeight="1" x14ac:dyDescent="0.2">
      <c r="C2632"/>
      <c r="M2632"/>
    </row>
    <row r="2633" spans="3:13" ht="12.75" customHeight="1" x14ac:dyDescent="0.2">
      <c r="C2633"/>
      <c r="M2633"/>
    </row>
    <row r="2634" spans="3:13" ht="12.75" customHeight="1" x14ac:dyDescent="0.2">
      <c r="C2634"/>
      <c r="M2634"/>
    </row>
    <row r="2635" spans="3:13" ht="12.75" customHeight="1" x14ac:dyDescent="0.2">
      <c r="C2635"/>
      <c r="M2635"/>
    </row>
    <row r="2636" spans="3:13" ht="12.75" customHeight="1" x14ac:dyDescent="0.2">
      <c r="C2636"/>
      <c r="M2636"/>
    </row>
    <row r="2637" spans="3:13" ht="12.75" customHeight="1" x14ac:dyDescent="0.2">
      <c r="C2637"/>
      <c r="M2637"/>
    </row>
    <row r="2638" spans="3:13" ht="12.75" customHeight="1" x14ac:dyDescent="0.2">
      <c r="C2638"/>
      <c r="M2638"/>
    </row>
    <row r="2639" spans="3:13" ht="12.75" customHeight="1" x14ac:dyDescent="0.2">
      <c r="C2639"/>
      <c r="M2639"/>
    </row>
    <row r="2640" spans="3:13" ht="12.75" customHeight="1" x14ac:dyDescent="0.2">
      <c r="C2640"/>
      <c r="M2640"/>
    </row>
    <row r="2641" spans="3:13" ht="12.75" customHeight="1" x14ac:dyDescent="0.2">
      <c r="C2641"/>
      <c r="M2641"/>
    </row>
    <row r="2642" spans="3:13" ht="12.75" customHeight="1" x14ac:dyDescent="0.2">
      <c r="C2642"/>
      <c r="M2642"/>
    </row>
    <row r="2643" spans="3:13" ht="12.75" customHeight="1" x14ac:dyDescent="0.2">
      <c r="C2643"/>
      <c r="M2643"/>
    </row>
    <row r="2644" spans="3:13" ht="12.75" customHeight="1" x14ac:dyDescent="0.2">
      <c r="C2644"/>
      <c r="M2644"/>
    </row>
    <row r="2645" spans="3:13" ht="12.75" customHeight="1" x14ac:dyDescent="0.2">
      <c r="C2645"/>
      <c r="M2645"/>
    </row>
    <row r="2646" spans="3:13" ht="12.75" customHeight="1" x14ac:dyDescent="0.2">
      <c r="C2646"/>
      <c r="M2646"/>
    </row>
    <row r="2647" spans="3:13" ht="12.75" customHeight="1" x14ac:dyDescent="0.2">
      <c r="C2647"/>
      <c r="M2647"/>
    </row>
    <row r="2648" spans="3:13" ht="12.75" customHeight="1" x14ac:dyDescent="0.2">
      <c r="C2648"/>
      <c r="M2648"/>
    </row>
    <row r="2649" spans="3:13" ht="12.75" customHeight="1" x14ac:dyDescent="0.2">
      <c r="C2649"/>
      <c r="M2649"/>
    </row>
    <row r="2650" spans="3:13" ht="12.75" customHeight="1" x14ac:dyDescent="0.2">
      <c r="C2650"/>
      <c r="M2650"/>
    </row>
    <row r="2651" spans="3:13" ht="12.75" customHeight="1" x14ac:dyDescent="0.2">
      <c r="C2651"/>
      <c r="M2651"/>
    </row>
    <row r="2652" spans="3:13" ht="12.75" customHeight="1" x14ac:dyDescent="0.2">
      <c r="C2652"/>
      <c r="M2652"/>
    </row>
    <row r="2653" spans="3:13" ht="12.75" customHeight="1" x14ac:dyDescent="0.2">
      <c r="C2653"/>
      <c r="M2653"/>
    </row>
    <row r="2654" spans="3:13" ht="12.75" customHeight="1" x14ac:dyDescent="0.2">
      <c r="C2654"/>
      <c r="M2654"/>
    </row>
    <row r="2655" spans="3:13" ht="12.75" customHeight="1" x14ac:dyDescent="0.2">
      <c r="C2655"/>
      <c r="M2655"/>
    </row>
    <row r="2656" spans="3:13" ht="12.75" customHeight="1" x14ac:dyDescent="0.2">
      <c r="C2656"/>
      <c r="M2656"/>
    </row>
    <row r="2657" spans="3:13" ht="12.75" customHeight="1" x14ac:dyDescent="0.2">
      <c r="C2657"/>
      <c r="M2657"/>
    </row>
    <row r="2658" spans="3:13" ht="12.75" customHeight="1" x14ac:dyDescent="0.2">
      <c r="C2658"/>
      <c r="M2658"/>
    </row>
    <row r="2659" spans="3:13" ht="12.75" customHeight="1" x14ac:dyDescent="0.2">
      <c r="C2659"/>
      <c r="M2659"/>
    </row>
    <row r="2660" spans="3:13" ht="12.75" customHeight="1" x14ac:dyDescent="0.2">
      <c r="C2660"/>
      <c r="M2660"/>
    </row>
    <row r="2661" spans="3:13" ht="12.75" customHeight="1" x14ac:dyDescent="0.2">
      <c r="C2661"/>
      <c r="M2661"/>
    </row>
    <row r="2662" spans="3:13" ht="12.75" customHeight="1" x14ac:dyDescent="0.2">
      <c r="C2662"/>
      <c r="M2662"/>
    </row>
    <row r="2663" spans="3:13" ht="12.75" customHeight="1" x14ac:dyDescent="0.2">
      <c r="C2663"/>
      <c r="M2663"/>
    </row>
    <row r="2664" spans="3:13" ht="12.75" customHeight="1" x14ac:dyDescent="0.2">
      <c r="C2664"/>
      <c r="M2664"/>
    </row>
    <row r="2665" spans="3:13" ht="12.75" customHeight="1" x14ac:dyDescent="0.2">
      <c r="C2665"/>
      <c r="M2665"/>
    </row>
    <row r="2666" spans="3:13" ht="12.75" customHeight="1" x14ac:dyDescent="0.2">
      <c r="C2666"/>
      <c r="M2666"/>
    </row>
    <row r="2667" spans="3:13" ht="12.75" customHeight="1" x14ac:dyDescent="0.2">
      <c r="C2667"/>
      <c r="M2667"/>
    </row>
    <row r="2668" spans="3:13" ht="12.75" customHeight="1" x14ac:dyDescent="0.2">
      <c r="C2668"/>
      <c r="M2668"/>
    </row>
    <row r="2669" spans="3:13" ht="12.75" customHeight="1" x14ac:dyDescent="0.2">
      <c r="C2669"/>
      <c r="M2669"/>
    </row>
    <row r="2670" spans="3:13" ht="12.75" customHeight="1" x14ac:dyDescent="0.2">
      <c r="C2670"/>
      <c r="M2670"/>
    </row>
    <row r="2671" spans="3:13" ht="12.75" customHeight="1" x14ac:dyDescent="0.2">
      <c r="C2671"/>
      <c r="M2671"/>
    </row>
    <row r="2672" spans="3:13" ht="12.75" customHeight="1" x14ac:dyDescent="0.2">
      <c r="C2672"/>
      <c r="M2672"/>
    </row>
    <row r="2673" spans="3:13" ht="12.75" customHeight="1" x14ac:dyDescent="0.2">
      <c r="C2673"/>
      <c r="M2673"/>
    </row>
    <row r="2674" spans="3:13" ht="12.75" customHeight="1" x14ac:dyDescent="0.2">
      <c r="C2674"/>
      <c r="M2674"/>
    </row>
    <row r="2675" spans="3:13" ht="12.75" customHeight="1" x14ac:dyDescent="0.2">
      <c r="C2675"/>
      <c r="M2675"/>
    </row>
    <row r="2676" spans="3:13" ht="12.75" customHeight="1" x14ac:dyDescent="0.2">
      <c r="C2676"/>
      <c r="M2676"/>
    </row>
    <row r="2677" spans="3:13" ht="12.75" customHeight="1" x14ac:dyDescent="0.2">
      <c r="C2677"/>
      <c r="M2677"/>
    </row>
    <row r="2678" spans="3:13" ht="12.75" customHeight="1" x14ac:dyDescent="0.2">
      <c r="C2678"/>
      <c r="M2678"/>
    </row>
    <row r="2679" spans="3:13" ht="12.75" customHeight="1" x14ac:dyDescent="0.2">
      <c r="C2679"/>
      <c r="M2679"/>
    </row>
    <row r="2680" spans="3:13" ht="12.75" customHeight="1" x14ac:dyDescent="0.2">
      <c r="C2680"/>
      <c r="M2680"/>
    </row>
    <row r="2681" spans="3:13" ht="12.75" customHeight="1" x14ac:dyDescent="0.2">
      <c r="C2681"/>
      <c r="M2681"/>
    </row>
    <row r="2682" spans="3:13" ht="12.75" customHeight="1" x14ac:dyDescent="0.2">
      <c r="C2682"/>
      <c r="M2682"/>
    </row>
    <row r="2683" spans="3:13" ht="12.75" customHeight="1" x14ac:dyDescent="0.2">
      <c r="C2683"/>
      <c r="M2683"/>
    </row>
    <row r="2684" spans="3:13" ht="12.75" customHeight="1" x14ac:dyDescent="0.2">
      <c r="C2684"/>
      <c r="M2684"/>
    </row>
    <row r="2685" spans="3:13" ht="12.75" customHeight="1" x14ac:dyDescent="0.2">
      <c r="C2685"/>
      <c r="M2685"/>
    </row>
    <row r="2686" spans="3:13" ht="12.75" customHeight="1" x14ac:dyDescent="0.2">
      <c r="C2686"/>
      <c r="M2686"/>
    </row>
    <row r="2687" spans="3:13" ht="12.75" customHeight="1" x14ac:dyDescent="0.2">
      <c r="C2687"/>
      <c r="M2687"/>
    </row>
    <row r="2688" spans="3:13" ht="12.75" customHeight="1" x14ac:dyDescent="0.2">
      <c r="C2688"/>
      <c r="M2688"/>
    </row>
    <row r="2689" spans="3:13" ht="12.75" customHeight="1" x14ac:dyDescent="0.2">
      <c r="C2689"/>
      <c r="M2689"/>
    </row>
    <row r="2690" spans="3:13" ht="12.75" customHeight="1" x14ac:dyDescent="0.2">
      <c r="C2690"/>
      <c r="M2690"/>
    </row>
    <row r="2691" spans="3:13" ht="12.75" customHeight="1" x14ac:dyDescent="0.2">
      <c r="C2691"/>
      <c r="M2691"/>
    </row>
    <row r="2692" spans="3:13" ht="12.75" customHeight="1" x14ac:dyDescent="0.2">
      <c r="C2692"/>
      <c r="M2692"/>
    </row>
    <row r="2693" spans="3:13" ht="12.75" customHeight="1" x14ac:dyDescent="0.2">
      <c r="C2693"/>
      <c r="M2693"/>
    </row>
    <row r="2694" spans="3:13" ht="12.75" customHeight="1" x14ac:dyDescent="0.2">
      <c r="C2694"/>
      <c r="M2694"/>
    </row>
    <row r="2695" spans="3:13" ht="12.75" customHeight="1" x14ac:dyDescent="0.2">
      <c r="C2695"/>
      <c r="M2695"/>
    </row>
    <row r="2696" spans="3:13" ht="12.75" customHeight="1" x14ac:dyDescent="0.2">
      <c r="C2696"/>
      <c r="M2696"/>
    </row>
    <row r="2697" spans="3:13" ht="12.75" customHeight="1" x14ac:dyDescent="0.2">
      <c r="C2697"/>
      <c r="M2697"/>
    </row>
    <row r="2698" spans="3:13" ht="12.75" customHeight="1" x14ac:dyDescent="0.2">
      <c r="C2698"/>
      <c r="M2698"/>
    </row>
    <row r="2699" spans="3:13" ht="12.75" customHeight="1" x14ac:dyDescent="0.2">
      <c r="C2699"/>
      <c r="M2699"/>
    </row>
    <row r="2700" spans="3:13" ht="12.75" customHeight="1" x14ac:dyDescent="0.2">
      <c r="C2700"/>
      <c r="M2700"/>
    </row>
    <row r="2701" spans="3:13" ht="12.75" customHeight="1" x14ac:dyDescent="0.2">
      <c r="C2701"/>
      <c r="M2701"/>
    </row>
    <row r="2702" spans="3:13" ht="12.75" customHeight="1" x14ac:dyDescent="0.2">
      <c r="C2702"/>
      <c r="M2702"/>
    </row>
    <row r="2703" spans="3:13" ht="12.75" customHeight="1" x14ac:dyDescent="0.2">
      <c r="C2703"/>
      <c r="M2703"/>
    </row>
    <row r="2704" spans="3:13" ht="12.75" customHeight="1" x14ac:dyDescent="0.2">
      <c r="C2704"/>
      <c r="M2704"/>
    </row>
    <row r="2705" spans="3:13" ht="12.75" customHeight="1" x14ac:dyDescent="0.2">
      <c r="C2705"/>
      <c r="M2705"/>
    </row>
    <row r="2706" spans="3:13" ht="12.75" customHeight="1" x14ac:dyDescent="0.2">
      <c r="C2706"/>
      <c r="M2706"/>
    </row>
    <row r="2707" spans="3:13" ht="12.75" customHeight="1" x14ac:dyDescent="0.2">
      <c r="C2707"/>
      <c r="M2707"/>
    </row>
    <row r="2708" spans="3:13" ht="12.75" customHeight="1" x14ac:dyDescent="0.2">
      <c r="C2708"/>
      <c r="M2708"/>
    </row>
    <row r="2709" spans="3:13" ht="12.75" customHeight="1" x14ac:dyDescent="0.2">
      <c r="C2709"/>
      <c r="M2709"/>
    </row>
    <row r="2710" spans="3:13" ht="12.75" customHeight="1" x14ac:dyDescent="0.2">
      <c r="C2710"/>
      <c r="M2710"/>
    </row>
    <row r="2711" spans="3:13" ht="12.75" customHeight="1" x14ac:dyDescent="0.2">
      <c r="C2711"/>
      <c r="M2711"/>
    </row>
    <row r="2712" spans="3:13" ht="12.75" customHeight="1" x14ac:dyDescent="0.2">
      <c r="C2712"/>
      <c r="M2712"/>
    </row>
    <row r="2713" spans="3:13" ht="12.75" customHeight="1" x14ac:dyDescent="0.2">
      <c r="C2713"/>
      <c r="M2713"/>
    </row>
    <row r="2714" spans="3:13" ht="12.75" customHeight="1" x14ac:dyDescent="0.2">
      <c r="C2714"/>
      <c r="M2714"/>
    </row>
    <row r="2715" spans="3:13" ht="12.75" customHeight="1" x14ac:dyDescent="0.2">
      <c r="C2715"/>
      <c r="M2715"/>
    </row>
    <row r="2716" spans="3:13" ht="12.75" customHeight="1" x14ac:dyDescent="0.2">
      <c r="C2716"/>
      <c r="M2716"/>
    </row>
    <row r="2717" spans="3:13" ht="12.75" customHeight="1" x14ac:dyDescent="0.2">
      <c r="C2717"/>
      <c r="M2717"/>
    </row>
    <row r="2718" spans="3:13" ht="12.75" customHeight="1" x14ac:dyDescent="0.2">
      <c r="C2718"/>
      <c r="M2718"/>
    </row>
    <row r="2719" spans="3:13" ht="12.75" customHeight="1" x14ac:dyDescent="0.2">
      <c r="C2719"/>
      <c r="M2719"/>
    </row>
    <row r="2720" spans="3:13" ht="12.75" customHeight="1" x14ac:dyDescent="0.2">
      <c r="C2720"/>
      <c r="M2720"/>
    </row>
    <row r="2721" spans="3:13" ht="12.75" customHeight="1" x14ac:dyDescent="0.2">
      <c r="C2721"/>
      <c r="M2721"/>
    </row>
    <row r="2722" spans="3:13" ht="12.75" customHeight="1" x14ac:dyDescent="0.2">
      <c r="C2722"/>
      <c r="M2722"/>
    </row>
    <row r="2723" spans="3:13" ht="12.75" customHeight="1" x14ac:dyDescent="0.2">
      <c r="C2723"/>
      <c r="M2723"/>
    </row>
    <row r="2724" spans="3:13" ht="12.75" customHeight="1" x14ac:dyDescent="0.2">
      <c r="C2724"/>
      <c r="M2724"/>
    </row>
    <row r="2725" spans="3:13" ht="12.75" customHeight="1" x14ac:dyDescent="0.2">
      <c r="C2725"/>
      <c r="M2725"/>
    </row>
    <row r="2726" spans="3:13" ht="12.75" customHeight="1" x14ac:dyDescent="0.2">
      <c r="C2726"/>
      <c r="M2726"/>
    </row>
    <row r="2727" spans="3:13" ht="12.75" customHeight="1" x14ac:dyDescent="0.2">
      <c r="C2727"/>
      <c r="M2727"/>
    </row>
    <row r="2728" spans="3:13" ht="12.75" customHeight="1" x14ac:dyDescent="0.2">
      <c r="C2728"/>
      <c r="M2728"/>
    </row>
    <row r="2729" spans="3:13" ht="12.75" customHeight="1" x14ac:dyDescent="0.2">
      <c r="C2729"/>
      <c r="M2729"/>
    </row>
    <row r="2730" spans="3:13" ht="12.75" customHeight="1" x14ac:dyDescent="0.2">
      <c r="C2730"/>
      <c r="M2730"/>
    </row>
    <row r="2731" spans="3:13" ht="12.75" customHeight="1" x14ac:dyDescent="0.2">
      <c r="C2731"/>
      <c r="M2731"/>
    </row>
    <row r="2732" spans="3:13" ht="12.75" customHeight="1" x14ac:dyDescent="0.2">
      <c r="C2732"/>
      <c r="M2732"/>
    </row>
    <row r="2733" spans="3:13" ht="12.75" customHeight="1" x14ac:dyDescent="0.2">
      <c r="C2733"/>
      <c r="M2733"/>
    </row>
    <row r="2734" spans="3:13" ht="12.75" customHeight="1" x14ac:dyDescent="0.2">
      <c r="C2734"/>
      <c r="M2734"/>
    </row>
    <row r="2735" spans="3:13" ht="12.75" customHeight="1" x14ac:dyDescent="0.2">
      <c r="C2735"/>
      <c r="M2735"/>
    </row>
    <row r="2736" spans="3:13" ht="12.75" customHeight="1" x14ac:dyDescent="0.2">
      <c r="C2736"/>
      <c r="M2736"/>
    </row>
    <row r="2737" spans="3:13" ht="12.75" customHeight="1" x14ac:dyDescent="0.2">
      <c r="C2737"/>
      <c r="M2737"/>
    </row>
    <row r="2738" spans="3:13" ht="12.75" customHeight="1" x14ac:dyDescent="0.2">
      <c r="C2738"/>
      <c r="M2738"/>
    </row>
    <row r="2739" spans="3:13" ht="12.75" customHeight="1" x14ac:dyDescent="0.2">
      <c r="C2739"/>
      <c r="M2739"/>
    </row>
    <row r="2740" spans="3:13" ht="12.75" customHeight="1" x14ac:dyDescent="0.2">
      <c r="C2740"/>
      <c r="M2740"/>
    </row>
    <row r="2741" spans="3:13" ht="12.75" customHeight="1" x14ac:dyDescent="0.2">
      <c r="C2741"/>
      <c r="M2741"/>
    </row>
    <row r="2742" spans="3:13" ht="12.75" customHeight="1" x14ac:dyDescent="0.2">
      <c r="C2742"/>
      <c r="M2742"/>
    </row>
    <row r="2743" spans="3:13" ht="12.75" customHeight="1" x14ac:dyDescent="0.2">
      <c r="C2743"/>
      <c r="M2743"/>
    </row>
    <row r="2744" spans="3:13" ht="12.75" customHeight="1" x14ac:dyDescent="0.2">
      <c r="C2744"/>
      <c r="M2744"/>
    </row>
    <row r="2745" spans="3:13" ht="12.75" customHeight="1" x14ac:dyDescent="0.2">
      <c r="C2745"/>
      <c r="M2745"/>
    </row>
    <row r="2746" spans="3:13" ht="12.75" customHeight="1" x14ac:dyDescent="0.2">
      <c r="C2746"/>
      <c r="M2746"/>
    </row>
    <row r="2747" spans="3:13" ht="12.75" customHeight="1" x14ac:dyDescent="0.2">
      <c r="C2747"/>
      <c r="M2747"/>
    </row>
    <row r="2748" spans="3:13" ht="12.75" customHeight="1" x14ac:dyDescent="0.2">
      <c r="C2748"/>
      <c r="M2748"/>
    </row>
    <row r="2749" spans="3:13" ht="12.75" customHeight="1" x14ac:dyDescent="0.2">
      <c r="C2749"/>
      <c r="M2749"/>
    </row>
    <row r="2750" spans="3:13" ht="12.75" customHeight="1" x14ac:dyDescent="0.2">
      <c r="C2750"/>
      <c r="M2750"/>
    </row>
    <row r="2751" spans="3:13" ht="12.75" customHeight="1" x14ac:dyDescent="0.2">
      <c r="C2751"/>
      <c r="M2751"/>
    </row>
    <row r="2752" spans="3:13" ht="12.75" customHeight="1" x14ac:dyDescent="0.2">
      <c r="C2752"/>
      <c r="M2752"/>
    </row>
    <row r="2753" spans="3:13" ht="12.75" customHeight="1" x14ac:dyDescent="0.2">
      <c r="C2753"/>
      <c r="M2753"/>
    </row>
    <row r="2754" spans="3:13" ht="12.75" customHeight="1" x14ac:dyDescent="0.2">
      <c r="C2754"/>
      <c r="M2754"/>
    </row>
    <row r="2755" spans="3:13" ht="12.75" customHeight="1" x14ac:dyDescent="0.2">
      <c r="C2755"/>
      <c r="M2755"/>
    </row>
    <row r="2756" spans="3:13" ht="12.75" customHeight="1" x14ac:dyDescent="0.2">
      <c r="C2756"/>
      <c r="M2756"/>
    </row>
    <row r="2757" spans="3:13" ht="12.75" customHeight="1" x14ac:dyDescent="0.2">
      <c r="C2757"/>
      <c r="M2757"/>
    </row>
    <row r="2758" spans="3:13" ht="12.75" customHeight="1" x14ac:dyDescent="0.2">
      <c r="C2758"/>
      <c r="M2758"/>
    </row>
    <row r="2759" spans="3:13" ht="12.75" customHeight="1" x14ac:dyDescent="0.2">
      <c r="C2759"/>
      <c r="M2759"/>
    </row>
    <row r="2760" spans="3:13" ht="12.75" customHeight="1" x14ac:dyDescent="0.2">
      <c r="C2760"/>
      <c r="M2760"/>
    </row>
    <row r="2761" spans="3:13" ht="12.75" customHeight="1" x14ac:dyDescent="0.2">
      <c r="C2761"/>
      <c r="M2761"/>
    </row>
    <row r="2762" spans="3:13" ht="12.75" customHeight="1" x14ac:dyDescent="0.2">
      <c r="C2762"/>
      <c r="M2762"/>
    </row>
    <row r="2763" spans="3:13" ht="12.75" customHeight="1" x14ac:dyDescent="0.2">
      <c r="C2763"/>
      <c r="M2763"/>
    </row>
    <row r="2764" spans="3:13" ht="12.75" customHeight="1" x14ac:dyDescent="0.2">
      <c r="C2764"/>
      <c r="M2764"/>
    </row>
    <row r="2765" spans="3:13" ht="12.75" customHeight="1" x14ac:dyDescent="0.2">
      <c r="C2765"/>
      <c r="M2765"/>
    </row>
    <row r="2766" spans="3:13" ht="12.75" customHeight="1" x14ac:dyDescent="0.2">
      <c r="C2766"/>
      <c r="M2766"/>
    </row>
    <row r="2767" spans="3:13" ht="12.75" customHeight="1" x14ac:dyDescent="0.2">
      <c r="C2767"/>
      <c r="M2767"/>
    </row>
    <row r="2768" spans="3:13" ht="12.75" customHeight="1" x14ac:dyDescent="0.2">
      <c r="C2768"/>
      <c r="M2768"/>
    </row>
    <row r="2769" spans="3:13" ht="12.75" customHeight="1" x14ac:dyDescent="0.2">
      <c r="C2769"/>
      <c r="M2769"/>
    </row>
    <row r="2770" spans="3:13" ht="12.75" customHeight="1" x14ac:dyDescent="0.2">
      <c r="C2770"/>
      <c r="M2770"/>
    </row>
    <row r="2771" spans="3:13" ht="12.75" customHeight="1" x14ac:dyDescent="0.2">
      <c r="C2771"/>
      <c r="M2771"/>
    </row>
    <row r="2772" spans="3:13" ht="12.75" customHeight="1" x14ac:dyDescent="0.2">
      <c r="C2772"/>
      <c r="M2772"/>
    </row>
    <row r="2773" spans="3:13" ht="12.75" customHeight="1" x14ac:dyDescent="0.2">
      <c r="C2773"/>
      <c r="M2773"/>
    </row>
    <row r="2774" spans="3:13" ht="12.75" customHeight="1" x14ac:dyDescent="0.2">
      <c r="C2774"/>
      <c r="M2774"/>
    </row>
    <row r="2775" spans="3:13" ht="12.75" customHeight="1" x14ac:dyDescent="0.2">
      <c r="C2775"/>
      <c r="M2775"/>
    </row>
    <row r="2776" spans="3:13" ht="12.75" customHeight="1" x14ac:dyDescent="0.2">
      <c r="C2776"/>
      <c r="M2776"/>
    </row>
    <row r="2777" spans="3:13" ht="12.75" customHeight="1" x14ac:dyDescent="0.2">
      <c r="C2777"/>
      <c r="M2777"/>
    </row>
    <row r="2778" spans="3:13" ht="12.75" customHeight="1" x14ac:dyDescent="0.2">
      <c r="C2778"/>
      <c r="M2778"/>
    </row>
    <row r="2779" spans="3:13" ht="12.75" customHeight="1" x14ac:dyDescent="0.2">
      <c r="C2779"/>
      <c r="M2779"/>
    </row>
    <row r="2780" spans="3:13" ht="12.75" customHeight="1" x14ac:dyDescent="0.2">
      <c r="C2780"/>
      <c r="M2780"/>
    </row>
    <row r="2781" spans="3:13" ht="12.75" customHeight="1" x14ac:dyDescent="0.2">
      <c r="C2781"/>
      <c r="M2781"/>
    </row>
    <row r="2782" spans="3:13" ht="12.75" customHeight="1" x14ac:dyDescent="0.2">
      <c r="C2782"/>
      <c r="M2782"/>
    </row>
    <row r="2783" spans="3:13" ht="12.75" customHeight="1" x14ac:dyDescent="0.2">
      <c r="C2783"/>
      <c r="M2783"/>
    </row>
    <row r="2784" spans="3:13" ht="12.75" customHeight="1" x14ac:dyDescent="0.2">
      <c r="C2784"/>
      <c r="M2784"/>
    </row>
    <row r="2785" spans="3:13" ht="12.75" customHeight="1" x14ac:dyDescent="0.2">
      <c r="C2785"/>
      <c r="M2785"/>
    </row>
    <row r="2786" spans="3:13" ht="12.75" customHeight="1" x14ac:dyDescent="0.2">
      <c r="C2786"/>
      <c r="M2786"/>
    </row>
    <row r="2787" spans="3:13" ht="12.75" customHeight="1" x14ac:dyDescent="0.2">
      <c r="C2787"/>
      <c r="M2787"/>
    </row>
    <row r="2788" spans="3:13" ht="12.75" customHeight="1" x14ac:dyDescent="0.2">
      <c r="C2788"/>
      <c r="M2788"/>
    </row>
    <row r="2789" spans="3:13" ht="12.75" customHeight="1" x14ac:dyDescent="0.2">
      <c r="C2789"/>
      <c r="M2789"/>
    </row>
    <row r="2790" spans="3:13" ht="12.75" customHeight="1" x14ac:dyDescent="0.2">
      <c r="C2790"/>
      <c r="M2790"/>
    </row>
    <row r="2791" spans="3:13" ht="12.75" customHeight="1" x14ac:dyDescent="0.2">
      <c r="C2791"/>
      <c r="M2791"/>
    </row>
    <row r="2792" spans="3:13" ht="12.75" customHeight="1" x14ac:dyDescent="0.2">
      <c r="C2792"/>
      <c r="M2792"/>
    </row>
    <row r="2793" spans="3:13" ht="12.75" customHeight="1" x14ac:dyDescent="0.2">
      <c r="C2793"/>
      <c r="M2793"/>
    </row>
    <row r="2794" spans="3:13" ht="12.75" customHeight="1" x14ac:dyDescent="0.2">
      <c r="C2794"/>
      <c r="M2794"/>
    </row>
    <row r="2795" spans="3:13" ht="12.75" customHeight="1" x14ac:dyDescent="0.2">
      <c r="C2795"/>
      <c r="M2795"/>
    </row>
    <row r="2796" spans="3:13" ht="12.75" customHeight="1" x14ac:dyDescent="0.2">
      <c r="C2796"/>
      <c r="M2796"/>
    </row>
    <row r="2797" spans="3:13" ht="12.75" customHeight="1" x14ac:dyDescent="0.2">
      <c r="C2797"/>
      <c r="M2797"/>
    </row>
    <row r="2798" spans="3:13" ht="12.75" customHeight="1" x14ac:dyDescent="0.2">
      <c r="C2798"/>
      <c r="M2798"/>
    </row>
    <row r="2799" spans="3:13" ht="12.75" customHeight="1" x14ac:dyDescent="0.2">
      <c r="C2799"/>
      <c r="M2799"/>
    </row>
    <row r="2800" spans="3:13" ht="12.75" customHeight="1" x14ac:dyDescent="0.2">
      <c r="C2800"/>
      <c r="M2800"/>
    </row>
    <row r="2801" spans="3:13" ht="12.75" customHeight="1" x14ac:dyDescent="0.2">
      <c r="C2801"/>
      <c r="M2801"/>
    </row>
    <row r="2802" spans="3:13" ht="12.75" customHeight="1" x14ac:dyDescent="0.2">
      <c r="C2802"/>
      <c r="M2802"/>
    </row>
    <row r="2803" spans="3:13" ht="12.75" customHeight="1" x14ac:dyDescent="0.2">
      <c r="C2803"/>
      <c r="M2803"/>
    </row>
    <row r="2804" spans="3:13" ht="12.75" customHeight="1" x14ac:dyDescent="0.2">
      <c r="C2804"/>
      <c r="M2804"/>
    </row>
    <row r="2805" spans="3:13" ht="12.75" customHeight="1" x14ac:dyDescent="0.2">
      <c r="C2805"/>
      <c r="M2805"/>
    </row>
    <row r="2806" spans="3:13" ht="12.75" customHeight="1" x14ac:dyDescent="0.2">
      <c r="C2806"/>
      <c r="M2806"/>
    </row>
    <row r="2807" spans="3:13" ht="12.75" customHeight="1" x14ac:dyDescent="0.2">
      <c r="C2807"/>
      <c r="M2807"/>
    </row>
    <row r="2808" spans="3:13" ht="12.75" customHeight="1" x14ac:dyDescent="0.2">
      <c r="C2808"/>
      <c r="M2808"/>
    </row>
    <row r="2809" spans="3:13" ht="12.75" customHeight="1" x14ac:dyDescent="0.2">
      <c r="C2809"/>
      <c r="M2809"/>
    </row>
    <row r="2810" spans="3:13" ht="12.75" customHeight="1" x14ac:dyDescent="0.2">
      <c r="C2810"/>
      <c r="M2810"/>
    </row>
    <row r="2811" spans="3:13" ht="12.75" customHeight="1" x14ac:dyDescent="0.2">
      <c r="C2811"/>
      <c r="M2811"/>
    </row>
    <row r="2812" spans="3:13" ht="12.75" customHeight="1" x14ac:dyDescent="0.2">
      <c r="C2812"/>
      <c r="M2812"/>
    </row>
    <row r="2813" spans="3:13" ht="12.75" customHeight="1" x14ac:dyDescent="0.2">
      <c r="C2813"/>
      <c r="M2813"/>
    </row>
    <row r="2814" spans="3:13" ht="12.75" customHeight="1" x14ac:dyDescent="0.2">
      <c r="C2814"/>
      <c r="M2814"/>
    </row>
    <row r="2815" spans="3:13" ht="12.75" customHeight="1" x14ac:dyDescent="0.2">
      <c r="C2815"/>
      <c r="M2815"/>
    </row>
    <row r="2816" spans="3:13" ht="12.75" customHeight="1" x14ac:dyDescent="0.2">
      <c r="C2816"/>
      <c r="M2816"/>
    </row>
    <row r="2817" spans="3:13" ht="12.75" customHeight="1" x14ac:dyDescent="0.2">
      <c r="C2817"/>
      <c r="M2817"/>
    </row>
    <row r="2818" spans="3:13" ht="12.75" customHeight="1" x14ac:dyDescent="0.2">
      <c r="C2818"/>
      <c r="M2818"/>
    </row>
    <row r="2819" spans="3:13" ht="12.75" customHeight="1" x14ac:dyDescent="0.2">
      <c r="C2819"/>
      <c r="M2819"/>
    </row>
    <row r="2820" spans="3:13" ht="12.75" customHeight="1" x14ac:dyDescent="0.2">
      <c r="C2820"/>
      <c r="M2820"/>
    </row>
    <row r="2821" spans="3:13" ht="12.75" customHeight="1" x14ac:dyDescent="0.2">
      <c r="C2821"/>
      <c r="M2821"/>
    </row>
    <row r="2822" spans="3:13" ht="12.75" customHeight="1" x14ac:dyDescent="0.2">
      <c r="C2822"/>
      <c r="M2822"/>
    </row>
    <row r="2823" spans="3:13" ht="12.75" customHeight="1" x14ac:dyDescent="0.2">
      <c r="C2823"/>
      <c r="M2823"/>
    </row>
    <row r="2824" spans="3:13" ht="12.75" customHeight="1" x14ac:dyDescent="0.2">
      <c r="C2824"/>
      <c r="M2824"/>
    </row>
    <row r="2825" spans="3:13" ht="12.75" customHeight="1" x14ac:dyDescent="0.2">
      <c r="C2825"/>
      <c r="M2825"/>
    </row>
    <row r="2826" spans="3:13" ht="12.75" customHeight="1" x14ac:dyDescent="0.2">
      <c r="C2826"/>
      <c r="M2826"/>
    </row>
    <row r="2827" spans="3:13" ht="12.75" customHeight="1" x14ac:dyDescent="0.2">
      <c r="C2827"/>
      <c r="M2827"/>
    </row>
    <row r="2828" spans="3:13" ht="12.75" customHeight="1" x14ac:dyDescent="0.2">
      <c r="C2828"/>
      <c r="M2828"/>
    </row>
    <row r="2829" spans="3:13" ht="12.75" customHeight="1" x14ac:dyDescent="0.2">
      <c r="C2829"/>
      <c r="M2829"/>
    </row>
    <row r="2830" spans="3:13" ht="12.75" customHeight="1" x14ac:dyDescent="0.2">
      <c r="C2830"/>
      <c r="M2830"/>
    </row>
    <row r="2831" spans="3:13" ht="12.75" customHeight="1" x14ac:dyDescent="0.2">
      <c r="C2831"/>
      <c r="M2831"/>
    </row>
    <row r="2832" spans="3:13" ht="12.75" customHeight="1" x14ac:dyDescent="0.2">
      <c r="C2832"/>
      <c r="M2832"/>
    </row>
    <row r="2833" spans="3:13" ht="12.75" customHeight="1" x14ac:dyDescent="0.2">
      <c r="C2833"/>
      <c r="M2833"/>
    </row>
    <row r="2834" spans="3:13" ht="12.75" customHeight="1" x14ac:dyDescent="0.2">
      <c r="C2834"/>
      <c r="M2834"/>
    </row>
    <row r="2835" spans="3:13" ht="12.75" customHeight="1" x14ac:dyDescent="0.2">
      <c r="C2835"/>
      <c r="M2835"/>
    </row>
    <row r="2836" spans="3:13" ht="12.75" customHeight="1" x14ac:dyDescent="0.2">
      <c r="C2836"/>
      <c r="M2836"/>
    </row>
    <row r="2837" spans="3:13" ht="12.75" customHeight="1" x14ac:dyDescent="0.2">
      <c r="C2837"/>
      <c r="M2837"/>
    </row>
    <row r="2838" spans="3:13" ht="12.75" customHeight="1" x14ac:dyDescent="0.2">
      <c r="C2838"/>
      <c r="M2838"/>
    </row>
    <row r="2839" spans="3:13" ht="12.75" customHeight="1" x14ac:dyDescent="0.2">
      <c r="C2839"/>
      <c r="M2839"/>
    </row>
    <row r="2840" spans="3:13" ht="12.75" customHeight="1" x14ac:dyDescent="0.2">
      <c r="C2840"/>
      <c r="M2840"/>
    </row>
    <row r="2841" spans="3:13" ht="12.75" customHeight="1" x14ac:dyDescent="0.2">
      <c r="C2841"/>
      <c r="M2841"/>
    </row>
    <row r="2842" spans="3:13" ht="12.75" customHeight="1" x14ac:dyDescent="0.2">
      <c r="C2842"/>
      <c r="M2842"/>
    </row>
    <row r="2843" spans="3:13" ht="12.75" customHeight="1" x14ac:dyDescent="0.2">
      <c r="C2843"/>
      <c r="M2843"/>
    </row>
    <row r="2844" spans="3:13" ht="12.75" customHeight="1" x14ac:dyDescent="0.2">
      <c r="C2844"/>
      <c r="M2844"/>
    </row>
    <row r="2845" spans="3:13" ht="12.75" customHeight="1" x14ac:dyDescent="0.2">
      <c r="C2845"/>
      <c r="M2845"/>
    </row>
    <row r="2846" spans="3:13" ht="12.75" customHeight="1" x14ac:dyDescent="0.2">
      <c r="C2846"/>
      <c r="M2846"/>
    </row>
    <row r="2847" spans="3:13" ht="12.75" customHeight="1" x14ac:dyDescent="0.2">
      <c r="C2847"/>
      <c r="M2847"/>
    </row>
    <row r="2848" spans="3:13" ht="12.75" customHeight="1" x14ac:dyDescent="0.2">
      <c r="C2848"/>
      <c r="M2848"/>
    </row>
    <row r="2849" spans="3:13" ht="12.75" customHeight="1" x14ac:dyDescent="0.2">
      <c r="C2849"/>
      <c r="M2849"/>
    </row>
    <row r="2850" spans="3:13" ht="12.75" customHeight="1" x14ac:dyDescent="0.2">
      <c r="C2850"/>
      <c r="M2850"/>
    </row>
    <row r="2851" spans="3:13" ht="12.75" customHeight="1" x14ac:dyDescent="0.2">
      <c r="C2851"/>
      <c r="M2851"/>
    </row>
    <row r="2852" spans="3:13" ht="12.75" customHeight="1" x14ac:dyDescent="0.2">
      <c r="C2852"/>
      <c r="M2852"/>
    </row>
    <row r="2853" spans="3:13" ht="12.75" customHeight="1" x14ac:dyDescent="0.2">
      <c r="C2853"/>
      <c r="M2853"/>
    </row>
    <row r="2854" spans="3:13" ht="12.75" customHeight="1" x14ac:dyDescent="0.2">
      <c r="C2854"/>
      <c r="M2854"/>
    </row>
    <row r="2855" spans="3:13" ht="12.75" customHeight="1" x14ac:dyDescent="0.2">
      <c r="C2855"/>
      <c r="M2855"/>
    </row>
    <row r="2856" spans="3:13" ht="12.75" customHeight="1" x14ac:dyDescent="0.2">
      <c r="C2856"/>
      <c r="M2856"/>
    </row>
    <row r="2857" spans="3:13" ht="12.75" customHeight="1" x14ac:dyDescent="0.2">
      <c r="C2857"/>
      <c r="M2857"/>
    </row>
    <row r="2858" spans="3:13" ht="12.75" customHeight="1" x14ac:dyDescent="0.2">
      <c r="C2858"/>
      <c r="M2858"/>
    </row>
    <row r="2859" spans="3:13" ht="12.75" customHeight="1" x14ac:dyDescent="0.2">
      <c r="C2859"/>
      <c r="M2859"/>
    </row>
    <row r="2860" spans="3:13" ht="12.75" customHeight="1" x14ac:dyDescent="0.2">
      <c r="C2860"/>
      <c r="M2860"/>
    </row>
    <row r="2861" spans="3:13" ht="12.75" customHeight="1" x14ac:dyDescent="0.2">
      <c r="C2861"/>
      <c r="M2861"/>
    </row>
    <row r="2862" spans="3:13" ht="12.75" customHeight="1" x14ac:dyDescent="0.2">
      <c r="C2862"/>
      <c r="M2862"/>
    </row>
    <row r="2863" spans="3:13" ht="12.75" customHeight="1" x14ac:dyDescent="0.2">
      <c r="C2863"/>
      <c r="M2863"/>
    </row>
    <row r="2864" spans="3:13" ht="12.75" customHeight="1" x14ac:dyDescent="0.2">
      <c r="C2864"/>
      <c r="M2864"/>
    </row>
    <row r="2865" spans="3:13" ht="12.75" customHeight="1" x14ac:dyDescent="0.2">
      <c r="C2865"/>
      <c r="M2865"/>
    </row>
    <row r="2866" spans="3:13" ht="12.75" customHeight="1" x14ac:dyDescent="0.2">
      <c r="C2866"/>
      <c r="M2866"/>
    </row>
    <row r="2867" spans="3:13" ht="12.75" customHeight="1" x14ac:dyDescent="0.2">
      <c r="C2867"/>
      <c r="M2867"/>
    </row>
    <row r="2868" spans="3:13" ht="12.75" customHeight="1" x14ac:dyDescent="0.2">
      <c r="C2868"/>
      <c r="M2868"/>
    </row>
    <row r="2869" spans="3:13" ht="12.75" customHeight="1" x14ac:dyDescent="0.2">
      <c r="C2869"/>
      <c r="M2869"/>
    </row>
    <row r="2870" spans="3:13" ht="12.75" customHeight="1" x14ac:dyDescent="0.2">
      <c r="C2870"/>
      <c r="M2870"/>
    </row>
    <row r="2871" spans="3:13" ht="12.75" customHeight="1" x14ac:dyDescent="0.2">
      <c r="C2871"/>
      <c r="M2871"/>
    </row>
    <row r="2872" spans="3:13" ht="12.75" customHeight="1" x14ac:dyDescent="0.2">
      <c r="C2872"/>
      <c r="M2872"/>
    </row>
    <row r="2873" spans="3:13" ht="12.75" customHeight="1" x14ac:dyDescent="0.2">
      <c r="C2873"/>
      <c r="M2873"/>
    </row>
    <row r="2874" spans="3:13" ht="12.75" customHeight="1" x14ac:dyDescent="0.2">
      <c r="C2874"/>
      <c r="M2874"/>
    </row>
    <row r="2875" spans="3:13" ht="12.75" customHeight="1" x14ac:dyDescent="0.2">
      <c r="C2875"/>
      <c r="M2875"/>
    </row>
    <row r="2876" spans="3:13" ht="12.75" customHeight="1" x14ac:dyDescent="0.2">
      <c r="C2876"/>
      <c r="M2876"/>
    </row>
    <row r="2877" spans="3:13" ht="12.75" customHeight="1" x14ac:dyDescent="0.2">
      <c r="C2877"/>
      <c r="M2877"/>
    </row>
    <row r="2878" spans="3:13" ht="12.75" customHeight="1" x14ac:dyDescent="0.2">
      <c r="C2878"/>
      <c r="M2878"/>
    </row>
    <row r="2879" spans="3:13" ht="12.75" customHeight="1" x14ac:dyDescent="0.2">
      <c r="C2879"/>
      <c r="M2879"/>
    </row>
    <row r="2880" spans="3:13" ht="12.75" customHeight="1" x14ac:dyDescent="0.2">
      <c r="C2880"/>
      <c r="M2880"/>
    </row>
    <row r="2881" spans="3:13" ht="12.75" customHeight="1" x14ac:dyDescent="0.2">
      <c r="C2881"/>
      <c r="M2881"/>
    </row>
    <row r="2882" spans="3:13" ht="12.75" customHeight="1" x14ac:dyDescent="0.2">
      <c r="C2882"/>
      <c r="M2882"/>
    </row>
    <row r="2883" spans="3:13" ht="12.75" customHeight="1" x14ac:dyDescent="0.2">
      <c r="C2883"/>
      <c r="M2883"/>
    </row>
    <row r="2884" spans="3:13" ht="12.75" customHeight="1" x14ac:dyDescent="0.2">
      <c r="C2884"/>
      <c r="M2884"/>
    </row>
    <row r="2885" spans="3:13" ht="12.75" customHeight="1" x14ac:dyDescent="0.2">
      <c r="C2885"/>
      <c r="M2885"/>
    </row>
    <row r="2886" spans="3:13" ht="12.75" customHeight="1" x14ac:dyDescent="0.2">
      <c r="C2886"/>
      <c r="M2886"/>
    </row>
    <row r="2887" spans="3:13" ht="12.75" customHeight="1" x14ac:dyDescent="0.2">
      <c r="C2887"/>
      <c r="M2887"/>
    </row>
    <row r="2888" spans="3:13" ht="12.75" customHeight="1" x14ac:dyDescent="0.2">
      <c r="C2888"/>
      <c r="M2888"/>
    </row>
    <row r="2889" spans="3:13" ht="12.75" customHeight="1" x14ac:dyDescent="0.2">
      <c r="C2889"/>
      <c r="M2889"/>
    </row>
    <row r="2890" spans="3:13" ht="12.75" customHeight="1" x14ac:dyDescent="0.2">
      <c r="C2890"/>
      <c r="M2890"/>
    </row>
    <row r="2891" spans="3:13" ht="12.75" customHeight="1" x14ac:dyDescent="0.2">
      <c r="C2891"/>
      <c r="M2891"/>
    </row>
    <row r="2892" spans="3:13" ht="12.75" customHeight="1" x14ac:dyDescent="0.2">
      <c r="C2892"/>
      <c r="M2892"/>
    </row>
    <row r="2893" spans="3:13" ht="12.75" customHeight="1" x14ac:dyDescent="0.2">
      <c r="C2893"/>
      <c r="M2893"/>
    </row>
    <row r="2894" spans="3:13" ht="12.75" customHeight="1" x14ac:dyDescent="0.2">
      <c r="C2894"/>
      <c r="M2894"/>
    </row>
    <row r="2895" spans="3:13" ht="12.75" customHeight="1" x14ac:dyDescent="0.2">
      <c r="C2895"/>
      <c r="M2895"/>
    </row>
    <row r="2896" spans="3:13" ht="12.75" customHeight="1" x14ac:dyDescent="0.2">
      <c r="C2896"/>
      <c r="M2896"/>
    </row>
    <row r="2897" spans="3:13" ht="12.75" customHeight="1" x14ac:dyDescent="0.2">
      <c r="C2897"/>
      <c r="M2897"/>
    </row>
    <row r="2898" spans="3:13" ht="12.75" customHeight="1" x14ac:dyDescent="0.2">
      <c r="C2898"/>
      <c r="M2898"/>
    </row>
    <row r="2899" spans="3:13" ht="12.75" customHeight="1" x14ac:dyDescent="0.2">
      <c r="C2899"/>
      <c r="M2899"/>
    </row>
    <row r="2900" spans="3:13" ht="12.75" customHeight="1" x14ac:dyDescent="0.2">
      <c r="C2900"/>
      <c r="M2900"/>
    </row>
    <row r="2901" spans="3:13" ht="12.75" customHeight="1" x14ac:dyDescent="0.2">
      <c r="C2901"/>
      <c r="M2901"/>
    </row>
    <row r="2902" spans="3:13" ht="12.75" customHeight="1" x14ac:dyDescent="0.2">
      <c r="C2902"/>
      <c r="M2902"/>
    </row>
    <row r="2903" spans="3:13" ht="12.75" customHeight="1" x14ac:dyDescent="0.2">
      <c r="C2903"/>
      <c r="M2903"/>
    </row>
    <row r="2904" spans="3:13" ht="12.75" customHeight="1" x14ac:dyDescent="0.2">
      <c r="C2904"/>
      <c r="M2904"/>
    </row>
    <row r="2905" spans="3:13" ht="12.75" customHeight="1" x14ac:dyDescent="0.2">
      <c r="C2905"/>
      <c r="M2905"/>
    </row>
    <row r="2906" spans="3:13" ht="12.75" customHeight="1" x14ac:dyDescent="0.2">
      <c r="C2906"/>
      <c r="M2906"/>
    </row>
    <row r="2907" spans="3:13" ht="12.75" customHeight="1" x14ac:dyDescent="0.2">
      <c r="C2907"/>
      <c r="M2907"/>
    </row>
    <row r="2908" spans="3:13" ht="12.75" customHeight="1" x14ac:dyDescent="0.2">
      <c r="C2908"/>
      <c r="M2908"/>
    </row>
    <row r="2909" spans="3:13" ht="12.75" customHeight="1" x14ac:dyDescent="0.2">
      <c r="C2909"/>
      <c r="M2909"/>
    </row>
    <row r="2910" spans="3:13" ht="12.75" customHeight="1" x14ac:dyDescent="0.2">
      <c r="C2910"/>
      <c r="M2910"/>
    </row>
    <row r="2911" spans="3:13" ht="12.75" customHeight="1" x14ac:dyDescent="0.2">
      <c r="C2911"/>
      <c r="M2911"/>
    </row>
    <row r="2912" spans="3:13" ht="12.75" customHeight="1" x14ac:dyDescent="0.2">
      <c r="C2912"/>
      <c r="M2912"/>
    </row>
    <row r="2913" spans="3:13" ht="12.75" customHeight="1" x14ac:dyDescent="0.2">
      <c r="C2913"/>
      <c r="M2913"/>
    </row>
    <row r="2914" spans="3:13" ht="12.75" customHeight="1" x14ac:dyDescent="0.2">
      <c r="C2914"/>
      <c r="M2914"/>
    </row>
    <row r="2915" spans="3:13" ht="12.75" customHeight="1" x14ac:dyDescent="0.2">
      <c r="C2915"/>
      <c r="M2915"/>
    </row>
    <row r="2916" spans="3:13" ht="12.75" customHeight="1" x14ac:dyDescent="0.2">
      <c r="C2916"/>
      <c r="M2916"/>
    </row>
    <row r="2917" spans="3:13" ht="12.75" customHeight="1" x14ac:dyDescent="0.2">
      <c r="C2917"/>
      <c r="M2917"/>
    </row>
    <row r="2918" spans="3:13" ht="12.75" customHeight="1" x14ac:dyDescent="0.2">
      <c r="C2918"/>
      <c r="M2918"/>
    </row>
    <row r="2919" spans="3:13" ht="12.75" customHeight="1" x14ac:dyDescent="0.2">
      <c r="C2919"/>
      <c r="M2919"/>
    </row>
    <row r="2920" spans="3:13" ht="12.75" customHeight="1" x14ac:dyDescent="0.2">
      <c r="C2920"/>
      <c r="M2920"/>
    </row>
    <row r="2921" spans="3:13" ht="12.75" customHeight="1" x14ac:dyDescent="0.2">
      <c r="C2921"/>
      <c r="M2921"/>
    </row>
    <row r="2922" spans="3:13" ht="12.75" customHeight="1" x14ac:dyDescent="0.2">
      <c r="C2922"/>
      <c r="M2922"/>
    </row>
    <row r="2923" spans="3:13" ht="12.75" customHeight="1" x14ac:dyDescent="0.2">
      <c r="C2923"/>
      <c r="M2923"/>
    </row>
    <row r="2924" spans="3:13" ht="12.75" customHeight="1" x14ac:dyDescent="0.2">
      <c r="C2924"/>
      <c r="M2924"/>
    </row>
    <row r="2925" spans="3:13" ht="12.75" customHeight="1" x14ac:dyDescent="0.2">
      <c r="C2925"/>
      <c r="M2925"/>
    </row>
    <row r="2926" spans="3:13" ht="12.75" customHeight="1" x14ac:dyDescent="0.2">
      <c r="C2926"/>
      <c r="M2926"/>
    </row>
    <row r="2927" spans="3:13" ht="12.75" customHeight="1" x14ac:dyDescent="0.2">
      <c r="C2927"/>
      <c r="M2927"/>
    </row>
    <row r="2928" spans="3:13" ht="12.75" customHeight="1" x14ac:dyDescent="0.2">
      <c r="C2928"/>
      <c r="M2928"/>
    </row>
    <row r="2929" spans="3:13" ht="12.75" customHeight="1" x14ac:dyDescent="0.2">
      <c r="C2929"/>
      <c r="M2929"/>
    </row>
    <row r="2930" spans="3:13" ht="12.75" customHeight="1" x14ac:dyDescent="0.2">
      <c r="C2930"/>
      <c r="M2930"/>
    </row>
    <row r="2931" spans="3:13" ht="12.75" customHeight="1" x14ac:dyDescent="0.2">
      <c r="C2931"/>
      <c r="M2931"/>
    </row>
    <row r="2932" spans="3:13" ht="12.75" customHeight="1" x14ac:dyDescent="0.2">
      <c r="C2932"/>
      <c r="M2932"/>
    </row>
    <row r="2933" spans="3:13" ht="12.75" customHeight="1" x14ac:dyDescent="0.2">
      <c r="C2933"/>
      <c r="M2933"/>
    </row>
    <row r="2934" spans="3:13" ht="12.75" customHeight="1" x14ac:dyDescent="0.2">
      <c r="C2934"/>
      <c r="M2934"/>
    </row>
    <row r="2935" spans="3:13" ht="12.75" customHeight="1" x14ac:dyDescent="0.2">
      <c r="C2935"/>
      <c r="M2935"/>
    </row>
    <row r="2936" spans="3:13" ht="12.75" customHeight="1" x14ac:dyDescent="0.2">
      <c r="C2936"/>
      <c r="M2936"/>
    </row>
    <row r="2937" spans="3:13" ht="12.75" customHeight="1" x14ac:dyDescent="0.2">
      <c r="C2937"/>
      <c r="M2937"/>
    </row>
    <row r="2938" spans="3:13" ht="12.75" customHeight="1" x14ac:dyDescent="0.2">
      <c r="C2938"/>
      <c r="M2938"/>
    </row>
    <row r="2939" spans="3:13" ht="12.75" customHeight="1" x14ac:dyDescent="0.2">
      <c r="C2939"/>
      <c r="M2939"/>
    </row>
    <row r="2940" spans="3:13" ht="12.75" customHeight="1" x14ac:dyDescent="0.2">
      <c r="C2940"/>
      <c r="M2940"/>
    </row>
    <row r="2941" spans="3:13" ht="12.75" customHeight="1" x14ac:dyDescent="0.2">
      <c r="C2941"/>
      <c r="M2941"/>
    </row>
    <row r="2942" spans="3:13" ht="12.75" customHeight="1" x14ac:dyDescent="0.2">
      <c r="C2942"/>
      <c r="M2942"/>
    </row>
    <row r="2943" spans="3:13" ht="12.75" customHeight="1" x14ac:dyDescent="0.2">
      <c r="C2943"/>
      <c r="M2943"/>
    </row>
    <row r="2944" spans="3:13" ht="12.75" customHeight="1" x14ac:dyDescent="0.2">
      <c r="C2944"/>
      <c r="M2944"/>
    </row>
    <row r="2945" spans="3:13" ht="12.75" customHeight="1" x14ac:dyDescent="0.2">
      <c r="C2945"/>
      <c r="M2945"/>
    </row>
    <row r="2946" spans="3:13" ht="12.75" customHeight="1" x14ac:dyDescent="0.2">
      <c r="C2946"/>
      <c r="M2946"/>
    </row>
    <row r="2947" spans="3:13" ht="12.75" customHeight="1" x14ac:dyDescent="0.2">
      <c r="C2947"/>
      <c r="M2947"/>
    </row>
    <row r="2948" spans="3:13" ht="12.75" customHeight="1" x14ac:dyDescent="0.2">
      <c r="C2948"/>
      <c r="M2948"/>
    </row>
    <row r="2949" spans="3:13" ht="12.75" customHeight="1" x14ac:dyDescent="0.2">
      <c r="C2949"/>
      <c r="M2949"/>
    </row>
    <row r="2950" spans="3:13" ht="12.75" customHeight="1" x14ac:dyDescent="0.2">
      <c r="C2950"/>
      <c r="M2950"/>
    </row>
    <row r="2951" spans="3:13" ht="12.75" customHeight="1" x14ac:dyDescent="0.2">
      <c r="C2951"/>
      <c r="M2951"/>
    </row>
    <row r="2952" spans="3:13" ht="12.75" customHeight="1" x14ac:dyDescent="0.2">
      <c r="C2952"/>
      <c r="M2952"/>
    </row>
    <row r="2953" spans="3:13" ht="12.75" customHeight="1" x14ac:dyDescent="0.2">
      <c r="C2953"/>
      <c r="M2953"/>
    </row>
    <row r="2954" spans="3:13" ht="12.75" customHeight="1" x14ac:dyDescent="0.2">
      <c r="C2954"/>
      <c r="M2954"/>
    </row>
    <row r="2955" spans="3:13" ht="12.75" customHeight="1" x14ac:dyDescent="0.2">
      <c r="C2955"/>
      <c r="M2955"/>
    </row>
    <row r="2956" spans="3:13" ht="12.75" customHeight="1" x14ac:dyDescent="0.2">
      <c r="C2956"/>
      <c r="M2956"/>
    </row>
    <row r="2957" spans="3:13" ht="12.75" customHeight="1" x14ac:dyDescent="0.2">
      <c r="C2957"/>
      <c r="M2957"/>
    </row>
    <row r="2958" spans="3:13" ht="12.75" customHeight="1" x14ac:dyDescent="0.2">
      <c r="C2958"/>
      <c r="M2958"/>
    </row>
    <row r="2959" spans="3:13" ht="12.75" customHeight="1" x14ac:dyDescent="0.2">
      <c r="C2959"/>
      <c r="M2959"/>
    </row>
    <row r="2960" spans="3:13" ht="12.75" customHeight="1" x14ac:dyDescent="0.2">
      <c r="C2960"/>
      <c r="M2960"/>
    </row>
    <row r="2961" spans="3:13" ht="12.75" customHeight="1" x14ac:dyDescent="0.2">
      <c r="C2961"/>
      <c r="M2961"/>
    </row>
    <row r="2962" spans="3:13" ht="12.75" customHeight="1" x14ac:dyDescent="0.2">
      <c r="C2962"/>
      <c r="M2962"/>
    </row>
    <row r="2963" spans="3:13" ht="12.75" customHeight="1" x14ac:dyDescent="0.2">
      <c r="C2963"/>
      <c r="M2963"/>
    </row>
    <row r="2964" spans="3:13" ht="12.75" customHeight="1" x14ac:dyDescent="0.2">
      <c r="C2964"/>
      <c r="M2964"/>
    </row>
    <row r="2965" spans="3:13" ht="12.75" customHeight="1" x14ac:dyDescent="0.2">
      <c r="C2965"/>
      <c r="M2965"/>
    </row>
    <row r="2966" spans="3:13" ht="12.75" customHeight="1" x14ac:dyDescent="0.2">
      <c r="C2966"/>
      <c r="M2966"/>
    </row>
    <row r="2967" spans="3:13" ht="12.75" customHeight="1" x14ac:dyDescent="0.2">
      <c r="C2967"/>
      <c r="M2967"/>
    </row>
    <row r="2968" spans="3:13" ht="12.75" customHeight="1" x14ac:dyDescent="0.2">
      <c r="C2968"/>
      <c r="M2968"/>
    </row>
    <row r="2969" spans="3:13" ht="12.75" customHeight="1" x14ac:dyDescent="0.2">
      <c r="C2969"/>
      <c r="M2969"/>
    </row>
    <row r="2970" spans="3:13" ht="12.75" customHeight="1" x14ac:dyDescent="0.2">
      <c r="C2970"/>
      <c r="M2970"/>
    </row>
    <row r="2971" spans="3:13" ht="12.75" customHeight="1" x14ac:dyDescent="0.2">
      <c r="C2971"/>
      <c r="M2971"/>
    </row>
    <row r="2972" spans="3:13" ht="12.75" customHeight="1" x14ac:dyDescent="0.2">
      <c r="C2972"/>
      <c r="M2972"/>
    </row>
    <row r="2973" spans="3:13" ht="12.75" customHeight="1" x14ac:dyDescent="0.2">
      <c r="C2973"/>
      <c r="M2973"/>
    </row>
    <row r="2974" spans="3:13" ht="12.75" customHeight="1" x14ac:dyDescent="0.2">
      <c r="C2974"/>
      <c r="M2974"/>
    </row>
    <row r="2975" spans="3:13" ht="12.75" customHeight="1" x14ac:dyDescent="0.2">
      <c r="C2975"/>
      <c r="M2975"/>
    </row>
    <row r="2976" spans="3:13" ht="12.75" customHeight="1" x14ac:dyDescent="0.2">
      <c r="C2976"/>
      <c r="M2976"/>
    </row>
    <row r="2977" spans="3:13" ht="12.75" customHeight="1" x14ac:dyDescent="0.2">
      <c r="C2977"/>
      <c r="M2977"/>
    </row>
    <row r="2978" spans="3:13" ht="12.75" customHeight="1" x14ac:dyDescent="0.2">
      <c r="C2978"/>
      <c r="M2978"/>
    </row>
    <row r="2979" spans="3:13" ht="12.75" customHeight="1" x14ac:dyDescent="0.2">
      <c r="C2979"/>
      <c r="M2979"/>
    </row>
    <row r="2980" spans="3:13" ht="12.75" customHeight="1" x14ac:dyDescent="0.2">
      <c r="C2980"/>
      <c r="M2980"/>
    </row>
    <row r="2981" spans="3:13" ht="12.75" customHeight="1" x14ac:dyDescent="0.2">
      <c r="C2981"/>
      <c r="M2981"/>
    </row>
    <row r="2982" spans="3:13" ht="12.75" customHeight="1" x14ac:dyDescent="0.2">
      <c r="C2982"/>
      <c r="M2982"/>
    </row>
    <row r="2983" spans="3:13" ht="12.75" customHeight="1" x14ac:dyDescent="0.2">
      <c r="C2983"/>
      <c r="M2983"/>
    </row>
    <row r="2984" spans="3:13" ht="12.75" customHeight="1" x14ac:dyDescent="0.2">
      <c r="C2984"/>
      <c r="M2984"/>
    </row>
    <row r="2985" spans="3:13" ht="12.75" customHeight="1" x14ac:dyDescent="0.2">
      <c r="C2985"/>
      <c r="M2985"/>
    </row>
    <row r="2986" spans="3:13" ht="12.75" customHeight="1" x14ac:dyDescent="0.2">
      <c r="C2986"/>
      <c r="M2986"/>
    </row>
    <row r="2987" spans="3:13" ht="12.75" customHeight="1" x14ac:dyDescent="0.2">
      <c r="C2987"/>
      <c r="M2987"/>
    </row>
    <row r="2988" spans="3:13" ht="12.75" customHeight="1" x14ac:dyDescent="0.2">
      <c r="C2988"/>
      <c r="M2988"/>
    </row>
    <row r="2989" spans="3:13" ht="12.75" customHeight="1" x14ac:dyDescent="0.2">
      <c r="C2989"/>
      <c r="M2989"/>
    </row>
    <row r="2990" spans="3:13" ht="12.75" customHeight="1" x14ac:dyDescent="0.2">
      <c r="C2990"/>
      <c r="M2990"/>
    </row>
    <row r="2991" spans="3:13" ht="12.75" customHeight="1" x14ac:dyDescent="0.2">
      <c r="C2991"/>
      <c r="M2991"/>
    </row>
    <row r="2992" spans="3:13" ht="12.75" customHeight="1" x14ac:dyDescent="0.2">
      <c r="C2992"/>
      <c r="M2992"/>
    </row>
    <row r="2993" spans="3:13" ht="12.75" customHeight="1" x14ac:dyDescent="0.2">
      <c r="C2993"/>
      <c r="M2993"/>
    </row>
    <row r="2994" spans="3:13" ht="12.75" customHeight="1" x14ac:dyDescent="0.2">
      <c r="C2994"/>
      <c r="M2994"/>
    </row>
    <row r="2995" spans="3:13" ht="12.75" customHeight="1" x14ac:dyDescent="0.2">
      <c r="C2995"/>
      <c r="M2995"/>
    </row>
    <row r="2996" spans="3:13" ht="12.75" customHeight="1" x14ac:dyDescent="0.2">
      <c r="C2996"/>
      <c r="M2996"/>
    </row>
    <row r="2997" spans="3:13" ht="12.75" customHeight="1" x14ac:dyDescent="0.2">
      <c r="C2997"/>
      <c r="M2997"/>
    </row>
    <row r="2998" spans="3:13" ht="12.75" customHeight="1" x14ac:dyDescent="0.2">
      <c r="C2998"/>
      <c r="M2998"/>
    </row>
    <row r="2999" spans="3:13" ht="12.75" customHeight="1" x14ac:dyDescent="0.2">
      <c r="C2999"/>
      <c r="M2999"/>
    </row>
    <row r="3000" spans="3:13" ht="12.75" customHeight="1" x14ac:dyDescent="0.2">
      <c r="C3000"/>
      <c r="M3000"/>
    </row>
    <row r="3001" spans="3:13" ht="12.75" customHeight="1" x14ac:dyDescent="0.2">
      <c r="C3001"/>
      <c r="M3001"/>
    </row>
    <row r="3002" spans="3:13" ht="12.75" customHeight="1" x14ac:dyDescent="0.2">
      <c r="C3002"/>
      <c r="M3002"/>
    </row>
    <row r="3003" spans="3:13" ht="12.75" customHeight="1" x14ac:dyDescent="0.2">
      <c r="C3003"/>
      <c r="M3003"/>
    </row>
    <row r="3004" spans="3:13" ht="12.75" customHeight="1" x14ac:dyDescent="0.2">
      <c r="C3004"/>
      <c r="M3004"/>
    </row>
    <row r="3005" spans="3:13" ht="12.75" customHeight="1" x14ac:dyDescent="0.2">
      <c r="C3005"/>
      <c r="M3005"/>
    </row>
    <row r="3006" spans="3:13" ht="12.75" customHeight="1" x14ac:dyDescent="0.2">
      <c r="C3006"/>
      <c r="M3006"/>
    </row>
    <row r="3007" spans="3:13" ht="12.75" customHeight="1" x14ac:dyDescent="0.2">
      <c r="C3007"/>
      <c r="M3007"/>
    </row>
    <row r="3008" spans="3:13" ht="12.75" customHeight="1" x14ac:dyDescent="0.2">
      <c r="C3008"/>
      <c r="M3008"/>
    </row>
    <row r="3009" spans="3:13" ht="12.75" customHeight="1" x14ac:dyDescent="0.2">
      <c r="C3009"/>
      <c r="M3009"/>
    </row>
    <row r="3010" spans="3:13" ht="12.75" customHeight="1" x14ac:dyDescent="0.2">
      <c r="C3010"/>
      <c r="M3010"/>
    </row>
    <row r="3011" spans="3:13" ht="12.75" customHeight="1" x14ac:dyDescent="0.2">
      <c r="C3011"/>
      <c r="M3011"/>
    </row>
    <row r="3012" spans="3:13" ht="12.75" customHeight="1" x14ac:dyDescent="0.2">
      <c r="C3012"/>
      <c r="M3012"/>
    </row>
    <row r="3013" spans="3:13" ht="12.75" customHeight="1" x14ac:dyDescent="0.2">
      <c r="C3013"/>
      <c r="M3013"/>
    </row>
    <row r="3014" spans="3:13" ht="12.75" customHeight="1" x14ac:dyDescent="0.2">
      <c r="C3014"/>
      <c r="M3014"/>
    </row>
    <row r="3015" spans="3:13" ht="12.75" customHeight="1" x14ac:dyDescent="0.2">
      <c r="C3015"/>
      <c r="M3015"/>
    </row>
    <row r="3016" spans="3:13" ht="12.75" customHeight="1" x14ac:dyDescent="0.2">
      <c r="C3016"/>
      <c r="M3016"/>
    </row>
    <row r="3017" spans="3:13" ht="12.75" customHeight="1" x14ac:dyDescent="0.2">
      <c r="C3017"/>
      <c r="M3017"/>
    </row>
    <row r="3018" spans="3:13" ht="12.75" customHeight="1" x14ac:dyDescent="0.2">
      <c r="C3018"/>
      <c r="M3018"/>
    </row>
    <row r="3019" spans="3:13" ht="12.75" customHeight="1" x14ac:dyDescent="0.2">
      <c r="C3019"/>
      <c r="M3019"/>
    </row>
    <row r="3020" spans="3:13" ht="12.75" customHeight="1" x14ac:dyDescent="0.2">
      <c r="C3020"/>
      <c r="M3020"/>
    </row>
    <row r="3021" spans="3:13" ht="12.75" customHeight="1" x14ac:dyDescent="0.2">
      <c r="C3021"/>
      <c r="M3021"/>
    </row>
    <row r="3022" spans="3:13" ht="12.75" customHeight="1" x14ac:dyDescent="0.2">
      <c r="C3022"/>
      <c r="M3022"/>
    </row>
    <row r="3023" spans="3:13" ht="12.75" customHeight="1" x14ac:dyDescent="0.2">
      <c r="C3023"/>
      <c r="M3023"/>
    </row>
    <row r="3024" spans="3:13" ht="12.75" customHeight="1" x14ac:dyDescent="0.2">
      <c r="C3024"/>
      <c r="M3024"/>
    </row>
    <row r="3025" spans="3:13" ht="12.75" customHeight="1" x14ac:dyDescent="0.2">
      <c r="C3025"/>
      <c r="M3025"/>
    </row>
    <row r="3026" spans="3:13" ht="12.75" customHeight="1" x14ac:dyDescent="0.2">
      <c r="C3026"/>
      <c r="M3026"/>
    </row>
    <row r="3027" spans="3:13" ht="12.75" customHeight="1" x14ac:dyDescent="0.2">
      <c r="C3027"/>
      <c r="M3027"/>
    </row>
    <row r="3028" spans="3:13" ht="12.75" customHeight="1" x14ac:dyDescent="0.2">
      <c r="C3028"/>
      <c r="M3028"/>
    </row>
    <row r="3029" spans="3:13" ht="12.75" customHeight="1" x14ac:dyDescent="0.2">
      <c r="C3029"/>
      <c r="M3029"/>
    </row>
    <row r="3030" spans="3:13" ht="12.75" customHeight="1" x14ac:dyDescent="0.2">
      <c r="C3030"/>
      <c r="M3030"/>
    </row>
    <row r="3031" spans="3:13" ht="12.75" customHeight="1" x14ac:dyDescent="0.2">
      <c r="C3031"/>
      <c r="M3031"/>
    </row>
    <row r="3032" spans="3:13" ht="12.75" customHeight="1" x14ac:dyDescent="0.2">
      <c r="C3032"/>
      <c r="M3032"/>
    </row>
    <row r="3033" spans="3:13" ht="12.75" customHeight="1" x14ac:dyDescent="0.2">
      <c r="C3033"/>
      <c r="M3033"/>
    </row>
    <row r="3034" spans="3:13" ht="12.75" customHeight="1" x14ac:dyDescent="0.2">
      <c r="C3034"/>
      <c r="M3034"/>
    </row>
    <row r="3035" spans="3:13" ht="12.75" customHeight="1" x14ac:dyDescent="0.2">
      <c r="C3035"/>
      <c r="M3035"/>
    </row>
    <row r="3036" spans="3:13" ht="12.75" customHeight="1" x14ac:dyDescent="0.2">
      <c r="C3036"/>
      <c r="M3036"/>
    </row>
    <row r="3037" spans="3:13" ht="12.75" customHeight="1" x14ac:dyDescent="0.2">
      <c r="C3037"/>
      <c r="M3037"/>
    </row>
    <row r="3038" spans="3:13" ht="12.75" customHeight="1" x14ac:dyDescent="0.2">
      <c r="C3038"/>
      <c r="M3038"/>
    </row>
    <row r="3039" spans="3:13" ht="12.75" customHeight="1" x14ac:dyDescent="0.2">
      <c r="C3039"/>
      <c r="M3039"/>
    </row>
    <row r="3040" spans="3:13" ht="12.75" customHeight="1" x14ac:dyDescent="0.2">
      <c r="C3040"/>
      <c r="M3040"/>
    </row>
    <row r="3041" spans="3:13" ht="12.75" customHeight="1" x14ac:dyDescent="0.2">
      <c r="C3041"/>
      <c r="M3041"/>
    </row>
    <row r="3042" spans="3:13" ht="12.75" customHeight="1" x14ac:dyDescent="0.2">
      <c r="C3042"/>
      <c r="M3042"/>
    </row>
    <row r="3043" spans="3:13" ht="12.75" customHeight="1" x14ac:dyDescent="0.2">
      <c r="C3043"/>
      <c r="M3043"/>
    </row>
    <row r="3044" spans="3:13" ht="12.75" customHeight="1" x14ac:dyDescent="0.2">
      <c r="C3044"/>
      <c r="M3044"/>
    </row>
    <row r="3045" spans="3:13" ht="12.75" customHeight="1" x14ac:dyDescent="0.2">
      <c r="C3045"/>
      <c r="M3045"/>
    </row>
    <row r="3046" spans="3:13" ht="12.75" customHeight="1" x14ac:dyDescent="0.2">
      <c r="C3046"/>
      <c r="M3046"/>
    </row>
    <row r="3047" spans="3:13" ht="12.75" customHeight="1" x14ac:dyDescent="0.2">
      <c r="C3047"/>
      <c r="M3047"/>
    </row>
    <row r="3048" spans="3:13" ht="12.75" customHeight="1" x14ac:dyDescent="0.2">
      <c r="C3048"/>
      <c r="M3048"/>
    </row>
    <row r="3049" spans="3:13" ht="12.75" customHeight="1" x14ac:dyDescent="0.2">
      <c r="C3049"/>
      <c r="M3049"/>
    </row>
    <row r="3050" spans="3:13" ht="12.75" customHeight="1" x14ac:dyDescent="0.2">
      <c r="C3050"/>
      <c r="M3050"/>
    </row>
    <row r="3051" spans="3:13" ht="12.75" customHeight="1" x14ac:dyDescent="0.2">
      <c r="C3051"/>
      <c r="M3051"/>
    </row>
    <row r="3052" spans="3:13" ht="12.75" customHeight="1" x14ac:dyDescent="0.2">
      <c r="C3052"/>
      <c r="M3052"/>
    </row>
    <row r="3053" spans="3:13" ht="12.75" customHeight="1" x14ac:dyDescent="0.2">
      <c r="C3053"/>
      <c r="M3053"/>
    </row>
    <row r="3054" spans="3:13" ht="12.75" customHeight="1" x14ac:dyDescent="0.2">
      <c r="C3054"/>
      <c r="M3054"/>
    </row>
    <row r="3055" spans="3:13" ht="12.75" customHeight="1" x14ac:dyDescent="0.2">
      <c r="C3055"/>
      <c r="M3055"/>
    </row>
    <row r="3056" spans="3:13" ht="12.75" customHeight="1" x14ac:dyDescent="0.2">
      <c r="C3056"/>
      <c r="M3056"/>
    </row>
    <row r="3057" spans="3:13" ht="12.75" customHeight="1" x14ac:dyDescent="0.2">
      <c r="C3057"/>
      <c r="M3057"/>
    </row>
    <row r="3058" spans="3:13" ht="12.75" customHeight="1" x14ac:dyDescent="0.2">
      <c r="C3058"/>
      <c r="M3058"/>
    </row>
    <row r="3059" spans="3:13" ht="12.75" customHeight="1" x14ac:dyDescent="0.2">
      <c r="C3059"/>
      <c r="M3059"/>
    </row>
    <row r="3060" spans="3:13" ht="12.75" customHeight="1" x14ac:dyDescent="0.2">
      <c r="C3060"/>
      <c r="M3060"/>
    </row>
    <row r="3061" spans="3:13" ht="12.75" customHeight="1" x14ac:dyDescent="0.2">
      <c r="C3061"/>
      <c r="M3061"/>
    </row>
    <row r="3062" spans="3:13" ht="12.75" customHeight="1" x14ac:dyDescent="0.2">
      <c r="C3062"/>
      <c r="M3062"/>
    </row>
    <row r="3063" spans="3:13" ht="12.75" customHeight="1" x14ac:dyDescent="0.2">
      <c r="C3063"/>
      <c r="M3063"/>
    </row>
    <row r="3064" spans="3:13" ht="12.75" customHeight="1" x14ac:dyDescent="0.2">
      <c r="C3064"/>
      <c r="M3064"/>
    </row>
    <row r="3065" spans="3:13" ht="12.75" customHeight="1" x14ac:dyDescent="0.2">
      <c r="C3065"/>
      <c r="M3065"/>
    </row>
    <row r="3066" spans="3:13" ht="12.75" customHeight="1" x14ac:dyDescent="0.2">
      <c r="C3066"/>
      <c r="M3066"/>
    </row>
    <row r="3067" spans="3:13" ht="12.75" customHeight="1" x14ac:dyDescent="0.2">
      <c r="C3067"/>
      <c r="M3067"/>
    </row>
    <row r="3068" spans="3:13" ht="12.75" customHeight="1" x14ac:dyDescent="0.2">
      <c r="C3068"/>
      <c r="M3068"/>
    </row>
    <row r="3069" spans="3:13" ht="12.75" customHeight="1" x14ac:dyDescent="0.2">
      <c r="C3069"/>
      <c r="M3069"/>
    </row>
    <row r="3070" spans="3:13" ht="12.75" customHeight="1" x14ac:dyDescent="0.2">
      <c r="C3070"/>
      <c r="M3070"/>
    </row>
    <row r="3071" spans="3:13" ht="12.75" customHeight="1" x14ac:dyDescent="0.2">
      <c r="C3071"/>
      <c r="M3071"/>
    </row>
    <row r="3072" spans="3:13" ht="12.75" customHeight="1" x14ac:dyDescent="0.2">
      <c r="C3072"/>
      <c r="M3072"/>
    </row>
    <row r="3073" spans="3:13" ht="12.75" customHeight="1" x14ac:dyDescent="0.2">
      <c r="C3073"/>
      <c r="M3073"/>
    </row>
    <row r="3074" spans="3:13" ht="12.75" customHeight="1" x14ac:dyDescent="0.2">
      <c r="C3074"/>
      <c r="M3074"/>
    </row>
    <row r="3075" spans="3:13" ht="12.75" customHeight="1" x14ac:dyDescent="0.2">
      <c r="C3075"/>
      <c r="M3075"/>
    </row>
    <row r="3076" spans="3:13" ht="12.75" customHeight="1" x14ac:dyDescent="0.2">
      <c r="C3076"/>
      <c r="M3076"/>
    </row>
    <row r="3077" spans="3:13" ht="12.75" customHeight="1" x14ac:dyDescent="0.2">
      <c r="C3077"/>
      <c r="M3077"/>
    </row>
    <row r="3078" spans="3:13" ht="12.75" customHeight="1" x14ac:dyDescent="0.2">
      <c r="C3078"/>
      <c r="M3078"/>
    </row>
    <row r="3079" spans="3:13" ht="12.75" customHeight="1" x14ac:dyDescent="0.2">
      <c r="C3079"/>
      <c r="M3079"/>
    </row>
    <row r="3080" spans="3:13" ht="12.75" customHeight="1" x14ac:dyDescent="0.2">
      <c r="C3080"/>
      <c r="M3080"/>
    </row>
    <row r="3081" spans="3:13" ht="12.75" customHeight="1" x14ac:dyDescent="0.2">
      <c r="C3081"/>
      <c r="M3081"/>
    </row>
    <row r="3082" spans="3:13" ht="12.75" customHeight="1" x14ac:dyDescent="0.2">
      <c r="C3082"/>
      <c r="M3082"/>
    </row>
    <row r="3083" spans="3:13" ht="12.75" customHeight="1" x14ac:dyDescent="0.2">
      <c r="C3083"/>
      <c r="M3083"/>
    </row>
    <row r="3084" spans="3:13" ht="12.75" customHeight="1" x14ac:dyDescent="0.2">
      <c r="C3084"/>
      <c r="M3084"/>
    </row>
    <row r="3085" spans="3:13" ht="12.75" customHeight="1" x14ac:dyDescent="0.2">
      <c r="C3085"/>
      <c r="M3085"/>
    </row>
    <row r="3086" spans="3:13" ht="12.75" customHeight="1" x14ac:dyDescent="0.2">
      <c r="C3086"/>
      <c r="M3086"/>
    </row>
    <row r="3087" spans="3:13" ht="12.75" customHeight="1" x14ac:dyDescent="0.2">
      <c r="C3087"/>
      <c r="M3087"/>
    </row>
    <row r="3088" spans="3:13" ht="12.75" customHeight="1" x14ac:dyDescent="0.2">
      <c r="C3088"/>
      <c r="M3088"/>
    </row>
    <row r="3089" spans="3:13" ht="12.75" customHeight="1" x14ac:dyDescent="0.2">
      <c r="C3089"/>
      <c r="M3089"/>
    </row>
    <row r="3090" spans="3:13" ht="12.75" customHeight="1" x14ac:dyDescent="0.2">
      <c r="C3090"/>
      <c r="M3090"/>
    </row>
    <row r="3091" spans="3:13" ht="12.75" customHeight="1" x14ac:dyDescent="0.2">
      <c r="C3091"/>
      <c r="M3091"/>
    </row>
    <row r="3092" spans="3:13" ht="12.75" customHeight="1" x14ac:dyDescent="0.2">
      <c r="C3092"/>
      <c r="M3092"/>
    </row>
    <row r="3093" spans="3:13" ht="12.75" customHeight="1" x14ac:dyDescent="0.2">
      <c r="C3093"/>
      <c r="M3093"/>
    </row>
    <row r="3094" spans="3:13" ht="12.75" customHeight="1" x14ac:dyDescent="0.2">
      <c r="C3094"/>
      <c r="M3094"/>
    </row>
    <row r="3095" spans="3:13" ht="12.75" customHeight="1" x14ac:dyDescent="0.2">
      <c r="C3095"/>
      <c r="M3095"/>
    </row>
    <row r="3096" spans="3:13" ht="12.75" customHeight="1" x14ac:dyDescent="0.2">
      <c r="C3096"/>
      <c r="M3096"/>
    </row>
    <row r="3097" spans="3:13" ht="12.75" customHeight="1" x14ac:dyDescent="0.2">
      <c r="C3097"/>
      <c r="M3097"/>
    </row>
    <row r="3098" spans="3:13" ht="12.75" customHeight="1" x14ac:dyDescent="0.2">
      <c r="C3098"/>
      <c r="M3098"/>
    </row>
    <row r="3099" spans="3:13" ht="12.75" customHeight="1" x14ac:dyDescent="0.2">
      <c r="C3099"/>
      <c r="M3099"/>
    </row>
    <row r="3100" spans="3:13" ht="12.75" customHeight="1" x14ac:dyDescent="0.2">
      <c r="C3100"/>
      <c r="M3100"/>
    </row>
    <row r="3101" spans="3:13" ht="12.75" customHeight="1" x14ac:dyDescent="0.2">
      <c r="C3101"/>
      <c r="M3101"/>
    </row>
    <row r="3102" spans="3:13" ht="12.75" customHeight="1" x14ac:dyDescent="0.2">
      <c r="C3102"/>
      <c r="M3102"/>
    </row>
    <row r="3103" spans="3:13" ht="12.75" customHeight="1" x14ac:dyDescent="0.2">
      <c r="C3103"/>
      <c r="M3103"/>
    </row>
    <row r="3104" spans="3:13" ht="12.75" customHeight="1" x14ac:dyDescent="0.2">
      <c r="C3104"/>
      <c r="M3104"/>
    </row>
    <row r="3105" spans="3:13" ht="12.75" customHeight="1" x14ac:dyDescent="0.2">
      <c r="C3105"/>
      <c r="M3105"/>
    </row>
    <row r="3106" spans="3:13" ht="12.75" customHeight="1" x14ac:dyDescent="0.2">
      <c r="C3106"/>
      <c r="M3106"/>
    </row>
    <row r="3107" spans="3:13" ht="12.75" customHeight="1" x14ac:dyDescent="0.2">
      <c r="C3107"/>
      <c r="M3107"/>
    </row>
    <row r="3108" spans="3:13" ht="12.75" customHeight="1" x14ac:dyDescent="0.2">
      <c r="C3108"/>
      <c r="M3108"/>
    </row>
    <row r="3109" spans="3:13" ht="12.75" customHeight="1" x14ac:dyDescent="0.2">
      <c r="C3109"/>
      <c r="M3109"/>
    </row>
    <row r="3110" spans="3:13" ht="12.75" customHeight="1" x14ac:dyDescent="0.2">
      <c r="C3110"/>
      <c r="M3110"/>
    </row>
    <row r="3111" spans="3:13" ht="12.75" customHeight="1" x14ac:dyDescent="0.2">
      <c r="C3111"/>
      <c r="M3111"/>
    </row>
    <row r="3112" spans="3:13" ht="12.75" customHeight="1" x14ac:dyDescent="0.2">
      <c r="C3112"/>
      <c r="M3112"/>
    </row>
    <row r="3113" spans="3:13" ht="12.75" customHeight="1" x14ac:dyDescent="0.2">
      <c r="C3113"/>
      <c r="M3113"/>
    </row>
    <row r="3114" spans="3:13" ht="12.75" customHeight="1" x14ac:dyDescent="0.2">
      <c r="C3114"/>
      <c r="M3114"/>
    </row>
    <row r="3115" spans="3:13" ht="12.75" customHeight="1" x14ac:dyDescent="0.2">
      <c r="C3115"/>
      <c r="M3115"/>
    </row>
    <row r="3116" spans="3:13" ht="12.75" customHeight="1" x14ac:dyDescent="0.2">
      <c r="C3116"/>
      <c r="M3116"/>
    </row>
    <row r="3117" spans="3:13" ht="12.75" customHeight="1" x14ac:dyDescent="0.2">
      <c r="C3117"/>
      <c r="M3117"/>
    </row>
    <row r="3118" spans="3:13" ht="12.75" customHeight="1" x14ac:dyDescent="0.2">
      <c r="C3118"/>
      <c r="M3118"/>
    </row>
    <row r="3119" spans="3:13" ht="12.75" customHeight="1" x14ac:dyDescent="0.2">
      <c r="C3119"/>
      <c r="M3119"/>
    </row>
    <row r="3120" spans="3:13" ht="12.75" customHeight="1" x14ac:dyDescent="0.2">
      <c r="C3120"/>
      <c r="M3120"/>
    </row>
    <row r="3121" spans="3:13" ht="12.75" customHeight="1" x14ac:dyDescent="0.2">
      <c r="C3121"/>
      <c r="M3121"/>
    </row>
    <row r="3122" spans="3:13" ht="12.75" customHeight="1" x14ac:dyDescent="0.2">
      <c r="C3122"/>
      <c r="M3122"/>
    </row>
    <row r="3123" spans="3:13" ht="12.75" customHeight="1" x14ac:dyDescent="0.2">
      <c r="C3123"/>
      <c r="M3123"/>
    </row>
    <row r="3124" spans="3:13" ht="12.75" customHeight="1" x14ac:dyDescent="0.2">
      <c r="C3124"/>
      <c r="M3124"/>
    </row>
    <row r="3125" spans="3:13" ht="12.75" customHeight="1" x14ac:dyDescent="0.2">
      <c r="C3125"/>
      <c r="M3125"/>
    </row>
    <row r="3126" spans="3:13" ht="12.75" customHeight="1" x14ac:dyDescent="0.2">
      <c r="C3126"/>
      <c r="M3126"/>
    </row>
    <row r="3127" spans="3:13" ht="12.75" customHeight="1" x14ac:dyDescent="0.2">
      <c r="C3127"/>
      <c r="M3127"/>
    </row>
    <row r="3128" spans="3:13" ht="12.75" customHeight="1" x14ac:dyDescent="0.2">
      <c r="C3128"/>
      <c r="M3128"/>
    </row>
    <row r="3129" spans="3:13" ht="12.75" customHeight="1" x14ac:dyDescent="0.2">
      <c r="C3129"/>
      <c r="M3129"/>
    </row>
    <row r="3130" spans="3:13" ht="12.75" customHeight="1" x14ac:dyDescent="0.2">
      <c r="C3130"/>
      <c r="M3130"/>
    </row>
    <row r="3131" spans="3:13" ht="12.75" customHeight="1" x14ac:dyDescent="0.2">
      <c r="C3131"/>
      <c r="M3131"/>
    </row>
    <row r="3132" spans="3:13" ht="12.75" customHeight="1" x14ac:dyDescent="0.2">
      <c r="C3132"/>
      <c r="M3132"/>
    </row>
    <row r="3133" spans="3:13" ht="12.75" customHeight="1" x14ac:dyDescent="0.2">
      <c r="C3133"/>
      <c r="M3133"/>
    </row>
    <row r="3134" spans="3:13" ht="12.75" customHeight="1" x14ac:dyDescent="0.2">
      <c r="C3134"/>
      <c r="M3134"/>
    </row>
    <row r="3135" spans="3:13" ht="12.75" customHeight="1" x14ac:dyDescent="0.2">
      <c r="C3135"/>
      <c r="M3135"/>
    </row>
    <row r="3136" spans="3:13" ht="12.75" customHeight="1" x14ac:dyDescent="0.2">
      <c r="C3136"/>
      <c r="M3136"/>
    </row>
    <row r="3137" spans="3:13" ht="12.75" customHeight="1" x14ac:dyDescent="0.2">
      <c r="C3137"/>
      <c r="M3137"/>
    </row>
    <row r="3138" spans="3:13" ht="12.75" customHeight="1" x14ac:dyDescent="0.2">
      <c r="C3138"/>
      <c r="M3138"/>
    </row>
    <row r="3139" spans="3:13" ht="12.75" customHeight="1" x14ac:dyDescent="0.2">
      <c r="C3139"/>
      <c r="M3139"/>
    </row>
    <row r="3140" spans="3:13" ht="12.75" customHeight="1" x14ac:dyDescent="0.2">
      <c r="C3140"/>
      <c r="M3140"/>
    </row>
    <row r="3141" spans="3:13" ht="12.75" customHeight="1" x14ac:dyDescent="0.2">
      <c r="C3141"/>
      <c r="M3141"/>
    </row>
    <row r="3142" spans="3:13" ht="12.75" customHeight="1" x14ac:dyDescent="0.2">
      <c r="C3142"/>
      <c r="M3142"/>
    </row>
    <row r="3143" spans="3:13" ht="12.75" customHeight="1" x14ac:dyDescent="0.2">
      <c r="C3143"/>
      <c r="M3143"/>
    </row>
    <row r="3144" spans="3:13" ht="12.75" customHeight="1" x14ac:dyDescent="0.2">
      <c r="C3144"/>
      <c r="M3144"/>
    </row>
    <row r="3145" spans="3:13" ht="12.75" customHeight="1" x14ac:dyDescent="0.2">
      <c r="C3145"/>
      <c r="M3145"/>
    </row>
    <row r="3146" spans="3:13" ht="12.75" customHeight="1" x14ac:dyDescent="0.2">
      <c r="C3146"/>
      <c r="M3146"/>
    </row>
    <row r="3147" spans="3:13" ht="12.75" customHeight="1" x14ac:dyDescent="0.2">
      <c r="C3147"/>
      <c r="M3147"/>
    </row>
    <row r="3148" spans="3:13" ht="12.75" customHeight="1" x14ac:dyDescent="0.2">
      <c r="C3148"/>
      <c r="M3148"/>
    </row>
    <row r="3149" spans="3:13" ht="12.75" customHeight="1" x14ac:dyDescent="0.2">
      <c r="C3149"/>
      <c r="M3149"/>
    </row>
    <row r="3150" spans="3:13" ht="12.75" customHeight="1" x14ac:dyDescent="0.2">
      <c r="C3150"/>
      <c r="M3150"/>
    </row>
    <row r="3151" spans="3:13" ht="12.75" customHeight="1" x14ac:dyDescent="0.2">
      <c r="C3151"/>
      <c r="M3151"/>
    </row>
    <row r="3152" spans="3:13" ht="12.75" customHeight="1" x14ac:dyDescent="0.2">
      <c r="C3152"/>
      <c r="M3152"/>
    </row>
    <row r="3153" spans="3:13" ht="12.75" customHeight="1" x14ac:dyDescent="0.2">
      <c r="C3153"/>
      <c r="M3153"/>
    </row>
    <row r="3154" spans="3:13" ht="12.75" customHeight="1" x14ac:dyDescent="0.2">
      <c r="C3154"/>
      <c r="M3154"/>
    </row>
    <row r="3155" spans="3:13" ht="12.75" customHeight="1" x14ac:dyDescent="0.2">
      <c r="C3155"/>
      <c r="M3155"/>
    </row>
    <row r="3156" spans="3:13" ht="12.75" customHeight="1" x14ac:dyDescent="0.2">
      <c r="C3156"/>
      <c r="M3156"/>
    </row>
    <row r="3157" spans="3:13" ht="12.75" customHeight="1" x14ac:dyDescent="0.2">
      <c r="C3157"/>
      <c r="M3157"/>
    </row>
    <row r="3158" spans="3:13" ht="12.75" customHeight="1" x14ac:dyDescent="0.2">
      <c r="C3158"/>
      <c r="M3158"/>
    </row>
    <row r="3159" spans="3:13" ht="12.75" customHeight="1" x14ac:dyDescent="0.2">
      <c r="C3159"/>
      <c r="M3159"/>
    </row>
    <row r="3160" spans="3:13" ht="12.75" customHeight="1" x14ac:dyDescent="0.2">
      <c r="C3160"/>
      <c r="M3160"/>
    </row>
    <row r="3161" spans="3:13" ht="12.75" customHeight="1" x14ac:dyDescent="0.2">
      <c r="C3161"/>
      <c r="M3161"/>
    </row>
    <row r="3162" spans="3:13" ht="12.75" customHeight="1" x14ac:dyDescent="0.2">
      <c r="C3162"/>
      <c r="M3162"/>
    </row>
    <row r="3163" spans="3:13" ht="12.75" customHeight="1" x14ac:dyDescent="0.2">
      <c r="C3163"/>
      <c r="M3163"/>
    </row>
    <row r="3164" spans="3:13" ht="12.75" customHeight="1" x14ac:dyDescent="0.2">
      <c r="C3164"/>
      <c r="M3164"/>
    </row>
    <row r="3165" spans="3:13" ht="12.75" customHeight="1" x14ac:dyDescent="0.2">
      <c r="C3165"/>
      <c r="M3165"/>
    </row>
    <row r="3166" spans="3:13" ht="12.75" customHeight="1" x14ac:dyDescent="0.2">
      <c r="C3166"/>
      <c r="M3166"/>
    </row>
    <row r="3167" spans="3:13" ht="12.75" customHeight="1" x14ac:dyDescent="0.2">
      <c r="C3167"/>
      <c r="M3167"/>
    </row>
    <row r="3168" spans="3:13" ht="12.75" customHeight="1" x14ac:dyDescent="0.2">
      <c r="C3168"/>
      <c r="M3168"/>
    </row>
    <row r="3169" spans="3:13" ht="12.75" customHeight="1" x14ac:dyDescent="0.2">
      <c r="C3169"/>
      <c r="M3169"/>
    </row>
    <row r="3170" spans="3:13" ht="12.75" customHeight="1" x14ac:dyDescent="0.2">
      <c r="C3170"/>
      <c r="M3170"/>
    </row>
    <row r="3171" spans="3:13" ht="12.75" customHeight="1" x14ac:dyDescent="0.2">
      <c r="C3171"/>
      <c r="M3171"/>
    </row>
    <row r="3172" spans="3:13" ht="12.75" customHeight="1" x14ac:dyDescent="0.2">
      <c r="C3172"/>
      <c r="M3172"/>
    </row>
    <row r="3173" spans="3:13" ht="12.75" customHeight="1" x14ac:dyDescent="0.2">
      <c r="C3173"/>
      <c r="M3173"/>
    </row>
    <row r="3174" spans="3:13" ht="12.75" customHeight="1" x14ac:dyDescent="0.2">
      <c r="C3174"/>
      <c r="M3174"/>
    </row>
    <row r="3175" spans="3:13" ht="12.75" customHeight="1" x14ac:dyDescent="0.2">
      <c r="C3175"/>
      <c r="M3175"/>
    </row>
    <row r="3176" spans="3:13" ht="12.75" customHeight="1" x14ac:dyDescent="0.2">
      <c r="C3176"/>
      <c r="M3176"/>
    </row>
    <row r="3177" spans="3:13" ht="12.75" customHeight="1" x14ac:dyDescent="0.2">
      <c r="C3177"/>
      <c r="M3177"/>
    </row>
    <row r="3178" spans="3:13" ht="12.75" customHeight="1" x14ac:dyDescent="0.2">
      <c r="C3178"/>
      <c r="M3178"/>
    </row>
    <row r="3179" spans="3:13" ht="12.75" customHeight="1" x14ac:dyDescent="0.2">
      <c r="C3179"/>
      <c r="M3179"/>
    </row>
    <row r="3180" spans="3:13" ht="12.75" customHeight="1" x14ac:dyDescent="0.2">
      <c r="C3180"/>
      <c r="M3180"/>
    </row>
    <row r="3181" spans="3:13" ht="12.75" customHeight="1" x14ac:dyDescent="0.2">
      <c r="C3181"/>
      <c r="M3181"/>
    </row>
    <row r="3182" spans="3:13" ht="12.75" customHeight="1" x14ac:dyDescent="0.2">
      <c r="C3182"/>
      <c r="M3182"/>
    </row>
    <row r="3183" spans="3:13" ht="12.75" customHeight="1" x14ac:dyDescent="0.2">
      <c r="C3183"/>
      <c r="M3183"/>
    </row>
    <row r="3184" spans="3:13" ht="12.75" customHeight="1" x14ac:dyDescent="0.2">
      <c r="C3184"/>
      <c r="M3184"/>
    </row>
    <row r="3185" spans="3:13" ht="12.75" customHeight="1" x14ac:dyDescent="0.2">
      <c r="C3185"/>
      <c r="M3185"/>
    </row>
    <row r="3186" spans="3:13" ht="12.75" customHeight="1" x14ac:dyDescent="0.2">
      <c r="C3186"/>
      <c r="M3186"/>
    </row>
    <row r="3187" spans="3:13" ht="12.75" customHeight="1" x14ac:dyDescent="0.2">
      <c r="C3187"/>
      <c r="M3187"/>
    </row>
    <row r="3188" spans="3:13" ht="12.75" customHeight="1" x14ac:dyDescent="0.2">
      <c r="C3188"/>
      <c r="M3188"/>
    </row>
    <row r="3189" spans="3:13" ht="12.75" customHeight="1" x14ac:dyDescent="0.2">
      <c r="C3189"/>
      <c r="M3189"/>
    </row>
    <row r="3190" spans="3:13" ht="12.75" customHeight="1" x14ac:dyDescent="0.2">
      <c r="C3190"/>
      <c r="M3190"/>
    </row>
    <row r="3191" spans="3:13" ht="12.75" customHeight="1" x14ac:dyDescent="0.2">
      <c r="C3191"/>
      <c r="M3191"/>
    </row>
    <row r="3192" spans="3:13" ht="12.75" customHeight="1" x14ac:dyDescent="0.2">
      <c r="C3192"/>
      <c r="M3192"/>
    </row>
    <row r="3193" spans="3:13" ht="12.75" customHeight="1" x14ac:dyDescent="0.2">
      <c r="C3193"/>
      <c r="M3193"/>
    </row>
    <row r="3194" spans="3:13" ht="12.75" customHeight="1" x14ac:dyDescent="0.2">
      <c r="C3194"/>
      <c r="M3194"/>
    </row>
    <row r="3195" spans="3:13" ht="12.75" customHeight="1" x14ac:dyDescent="0.2">
      <c r="C3195"/>
      <c r="M3195"/>
    </row>
    <row r="3196" spans="3:13" ht="12.75" customHeight="1" x14ac:dyDescent="0.2">
      <c r="C3196"/>
      <c r="M3196"/>
    </row>
    <row r="3197" spans="3:13" ht="12.75" customHeight="1" x14ac:dyDescent="0.2">
      <c r="C3197"/>
      <c r="M3197"/>
    </row>
    <row r="3198" spans="3:13" ht="12.75" customHeight="1" x14ac:dyDescent="0.2">
      <c r="C3198"/>
      <c r="M3198"/>
    </row>
    <row r="3199" spans="3:13" ht="12.75" customHeight="1" x14ac:dyDescent="0.2">
      <c r="C3199"/>
      <c r="M3199"/>
    </row>
    <row r="3200" spans="3:13" ht="12.75" customHeight="1" x14ac:dyDescent="0.2">
      <c r="C3200"/>
      <c r="M3200"/>
    </row>
    <row r="3201" spans="3:13" ht="12.75" customHeight="1" x14ac:dyDescent="0.2">
      <c r="C3201"/>
      <c r="M3201"/>
    </row>
    <row r="3202" spans="3:13" ht="12.75" customHeight="1" x14ac:dyDescent="0.2">
      <c r="C3202"/>
      <c r="M3202"/>
    </row>
    <row r="3203" spans="3:13" ht="12.75" customHeight="1" x14ac:dyDescent="0.2">
      <c r="C3203"/>
      <c r="M3203"/>
    </row>
    <row r="3204" spans="3:13" ht="12.75" customHeight="1" x14ac:dyDescent="0.2">
      <c r="C3204"/>
      <c r="M3204"/>
    </row>
    <row r="3205" spans="3:13" ht="12.75" customHeight="1" x14ac:dyDescent="0.2">
      <c r="C3205"/>
      <c r="M3205"/>
    </row>
    <row r="3206" spans="3:13" ht="12.75" customHeight="1" x14ac:dyDescent="0.2">
      <c r="C3206"/>
      <c r="M3206"/>
    </row>
    <row r="3207" spans="3:13" ht="12.75" customHeight="1" x14ac:dyDescent="0.2">
      <c r="C3207"/>
      <c r="M3207"/>
    </row>
    <row r="3208" spans="3:13" ht="12.75" customHeight="1" x14ac:dyDescent="0.2">
      <c r="C3208"/>
      <c r="M3208"/>
    </row>
    <row r="3209" spans="3:13" ht="12.75" customHeight="1" x14ac:dyDescent="0.2">
      <c r="C3209"/>
      <c r="M3209"/>
    </row>
    <row r="3210" spans="3:13" ht="12.75" customHeight="1" x14ac:dyDescent="0.2">
      <c r="C3210"/>
      <c r="M3210"/>
    </row>
    <row r="3211" spans="3:13" ht="12.75" customHeight="1" x14ac:dyDescent="0.2">
      <c r="C3211"/>
      <c r="M3211"/>
    </row>
    <row r="3212" spans="3:13" ht="12.75" customHeight="1" x14ac:dyDescent="0.2">
      <c r="C3212"/>
      <c r="M3212"/>
    </row>
    <row r="3213" spans="3:13" ht="12.75" customHeight="1" x14ac:dyDescent="0.2">
      <c r="C3213"/>
      <c r="M3213"/>
    </row>
    <row r="3214" spans="3:13" ht="12.75" customHeight="1" x14ac:dyDescent="0.2">
      <c r="C3214"/>
      <c r="M3214"/>
    </row>
    <row r="3215" spans="3:13" ht="12.75" customHeight="1" x14ac:dyDescent="0.2">
      <c r="C3215"/>
      <c r="M3215"/>
    </row>
    <row r="3216" spans="3:13" ht="12.75" customHeight="1" x14ac:dyDescent="0.2">
      <c r="C3216"/>
      <c r="M3216"/>
    </row>
    <row r="3217" spans="3:13" ht="12.75" customHeight="1" x14ac:dyDescent="0.2">
      <c r="C3217"/>
      <c r="M3217"/>
    </row>
    <row r="3218" spans="3:13" ht="12.75" customHeight="1" x14ac:dyDescent="0.2">
      <c r="C3218"/>
      <c r="M3218"/>
    </row>
    <row r="3219" spans="3:13" ht="12.75" customHeight="1" x14ac:dyDescent="0.2">
      <c r="C3219"/>
      <c r="M3219"/>
    </row>
    <row r="3220" spans="3:13" ht="12.75" customHeight="1" x14ac:dyDescent="0.2">
      <c r="C3220"/>
      <c r="M3220"/>
    </row>
    <row r="3221" spans="3:13" ht="12.75" customHeight="1" x14ac:dyDescent="0.2">
      <c r="C3221"/>
      <c r="M3221"/>
    </row>
    <row r="3222" spans="3:13" ht="12.75" customHeight="1" x14ac:dyDescent="0.2">
      <c r="C3222"/>
      <c r="M3222"/>
    </row>
    <row r="3223" spans="3:13" ht="12.75" customHeight="1" x14ac:dyDescent="0.2">
      <c r="C3223"/>
      <c r="M3223"/>
    </row>
    <row r="3224" spans="3:13" ht="12.75" customHeight="1" x14ac:dyDescent="0.2">
      <c r="C3224"/>
      <c r="M3224"/>
    </row>
    <row r="3225" spans="3:13" ht="12.75" customHeight="1" x14ac:dyDescent="0.2">
      <c r="C3225"/>
      <c r="M3225"/>
    </row>
    <row r="3226" spans="3:13" ht="12.75" customHeight="1" x14ac:dyDescent="0.2">
      <c r="C3226"/>
      <c r="M3226"/>
    </row>
    <row r="3227" spans="3:13" ht="12.75" customHeight="1" x14ac:dyDescent="0.2">
      <c r="C3227"/>
      <c r="M3227"/>
    </row>
    <row r="3228" spans="3:13" ht="12.75" customHeight="1" x14ac:dyDescent="0.2">
      <c r="C3228"/>
      <c r="M3228"/>
    </row>
    <row r="3229" spans="3:13" ht="12.75" customHeight="1" x14ac:dyDescent="0.2">
      <c r="C3229"/>
      <c r="M3229"/>
    </row>
    <row r="3230" spans="3:13" ht="12.75" customHeight="1" x14ac:dyDescent="0.2">
      <c r="C3230"/>
      <c r="M3230"/>
    </row>
    <row r="3231" spans="3:13" ht="12.75" customHeight="1" x14ac:dyDescent="0.2">
      <c r="C3231"/>
      <c r="M3231"/>
    </row>
    <row r="3232" spans="3:13" ht="12.75" customHeight="1" x14ac:dyDescent="0.2">
      <c r="C3232"/>
      <c r="M3232"/>
    </row>
    <row r="3233" spans="3:13" ht="12.75" customHeight="1" x14ac:dyDescent="0.2">
      <c r="C3233"/>
      <c r="M3233"/>
    </row>
    <row r="3234" spans="3:13" ht="12.75" customHeight="1" x14ac:dyDescent="0.2">
      <c r="C3234"/>
      <c r="M3234"/>
    </row>
    <row r="3235" spans="3:13" ht="12.75" customHeight="1" x14ac:dyDescent="0.2">
      <c r="C3235"/>
      <c r="M3235"/>
    </row>
    <row r="3236" spans="3:13" ht="12.75" customHeight="1" x14ac:dyDescent="0.2">
      <c r="C3236"/>
      <c r="M3236"/>
    </row>
    <row r="3237" spans="3:13" ht="12.75" customHeight="1" x14ac:dyDescent="0.2">
      <c r="C3237"/>
      <c r="M3237"/>
    </row>
    <row r="3238" spans="3:13" ht="12.75" customHeight="1" x14ac:dyDescent="0.2">
      <c r="C3238"/>
      <c r="M3238"/>
    </row>
    <row r="3239" spans="3:13" ht="12.75" customHeight="1" x14ac:dyDescent="0.2">
      <c r="C3239"/>
      <c r="M3239"/>
    </row>
    <row r="3240" spans="3:13" ht="12.75" customHeight="1" x14ac:dyDescent="0.2">
      <c r="C3240"/>
      <c r="M3240"/>
    </row>
    <row r="3241" spans="3:13" ht="12.75" customHeight="1" x14ac:dyDescent="0.2">
      <c r="C3241"/>
      <c r="M3241"/>
    </row>
    <row r="3242" spans="3:13" ht="12.75" customHeight="1" x14ac:dyDescent="0.2">
      <c r="C3242"/>
      <c r="M3242"/>
    </row>
    <row r="3243" spans="3:13" ht="12.75" customHeight="1" x14ac:dyDescent="0.2">
      <c r="C3243"/>
      <c r="M3243"/>
    </row>
    <row r="3244" spans="3:13" ht="12.75" customHeight="1" x14ac:dyDescent="0.2">
      <c r="C3244"/>
      <c r="M3244"/>
    </row>
    <row r="3245" spans="3:13" ht="12.75" customHeight="1" x14ac:dyDescent="0.2">
      <c r="C3245"/>
      <c r="M3245"/>
    </row>
    <row r="3246" spans="3:13" ht="12.75" customHeight="1" x14ac:dyDescent="0.2">
      <c r="C3246"/>
      <c r="M3246"/>
    </row>
    <row r="3247" spans="3:13" ht="12.75" customHeight="1" x14ac:dyDescent="0.2">
      <c r="C3247"/>
      <c r="M3247"/>
    </row>
    <row r="3248" spans="3:13" ht="12.75" customHeight="1" x14ac:dyDescent="0.2">
      <c r="C3248"/>
      <c r="M3248"/>
    </row>
    <row r="3249" spans="3:13" ht="12.75" customHeight="1" x14ac:dyDescent="0.2">
      <c r="C3249"/>
      <c r="M3249"/>
    </row>
    <row r="3250" spans="3:13" ht="12.75" customHeight="1" x14ac:dyDescent="0.2">
      <c r="C3250"/>
      <c r="M3250"/>
    </row>
    <row r="3251" spans="3:13" ht="12.75" customHeight="1" x14ac:dyDescent="0.2">
      <c r="C3251"/>
      <c r="M3251"/>
    </row>
    <row r="3252" spans="3:13" ht="12.75" customHeight="1" x14ac:dyDescent="0.2">
      <c r="C3252"/>
      <c r="M3252"/>
    </row>
    <row r="3253" spans="3:13" ht="12.75" customHeight="1" x14ac:dyDescent="0.2">
      <c r="C3253"/>
      <c r="M3253"/>
    </row>
    <row r="3254" spans="3:13" ht="12.75" customHeight="1" x14ac:dyDescent="0.2">
      <c r="C3254"/>
      <c r="M3254"/>
    </row>
    <row r="3255" spans="3:13" ht="12.75" customHeight="1" x14ac:dyDescent="0.2">
      <c r="C3255"/>
      <c r="M3255"/>
    </row>
    <row r="3256" spans="3:13" ht="12.75" customHeight="1" x14ac:dyDescent="0.2">
      <c r="C3256"/>
      <c r="M3256"/>
    </row>
    <row r="3257" spans="3:13" ht="12.75" customHeight="1" x14ac:dyDescent="0.2">
      <c r="C3257"/>
      <c r="M3257"/>
    </row>
    <row r="3258" spans="3:13" ht="12.75" customHeight="1" x14ac:dyDescent="0.2">
      <c r="C3258"/>
      <c r="M3258"/>
    </row>
    <row r="3259" spans="3:13" ht="12.75" customHeight="1" x14ac:dyDescent="0.2">
      <c r="C3259"/>
      <c r="M3259"/>
    </row>
    <row r="3260" spans="3:13" ht="12.75" customHeight="1" x14ac:dyDescent="0.2">
      <c r="C3260"/>
      <c r="M3260"/>
    </row>
    <row r="3261" spans="3:13" ht="12.75" customHeight="1" x14ac:dyDescent="0.2">
      <c r="C3261"/>
      <c r="M3261"/>
    </row>
    <row r="3262" spans="3:13" ht="12.75" customHeight="1" x14ac:dyDescent="0.2">
      <c r="C3262"/>
      <c r="M3262"/>
    </row>
    <row r="3263" spans="3:13" ht="12.75" customHeight="1" x14ac:dyDescent="0.2">
      <c r="C3263"/>
      <c r="M3263"/>
    </row>
    <row r="3264" spans="3:13" ht="12.75" customHeight="1" x14ac:dyDescent="0.2">
      <c r="C3264"/>
      <c r="M3264"/>
    </row>
    <row r="3265" spans="3:13" ht="12.75" customHeight="1" x14ac:dyDescent="0.2">
      <c r="C3265"/>
      <c r="M3265"/>
    </row>
    <row r="3266" spans="3:13" ht="12.75" customHeight="1" x14ac:dyDescent="0.2">
      <c r="C3266"/>
      <c r="M3266"/>
    </row>
    <row r="3267" spans="3:13" ht="12.75" customHeight="1" x14ac:dyDescent="0.2">
      <c r="C3267"/>
      <c r="M3267"/>
    </row>
    <row r="3268" spans="3:13" ht="12.75" customHeight="1" x14ac:dyDescent="0.2">
      <c r="C3268"/>
      <c r="M3268"/>
    </row>
    <row r="3269" spans="3:13" ht="12.75" customHeight="1" x14ac:dyDescent="0.2">
      <c r="C3269"/>
      <c r="M3269"/>
    </row>
    <row r="3270" spans="3:13" ht="12.75" customHeight="1" x14ac:dyDescent="0.2">
      <c r="C3270"/>
      <c r="M3270"/>
    </row>
    <row r="3271" spans="3:13" ht="12.75" customHeight="1" x14ac:dyDescent="0.2">
      <c r="C3271"/>
      <c r="M3271"/>
    </row>
    <row r="3272" spans="3:13" ht="12.75" customHeight="1" x14ac:dyDescent="0.2">
      <c r="C3272"/>
      <c r="M3272"/>
    </row>
    <row r="3273" spans="3:13" ht="12.75" customHeight="1" x14ac:dyDescent="0.2">
      <c r="C3273"/>
      <c r="M3273"/>
    </row>
    <row r="3274" spans="3:13" ht="12.75" customHeight="1" x14ac:dyDescent="0.2">
      <c r="C3274"/>
      <c r="M3274"/>
    </row>
    <row r="3275" spans="3:13" ht="12.75" customHeight="1" x14ac:dyDescent="0.2">
      <c r="C3275"/>
      <c r="M3275"/>
    </row>
    <row r="3276" spans="3:13" ht="12.75" customHeight="1" x14ac:dyDescent="0.2">
      <c r="C3276"/>
      <c r="M3276"/>
    </row>
    <row r="3277" spans="3:13" ht="12.75" customHeight="1" x14ac:dyDescent="0.2">
      <c r="C3277"/>
      <c r="M3277"/>
    </row>
    <row r="3278" spans="3:13" ht="12.75" customHeight="1" x14ac:dyDescent="0.2">
      <c r="C3278"/>
      <c r="M3278"/>
    </row>
    <row r="3279" spans="3:13" ht="12.75" customHeight="1" x14ac:dyDescent="0.2">
      <c r="C3279"/>
      <c r="M3279"/>
    </row>
    <row r="3280" spans="3:13" ht="12.75" customHeight="1" x14ac:dyDescent="0.2">
      <c r="C3280"/>
      <c r="M3280"/>
    </row>
    <row r="3281" spans="3:13" ht="12.75" customHeight="1" x14ac:dyDescent="0.2">
      <c r="C3281"/>
      <c r="M3281"/>
    </row>
    <row r="3282" spans="3:13" ht="12.75" customHeight="1" x14ac:dyDescent="0.2">
      <c r="C3282"/>
      <c r="M3282"/>
    </row>
    <row r="3283" spans="3:13" ht="12.75" customHeight="1" x14ac:dyDescent="0.2">
      <c r="C3283"/>
      <c r="M3283"/>
    </row>
    <row r="3284" spans="3:13" ht="12.75" customHeight="1" x14ac:dyDescent="0.2">
      <c r="C3284"/>
      <c r="M3284"/>
    </row>
    <row r="3285" spans="3:13" ht="12.75" customHeight="1" x14ac:dyDescent="0.2">
      <c r="C3285"/>
      <c r="M3285"/>
    </row>
    <row r="3286" spans="3:13" ht="12.75" customHeight="1" x14ac:dyDescent="0.2">
      <c r="C3286"/>
      <c r="M3286"/>
    </row>
    <row r="3287" spans="3:13" ht="12.75" customHeight="1" x14ac:dyDescent="0.2">
      <c r="C3287"/>
      <c r="M3287"/>
    </row>
    <row r="3288" spans="3:13" ht="12.75" customHeight="1" x14ac:dyDescent="0.2">
      <c r="C3288"/>
      <c r="M3288"/>
    </row>
    <row r="3289" spans="3:13" ht="12.75" customHeight="1" x14ac:dyDescent="0.2">
      <c r="C3289"/>
      <c r="M3289"/>
    </row>
    <row r="3290" spans="3:13" ht="12.75" customHeight="1" x14ac:dyDescent="0.2">
      <c r="C3290"/>
      <c r="M3290"/>
    </row>
    <row r="3291" spans="3:13" ht="12.75" customHeight="1" x14ac:dyDescent="0.2">
      <c r="C3291"/>
      <c r="M3291"/>
    </row>
    <row r="3292" spans="3:13" ht="12.75" customHeight="1" x14ac:dyDescent="0.2">
      <c r="C3292"/>
      <c r="M3292"/>
    </row>
    <row r="3293" spans="3:13" ht="12.75" customHeight="1" x14ac:dyDescent="0.2">
      <c r="C3293"/>
      <c r="M3293"/>
    </row>
    <row r="3294" spans="3:13" ht="12.75" customHeight="1" x14ac:dyDescent="0.2">
      <c r="C3294"/>
      <c r="M3294"/>
    </row>
    <row r="3295" spans="3:13" ht="12.75" customHeight="1" x14ac:dyDescent="0.2">
      <c r="C3295"/>
      <c r="M3295"/>
    </row>
    <row r="3296" spans="3:13" ht="12.75" customHeight="1" x14ac:dyDescent="0.2">
      <c r="C3296"/>
      <c r="M3296"/>
    </row>
    <row r="3297" spans="3:13" ht="12.75" customHeight="1" x14ac:dyDescent="0.2">
      <c r="C3297"/>
      <c r="M3297"/>
    </row>
    <row r="3298" spans="3:13" ht="12.75" customHeight="1" x14ac:dyDescent="0.2">
      <c r="C3298"/>
      <c r="M3298"/>
    </row>
    <row r="3299" spans="3:13" ht="12.75" customHeight="1" x14ac:dyDescent="0.2">
      <c r="C3299"/>
      <c r="M3299"/>
    </row>
    <row r="3300" spans="3:13" ht="12.75" customHeight="1" x14ac:dyDescent="0.2">
      <c r="C3300"/>
      <c r="M3300"/>
    </row>
    <row r="3301" spans="3:13" ht="12.75" customHeight="1" x14ac:dyDescent="0.2">
      <c r="C3301"/>
      <c r="M3301"/>
    </row>
    <row r="3302" spans="3:13" ht="12.75" customHeight="1" x14ac:dyDescent="0.2">
      <c r="C3302"/>
      <c r="M3302"/>
    </row>
    <row r="3303" spans="3:13" ht="12.75" customHeight="1" x14ac:dyDescent="0.2">
      <c r="C3303"/>
      <c r="M3303"/>
    </row>
    <row r="3304" spans="3:13" ht="12.75" customHeight="1" x14ac:dyDescent="0.2">
      <c r="C3304"/>
      <c r="M3304"/>
    </row>
    <row r="3305" spans="3:13" ht="12.75" customHeight="1" x14ac:dyDescent="0.2">
      <c r="C3305"/>
      <c r="M3305"/>
    </row>
    <row r="3306" spans="3:13" ht="12.75" customHeight="1" x14ac:dyDescent="0.2">
      <c r="C3306"/>
      <c r="M3306"/>
    </row>
    <row r="3307" spans="3:13" ht="12.75" customHeight="1" x14ac:dyDescent="0.2">
      <c r="C3307"/>
      <c r="M3307"/>
    </row>
    <row r="3308" spans="3:13" ht="12.75" customHeight="1" x14ac:dyDescent="0.2">
      <c r="C3308"/>
      <c r="M3308"/>
    </row>
    <row r="3309" spans="3:13" ht="12.75" customHeight="1" x14ac:dyDescent="0.2">
      <c r="C3309"/>
      <c r="M3309"/>
    </row>
    <row r="3310" spans="3:13" ht="12.75" customHeight="1" x14ac:dyDescent="0.2">
      <c r="C3310"/>
      <c r="M3310"/>
    </row>
    <row r="3311" spans="3:13" ht="12.75" customHeight="1" x14ac:dyDescent="0.2">
      <c r="C3311"/>
      <c r="M3311"/>
    </row>
    <row r="3312" spans="3:13" ht="12.75" customHeight="1" x14ac:dyDescent="0.2">
      <c r="C3312"/>
      <c r="M3312"/>
    </row>
    <row r="3313" spans="3:13" ht="12.75" customHeight="1" x14ac:dyDescent="0.2">
      <c r="C3313"/>
      <c r="M3313"/>
    </row>
    <row r="3314" spans="3:13" ht="12.75" customHeight="1" x14ac:dyDescent="0.2">
      <c r="C3314"/>
      <c r="M3314"/>
    </row>
    <row r="3315" spans="3:13" ht="12.75" customHeight="1" x14ac:dyDescent="0.2">
      <c r="C3315"/>
      <c r="M3315"/>
    </row>
    <row r="3316" spans="3:13" ht="12.75" customHeight="1" x14ac:dyDescent="0.2">
      <c r="C3316"/>
      <c r="M3316"/>
    </row>
    <row r="3317" spans="3:13" ht="12.75" customHeight="1" x14ac:dyDescent="0.2">
      <c r="C3317"/>
      <c r="M3317"/>
    </row>
    <row r="3318" spans="3:13" ht="12.75" customHeight="1" x14ac:dyDescent="0.2">
      <c r="C3318"/>
      <c r="M3318"/>
    </row>
    <row r="3319" spans="3:13" ht="12.75" customHeight="1" x14ac:dyDescent="0.2">
      <c r="C3319"/>
      <c r="M3319"/>
    </row>
    <row r="3320" spans="3:13" ht="12.75" customHeight="1" x14ac:dyDescent="0.2">
      <c r="C3320"/>
      <c r="M3320"/>
    </row>
    <row r="3321" spans="3:13" ht="12.75" customHeight="1" x14ac:dyDescent="0.2">
      <c r="C3321"/>
      <c r="M3321"/>
    </row>
    <row r="3322" spans="3:13" ht="12.75" customHeight="1" x14ac:dyDescent="0.2">
      <c r="C3322"/>
      <c r="M3322"/>
    </row>
    <row r="3323" spans="3:13" ht="12.75" customHeight="1" x14ac:dyDescent="0.2">
      <c r="C3323"/>
      <c r="M3323"/>
    </row>
    <row r="3324" spans="3:13" ht="12.75" customHeight="1" x14ac:dyDescent="0.2">
      <c r="C3324"/>
      <c r="M3324"/>
    </row>
    <row r="3325" spans="3:13" ht="12.75" customHeight="1" x14ac:dyDescent="0.2">
      <c r="C3325"/>
      <c r="M3325"/>
    </row>
    <row r="3326" spans="3:13" ht="12.75" customHeight="1" x14ac:dyDescent="0.2">
      <c r="C3326"/>
      <c r="M3326"/>
    </row>
    <row r="3327" spans="3:13" ht="12.75" customHeight="1" x14ac:dyDescent="0.2">
      <c r="C3327"/>
      <c r="M3327"/>
    </row>
    <row r="3328" spans="3:13" ht="12.75" customHeight="1" x14ac:dyDescent="0.2">
      <c r="C3328"/>
      <c r="M3328"/>
    </row>
    <row r="3329" spans="3:13" ht="12.75" customHeight="1" x14ac:dyDescent="0.2">
      <c r="C3329"/>
      <c r="M3329"/>
    </row>
    <row r="3330" spans="3:13" ht="12.75" customHeight="1" x14ac:dyDescent="0.2">
      <c r="C3330"/>
      <c r="M3330"/>
    </row>
    <row r="3331" spans="3:13" ht="12.75" customHeight="1" x14ac:dyDescent="0.2">
      <c r="C3331"/>
      <c r="M3331"/>
    </row>
    <row r="3332" spans="3:13" ht="12.75" customHeight="1" x14ac:dyDescent="0.2">
      <c r="C3332"/>
      <c r="M3332"/>
    </row>
    <row r="3333" spans="3:13" ht="12.75" customHeight="1" x14ac:dyDescent="0.2">
      <c r="C3333"/>
      <c r="M3333"/>
    </row>
    <row r="3334" spans="3:13" ht="12.75" customHeight="1" x14ac:dyDescent="0.2">
      <c r="C3334"/>
      <c r="M3334"/>
    </row>
    <row r="3335" spans="3:13" ht="12.75" customHeight="1" x14ac:dyDescent="0.2">
      <c r="C3335"/>
      <c r="M3335"/>
    </row>
    <row r="3336" spans="3:13" ht="12.75" customHeight="1" x14ac:dyDescent="0.2">
      <c r="C3336"/>
      <c r="M3336"/>
    </row>
    <row r="3337" spans="3:13" ht="12.75" customHeight="1" x14ac:dyDescent="0.2">
      <c r="C3337"/>
      <c r="M3337"/>
    </row>
    <row r="3338" spans="3:13" ht="12.75" customHeight="1" x14ac:dyDescent="0.2">
      <c r="C3338"/>
      <c r="M3338"/>
    </row>
    <row r="3339" spans="3:13" ht="12.75" customHeight="1" x14ac:dyDescent="0.2">
      <c r="C3339"/>
      <c r="M3339"/>
    </row>
    <row r="3340" spans="3:13" ht="12.75" customHeight="1" x14ac:dyDescent="0.2">
      <c r="C3340"/>
      <c r="M3340"/>
    </row>
    <row r="3341" spans="3:13" ht="12.75" customHeight="1" x14ac:dyDescent="0.2">
      <c r="C3341"/>
      <c r="M3341"/>
    </row>
    <row r="3342" spans="3:13" ht="12.75" customHeight="1" x14ac:dyDescent="0.2">
      <c r="C3342"/>
      <c r="M3342"/>
    </row>
    <row r="3343" spans="3:13" ht="12.75" customHeight="1" x14ac:dyDescent="0.2">
      <c r="C3343"/>
      <c r="M3343"/>
    </row>
    <row r="3344" spans="3:13" ht="12.75" customHeight="1" x14ac:dyDescent="0.2">
      <c r="C3344"/>
      <c r="M3344"/>
    </row>
    <row r="3345" spans="3:13" ht="12.75" customHeight="1" x14ac:dyDescent="0.2">
      <c r="C3345"/>
      <c r="M3345"/>
    </row>
    <row r="3346" spans="3:13" ht="12.75" customHeight="1" x14ac:dyDescent="0.2">
      <c r="C3346"/>
      <c r="M3346"/>
    </row>
    <row r="3347" spans="3:13" ht="12.75" customHeight="1" x14ac:dyDescent="0.2">
      <c r="C3347"/>
      <c r="M3347"/>
    </row>
    <row r="3348" spans="3:13" ht="12.75" customHeight="1" x14ac:dyDescent="0.2">
      <c r="C3348"/>
      <c r="M3348"/>
    </row>
    <row r="3349" spans="3:13" ht="12.75" customHeight="1" x14ac:dyDescent="0.2">
      <c r="C3349"/>
      <c r="M3349"/>
    </row>
    <row r="3350" spans="3:13" ht="12.75" customHeight="1" x14ac:dyDescent="0.2">
      <c r="C3350"/>
      <c r="M3350"/>
    </row>
    <row r="3351" spans="3:13" ht="12.75" customHeight="1" x14ac:dyDescent="0.2">
      <c r="C3351"/>
      <c r="M3351"/>
    </row>
    <row r="3352" spans="3:13" ht="12.75" customHeight="1" x14ac:dyDescent="0.2">
      <c r="C3352"/>
      <c r="M3352"/>
    </row>
    <row r="3353" spans="3:13" ht="12.75" customHeight="1" x14ac:dyDescent="0.2">
      <c r="C3353"/>
      <c r="M3353"/>
    </row>
    <row r="3354" spans="3:13" ht="12.75" customHeight="1" x14ac:dyDescent="0.2">
      <c r="C3354"/>
      <c r="M3354"/>
    </row>
    <row r="3355" spans="3:13" ht="12.75" customHeight="1" x14ac:dyDescent="0.2">
      <c r="C3355"/>
      <c r="M3355"/>
    </row>
    <row r="3356" spans="3:13" ht="12.75" customHeight="1" x14ac:dyDescent="0.2">
      <c r="C3356"/>
      <c r="M3356"/>
    </row>
    <row r="3357" spans="3:13" ht="12.75" customHeight="1" x14ac:dyDescent="0.2">
      <c r="C3357"/>
      <c r="M3357"/>
    </row>
    <row r="3358" spans="3:13" ht="12.75" customHeight="1" x14ac:dyDescent="0.2">
      <c r="C3358"/>
      <c r="M3358"/>
    </row>
    <row r="3359" spans="3:13" ht="12.75" customHeight="1" x14ac:dyDescent="0.2">
      <c r="C3359"/>
      <c r="M3359"/>
    </row>
    <row r="3360" spans="3:13" ht="12.75" customHeight="1" x14ac:dyDescent="0.2">
      <c r="C3360"/>
      <c r="M3360"/>
    </row>
    <row r="3361" spans="3:13" ht="12.75" customHeight="1" x14ac:dyDescent="0.2">
      <c r="C3361"/>
      <c r="M3361"/>
    </row>
    <row r="3362" spans="3:13" ht="12.75" customHeight="1" x14ac:dyDescent="0.2">
      <c r="C3362"/>
      <c r="M3362"/>
    </row>
    <row r="3363" spans="3:13" ht="12.75" customHeight="1" x14ac:dyDescent="0.2">
      <c r="C3363"/>
      <c r="M3363"/>
    </row>
    <row r="3364" spans="3:13" ht="12.75" customHeight="1" x14ac:dyDescent="0.2">
      <c r="C3364"/>
      <c r="M3364"/>
    </row>
    <row r="3365" spans="3:13" ht="12.75" customHeight="1" x14ac:dyDescent="0.2">
      <c r="C3365"/>
      <c r="M3365"/>
    </row>
    <row r="3366" spans="3:13" ht="12.75" customHeight="1" x14ac:dyDescent="0.2">
      <c r="C3366"/>
      <c r="M3366"/>
    </row>
    <row r="3367" spans="3:13" ht="12.75" customHeight="1" x14ac:dyDescent="0.2">
      <c r="C3367"/>
      <c r="M3367"/>
    </row>
    <row r="3368" spans="3:13" ht="12.75" customHeight="1" x14ac:dyDescent="0.2">
      <c r="C3368"/>
      <c r="M3368"/>
    </row>
    <row r="3369" spans="3:13" ht="12.75" customHeight="1" x14ac:dyDescent="0.2">
      <c r="C3369"/>
      <c r="M3369"/>
    </row>
    <row r="3370" spans="3:13" ht="12.75" customHeight="1" x14ac:dyDescent="0.2">
      <c r="C3370"/>
      <c r="M3370"/>
    </row>
    <row r="3371" spans="3:13" ht="12.75" customHeight="1" x14ac:dyDescent="0.2">
      <c r="C3371"/>
      <c r="M3371"/>
    </row>
    <row r="3372" spans="3:13" ht="12.75" customHeight="1" x14ac:dyDescent="0.2">
      <c r="C3372"/>
      <c r="M3372"/>
    </row>
    <row r="3373" spans="3:13" ht="12.75" customHeight="1" x14ac:dyDescent="0.2">
      <c r="C3373"/>
      <c r="M3373"/>
    </row>
    <row r="3374" spans="3:13" ht="12.75" customHeight="1" x14ac:dyDescent="0.2">
      <c r="C3374"/>
      <c r="M3374"/>
    </row>
    <row r="3375" spans="3:13" ht="12.75" customHeight="1" x14ac:dyDescent="0.2">
      <c r="C3375"/>
      <c r="M3375"/>
    </row>
    <row r="3376" spans="3:13" ht="12.75" customHeight="1" x14ac:dyDescent="0.2">
      <c r="C3376"/>
      <c r="M3376"/>
    </row>
    <row r="3377" spans="3:13" ht="12.75" customHeight="1" x14ac:dyDescent="0.2">
      <c r="C3377"/>
      <c r="M3377"/>
    </row>
    <row r="3378" spans="3:13" ht="12.75" customHeight="1" x14ac:dyDescent="0.2">
      <c r="C3378"/>
      <c r="M3378"/>
    </row>
    <row r="3379" spans="3:13" ht="12.75" customHeight="1" x14ac:dyDescent="0.2">
      <c r="C3379"/>
      <c r="M3379"/>
    </row>
    <row r="3380" spans="3:13" ht="12.75" customHeight="1" x14ac:dyDescent="0.2">
      <c r="C3380"/>
      <c r="M3380"/>
    </row>
    <row r="3381" spans="3:13" ht="12.75" customHeight="1" x14ac:dyDescent="0.2">
      <c r="C3381"/>
      <c r="M3381"/>
    </row>
    <row r="3382" spans="3:13" ht="12.75" customHeight="1" x14ac:dyDescent="0.2">
      <c r="C3382"/>
      <c r="M3382"/>
    </row>
    <row r="3383" spans="3:13" ht="12.75" customHeight="1" x14ac:dyDescent="0.2">
      <c r="C3383"/>
      <c r="M3383"/>
    </row>
    <row r="3384" spans="3:13" ht="12.75" customHeight="1" x14ac:dyDescent="0.2">
      <c r="C3384"/>
      <c r="M3384"/>
    </row>
    <row r="3385" spans="3:13" ht="12.75" customHeight="1" x14ac:dyDescent="0.2">
      <c r="C3385"/>
      <c r="M3385"/>
    </row>
    <row r="3386" spans="3:13" ht="12.75" customHeight="1" x14ac:dyDescent="0.2">
      <c r="C3386"/>
      <c r="M3386"/>
    </row>
    <row r="3387" spans="3:13" ht="12.75" customHeight="1" x14ac:dyDescent="0.2">
      <c r="C3387"/>
      <c r="M3387"/>
    </row>
    <row r="3388" spans="3:13" ht="12.75" customHeight="1" x14ac:dyDescent="0.2">
      <c r="C3388"/>
      <c r="M3388"/>
    </row>
    <row r="3389" spans="3:13" ht="12.75" customHeight="1" x14ac:dyDescent="0.2">
      <c r="C3389"/>
      <c r="M3389"/>
    </row>
    <row r="3390" spans="3:13" ht="12.75" customHeight="1" x14ac:dyDescent="0.2">
      <c r="C3390"/>
      <c r="M3390"/>
    </row>
    <row r="3391" spans="3:13" ht="12.75" customHeight="1" x14ac:dyDescent="0.2">
      <c r="C3391"/>
      <c r="M3391"/>
    </row>
    <row r="3392" spans="3:13" ht="12.75" customHeight="1" x14ac:dyDescent="0.2">
      <c r="C3392"/>
      <c r="M3392"/>
    </row>
    <row r="3393" spans="3:13" ht="12.75" customHeight="1" x14ac:dyDescent="0.2">
      <c r="C3393"/>
      <c r="M3393"/>
    </row>
    <row r="3394" spans="3:13" ht="12.75" customHeight="1" x14ac:dyDescent="0.2">
      <c r="C3394"/>
      <c r="M3394"/>
    </row>
    <row r="3395" spans="3:13" ht="12.75" customHeight="1" x14ac:dyDescent="0.2">
      <c r="C3395"/>
      <c r="M3395"/>
    </row>
    <row r="3396" spans="3:13" ht="12.75" customHeight="1" x14ac:dyDescent="0.2">
      <c r="C3396"/>
      <c r="M3396"/>
    </row>
    <row r="3397" spans="3:13" ht="12.75" customHeight="1" x14ac:dyDescent="0.2">
      <c r="C3397"/>
      <c r="M3397"/>
    </row>
    <row r="3398" spans="3:13" ht="12.75" customHeight="1" x14ac:dyDescent="0.2">
      <c r="C3398"/>
      <c r="M3398"/>
    </row>
    <row r="3399" spans="3:13" ht="12.75" customHeight="1" x14ac:dyDescent="0.2">
      <c r="C3399"/>
      <c r="M3399"/>
    </row>
    <row r="3400" spans="3:13" ht="12.75" customHeight="1" x14ac:dyDescent="0.2">
      <c r="C3400"/>
      <c r="M3400"/>
    </row>
    <row r="3401" spans="3:13" ht="12.75" customHeight="1" x14ac:dyDescent="0.2">
      <c r="C3401"/>
      <c r="M3401"/>
    </row>
    <row r="3402" spans="3:13" ht="12.75" customHeight="1" x14ac:dyDescent="0.2">
      <c r="C3402"/>
      <c r="M3402"/>
    </row>
    <row r="3403" spans="3:13" ht="12.75" customHeight="1" x14ac:dyDescent="0.2">
      <c r="C3403"/>
      <c r="M3403"/>
    </row>
    <row r="3404" spans="3:13" ht="12.75" customHeight="1" x14ac:dyDescent="0.2">
      <c r="C3404"/>
      <c r="M3404"/>
    </row>
    <row r="3405" spans="3:13" ht="12.75" customHeight="1" x14ac:dyDescent="0.2">
      <c r="C3405"/>
      <c r="M3405"/>
    </row>
    <row r="3406" spans="3:13" ht="12.75" customHeight="1" x14ac:dyDescent="0.2">
      <c r="C3406"/>
      <c r="M3406"/>
    </row>
    <row r="3407" spans="3:13" ht="12.75" customHeight="1" x14ac:dyDescent="0.2">
      <c r="C3407"/>
      <c r="M3407"/>
    </row>
    <row r="3408" spans="3:13" ht="12.75" customHeight="1" x14ac:dyDescent="0.2">
      <c r="C3408"/>
      <c r="M3408"/>
    </row>
    <row r="3409" spans="3:13" ht="12.75" customHeight="1" x14ac:dyDescent="0.2">
      <c r="C3409"/>
      <c r="M3409"/>
    </row>
    <row r="3410" spans="3:13" ht="12.75" customHeight="1" x14ac:dyDescent="0.2">
      <c r="C3410"/>
      <c r="M3410"/>
    </row>
    <row r="3411" spans="3:13" ht="12.75" customHeight="1" x14ac:dyDescent="0.2">
      <c r="C3411"/>
      <c r="M3411"/>
    </row>
    <row r="3412" spans="3:13" ht="12.75" customHeight="1" x14ac:dyDescent="0.2">
      <c r="C3412"/>
      <c r="M3412"/>
    </row>
    <row r="3413" spans="3:13" ht="12.75" customHeight="1" x14ac:dyDescent="0.2">
      <c r="C3413"/>
      <c r="M3413"/>
    </row>
    <row r="3414" spans="3:13" ht="12.75" customHeight="1" x14ac:dyDescent="0.2">
      <c r="C3414"/>
      <c r="M3414"/>
    </row>
    <row r="3415" spans="3:13" ht="12.75" customHeight="1" x14ac:dyDescent="0.2">
      <c r="C3415"/>
      <c r="M3415"/>
    </row>
    <row r="3416" spans="3:13" ht="12.75" customHeight="1" x14ac:dyDescent="0.2">
      <c r="C3416"/>
      <c r="M3416"/>
    </row>
    <row r="3417" spans="3:13" ht="12.75" customHeight="1" x14ac:dyDescent="0.2">
      <c r="C3417"/>
      <c r="M3417"/>
    </row>
    <row r="3418" spans="3:13" ht="12.75" customHeight="1" x14ac:dyDescent="0.2">
      <c r="C3418"/>
      <c r="M3418"/>
    </row>
    <row r="3419" spans="3:13" ht="12.75" customHeight="1" x14ac:dyDescent="0.2">
      <c r="C3419"/>
      <c r="M3419"/>
    </row>
    <row r="3420" spans="3:13" ht="12.75" customHeight="1" x14ac:dyDescent="0.2">
      <c r="C3420"/>
      <c r="M3420"/>
    </row>
    <row r="3421" spans="3:13" ht="12.75" customHeight="1" x14ac:dyDescent="0.2">
      <c r="C3421"/>
      <c r="M3421"/>
    </row>
    <row r="3422" spans="3:13" ht="12.75" customHeight="1" x14ac:dyDescent="0.2">
      <c r="C3422"/>
      <c r="M3422"/>
    </row>
    <row r="3423" spans="3:13" ht="12.75" customHeight="1" x14ac:dyDescent="0.2">
      <c r="C3423"/>
      <c r="M3423"/>
    </row>
    <row r="3424" spans="3:13" ht="12.75" customHeight="1" x14ac:dyDescent="0.2">
      <c r="C3424"/>
      <c r="M3424"/>
    </row>
    <row r="3425" spans="3:13" ht="12.75" customHeight="1" x14ac:dyDescent="0.2">
      <c r="C3425"/>
      <c r="M3425"/>
    </row>
    <row r="3426" spans="3:13" ht="12.75" customHeight="1" x14ac:dyDescent="0.2">
      <c r="C3426"/>
      <c r="M3426"/>
    </row>
    <row r="3427" spans="3:13" ht="12.75" customHeight="1" x14ac:dyDescent="0.2">
      <c r="C3427"/>
      <c r="M3427"/>
    </row>
    <row r="3428" spans="3:13" ht="12.75" customHeight="1" x14ac:dyDescent="0.2">
      <c r="C3428"/>
      <c r="M3428"/>
    </row>
    <row r="3429" spans="3:13" ht="12.75" customHeight="1" x14ac:dyDescent="0.2">
      <c r="C3429"/>
      <c r="M3429"/>
    </row>
    <row r="3430" spans="3:13" ht="12.75" customHeight="1" x14ac:dyDescent="0.2">
      <c r="C3430"/>
      <c r="M3430"/>
    </row>
    <row r="3431" spans="3:13" ht="12.75" customHeight="1" x14ac:dyDescent="0.2">
      <c r="C3431"/>
      <c r="M3431"/>
    </row>
    <row r="3432" spans="3:13" ht="12.75" customHeight="1" x14ac:dyDescent="0.2">
      <c r="C3432"/>
      <c r="M3432"/>
    </row>
    <row r="3433" spans="3:13" ht="12.75" customHeight="1" x14ac:dyDescent="0.2">
      <c r="C3433"/>
      <c r="M3433"/>
    </row>
    <row r="3434" spans="3:13" ht="12.75" customHeight="1" x14ac:dyDescent="0.2">
      <c r="C3434"/>
      <c r="M3434"/>
    </row>
    <row r="3435" spans="3:13" ht="12.75" customHeight="1" x14ac:dyDescent="0.2">
      <c r="C3435"/>
      <c r="M3435"/>
    </row>
    <row r="3436" spans="3:13" ht="12.75" customHeight="1" x14ac:dyDescent="0.2">
      <c r="C3436"/>
      <c r="M3436"/>
    </row>
    <row r="3437" spans="3:13" ht="12.75" customHeight="1" x14ac:dyDescent="0.2">
      <c r="C3437"/>
      <c r="M3437"/>
    </row>
    <row r="3438" spans="3:13" ht="12.75" customHeight="1" x14ac:dyDescent="0.2">
      <c r="C3438"/>
      <c r="M3438"/>
    </row>
    <row r="3439" spans="3:13" ht="12.75" customHeight="1" x14ac:dyDescent="0.2">
      <c r="C3439"/>
      <c r="M3439"/>
    </row>
    <row r="3440" spans="3:13" ht="12.75" customHeight="1" x14ac:dyDescent="0.2">
      <c r="C3440"/>
      <c r="M3440"/>
    </row>
    <row r="3441" spans="3:13" ht="12.75" customHeight="1" x14ac:dyDescent="0.2">
      <c r="C3441"/>
      <c r="M3441"/>
    </row>
    <row r="3442" spans="3:13" ht="12.75" customHeight="1" x14ac:dyDescent="0.2">
      <c r="C3442"/>
      <c r="M3442"/>
    </row>
    <row r="3443" spans="3:13" ht="12.75" customHeight="1" x14ac:dyDescent="0.2">
      <c r="C3443"/>
      <c r="M3443"/>
    </row>
    <row r="3444" spans="3:13" ht="12.75" customHeight="1" x14ac:dyDescent="0.2">
      <c r="C3444"/>
      <c r="M3444"/>
    </row>
    <row r="3445" spans="3:13" ht="12.75" customHeight="1" x14ac:dyDescent="0.2">
      <c r="C3445"/>
      <c r="M3445"/>
    </row>
    <row r="3446" spans="3:13" ht="12.75" customHeight="1" x14ac:dyDescent="0.2">
      <c r="C3446"/>
      <c r="M3446"/>
    </row>
    <row r="3447" spans="3:13" ht="12.75" customHeight="1" x14ac:dyDescent="0.2">
      <c r="C3447"/>
      <c r="M3447"/>
    </row>
    <row r="3448" spans="3:13" ht="12.75" customHeight="1" x14ac:dyDescent="0.2">
      <c r="C3448"/>
      <c r="M3448"/>
    </row>
    <row r="3449" spans="3:13" ht="12.75" customHeight="1" x14ac:dyDescent="0.2">
      <c r="C3449"/>
      <c r="M3449"/>
    </row>
    <row r="3450" spans="3:13" ht="12.75" customHeight="1" x14ac:dyDescent="0.2">
      <c r="C3450"/>
      <c r="M3450"/>
    </row>
    <row r="3451" spans="3:13" ht="12.75" customHeight="1" x14ac:dyDescent="0.2">
      <c r="C3451"/>
      <c r="M3451"/>
    </row>
    <row r="3452" spans="3:13" ht="12.75" customHeight="1" x14ac:dyDescent="0.2">
      <c r="C3452"/>
      <c r="M3452"/>
    </row>
    <row r="3453" spans="3:13" ht="12.75" customHeight="1" x14ac:dyDescent="0.2">
      <c r="C3453"/>
      <c r="M3453"/>
    </row>
    <row r="3454" spans="3:13" ht="12.75" customHeight="1" x14ac:dyDescent="0.2">
      <c r="C3454"/>
      <c r="M3454"/>
    </row>
    <row r="3455" spans="3:13" ht="12.75" customHeight="1" x14ac:dyDescent="0.2">
      <c r="C3455"/>
      <c r="M3455"/>
    </row>
    <row r="3456" spans="3:13" ht="12.75" customHeight="1" x14ac:dyDescent="0.2">
      <c r="C3456"/>
      <c r="M3456"/>
    </row>
    <row r="3457" spans="3:13" ht="12.75" customHeight="1" x14ac:dyDescent="0.2">
      <c r="C3457"/>
      <c r="M3457"/>
    </row>
    <row r="3458" spans="3:13" ht="12.75" customHeight="1" x14ac:dyDescent="0.2">
      <c r="C3458"/>
      <c r="M3458"/>
    </row>
    <row r="3459" spans="3:13" ht="12.75" customHeight="1" x14ac:dyDescent="0.2">
      <c r="C3459"/>
      <c r="M3459"/>
    </row>
    <row r="3460" spans="3:13" ht="12.75" customHeight="1" x14ac:dyDescent="0.2">
      <c r="C3460"/>
      <c r="M3460"/>
    </row>
    <row r="3461" spans="3:13" ht="12.75" customHeight="1" x14ac:dyDescent="0.2">
      <c r="C3461"/>
      <c r="M3461"/>
    </row>
    <row r="3462" spans="3:13" ht="12.75" customHeight="1" x14ac:dyDescent="0.2">
      <c r="C3462"/>
      <c r="M3462"/>
    </row>
    <row r="3463" spans="3:13" ht="12.75" customHeight="1" x14ac:dyDescent="0.2">
      <c r="C3463"/>
      <c r="M3463"/>
    </row>
    <row r="3464" spans="3:13" ht="12.75" customHeight="1" x14ac:dyDescent="0.2">
      <c r="C3464"/>
      <c r="M3464"/>
    </row>
    <row r="3465" spans="3:13" ht="12.75" customHeight="1" x14ac:dyDescent="0.2">
      <c r="C3465"/>
      <c r="M3465"/>
    </row>
    <row r="3466" spans="3:13" ht="12.75" customHeight="1" x14ac:dyDescent="0.2">
      <c r="C3466"/>
      <c r="M3466"/>
    </row>
    <row r="3467" spans="3:13" ht="12.75" customHeight="1" x14ac:dyDescent="0.2">
      <c r="C3467"/>
      <c r="M3467"/>
    </row>
    <row r="3468" spans="3:13" ht="12.75" customHeight="1" x14ac:dyDescent="0.2">
      <c r="C3468"/>
      <c r="M3468"/>
    </row>
    <row r="3469" spans="3:13" ht="12.75" customHeight="1" x14ac:dyDescent="0.2">
      <c r="C3469"/>
      <c r="M3469"/>
    </row>
    <row r="3470" spans="3:13" ht="12.75" customHeight="1" x14ac:dyDescent="0.2">
      <c r="C3470"/>
      <c r="M3470"/>
    </row>
    <row r="3471" spans="3:13" ht="12.75" customHeight="1" x14ac:dyDescent="0.2">
      <c r="C3471"/>
      <c r="M3471"/>
    </row>
    <row r="3472" spans="3:13" ht="12.75" customHeight="1" x14ac:dyDescent="0.2">
      <c r="C3472"/>
      <c r="M3472"/>
    </row>
    <row r="3473" spans="3:13" ht="12.75" customHeight="1" x14ac:dyDescent="0.2">
      <c r="C3473"/>
      <c r="M3473"/>
    </row>
    <row r="3474" spans="3:13" ht="12.75" customHeight="1" x14ac:dyDescent="0.2">
      <c r="C3474"/>
      <c r="M3474"/>
    </row>
    <row r="3475" spans="3:13" ht="12.75" customHeight="1" x14ac:dyDescent="0.2">
      <c r="C3475"/>
      <c r="M3475"/>
    </row>
    <row r="3476" spans="3:13" ht="12.75" customHeight="1" x14ac:dyDescent="0.2">
      <c r="C3476"/>
      <c r="M3476"/>
    </row>
    <row r="3477" spans="3:13" ht="12.75" customHeight="1" x14ac:dyDescent="0.2">
      <c r="C3477"/>
      <c r="M3477"/>
    </row>
    <row r="3478" spans="3:13" ht="12.75" customHeight="1" x14ac:dyDescent="0.2">
      <c r="C3478"/>
      <c r="M3478"/>
    </row>
    <row r="3479" spans="3:13" ht="12.75" customHeight="1" x14ac:dyDescent="0.2">
      <c r="C3479"/>
      <c r="M3479"/>
    </row>
    <row r="3480" spans="3:13" ht="12.75" customHeight="1" x14ac:dyDescent="0.2">
      <c r="C3480"/>
      <c r="M3480"/>
    </row>
    <row r="3481" spans="3:13" ht="12.75" customHeight="1" x14ac:dyDescent="0.2">
      <c r="C3481"/>
      <c r="M3481"/>
    </row>
    <row r="3482" spans="3:13" ht="12.75" customHeight="1" x14ac:dyDescent="0.2">
      <c r="C3482"/>
      <c r="M3482"/>
    </row>
    <row r="3483" spans="3:13" ht="12.75" customHeight="1" x14ac:dyDescent="0.2">
      <c r="C3483"/>
      <c r="M3483"/>
    </row>
    <row r="3484" spans="3:13" ht="12.75" customHeight="1" x14ac:dyDescent="0.2">
      <c r="C3484"/>
      <c r="M3484"/>
    </row>
    <row r="3485" spans="3:13" ht="12.75" customHeight="1" x14ac:dyDescent="0.2">
      <c r="C3485"/>
      <c r="M3485"/>
    </row>
    <row r="3486" spans="3:13" ht="12.75" customHeight="1" x14ac:dyDescent="0.2">
      <c r="C3486"/>
      <c r="M3486"/>
    </row>
    <row r="3487" spans="3:13" ht="12.75" customHeight="1" x14ac:dyDescent="0.2">
      <c r="C3487"/>
      <c r="M3487"/>
    </row>
    <row r="3488" spans="3:13" ht="12.75" customHeight="1" x14ac:dyDescent="0.2">
      <c r="C3488"/>
      <c r="M3488"/>
    </row>
    <row r="3489" spans="3:13" ht="12.75" customHeight="1" x14ac:dyDescent="0.2">
      <c r="C3489"/>
      <c r="M3489"/>
    </row>
    <row r="3490" spans="3:13" ht="12.75" customHeight="1" x14ac:dyDescent="0.2">
      <c r="C3490"/>
      <c r="M3490"/>
    </row>
    <row r="3491" spans="3:13" ht="12.75" customHeight="1" x14ac:dyDescent="0.2">
      <c r="C3491"/>
      <c r="M3491"/>
    </row>
    <row r="3492" spans="3:13" ht="12.75" customHeight="1" x14ac:dyDescent="0.2">
      <c r="C3492"/>
      <c r="M3492"/>
    </row>
    <row r="3493" spans="3:13" ht="12.75" customHeight="1" x14ac:dyDescent="0.2">
      <c r="C3493"/>
      <c r="M3493"/>
    </row>
    <row r="3494" spans="3:13" ht="12.75" customHeight="1" x14ac:dyDescent="0.2">
      <c r="C3494"/>
      <c r="M3494"/>
    </row>
    <row r="3495" spans="3:13" ht="12.75" customHeight="1" x14ac:dyDescent="0.2">
      <c r="C3495"/>
      <c r="M3495"/>
    </row>
    <row r="3496" spans="3:13" ht="12.75" customHeight="1" x14ac:dyDescent="0.2">
      <c r="C3496"/>
      <c r="M3496"/>
    </row>
    <row r="3497" spans="3:13" ht="12.75" customHeight="1" x14ac:dyDescent="0.2">
      <c r="C3497"/>
      <c r="M3497"/>
    </row>
    <row r="3498" spans="3:13" ht="12.75" customHeight="1" x14ac:dyDescent="0.2">
      <c r="C3498"/>
      <c r="M3498"/>
    </row>
    <row r="3499" spans="3:13" ht="12.75" customHeight="1" x14ac:dyDescent="0.2">
      <c r="C3499"/>
      <c r="M3499"/>
    </row>
    <row r="3500" spans="3:13" ht="12.75" customHeight="1" x14ac:dyDescent="0.2">
      <c r="C3500"/>
      <c r="M3500"/>
    </row>
    <row r="3501" spans="3:13" ht="12.75" customHeight="1" x14ac:dyDescent="0.2">
      <c r="C3501"/>
      <c r="M3501"/>
    </row>
    <row r="3502" spans="3:13" ht="12.75" customHeight="1" x14ac:dyDescent="0.2">
      <c r="C3502"/>
      <c r="M3502"/>
    </row>
    <row r="3503" spans="3:13" ht="12.75" customHeight="1" x14ac:dyDescent="0.2">
      <c r="C3503"/>
      <c r="M3503"/>
    </row>
    <row r="3504" spans="3:13" ht="12.75" customHeight="1" x14ac:dyDescent="0.2">
      <c r="C3504"/>
      <c r="M3504"/>
    </row>
    <row r="3505" spans="3:13" ht="12.75" customHeight="1" x14ac:dyDescent="0.2">
      <c r="C3505"/>
      <c r="M3505"/>
    </row>
    <row r="3506" spans="3:13" ht="12.75" customHeight="1" x14ac:dyDescent="0.2">
      <c r="C3506"/>
      <c r="M3506"/>
    </row>
    <row r="3507" spans="3:13" ht="12.75" customHeight="1" x14ac:dyDescent="0.2">
      <c r="C3507"/>
      <c r="M3507"/>
    </row>
    <row r="3508" spans="3:13" ht="12.75" customHeight="1" x14ac:dyDescent="0.2">
      <c r="C3508"/>
      <c r="M3508"/>
    </row>
    <row r="3509" spans="3:13" ht="12.75" customHeight="1" x14ac:dyDescent="0.2">
      <c r="C3509"/>
      <c r="M3509"/>
    </row>
    <row r="3510" spans="3:13" ht="12.75" customHeight="1" x14ac:dyDescent="0.2">
      <c r="C3510"/>
      <c r="M3510"/>
    </row>
    <row r="3511" spans="3:13" ht="12.75" customHeight="1" x14ac:dyDescent="0.2">
      <c r="C3511"/>
      <c r="M3511"/>
    </row>
    <row r="3512" spans="3:13" ht="12.75" customHeight="1" x14ac:dyDescent="0.2">
      <c r="C3512"/>
      <c r="M3512"/>
    </row>
    <row r="3513" spans="3:13" ht="12.75" customHeight="1" x14ac:dyDescent="0.2">
      <c r="C3513"/>
      <c r="M3513"/>
    </row>
    <row r="3514" spans="3:13" ht="12.75" customHeight="1" x14ac:dyDescent="0.2">
      <c r="C3514"/>
      <c r="M3514"/>
    </row>
    <row r="3515" spans="3:13" ht="12.75" customHeight="1" x14ac:dyDescent="0.2">
      <c r="C3515"/>
      <c r="M3515"/>
    </row>
    <row r="3516" spans="3:13" ht="12.75" customHeight="1" x14ac:dyDescent="0.2">
      <c r="C3516"/>
      <c r="M3516"/>
    </row>
    <row r="3517" spans="3:13" ht="12.75" customHeight="1" x14ac:dyDescent="0.2">
      <c r="C3517"/>
      <c r="M3517"/>
    </row>
    <row r="3518" spans="3:13" ht="12.75" customHeight="1" x14ac:dyDescent="0.2">
      <c r="C3518"/>
      <c r="M3518"/>
    </row>
    <row r="3519" spans="3:13" ht="12.75" customHeight="1" x14ac:dyDescent="0.2">
      <c r="C3519"/>
      <c r="M3519"/>
    </row>
    <row r="3520" spans="3:13" ht="12.75" customHeight="1" x14ac:dyDescent="0.2">
      <c r="C3520"/>
      <c r="M3520"/>
    </row>
    <row r="3521" spans="3:13" ht="12.75" customHeight="1" x14ac:dyDescent="0.2">
      <c r="C3521"/>
      <c r="M3521"/>
    </row>
    <row r="3522" spans="3:13" ht="12.75" customHeight="1" x14ac:dyDescent="0.2">
      <c r="C3522"/>
      <c r="M3522"/>
    </row>
    <row r="3523" spans="3:13" ht="12.75" customHeight="1" x14ac:dyDescent="0.2">
      <c r="C3523"/>
      <c r="M3523"/>
    </row>
    <row r="3524" spans="3:13" ht="12.75" customHeight="1" x14ac:dyDescent="0.2">
      <c r="C3524"/>
      <c r="M3524"/>
    </row>
    <row r="3525" spans="3:13" ht="12.75" customHeight="1" x14ac:dyDescent="0.2">
      <c r="C3525"/>
      <c r="M3525"/>
    </row>
    <row r="3526" spans="3:13" ht="12.75" customHeight="1" x14ac:dyDescent="0.2">
      <c r="C3526"/>
      <c r="M3526"/>
    </row>
    <row r="3527" spans="3:13" ht="12.75" customHeight="1" x14ac:dyDescent="0.2">
      <c r="C3527"/>
      <c r="M3527"/>
    </row>
    <row r="3528" spans="3:13" ht="12.75" customHeight="1" x14ac:dyDescent="0.2">
      <c r="C3528"/>
      <c r="M3528"/>
    </row>
    <row r="3529" spans="3:13" ht="12.75" customHeight="1" x14ac:dyDescent="0.2">
      <c r="C3529"/>
      <c r="M3529"/>
    </row>
    <row r="3530" spans="3:13" ht="12.75" customHeight="1" x14ac:dyDescent="0.2">
      <c r="C3530"/>
      <c r="M3530"/>
    </row>
    <row r="3531" spans="3:13" ht="12.75" customHeight="1" x14ac:dyDescent="0.2">
      <c r="C3531"/>
      <c r="M3531"/>
    </row>
    <row r="3532" spans="3:13" ht="12.75" customHeight="1" x14ac:dyDescent="0.2">
      <c r="C3532"/>
      <c r="M3532"/>
    </row>
    <row r="3533" spans="3:13" ht="12.75" customHeight="1" x14ac:dyDescent="0.2">
      <c r="C3533"/>
      <c r="M3533"/>
    </row>
    <row r="3534" spans="3:13" ht="12.75" customHeight="1" x14ac:dyDescent="0.2">
      <c r="C3534"/>
      <c r="M3534"/>
    </row>
    <row r="3535" spans="3:13" ht="12.75" customHeight="1" x14ac:dyDescent="0.2">
      <c r="C3535"/>
      <c r="M3535"/>
    </row>
    <row r="3536" spans="3:13" ht="12.75" customHeight="1" x14ac:dyDescent="0.2">
      <c r="C3536"/>
      <c r="M3536"/>
    </row>
    <row r="3537" spans="3:13" ht="12.75" customHeight="1" x14ac:dyDescent="0.2">
      <c r="C3537"/>
      <c r="M3537"/>
    </row>
    <row r="3538" spans="3:13" ht="12.75" customHeight="1" x14ac:dyDescent="0.2">
      <c r="C3538"/>
      <c r="M3538"/>
    </row>
    <row r="3539" spans="3:13" ht="12.75" customHeight="1" x14ac:dyDescent="0.2">
      <c r="C3539"/>
      <c r="M3539"/>
    </row>
    <row r="3540" spans="3:13" ht="12.75" customHeight="1" x14ac:dyDescent="0.2">
      <c r="C3540"/>
      <c r="M3540"/>
    </row>
    <row r="3541" spans="3:13" ht="12.75" customHeight="1" x14ac:dyDescent="0.2">
      <c r="C3541"/>
      <c r="M3541"/>
    </row>
    <row r="3542" spans="3:13" ht="12.75" customHeight="1" x14ac:dyDescent="0.2">
      <c r="C3542"/>
      <c r="M3542"/>
    </row>
    <row r="3543" spans="3:13" ht="12.75" customHeight="1" x14ac:dyDescent="0.2">
      <c r="C3543"/>
      <c r="M3543"/>
    </row>
    <row r="3544" spans="3:13" ht="12.75" customHeight="1" x14ac:dyDescent="0.2">
      <c r="C3544"/>
      <c r="M3544"/>
    </row>
    <row r="3545" spans="3:13" ht="12.75" customHeight="1" x14ac:dyDescent="0.2">
      <c r="C3545"/>
      <c r="M3545"/>
    </row>
    <row r="3546" spans="3:13" ht="12.75" customHeight="1" x14ac:dyDescent="0.2">
      <c r="C3546"/>
      <c r="M3546"/>
    </row>
    <row r="3547" spans="3:13" ht="12.75" customHeight="1" x14ac:dyDescent="0.2">
      <c r="C3547"/>
      <c r="M3547"/>
    </row>
    <row r="3548" spans="3:13" ht="12.75" customHeight="1" x14ac:dyDescent="0.2">
      <c r="C3548"/>
      <c r="M3548"/>
    </row>
    <row r="3549" spans="3:13" ht="12.75" customHeight="1" x14ac:dyDescent="0.2">
      <c r="C3549"/>
      <c r="M3549"/>
    </row>
    <row r="3550" spans="3:13" ht="12.75" customHeight="1" x14ac:dyDescent="0.2">
      <c r="C3550"/>
      <c r="M3550"/>
    </row>
    <row r="3551" spans="3:13" ht="12.75" customHeight="1" x14ac:dyDescent="0.2">
      <c r="C3551"/>
      <c r="M3551"/>
    </row>
    <row r="3552" spans="3:13" ht="12.75" customHeight="1" x14ac:dyDescent="0.2">
      <c r="C3552"/>
      <c r="M3552"/>
    </row>
    <row r="3553" spans="3:13" ht="12.75" customHeight="1" x14ac:dyDescent="0.2">
      <c r="C3553"/>
      <c r="M3553"/>
    </row>
    <row r="3554" spans="3:13" ht="12.75" customHeight="1" x14ac:dyDescent="0.2">
      <c r="C3554"/>
      <c r="M3554"/>
    </row>
    <row r="3555" spans="3:13" ht="12.75" customHeight="1" x14ac:dyDescent="0.2">
      <c r="C3555"/>
      <c r="M3555"/>
    </row>
    <row r="3556" spans="3:13" ht="12.75" customHeight="1" x14ac:dyDescent="0.2">
      <c r="C3556"/>
      <c r="M3556"/>
    </row>
    <row r="3557" spans="3:13" ht="12.75" customHeight="1" x14ac:dyDescent="0.2">
      <c r="C3557"/>
      <c r="M3557"/>
    </row>
    <row r="3558" spans="3:13" ht="12.75" customHeight="1" x14ac:dyDescent="0.2">
      <c r="C3558"/>
      <c r="M3558"/>
    </row>
    <row r="3559" spans="3:13" ht="12.75" customHeight="1" x14ac:dyDescent="0.2">
      <c r="C3559"/>
      <c r="M3559"/>
    </row>
    <row r="3560" spans="3:13" ht="12.75" customHeight="1" x14ac:dyDescent="0.2">
      <c r="C3560"/>
      <c r="M3560"/>
    </row>
    <row r="3561" spans="3:13" ht="12.75" customHeight="1" x14ac:dyDescent="0.2">
      <c r="C3561"/>
      <c r="M3561"/>
    </row>
    <row r="3562" spans="3:13" ht="12.75" customHeight="1" x14ac:dyDescent="0.2">
      <c r="C3562"/>
      <c r="M3562"/>
    </row>
    <row r="3563" spans="3:13" ht="12.75" customHeight="1" x14ac:dyDescent="0.2">
      <c r="C3563"/>
      <c r="M3563"/>
    </row>
    <row r="3564" spans="3:13" ht="12.75" customHeight="1" x14ac:dyDescent="0.2">
      <c r="C3564"/>
      <c r="M3564"/>
    </row>
    <row r="3565" spans="3:13" ht="12.75" customHeight="1" x14ac:dyDescent="0.2">
      <c r="C3565"/>
      <c r="M3565"/>
    </row>
    <row r="3566" spans="3:13" ht="12.75" customHeight="1" x14ac:dyDescent="0.2">
      <c r="C3566"/>
      <c r="M3566"/>
    </row>
    <row r="3567" spans="3:13" ht="12.75" customHeight="1" x14ac:dyDescent="0.2">
      <c r="C3567"/>
      <c r="M3567"/>
    </row>
    <row r="3568" spans="3:13" ht="12.75" customHeight="1" x14ac:dyDescent="0.2">
      <c r="C3568"/>
      <c r="M3568"/>
    </row>
    <row r="3569" spans="3:13" ht="12.75" customHeight="1" x14ac:dyDescent="0.2">
      <c r="C3569"/>
      <c r="M3569"/>
    </row>
    <row r="3570" spans="3:13" ht="12.75" customHeight="1" x14ac:dyDescent="0.2">
      <c r="C3570"/>
      <c r="M3570"/>
    </row>
    <row r="3571" spans="3:13" ht="12.75" customHeight="1" x14ac:dyDescent="0.2">
      <c r="C3571"/>
      <c r="M3571"/>
    </row>
    <row r="3572" spans="3:13" ht="12.75" customHeight="1" x14ac:dyDescent="0.2">
      <c r="C3572"/>
      <c r="M3572"/>
    </row>
    <row r="3573" spans="3:13" ht="12.75" customHeight="1" x14ac:dyDescent="0.2">
      <c r="C3573"/>
      <c r="M3573"/>
    </row>
    <row r="3574" spans="3:13" ht="12.75" customHeight="1" x14ac:dyDescent="0.2">
      <c r="C3574"/>
      <c r="M3574"/>
    </row>
    <row r="3575" spans="3:13" ht="12.75" customHeight="1" x14ac:dyDescent="0.2">
      <c r="C3575"/>
      <c r="M3575"/>
    </row>
    <row r="3576" spans="3:13" ht="12.75" customHeight="1" x14ac:dyDescent="0.2">
      <c r="C3576"/>
      <c r="M3576"/>
    </row>
    <row r="3577" spans="3:13" ht="12.75" customHeight="1" x14ac:dyDescent="0.2">
      <c r="C3577"/>
      <c r="M3577"/>
    </row>
    <row r="3578" spans="3:13" ht="12.75" customHeight="1" x14ac:dyDescent="0.2">
      <c r="C3578"/>
      <c r="M3578"/>
    </row>
    <row r="3579" spans="3:13" ht="12.75" customHeight="1" x14ac:dyDescent="0.2">
      <c r="C3579"/>
      <c r="M3579"/>
    </row>
    <row r="3580" spans="3:13" ht="12.75" customHeight="1" x14ac:dyDescent="0.2">
      <c r="C3580"/>
      <c r="M3580"/>
    </row>
    <row r="3581" spans="3:13" ht="12.75" customHeight="1" x14ac:dyDescent="0.2">
      <c r="C3581"/>
      <c r="M3581"/>
    </row>
    <row r="3582" spans="3:13" ht="12.75" customHeight="1" x14ac:dyDescent="0.2">
      <c r="C3582"/>
      <c r="M3582"/>
    </row>
    <row r="3583" spans="3:13" ht="12.75" customHeight="1" x14ac:dyDescent="0.2">
      <c r="C3583"/>
      <c r="M3583"/>
    </row>
    <row r="3584" spans="3:13" ht="12.75" customHeight="1" x14ac:dyDescent="0.2">
      <c r="C3584"/>
      <c r="M3584"/>
    </row>
    <row r="3585" spans="3:13" ht="12.75" customHeight="1" x14ac:dyDescent="0.2">
      <c r="C3585"/>
      <c r="M3585"/>
    </row>
    <row r="3586" spans="3:13" ht="12.75" customHeight="1" x14ac:dyDescent="0.2">
      <c r="C3586"/>
      <c r="M3586"/>
    </row>
    <row r="3587" spans="3:13" ht="12.75" customHeight="1" x14ac:dyDescent="0.2">
      <c r="C3587"/>
      <c r="M3587"/>
    </row>
    <row r="3588" spans="3:13" ht="12.75" customHeight="1" x14ac:dyDescent="0.2">
      <c r="C3588"/>
      <c r="M3588"/>
    </row>
    <row r="3589" spans="3:13" ht="12.75" customHeight="1" x14ac:dyDescent="0.2">
      <c r="C3589"/>
      <c r="M3589"/>
    </row>
    <row r="3590" spans="3:13" ht="12.75" customHeight="1" x14ac:dyDescent="0.2">
      <c r="C3590"/>
      <c r="M3590"/>
    </row>
    <row r="3591" spans="3:13" ht="12.75" customHeight="1" x14ac:dyDescent="0.2">
      <c r="C3591"/>
      <c r="M3591"/>
    </row>
    <row r="3592" spans="3:13" ht="12.75" customHeight="1" x14ac:dyDescent="0.2">
      <c r="C3592"/>
      <c r="M3592"/>
    </row>
    <row r="3593" spans="3:13" ht="12.75" customHeight="1" x14ac:dyDescent="0.2">
      <c r="C3593"/>
      <c r="M3593"/>
    </row>
    <row r="3594" spans="3:13" ht="12.75" customHeight="1" x14ac:dyDescent="0.2">
      <c r="C3594"/>
      <c r="M3594"/>
    </row>
    <row r="3595" spans="3:13" ht="12.75" customHeight="1" x14ac:dyDescent="0.2">
      <c r="C3595"/>
      <c r="M3595"/>
    </row>
    <row r="3596" spans="3:13" ht="12.75" customHeight="1" x14ac:dyDescent="0.2">
      <c r="C3596"/>
      <c r="M3596"/>
    </row>
    <row r="3597" spans="3:13" ht="12.75" customHeight="1" x14ac:dyDescent="0.2">
      <c r="C3597"/>
      <c r="M3597"/>
    </row>
    <row r="3598" spans="3:13" ht="12.75" customHeight="1" x14ac:dyDescent="0.2">
      <c r="C3598"/>
      <c r="M3598"/>
    </row>
    <row r="3599" spans="3:13" ht="12.75" customHeight="1" x14ac:dyDescent="0.2">
      <c r="C3599"/>
      <c r="M3599"/>
    </row>
    <row r="3600" spans="3:13" ht="12.75" customHeight="1" x14ac:dyDescent="0.2">
      <c r="C3600"/>
      <c r="M3600"/>
    </row>
    <row r="3601" spans="3:13" ht="12.75" customHeight="1" x14ac:dyDescent="0.2">
      <c r="C3601"/>
      <c r="M3601"/>
    </row>
    <row r="3602" spans="3:13" ht="12.75" customHeight="1" x14ac:dyDescent="0.2">
      <c r="C3602"/>
      <c r="M3602"/>
    </row>
    <row r="3603" spans="3:13" ht="12.75" customHeight="1" x14ac:dyDescent="0.2">
      <c r="C3603"/>
      <c r="M3603"/>
    </row>
    <row r="3604" spans="3:13" ht="12.75" customHeight="1" x14ac:dyDescent="0.2">
      <c r="C3604"/>
      <c r="M3604"/>
    </row>
    <row r="3605" spans="3:13" ht="12.75" customHeight="1" x14ac:dyDescent="0.2">
      <c r="C3605"/>
      <c r="M3605"/>
    </row>
    <row r="3606" spans="3:13" ht="12.75" customHeight="1" x14ac:dyDescent="0.2">
      <c r="C3606"/>
      <c r="M3606"/>
    </row>
    <row r="3607" spans="3:13" ht="12.75" customHeight="1" x14ac:dyDescent="0.2">
      <c r="C3607"/>
      <c r="M3607"/>
    </row>
    <row r="3608" spans="3:13" ht="12.75" customHeight="1" x14ac:dyDescent="0.2">
      <c r="C3608"/>
      <c r="M3608"/>
    </row>
    <row r="3609" spans="3:13" ht="12.75" customHeight="1" x14ac:dyDescent="0.2">
      <c r="C3609"/>
      <c r="M3609"/>
    </row>
    <row r="3610" spans="3:13" ht="12.75" customHeight="1" x14ac:dyDescent="0.2">
      <c r="C3610"/>
      <c r="M3610"/>
    </row>
    <row r="3611" spans="3:13" ht="12.75" customHeight="1" x14ac:dyDescent="0.2">
      <c r="C3611"/>
      <c r="M3611"/>
    </row>
    <row r="3612" spans="3:13" ht="12.75" customHeight="1" x14ac:dyDescent="0.2">
      <c r="C3612"/>
      <c r="M3612"/>
    </row>
    <row r="3613" spans="3:13" ht="12.75" customHeight="1" x14ac:dyDescent="0.2">
      <c r="C3613"/>
      <c r="M3613"/>
    </row>
    <row r="3614" spans="3:13" ht="12.75" customHeight="1" x14ac:dyDescent="0.2">
      <c r="C3614"/>
      <c r="M3614"/>
    </row>
    <row r="3615" spans="3:13" ht="12.75" customHeight="1" x14ac:dyDescent="0.2">
      <c r="C3615"/>
      <c r="M3615"/>
    </row>
    <row r="3616" spans="3:13" ht="12.75" customHeight="1" x14ac:dyDescent="0.2">
      <c r="C3616"/>
      <c r="M3616"/>
    </row>
    <row r="3617" spans="3:13" ht="12.75" customHeight="1" x14ac:dyDescent="0.2">
      <c r="C3617"/>
      <c r="M3617"/>
    </row>
    <row r="3618" spans="3:13" ht="12.75" customHeight="1" x14ac:dyDescent="0.2">
      <c r="C3618"/>
      <c r="M3618"/>
    </row>
    <row r="3619" spans="3:13" ht="12.75" customHeight="1" x14ac:dyDescent="0.2">
      <c r="C3619"/>
      <c r="M3619"/>
    </row>
    <row r="3620" spans="3:13" ht="12.75" customHeight="1" x14ac:dyDescent="0.2">
      <c r="C3620"/>
      <c r="M3620"/>
    </row>
    <row r="3621" spans="3:13" ht="12.75" customHeight="1" x14ac:dyDescent="0.2">
      <c r="C3621"/>
      <c r="M3621"/>
    </row>
    <row r="3622" spans="3:13" ht="12.75" customHeight="1" x14ac:dyDescent="0.2">
      <c r="C3622"/>
      <c r="M3622"/>
    </row>
    <row r="3623" spans="3:13" ht="12.75" customHeight="1" x14ac:dyDescent="0.2">
      <c r="C3623"/>
      <c r="M3623"/>
    </row>
    <row r="3624" spans="3:13" ht="12.75" customHeight="1" x14ac:dyDescent="0.2">
      <c r="C3624"/>
      <c r="M3624"/>
    </row>
    <row r="3625" spans="3:13" ht="12.75" customHeight="1" x14ac:dyDescent="0.2">
      <c r="C3625"/>
      <c r="M3625"/>
    </row>
    <row r="3626" spans="3:13" ht="12.75" customHeight="1" x14ac:dyDescent="0.2">
      <c r="C3626"/>
      <c r="M3626"/>
    </row>
    <row r="3627" spans="3:13" ht="12.75" customHeight="1" x14ac:dyDescent="0.2">
      <c r="C3627"/>
      <c r="M3627"/>
    </row>
    <row r="3628" spans="3:13" ht="12.75" customHeight="1" x14ac:dyDescent="0.2">
      <c r="C3628"/>
      <c r="M3628"/>
    </row>
    <row r="3629" spans="3:13" ht="12.75" customHeight="1" x14ac:dyDescent="0.2">
      <c r="C3629"/>
      <c r="M3629"/>
    </row>
    <row r="3630" spans="3:13" ht="12.75" customHeight="1" x14ac:dyDescent="0.2">
      <c r="C3630"/>
      <c r="M3630"/>
    </row>
    <row r="3631" spans="3:13" ht="12.75" customHeight="1" x14ac:dyDescent="0.2">
      <c r="C3631"/>
      <c r="M3631"/>
    </row>
    <row r="3632" spans="3:13" ht="12.75" customHeight="1" x14ac:dyDescent="0.2">
      <c r="C3632"/>
      <c r="M3632"/>
    </row>
    <row r="3633" spans="3:13" ht="12.75" customHeight="1" x14ac:dyDescent="0.2">
      <c r="C3633"/>
      <c r="M3633"/>
    </row>
    <row r="3634" spans="3:13" ht="12.75" customHeight="1" x14ac:dyDescent="0.2">
      <c r="C3634"/>
      <c r="M3634"/>
    </row>
    <row r="3635" spans="3:13" ht="12.75" customHeight="1" x14ac:dyDescent="0.2">
      <c r="C3635"/>
      <c r="M3635"/>
    </row>
    <row r="3636" spans="3:13" ht="12.75" customHeight="1" x14ac:dyDescent="0.2">
      <c r="C3636"/>
      <c r="M3636"/>
    </row>
    <row r="3637" spans="3:13" ht="12.75" customHeight="1" x14ac:dyDescent="0.2">
      <c r="C3637"/>
      <c r="M3637"/>
    </row>
    <row r="3638" spans="3:13" ht="12.75" customHeight="1" x14ac:dyDescent="0.2">
      <c r="C3638"/>
      <c r="M3638"/>
    </row>
    <row r="3639" spans="3:13" ht="12.75" customHeight="1" x14ac:dyDescent="0.2">
      <c r="C3639"/>
      <c r="M3639"/>
    </row>
    <row r="3640" spans="3:13" ht="12.75" customHeight="1" x14ac:dyDescent="0.2">
      <c r="C3640"/>
      <c r="M3640"/>
    </row>
    <row r="3641" spans="3:13" ht="12.75" customHeight="1" x14ac:dyDescent="0.2">
      <c r="C3641"/>
      <c r="M3641"/>
    </row>
    <row r="3642" spans="3:13" ht="12.75" customHeight="1" x14ac:dyDescent="0.2">
      <c r="C3642"/>
      <c r="M3642"/>
    </row>
    <row r="3643" spans="3:13" ht="12.75" customHeight="1" x14ac:dyDescent="0.2">
      <c r="C3643"/>
      <c r="M3643"/>
    </row>
    <row r="3644" spans="3:13" ht="12.75" customHeight="1" x14ac:dyDescent="0.2">
      <c r="C3644"/>
      <c r="M3644"/>
    </row>
    <row r="3645" spans="3:13" ht="12.75" customHeight="1" x14ac:dyDescent="0.2">
      <c r="C3645"/>
      <c r="M3645"/>
    </row>
    <row r="3646" spans="3:13" ht="12.75" customHeight="1" x14ac:dyDescent="0.2">
      <c r="C3646"/>
      <c r="M3646"/>
    </row>
    <row r="3647" spans="3:13" ht="12.75" customHeight="1" x14ac:dyDescent="0.2">
      <c r="C3647"/>
      <c r="M3647"/>
    </row>
    <row r="3648" spans="3:13" ht="12.75" customHeight="1" x14ac:dyDescent="0.2">
      <c r="C3648"/>
      <c r="M3648"/>
    </row>
    <row r="3649" spans="3:13" ht="12.75" customHeight="1" x14ac:dyDescent="0.2">
      <c r="C3649"/>
      <c r="M3649"/>
    </row>
    <row r="3650" spans="3:13" ht="12.75" customHeight="1" x14ac:dyDescent="0.2">
      <c r="C3650"/>
      <c r="M3650"/>
    </row>
    <row r="3651" spans="3:13" ht="12.75" customHeight="1" x14ac:dyDescent="0.2">
      <c r="C3651"/>
      <c r="M3651"/>
    </row>
    <row r="3652" spans="3:13" ht="12.75" customHeight="1" x14ac:dyDescent="0.2">
      <c r="C3652"/>
      <c r="M3652"/>
    </row>
    <row r="3653" spans="3:13" ht="12.75" customHeight="1" x14ac:dyDescent="0.2">
      <c r="C3653"/>
      <c r="M3653"/>
    </row>
    <row r="3654" spans="3:13" ht="12.75" customHeight="1" x14ac:dyDescent="0.2">
      <c r="C3654"/>
      <c r="M3654"/>
    </row>
    <row r="3655" spans="3:13" ht="12.75" customHeight="1" x14ac:dyDescent="0.2">
      <c r="C3655"/>
      <c r="M3655"/>
    </row>
    <row r="3656" spans="3:13" ht="12.75" customHeight="1" x14ac:dyDescent="0.2">
      <c r="C3656"/>
      <c r="M3656"/>
    </row>
    <row r="3657" spans="3:13" ht="12.75" customHeight="1" x14ac:dyDescent="0.2">
      <c r="C3657"/>
      <c r="M3657"/>
    </row>
    <row r="3658" spans="3:13" ht="12.75" customHeight="1" x14ac:dyDescent="0.2">
      <c r="C3658"/>
      <c r="M3658"/>
    </row>
    <row r="3659" spans="3:13" ht="12.75" customHeight="1" x14ac:dyDescent="0.2">
      <c r="C3659"/>
      <c r="M3659"/>
    </row>
    <row r="3660" spans="3:13" ht="12.75" customHeight="1" x14ac:dyDescent="0.2">
      <c r="C3660"/>
      <c r="M3660"/>
    </row>
    <row r="3661" spans="3:13" ht="12.75" customHeight="1" x14ac:dyDescent="0.2">
      <c r="C3661"/>
      <c r="M3661"/>
    </row>
    <row r="3662" spans="3:13" ht="12.75" customHeight="1" x14ac:dyDescent="0.2">
      <c r="C3662"/>
      <c r="M3662"/>
    </row>
    <row r="3663" spans="3:13" ht="12.75" customHeight="1" x14ac:dyDescent="0.2">
      <c r="C3663"/>
      <c r="M3663"/>
    </row>
    <row r="3664" spans="3:13" ht="12.75" customHeight="1" x14ac:dyDescent="0.2">
      <c r="C3664"/>
      <c r="M3664"/>
    </row>
    <row r="3665" spans="3:13" ht="12.75" customHeight="1" x14ac:dyDescent="0.2">
      <c r="C3665"/>
      <c r="M3665"/>
    </row>
    <row r="3666" spans="3:13" ht="12.75" customHeight="1" x14ac:dyDescent="0.2">
      <c r="C3666"/>
      <c r="M3666"/>
    </row>
    <row r="3667" spans="3:13" ht="12.75" customHeight="1" x14ac:dyDescent="0.2">
      <c r="C3667"/>
      <c r="M3667"/>
    </row>
    <row r="3668" spans="3:13" ht="12.75" customHeight="1" x14ac:dyDescent="0.2">
      <c r="C3668"/>
      <c r="M3668"/>
    </row>
    <row r="3669" spans="3:13" ht="12.75" customHeight="1" x14ac:dyDescent="0.2">
      <c r="C3669"/>
      <c r="M3669"/>
    </row>
    <row r="3670" spans="3:13" ht="12.75" customHeight="1" x14ac:dyDescent="0.2">
      <c r="C3670"/>
      <c r="M3670"/>
    </row>
    <row r="3671" spans="3:13" ht="12.75" customHeight="1" x14ac:dyDescent="0.2">
      <c r="C3671"/>
      <c r="M3671"/>
    </row>
    <row r="3672" spans="3:13" ht="12.75" customHeight="1" x14ac:dyDescent="0.2">
      <c r="C3672"/>
      <c r="M3672"/>
    </row>
    <row r="3673" spans="3:13" ht="12.75" customHeight="1" x14ac:dyDescent="0.2">
      <c r="C3673"/>
      <c r="M3673"/>
    </row>
    <row r="3674" spans="3:13" ht="12.75" customHeight="1" x14ac:dyDescent="0.2">
      <c r="C3674"/>
      <c r="M3674"/>
    </row>
    <row r="3675" spans="3:13" ht="12.75" customHeight="1" x14ac:dyDescent="0.2">
      <c r="C3675"/>
      <c r="M3675"/>
    </row>
    <row r="3676" spans="3:13" ht="12.75" customHeight="1" x14ac:dyDescent="0.2">
      <c r="C3676"/>
      <c r="M3676"/>
    </row>
    <row r="3677" spans="3:13" ht="12.75" customHeight="1" x14ac:dyDescent="0.2">
      <c r="C3677"/>
      <c r="M3677"/>
    </row>
    <row r="3678" spans="3:13" ht="12.75" customHeight="1" x14ac:dyDescent="0.2">
      <c r="C3678"/>
      <c r="M3678"/>
    </row>
    <row r="3679" spans="3:13" ht="12.75" customHeight="1" x14ac:dyDescent="0.2">
      <c r="C3679"/>
      <c r="M3679"/>
    </row>
    <row r="3680" spans="3:13" ht="12.75" customHeight="1" x14ac:dyDescent="0.2">
      <c r="C3680"/>
      <c r="M3680"/>
    </row>
    <row r="3681" spans="3:13" ht="12.75" customHeight="1" x14ac:dyDescent="0.2">
      <c r="C3681"/>
      <c r="M3681"/>
    </row>
    <row r="3682" spans="3:13" ht="12.75" customHeight="1" x14ac:dyDescent="0.2">
      <c r="C3682"/>
      <c r="M3682"/>
    </row>
    <row r="3683" spans="3:13" ht="12.75" customHeight="1" x14ac:dyDescent="0.2">
      <c r="C3683"/>
      <c r="M3683"/>
    </row>
    <row r="3684" spans="3:13" ht="12.75" customHeight="1" x14ac:dyDescent="0.2">
      <c r="C3684"/>
      <c r="M3684"/>
    </row>
    <row r="3685" spans="3:13" ht="12.75" customHeight="1" x14ac:dyDescent="0.2">
      <c r="C3685"/>
      <c r="M3685"/>
    </row>
    <row r="3686" spans="3:13" ht="12.75" customHeight="1" x14ac:dyDescent="0.2">
      <c r="C3686"/>
      <c r="M3686"/>
    </row>
    <row r="3687" spans="3:13" ht="12.75" customHeight="1" x14ac:dyDescent="0.2">
      <c r="C3687"/>
      <c r="M3687"/>
    </row>
    <row r="3688" spans="3:13" ht="12.75" customHeight="1" x14ac:dyDescent="0.2">
      <c r="C3688"/>
      <c r="M3688"/>
    </row>
    <row r="3689" spans="3:13" ht="12.75" customHeight="1" x14ac:dyDescent="0.2">
      <c r="C3689"/>
      <c r="M3689"/>
    </row>
    <row r="3690" spans="3:13" ht="12.75" customHeight="1" x14ac:dyDescent="0.2">
      <c r="C3690"/>
      <c r="M3690"/>
    </row>
    <row r="3691" spans="3:13" ht="12.75" customHeight="1" x14ac:dyDescent="0.2">
      <c r="C3691"/>
      <c r="M3691"/>
    </row>
    <row r="3692" spans="3:13" ht="12.75" customHeight="1" x14ac:dyDescent="0.2">
      <c r="C3692"/>
      <c r="M3692"/>
    </row>
    <row r="3693" spans="3:13" ht="12.75" customHeight="1" x14ac:dyDescent="0.2">
      <c r="C3693"/>
      <c r="M3693"/>
    </row>
    <row r="3694" spans="3:13" ht="12.75" customHeight="1" x14ac:dyDescent="0.2">
      <c r="C3694"/>
      <c r="M3694"/>
    </row>
    <row r="3695" spans="3:13" ht="12.75" customHeight="1" x14ac:dyDescent="0.2">
      <c r="C3695"/>
      <c r="M3695"/>
    </row>
    <row r="3696" spans="3:13" ht="12.75" customHeight="1" x14ac:dyDescent="0.2">
      <c r="C3696"/>
      <c r="M3696"/>
    </row>
    <row r="3697" spans="3:13" ht="12.75" customHeight="1" x14ac:dyDescent="0.2">
      <c r="C3697"/>
      <c r="M3697"/>
    </row>
    <row r="3698" spans="3:13" ht="12.75" customHeight="1" x14ac:dyDescent="0.2">
      <c r="C3698"/>
      <c r="M3698"/>
    </row>
    <row r="3699" spans="3:13" ht="12.75" customHeight="1" x14ac:dyDescent="0.2">
      <c r="C3699"/>
      <c r="M3699"/>
    </row>
    <row r="3700" spans="3:13" ht="12.75" customHeight="1" x14ac:dyDescent="0.2">
      <c r="C3700"/>
      <c r="M3700"/>
    </row>
    <row r="3701" spans="3:13" ht="12.75" customHeight="1" x14ac:dyDescent="0.2">
      <c r="C3701"/>
      <c r="M3701"/>
    </row>
    <row r="3702" spans="3:13" ht="12.75" customHeight="1" x14ac:dyDescent="0.2">
      <c r="C3702"/>
      <c r="M3702"/>
    </row>
    <row r="3703" spans="3:13" ht="12.75" customHeight="1" x14ac:dyDescent="0.2">
      <c r="C3703"/>
      <c r="M3703"/>
    </row>
    <row r="3704" spans="3:13" ht="12.75" customHeight="1" x14ac:dyDescent="0.2">
      <c r="C3704"/>
      <c r="M3704"/>
    </row>
    <row r="3705" spans="3:13" ht="12.75" customHeight="1" x14ac:dyDescent="0.2">
      <c r="C3705"/>
      <c r="M3705"/>
    </row>
    <row r="3706" spans="3:13" ht="12.75" customHeight="1" x14ac:dyDescent="0.2">
      <c r="C3706"/>
      <c r="M3706"/>
    </row>
    <row r="3707" spans="3:13" ht="12.75" customHeight="1" x14ac:dyDescent="0.2">
      <c r="C3707"/>
      <c r="M3707"/>
    </row>
    <row r="3708" spans="3:13" ht="12.75" customHeight="1" x14ac:dyDescent="0.2">
      <c r="C3708"/>
      <c r="M3708"/>
    </row>
    <row r="3709" spans="3:13" ht="12.75" customHeight="1" x14ac:dyDescent="0.2">
      <c r="C3709"/>
      <c r="M3709"/>
    </row>
    <row r="3710" spans="3:13" ht="12.75" customHeight="1" x14ac:dyDescent="0.2">
      <c r="C3710"/>
      <c r="M3710"/>
    </row>
    <row r="3711" spans="3:13" ht="12.75" customHeight="1" x14ac:dyDescent="0.2">
      <c r="C3711"/>
      <c r="M3711"/>
    </row>
    <row r="3712" spans="3:13" ht="12.75" customHeight="1" x14ac:dyDescent="0.2">
      <c r="C3712"/>
      <c r="M3712"/>
    </row>
    <row r="3713" spans="3:13" ht="12.75" customHeight="1" x14ac:dyDescent="0.2">
      <c r="C3713"/>
      <c r="M3713"/>
    </row>
    <row r="3714" spans="3:13" ht="12.75" customHeight="1" x14ac:dyDescent="0.2">
      <c r="C3714"/>
      <c r="M3714"/>
    </row>
    <row r="3715" spans="3:13" ht="12.75" customHeight="1" x14ac:dyDescent="0.2">
      <c r="C3715"/>
      <c r="M3715"/>
    </row>
    <row r="3716" spans="3:13" ht="12.75" customHeight="1" x14ac:dyDescent="0.2">
      <c r="C3716"/>
      <c r="M3716"/>
    </row>
    <row r="3717" spans="3:13" ht="12.75" customHeight="1" x14ac:dyDescent="0.2">
      <c r="C3717"/>
      <c r="M3717"/>
    </row>
    <row r="3718" spans="3:13" ht="12.75" customHeight="1" x14ac:dyDescent="0.2">
      <c r="C3718"/>
      <c r="M3718"/>
    </row>
    <row r="3719" spans="3:13" ht="12.75" customHeight="1" x14ac:dyDescent="0.2">
      <c r="C3719"/>
      <c r="M3719"/>
    </row>
    <row r="3720" spans="3:13" ht="12.75" customHeight="1" x14ac:dyDescent="0.2">
      <c r="C3720"/>
      <c r="M3720"/>
    </row>
    <row r="3721" spans="3:13" ht="12.75" customHeight="1" x14ac:dyDescent="0.2">
      <c r="C3721"/>
      <c r="M3721"/>
    </row>
    <row r="3722" spans="3:13" ht="12.75" customHeight="1" x14ac:dyDescent="0.2">
      <c r="C3722"/>
      <c r="M3722"/>
    </row>
    <row r="3723" spans="3:13" ht="12.75" customHeight="1" x14ac:dyDescent="0.2">
      <c r="C3723"/>
      <c r="M3723"/>
    </row>
    <row r="3724" spans="3:13" ht="12.75" customHeight="1" x14ac:dyDescent="0.2">
      <c r="C3724"/>
      <c r="M3724"/>
    </row>
    <row r="3725" spans="3:13" ht="12.75" customHeight="1" x14ac:dyDescent="0.2">
      <c r="C3725"/>
      <c r="M3725"/>
    </row>
    <row r="3726" spans="3:13" ht="12.75" customHeight="1" x14ac:dyDescent="0.2">
      <c r="C3726"/>
      <c r="M3726"/>
    </row>
    <row r="3727" spans="3:13" ht="12.75" customHeight="1" x14ac:dyDescent="0.2">
      <c r="C3727"/>
      <c r="M3727"/>
    </row>
    <row r="3728" spans="3:13" ht="12.75" customHeight="1" x14ac:dyDescent="0.2">
      <c r="C3728"/>
      <c r="M3728"/>
    </row>
    <row r="3729" spans="3:13" ht="12.75" customHeight="1" x14ac:dyDescent="0.2">
      <c r="C3729"/>
      <c r="M3729"/>
    </row>
    <row r="3730" spans="3:13" ht="12.75" customHeight="1" x14ac:dyDescent="0.2">
      <c r="C3730"/>
      <c r="M3730"/>
    </row>
    <row r="3731" spans="3:13" ht="12.75" customHeight="1" x14ac:dyDescent="0.2">
      <c r="C3731"/>
      <c r="M3731"/>
    </row>
    <row r="3732" spans="3:13" ht="12.75" customHeight="1" x14ac:dyDescent="0.2">
      <c r="C3732"/>
      <c r="M3732"/>
    </row>
    <row r="3733" spans="3:13" ht="12.75" customHeight="1" x14ac:dyDescent="0.2">
      <c r="C3733"/>
      <c r="M3733"/>
    </row>
    <row r="3734" spans="3:13" ht="12.75" customHeight="1" x14ac:dyDescent="0.2">
      <c r="C3734"/>
      <c r="M3734"/>
    </row>
    <row r="3735" spans="3:13" ht="12.75" customHeight="1" x14ac:dyDescent="0.2">
      <c r="C3735"/>
      <c r="M3735"/>
    </row>
    <row r="3736" spans="3:13" ht="12.75" customHeight="1" x14ac:dyDescent="0.2">
      <c r="C3736"/>
      <c r="M3736"/>
    </row>
    <row r="3737" spans="3:13" ht="12.75" customHeight="1" x14ac:dyDescent="0.2">
      <c r="C3737"/>
      <c r="M3737"/>
    </row>
    <row r="3738" spans="3:13" ht="12.75" customHeight="1" x14ac:dyDescent="0.2">
      <c r="C3738"/>
      <c r="M3738"/>
    </row>
    <row r="3739" spans="3:13" ht="12.75" customHeight="1" x14ac:dyDescent="0.2">
      <c r="C3739"/>
      <c r="M3739"/>
    </row>
    <row r="3740" spans="3:13" ht="12.75" customHeight="1" x14ac:dyDescent="0.2">
      <c r="C3740"/>
      <c r="M3740"/>
    </row>
    <row r="3741" spans="3:13" ht="12.75" customHeight="1" x14ac:dyDescent="0.2">
      <c r="C3741"/>
      <c r="M3741"/>
    </row>
    <row r="3742" spans="3:13" ht="12.75" customHeight="1" x14ac:dyDescent="0.2">
      <c r="C3742"/>
      <c r="M3742"/>
    </row>
    <row r="3743" spans="3:13" ht="12.75" customHeight="1" x14ac:dyDescent="0.2">
      <c r="C3743"/>
      <c r="M3743"/>
    </row>
    <row r="3744" spans="3:13" ht="12.75" customHeight="1" x14ac:dyDescent="0.2">
      <c r="C3744"/>
      <c r="M3744"/>
    </row>
    <row r="3745" spans="3:13" ht="12.75" customHeight="1" x14ac:dyDescent="0.2">
      <c r="C3745"/>
      <c r="M3745"/>
    </row>
    <row r="3746" spans="3:13" ht="12.75" customHeight="1" x14ac:dyDescent="0.2">
      <c r="C3746"/>
      <c r="M3746"/>
    </row>
    <row r="3747" spans="3:13" ht="12.75" customHeight="1" x14ac:dyDescent="0.2">
      <c r="C3747"/>
      <c r="M3747"/>
    </row>
    <row r="3748" spans="3:13" ht="12.75" customHeight="1" x14ac:dyDescent="0.2">
      <c r="C3748"/>
      <c r="M3748"/>
    </row>
    <row r="3749" spans="3:13" ht="12.75" customHeight="1" x14ac:dyDescent="0.2">
      <c r="C3749"/>
      <c r="M3749"/>
    </row>
    <row r="3750" spans="3:13" ht="12.75" customHeight="1" x14ac:dyDescent="0.2">
      <c r="C3750"/>
      <c r="M3750"/>
    </row>
    <row r="3751" spans="3:13" ht="12.75" customHeight="1" x14ac:dyDescent="0.2">
      <c r="C3751"/>
      <c r="M3751"/>
    </row>
    <row r="3752" spans="3:13" ht="12.75" customHeight="1" x14ac:dyDescent="0.2">
      <c r="C3752"/>
      <c r="M3752"/>
    </row>
    <row r="3753" spans="3:13" ht="12.75" customHeight="1" x14ac:dyDescent="0.2">
      <c r="C3753"/>
      <c r="M3753"/>
    </row>
    <row r="3754" spans="3:13" ht="12.75" customHeight="1" x14ac:dyDescent="0.2">
      <c r="C3754"/>
      <c r="M3754"/>
    </row>
    <row r="3755" spans="3:13" ht="12.75" customHeight="1" x14ac:dyDescent="0.2">
      <c r="C3755"/>
      <c r="M3755"/>
    </row>
    <row r="3756" spans="3:13" ht="12.75" customHeight="1" x14ac:dyDescent="0.2">
      <c r="C3756"/>
      <c r="M3756"/>
    </row>
    <row r="3757" spans="3:13" ht="12.75" customHeight="1" x14ac:dyDescent="0.2">
      <c r="C3757"/>
      <c r="M3757"/>
    </row>
    <row r="3758" spans="3:13" ht="12.75" customHeight="1" x14ac:dyDescent="0.2">
      <c r="C3758"/>
      <c r="M3758"/>
    </row>
    <row r="3759" spans="3:13" ht="12.75" customHeight="1" x14ac:dyDescent="0.2">
      <c r="C3759"/>
      <c r="M3759"/>
    </row>
    <row r="3760" spans="3:13" ht="12.75" customHeight="1" x14ac:dyDescent="0.2">
      <c r="C3760"/>
      <c r="M3760"/>
    </row>
    <row r="3761" spans="3:13" ht="12.75" customHeight="1" x14ac:dyDescent="0.2">
      <c r="C3761"/>
      <c r="M3761"/>
    </row>
    <row r="3762" spans="3:13" ht="12.75" customHeight="1" x14ac:dyDescent="0.2">
      <c r="C3762"/>
      <c r="M3762"/>
    </row>
    <row r="3763" spans="3:13" ht="12.75" customHeight="1" x14ac:dyDescent="0.2">
      <c r="C3763"/>
      <c r="M3763"/>
    </row>
    <row r="3764" spans="3:13" ht="12.75" customHeight="1" x14ac:dyDescent="0.2">
      <c r="C3764"/>
      <c r="M3764"/>
    </row>
    <row r="3765" spans="3:13" ht="12.75" customHeight="1" x14ac:dyDescent="0.2">
      <c r="C3765"/>
      <c r="M3765"/>
    </row>
    <row r="3766" spans="3:13" ht="12.75" customHeight="1" x14ac:dyDescent="0.2">
      <c r="C3766"/>
      <c r="M3766"/>
    </row>
    <row r="3767" spans="3:13" ht="12.75" customHeight="1" x14ac:dyDescent="0.2">
      <c r="C3767"/>
      <c r="M3767"/>
    </row>
    <row r="3768" spans="3:13" ht="12.75" customHeight="1" x14ac:dyDescent="0.2">
      <c r="C3768"/>
      <c r="M3768"/>
    </row>
    <row r="3769" spans="3:13" ht="12.75" customHeight="1" x14ac:dyDescent="0.2">
      <c r="C3769"/>
      <c r="M3769"/>
    </row>
    <row r="3770" spans="3:13" ht="12.75" customHeight="1" x14ac:dyDescent="0.2">
      <c r="C3770"/>
      <c r="M3770"/>
    </row>
    <row r="3771" spans="3:13" ht="12.75" customHeight="1" x14ac:dyDescent="0.2">
      <c r="C3771"/>
      <c r="M3771"/>
    </row>
    <row r="3772" spans="3:13" ht="12.75" customHeight="1" x14ac:dyDescent="0.2">
      <c r="C3772"/>
      <c r="M3772"/>
    </row>
    <row r="3773" spans="3:13" ht="12.75" customHeight="1" x14ac:dyDescent="0.2">
      <c r="C3773"/>
      <c r="M3773"/>
    </row>
    <row r="3774" spans="3:13" ht="12.75" customHeight="1" x14ac:dyDescent="0.2">
      <c r="C3774"/>
      <c r="M3774"/>
    </row>
    <row r="3775" spans="3:13" ht="12.75" customHeight="1" x14ac:dyDescent="0.2">
      <c r="C3775"/>
      <c r="M3775"/>
    </row>
    <row r="3776" spans="3:13" ht="12.75" customHeight="1" x14ac:dyDescent="0.2">
      <c r="C3776"/>
      <c r="M3776"/>
    </row>
    <row r="3777" spans="3:13" ht="12.75" customHeight="1" x14ac:dyDescent="0.2">
      <c r="C3777"/>
      <c r="M3777"/>
    </row>
    <row r="3778" spans="3:13" ht="12.75" customHeight="1" x14ac:dyDescent="0.2">
      <c r="C3778"/>
      <c r="M3778"/>
    </row>
    <row r="3779" spans="3:13" ht="12.75" customHeight="1" x14ac:dyDescent="0.2">
      <c r="C3779"/>
      <c r="M3779"/>
    </row>
    <row r="3780" spans="3:13" ht="12.75" customHeight="1" x14ac:dyDescent="0.2">
      <c r="C3780"/>
      <c r="M3780"/>
    </row>
    <row r="3781" spans="3:13" ht="12.75" customHeight="1" x14ac:dyDescent="0.2">
      <c r="C3781"/>
      <c r="M3781"/>
    </row>
    <row r="3782" spans="3:13" ht="12.75" customHeight="1" x14ac:dyDescent="0.2">
      <c r="C3782"/>
      <c r="M3782"/>
    </row>
    <row r="3783" spans="3:13" ht="12.75" customHeight="1" x14ac:dyDescent="0.2">
      <c r="C3783"/>
      <c r="M3783"/>
    </row>
    <row r="3784" spans="3:13" ht="12.75" customHeight="1" x14ac:dyDescent="0.2">
      <c r="C3784"/>
      <c r="M3784"/>
    </row>
    <row r="3785" spans="3:13" ht="12.75" customHeight="1" x14ac:dyDescent="0.2">
      <c r="C3785"/>
      <c r="M3785"/>
    </row>
    <row r="3786" spans="3:13" ht="12.75" customHeight="1" x14ac:dyDescent="0.2">
      <c r="C3786"/>
      <c r="M3786"/>
    </row>
    <row r="3787" spans="3:13" ht="12.75" customHeight="1" x14ac:dyDescent="0.2">
      <c r="C3787"/>
      <c r="M3787"/>
    </row>
    <row r="3788" spans="3:13" ht="12.75" customHeight="1" x14ac:dyDescent="0.2">
      <c r="C3788"/>
      <c r="M3788"/>
    </row>
    <row r="3789" spans="3:13" ht="12.75" customHeight="1" x14ac:dyDescent="0.2">
      <c r="C3789"/>
      <c r="M3789"/>
    </row>
    <row r="3790" spans="3:13" ht="12.75" customHeight="1" x14ac:dyDescent="0.2">
      <c r="C3790"/>
      <c r="M3790"/>
    </row>
    <row r="3791" spans="3:13" ht="12.75" customHeight="1" x14ac:dyDescent="0.2">
      <c r="C3791"/>
      <c r="M3791"/>
    </row>
    <row r="3792" spans="3:13" ht="12.75" customHeight="1" x14ac:dyDescent="0.2">
      <c r="C3792"/>
      <c r="M3792"/>
    </row>
    <row r="3793" spans="3:13" ht="12.75" customHeight="1" x14ac:dyDescent="0.2">
      <c r="C3793"/>
      <c r="M3793"/>
    </row>
    <row r="3794" spans="3:13" ht="12.75" customHeight="1" x14ac:dyDescent="0.2">
      <c r="C3794"/>
      <c r="M3794"/>
    </row>
    <row r="3795" spans="3:13" ht="12.75" customHeight="1" x14ac:dyDescent="0.2">
      <c r="C3795"/>
      <c r="M3795"/>
    </row>
    <row r="3796" spans="3:13" ht="12.75" customHeight="1" x14ac:dyDescent="0.2">
      <c r="C3796"/>
      <c r="M3796"/>
    </row>
    <row r="3797" spans="3:13" ht="12.75" customHeight="1" x14ac:dyDescent="0.2">
      <c r="C3797"/>
      <c r="M3797"/>
    </row>
    <row r="3798" spans="3:13" ht="12.75" customHeight="1" x14ac:dyDescent="0.2">
      <c r="C3798"/>
      <c r="M3798"/>
    </row>
    <row r="3799" spans="3:13" ht="12.75" customHeight="1" x14ac:dyDescent="0.2">
      <c r="C3799"/>
      <c r="M3799"/>
    </row>
    <row r="3800" spans="3:13" ht="12.75" customHeight="1" x14ac:dyDescent="0.2">
      <c r="C3800"/>
      <c r="M3800"/>
    </row>
    <row r="3801" spans="3:13" ht="12.75" customHeight="1" x14ac:dyDescent="0.2">
      <c r="C3801"/>
      <c r="M3801"/>
    </row>
    <row r="3802" spans="3:13" ht="12.75" customHeight="1" x14ac:dyDescent="0.2">
      <c r="C3802"/>
      <c r="M3802"/>
    </row>
    <row r="3803" spans="3:13" ht="12.75" customHeight="1" x14ac:dyDescent="0.2">
      <c r="C3803"/>
      <c r="M3803"/>
    </row>
    <row r="3804" spans="3:13" ht="12.75" customHeight="1" x14ac:dyDescent="0.2">
      <c r="C3804"/>
      <c r="M3804"/>
    </row>
    <row r="3805" spans="3:13" ht="12.75" customHeight="1" x14ac:dyDescent="0.2">
      <c r="C3805"/>
      <c r="M3805"/>
    </row>
    <row r="3806" spans="3:13" ht="12.75" customHeight="1" x14ac:dyDescent="0.2">
      <c r="C3806"/>
      <c r="M3806"/>
    </row>
    <row r="3807" spans="3:13" ht="12.75" customHeight="1" x14ac:dyDescent="0.2">
      <c r="C3807"/>
      <c r="M3807"/>
    </row>
    <row r="3808" spans="3:13" ht="12.75" customHeight="1" x14ac:dyDescent="0.2">
      <c r="C3808"/>
      <c r="M3808"/>
    </row>
    <row r="3809" spans="3:13" ht="12.75" customHeight="1" x14ac:dyDescent="0.2">
      <c r="C3809"/>
      <c r="M3809"/>
    </row>
    <row r="3810" spans="3:13" ht="12.75" customHeight="1" x14ac:dyDescent="0.2">
      <c r="C3810"/>
      <c r="M3810"/>
    </row>
    <row r="3811" spans="3:13" ht="12.75" customHeight="1" x14ac:dyDescent="0.2">
      <c r="C3811"/>
      <c r="M3811"/>
    </row>
    <row r="3812" spans="3:13" ht="12.75" customHeight="1" x14ac:dyDescent="0.2">
      <c r="C3812"/>
      <c r="M3812"/>
    </row>
    <row r="3813" spans="3:13" ht="12.75" customHeight="1" x14ac:dyDescent="0.2">
      <c r="C3813"/>
      <c r="M3813"/>
    </row>
    <row r="3814" spans="3:13" ht="12.75" customHeight="1" x14ac:dyDescent="0.2">
      <c r="C3814"/>
      <c r="M3814"/>
    </row>
    <row r="3815" spans="3:13" ht="12.75" customHeight="1" x14ac:dyDescent="0.2">
      <c r="C3815"/>
      <c r="M3815"/>
    </row>
    <row r="3816" spans="3:13" ht="12.75" customHeight="1" x14ac:dyDescent="0.2">
      <c r="C3816"/>
      <c r="M3816"/>
    </row>
    <row r="3817" spans="3:13" ht="12.75" customHeight="1" x14ac:dyDescent="0.2">
      <c r="C3817"/>
      <c r="M3817"/>
    </row>
    <row r="3818" spans="3:13" ht="12.75" customHeight="1" x14ac:dyDescent="0.2">
      <c r="C3818"/>
      <c r="M3818"/>
    </row>
    <row r="3819" spans="3:13" ht="12.75" customHeight="1" x14ac:dyDescent="0.2">
      <c r="C3819"/>
      <c r="M3819"/>
    </row>
    <row r="3820" spans="3:13" ht="12.75" customHeight="1" x14ac:dyDescent="0.2">
      <c r="C3820"/>
      <c r="M3820"/>
    </row>
    <row r="3821" spans="3:13" ht="12.75" customHeight="1" x14ac:dyDescent="0.2">
      <c r="C3821"/>
      <c r="M3821"/>
    </row>
    <row r="3822" spans="3:13" ht="12.75" customHeight="1" x14ac:dyDescent="0.2">
      <c r="C3822"/>
      <c r="M3822"/>
    </row>
    <row r="3823" spans="3:13" ht="12.75" customHeight="1" x14ac:dyDescent="0.2">
      <c r="C3823"/>
      <c r="M3823"/>
    </row>
    <row r="3824" spans="3:13" ht="12.75" customHeight="1" x14ac:dyDescent="0.2">
      <c r="C3824"/>
      <c r="M3824"/>
    </row>
    <row r="3825" spans="3:13" ht="12.75" customHeight="1" x14ac:dyDescent="0.2">
      <c r="C3825"/>
      <c r="M3825"/>
    </row>
    <row r="3826" spans="3:13" ht="12.75" customHeight="1" x14ac:dyDescent="0.2">
      <c r="C3826"/>
      <c r="M3826"/>
    </row>
    <row r="3827" spans="3:13" ht="12.75" customHeight="1" x14ac:dyDescent="0.2">
      <c r="C3827"/>
      <c r="M3827"/>
    </row>
    <row r="3828" spans="3:13" ht="12.75" customHeight="1" x14ac:dyDescent="0.2">
      <c r="C3828"/>
      <c r="M3828"/>
    </row>
    <row r="3829" spans="3:13" ht="12.75" customHeight="1" x14ac:dyDescent="0.2">
      <c r="C3829"/>
      <c r="M3829"/>
    </row>
    <row r="3830" spans="3:13" ht="12.75" customHeight="1" x14ac:dyDescent="0.2">
      <c r="C3830"/>
      <c r="M3830"/>
    </row>
    <row r="3831" spans="3:13" ht="12.75" customHeight="1" x14ac:dyDescent="0.2">
      <c r="C3831"/>
      <c r="M3831"/>
    </row>
    <row r="3832" spans="3:13" ht="12.75" customHeight="1" x14ac:dyDescent="0.2">
      <c r="C3832"/>
      <c r="M3832"/>
    </row>
    <row r="3833" spans="3:13" ht="12.75" customHeight="1" x14ac:dyDescent="0.2">
      <c r="C3833"/>
      <c r="M3833"/>
    </row>
    <row r="3834" spans="3:13" ht="12.75" customHeight="1" x14ac:dyDescent="0.2">
      <c r="C3834"/>
      <c r="M3834"/>
    </row>
    <row r="3835" spans="3:13" ht="12.75" customHeight="1" x14ac:dyDescent="0.2">
      <c r="C3835"/>
      <c r="M3835"/>
    </row>
    <row r="3836" spans="3:13" ht="12.75" customHeight="1" x14ac:dyDescent="0.2">
      <c r="C3836"/>
      <c r="M3836"/>
    </row>
    <row r="3837" spans="3:13" ht="12.75" customHeight="1" x14ac:dyDescent="0.2">
      <c r="C3837"/>
      <c r="M3837"/>
    </row>
    <row r="3838" spans="3:13" ht="12.75" customHeight="1" x14ac:dyDescent="0.2">
      <c r="C3838"/>
      <c r="M3838"/>
    </row>
    <row r="3839" spans="3:13" ht="12.75" customHeight="1" x14ac:dyDescent="0.2">
      <c r="C3839"/>
      <c r="M3839"/>
    </row>
    <row r="3840" spans="3:13" ht="12.75" customHeight="1" x14ac:dyDescent="0.2">
      <c r="C3840"/>
      <c r="M3840"/>
    </row>
    <row r="3841" spans="3:13" ht="12.75" customHeight="1" x14ac:dyDescent="0.2">
      <c r="C3841"/>
      <c r="M3841"/>
    </row>
    <row r="3842" spans="3:13" ht="12.75" customHeight="1" x14ac:dyDescent="0.2">
      <c r="C3842"/>
      <c r="M3842"/>
    </row>
    <row r="3843" spans="3:13" ht="12.75" customHeight="1" x14ac:dyDescent="0.2">
      <c r="C3843"/>
      <c r="M3843"/>
    </row>
    <row r="3844" spans="3:13" ht="12.75" customHeight="1" x14ac:dyDescent="0.2">
      <c r="C3844"/>
      <c r="M3844"/>
    </row>
    <row r="3845" spans="3:13" ht="12.75" customHeight="1" x14ac:dyDescent="0.2">
      <c r="C3845"/>
      <c r="M3845"/>
    </row>
    <row r="3846" spans="3:13" ht="12.75" customHeight="1" x14ac:dyDescent="0.2">
      <c r="C3846"/>
      <c r="M3846"/>
    </row>
    <row r="3847" spans="3:13" ht="12.75" customHeight="1" x14ac:dyDescent="0.2">
      <c r="C3847"/>
      <c r="M3847"/>
    </row>
    <row r="3848" spans="3:13" ht="12.75" customHeight="1" x14ac:dyDescent="0.2">
      <c r="C3848"/>
      <c r="M3848"/>
    </row>
    <row r="3849" spans="3:13" ht="12.75" customHeight="1" x14ac:dyDescent="0.2">
      <c r="C3849"/>
      <c r="M3849"/>
    </row>
    <row r="3850" spans="3:13" ht="12.75" customHeight="1" x14ac:dyDescent="0.2">
      <c r="C3850"/>
      <c r="M3850"/>
    </row>
    <row r="3851" spans="3:13" ht="12.75" customHeight="1" x14ac:dyDescent="0.2">
      <c r="C3851"/>
      <c r="M3851"/>
    </row>
    <row r="3852" spans="3:13" ht="12.75" customHeight="1" x14ac:dyDescent="0.2">
      <c r="C3852"/>
      <c r="M3852"/>
    </row>
    <row r="3853" spans="3:13" ht="12.75" customHeight="1" x14ac:dyDescent="0.2">
      <c r="C3853"/>
      <c r="M3853"/>
    </row>
    <row r="3854" spans="3:13" ht="12.75" customHeight="1" x14ac:dyDescent="0.2">
      <c r="C3854"/>
      <c r="M3854"/>
    </row>
    <row r="3855" spans="3:13" ht="12.75" customHeight="1" x14ac:dyDescent="0.2">
      <c r="C3855"/>
      <c r="M3855"/>
    </row>
    <row r="3856" spans="3:13" ht="12.75" customHeight="1" x14ac:dyDescent="0.2">
      <c r="C3856"/>
      <c r="M3856"/>
    </row>
    <row r="3857" spans="3:13" ht="12.75" customHeight="1" x14ac:dyDescent="0.2">
      <c r="C3857"/>
      <c r="M3857"/>
    </row>
    <row r="3858" spans="3:13" ht="12.75" customHeight="1" x14ac:dyDescent="0.2">
      <c r="C3858"/>
      <c r="M3858"/>
    </row>
    <row r="3859" spans="3:13" ht="12.75" customHeight="1" x14ac:dyDescent="0.2">
      <c r="C3859"/>
      <c r="M3859"/>
    </row>
    <row r="3860" spans="3:13" ht="12.75" customHeight="1" x14ac:dyDescent="0.2">
      <c r="C3860"/>
      <c r="M3860"/>
    </row>
    <row r="3861" spans="3:13" ht="12.75" customHeight="1" x14ac:dyDescent="0.2">
      <c r="C3861"/>
      <c r="M3861"/>
    </row>
    <row r="3862" spans="3:13" ht="12.75" customHeight="1" x14ac:dyDescent="0.2">
      <c r="C3862"/>
      <c r="M3862"/>
    </row>
    <row r="3863" spans="3:13" ht="12.75" customHeight="1" x14ac:dyDescent="0.2">
      <c r="C3863"/>
      <c r="M3863"/>
    </row>
    <row r="3864" spans="3:13" ht="12.75" customHeight="1" x14ac:dyDescent="0.2">
      <c r="C3864"/>
      <c r="M3864"/>
    </row>
    <row r="3865" spans="3:13" ht="12.75" customHeight="1" x14ac:dyDescent="0.2">
      <c r="C3865"/>
      <c r="M3865"/>
    </row>
    <row r="3866" spans="3:13" ht="12.75" customHeight="1" x14ac:dyDescent="0.2">
      <c r="C3866"/>
      <c r="M3866"/>
    </row>
    <row r="3867" spans="3:13" ht="12.75" customHeight="1" x14ac:dyDescent="0.2">
      <c r="C3867"/>
      <c r="M3867"/>
    </row>
    <row r="3868" spans="3:13" ht="12.75" customHeight="1" x14ac:dyDescent="0.2">
      <c r="C3868"/>
      <c r="M3868"/>
    </row>
    <row r="3869" spans="3:13" ht="12.75" customHeight="1" x14ac:dyDescent="0.2">
      <c r="C3869"/>
      <c r="M3869"/>
    </row>
    <row r="3870" spans="3:13" ht="12.75" customHeight="1" x14ac:dyDescent="0.2">
      <c r="C3870"/>
      <c r="M3870"/>
    </row>
    <row r="3871" spans="3:13" ht="12.75" customHeight="1" x14ac:dyDescent="0.2">
      <c r="C3871"/>
      <c r="M3871"/>
    </row>
    <row r="3872" spans="3:13" ht="12.75" customHeight="1" x14ac:dyDescent="0.2">
      <c r="C3872"/>
      <c r="M3872"/>
    </row>
    <row r="3873" spans="3:13" ht="12.75" customHeight="1" x14ac:dyDescent="0.2">
      <c r="C3873"/>
      <c r="M3873"/>
    </row>
    <row r="3874" spans="3:13" ht="12.75" customHeight="1" x14ac:dyDescent="0.2">
      <c r="C3874"/>
      <c r="M3874"/>
    </row>
    <row r="3875" spans="3:13" ht="12.75" customHeight="1" x14ac:dyDescent="0.2">
      <c r="C3875"/>
      <c r="M3875"/>
    </row>
    <row r="3876" spans="3:13" ht="12.75" customHeight="1" x14ac:dyDescent="0.2">
      <c r="C3876"/>
      <c r="M3876"/>
    </row>
    <row r="3877" spans="3:13" ht="12.75" customHeight="1" x14ac:dyDescent="0.2">
      <c r="C3877"/>
      <c r="M3877"/>
    </row>
    <row r="3878" spans="3:13" ht="12.75" customHeight="1" x14ac:dyDescent="0.2">
      <c r="C3878"/>
      <c r="M3878"/>
    </row>
    <row r="3879" spans="3:13" ht="12.75" customHeight="1" x14ac:dyDescent="0.2">
      <c r="C3879"/>
      <c r="M3879"/>
    </row>
    <row r="3880" spans="3:13" ht="12.75" customHeight="1" x14ac:dyDescent="0.2">
      <c r="C3880"/>
      <c r="M3880"/>
    </row>
    <row r="3881" spans="3:13" ht="12.75" customHeight="1" x14ac:dyDescent="0.2">
      <c r="C3881"/>
      <c r="M3881"/>
    </row>
    <row r="3882" spans="3:13" ht="12.75" customHeight="1" x14ac:dyDescent="0.2">
      <c r="C3882"/>
      <c r="M3882"/>
    </row>
    <row r="3883" spans="3:13" ht="12.75" customHeight="1" x14ac:dyDescent="0.2">
      <c r="C3883"/>
      <c r="M3883"/>
    </row>
    <row r="3884" spans="3:13" ht="12.75" customHeight="1" x14ac:dyDescent="0.2">
      <c r="C3884"/>
      <c r="M3884"/>
    </row>
    <row r="3885" spans="3:13" ht="12.75" customHeight="1" x14ac:dyDescent="0.2">
      <c r="C3885"/>
      <c r="M3885"/>
    </row>
    <row r="3886" spans="3:13" ht="12.75" customHeight="1" x14ac:dyDescent="0.2">
      <c r="C3886"/>
      <c r="M3886"/>
    </row>
    <row r="3887" spans="3:13" ht="12.75" customHeight="1" x14ac:dyDescent="0.2">
      <c r="C3887"/>
      <c r="M3887"/>
    </row>
    <row r="3888" spans="3:13" ht="12.75" customHeight="1" x14ac:dyDescent="0.2">
      <c r="C3888"/>
      <c r="M3888"/>
    </row>
    <row r="3889" spans="3:13" ht="12.75" customHeight="1" x14ac:dyDescent="0.2">
      <c r="C3889"/>
      <c r="M3889"/>
    </row>
    <row r="3890" spans="3:13" ht="12.75" customHeight="1" x14ac:dyDescent="0.2">
      <c r="C3890"/>
      <c r="M3890"/>
    </row>
    <row r="3891" spans="3:13" ht="12.75" customHeight="1" x14ac:dyDescent="0.2">
      <c r="C3891"/>
      <c r="M3891"/>
    </row>
    <row r="3892" spans="3:13" ht="12.75" customHeight="1" x14ac:dyDescent="0.2">
      <c r="C3892"/>
      <c r="M3892"/>
    </row>
    <row r="3893" spans="3:13" ht="12.75" customHeight="1" x14ac:dyDescent="0.2">
      <c r="C3893"/>
      <c r="M3893"/>
    </row>
    <row r="3894" spans="3:13" ht="12.75" customHeight="1" x14ac:dyDescent="0.2">
      <c r="C3894"/>
      <c r="M3894"/>
    </row>
    <row r="3895" spans="3:13" ht="12.75" customHeight="1" x14ac:dyDescent="0.2">
      <c r="C3895"/>
      <c r="M3895"/>
    </row>
    <row r="3896" spans="3:13" ht="12.75" customHeight="1" x14ac:dyDescent="0.2">
      <c r="C3896"/>
      <c r="M3896"/>
    </row>
    <row r="3897" spans="3:13" ht="12.75" customHeight="1" x14ac:dyDescent="0.2">
      <c r="C3897"/>
      <c r="M3897"/>
    </row>
    <row r="3898" spans="3:13" ht="12.75" customHeight="1" x14ac:dyDescent="0.2">
      <c r="C3898"/>
      <c r="M3898"/>
    </row>
    <row r="3899" spans="3:13" ht="12.75" customHeight="1" x14ac:dyDescent="0.2">
      <c r="C3899"/>
      <c r="M3899"/>
    </row>
    <row r="3900" spans="3:13" ht="12.75" customHeight="1" x14ac:dyDescent="0.2">
      <c r="C3900"/>
      <c r="M3900"/>
    </row>
    <row r="3901" spans="3:13" ht="12.75" customHeight="1" x14ac:dyDescent="0.2">
      <c r="C3901"/>
      <c r="M3901"/>
    </row>
    <row r="3902" spans="3:13" ht="12.75" customHeight="1" x14ac:dyDescent="0.2">
      <c r="C3902"/>
      <c r="M3902"/>
    </row>
    <row r="3903" spans="3:13" ht="12.75" customHeight="1" x14ac:dyDescent="0.2">
      <c r="C3903"/>
      <c r="M3903"/>
    </row>
    <row r="3904" spans="3:13" ht="12.75" customHeight="1" x14ac:dyDescent="0.2">
      <c r="C3904"/>
      <c r="M3904"/>
    </row>
    <row r="3905" spans="3:13" ht="12.75" customHeight="1" x14ac:dyDescent="0.2">
      <c r="C3905"/>
      <c r="M3905"/>
    </row>
    <row r="3906" spans="3:13" ht="12.75" customHeight="1" x14ac:dyDescent="0.2">
      <c r="C3906"/>
      <c r="M3906"/>
    </row>
    <row r="3907" spans="3:13" ht="12.75" customHeight="1" x14ac:dyDescent="0.2">
      <c r="C3907"/>
      <c r="M3907"/>
    </row>
    <row r="3908" spans="3:13" ht="12.75" customHeight="1" x14ac:dyDescent="0.2">
      <c r="C3908"/>
      <c r="M3908"/>
    </row>
    <row r="3909" spans="3:13" ht="12.75" customHeight="1" x14ac:dyDescent="0.2">
      <c r="C3909"/>
      <c r="M3909"/>
    </row>
    <row r="3910" spans="3:13" ht="12.75" customHeight="1" x14ac:dyDescent="0.2">
      <c r="C3910"/>
      <c r="M3910"/>
    </row>
    <row r="3911" spans="3:13" ht="12.75" customHeight="1" x14ac:dyDescent="0.2">
      <c r="C3911"/>
      <c r="M3911"/>
    </row>
    <row r="3912" spans="3:13" ht="12.75" customHeight="1" x14ac:dyDescent="0.2">
      <c r="C3912"/>
      <c r="M3912"/>
    </row>
    <row r="3913" spans="3:13" ht="12.75" customHeight="1" x14ac:dyDescent="0.2">
      <c r="C3913"/>
      <c r="M3913"/>
    </row>
    <row r="3914" spans="3:13" ht="12.75" customHeight="1" x14ac:dyDescent="0.2">
      <c r="C3914"/>
      <c r="M3914"/>
    </row>
    <row r="3915" spans="3:13" ht="12.75" customHeight="1" x14ac:dyDescent="0.2">
      <c r="C3915"/>
      <c r="M3915"/>
    </row>
    <row r="3916" spans="3:13" ht="12.75" customHeight="1" x14ac:dyDescent="0.2">
      <c r="C3916"/>
      <c r="M3916"/>
    </row>
    <row r="3917" spans="3:13" ht="12.75" customHeight="1" x14ac:dyDescent="0.2">
      <c r="C3917"/>
      <c r="M3917"/>
    </row>
    <row r="3918" spans="3:13" ht="12.75" customHeight="1" x14ac:dyDescent="0.2">
      <c r="C3918"/>
      <c r="M3918"/>
    </row>
    <row r="3919" spans="3:13" ht="12.75" customHeight="1" x14ac:dyDescent="0.2">
      <c r="C3919"/>
      <c r="M3919"/>
    </row>
    <row r="3920" spans="3:13" ht="12.75" customHeight="1" x14ac:dyDescent="0.2">
      <c r="C3920"/>
      <c r="M3920"/>
    </row>
    <row r="3921" spans="3:13" ht="12.75" customHeight="1" x14ac:dyDescent="0.2">
      <c r="C3921"/>
      <c r="M3921"/>
    </row>
    <row r="3922" spans="3:13" ht="12.75" customHeight="1" x14ac:dyDescent="0.2">
      <c r="C3922"/>
      <c r="M3922"/>
    </row>
    <row r="3923" spans="3:13" ht="12.75" customHeight="1" x14ac:dyDescent="0.2">
      <c r="C3923"/>
      <c r="M3923"/>
    </row>
    <row r="3924" spans="3:13" ht="12.75" customHeight="1" x14ac:dyDescent="0.2">
      <c r="C3924"/>
      <c r="M3924"/>
    </row>
    <row r="3925" spans="3:13" ht="12.75" customHeight="1" x14ac:dyDescent="0.2">
      <c r="C3925"/>
      <c r="M3925"/>
    </row>
    <row r="3926" spans="3:13" ht="12.75" customHeight="1" x14ac:dyDescent="0.2">
      <c r="C3926"/>
      <c r="M3926"/>
    </row>
    <row r="3927" spans="3:13" ht="12.75" customHeight="1" x14ac:dyDescent="0.2">
      <c r="C3927"/>
      <c r="M3927"/>
    </row>
    <row r="3928" spans="3:13" ht="12.75" customHeight="1" x14ac:dyDescent="0.2">
      <c r="C3928"/>
      <c r="M3928"/>
    </row>
    <row r="3929" spans="3:13" ht="12.75" customHeight="1" x14ac:dyDescent="0.2">
      <c r="C3929"/>
      <c r="M3929"/>
    </row>
    <row r="3930" spans="3:13" ht="12.75" customHeight="1" x14ac:dyDescent="0.2">
      <c r="C3930"/>
      <c r="M3930"/>
    </row>
    <row r="3931" spans="3:13" ht="12.75" customHeight="1" x14ac:dyDescent="0.2">
      <c r="C3931"/>
      <c r="M3931"/>
    </row>
    <row r="3932" spans="3:13" ht="12.75" customHeight="1" x14ac:dyDescent="0.2">
      <c r="C3932"/>
      <c r="M3932"/>
    </row>
    <row r="3933" spans="3:13" ht="12.75" customHeight="1" x14ac:dyDescent="0.2">
      <c r="C3933"/>
      <c r="M3933"/>
    </row>
    <row r="3934" spans="3:13" ht="12.75" customHeight="1" x14ac:dyDescent="0.2">
      <c r="C3934"/>
      <c r="M3934"/>
    </row>
    <row r="3935" spans="3:13" ht="12.75" customHeight="1" x14ac:dyDescent="0.2">
      <c r="C3935"/>
      <c r="M3935"/>
    </row>
    <row r="3936" spans="3:13" ht="12.75" customHeight="1" x14ac:dyDescent="0.2">
      <c r="C3936"/>
      <c r="M3936"/>
    </row>
    <row r="3937" spans="3:13" ht="12.75" customHeight="1" x14ac:dyDescent="0.2">
      <c r="C3937"/>
      <c r="M3937"/>
    </row>
    <row r="3938" spans="3:13" ht="12.75" customHeight="1" x14ac:dyDescent="0.2">
      <c r="C3938"/>
      <c r="M3938"/>
    </row>
    <row r="3939" spans="3:13" ht="12.75" customHeight="1" x14ac:dyDescent="0.2">
      <c r="C3939"/>
      <c r="M3939"/>
    </row>
    <row r="3940" spans="3:13" ht="12.75" customHeight="1" x14ac:dyDescent="0.2">
      <c r="C3940"/>
      <c r="M3940"/>
    </row>
    <row r="3941" spans="3:13" ht="12.75" customHeight="1" x14ac:dyDescent="0.2">
      <c r="C3941"/>
      <c r="M3941"/>
    </row>
    <row r="3942" spans="3:13" ht="12.75" customHeight="1" x14ac:dyDescent="0.2">
      <c r="C3942"/>
      <c r="M3942"/>
    </row>
    <row r="3943" spans="3:13" ht="12.75" customHeight="1" x14ac:dyDescent="0.2">
      <c r="C3943"/>
      <c r="M3943"/>
    </row>
    <row r="3944" spans="3:13" ht="12.75" customHeight="1" x14ac:dyDescent="0.2">
      <c r="C3944"/>
      <c r="M3944"/>
    </row>
    <row r="3945" spans="3:13" ht="12.75" customHeight="1" x14ac:dyDescent="0.2">
      <c r="C3945"/>
      <c r="M3945"/>
    </row>
    <row r="3946" spans="3:13" ht="12.75" customHeight="1" x14ac:dyDescent="0.2">
      <c r="C3946"/>
      <c r="M3946"/>
    </row>
    <row r="3947" spans="3:13" ht="12.75" customHeight="1" x14ac:dyDescent="0.2">
      <c r="C3947"/>
      <c r="M3947"/>
    </row>
    <row r="3948" spans="3:13" ht="12.75" customHeight="1" x14ac:dyDescent="0.2">
      <c r="C3948"/>
      <c r="M3948"/>
    </row>
    <row r="3949" spans="3:13" ht="12.75" customHeight="1" x14ac:dyDescent="0.2">
      <c r="C3949"/>
      <c r="M3949"/>
    </row>
    <row r="3950" spans="3:13" ht="12.75" customHeight="1" x14ac:dyDescent="0.2">
      <c r="C3950"/>
      <c r="M3950"/>
    </row>
    <row r="3951" spans="3:13" ht="12.75" customHeight="1" x14ac:dyDescent="0.2">
      <c r="C3951"/>
      <c r="M3951"/>
    </row>
    <row r="3952" spans="3:13" ht="12.75" customHeight="1" x14ac:dyDescent="0.2">
      <c r="C3952"/>
      <c r="M3952"/>
    </row>
    <row r="3953" spans="3:13" ht="12.75" customHeight="1" x14ac:dyDescent="0.2">
      <c r="C3953"/>
      <c r="M3953"/>
    </row>
    <row r="3954" spans="3:13" ht="12.75" customHeight="1" x14ac:dyDescent="0.2">
      <c r="C3954"/>
      <c r="M3954"/>
    </row>
    <row r="3955" spans="3:13" ht="12.75" customHeight="1" x14ac:dyDescent="0.2">
      <c r="C3955"/>
      <c r="M3955"/>
    </row>
    <row r="3956" spans="3:13" ht="12.75" customHeight="1" x14ac:dyDescent="0.2">
      <c r="C3956"/>
      <c r="M3956"/>
    </row>
    <row r="3957" spans="3:13" ht="12.75" customHeight="1" x14ac:dyDescent="0.2">
      <c r="C3957"/>
      <c r="M3957"/>
    </row>
    <row r="3958" spans="3:13" ht="12.75" customHeight="1" x14ac:dyDescent="0.2">
      <c r="C3958"/>
      <c r="M3958"/>
    </row>
    <row r="3959" spans="3:13" ht="12.75" customHeight="1" x14ac:dyDescent="0.2">
      <c r="C3959"/>
      <c r="M3959"/>
    </row>
    <row r="3960" spans="3:13" ht="12.75" customHeight="1" x14ac:dyDescent="0.2">
      <c r="C3960"/>
      <c r="M3960"/>
    </row>
    <row r="3961" spans="3:13" ht="12.75" customHeight="1" x14ac:dyDescent="0.2">
      <c r="C3961"/>
      <c r="M3961"/>
    </row>
    <row r="3962" spans="3:13" ht="12.75" customHeight="1" x14ac:dyDescent="0.2">
      <c r="C3962"/>
      <c r="M3962"/>
    </row>
    <row r="3963" spans="3:13" ht="12.75" customHeight="1" x14ac:dyDescent="0.2">
      <c r="C3963"/>
      <c r="M3963"/>
    </row>
    <row r="3964" spans="3:13" ht="12.75" customHeight="1" x14ac:dyDescent="0.2">
      <c r="C3964"/>
      <c r="M3964"/>
    </row>
    <row r="3965" spans="3:13" ht="12.75" customHeight="1" x14ac:dyDescent="0.2">
      <c r="C3965"/>
      <c r="M3965"/>
    </row>
    <row r="3966" spans="3:13" ht="12.75" customHeight="1" x14ac:dyDescent="0.2">
      <c r="C3966"/>
      <c r="M3966"/>
    </row>
    <row r="3967" spans="3:13" ht="12.75" customHeight="1" x14ac:dyDescent="0.2">
      <c r="C3967"/>
      <c r="M3967"/>
    </row>
    <row r="3968" spans="3:13" ht="12.75" customHeight="1" x14ac:dyDescent="0.2">
      <c r="C3968"/>
      <c r="M3968"/>
    </row>
    <row r="3969" spans="3:13" ht="12.75" customHeight="1" x14ac:dyDescent="0.2">
      <c r="C3969"/>
      <c r="M3969"/>
    </row>
    <row r="3970" spans="3:13" ht="12.75" customHeight="1" x14ac:dyDescent="0.2">
      <c r="C3970"/>
      <c r="M3970"/>
    </row>
    <row r="3971" spans="3:13" ht="12.75" customHeight="1" x14ac:dyDescent="0.2">
      <c r="C3971"/>
      <c r="M3971"/>
    </row>
    <row r="3972" spans="3:13" ht="12.75" customHeight="1" x14ac:dyDescent="0.2">
      <c r="C3972"/>
      <c r="M3972"/>
    </row>
    <row r="3973" spans="3:13" ht="12.75" customHeight="1" x14ac:dyDescent="0.2">
      <c r="C3973"/>
      <c r="M3973"/>
    </row>
    <row r="3974" spans="3:13" ht="12.75" customHeight="1" x14ac:dyDescent="0.2">
      <c r="C3974"/>
      <c r="M3974"/>
    </row>
    <row r="3975" spans="3:13" ht="12.75" customHeight="1" x14ac:dyDescent="0.2">
      <c r="C3975"/>
      <c r="M3975"/>
    </row>
    <row r="3976" spans="3:13" ht="12.75" customHeight="1" x14ac:dyDescent="0.2">
      <c r="C3976"/>
      <c r="M3976"/>
    </row>
    <row r="3977" spans="3:13" ht="12.75" customHeight="1" x14ac:dyDescent="0.2">
      <c r="C3977"/>
      <c r="M3977"/>
    </row>
    <row r="3978" spans="3:13" ht="12.75" customHeight="1" x14ac:dyDescent="0.2">
      <c r="C3978"/>
      <c r="M3978"/>
    </row>
    <row r="3979" spans="3:13" ht="12.75" customHeight="1" x14ac:dyDescent="0.2">
      <c r="C3979"/>
      <c r="M3979"/>
    </row>
    <row r="3980" spans="3:13" ht="12.75" customHeight="1" x14ac:dyDescent="0.2">
      <c r="C3980"/>
      <c r="M3980"/>
    </row>
    <row r="3981" spans="3:13" ht="12.75" customHeight="1" x14ac:dyDescent="0.2">
      <c r="C3981"/>
      <c r="M3981"/>
    </row>
    <row r="3982" spans="3:13" ht="12.75" customHeight="1" x14ac:dyDescent="0.2">
      <c r="C3982"/>
      <c r="M3982"/>
    </row>
    <row r="3983" spans="3:13" ht="12.75" customHeight="1" x14ac:dyDescent="0.2">
      <c r="C3983"/>
      <c r="M3983"/>
    </row>
    <row r="3984" spans="3:13" ht="12.75" customHeight="1" x14ac:dyDescent="0.2">
      <c r="C3984"/>
      <c r="M3984"/>
    </row>
    <row r="3985" spans="3:13" ht="12.75" customHeight="1" x14ac:dyDescent="0.2">
      <c r="C3985"/>
      <c r="M3985"/>
    </row>
    <row r="3986" spans="3:13" ht="12.75" customHeight="1" x14ac:dyDescent="0.2">
      <c r="C3986"/>
      <c r="M3986"/>
    </row>
    <row r="3987" spans="3:13" ht="12.75" customHeight="1" x14ac:dyDescent="0.2">
      <c r="C3987"/>
      <c r="M3987"/>
    </row>
    <row r="3988" spans="3:13" ht="12.75" customHeight="1" x14ac:dyDescent="0.2">
      <c r="C3988"/>
      <c r="M3988"/>
    </row>
    <row r="3989" spans="3:13" ht="12.75" customHeight="1" x14ac:dyDescent="0.2">
      <c r="C3989"/>
      <c r="M3989"/>
    </row>
    <row r="3990" spans="3:13" ht="12.75" customHeight="1" x14ac:dyDescent="0.2">
      <c r="C3990"/>
      <c r="M3990"/>
    </row>
    <row r="3991" spans="3:13" ht="12.75" customHeight="1" x14ac:dyDescent="0.2">
      <c r="C3991"/>
      <c r="M3991"/>
    </row>
    <row r="3992" spans="3:13" ht="12.75" customHeight="1" x14ac:dyDescent="0.2">
      <c r="C3992"/>
      <c r="M3992"/>
    </row>
    <row r="3993" spans="3:13" ht="12.75" customHeight="1" x14ac:dyDescent="0.2">
      <c r="C3993"/>
      <c r="M3993"/>
    </row>
    <row r="3994" spans="3:13" ht="12.75" customHeight="1" x14ac:dyDescent="0.2">
      <c r="C3994"/>
      <c r="M3994"/>
    </row>
    <row r="3995" spans="3:13" ht="12.75" customHeight="1" x14ac:dyDescent="0.2">
      <c r="C3995"/>
      <c r="M3995"/>
    </row>
    <row r="3996" spans="3:13" ht="12.75" customHeight="1" x14ac:dyDescent="0.2">
      <c r="C3996"/>
      <c r="M3996"/>
    </row>
    <row r="3997" spans="3:13" ht="12.75" customHeight="1" x14ac:dyDescent="0.2">
      <c r="C3997"/>
      <c r="M3997"/>
    </row>
    <row r="3998" spans="3:13" ht="12.75" customHeight="1" x14ac:dyDescent="0.2">
      <c r="C3998"/>
      <c r="M3998"/>
    </row>
    <row r="3999" spans="3:13" ht="12.75" customHeight="1" x14ac:dyDescent="0.2">
      <c r="C3999"/>
      <c r="M3999"/>
    </row>
    <row r="4000" spans="3:13" ht="12.75" customHeight="1" x14ac:dyDescent="0.2">
      <c r="C4000"/>
      <c r="M4000"/>
    </row>
    <row r="4001" spans="3:13" ht="12.75" customHeight="1" x14ac:dyDescent="0.2">
      <c r="C4001"/>
      <c r="M4001"/>
    </row>
    <row r="4002" spans="3:13" ht="12.75" customHeight="1" x14ac:dyDescent="0.2">
      <c r="C4002"/>
      <c r="M4002"/>
    </row>
    <row r="4003" spans="3:13" ht="12.75" customHeight="1" x14ac:dyDescent="0.2">
      <c r="C4003"/>
      <c r="M4003"/>
    </row>
    <row r="4004" spans="3:13" ht="12.75" customHeight="1" x14ac:dyDescent="0.2">
      <c r="C4004"/>
      <c r="M4004"/>
    </row>
    <row r="4005" spans="3:13" ht="12.75" customHeight="1" x14ac:dyDescent="0.2">
      <c r="C4005"/>
      <c r="M4005"/>
    </row>
    <row r="4006" spans="3:13" ht="12.75" customHeight="1" x14ac:dyDescent="0.2">
      <c r="C4006"/>
      <c r="M4006"/>
    </row>
    <row r="4007" spans="3:13" ht="12.75" customHeight="1" x14ac:dyDescent="0.2">
      <c r="C4007"/>
      <c r="M4007"/>
    </row>
    <row r="4008" spans="3:13" ht="12.75" customHeight="1" x14ac:dyDescent="0.2">
      <c r="C4008"/>
      <c r="M4008"/>
    </row>
    <row r="4009" spans="3:13" ht="12.75" customHeight="1" x14ac:dyDescent="0.2">
      <c r="C4009"/>
      <c r="M4009"/>
    </row>
    <row r="4010" spans="3:13" ht="12.75" customHeight="1" x14ac:dyDescent="0.2">
      <c r="C4010"/>
      <c r="M4010"/>
    </row>
    <row r="4011" spans="3:13" ht="12.75" customHeight="1" x14ac:dyDescent="0.2">
      <c r="C4011"/>
      <c r="M4011"/>
    </row>
    <row r="4012" spans="3:13" ht="12.75" customHeight="1" x14ac:dyDescent="0.2">
      <c r="C4012"/>
      <c r="M4012"/>
    </row>
    <row r="4013" spans="3:13" ht="12.75" customHeight="1" x14ac:dyDescent="0.2">
      <c r="C4013"/>
      <c r="M4013"/>
    </row>
    <row r="4014" spans="3:13" ht="12.75" customHeight="1" x14ac:dyDescent="0.2">
      <c r="C4014"/>
      <c r="M4014"/>
    </row>
    <row r="4015" spans="3:13" ht="12.75" customHeight="1" x14ac:dyDescent="0.2">
      <c r="C4015"/>
      <c r="M4015"/>
    </row>
    <row r="4016" spans="3:13" ht="12.75" customHeight="1" x14ac:dyDescent="0.2">
      <c r="C4016"/>
      <c r="M4016"/>
    </row>
    <row r="4017" spans="3:13" ht="12.75" customHeight="1" x14ac:dyDescent="0.2">
      <c r="C4017"/>
      <c r="M4017"/>
    </row>
    <row r="4018" spans="3:13" ht="12.75" customHeight="1" x14ac:dyDescent="0.2">
      <c r="C4018"/>
      <c r="M4018"/>
    </row>
    <row r="4019" spans="3:13" ht="12.75" customHeight="1" x14ac:dyDescent="0.2">
      <c r="C4019"/>
      <c r="M4019"/>
    </row>
    <row r="4020" spans="3:13" ht="12.75" customHeight="1" x14ac:dyDescent="0.2">
      <c r="C4020"/>
      <c r="M4020"/>
    </row>
    <row r="4021" spans="3:13" ht="12.75" customHeight="1" x14ac:dyDescent="0.2">
      <c r="C4021"/>
      <c r="M4021"/>
    </row>
    <row r="4022" spans="3:13" ht="12.75" customHeight="1" x14ac:dyDescent="0.2">
      <c r="C4022"/>
      <c r="M4022"/>
    </row>
    <row r="4023" spans="3:13" ht="12.75" customHeight="1" x14ac:dyDescent="0.2">
      <c r="C4023"/>
      <c r="M4023"/>
    </row>
    <row r="4024" spans="3:13" ht="12.75" customHeight="1" x14ac:dyDescent="0.2">
      <c r="C4024"/>
      <c r="M4024"/>
    </row>
    <row r="4025" spans="3:13" ht="12.75" customHeight="1" x14ac:dyDescent="0.2">
      <c r="C4025"/>
      <c r="M4025"/>
    </row>
    <row r="4026" spans="3:13" ht="12.75" customHeight="1" x14ac:dyDescent="0.2">
      <c r="C4026"/>
      <c r="M4026"/>
    </row>
    <row r="4027" spans="3:13" ht="12.75" customHeight="1" x14ac:dyDescent="0.2">
      <c r="C4027"/>
      <c r="M4027"/>
    </row>
    <row r="4028" spans="3:13" ht="12.75" customHeight="1" x14ac:dyDescent="0.2">
      <c r="C4028"/>
      <c r="M4028"/>
    </row>
    <row r="4029" spans="3:13" ht="12.75" customHeight="1" x14ac:dyDescent="0.2">
      <c r="C4029"/>
      <c r="M4029"/>
    </row>
    <row r="4030" spans="3:13" ht="12.75" customHeight="1" x14ac:dyDescent="0.2">
      <c r="C4030"/>
      <c r="M4030"/>
    </row>
    <row r="4031" spans="3:13" ht="12.75" customHeight="1" x14ac:dyDescent="0.2">
      <c r="C4031"/>
      <c r="M4031"/>
    </row>
    <row r="4032" spans="3:13" ht="12.75" customHeight="1" x14ac:dyDescent="0.2">
      <c r="C4032"/>
      <c r="M4032"/>
    </row>
    <row r="4033" spans="3:13" ht="12.75" customHeight="1" x14ac:dyDescent="0.2">
      <c r="C4033"/>
      <c r="M4033"/>
    </row>
    <row r="4034" spans="3:13" ht="12.75" customHeight="1" x14ac:dyDescent="0.2">
      <c r="C4034"/>
      <c r="M4034"/>
    </row>
    <row r="4035" spans="3:13" ht="12.75" customHeight="1" x14ac:dyDescent="0.2">
      <c r="C4035"/>
      <c r="M4035"/>
    </row>
    <row r="4036" spans="3:13" ht="12.75" customHeight="1" x14ac:dyDescent="0.2">
      <c r="C4036"/>
      <c r="M4036"/>
    </row>
    <row r="4037" spans="3:13" ht="12.75" customHeight="1" x14ac:dyDescent="0.2">
      <c r="C4037"/>
      <c r="M4037"/>
    </row>
    <row r="4038" spans="3:13" ht="12.75" customHeight="1" x14ac:dyDescent="0.2">
      <c r="C4038"/>
      <c r="M4038"/>
    </row>
    <row r="4039" spans="3:13" ht="12.75" customHeight="1" x14ac:dyDescent="0.2">
      <c r="C4039"/>
      <c r="M4039"/>
    </row>
    <row r="4040" spans="3:13" ht="12.75" customHeight="1" x14ac:dyDescent="0.2">
      <c r="C4040"/>
      <c r="M4040"/>
    </row>
    <row r="4041" spans="3:13" ht="12.75" customHeight="1" x14ac:dyDescent="0.2">
      <c r="C4041"/>
      <c r="M4041"/>
    </row>
    <row r="4042" spans="3:13" ht="12.75" customHeight="1" x14ac:dyDescent="0.2">
      <c r="C4042"/>
      <c r="M4042"/>
    </row>
    <row r="4043" spans="3:13" ht="12.75" customHeight="1" x14ac:dyDescent="0.2">
      <c r="C4043"/>
      <c r="M4043"/>
    </row>
    <row r="4044" spans="3:13" ht="12.75" customHeight="1" x14ac:dyDescent="0.2">
      <c r="C4044"/>
      <c r="M4044"/>
    </row>
    <row r="4045" spans="3:13" ht="12.75" customHeight="1" x14ac:dyDescent="0.2">
      <c r="C4045"/>
      <c r="M4045"/>
    </row>
    <row r="4046" spans="3:13" ht="12.75" customHeight="1" x14ac:dyDescent="0.2">
      <c r="C4046"/>
      <c r="M4046"/>
    </row>
    <row r="4047" spans="3:13" ht="12.75" customHeight="1" x14ac:dyDescent="0.2">
      <c r="C4047"/>
      <c r="M4047"/>
    </row>
    <row r="4048" spans="3:13" ht="12.75" customHeight="1" x14ac:dyDescent="0.2">
      <c r="C4048"/>
      <c r="M4048"/>
    </row>
    <row r="4049" spans="3:13" ht="12.75" customHeight="1" x14ac:dyDescent="0.2">
      <c r="C4049"/>
      <c r="M4049"/>
    </row>
    <row r="4050" spans="3:13" ht="12.75" customHeight="1" x14ac:dyDescent="0.2">
      <c r="C4050"/>
      <c r="M4050"/>
    </row>
    <row r="4051" spans="3:13" ht="12.75" customHeight="1" x14ac:dyDescent="0.2">
      <c r="C4051"/>
      <c r="M4051"/>
    </row>
    <row r="4052" spans="3:13" ht="12.75" customHeight="1" x14ac:dyDescent="0.2">
      <c r="C4052"/>
      <c r="M4052"/>
    </row>
    <row r="4053" spans="3:13" ht="12.75" customHeight="1" x14ac:dyDescent="0.2">
      <c r="C4053"/>
      <c r="M4053"/>
    </row>
    <row r="4054" spans="3:13" ht="12.75" customHeight="1" x14ac:dyDescent="0.2">
      <c r="C4054"/>
      <c r="M4054"/>
    </row>
    <row r="4055" spans="3:13" ht="12.75" customHeight="1" x14ac:dyDescent="0.2">
      <c r="C4055"/>
      <c r="M4055"/>
    </row>
    <row r="4056" spans="3:13" ht="12.75" customHeight="1" x14ac:dyDescent="0.2">
      <c r="C4056"/>
      <c r="M4056"/>
    </row>
    <row r="4057" spans="3:13" ht="12.75" customHeight="1" x14ac:dyDescent="0.2">
      <c r="C4057"/>
      <c r="M4057"/>
    </row>
    <row r="4058" spans="3:13" ht="12.75" customHeight="1" x14ac:dyDescent="0.2">
      <c r="C4058"/>
      <c r="M4058"/>
    </row>
    <row r="4059" spans="3:13" ht="12.75" customHeight="1" x14ac:dyDescent="0.2">
      <c r="C4059"/>
      <c r="M4059"/>
    </row>
    <row r="4060" spans="3:13" ht="12.75" customHeight="1" x14ac:dyDescent="0.2">
      <c r="C4060"/>
      <c r="M4060"/>
    </row>
    <row r="4061" spans="3:13" ht="12.75" customHeight="1" x14ac:dyDescent="0.2">
      <c r="C4061"/>
      <c r="M4061"/>
    </row>
    <row r="4062" spans="3:13" ht="12.75" customHeight="1" x14ac:dyDescent="0.2">
      <c r="C4062"/>
      <c r="M4062"/>
    </row>
    <row r="4063" spans="3:13" ht="12.75" customHeight="1" x14ac:dyDescent="0.2">
      <c r="C4063"/>
      <c r="M4063"/>
    </row>
    <row r="4064" spans="3:13" ht="12.75" customHeight="1" x14ac:dyDescent="0.2">
      <c r="C4064"/>
      <c r="M4064"/>
    </row>
    <row r="4065" spans="3:13" ht="12.75" customHeight="1" x14ac:dyDescent="0.2">
      <c r="C4065"/>
      <c r="M4065"/>
    </row>
    <row r="4066" spans="3:13" ht="12.75" customHeight="1" x14ac:dyDescent="0.2">
      <c r="C4066"/>
      <c r="M4066"/>
    </row>
    <row r="4067" spans="3:13" ht="12.75" customHeight="1" x14ac:dyDescent="0.2">
      <c r="C4067"/>
      <c r="M4067"/>
    </row>
    <row r="4068" spans="3:13" ht="12.75" customHeight="1" x14ac:dyDescent="0.2">
      <c r="C4068"/>
      <c r="M4068"/>
    </row>
    <row r="4069" spans="3:13" ht="12.75" customHeight="1" x14ac:dyDescent="0.2">
      <c r="C4069"/>
      <c r="M4069"/>
    </row>
    <row r="4070" spans="3:13" ht="12.75" customHeight="1" x14ac:dyDescent="0.2">
      <c r="C4070"/>
      <c r="M4070"/>
    </row>
    <row r="4071" spans="3:13" ht="12.75" customHeight="1" x14ac:dyDescent="0.2">
      <c r="C4071"/>
      <c r="M4071"/>
    </row>
    <row r="4072" spans="3:13" ht="12.75" customHeight="1" x14ac:dyDescent="0.2">
      <c r="C4072"/>
      <c r="M4072"/>
    </row>
    <row r="4073" spans="3:13" ht="12.75" customHeight="1" x14ac:dyDescent="0.2">
      <c r="C4073"/>
      <c r="M4073"/>
    </row>
    <row r="4074" spans="3:13" ht="12.75" customHeight="1" x14ac:dyDescent="0.2">
      <c r="C4074"/>
      <c r="M4074"/>
    </row>
    <row r="4075" spans="3:13" ht="12.75" customHeight="1" x14ac:dyDescent="0.2">
      <c r="C4075"/>
      <c r="M4075"/>
    </row>
    <row r="4076" spans="3:13" ht="12.75" customHeight="1" x14ac:dyDescent="0.2">
      <c r="C4076"/>
      <c r="M4076"/>
    </row>
    <row r="4077" spans="3:13" ht="12.75" customHeight="1" x14ac:dyDescent="0.2">
      <c r="C4077"/>
      <c r="M4077"/>
    </row>
    <row r="4078" spans="3:13" ht="12.75" customHeight="1" x14ac:dyDescent="0.2">
      <c r="C4078"/>
      <c r="M4078"/>
    </row>
    <row r="4079" spans="3:13" ht="12.75" customHeight="1" x14ac:dyDescent="0.2">
      <c r="C4079"/>
      <c r="M4079"/>
    </row>
    <row r="4080" spans="3:13" ht="12.75" customHeight="1" x14ac:dyDescent="0.2">
      <c r="C4080"/>
      <c r="M4080"/>
    </row>
    <row r="4081" spans="3:13" ht="12.75" customHeight="1" x14ac:dyDescent="0.2">
      <c r="C4081"/>
      <c r="M4081"/>
    </row>
    <row r="4082" spans="3:13" ht="12.75" customHeight="1" x14ac:dyDescent="0.2">
      <c r="C4082"/>
      <c r="M4082"/>
    </row>
    <row r="4083" spans="3:13" ht="12.75" customHeight="1" x14ac:dyDescent="0.2">
      <c r="C4083"/>
      <c r="M4083"/>
    </row>
    <row r="4084" spans="3:13" ht="12.75" customHeight="1" x14ac:dyDescent="0.2">
      <c r="C4084"/>
      <c r="M4084"/>
    </row>
    <row r="4085" spans="3:13" ht="12.75" customHeight="1" x14ac:dyDescent="0.2">
      <c r="C4085"/>
      <c r="M4085"/>
    </row>
    <row r="4086" spans="3:13" ht="12.75" customHeight="1" x14ac:dyDescent="0.2">
      <c r="C4086"/>
      <c r="M4086"/>
    </row>
    <row r="4087" spans="3:13" ht="12.75" customHeight="1" x14ac:dyDescent="0.2">
      <c r="C4087"/>
      <c r="M4087"/>
    </row>
    <row r="4088" spans="3:13" ht="12.75" customHeight="1" x14ac:dyDescent="0.2">
      <c r="C4088"/>
      <c r="M4088"/>
    </row>
    <row r="4089" spans="3:13" ht="12.75" customHeight="1" x14ac:dyDescent="0.2">
      <c r="C4089"/>
      <c r="M4089"/>
    </row>
    <row r="4090" spans="3:13" ht="12.75" customHeight="1" x14ac:dyDescent="0.2">
      <c r="C4090"/>
      <c r="M4090"/>
    </row>
    <row r="4091" spans="3:13" ht="12.75" customHeight="1" x14ac:dyDescent="0.2">
      <c r="C4091"/>
      <c r="M4091"/>
    </row>
    <row r="4092" spans="3:13" ht="12.75" customHeight="1" x14ac:dyDescent="0.2">
      <c r="C4092"/>
      <c r="M4092"/>
    </row>
    <row r="4093" spans="3:13" ht="12.75" customHeight="1" x14ac:dyDescent="0.2">
      <c r="C4093"/>
      <c r="M4093"/>
    </row>
    <row r="4094" spans="3:13" ht="12.75" customHeight="1" x14ac:dyDescent="0.2">
      <c r="C4094"/>
      <c r="M4094"/>
    </row>
    <row r="4095" spans="3:13" ht="12.75" customHeight="1" x14ac:dyDescent="0.2">
      <c r="C4095"/>
      <c r="M4095"/>
    </row>
    <row r="4096" spans="3:13" ht="12.75" customHeight="1" x14ac:dyDescent="0.2">
      <c r="C4096"/>
      <c r="M4096"/>
    </row>
    <row r="4097" spans="3:13" ht="12.75" customHeight="1" x14ac:dyDescent="0.2">
      <c r="C4097"/>
      <c r="M4097"/>
    </row>
    <row r="4098" spans="3:13" ht="12.75" customHeight="1" x14ac:dyDescent="0.2">
      <c r="C4098"/>
      <c r="M4098"/>
    </row>
    <row r="4099" spans="3:13" ht="12.75" customHeight="1" x14ac:dyDescent="0.2">
      <c r="C4099"/>
      <c r="M4099"/>
    </row>
    <row r="4100" spans="3:13" ht="12.75" customHeight="1" x14ac:dyDescent="0.2">
      <c r="C4100"/>
      <c r="M4100"/>
    </row>
    <row r="4101" spans="3:13" ht="12.75" customHeight="1" x14ac:dyDescent="0.2">
      <c r="C4101"/>
      <c r="M4101"/>
    </row>
    <row r="4102" spans="3:13" ht="12.75" customHeight="1" x14ac:dyDescent="0.2">
      <c r="C4102"/>
      <c r="M4102"/>
    </row>
    <row r="4103" spans="3:13" ht="12.75" customHeight="1" x14ac:dyDescent="0.2">
      <c r="C4103"/>
      <c r="M4103"/>
    </row>
    <row r="4104" spans="3:13" ht="12.75" customHeight="1" x14ac:dyDescent="0.2">
      <c r="C4104"/>
      <c r="M4104"/>
    </row>
    <row r="4105" spans="3:13" ht="12.75" customHeight="1" x14ac:dyDescent="0.2">
      <c r="C4105"/>
      <c r="M4105"/>
    </row>
    <row r="4106" spans="3:13" ht="12.75" customHeight="1" x14ac:dyDescent="0.2">
      <c r="C4106"/>
      <c r="M4106"/>
    </row>
    <row r="4107" spans="3:13" ht="12.75" customHeight="1" x14ac:dyDescent="0.2">
      <c r="C4107"/>
      <c r="M4107"/>
    </row>
    <row r="4108" spans="3:13" ht="12.75" customHeight="1" x14ac:dyDescent="0.2">
      <c r="C4108"/>
      <c r="M4108"/>
    </row>
    <row r="4109" spans="3:13" ht="12.75" customHeight="1" x14ac:dyDescent="0.2">
      <c r="C4109"/>
      <c r="M4109"/>
    </row>
    <row r="4110" spans="3:13" ht="12.75" customHeight="1" x14ac:dyDescent="0.2">
      <c r="C4110"/>
      <c r="M4110"/>
    </row>
    <row r="4111" spans="3:13" ht="12.75" customHeight="1" x14ac:dyDescent="0.2">
      <c r="C4111"/>
      <c r="M4111"/>
    </row>
    <row r="4112" spans="3:13" ht="12.75" customHeight="1" x14ac:dyDescent="0.2">
      <c r="C4112"/>
      <c r="M4112"/>
    </row>
    <row r="4113" spans="3:13" ht="12.75" customHeight="1" x14ac:dyDescent="0.2">
      <c r="C4113"/>
      <c r="M4113"/>
    </row>
    <row r="4114" spans="3:13" ht="12.75" customHeight="1" x14ac:dyDescent="0.2">
      <c r="C4114"/>
      <c r="M4114"/>
    </row>
    <row r="4115" spans="3:13" ht="12.75" customHeight="1" x14ac:dyDescent="0.2">
      <c r="C4115"/>
      <c r="M4115"/>
    </row>
    <row r="4116" spans="3:13" ht="12.75" customHeight="1" x14ac:dyDescent="0.2">
      <c r="C4116"/>
      <c r="M4116"/>
    </row>
    <row r="4117" spans="3:13" ht="12.75" customHeight="1" x14ac:dyDescent="0.2">
      <c r="C4117"/>
      <c r="M4117"/>
    </row>
    <row r="4118" spans="3:13" ht="12.75" customHeight="1" x14ac:dyDescent="0.2">
      <c r="C4118"/>
      <c r="M4118"/>
    </row>
    <row r="4119" spans="3:13" ht="12.75" customHeight="1" x14ac:dyDescent="0.2">
      <c r="C4119"/>
      <c r="M4119"/>
    </row>
    <row r="4120" spans="3:13" ht="12.75" customHeight="1" x14ac:dyDescent="0.2">
      <c r="C4120"/>
      <c r="M4120"/>
    </row>
    <row r="4121" spans="3:13" ht="12.75" customHeight="1" x14ac:dyDescent="0.2">
      <c r="C4121"/>
      <c r="M4121"/>
    </row>
    <row r="4122" spans="3:13" ht="12.75" customHeight="1" x14ac:dyDescent="0.2">
      <c r="C4122"/>
      <c r="M4122"/>
    </row>
    <row r="4123" spans="3:13" ht="12.75" customHeight="1" x14ac:dyDescent="0.2">
      <c r="C4123"/>
      <c r="M4123"/>
    </row>
    <row r="4124" spans="3:13" ht="12.75" customHeight="1" x14ac:dyDescent="0.2">
      <c r="C4124"/>
      <c r="M4124"/>
    </row>
    <row r="4125" spans="3:13" ht="12.75" customHeight="1" x14ac:dyDescent="0.2">
      <c r="C4125"/>
      <c r="M4125"/>
    </row>
    <row r="4126" spans="3:13" ht="12.75" customHeight="1" x14ac:dyDescent="0.2">
      <c r="C4126"/>
      <c r="M4126"/>
    </row>
    <row r="4127" spans="3:13" ht="12.75" customHeight="1" x14ac:dyDescent="0.2">
      <c r="C4127"/>
      <c r="M4127"/>
    </row>
    <row r="4128" spans="3:13" ht="12.75" customHeight="1" x14ac:dyDescent="0.2">
      <c r="C4128"/>
      <c r="M4128"/>
    </row>
    <row r="4129" spans="3:13" ht="12.75" customHeight="1" x14ac:dyDescent="0.2">
      <c r="C4129"/>
      <c r="M4129"/>
    </row>
    <row r="4130" spans="3:13" ht="12.75" customHeight="1" x14ac:dyDescent="0.2">
      <c r="C4130"/>
      <c r="M4130"/>
    </row>
    <row r="4131" spans="3:13" ht="12.75" customHeight="1" x14ac:dyDescent="0.2">
      <c r="C4131"/>
      <c r="M4131"/>
    </row>
    <row r="4132" spans="3:13" ht="12.75" customHeight="1" x14ac:dyDescent="0.2">
      <c r="C4132"/>
      <c r="M4132"/>
    </row>
    <row r="4133" spans="3:13" ht="12.75" customHeight="1" x14ac:dyDescent="0.2">
      <c r="C4133"/>
      <c r="M4133"/>
    </row>
    <row r="4134" spans="3:13" ht="12.75" customHeight="1" x14ac:dyDescent="0.2">
      <c r="C4134"/>
      <c r="M4134"/>
    </row>
    <row r="4135" spans="3:13" ht="12.75" customHeight="1" x14ac:dyDescent="0.2">
      <c r="C4135"/>
      <c r="M4135"/>
    </row>
    <row r="4136" spans="3:13" ht="12.75" customHeight="1" x14ac:dyDescent="0.2">
      <c r="C4136"/>
      <c r="M4136"/>
    </row>
    <row r="4137" spans="3:13" ht="12.75" customHeight="1" x14ac:dyDescent="0.2">
      <c r="C4137"/>
      <c r="M4137"/>
    </row>
    <row r="4138" spans="3:13" ht="12.75" customHeight="1" x14ac:dyDescent="0.2">
      <c r="C4138"/>
      <c r="M4138"/>
    </row>
    <row r="4139" spans="3:13" ht="12.75" customHeight="1" x14ac:dyDescent="0.2">
      <c r="C4139"/>
      <c r="M4139"/>
    </row>
    <row r="4140" spans="3:13" ht="12.75" customHeight="1" x14ac:dyDescent="0.2">
      <c r="C4140"/>
      <c r="M4140"/>
    </row>
    <row r="4141" spans="3:13" ht="12.75" customHeight="1" x14ac:dyDescent="0.2">
      <c r="C4141"/>
      <c r="M4141"/>
    </row>
    <row r="4142" spans="3:13" ht="12.75" customHeight="1" x14ac:dyDescent="0.2">
      <c r="C4142"/>
      <c r="M4142"/>
    </row>
    <row r="4143" spans="3:13" ht="12.75" customHeight="1" x14ac:dyDescent="0.2">
      <c r="C4143"/>
      <c r="M4143"/>
    </row>
    <row r="4144" spans="3:13" ht="12.75" customHeight="1" x14ac:dyDescent="0.2">
      <c r="C4144"/>
      <c r="M4144"/>
    </row>
    <row r="4145" spans="3:13" ht="12.75" customHeight="1" x14ac:dyDescent="0.2">
      <c r="C4145"/>
      <c r="M4145"/>
    </row>
    <row r="4146" spans="3:13" ht="12.75" customHeight="1" x14ac:dyDescent="0.2">
      <c r="C4146"/>
      <c r="M4146"/>
    </row>
    <row r="4147" spans="3:13" ht="12.75" customHeight="1" x14ac:dyDescent="0.2">
      <c r="C4147"/>
      <c r="M4147"/>
    </row>
    <row r="4148" spans="3:13" ht="12.75" customHeight="1" x14ac:dyDescent="0.2">
      <c r="C4148"/>
      <c r="M4148"/>
    </row>
    <row r="4149" spans="3:13" ht="12.75" customHeight="1" x14ac:dyDescent="0.2">
      <c r="C4149"/>
      <c r="M4149"/>
    </row>
    <row r="4150" spans="3:13" ht="12.75" customHeight="1" x14ac:dyDescent="0.2">
      <c r="C4150"/>
      <c r="M4150"/>
    </row>
    <row r="4151" spans="3:13" ht="12.75" customHeight="1" x14ac:dyDescent="0.2">
      <c r="C4151"/>
      <c r="M4151"/>
    </row>
    <row r="4152" spans="3:13" ht="12.75" customHeight="1" x14ac:dyDescent="0.2">
      <c r="C4152"/>
      <c r="M4152"/>
    </row>
    <row r="4153" spans="3:13" ht="12.75" customHeight="1" x14ac:dyDescent="0.2">
      <c r="C4153"/>
      <c r="M4153"/>
    </row>
    <row r="4154" spans="3:13" ht="12.75" customHeight="1" x14ac:dyDescent="0.2">
      <c r="C4154"/>
      <c r="M4154"/>
    </row>
    <row r="4155" spans="3:13" ht="12.75" customHeight="1" x14ac:dyDescent="0.2">
      <c r="C4155"/>
      <c r="M4155"/>
    </row>
    <row r="4156" spans="3:13" ht="12.75" customHeight="1" x14ac:dyDescent="0.2">
      <c r="C4156"/>
      <c r="M4156"/>
    </row>
    <row r="4157" spans="3:13" ht="12.75" customHeight="1" x14ac:dyDescent="0.2">
      <c r="C4157"/>
      <c r="M4157"/>
    </row>
    <row r="4158" spans="3:13" ht="12.75" customHeight="1" x14ac:dyDescent="0.2">
      <c r="C4158"/>
      <c r="M4158"/>
    </row>
    <row r="4159" spans="3:13" ht="12.75" customHeight="1" x14ac:dyDescent="0.2">
      <c r="C4159"/>
      <c r="M4159"/>
    </row>
    <row r="4160" spans="3:13" ht="12.75" customHeight="1" x14ac:dyDescent="0.2">
      <c r="C4160"/>
      <c r="M4160"/>
    </row>
    <row r="4161" spans="3:13" ht="12.75" customHeight="1" x14ac:dyDescent="0.2">
      <c r="C4161"/>
      <c r="M4161"/>
    </row>
    <row r="4162" spans="3:13" ht="12.75" customHeight="1" x14ac:dyDescent="0.2">
      <c r="C4162"/>
      <c r="M4162"/>
    </row>
    <row r="4163" spans="3:13" ht="12.75" customHeight="1" x14ac:dyDescent="0.2">
      <c r="C4163"/>
      <c r="M4163"/>
    </row>
    <row r="4164" spans="3:13" ht="12.75" customHeight="1" x14ac:dyDescent="0.2">
      <c r="C4164"/>
      <c r="M4164"/>
    </row>
    <row r="4165" spans="3:13" ht="12.75" customHeight="1" x14ac:dyDescent="0.2">
      <c r="C4165"/>
      <c r="M4165"/>
    </row>
    <row r="4166" spans="3:13" ht="12.75" customHeight="1" x14ac:dyDescent="0.2">
      <c r="C4166"/>
      <c r="M4166"/>
    </row>
    <row r="4167" spans="3:13" ht="12.75" customHeight="1" x14ac:dyDescent="0.2">
      <c r="C4167"/>
      <c r="M4167"/>
    </row>
    <row r="4168" spans="3:13" ht="12.75" customHeight="1" x14ac:dyDescent="0.2">
      <c r="C4168"/>
      <c r="M4168"/>
    </row>
    <row r="4169" spans="3:13" ht="12.75" customHeight="1" x14ac:dyDescent="0.2">
      <c r="C4169"/>
      <c r="M4169"/>
    </row>
    <row r="4170" spans="3:13" ht="12.75" customHeight="1" x14ac:dyDescent="0.2">
      <c r="C4170"/>
      <c r="M4170"/>
    </row>
    <row r="4171" spans="3:13" ht="12.75" customHeight="1" x14ac:dyDescent="0.2">
      <c r="C4171"/>
      <c r="M4171"/>
    </row>
    <row r="4172" spans="3:13" ht="12.75" customHeight="1" x14ac:dyDescent="0.2">
      <c r="C4172"/>
      <c r="M4172"/>
    </row>
    <row r="4173" spans="3:13" ht="12.75" customHeight="1" x14ac:dyDescent="0.2">
      <c r="C4173"/>
      <c r="M4173"/>
    </row>
    <row r="4174" spans="3:13" ht="12.75" customHeight="1" x14ac:dyDescent="0.2">
      <c r="C4174"/>
      <c r="M4174"/>
    </row>
    <row r="4175" spans="3:13" ht="12.75" customHeight="1" x14ac:dyDescent="0.2">
      <c r="C4175"/>
      <c r="M4175"/>
    </row>
    <row r="4176" spans="3:13" ht="12.75" customHeight="1" x14ac:dyDescent="0.2">
      <c r="C4176"/>
      <c r="M4176"/>
    </row>
    <row r="4177" spans="3:13" ht="12.75" customHeight="1" x14ac:dyDescent="0.2">
      <c r="C4177"/>
      <c r="M4177"/>
    </row>
    <row r="4178" spans="3:13" ht="12.75" customHeight="1" x14ac:dyDescent="0.2">
      <c r="C4178"/>
      <c r="M4178"/>
    </row>
    <row r="4179" spans="3:13" ht="12.75" customHeight="1" x14ac:dyDescent="0.2">
      <c r="C4179"/>
      <c r="M4179"/>
    </row>
    <row r="4180" spans="3:13" ht="12.75" customHeight="1" x14ac:dyDescent="0.2">
      <c r="C4180"/>
      <c r="M4180"/>
    </row>
    <row r="4181" spans="3:13" ht="12.75" customHeight="1" x14ac:dyDescent="0.2">
      <c r="C4181"/>
      <c r="M4181"/>
    </row>
    <row r="4182" spans="3:13" ht="12.75" customHeight="1" x14ac:dyDescent="0.2">
      <c r="C4182"/>
      <c r="M4182"/>
    </row>
    <row r="4183" spans="3:13" ht="12.75" customHeight="1" x14ac:dyDescent="0.2">
      <c r="C4183"/>
      <c r="M4183"/>
    </row>
    <row r="4184" spans="3:13" ht="12.75" customHeight="1" x14ac:dyDescent="0.2">
      <c r="C4184"/>
      <c r="M4184"/>
    </row>
    <row r="4185" spans="3:13" ht="12.75" customHeight="1" x14ac:dyDescent="0.2">
      <c r="C4185"/>
      <c r="M4185"/>
    </row>
    <row r="4186" spans="3:13" ht="12.75" customHeight="1" x14ac:dyDescent="0.2">
      <c r="C4186"/>
      <c r="M4186"/>
    </row>
    <row r="4187" spans="3:13" ht="12.75" customHeight="1" x14ac:dyDescent="0.2">
      <c r="C4187"/>
      <c r="M4187"/>
    </row>
    <row r="4188" spans="3:13" ht="12.75" customHeight="1" x14ac:dyDescent="0.2">
      <c r="C4188"/>
      <c r="M4188"/>
    </row>
    <row r="4189" spans="3:13" ht="12.75" customHeight="1" x14ac:dyDescent="0.2">
      <c r="C4189"/>
      <c r="M4189"/>
    </row>
    <row r="4190" spans="3:13" ht="12.75" customHeight="1" x14ac:dyDescent="0.2">
      <c r="C4190"/>
      <c r="M4190"/>
    </row>
    <row r="4191" spans="3:13" ht="12.75" customHeight="1" x14ac:dyDescent="0.2">
      <c r="C4191"/>
      <c r="M4191"/>
    </row>
    <row r="4192" spans="3:13" ht="12.75" customHeight="1" x14ac:dyDescent="0.2">
      <c r="C4192"/>
      <c r="M4192"/>
    </row>
    <row r="4193" spans="3:13" ht="12.75" customHeight="1" x14ac:dyDescent="0.2">
      <c r="C4193"/>
      <c r="M4193"/>
    </row>
    <row r="4194" spans="3:13" ht="12.75" customHeight="1" x14ac:dyDescent="0.2">
      <c r="C4194"/>
      <c r="M4194"/>
    </row>
    <row r="4195" spans="3:13" ht="12.75" customHeight="1" x14ac:dyDescent="0.2">
      <c r="C4195"/>
      <c r="M4195"/>
    </row>
    <row r="4196" spans="3:13" ht="12.75" customHeight="1" x14ac:dyDescent="0.2">
      <c r="C4196"/>
      <c r="M4196"/>
    </row>
    <row r="4197" spans="3:13" ht="12.75" customHeight="1" x14ac:dyDescent="0.2">
      <c r="C4197"/>
      <c r="M4197"/>
    </row>
    <row r="4198" spans="3:13" ht="12.75" customHeight="1" x14ac:dyDescent="0.2">
      <c r="C4198"/>
      <c r="M4198"/>
    </row>
    <row r="4199" spans="3:13" ht="12.75" customHeight="1" x14ac:dyDescent="0.2">
      <c r="C4199"/>
      <c r="M4199"/>
    </row>
    <row r="4200" spans="3:13" ht="12.75" customHeight="1" x14ac:dyDescent="0.2">
      <c r="C4200"/>
      <c r="M4200"/>
    </row>
    <row r="4201" spans="3:13" ht="12.75" customHeight="1" x14ac:dyDescent="0.2">
      <c r="C4201"/>
      <c r="M4201"/>
    </row>
    <row r="4202" spans="3:13" ht="12.75" customHeight="1" x14ac:dyDescent="0.2">
      <c r="C4202"/>
      <c r="M4202"/>
    </row>
    <row r="4203" spans="3:13" ht="12.75" customHeight="1" x14ac:dyDescent="0.2">
      <c r="C4203"/>
      <c r="M4203"/>
    </row>
    <row r="4204" spans="3:13" ht="12.75" customHeight="1" x14ac:dyDescent="0.2">
      <c r="C4204"/>
      <c r="M4204"/>
    </row>
    <row r="4205" spans="3:13" ht="12.75" customHeight="1" x14ac:dyDescent="0.2">
      <c r="C4205"/>
      <c r="M4205"/>
    </row>
    <row r="4206" spans="3:13" ht="12.75" customHeight="1" x14ac:dyDescent="0.2">
      <c r="C4206"/>
      <c r="M4206"/>
    </row>
    <row r="4207" spans="3:13" ht="12.75" customHeight="1" x14ac:dyDescent="0.2">
      <c r="C4207"/>
      <c r="M4207"/>
    </row>
    <row r="4208" spans="3:13" ht="12.75" customHeight="1" x14ac:dyDescent="0.2">
      <c r="C4208"/>
      <c r="M4208"/>
    </row>
    <row r="4209" spans="3:13" ht="12.75" customHeight="1" x14ac:dyDescent="0.2">
      <c r="C4209"/>
      <c r="M4209"/>
    </row>
    <row r="4210" spans="3:13" ht="12.75" customHeight="1" x14ac:dyDescent="0.2">
      <c r="C4210"/>
      <c r="M4210"/>
    </row>
    <row r="4211" spans="3:13" ht="12.75" customHeight="1" x14ac:dyDescent="0.2">
      <c r="C4211"/>
      <c r="M4211"/>
    </row>
    <row r="4212" spans="3:13" ht="12.75" customHeight="1" x14ac:dyDescent="0.2">
      <c r="C4212"/>
      <c r="M4212"/>
    </row>
    <row r="4213" spans="3:13" ht="12.75" customHeight="1" x14ac:dyDescent="0.2">
      <c r="C4213"/>
      <c r="M4213"/>
    </row>
    <row r="4214" spans="3:13" ht="12.75" customHeight="1" x14ac:dyDescent="0.2">
      <c r="C4214"/>
      <c r="M4214"/>
    </row>
    <row r="4215" spans="3:13" ht="12.75" customHeight="1" x14ac:dyDescent="0.2">
      <c r="C4215"/>
      <c r="M4215"/>
    </row>
    <row r="4216" spans="3:13" ht="12.75" customHeight="1" x14ac:dyDescent="0.2">
      <c r="C4216"/>
      <c r="M4216"/>
    </row>
    <row r="4217" spans="3:13" ht="12.75" customHeight="1" x14ac:dyDescent="0.2">
      <c r="C4217"/>
      <c r="M4217"/>
    </row>
    <row r="4218" spans="3:13" ht="12.75" customHeight="1" x14ac:dyDescent="0.2">
      <c r="C4218"/>
      <c r="M4218"/>
    </row>
    <row r="4219" spans="3:13" ht="12.75" customHeight="1" x14ac:dyDescent="0.2">
      <c r="C4219"/>
      <c r="M4219"/>
    </row>
    <row r="4220" spans="3:13" ht="12.75" customHeight="1" x14ac:dyDescent="0.2">
      <c r="C4220"/>
      <c r="M4220"/>
    </row>
    <row r="4221" spans="3:13" ht="12.75" customHeight="1" x14ac:dyDescent="0.2">
      <c r="C4221"/>
      <c r="M4221"/>
    </row>
    <row r="4222" spans="3:13" ht="12.75" customHeight="1" x14ac:dyDescent="0.2">
      <c r="C4222"/>
      <c r="M4222"/>
    </row>
    <row r="4223" spans="3:13" ht="12.75" customHeight="1" x14ac:dyDescent="0.2">
      <c r="C4223"/>
      <c r="M4223"/>
    </row>
    <row r="4224" spans="3:13" ht="12.75" customHeight="1" x14ac:dyDescent="0.2">
      <c r="C4224"/>
      <c r="M4224"/>
    </row>
    <row r="4225" spans="3:13" ht="12.75" customHeight="1" x14ac:dyDescent="0.2">
      <c r="C4225"/>
      <c r="M4225"/>
    </row>
    <row r="4226" spans="3:13" ht="12.75" customHeight="1" x14ac:dyDescent="0.2">
      <c r="C4226"/>
      <c r="M4226"/>
    </row>
    <row r="4227" spans="3:13" ht="12.75" customHeight="1" x14ac:dyDescent="0.2">
      <c r="C4227"/>
      <c r="M4227"/>
    </row>
    <row r="4228" spans="3:13" ht="12.75" customHeight="1" x14ac:dyDescent="0.2">
      <c r="C4228"/>
      <c r="M4228"/>
    </row>
    <row r="4229" spans="3:13" ht="12.75" customHeight="1" x14ac:dyDescent="0.2">
      <c r="C4229"/>
      <c r="M4229"/>
    </row>
    <row r="4230" spans="3:13" ht="12.75" customHeight="1" x14ac:dyDescent="0.2">
      <c r="C4230"/>
      <c r="M4230"/>
    </row>
    <row r="4231" spans="3:13" ht="12.75" customHeight="1" x14ac:dyDescent="0.2">
      <c r="C4231"/>
      <c r="M4231"/>
    </row>
    <row r="4232" spans="3:13" ht="12.75" customHeight="1" x14ac:dyDescent="0.2">
      <c r="C4232"/>
      <c r="M4232"/>
    </row>
    <row r="4233" spans="3:13" ht="12.75" customHeight="1" x14ac:dyDescent="0.2">
      <c r="C4233"/>
      <c r="M4233"/>
    </row>
    <row r="4234" spans="3:13" ht="12.75" customHeight="1" x14ac:dyDescent="0.2">
      <c r="C4234"/>
      <c r="M4234"/>
    </row>
    <row r="4235" spans="3:13" ht="12.75" customHeight="1" x14ac:dyDescent="0.2">
      <c r="C4235"/>
      <c r="M4235"/>
    </row>
    <row r="4236" spans="3:13" ht="12.75" customHeight="1" x14ac:dyDescent="0.2">
      <c r="C4236"/>
      <c r="M4236"/>
    </row>
    <row r="4237" spans="3:13" ht="12.75" customHeight="1" x14ac:dyDescent="0.2">
      <c r="C4237"/>
      <c r="M4237"/>
    </row>
    <row r="4238" spans="3:13" ht="12.75" customHeight="1" x14ac:dyDescent="0.2">
      <c r="C4238"/>
      <c r="M4238"/>
    </row>
    <row r="4239" spans="3:13" ht="12.75" customHeight="1" x14ac:dyDescent="0.2">
      <c r="C4239"/>
      <c r="M4239"/>
    </row>
    <row r="4240" spans="3:13" ht="12.75" customHeight="1" x14ac:dyDescent="0.2">
      <c r="C4240"/>
      <c r="M4240"/>
    </row>
    <row r="4241" spans="3:13" ht="12.75" customHeight="1" x14ac:dyDescent="0.2">
      <c r="C4241"/>
      <c r="M4241"/>
    </row>
    <row r="4242" spans="3:13" ht="12.75" customHeight="1" x14ac:dyDescent="0.2">
      <c r="C4242"/>
      <c r="M4242"/>
    </row>
    <row r="4243" spans="3:13" ht="12.75" customHeight="1" x14ac:dyDescent="0.2">
      <c r="C4243"/>
      <c r="M4243"/>
    </row>
    <row r="4244" spans="3:13" ht="12.75" customHeight="1" x14ac:dyDescent="0.2">
      <c r="C4244"/>
      <c r="M4244"/>
    </row>
    <row r="4245" spans="3:13" ht="12.75" customHeight="1" x14ac:dyDescent="0.2">
      <c r="C4245"/>
      <c r="M4245"/>
    </row>
    <row r="4246" spans="3:13" ht="12.75" customHeight="1" x14ac:dyDescent="0.2">
      <c r="C4246"/>
      <c r="M4246"/>
    </row>
    <row r="4247" spans="3:13" ht="12.75" customHeight="1" x14ac:dyDescent="0.2">
      <c r="C4247"/>
      <c r="M4247"/>
    </row>
    <row r="4248" spans="3:13" ht="12.75" customHeight="1" x14ac:dyDescent="0.2">
      <c r="C4248"/>
      <c r="M4248"/>
    </row>
    <row r="4249" spans="3:13" ht="12.75" customHeight="1" x14ac:dyDescent="0.2">
      <c r="C4249"/>
      <c r="M4249"/>
    </row>
    <row r="4250" spans="3:13" ht="12.75" customHeight="1" x14ac:dyDescent="0.2">
      <c r="C4250"/>
      <c r="M4250"/>
    </row>
    <row r="4251" spans="3:13" ht="12.75" customHeight="1" x14ac:dyDescent="0.2">
      <c r="C4251"/>
      <c r="M4251"/>
    </row>
    <row r="4252" spans="3:13" ht="12.75" customHeight="1" x14ac:dyDescent="0.2">
      <c r="C4252"/>
      <c r="M4252"/>
    </row>
    <row r="4253" spans="3:13" ht="12.75" customHeight="1" x14ac:dyDescent="0.2">
      <c r="C4253"/>
      <c r="M4253"/>
    </row>
    <row r="4254" spans="3:13" ht="12.75" customHeight="1" x14ac:dyDescent="0.2">
      <c r="C4254"/>
      <c r="M4254"/>
    </row>
    <row r="4255" spans="3:13" ht="12.75" customHeight="1" x14ac:dyDescent="0.2">
      <c r="C4255"/>
      <c r="M4255"/>
    </row>
    <row r="4256" spans="3:13" ht="12.75" customHeight="1" x14ac:dyDescent="0.2">
      <c r="C4256"/>
      <c r="M4256"/>
    </row>
    <row r="4257" spans="3:13" ht="12.75" customHeight="1" x14ac:dyDescent="0.2">
      <c r="C4257"/>
      <c r="M4257"/>
    </row>
    <row r="4258" spans="3:13" ht="12.75" customHeight="1" x14ac:dyDescent="0.2">
      <c r="C4258"/>
      <c r="M4258"/>
    </row>
    <row r="4259" spans="3:13" ht="12.75" customHeight="1" x14ac:dyDescent="0.2">
      <c r="C4259"/>
      <c r="M4259"/>
    </row>
    <row r="4260" spans="3:13" ht="12.75" customHeight="1" x14ac:dyDescent="0.2">
      <c r="C4260"/>
      <c r="M4260"/>
    </row>
    <row r="4261" spans="3:13" ht="12.75" customHeight="1" x14ac:dyDescent="0.2">
      <c r="C4261"/>
      <c r="M4261"/>
    </row>
    <row r="4262" spans="3:13" ht="12.75" customHeight="1" x14ac:dyDescent="0.2">
      <c r="C4262"/>
      <c r="M4262"/>
    </row>
    <row r="4263" spans="3:13" ht="12.75" customHeight="1" x14ac:dyDescent="0.2">
      <c r="C4263"/>
      <c r="M4263"/>
    </row>
    <row r="4264" spans="3:13" ht="12.75" customHeight="1" x14ac:dyDescent="0.2">
      <c r="C4264"/>
      <c r="M4264"/>
    </row>
    <row r="4265" spans="3:13" ht="12.75" customHeight="1" x14ac:dyDescent="0.2">
      <c r="C4265"/>
      <c r="M4265"/>
    </row>
    <row r="4266" spans="3:13" ht="12.75" customHeight="1" x14ac:dyDescent="0.2">
      <c r="C4266"/>
      <c r="M4266"/>
    </row>
    <row r="4267" spans="3:13" ht="12.75" customHeight="1" x14ac:dyDescent="0.2">
      <c r="C4267"/>
      <c r="M4267"/>
    </row>
    <row r="4268" spans="3:13" ht="12.75" customHeight="1" x14ac:dyDescent="0.2">
      <c r="C4268"/>
      <c r="M4268"/>
    </row>
    <row r="4269" spans="3:13" ht="12.75" customHeight="1" x14ac:dyDescent="0.2">
      <c r="C4269"/>
      <c r="M4269"/>
    </row>
    <row r="4270" spans="3:13" ht="12.75" customHeight="1" x14ac:dyDescent="0.2">
      <c r="C4270"/>
      <c r="M4270"/>
    </row>
    <row r="4271" spans="3:13" ht="12.75" customHeight="1" x14ac:dyDescent="0.2">
      <c r="C4271"/>
      <c r="M4271"/>
    </row>
    <row r="4272" spans="3:13" ht="12.75" customHeight="1" x14ac:dyDescent="0.2">
      <c r="C4272"/>
      <c r="M4272"/>
    </row>
    <row r="4273" spans="3:13" ht="12.75" customHeight="1" x14ac:dyDescent="0.2">
      <c r="C4273"/>
      <c r="M4273"/>
    </row>
    <row r="4274" spans="3:13" ht="12.75" customHeight="1" x14ac:dyDescent="0.2">
      <c r="C4274"/>
      <c r="M4274"/>
    </row>
    <row r="4275" spans="3:13" ht="12.75" customHeight="1" x14ac:dyDescent="0.2">
      <c r="C4275"/>
      <c r="M4275"/>
    </row>
    <row r="4276" spans="3:13" ht="12.75" customHeight="1" x14ac:dyDescent="0.2">
      <c r="C4276"/>
      <c r="M4276"/>
    </row>
    <row r="4277" spans="3:13" ht="12.75" customHeight="1" x14ac:dyDescent="0.2">
      <c r="C4277"/>
      <c r="M4277"/>
    </row>
    <row r="4278" spans="3:13" ht="12.75" customHeight="1" x14ac:dyDescent="0.2">
      <c r="C4278"/>
      <c r="M4278"/>
    </row>
    <row r="4279" spans="3:13" ht="12.75" customHeight="1" x14ac:dyDescent="0.2">
      <c r="C4279"/>
      <c r="M4279"/>
    </row>
    <row r="4280" spans="3:13" ht="12.75" customHeight="1" x14ac:dyDescent="0.2">
      <c r="C4280"/>
      <c r="M4280"/>
    </row>
    <row r="4281" spans="3:13" ht="12.75" customHeight="1" x14ac:dyDescent="0.2">
      <c r="C4281"/>
      <c r="M4281"/>
    </row>
    <row r="4282" spans="3:13" ht="12.75" customHeight="1" x14ac:dyDescent="0.2">
      <c r="C4282"/>
      <c r="M4282"/>
    </row>
    <row r="4283" spans="3:13" ht="12.75" customHeight="1" x14ac:dyDescent="0.2">
      <c r="C4283"/>
      <c r="M4283"/>
    </row>
    <row r="4284" spans="3:13" ht="12.75" customHeight="1" x14ac:dyDescent="0.2">
      <c r="C4284"/>
      <c r="M4284"/>
    </row>
    <row r="4285" spans="3:13" ht="12.75" customHeight="1" x14ac:dyDescent="0.2">
      <c r="C4285"/>
      <c r="M4285"/>
    </row>
    <row r="4286" spans="3:13" ht="12.75" customHeight="1" x14ac:dyDescent="0.2">
      <c r="C4286"/>
      <c r="M4286"/>
    </row>
    <row r="4287" spans="3:13" ht="12.75" customHeight="1" x14ac:dyDescent="0.2">
      <c r="C4287"/>
      <c r="M4287"/>
    </row>
    <row r="4288" spans="3:13" ht="12.75" customHeight="1" x14ac:dyDescent="0.2">
      <c r="C4288"/>
      <c r="M4288"/>
    </row>
    <row r="4289" spans="3:13" ht="12.75" customHeight="1" x14ac:dyDescent="0.2">
      <c r="C4289"/>
      <c r="M4289"/>
    </row>
    <row r="4290" spans="3:13" ht="12.75" customHeight="1" x14ac:dyDescent="0.2">
      <c r="C4290"/>
      <c r="M4290"/>
    </row>
    <row r="4291" spans="3:13" ht="12.75" customHeight="1" x14ac:dyDescent="0.2">
      <c r="C4291"/>
      <c r="M4291"/>
    </row>
    <row r="4292" spans="3:13" ht="12.75" customHeight="1" x14ac:dyDescent="0.2">
      <c r="C4292"/>
      <c r="M4292"/>
    </row>
    <row r="4293" spans="3:13" ht="12.75" customHeight="1" x14ac:dyDescent="0.2">
      <c r="C4293"/>
      <c r="M4293"/>
    </row>
    <row r="4294" spans="3:13" ht="12.75" customHeight="1" x14ac:dyDescent="0.2">
      <c r="C4294"/>
      <c r="M4294"/>
    </row>
    <row r="4295" spans="3:13" ht="12.75" customHeight="1" x14ac:dyDescent="0.2">
      <c r="C4295"/>
      <c r="M4295"/>
    </row>
    <row r="4296" spans="3:13" ht="12.75" customHeight="1" x14ac:dyDescent="0.2">
      <c r="C4296"/>
      <c r="M4296"/>
    </row>
    <row r="4297" spans="3:13" ht="12.75" customHeight="1" x14ac:dyDescent="0.2">
      <c r="C4297"/>
      <c r="M4297"/>
    </row>
    <row r="4298" spans="3:13" ht="12.75" customHeight="1" x14ac:dyDescent="0.2">
      <c r="C4298"/>
      <c r="M4298"/>
    </row>
    <row r="4299" spans="3:13" ht="12.75" customHeight="1" x14ac:dyDescent="0.2">
      <c r="C4299"/>
      <c r="M4299"/>
    </row>
    <row r="4300" spans="3:13" ht="12.75" customHeight="1" x14ac:dyDescent="0.2">
      <c r="C4300"/>
      <c r="M4300"/>
    </row>
    <row r="4301" spans="3:13" ht="12.75" customHeight="1" x14ac:dyDescent="0.2">
      <c r="C4301"/>
      <c r="M4301"/>
    </row>
    <row r="4302" spans="3:13" ht="12.75" customHeight="1" x14ac:dyDescent="0.2">
      <c r="C4302"/>
      <c r="M4302"/>
    </row>
    <row r="4303" spans="3:13" ht="12.75" customHeight="1" x14ac:dyDescent="0.2">
      <c r="C4303"/>
      <c r="M4303"/>
    </row>
    <row r="4304" spans="3:13" ht="12.75" customHeight="1" x14ac:dyDescent="0.2">
      <c r="C4304"/>
      <c r="M4304"/>
    </row>
    <row r="4305" spans="3:13" ht="12.75" customHeight="1" x14ac:dyDescent="0.2">
      <c r="C4305"/>
      <c r="M4305"/>
    </row>
    <row r="4306" spans="3:13" ht="12.75" customHeight="1" x14ac:dyDescent="0.2">
      <c r="C4306"/>
      <c r="M4306"/>
    </row>
    <row r="4307" spans="3:13" ht="12.75" customHeight="1" x14ac:dyDescent="0.2">
      <c r="C4307"/>
      <c r="M4307"/>
    </row>
    <row r="4308" spans="3:13" ht="12.75" customHeight="1" x14ac:dyDescent="0.2">
      <c r="C4308"/>
      <c r="M4308"/>
    </row>
    <row r="4309" spans="3:13" ht="12.75" customHeight="1" x14ac:dyDescent="0.2">
      <c r="C4309"/>
      <c r="M4309"/>
    </row>
    <row r="4310" spans="3:13" ht="12.75" customHeight="1" x14ac:dyDescent="0.2">
      <c r="C4310"/>
      <c r="M4310"/>
    </row>
    <row r="4311" spans="3:13" ht="12.75" customHeight="1" x14ac:dyDescent="0.2">
      <c r="C4311"/>
      <c r="M4311"/>
    </row>
    <row r="4312" spans="3:13" ht="12.75" customHeight="1" x14ac:dyDescent="0.2">
      <c r="C4312"/>
      <c r="M4312"/>
    </row>
    <row r="4313" spans="3:13" ht="12.75" customHeight="1" x14ac:dyDescent="0.2">
      <c r="C4313"/>
      <c r="M4313"/>
    </row>
    <row r="4314" spans="3:13" ht="12.75" customHeight="1" x14ac:dyDescent="0.2">
      <c r="C4314"/>
      <c r="M4314"/>
    </row>
    <row r="4315" spans="3:13" ht="12.75" customHeight="1" x14ac:dyDescent="0.2">
      <c r="C4315"/>
      <c r="M4315"/>
    </row>
    <row r="4316" spans="3:13" ht="12.75" customHeight="1" x14ac:dyDescent="0.2">
      <c r="C4316"/>
      <c r="M4316"/>
    </row>
    <row r="4317" spans="3:13" ht="12.75" customHeight="1" x14ac:dyDescent="0.2">
      <c r="C4317"/>
      <c r="M4317"/>
    </row>
    <row r="4318" spans="3:13" ht="12.75" customHeight="1" x14ac:dyDescent="0.2">
      <c r="C4318"/>
      <c r="M4318"/>
    </row>
    <row r="4319" spans="3:13" ht="12.75" customHeight="1" x14ac:dyDescent="0.2">
      <c r="C4319"/>
      <c r="M4319"/>
    </row>
    <row r="4320" spans="3:13" ht="12.75" customHeight="1" x14ac:dyDescent="0.2">
      <c r="C4320"/>
      <c r="M4320"/>
    </row>
    <row r="4321" spans="3:13" ht="12.75" customHeight="1" x14ac:dyDescent="0.2">
      <c r="C4321"/>
      <c r="M4321"/>
    </row>
    <row r="4322" spans="3:13" ht="12.75" customHeight="1" x14ac:dyDescent="0.2">
      <c r="C4322"/>
      <c r="M4322"/>
    </row>
    <row r="4323" spans="3:13" ht="12.75" customHeight="1" x14ac:dyDescent="0.2">
      <c r="C4323"/>
      <c r="M4323"/>
    </row>
    <row r="4324" spans="3:13" ht="12.75" customHeight="1" x14ac:dyDescent="0.2">
      <c r="C4324"/>
      <c r="M4324"/>
    </row>
    <row r="4325" spans="3:13" ht="12.75" customHeight="1" x14ac:dyDescent="0.2">
      <c r="C4325"/>
      <c r="M4325"/>
    </row>
    <row r="4326" spans="3:13" ht="12.75" customHeight="1" x14ac:dyDescent="0.2">
      <c r="C4326"/>
      <c r="M4326"/>
    </row>
    <row r="4327" spans="3:13" ht="12.75" customHeight="1" x14ac:dyDescent="0.2">
      <c r="C4327"/>
      <c r="M4327"/>
    </row>
    <row r="4328" spans="3:13" ht="12.75" customHeight="1" x14ac:dyDescent="0.2">
      <c r="C4328"/>
      <c r="M4328"/>
    </row>
    <row r="4329" spans="3:13" ht="12.75" customHeight="1" x14ac:dyDescent="0.2">
      <c r="C4329"/>
      <c r="M4329"/>
    </row>
    <row r="4330" spans="3:13" ht="12.75" customHeight="1" x14ac:dyDescent="0.2">
      <c r="C4330"/>
      <c r="M4330"/>
    </row>
    <row r="4331" spans="3:13" ht="12.75" customHeight="1" x14ac:dyDescent="0.2">
      <c r="C4331"/>
      <c r="M4331"/>
    </row>
    <row r="4332" spans="3:13" ht="12.75" customHeight="1" x14ac:dyDescent="0.2">
      <c r="C4332"/>
      <c r="M4332"/>
    </row>
    <row r="4333" spans="3:13" ht="12.75" customHeight="1" x14ac:dyDescent="0.2">
      <c r="C4333"/>
      <c r="M4333"/>
    </row>
    <row r="4334" spans="3:13" ht="12.75" customHeight="1" x14ac:dyDescent="0.2">
      <c r="C4334"/>
      <c r="M4334"/>
    </row>
    <row r="4335" spans="3:13" ht="12.75" customHeight="1" x14ac:dyDescent="0.2">
      <c r="C4335"/>
      <c r="M4335"/>
    </row>
    <row r="4336" spans="3:13" ht="12.75" customHeight="1" x14ac:dyDescent="0.2">
      <c r="C4336"/>
      <c r="M4336"/>
    </row>
    <row r="4337" spans="3:13" ht="12.75" customHeight="1" x14ac:dyDescent="0.2">
      <c r="C4337"/>
      <c r="M4337"/>
    </row>
    <row r="4338" spans="3:13" ht="12.75" customHeight="1" x14ac:dyDescent="0.2">
      <c r="C4338"/>
      <c r="M4338"/>
    </row>
    <row r="4339" spans="3:13" ht="12.75" customHeight="1" x14ac:dyDescent="0.2">
      <c r="C4339"/>
      <c r="M4339"/>
    </row>
    <row r="4340" spans="3:13" ht="12.75" customHeight="1" x14ac:dyDescent="0.2">
      <c r="C4340"/>
      <c r="M4340"/>
    </row>
    <row r="4341" spans="3:13" ht="12.75" customHeight="1" x14ac:dyDescent="0.2">
      <c r="C4341"/>
      <c r="M4341"/>
    </row>
    <row r="4342" spans="3:13" ht="12.75" customHeight="1" x14ac:dyDescent="0.2">
      <c r="C4342"/>
      <c r="M4342"/>
    </row>
    <row r="4343" spans="3:13" ht="12.75" customHeight="1" x14ac:dyDescent="0.2">
      <c r="C4343"/>
      <c r="M4343"/>
    </row>
    <row r="4344" spans="3:13" ht="12.75" customHeight="1" x14ac:dyDescent="0.2">
      <c r="C4344"/>
      <c r="M4344"/>
    </row>
    <row r="4345" spans="3:13" ht="12.75" customHeight="1" x14ac:dyDescent="0.2">
      <c r="C4345"/>
      <c r="M4345"/>
    </row>
    <row r="4346" spans="3:13" ht="12.75" customHeight="1" x14ac:dyDescent="0.2">
      <c r="C4346"/>
      <c r="M4346"/>
    </row>
    <row r="4347" spans="3:13" ht="12.75" customHeight="1" x14ac:dyDescent="0.2">
      <c r="C4347"/>
      <c r="M4347"/>
    </row>
    <row r="4348" spans="3:13" ht="12.75" customHeight="1" x14ac:dyDescent="0.2">
      <c r="C4348"/>
      <c r="M4348"/>
    </row>
    <row r="4349" spans="3:13" ht="12.75" customHeight="1" x14ac:dyDescent="0.2">
      <c r="C4349"/>
      <c r="M4349"/>
    </row>
    <row r="4350" spans="3:13" ht="12.75" customHeight="1" x14ac:dyDescent="0.2">
      <c r="C4350"/>
      <c r="M4350"/>
    </row>
    <row r="4351" spans="3:13" ht="12.75" customHeight="1" x14ac:dyDescent="0.2">
      <c r="C4351"/>
      <c r="M4351"/>
    </row>
    <row r="4352" spans="3:13" ht="12.75" customHeight="1" x14ac:dyDescent="0.2">
      <c r="C4352"/>
      <c r="M4352"/>
    </row>
    <row r="4353" spans="3:13" ht="12.75" customHeight="1" x14ac:dyDescent="0.2">
      <c r="C4353"/>
      <c r="M4353"/>
    </row>
    <row r="4354" spans="3:13" ht="12.75" customHeight="1" x14ac:dyDescent="0.2">
      <c r="C4354"/>
      <c r="M4354"/>
    </row>
    <row r="4355" spans="3:13" ht="12.75" customHeight="1" x14ac:dyDescent="0.2">
      <c r="C4355"/>
      <c r="M4355"/>
    </row>
    <row r="4356" spans="3:13" ht="12.75" customHeight="1" x14ac:dyDescent="0.2">
      <c r="C4356"/>
      <c r="M4356"/>
    </row>
    <row r="4357" spans="3:13" ht="12.75" customHeight="1" x14ac:dyDescent="0.2">
      <c r="C4357"/>
      <c r="M4357"/>
    </row>
    <row r="4358" spans="3:13" ht="12.75" customHeight="1" x14ac:dyDescent="0.2">
      <c r="C4358"/>
      <c r="M4358"/>
    </row>
    <row r="4359" spans="3:13" ht="12.75" customHeight="1" x14ac:dyDescent="0.2">
      <c r="C4359"/>
      <c r="M4359"/>
    </row>
    <row r="4360" spans="3:13" ht="12.75" customHeight="1" x14ac:dyDescent="0.2">
      <c r="C4360"/>
      <c r="M4360"/>
    </row>
    <row r="4361" spans="3:13" ht="12.75" customHeight="1" x14ac:dyDescent="0.2">
      <c r="C4361"/>
      <c r="M4361"/>
    </row>
    <row r="4362" spans="3:13" ht="12.75" customHeight="1" x14ac:dyDescent="0.2">
      <c r="C4362"/>
      <c r="M4362"/>
    </row>
    <row r="4363" spans="3:13" ht="12.75" customHeight="1" x14ac:dyDescent="0.2">
      <c r="C4363"/>
      <c r="M4363"/>
    </row>
    <row r="4364" spans="3:13" ht="12.75" customHeight="1" x14ac:dyDescent="0.2">
      <c r="C4364"/>
      <c r="M4364"/>
    </row>
    <row r="4365" spans="3:13" ht="12.75" customHeight="1" x14ac:dyDescent="0.2">
      <c r="C4365"/>
      <c r="M4365"/>
    </row>
    <row r="4366" spans="3:13" ht="12.75" customHeight="1" x14ac:dyDescent="0.2">
      <c r="C4366"/>
      <c r="M4366"/>
    </row>
    <row r="4367" spans="3:13" ht="12.75" customHeight="1" x14ac:dyDescent="0.2">
      <c r="C4367"/>
      <c r="M4367"/>
    </row>
    <row r="4368" spans="3:13" ht="12.75" customHeight="1" x14ac:dyDescent="0.2">
      <c r="C4368"/>
      <c r="M4368"/>
    </row>
    <row r="4369" spans="3:13" ht="12.75" customHeight="1" x14ac:dyDescent="0.2">
      <c r="C4369"/>
      <c r="M4369"/>
    </row>
    <row r="4370" spans="3:13" ht="12.75" customHeight="1" x14ac:dyDescent="0.2">
      <c r="C4370"/>
      <c r="M4370"/>
    </row>
    <row r="4371" spans="3:13" ht="12.75" customHeight="1" x14ac:dyDescent="0.2">
      <c r="C4371"/>
      <c r="M4371"/>
    </row>
    <row r="4372" spans="3:13" ht="12.75" customHeight="1" x14ac:dyDescent="0.2">
      <c r="C4372"/>
      <c r="M4372"/>
    </row>
    <row r="4373" spans="3:13" ht="12.75" customHeight="1" x14ac:dyDescent="0.2">
      <c r="C4373"/>
      <c r="M4373"/>
    </row>
    <row r="4374" spans="3:13" ht="12.75" customHeight="1" x14ac:dyDescent="0.2">
      <c r="C4374"/>
      <c r="M4374"/>
    </row>
    <row r="4375" spans="3:13" ht="12.75" customHeight="1" x14ac:dyDescent="0.2">
      <c r="C4375"/>
      <c r="M4375"/>
    </row>
    <row r="4376" spans="3:13" ht="12.75" customHeight="1" x14ac:dyDescent="0.2">
      <c r="C4376"/>
      <c r="M4376"/>
    </row>
    <row r="4377" spans="3:13" ht="12.75" customHeight="1" x14ac:dyDescent="0.2">
      <c r="C4377"/>
      <c r="M4377"/>
    </row>
    <row r="4378" spans="3:13" ht="12.75" customHeight="1" x14ac:dyDescent="0.2">
      <c r="C4378"/>
      <c r="M4378"/>
    </row>
    <row r="4379" spans="3:13" ht="12.75" customHeight="1" x14ac:dyDescent="0.2">
      <c r="C4379"/>
      <c r="M4379"/>
    </row>
    <row r="4380" spans="3:13" ht="12.75" customHeight="1" x14ac:dyDescent="0.2">
      <c r="C4380"/>
      <c r="M4380"/>
    </row>
    <row r="4381" spans="3:13" ht="12.75" customHeight="1" x14ac:dyDescent="0.2">
      <c r="C4381"/>
      <c r="M4381"/>
    </row>
    <row r="4382" spans="3:13" ht="12.75" customHeight="1" x14ac:dyDescent="0.2">
      <c r="C4382"/>
      <c r="M4382"/>
    </row>
    <row r="4383" spans="3:13" ht="12.75" customHeight="1" x14ac:dyDescent="0.2">
      <c r="C4383"/>
      <c r="M4383"/>
    </row>
    <row r="4384" spans="3:13" ht="12.75" customHeight="1" x14ac:dyDescent="0.2">
      <c r="C4384"/>
      <c r="M4384"/>
    </row>
    <row r="4385" spans="3:13" ht="12.75" customHeight="1" x14ac:dyDescent="0.2">
      <c r="C4385"/>
      <c r="M4385"/>
    </row>
    <row r="4386" spans="3:13" ht="12.75" customHeight="1" x14ac:dyDescent="0.2">
      <c r="C4386"/>
      <c r="M4386"/>
    </row>
    <row r="4387" spans="3:13" ht="12.75" customHeight="1" x14ac:dyDescent="0.2">
      <c r="C4387"/>
      <c r="M4387"/>
    </row>
    <row r="4388" spans="3:13" ht="12.75" customHeight="1" x14ac:dyDescent="0.2">
      <c r="C4388"/>
      <c r="M4388"/>
    </row>
    <row r="4389" spans="3:13" ht="12.75" customHeight="1" x14ac:dyDescent="0.2">
      <c r="C4389"/>
      <c r="M4389"/>
    </row>
    <row r="4390" spans="3:13" ht="12.75" customHeight="1" x14ac:dyDescent="0.2">
      <c r="C4390"/>
      <c r="M4390"/>
    </row>
    <row r="4391" spans="3:13" ht="12.75" customHeight="1" x14ac:dyDescent="0.2">
      <c r="C4391"/>
      <c r="M4391"/>
    </row>
    <row r="4392" spans="3:13" ht="12.75" customHeight="1" x14ac:dyDescent="0.2">
      <c r="C4392"/>
      <c r="M4392"/>
    </row>
    <row r="4393" spans="3:13" ht="12.75" customHeight="1" x14ac:dyDescent="0.2">
      <c r="C4393"/>
      <c r="M4393"/>
    </row>
    <row r="4394" spans="3:13" ht="12.75" customHeight="1" x14ac:dyDescent="0.2">
      <c r="C4394"/>
      <c r="M4394"/>
    </row>
    <row r="4395" spans="3:13" ht="12.75" customHeight="1" x14ac:dyDescent="0.2">
      <c r="C4395"/>
      <c r="M4395"/>
    </row>
    <row r="4396" spans="3:13" ht="12.75" customHeight="1" x14ac:dyDescent="0.2">
      <c r="C4396"/>
      <c r="M4396"/>
    </row>
    <row r="4397" spans="3:13" ht="12.75" customHeight="1" x14ac:dyDescent="0.2">
      <c r="C4397"/>
      <c r="M4397"/>
    </row>
    <row r="4398" spans="3:13" ht="12.75" customHeight="1" x14ac:dyDescent="0.2">
      <c r="C4398"/>
      <c r="M4398"/>
    </row>
    <row r="4399" spans="3:13" ht="12.75" customHeight="1" x14ac:dyDescent="0.2">
      <c r="C4399"/>
      <c r="M4399"/>
    </row>
    <row r="4400" spans="3:13" ht="12.75" customHeight="1" x14ac:dyDescent="0.2">
      <c r="C4400"/>
      <c r="M4400"/>
    </row>
    <row r="4401" spans="3:13" ht="12.75" customHeight="1" x14ac:dyDescent="0.2">
      <c r="C4401"/>
      <c r="M4401"/>
    </row>
    <row r="4402" spans="3:13" ht="12.75" customHeight="1" x14ac:dyDescent="0.2">
      <c r="C4402"/>
      <c r="M4402"/>
    </row>
    <row r="4403" spans="3:13" ht="12.75" customHeight="1" x14ac:dyDescent="0.2">
      <c r="C4403"/>
      <c r="M4403"/>
    </row>
    <row r="4404" spans="3:13" ht="12.75" customHeight="1" x14ac:dyDescent="0.2">
      <c r="C4404"/>
      <c r="M4404"/>
    </row>
    <row r="4405" spans="3:13" ht="12.75" customHeight="1" x14ac:dyDescent="0.2">
      <c r="C4405"/>
      <c r="M4405"/>
    </row>
    <row r="4406" spans="3:13" ht="12.75" customHeight="1" x14ac:dyDescent="0.2">
      <c r="C4406"/>
      <c r="M4406"/>
    </row>
    <row r="4407" spans="3:13" ht="12.75" customHeight="1" x14ac:dyDescent="0.2">
      <c r="C4407"/>
      <c r="M4407"/>
    </row>
    <row r="4408" spans="3:13" ht="12.75" customHeight="1" x14ac:dyDescent="0.2">
      <c r="C4408"/>
      <c r="M4408"/>
    </row>
    <row r="4409" spans="3:13" ht="12.75" customHeight="1" x14ac:dyDescent="0.2">
      <c r="C4409"/>
      <c r="M4409"/>
    </row>
    <row r="4410" spans="3:13" ht="12.75" customHeight="1" x14ac:dyDescent="0.2">
      <c r="C4410"/>
      <c r="M4410"/>
    </row>
    <row r="4411" spans="3:13" ht="12.75" customHeight="1" x14ac:dyDescent="0.2">
      <c r="C4411"/>
      <c r="M4411"/>
    </row>
    <row r="4412" spans="3:13" ht="12.75" customHeight="1" x14ac:dyDescent="0.2">
      <c r="C4412"/>
      <c r="M4412"/>
    </row>
    <row r="4413" spans="3:13" ht="12.75" customHeight="1" x14ac:dyDescent="0.2">
      <c r="C4413"/>
      <c r="M4413"/>
    </row>
    <row r="4414" spans="3:13" ht="12.75" customHeight="1" x14ac:dyDescent="0.2">
      <c r="C4414"/>
      <c r="M4414"/>
    </row>
    <row r="4415" spans="3:13" ht="12.75" customHeight="1" x14ac:dyDescent="0.2">
      <c r="C4415"/>
      <c r="M4415"/>
    </row>
    <row r="4416" spans="3:13" ht="12.75" customHeight="1" x14ac:dyDescent="0.2">
      <c r="C4416"/>
      <c r="M4416"/>
    </row>
    <row r="4417" spans="3:13" ht="12.75" customHeight="1" x14ac:dyDescent="0.2">
      <c r="C4417"/>
      <c r="M4417"/>
    </row>
    <row r="4418" spans="3:13" ht="12.75" customHeight="1" x14ac:dyDescent="0.2">
      <c r="C4418"/>
      <c r="M4418"/>
    </row>
    <row r="4419" spans="3:13" ht="12.75" customHeight="1" x14ac:dyDescent="0.2">
      <c r="C4419"/>
      <c r="M4419"/>
    </row>
    <row r="4420" spans="3:13" ht="12.75" customHeight="1" x14ac:dyDescent="0.2">
      <c r="C4420"/>
      <c r="M4420"/>
    </row>
    <row r="4421" spans="3:13" ht="12.75" customHeight="1" x14ac:dyDescent="0.2">
      <c r="C4421"/>
      <c r="M4421"/>
    </row>
    <row r="4422" spans="3:13" ht="12.75" customHeight="1" x14ac:dyDescent="0.2">
      <c r="C4422"/>
      <c r="M4422"/>
    </row>
    <row r="4423" spans="3:13" ht="12.75" customHeight="1" x14ac:dyDescent="0.2">
      <c r="C4423"/>
      <c r="M4423"/>
    </row>
    <row r="4424" spans="3:13" ht="12.75" customHeight="1" x14ac:dyDescent="0.2">
      <c r="C4424"/>
      <c r="M4424"/>
    </row>
    <row r="4425" spans="3:13" ht="12.75" customHeight="1" x14ac:dyDescent="0.2">
      <c r="C4425"/>
      <c r="M4425"/>
    </row>
    <row r="4426" spans="3:13" ht="12.75" customHeight="1" x14ac:dyDescent="0.2">
      <c r="C4426"/>
      <c r="M4426"/>
    </row>
    <row r="4427" spans="3:13" ht="12.75" customHeight="1" x14ac:dyDescent="0.2">
      <c r="C4427"/>
      <c r="M4427"/>
    </row>
    <row r="4428" spans="3:13" ht="12.75" customHeight="1" x14ac:dyDescent="0.2">
      <c r="C4428"/>
      <c r="M4428"/>
    </row>
    <row r="4429" spans="3:13" ht="12.75" customHeight="1" x14ac:dyDescent="0.2">
      <c r="C4429"/>
      <c r="M4429"/>
    </row>
    <row r="4430" spans="3:13" ht="12.75" customHeight="1" x14ac:dyDescent="0.2">
      <c r="C4430"/>
      <c r="M4430"/>
    </row>
    <row r="4431" spans="3:13" ht="12.75" customHeight="1" x14ac:dyDescent="0.2">
      <c r="C4431"/>
      <c r="M4431"/>
    </row>
    <row r="4432" spans="3:13" ht="12.75" customHeight="1" x14ac:dyDescent="0.2">
      <c r="C4432"/>
      <c r="M4432"/>
    </row>
    <row r="4433" spans="3:13" ht="12.75" customHeight="1" x14ac:dyDescent="0.2">
      <c r="C4433"/>
      <c r="M4433"/>
    </row>
    <row r="4434" spans="3:13" ht="12.75" customHeight="1" x14ac:dyDescent="0.2">
      <c r="C4434"/>
      <c r="M4434"/>
    </row>
    <row r="4435" spans="3:13" ht="12.75" customHeight="1" x14ac:dyDescent="0.2">
      <c r="C4435"/>
      <c r="M4435"/>
    </row>
    <row r="4436" spans="3:13" ht="12.75" customHeight="1" x14ac:dyDescent="0.2">
      <c r="C4436"/>
      <c r="M4436"/>
    </row>
    <row r="4437" spans="3:13" ht="12.75" customHeight="1" x14ac:dyDescent="0.2">
      <c r="C4437"/>
      <c r="M4437"/>
    </row>
    <row r="4438" spans="3:13" ht="12.75" customHeight="1" x14ac:dyDescent="0.2">
      <c r="C4438"/>
      <c r="M4438"/>
    </row>
    <row r="4439" spans="3:13" ht="12.75" customHeight="1" x14ac:dyDescent="0.2">
      <c r="C4439"/>
      <c r="M4439"/>
    </row>
    <row r="4440" spans="3:13" ht="12.75" customHeight="1" x14ac:dyDescent="0.2">
      <c r="C4440"/>
      <c r="M4440"/>
    </row>
    <row r="4441" spans="3:13" ht="12.75" customHeight="1" x14ac:dyDescent="0.2">
      <c r="C4441"/>
      <c r="M4441"/>
    </row>
    <row r="4442" spans="3:13" ht="12.75" customHeight="1" x14ac:dyDescent="0.2">
      <c r="C4442"/>
      <c r="M4442"/>
    </row>
    <row r="4443" spans="3:13" ht="12.75" customHeight="1" x14ac:dyDescent="0.2">
      <c r="C4443"/>
      <c r="M4443"/>
    </row>
    <row r="4444" spans="3:13" ht="12.75" customHeight="1" x14ac:dyDescent="0.2">
      <c r="C4444"/>
      <c r="M4444"/>
    </row>
    <row r="4445" spans="3:13" ht="12.75" customHeight="1" x14ac:dyDescent="0.2">
      <c r="C4445"/>
      <c r="M4445"/>
    </row>
    <row r="4446" spans="3:13" ht="12.75" customHeight="1" x14ac:dyDescent="0.2">
      <c r="C4446"/>
      <c r="M4446"/>
    </row>
    <row r="4447" spans="3:13" ht="12.75" customHeight="1" x14ac:dyDescent="0.2">
      <c r="C4447"/>
      <c r="M4447"/>
    </row>
    <row r="4448" spans="3:13" ht="12.75" customHeight="1" x14ac:dyDescent="0.2">
      <c r="C4448"/>
      <c r="M4448"/>
    </row>
    <row r="4449" spans="3:13" ht="12.75" customHeight="1" x14ac:dyDescent="0.2">
      <c r="C4449"/>
      <c r="M4449"/>
    </row>
    <row r="4450" spans="3:13" ht="12.75" customHeight="1" x14ac:dyDescent="0.2">
      <c r="C4450"/>
      <c r="M4450"/>
    </row>
    <row r="4451" spans="3:13" ht="12.75" customHeight="1" x14ac:dyDescent="0.2">
      <c r="C4451"/>
      <c r="M4451"/>
    </row>
    <row r="4452" spans="3:13" ht="12.75" customHeight="1" x14ac:dyDescent="0.2">
      <c r="C4452"/>
      <c r="M4452"/>
    </row>
    <row r="4453" spans="3:13" ht="12.75" customHeight="1" x14ac:dyDescent="0.2">
      <c r="C4453"/>
      <c r="M4453"/>
    </row>
    <row r="4454" spans="3:13" ht="12.75" customHeight="1" x14ac:dyDescent="0.2">
      <c r="C4454"/>
      <c r="M4454"/>
    </row>
    <row r="4455" spans="3:13" ht="12.75" customHeight="1" x14ac:dyDescent="0.2">
      <c r="C4455"/>
      <c r="M4455"/>
    </row>
    <row r="4456" spans="3:13" ht="12.75" customHeight="1" x14ac:dyDescent="0.2">
      <c r="C4456"/>
      <c r="M4456"/>
    </row>
    <row r="4457" spans="3:13" ht="12.75" customHeight="1" x14ac:dyDescent="0.2">
      <c r="C4457"/>
      <c r="M4457"/>
    </row>
    <row r="4458" spans="3:13" ht="12.75" customHeight="1" x14ac:dyDescent="0.2">
      <c r="C4458"/>
      <c r="M4458"/>
    </row>
    <row r="4459" spans="3:13" ht="12.75" customHeight="1" x14ac:dyDescent="0.2">
      <c r="C4459"/>
      <c r="M4459"/>
    </row>
    <row r="4460" spans="3:13" ht="12.75" customHeight="1" x14ac:dyDescent="0.2">
      <c r="C4460"/>
      <c r="M4460"/>
    </row>
    <row r="4461" spans="3:13" ht="12.75" customHeight="1" x14ac:dyDescent="0.2">
      <c r="C4461"/>
      <c r="M4461"/>
    </row>
    <row r="4462" spans="3:13" ht="12.75" customHeight="1" x14ac:dyDescent="0.2">
      <c r="C4462"/>
      <c r="M4462"/>
    </row>
    <row r="4463" spans="3:13" ht="12.75" customHeight="1" x14ac:dyDescent="0.2">
      <c r="C4463"/>
      <c r="M4463"/>
    </row>
    <row r="4464" spans="3:13" ht="12.75" customHeight="1" x14ac:dyDescent="0.2">
      <c r="C4464"/>
      <c r="M4464"/>
    </row>
    <row r="4465" spans="3:13" ht="12.75" customHeight="1" x14ac:dyDescent="0.2">
      <c r="C4465"/>
      <c r="M4465"/>
    </row>
    <row r="4466" spans="3:13" ht="12.75" customHeight="1" x14ac:dyDescent="0.2">
      <c r="C4466"/>
      <c r="M4466"/>
    </row>
    <row r="4467" spans="3:13" ht="12.75" customHeight="1" x14ac:dyDescent="0.2">
      <c r="C4467"/>
      <c r="M4467"/>
    </row>
    <row r="4468" spans="3:13" ht="12.75" customHeight="1" x14ac:dyDescent="0.2">
      <c r="C4468"/>
      <c r="M4468"/>
    </row>
    <row r="4469" spans="3:13" ht="12.75" customHeight="1" x14ac:dyDescent="0.2">
      <c r="C4469"/>
      <c r="M4469"/>
    </row>
    <row r="4470" spans="3:13" ht="12.75" customHeight="1" x14ac:dyDescent="0.2">
      <c r="C4470"/>
      <c r="M4470"/>
    </row>
    <row r="4471" spans="3:13" ht="12.75" customHeight="1" x14ac:dyDescent="0.2">
      <c r="C4471"/>
      <c r="M4471"/>
    </row>
    <row r="4472" spans="3:13" ht="12.75" customHeight="1" x14ac:dyDescent="0.2">
      <c r="C4472"/>
      <c r="M4472"/>
    </row>
    <row r="4473" spans="3:13" ht="12.75" customHeight="1" x14ac:dyDescent="0.2">
      <c r="C4473"/>
      <c r="M4473"/>
    </row>
    <row r="4474" spans="3:13" ht="12.75" customHeight="1" x14ac:dyDescent="0.2">
      <c r="C4474"/>
      <c r="M4474"/>
    </row>
    <row r="4475" spans="3:13" ht="12.75" customHeight="1" x14ac:dyDescent="0.2">
      <c r="C4475"/>
      <c r="M4475"/>
    </row>
    <row r="4476" spans="3:13" ht="12.75" customHeight="1" x14ac:dyDescent="0.2">
      <c r="C4476"/>
      <c r="M4476"/>
    </row>
    <row r="4477" spans="3:13" ht="12.75" customHeight="1" x14ac:dyDescent="0.2">
      <c r="C4477"/>
      <c r="M4477"/>
    </row>
    <row r="4478" spans="3:13" ht="12.75" customHeight="1" x14ac:dyDescent="0.2">
      <c r="C4478"/>
      <c r="M4478"/>
    </row>
    <row r="4479" spans="3:13" ht="12.75" customHeight="1" x14ac:dyDescent="0.2">
      <c r="C4479"/>
      <c r="M4479"/>
    </row>
    <row r="4480" spans="3:13" ht="12.75" customHeight="1" x14ac:dyDescent="0.2">
      <c r="C4480"/>
      <c r="M4480"/>
    </row>
    <row r="4481" spans="3:13" ht="12.75" customHeight="1" x14ac:dyDescent="0.2">
      <c r="C4481"/>
      <c r="M4481"/>
    </row>
    <row r="4482" spans="3:13" ht="12.75" customHeight="1" x14ac:dyDescent="0.2">
      <c r="C4482"/>
      <c r="M4482"/>
    </row>
    <row r="4483" spans="3:13" ht="12.75" customHeight="1" x14ac:dyDescent="0.2">
      <c r="C4483"/>
      <c r="M4483"/>
    </row>
    <row r="4484" spans="3:13" ht="12.75" customHeight="1" x14ac:dyDescent="0.2">
      <c r="C4484"/>
      <c r="M4484"/>
    </row>
    <row r="4485" spans="3:13" ht="12.75" customHeight="1" x14ac:dyDescent="0.2">
      <c r="C4485"/>
      <c r="M4485"/>
    </row>
    <row r="4486" spans="3:13" ht="12.75" customHeight="1" x14ac:dyDescent="0.2">
      <c r="C4486"/>
      <c r="M4486"/>
    </row>
    <row r="4487" spans="3:13" ht="12.75" customHeight="1" x14ac:dyDescent="0.2">
      <c r="C4487"/>
      <c r="M4487"/>
    </row>
    <row r="4488" spans="3:13" ht="12.75" customHeight="1" x14ac:dyDescent="0.2">
      <c r="C4488"/>
      <c r="M4488"/>
    </row>
    <row r="4489" spans="3:13" ht="12.75" customHeight="1" x14ac:dyDescent="0.2">
      <c r="C4489"/>
      <c r="M4489"/>
    </row>
    <row r="4490" spans="3:13" ht="12.75" customHeight="1" x14ac:dyDescent="0.2">
      <c r="C4490"/>
      <c r="M4490"/>
    </row>
    <row r="4491" spans="3:13" ht="12.75" customHeight="1" x14ac:dyDescent="0.2">
      <c r="C4491"/>
      <c r="M4491"/>
    </row>
    <row r="4492" spans="3:13" ht="12.75" customHeight="1" x14ac:dyDescent="0.2">
      <c r="C4492"/>
      <c r="M4492"/>
    </row>
    <row r="4493" spans="3:13" ht="12.75" customHeight="1" x14ac:dyDescent="0.2">
      <c r="C4493"/>
      <c r="M4493"/>
    </row>
    <row r="4494" spans="3:13" ht="12.75" customHeight="1" x14ac:dyDescent="0.2">
      <c r="C4494"/>
      <c r="M4494"/>
    </row>
    <row r="4495" spans="3:13" ht="12.75" customHeight="1" x14ac:dyDescent="0.2">
      <c r="C4495"/>
      <c r="M4495"/>
    </row>
    <row r="4496" spans="3:13" ht="12.75" customHeight="1" x14ac:dyDescent="0.2">
      <c r="C4496"/>
      <c r="M4496"/>
    </row>
    <row r="4497" spans="3:13" ht="12.75" customHeight="1" x14ac:dyDescent="0.2">
      <c r="C4497"/>
      <c r="M4497"/>
    </row>
    <row r="4498" spans="3:13" ht="12.75" customHeight="1" x14ac:dyDescent="0.2">
      <c r="C4498"/>
      <c r="M4498"/>
    </row>
    <row r="4499" spans="3:13" ht="12.75" customHeight="1" x14ac:dyDescent="0.2">
      <c r="C4499"/>
      <c r="M4499"/>
    </row>
    <row r="4500" spans="3:13" ht="12.75" customHeight="1" x14ac:dyDescent="0.2">
      <c r="C4500"/>
      <c r="M4500"/>
    </row>
    <row r="4501" spans="3:13" ht="12.75" customHeight="1" x14ac:dyDescent="0.2">
      <c r="C4501"/>
      <c r="M4501"/>
    </row>
    <row r="4502" spans="3:13" ht="12.75" customHeight="1" x14ac:dyDescent="0.2">
      <c r="C4502"/>
      <c r="M4502"/>
    </row>
    <row r="4503" spans="3:13" ht="12.75" customHeight="1" x14ac:dyDescent="0.2">
      <c r="C4503"/>
      <c r="M4503"/>
    </row>
    <row r="4504" spans="3:13" ht="12.75" customHeight="1" x14ac:dyDescent="0.2">
      <c r="C4504"/>
      <c r="M4504"/>
    </row>
    <row r="4505" spans="3:13" ht="12.75" customHeight="1" x14ac:dyDescent="0.2">
      <c r="C4505"/>
      <c r="M4505"/>
    </row>
    <row r="4506" spans="3:13" ht="12.75" customHeight="1" x14ac:dyDescent="0.2">
      <c r="C4506"/>
      <c r="M4506"/>
    </row>
    <row r="4507" spans="3:13" ht="12.75" customHeight="1" x14ac:dyDescent="0.2">
      <c r="C4507"/>
      <c r="M4507"/>
    </row>
    <row r="4508" spans="3:13" ht="12.75" customHeight="1" x14ac:dyDescent="0.2">
      <c r="C4508"/>
      <c r="M4508"/>
    </row>
    <row r="4509" spans="3:13" ht="12.75" customHeight="1" x14ac:dyDescent="0.2">
      <c r="C4509"/>
      <c r="M4509"/>
    </row>
    <row r="4510" spans="3:13" ht="12.75" customHeight="1" x14ac:dyDescent="0.2">
      <c r="C4510"/>
      <c r="M4510"/>
    </row>
    <row r="4511" spans="3:13" ht="12.75" customHeight="1" x14ac:dyDescent="0.2">
      <c r="C4511"/>
      <c r="M4511"/>
    </row>
    <row r="4512" spans="3:13" ht="12.75" customHeight="1" x14ac:dyDescent="0.2">
      <c r="C4512"/>
      <c r="M4512"/>
    </row>
    <row r="4513" spans="3:13" ht="12.75" customHeight="1" x14ac:dyDescent="0.2">
      <c r="C4513"/>
      <c r="M4513"/>
    </row>
    <row r="4514" spans="3:13" ht="12.75" customHeight="1" x14ac:dyDescent="0.2">
      <c r="C4514"/>
      <c r="M4514"/>
    </row>
    <row r="4515" spans="3:13" ht="12.75" customHeight="1" x14ac:dyDescent="0.2">
      <c r="C4515"/>
      <c r="M4515"/>
    </row>
    <row r="4516" spans="3:13" ht="12.75" customHeight="1" x14ac:dyDescent="0.2">
      <c r="C4516"/>
      <c r="M4516"/>
    </row>
    <row r="4517" spans="3:13" ht="12.75" customHeight="1" x14ac:dyDescent="0.2">
      <c r="C4517"/>
      <c r="M4517"/>
    </row>
    <row r="4518" spans="3:13" ht="12.75" customHeight="1" x14ac:dyDescent="0.2">
      <c r="C4518"/>
      <c r="M4518"/>
    </row>
    <row r="4519" spans="3:13" ht="12.75" customHeight="1" x14ac:dyDescent="0.2">
      <c r="C4519"/>
      <c r="M4519"/>
    </row>
    <row r="4520" spans="3:13" ht="12.75" customHeight="1" x14ac:dyDescent="0.2">
      <c r="C4520"/>
      <c r="M4520"/>
    </row>
    <row r="4521" spans="3:13" ht="12.75" customHeight="1" x14ac:dyDescent="0.2">
      <c r="C4521"/>
      <c r="M4521"/>
    </row>
    <row r="4522" spans="3:13" ht="12.75" customHeight="1" x14ac:dyDescent="0.2">
      <c r="C4522"/>
      <c r="M4522"/>
    </row>
    <row r="4523" spans="3:13" ht="12.75" customHeight="1" x14ac:dyDescent="0.2">
      <c r="C4523"/>
      <c r="M4523"/>
    </row>
    <row r="4524" spans="3:13" ht="12.75" customHeight="1" x14ac:dyDescent="0.2">
      <c r="C4524"/>
      <c r="M4524"/>
    </row>
    <row r="4525" spans="3:13" ht="12.75" customHeight="1" x14ac:dyDescent="0.2">
      <c r="C4525"/>
      <c r="M4525"/>
    </row>
    <row r="4526" spans="3:13" ht="12.75" customHeight="1" x14ac:dyDescent="0.2">
      <c r="C4526"/>
      <c r="M4526"/>
    </row>
    <row r="4527" spans="3:13" ht="12.75" customHeight="1" x14ac:dyDescent="0.2">
      <c r="C4527"/>
      <c r="M4527"/>
    </row>
    <row r="4528" spans="3:13" ht="12.75" customHeight="1" x14ac:dyDescent="0.2">
      <c r="C4528"/>
      <c r="M4528"/>
    </row>
    <row r="4529" spans="3:13" ht="12.75" customHeight="1" x14ac:dyDescent="0.2">
      <c r="C4529"/>
      <c r="M4529"/>
    </row>
    <row r="4530" spans="3:13" ht="12.75" customHeight="1" x14ac:dyDescent="0.2">
      <c r="C4530"/>
      <c r="M4530"/>
    </row>
    <row r="4531" spans="3:13" ht="12.75" customHeight="1" x14ac:dyDescent="0.2">
      <c r="C4531"/>
      <c r="M4531"/>
    </row>
    <row r="4532" spans="3:13" ht="12.75" customHeight="1" x14ac:dyDescent="0.2">
      <c r="C4532"/>
      <c r="M4532"/>
    </row>
    <row r="4533" spans="3:13" ht="12.75" customHeight="1" x14ac:dyDescent="0.2">
      <c r="C4533"/>
      <c r="M4533"/>
    </row>
    <row r="4534" spans="3:13" ht="12.75" customHeight="1" x14ac:dyDescent="0.2">
      <c r="C4534"/>
      <c r="M4534"/>
    </row>
    <row r="4535" spans="3:13" ht="12.75" customHeight="1" x14ac:dyDescent="0.2">
      <c r="C4535"/>
      <c r="M4535"/>
    </row>
    <row r="4536" spans="3:13" ht="12.75" customHeight="1" x14ac:dyDescent="0.2">
      <c r="C4536"/>
      <c r="M4536"/>
    </row>
    <row r="4537" spans="3:13" ht="12.75" customHeight="1" x14ac:dyDescent="0.2">
      <c r="C4537"/>
      <c r="M4537"/>
    </row>
    <row r="4538" spans="3:13" ht="12.75" customHeight="1" x14ac:dyDescent="0.2">
      <c r="C4538"/>
      <c r="M4538"/>
    </row>
    <row r="4539" spans="3:13" ht="12.75" customHeight="1" x14ac:dyDescent="0.2">
      <c r="C4539"/>
      <c r="M4539"/>
    </row>
    <row r="4540" spans="3:13" ht="12.75" customHeight="1" x14ac:dyDescent="0.2">
      <c r="C4540"/>
      <c r="M4540"/>
    </row>
    <row r="4541" spans="3:13" ht="12.75" customHeight="1" x14ac:dyDescent="0.2">
      <c r="C4541"/>
      <c r="M4541"/>
    </row>
    <row r="4542" spans="3:13" ht="12.75" customHeight="1" x14ac:dyDescent="0.2">
      <c r="C4542"/>
      <c r="M4542"/>
    </row>
    <row r="4543" spans="3:13" ht="12.75" customHeight="1" x14ac:dyDescent="0.2">
      <c r="C4543"/>
      <c r="M4543"/>
    </row>
    <row r="4544" spans="3:13" ht="12.75" customHeight="1" x14ac:dyDescent="0.2">
      <c r="C4544"/>
      <c r="M4544"/>
    </row>
    <row r="4545" spans="3:13" ht="12.75" customHeight="1" x14ac:dyDescent="0.2">
      <c r="C4545"/>
      <c r="M4545"/>
    </row>
    <row r="4546" spans="3:13" ht="12.75" customHeight="1" x14ac:dyDescent="0.2">
      <c r="C4546"/>
      <c r="M4546"/>
    </row>
    <row r="4547" spans="3:13" ht="12.75" customHeight="1" x14ac:dyDescent="0.2">
      <c r="C4547"/>
      <c r="M4547"/>
    </row>
    <row r="4548" spans="3:13" ht="12.75" customHeight="1" x14ac:dyDescent="0.2">
      <c r="C4548"/>
      <c r="M4548"/>
    </row>
    <row r="4549" spans="3:13" ht="12.75" customHeight="1" x14ac:dyDescent="0.2">
      <c r="C4549"/>
      <c r="M4549"/>
    </row>
    <row r="4550" spans="3:13" ht="12.75" customHeight="1" x14ac:dyDescent="0.2">
      <c r="C4550"/>
      <c r="M4550"/>
    </row>
    <row r="4551" spans="3:13" ht="12.75" customHeight="1" x14ac:dyDescent="0.2">
      <c r="C4551"/>
      <c r="M4551"/>
    </row>
    <row r="4552" spans="3:13" ht="12.75" customHeight="1" x14ac:dyDescent="0.2">
      <c r="C4552"/>
      <c r="M4552"/>
    </row>
    <row r="4553" spans="3:13" ht="12.75" customHeight="1" x14ac:dyDescent="0.2">
      <c r="C4553"/>
      <c r="M4553"/>
    </row>
    <row r="4554" spans="3:13" ht="12.75" customHeight="1" x14ac:dyDescent="0.2">
      <c r="C4554"/>
      <c r="M4554"/>
    </row>
    <row r="4555" spans="3:13" ht="12.75" customHeight="1" x14ac:dyDescent="0.2">
      <c r="C4555"/>
      <c r="M4555"/>
    </row>
    <row r="4556" spans="3:13" ht="12.75" customHeight="1" x14ac:dyDescent="0.2">
      <c r="C4556"/>
      <c r="M4556"/>
    </row>
    <row r="4557" spans="3:13" ht="12.75" customHeight="1" x14ac:dyDescent="0.2">
      <c r="C4557"/>
      <c r="M4557"/>
    </row>
    <row r="4558" spans="3:13" ht="12.75" customHeight="1" x14ac:dyDescent="0.2">
      <c r="C4558"/>
      <c r="M4558"/>
    </row>
    <row r="4559" spans="3:13" ht="12.75" customHeight="1" x14ac:dyDescent="0.2">
      <c r="C4559"/>
      <c r="M4559"/>
    </row>
    <row r="4560" spans="3:13" ht="12.75" customHeight="1" x14ac:dyDescent="0.2">
      <c r="C4560"/>
      <c r="M4560"/>
    </row>
    <row r="4561" spans="3:13" ht="12.75" customHeight="1" x14ac:dyDescent="0.2">
      <c r="C4561"/>
      <c r="M4561"/>
    </row>
    <row r="4562" spans="3:13" ht="12.75" customHeight="1" x14ac:dyDescent="0.2">
      <c r="C4562"/>
      <c r="M4562"/>
    </row>
    <row r="4563" spans="3:13" ht="12.75" customHeight="1" x14ac:dyDescent="0.2">
      <c r="C4563"/>
      <c r="M4563"/>
    </row>
    <row r="4564" spans="3:13" ht="12.75" customHeight="1" x14ac:dyDescent="0.2">
      <c r="C4564"/>
      <c r="M4564"/>
    </row>
    <row r="4565" spans="3:13" ht="12.75" customHeight="1" x14ac:dyDescent="0.2">
      <c r="C4565"/>
      <c r="M4565"/>
    </row>
    <row r="4566" spans="3:13" ht="12.75" customHeight="1" x14ac:dyDescent="0.2">
      <c r="C4566"/>
      <c r="M4566"/>
    </row>
    <row r="4567" spans="3:13" ht="12.75" customHeight="1" x14ac:dyDescent="0.2">
      <c r="C4567"/>
      <c r="M4567"/>
    </row>
    <row r="4568" spans="3:13" ht="12.75" customHeight="1" x14ac:dyDescent="0.2">
      <c r="C4568"/>
      <c r="M4568"/>
    </row>
    <row r="4569" spans="3:13" ht="12.75" customHeight="1" x14ac:dyDescent="0.2">
      <c r="C4569"/>
      <c r="M4569"/>
    </row>
    <row r="4570" spans="3:13" ht="12.75" customHeight="1" x14ac:dyDescent="0.2">
      <c r="C4570"/>
      <c r="M4570"/>
    </row>
    <row r="4571" spans="3:13" ht="12.75" customHeight="1" x14ac:dyDescent="0.2">
      <c r="C4571"/>
      <c r="M4571"/>
    </row>
    <row r="4572" spans="3:13" ht="12.75" customHeight="1" x14ac:dyDescent="0.2">
      <c r="C4572"/>
      <c r="M4572"/>
    </row>
    <row r="4573" spans="3:13" ht="12.75" customHeight="1" x14ac:dyDescent="0.2">
      <c r="C4573"/>
      <c r="M4573"/>
    </row>
    <row r="4574" spans="3:13" ht="12.75" customHeight="1" x14ac:dyDescent="0.2">
      <c r="C4574"/>
      <c r="M4574"/>
    </row>
    <row r="4575" spans="3:13" ht="12.75" customHeight="1" x14ac:dyDescent="0.2">
      <c r="C4575"/>
      <c r="M4575"/>
    </row>
    <row r="4576" spans="3:13" ht="12.75" customHeight="1" x14ac:dyDescent="0.2">
      <c r="C4576"/>
      <c r="M4576"/>
    </row>
    <row r="4577" spans="3:13" ht="12.75" customHeight="1" x14ac:dyDescent="0.2">
      <c r="C4577"/>
      <c r="M4577"/>
    </row>
    <row r="4578" spans="3:13" ht="12.75" customHeight="1" x14ac:dyDescent="0.2">
      <c r="C4578"/>
      <c r="M4578"/>
    </row>
    <row r="4579" spans="3:13" ht="12.75" customHeight="1" x14ac:dyDescent="0.2">
      <c r="C4579"/>
      <c r="M4579"/>
    </row>
    <row r="4580" spans="3:13" ht="12.75" customHeight="1" x14ac:dyDescent="0.2">
      <c r="C4580"/>
      <c r="M4580"/>
    </row>
    <row r="4581" spans="3:13" ht="12.75" customHeight="1" x14ac:dyDescent="0.2">
      <c r="C4581"/>
      <c r="M4581"/>
    </row>
    <row r="4582" spans="3:13" ht="12.75" customHeight="1" x14ac:dyDescent="0.2">
      <c r="C4582"/>
      <c r="M4582"/>
    </row>
    <row r="4583" spans="3:13" ht="12.75" customHeight="1" x14ac:dyDescent="0.2">
      <c r="C4583"/>
      <c r="M4583"/>
    </row>
    <row r="4584" spans="3:13" ht="12.75" customHeight="1" x14ac:dyDescent="0.2">
      <c r="C4584"/>
      <c r="M4584"/>
    </row>
    <row r="4585" spans="3:13" ht="12.75" customHeight="1" x14ac:dyDescent="0.2">
      <c r="C4585"/>
      <c r="M4585"/>
    </row>
    <row r="4586" spans="3:13" ht="12.75" customHeight="1" x14ac:dyDescent="0.2">
      <c r="C4586"/>
      <c r="M4586"/>
    </row>
    <row r="4587" spans="3:13" ht="12.75" customHeight="1" x14ac:dyDescent="0.2">
      <c r="C4587"/>
      <c r="M4587"/>
    </row>
    <row r="4588" spans="3:13" ht="12.75" customHeight="1" x14ac:dyDescent="0.2">
      <c r="C4588"/>
      <c r="M4588"/>
    </row>
    <row r="4589" spans="3:13" ht="12.75" customHeight="1" x14ac:dyDescent="0.2">
      <c r="C4589"/>
      <c r="M4589"/>
    </row>
    <row r="4590" spans="3:13" ht="12.75" customHeight="1" x14ac:dyDescent="0.2">
      <c r="C4590"/>
      <c r="M4590"/>
    </row>
    <row r="4591" spans="3:13" ht="12.75" customHeight="1" x14ac:dyDescent="0.2">
      <c r="C4591"/>
      <c r="M4591"/>
    </row>
    <row r="4592" spans="3:13" ht="12.75" customHeight="1" x14ac:dyDescent="0.2">
      <c r="C4592"/>
      <c r="M4592"/>
    </row>
    <row r="4593" spans="3:13" ht="12.75" customHeight="1" x14ac:dyDescent="0.2">
      <c r="C4593"/>
      <c r="M4593"/>
    </row>
    <row r="4594" spans="3:13" ht="12.75" customHeight="1" x14ac:dyDescent="0.2">
      <c r="C4594"/>
      <c r="M4594"/>
    </row>
    <row r="4595" spans="3:13" ht="12.75" customHeight="1" x14ac:dyDescent="0.2">
      <c r="C4595"/>
      <c r="M4595"/>
    </row>
    <row r="4596" spans="3:13" ht="12.75" customHeight="1" x14ac:dyDescent="0.2">
      <c r="C4596"/>
      <c r="M4596"/>
    </row>
    <row r="4597" spans="3:13" ht="12.75" customHeight="1" x14ac:dyDescent="0.2">
      <c r="C4597"/>
      <c r="M4597"/>
    </row>
    <row r="4598" spans="3:13" ht="12.75" customHeight="1" x14ac:dyDescent="0.2">
      <c r="C4598"/>
      <c r="M4598"/>
    </row>
    <row r="4599" spans="3:13" ht="12.75" customHeight="1" x14ac:dyDescent="0.2">
      <c r="C4599"/>
      <c r="M4599"/>
    </row>
    <row r="4600" spans="3:13" ht="12.75" customHeight="1" x14ac:dyDescent="0.2">
      <c r="C4600"/>
      <c r="M4600"/>
    </row>
    <row r="4601" spans="3:13" ht="12.75" customHeight="1" x14ac:dyDescent="0.2">
      <c r="C4601"/>
      <c r="M4601"/>
    </row>
    <row r="4602" spans="3:13" ht="12.75" customHeight="1" x14ac:dyDescent="0.2">
      <c r="C4602"/>
      <c r="M4602"/>
    </row>
    <row r="4603" spans="3:13" ht="12.75" customHeight="1" x14ac:dyDescent="0.2">
      <c r="C4603"/>
      <c r="M4603"/>
    </row>
    <row r="4604" spans="3:13" ht="12.75" customHeight="1" x14ac:dyDescent="0.2">
      <c r="C4604"/>
      <c r="M4604"/>
    </row>
    <row r="4605" spans="3:13" ht="12.75" customHeight="1" x14ac:dyDescent="0.2">
      <c r="C4605"/>
      <c r="M4605"/>
    </row>
    <row r="4606" spans="3:13" ht="12.75" customHeight="1" x14ac:dyDescent="0.2">
      <c r="C4606"/>
      <c r="M4606"/>
    </row>
    <row r="4607" spans="3:13" ht="12.75" customHeight="1" x14ac:dyDescent="0.2">
      <c r="C4607"/>
      <c r="M4607"/>
    </row>
    <row r="4608" spans="3:13" ht="12.75" customHeight="1" x14ac:dyDescent="0.2">
      <c r="C4608"/>
      <c r="M4608"/>
    </row>
    <row r="4609" spans="3:13" ht="12.75" customHeight="1" x14ac:dyDescent="0.2">
      <c r="C4609"/>
      <c r="M4609"/>
    </row>
    <row r="4610" spans="3:13" ht="12.75" customHeight="1" x14ac:dyDescent="0.2">
      <c r="C4610"/>
      <c r="M4610"/>
    </row>
    <row r="4611" spans="3:13" ht="12.75" customHeight="1" x14ac:dyDescent="0.2">
      <c r="C4611"/>
      <c r="M4611"/>
    </row>
    <row r="4612" spans="3:13" ht="12.75" customHeight="1" x14ac:dyDescent="0.2">
      <c r="C4612"/>
      <c r="M4612"/>
    </row>
    <row r="4613" spans="3:13" ht="12.75" customHeight="1" x14ac:dyDescent="0.2">
      <c r="C4613"/>
      <c r="M4613"/>
    </row>
    <row r="4614" spans="3:13" ht="12.75" customHeight="1" x14ac:dyDescent="0.2">
      <c r="C4614"/>
      <c r="M4614"/>
    </row>
    <row r="4615" spans="3:13" ht="12.75" customHeight="1" x14ac:dyDescent="0.2">
      <c r="C4615"/>
      <c r="M4615"/>
    </row>
    <row r="4616" spans="3:13" ht="12.75" customHeight="1" x14ac:dyDescent="0.2">
      <c r="C4616"/>
      <c r="M4616"/>
    </row>
    <row r="4617" spans="3:13" ht="12.75" customHeight="1" x14ac:dyDescent="0.2">
      <c r="C4617"/>
      <c r="M4617"/>
    </row>
    <row r="4618" spans="3:13" ht="12.75" customHeight="1" x14ac:dyDescent="0.2">
      <c r="C4618"/>
      <c r="M4618"/>
    </row>
    <row r="4619" spans="3:13" ht="12.75" customHeight="1" x14ac:dyDescent="0.2">
      <c r="C4619"/>
      <c r="M4619"/>
    </row>
    <row r="4620" spans="3:13" ht="12.75" customHeight="1" x14ac:dyDescent="0.2">
      <c r="C4620"/>
      <c r="M4620"/>
    </row>
    <row r="4621" spans="3:13" ht="12.75" customHeight="1" x14ac:dyDescent="0.2">
      <c r="C4621"/>
      <c r="M4621"/>
    </row>
    <row r="4622" spans="3:13" ht="12.75" customHeight="1" x14ac:dyDescent="0.2">
      <c r="C4622"/>
      <c r="M4622"/>
    </row>
    <row r="4623" spans="3:13" ht="12.75" customHeight="1" x14ac:dyDescent="0.2">
      <c r="C4623"/>
      <c r="M4623"/>
    </row>
    <row r="4624" spans="3:13" ht="12.75" customHeight="1" x14ac:dyDescent="0.2">
      <c r="C4624"/>
      <c r="M4624"/>
    </row>
    <row r="4625" spans="3:13" ht="12.75" customHeight="1" x14ac:dyDescent="0.2">
      <c r="C4625"/>
      <c r="M4625"/>
    </row>
    <row r="4626" spans="3:13" ht="12.75" customHeight="1" x14ac:dyDescent="0.2">
      <c r="C4626"/>
      <c r="M4626"/>
    </row>
    <row r="4627" spans="3:13" ht="12.75" customHeight="1" x14ac:dyDescent="0.2">
      <c r="C4627"/>
      <c r="M4627"/>
    </row>
    <row r="4628" spans="3:13" ht="12.75" customHeight="1" x14ac:dyDescent="0.2">
      <c r="C4628"/>
      <c r="M4628"/>
    </row>
    <row r="4629" spans="3:13" ht="12.75" customHeight="1" x14ac:dyDescent="0.2">
      <c r="C4629"/>
      <c r="M4629"/>
    </row>
    <row r="4630" spans="3:13" ht="12.75" customHeight="1" x14ac:dyDescent="0.2">
      <c r="C4630"/>
      <c r="M4630"/>
    </row>
    <row r="4631" spans="3:13" ht="12.75" customHeight="1" x14ac:dyDescent="0.2">
      <c r="C4631"/>
      <c r="M4631"/>
    </row>
    <row r="4632" spans="3:13" ht="12.75" customHeight="1" x14ac:dyDescent="0.2">
      <c r="C4632"/>
      <c r="M4632"/>
    </row>
    <row r="4633" spans="3:13" ht="12.75" customHeight="1" x14ac:dyDescent="0.2">
      <c r="C4633"/>
      <c r="M4633"/>
    </row>
    <row r="4634" spans="3:13" ht="12.75" customHeight="1" x14ac:dyDescent="0.2">
      <c r="C4634"/>
      <c r="M4634"/>
    </row>
    <row r="4635" spans="3:13" ht="12.75" customHeight="1" x14ac:dyDescent="0.2">
      <c r="C4635"/>
      <c r="M4635"/>
    </row>
    <row r="4636" spans="3:13" ht="12.75" customHeight="1" x14ac:dyDescent="0.2">
      <c r="C4636"/>
      <c r="M4636"/>
    </row>
    <row r="4637" spans="3:13" ht="12.75" customHeight="1" x14ac:dyDescent="0.2">
      <c r="C4637"/>
      <c r="M4637"/>
    </row>
    <row r="4638" spans="3:13" ht="12.75" customHeight="1" x14ac:dyDescent="0.2">
      <c r="C4638"/>
      <c r="M4638"/>
    </row>
    <row r="4639" spans="3:13" ht="12.75" customHeight="1" x14ac:dyDescent="0.2">
      <c r="C4639"/>
      <c r="M4639"/>
    </row>
    <row r="4640" spans="3:13" ht="12.75" customHeight="1" x14ac:dyDescent="0.2">
      <c r="C4640"/>
      <c r="M4640"/>
    </row>
    <row r="4641" spans="3:13" ht="12.75" customHeight="1" x14ac:dyDescent="0.2">
      <c r="C4641"/>
      <c r="M4641"/>
    </row>
    <row r="4642" spans="3:13" ht="12.75" customHeight="1" x14ac:dyDescent="0.2">
      <c r="C4642"/>
      <c r="M4642"/>
    </row>
    <row r="4643" spans="3:13" ht="12.75" customHeight="1" x14ac:dyDescent="0.2">
      <c r="C4643"/>
      <c r="M4643"/>
    </row>
    <row r="4644" spans="3:13" ht="12.75" customHeight="1" x14ac:dyDescent="0.2">
      <c r="C4644"/>
      <c r="M4644"/>
    </row>
    <row r="4645" spans="3:13" ht="12.75" customHeight="1" x14ac:dyDescent="0.2">
      <c r="C4645"/>
      <c r="M4645"/>
    </row>
    <row r="4646" spans="3:13" ht="12.75" customHeight="1" x14ac:dyDescent="0.2">
      <c r="C4646"/>
      <c r="M4646"/>
    </row>
    <row r="4656" spans="3:13" ht="12.75" customHeight="1" x14ac:dyDescent="0.2">
      <c r="C4656"/>
      <c r="M4656"/>
    </row>
    <row r="4657" spans="3:13" ht="12.75" customHeight="1" x14ac:dyDescent="0.2">
      <c r="C4657"/>
      <c r="M4657"/>
    </row>
    <row r="4658" spans="3:13" ht="12.75" customHeight="1" x14ac:dyDescent="0.2">
      <c r="C4658"/>
      <c r="M4658"/>
    </row>
    <row r="4659" spans="3:13" ht="12.75" customHeight="1" x14ac:dyDescent="0.2">
      <c r="C4659"/>
      <c r="M4659"/>
    </row>
    <row r="61317" spans="3:13" ht="12.75" customHeight="1" x14ac:dyDescent="0.2">
      <c r="C61317"/>
      <c r="M61317"/>
    </row>
    <row r="61333" spans="3:13" ht="12.75" customHeight="1" x14ac:dyDescent="0.2">
      <c r="C61333"/>
      <c r="M61333"/>
    </row>
    <row r="61349" spans="3:13" ht="12.75" customHeight="1" x14ac:dyDescent="0.2">
      <c r="C61349"/>
      <c r="M61349"/>
    </row>
    <row r="61365" spans="3:13" ht="12.75" customHeight="1" x14ac:dyDescent="0.2">
      <c r="C61365"/>
      <c r="M61365"/>
    </row>
    <row r="61378" spans="3:13" ht="12.75" customHeight="1" x14ac:dyDescent="0.2">
      <c r="C61378"/>
      <c r="M61378"/>
    </row>
    <row r="61379" spans="3:13" ht="12.75" customHeight="1" x14ac:dyDescent="0.2">
      <c r="C61379"/>
      <c r="M61379"/>
    </row>
    <row r="61381" spans="3:13" ht="12.75" customHeight="1" x14ac:dyDescent="0.2">
      <c r="C61381"/>
      <c r="M61381"/>
    </row>
    <row r="61392" spans="3:13" ht="12.75" customHeight="1" x14ac:dyDescent="0.2">
      <c r="C61392"/>
      <c r="M61392"/>
    </row>
    <row r="61393" spans="3:13" ht="12.75" customHeight="1" x14ac:dyDescent="0.2">
      <c r="C61393"/>
      <c r="M61393"/>
    </row>
    <row r="61394" spans="3:13" ht="12.75" customHeight="1" x14ac:dyDescent="0.2">
      <c r="C61394"/>
      <c r="M61394"/>
    </row>
    <row r="61395" spans="3:13" ht="12.75" customHeight="1" x14ac:dyDescent="0.2">
      <c r="C61395"/>
      <c r="M61395"/>
    </row>
    <row r="61397" spans="3:13" ht="12.75" customHeight="1" x14ac:dyDescent="0.2">
      <c r="C61397"/>
      <c r="M61397"/>
    </row>
    <row r="61408" spans="3:13" ht="12.75" customHeight="1" x14ac:dyDescent="0.2">
      <c r="C61408"/>
      <c r="M61408"/>
    </row>
    <row r="61409" spans="3:13" ht="12.75" customHeight="1" x14ac:dyDescent="0.2">
      <c r="C61409"/>
      <c r="M61409"/>
    </row>
    <row r="61410" spans="3:13" ht="12.75" customHeight="1" x14ac:dyDescent="0.2">
      <c r="C61410"/>
      <c r="M61410"/>
    </row>
    <row r="61411" spans="3:13" ht="12.75" customHeight="1" x14ac:dyDescent="0.2">
      <c r="C61411"/>
      <c r="M61411"/>
    </row>
    <row r="61413" spans="3:13" ht="12.75" customHeight="1" x14ac:dyDescent="0.2">
      <c r="C61413"/>
      <c r="M61413"/>
    </row>
    <row r="61424" spans="3:13" ht="12.75" customHeight="1" x14ac:dyDescent="0.2">
      <c r="C61424"/>
      <c r="M61424"/>
    </row>
    <row r="61425" spans="3:13" ht="12.75" customHeight="1" x14ac:dyDescent="0.2">
      <c r="C61425"/>
      <c r="M61425"/>
    </row>
    <row r="61426" spans="3:13" ht="12.75" customHeight="1" x14ac:dyDescent="0.2">
      <c r="C61426"/>
      <c r="M61426"/>
    </row>
    <row r="61427" spans="3:13" ht="12.75" customHeight="1" x14ac:dyDescent="0.2">
      <c r="C61427"/>
      <c r="M61427"/>
    </row>
    <row r="61429" spans="3:13" ht="12.75" customHeight="1" x14ac:dyDescent="0.2">
      <c r="C61429"/>
      <c r="M61429"/>
    </row>
    <row r="61440" spans="3:13" ht="12.75" customHeight="1" x14ac:dyDescent="0.2">
      <c r="C61440"/>
      <c r="M61440"/>
    </row>
    <row r="61441" spans="3:13" ht="12.75" customHeight="1" x14ac:dyDescent="0.2">
      <c r="C61441"/>
      <c r="M61441"/>
    </row>
    <row r="61442" spans="3:13" ht="12.75" customHeight="1" x14ac:dyDescent="0.2">
      <c r="C61442"/>
      <c r="M61442"/>
    </row>
    <row r="61443" spans="3:13" ht="12.75" customHeight="1" x14ac:dyDescent="0.2">
      <c r="C61443"/>
      <c r="M61443"/>
    </row>
    <row r="61445" spans="3:13" ht="12.75" customHeight="1" x14ac:dyDescent="0.2">
      <c r="C61445"/>
      <c r="M61445"/>
    </row>
    <row r="61456" spans="3:13" ht="12.75" customHeight="1" x14ac:dyDescent="0.2">
      <c r="C61456"/>
      <c r="M61456"/>
    </row>
    <row r="61457" spans="3:13" ht="12.75" customHeight="1" x14ac:dyDescent="0.2">
      <c r="C61457"/>
      <c r="M61457"/>
    </row>
    <row r="61458" spans="3:13" ht="12.75" customHeight="1" x14ac:dyDescent="0.2">
      <c r="C61458"/>
      <c r="M61458"/>
    </row>
    <row r="61459" spans="3:13" ht="12.75" customHeight="1" x14ac:dyDescent="0.2">
      <c r="C61459"/>
      <c r="M61459"/>
    </row>
    <row r="61461" spans="3:13" ht="12.75" customHeight="1" x14ac:dyDescent="0.2">
      <c r="C61461"/>
      <c r="M61461"/>
    </row>
    <row r="61472" spans="3:13" ht="12.75" customHeight="1" x14ac:dyDescent="0.2">
      <c r="C61472"/>
      <c r="M61472"/>
    </row>
    <row r="61473" spans="3:13" ht="12.75" customHeight="1" x14ac:dyDescent="0.2">
      <c r="C61473"/>
      <c r="M61473"/>
    </row>
    <row r="61474" spans="3:13" ht="12.75" customHeight="1" x14ac:dyDescent="0.2">
      <c r="C61474"/>
      <c r="M61474"/>
    </row>
    <row r="61475" spans="3:13" ht="12.75" customHeight="1" x14ac:dyDescent="0.2">
      <c r="C61475"/>
      <c r="M61475"/>
    </row>
    <row r="61477" spans="3:13" ht="12.75" customHeight="1" x14ac:dyDescent="0.2">
      <c r="C61477"/>
      <c r="M61477"/>
    </row>
    <row r="61488" spans="3:13" ht="12.75" customHeight="1" x14ac:dyDescent="0.2">
      <c r="C61488"/>
      <c r="M61488"/>
    </row>
    <row r="61489" spans="3:13" ht="12.75" customHeight="1" x14ac:dyDescent="0.2">
      <c r="C61489"/>
      <c r="M61489"/>
    </row>
    <row r="61490" spans="3:13" ht="12.75" customHeight="1" x14ac:dyDescent="0.2">
      <c r="C61490"/>
      <c r="M61490"/>
    </row>
    <row r="61491" spans="3:13" ht="12.75" customHeight="1" x14ac:dyDescent="0.2">
      <c r="C61491"/>
      <c r="M61491"/>
    </row>
    <row r="61493" spans="3:13" ht="12.75" customHeight="1" x14ac:dyDescent="0.2">
      <c r="C61493"/>
      <c r="M61493"/>
    </row>
    <row r="61504" spans="3:13" ht="12.75" customHeight="1" x14ac:dyDescent="0.2">
      <c r="C61504"/>
      <c r="M61504"/>
    </row>
    <row r="61505" spans="3:13" ht="12.75" customHeight="1" x14ac:dyDescent="0.2">
      <c r="C61505"/>
      <c r="M61505"/>
    </row>
    <row r="61506" spans="3:13" ht="12.75" customHeight="1" x14ac:dyDescent="0.2">
      <c r="C61506"/>
      <c r="M61506"/>
    </row>
    <row r="61507" spans="3:13" ht="12.75" customHeight="1" x14ac:dyDescent="0.2">
      <c r="C61507"/>
      <c r="M61507"/>
    </row>
    <row r="61509" spans="3:13" ht="12.75" customHeight="1" x14ac:dyDescent="0.2">
      <c r="C61509"/>
      <c r="M61509"/>
    </row>
    <row r="61517" spans="3:13" ht="12.75" customHeight="1" x14ac:dyDescent="0.2">
      <c r="C61517"/>
      <c r="M61517"/>
    </row>
    <row r="61520" spans="3:13" ht="12.75" customHeight="1" x14ac:dyDescent="0.2">
      <c r="C61520"/>
      <c r="M61520"/>
    </row>
    <row r="61521" spans="3:13" ht="12.75" customHeight="1" x14ac:dyDescent="0.2">
      <c r="C61521"/>
      <c r="M61521"/>
    </row>
    <row r="61522" spans="3:13" ht="12.75" customHeight="1" x14ac:dyDescent="0.2">
      <c r="C61522"/>
      <c r="M61522"/>
    </row>
    <row r="61523" spans="3:13" ht="12.75" customHeight="1" x14ac:dyDescent="0.2">
      <c r="C61523"/>
      <c r="M61523"/>
    </row>
    <row r="61525" spans="3:13" ht="12.75" customHeight="1" x14ac:dyDescent="0.2">
      <c r="C61525"/>
      <c r="M61525"/>
    </row>
    <row r="61533" spans="3:13" ht="12.75" customHeight="1" x14ac:dyDescent="0.2">
      <c r="C61533"/>
      <c r="M61533"/>
    </row>
    <row r="61536" spans="3:13" ht="12.75" customHeight="1" x14ac:dyDescent="0.2">
      <c r="C61536"/>
      <c r="M61536"/>
    </row>
    <row r="61537" spans="3:13" ht="12.75" customHeight="1" x14ac:dyDescent="0.2">
      <c r="C61537"/>
      <c r="M61537"/>
    </row>
    <row r="61538" spans="3:13" ht="12.75" customHeight="1" x14ac:dyDescent="0.2">
      <c r="C61538"/>
      <c r="M61538"/>
    </row>
    <row r="61539" spans="3:13" ht="12.75" customHeight="1" x14ac:dyDescent="0.2">
      <c r="C61539"/>
      <c r="M61539"/>
    </row>
    <row r="61541" spans="3:13" ht="12.75" customHeight="1" x14ac:dyDescent="0.2">
      <c r="C61541"/>
      <c r="M61541"/>
    </row>
    <row r="61549" spans="3:13" ht="12.75" customHeight="1" x14ac:dyDescent="0.2">
      <c r="C61549"/>
      <c r="M61549"/>
    </row>
    <row r="61550" spans="3:13" ht="12.75" customHeight="1" x14ac:dyDescent="0.2">
      <c r="C61550"/>
      <c r="M61550"/>
    </row>
    <row r="61552" spans="3:13" ht="12.75" customHeight="1" x14ac:dyDescent="0.2">
      <c r="C61552"/>
      <c r="M61552"/>
    </row>
    <row r="61553" spans="3:13" ht="12.75" customHeight="1" x14ac:dyDescent="0.2">
      <c r="C61553"/>
      <c r="M61553"/>
    </row>
    <row r="61554" spans="3:13" ht="12.75" customHeight="1" x14ac:dyDescent="0.2">
      <c r="C61554"/>
      <c r="M61554"/>
    </row>
    <row r="61555" spans="3:13" ht="12.75" customHeight="1" x14ac:dyDescent="0.2">
      <c r="C61555"/>
      <c r="M61555"/>
    </row>
    <row r="61557" spans="3:13" ht="12.75" customHeight="1" x14ac:dyDescent="0.2">
      <c r="C61557"/>
      <c r="M61557"/>
    </row>
    <row r="61565" spans="3:13" ht="12.75" customHeight="1" x14ac:dyDescent="0.2">
      <c r="C61565"/>
      <c r="M61565"/>
    </row>
    <row r="61566" spans="3:13" ht="12.75" customHeight="1" x14ac:dyDescent="0.2">
      <c r="C61566"/>
      <c r="M61566"/>
    </row>
    <row r="61567" spans="3:13" ht="12.75" customHeight="1" x14ac:dyDescent="0.2">
      <c r="C61567"/>
      <c r="M61567"/>
    </row>
    <row r="61568" spans="3:13" ht="12.75" customHeight="1" x14ac:dyDescent="0.2">
      <c r="C61568"/>
      <c r="M61568"/>
    </row>
    <row r="61569" spans="3:13" ht="12.75" customHeight="1" x14ac:dyDescent="0.2">
      <c r="C61569"/>
      <c r="M61569"/>
    </row>
    <row r="61570" spans="3:13" ht="12.75" customHeight="1" x14ac:dyDescent="0.2">
      <c r="C61570"/>
      <c r="M61570"/>
    </row>
    <row r="61571" spans="3:13" ht="12.75" customHeight="1" x14ac:dyDescent="0.2">
      <c r="C61571"/>
      <c r="M61571"/>
    </row>
    <row r="61573" spans="3:13" ht="12.75" customHeight="1" x14ac:dyDescent="0.2">
      <c r="C61573"/>
      <c r="M61573"/>
    </row>
    <row r="61581" spans="3:13" ht="12.75" customHeight="1" x14ac:dyDescent="0.2">
      <c r="C61581"/>
      <c r="M61581"/>
    </row>
    <row r="61582" spans="3:13" ht="12.75" customHeight="1" x14ac:dyDescent="0.2">
      <c r="C61582"/>
      <c r="M61582"/>
    </row>
    <row r="61583" spans="3:13" ht="12.75" customHeight="1" x14ac:dyDescent="0.2">
      <c r="C61583"/>
      <c r="M61583"/>
    </row>
    <row r="61584" spans="3:13" ht="12.75" customHeight="1" x14ac:dyDescent="0.2">
      <c r="C61584"/>
      <c r="M61584"/>
    </row>
    <row r="61585" spans="3:13" ht="12.75" customHeight="1" x14ac:dyDescent="0.2">
      <c r="C61585"/>
      <c r="M61585"/>
    </row>
    <row r="61586" spans="3:13" ht="12.75" customHeight="1" x14ac:dyDescent="0.2">
      <c r="C61586"/>
      <c r="M61586"/>
    </row>
    <row r="61587" spans="3:13" ht="12.75" customHeight="1" x14ac:dyDescent="0.2">
      <c r="C61587"/>
      <c r="M61587"/>
    </row>
    <row r="61589" spans="3:13" ht="12.75" customHeight="1" x14ac:dyDescent="0.2">
      <c r="C61589"/>
      <c r="M61589"/>
    </row>
    <row r="61595" spans="3:13" ht="12.75" customHeight="1" x14ac:dyDescent="0.2">
      <c r="C61595"/>
      <c r="M61595"/>
    </row>
    <row r="61596" spans="3:13" ht="12.75" customHeight="1" x14ac:dyDescent="0.2">
      <c r="C61596"/>
      <c r="M61596"/>
    </row>
    <row r="61597" spans="3:13" ht="12.75" customHeight="1" x14ac:dyDescent="0.2">
      <c r="C61597"/>
      <c r="M61597"/>
    </row>
    <row r="61598" spans="3:13" ht="12.75" customHeight="1" x14ac:dyDescent="0.2">
      <c r="C61598"/>
      <c r="M61598"/>
    </row>
    <row r="61599" spans="3:13" ht="12.75" customHeight="1" x14ac:dyDescent="0.2">
      <c r="C61599"/>
      <c r="M61599"/>
    </row>
    <row r="61600" spans="3:13" ht="12.75" customHeight="1" x14ac:dyDescent="0.2">
      <c r="C61600"/>
      <c r="M61600"/>
    </row>
    <row r="61601" spans="3:13" ht="12.75" customHeight="1" x14ac:dyDescent="0.2">
      <c r="C61601"/>
      <c r="M61601"/>
    </row>
    <row r="61602" spans="3:13" ht="12.75" customHeight="1" x14ac:dyDescent="0.2">
      <c r="C61602"/>
      <c r="M61602"/>
    </row>
    <row r="61603" spans="3:13" ht="12.75" customHeight="1" x14ac:dyDescent="0.2">
      <c r="C61603"/>
      <c r="M61603"/>
    </row>
    <row r="61604" spans="3:13" ht="12.75" customHeight="1" x14ac:dyDescent="0.2">
      <c r="C61604"/>
      <c r="M61604"/>
    </row>
    <row r="61605" spans="3:13" ht="12.75" customHeight="1" x14ac:dyDescent="0.2">
      <c r="C61605"/>
      <c r="M61605"/>
    </row>
    <row r="61606" spans="3:13" ht="12.75" customHeight="1" x14ac:dyDescent="0.2">
      <c r="C61606"/>
      <c r="M61606"/>
    </row>
    <row r="61611" spans="3:13" ht="12.75" customHeight="1" x14ac:dyDescent="0.2">
      <c r="C61611"/>
      <c r="M61611"/>
    </row>
    <row r="61612" spans="3:13" ht="12.75" customHeight="1" x14ac:dyDescent="0.2">
      <c r="C61612"/>
      <c r="M61612"/>
    </row>
    <row r="61613" spans="3:13" ht="12.75" customHeight="1" x14ac:dyDescent="0.2">
      <c r="C61613"/>
      <c r="M61613"/>
    </row>
    <row r="61614" spans="3:13" ht="12.75" customHeight="1" x14ac:dyDescent="0.2">
      <c r="C61614"/>
      <c r="M61614"/>
    </row>
    <row r="61615" spans="3:13" ht="12.75" customHeight="1" x14ac:dyDescent="0.2">
      <c r="C61615"/>
      <c r="M61615"/>
    </row>
    <row r="61616" spans="3:13" ht="12.75" customHeight="1" x14ac:dyDescent="0.2">
      <c r="C61616"/>
      <c r="M61616"/>
    </row>
    <row r="61617" spans="3:13" ht="12.75" customHeight="1" x14ac:dyDescent="0.2">
      <c r="C61617"/>
      <c r="M61617"/>
    </row>
    <row r="61618" spans="3:13" ht="12.75" customHeight="1" x14ac:dyDescent="0.2">
      <c r="C61618"/>
      <c r="M61618"/>
    </row>
    <row r="61619" spans="3:13" ht="12.75" customHeight="1" x14ac:dyDescent="0.2">
      <c r="C61619"/>
      <c r="M61619"/>
    </row>
    <row r="61620" spans="3:13" ht="12.75" customHeight="1" x14ac:dyDescent="0.2">
      <c r="C61620"/>
      <c r="M61620"/>
    </row>
    <row r="61621" spans="3:13" ht="12.75" customHeight="1" x14ac:dyDescent="0.2">
      <c r="C61621"/>
      <c r="M61621"/>
    </row>
    <row r="61622" spans="3:13" ht="12.75" customHeight="1" x14ac:dyDescent="0.2">
      <c r="C61622"/>
      <c r="M61622"/>
    </row>
    <row r="61627" spans="3:13" ht="12.75" customHeight="1" x14ac:dyDescent="0.2">
      <c r="C61627"/>
      <c r="M61627"/>
    </row>
    <row r="61628" spans="3:13" ht="12.75" customHeight="1" x14ac:dyDescent="0.2">
      <c r="C61628"/>
      <c r="M61628"/>
    </row>
    <row r="61629" spans="3:13" ht="12.75" customHeight="1" x14ac:dyDescent="0.2">
      <c r="C61629"/>
      <c r="M61629"/>
    </row>
    <row r="61630" spans="3:13" ht="12.75" customHeight="1" x14ac:dyDescent="0.2">
      <c r="C61630"/>
      <c r="M61630"/>
    </row>
    <row r="61631" spans="3:13" ht="12.75" customHeight="1" x14ac:dyDescent="0.2">
      <c r="C61631"/>
      <c r="M61631"/>
    </row>
    <row r="61632" spans="3:13" ht="12.75" customHeight="1" x14ac:dyDescent="0.2">
      <c r="C61632"/>
      <c r="M61632"/>
    </row>
    <row r="61633" spans="3:13" ht="12.75" customHeight="1" x14ac:dyDescent="0.2">
      <c r="C61633"/>
      <c r="M61633"/>
    </row>
    <row r="61634" spans="3:13" ht="12.75" customHeight="1" x14ac:dyDescent="0.2">
      <c r="C61634"/>
      <c r="M61634"/>
    </row>
    <row r="61635" spans="3:13" ht="12.75" customHeight="1" x14ac:dyDescent="0.2">
      <c r="C61635"/>
      <c r="M61635"/>
    </row>
    <row r="61636" spans="3:13" ht="12.75" customHeight="1" x14ac:dyDescent="0.2">
      <c r="C61636"/>
      <c r="M61636"/>
    </row>
    <row r="61637" spans="3:13" ht="12.75" customHeight="1" x14ac:dyDescent="0.2">
      <c r="C61637"/>
      <c r="M61637"/>
    </row>
    <row r="61638" spans="3:13" ht="12.75" customHeight="1" x14ac:dyDescent="0.2">
      <c r="C61638"/>
      <c r="M61638"/>
    </row>
    <row r="61643" spans="3:13" ht="12.75" customHeight="1" x14ac:dyDescent="0.2">
      <c r="C61643"/>
      <c r="M61643"/>
    </row>
    <row r="61644" spans="3:13" ht="12.75" customHeight="1" x14ac:dyDescent="0.2">
      <c r="C61644"/>
      <c r="M61644"/>
    </row>
    <row r="61645" spans="3:13" ht="12.75" customHeight="1" x14ac:dyDescent="0.2">
      <c r="C61645"/>
      <c r="M61645"/>
    </row>
    <row r="61646" spans="3:13" ht="12.75" customHeight="1" x14ac:dyDescent="0.2">
      <c r="C61646"/>
      <c r="M61646"/>
    </row>
    <row r="61647" spans="3:13" ht="12.75" customHeight="1" x14ac:dyDescent="0.2">
      <c r="C61647"/>
      <c r="M61647"/>
    </row>
    <row r="61648" spans="3:13" ht="12.75" customHeight="1" x14ac:dyDescent="0.2">
      <c r="C61648"/>
      <c r="M61648"/>
    </row>
    <row r="61649" spans="3:13" ht="12.75" customHeight="1" x14ac:dyDescent="0.2">
      <c r="C61649"/>
      <c r="M61649"/>
    </row>
    <row r="61650" spans="3:13" ht="12.75" customHeight="1" x14ac:dyDescent="0.2">
      <c r="C61650"/>
      <c r="M61650"/>
    </row>
    <row r="61651" spans="3:13" ht="12.75" customHeight="1" x14ac:dyDescent="0.2">
      <c r="C61651"/>
      <c r="M61651"/>
    </row>
    <row r="61652" spans="3:13" ht="12.75" customHeight="1" x14ac:dyDescent="0.2">
      <c r="C61652"/>
      <c r="M61652"/>
    </row>
    <row r="61653" spans="3:13" ht="12.75" customHeight="1" x14ac:dyDescent="0.2">
      <c r="C61653"/>
      <c r="M61653"/>
    </row>
    <row r="61654" spans="3:13" ht="12.75" customHeight="1" x14ac:dyDescent="0.2">
      <c r="C61654"/>
      <c r="M61654"/>
    </row>
    <row r="61658" spans="3:13" ht="12.75" customHeight="1" x14ac:dyDescent="0.2">
      <c r="C61658"/>
      <c r="M61658"/>
    </row>
    <row r="61659" spans="3:13" ht="12.75" customHeight="1" x14ac:dyDescent="0.2">
      <c r="C61659"/>
      <c r="M61659"/>
    </row>
    <row r="61660" spans="3:13" ht="12.75" customHeight="1" x14ac:dyDescent="0.2">
      <c r="C61660"/>
      <c r="M61660"/>
    </row>
    <row r="61661" spans="3:13" ht="12.75" customHeight="1" x14ac:dyDescent="0.2">
      <c r="C61661"/>
      <c r="M61661"/>
    </row>
    <row r="61662" spans="3:13" ht="12.75" customHeight="1" x14ac:dyDescent="0.2">
      <c r="C61662"/>
      <c r="M61662"/>
    </row>
    <row r="61663" spans="3:13" ht="12.75" customHeight="1" x14ac:dyDescent="0.2">
      <c r="C61663"/>
      <c r="M61663"/>
    </row>
    <row r="61664" spans="3:13" ht="12.75" customHeight="1" x14ac:dyDescent="0.2">
      <c r="C61664"/>
      <c r="M61664"/>
    </row>
    <row r="61665" spans="3:13" ht="12.75" customHeight="1" x14ac:dyDescent="0.2">
      <c r="C61665"/>
      <c r="M61665"/>
    </row>
    <row r="61666" spans="3:13" ht="12.75" customHeight="1" x14ac:dyDescent="0.2">
      <c r="C61666"/>
      <c r="M61666"/>
    </row>
    <row r="61667" spans="3:13" ht="12.75" customHeight="1" x14ac:dyDescent="0.2">
      <c r="C61667"/>
      <c r="M61667"/>
    </row>
    <row r="61668" spans="3:13" ht="12.75" customHeight="1" x14ac:dyDescent="0.2">
      <c r="C61668"/>
      <c r="M61668"/>
    </row>
    <row r="61669" spans="3:13" ht="12.75" customHeight="1" x14ac:dyDescent="0.2">
      <c r="C61669"/>
      <c r="M61669"/>
    </row>
    <row r="61670" spans="3:13" ht="12.75" customHeight="1" x14ac:dyDescent="0.2">
      <c r="C61670"/>
      <c r="M61670"/>
    </row>
    <row r="61674" spans="3:13" ht="12.75" customHeight="1" x14ac:dyDescent="0.2">
      <c r="C61674"/>
      <c r="M61674"/>
    </row>
    <row r="61675" spans="3:13" ht="12.75" customHeight="1" x14ac:dyDescent="0.2">
      <c r="C61675"/>
      <c r="M61675"/>
    </row>
    <row r="61676" spans="3:13" ht="12.75" customHeight="1" x14ac:dyDescent="0.2">
      <c r="C61676"/>
      <c r="M61676"/>
    </row>
    <row r="61677" spans="3:13" ht="12.75" customHeight="1" x14ac:dyDescent="0.2">
      <c r="C61677"/>
      <c r="M61677"/>
    </row>
    <row r="61678" spans="3:13" ht="12.75" customHeight="1" x14ac:dyDescent="0.2">
      <c r="C61678"/>
      <c r="M61678"/>
    </row>
    <row r="61679" spans="3:13" ht="12.75" customHeight="1" x14ac:dyDescent="0.2">
      <c r="C61679"/>
      <c r="M61679"/>
    </row>
    <row r="61680" spans="3:13" ht="12.75" customHeight="1" x14ac:dyDescent="0.2">
      <c r="C61680"/>
      <c r="M61680"/>
    </row>
    <row r="61681" spans="3:13" ht="12.75" customHeight="1" x14ac:dyDescent="0.2">
      <c r="C61681"/>
      <c r="M61681"/>
    </row>
    <row r="61682" spans="3:13" ht="12.75" customHeight="1" x14ac:dyDescent="0.2">
      <c r="C61682"/>
      <c r="M61682"/>
    </row>
    <row r="61683" spans="3:13" ht="12.75" customHeight="1" x14ac:dyDescent="0.2">
      <c r="C61683"/>
      <c r="M61683"/>
    </row>
    <row r="61684" spans="3:13" ht="12.75" customHeight="1" x14ac:dyDescent="0.2">
      <c r="C61684"/>
      <c r="M61684"/>
    </row>
    <row r="61685" spans="3:13" ht="12.75" customHeight="1" x14ac:dyDescent="0.2">
      <c r="C61685"/>
      <c r="M61685"/>
    </row>
    <row r="61686" spans="3:13" ht="12.75" customHeight="1" x14ac:dyDescent="0.2">
      <c r="C61686"/>
      <c r="M61686"/>
    </row>
    <row r="61690" spans="3:13" ht="12.75" customHeight="1" x14ac:dyDescent="0.2">
      <c r="C61690"/>
      <c r="M61690"/>
    </row>
    <row r="61691" spans="3:13" ht="12.75" customHeight="1" x14ac:dyDescent="0.2">
      <c r="C61691"/>
      <c r="M61691"/>
    </row>
    <row r="61692" spans="3:13" ht="12.75" customHeight="1" x14ac:dyDescent="0.2">
      <c r="C61692"/>
      <c r="M61692"/>
    </row>
    <row r="61693" spans="3:13" ht="12.75" customHeight="1" x14ac:dyDescent="0.2">
      <c r="C61693"/>
      <c r="M61693"/>
    </row>
    <row r="61694" spans="3:13" ht="12.75" customHeight="1" x14ac:dyDescent="0.2">
      <c r="C61694"/>
      <c r="M61694"/>
    </row>
    <row r="61695" spans="3:13" ht="12.75" customHeight="1" x14ac:dyDescent="0.2">
      <c r="C61695"/>
      <c r="M61695"/>
    </row>
    <row r="61696" spans="3:13" ht="12.75" customHeight="1" x14ac:dyDescent="0.2">
      <c r="C61696"/>
      <c r="M61696"/>
    </row>
    <row r="61697" spans="3:13" ht="12.75" customHeight="1" x14ac:dyDescent="0.2">
      <c r="C61697"/>
      <c r="M61697"/>
    </row>
    <row r="61698" spans="3:13" ht="12.75" customHeight="1" x14ac:dyDescent="0.2">
      <c r="C61698"/>
      <c r="M61698"/>
    </row>
    <row r="61699" spans="3:13" ht="12.75" customHeight="1" x14ac:dyDescent="0.2">
      <c r="C61699"/>
      <c r="M61699"/>
    </row>
    <row r="61700" spans="3:13" ht="12.75" customHeight="1" x14ac:dyDescent="0.2">
      <c r="C61700"/>
      <c r="M61700"/>
    </row>
    <row r="61701" spans="3:13" ht="12.75" customHeight="1" x14ac:dyDescent="0.2">
      <c r="C61701"/>
      <c r="M61701"/>
    </row>
    <row r="61702" spans="3:13" ht="12.75" customHeight="1" x14ac:dyDescent="0.2">
      <c r="C61702"/>
      <c r="M61702"/>
    </row>
    <row r="61706" spans="3:13" ht="12.75" customHeight="1" x14ac:dyDescent="0.2">
      <c r="C61706"/>
      <c r="M61706"/>
    </row>
    <row r="61707" spans="3:13" ht="12.75" customHeight="1" x14ac:dyDescent="0.2">
      <c r="C61707"/>
      <c r="M61707"/>
    </row>
    <row r="61708" spans="3:13" ht="12.75" customHeight="1" x14ac:dyDescent="0.2">
      <c r="C61708"/>
      <c r="M61708"/>
    </row>
    <row r="61709" spans="3:13" ht="12.75" customHeight="1" x14ac:dyDescent="0.2">
      <c r="C61709"/>
      <c r="M61709"/>
    </row>
    <row r="61710" spans="3:13" ht="12.75" customHeight="1" x14ac:dyDescent="0.2">
      <c r="C61710"/>
      <c r="M61710"/>
    </row>
    <row r="61711" spans="3:13" ht="12.75" customHeight="1" x14ac:dyDescent="0.2">
      <c r="C61711"/>
      <c r="M61711"/>
    </row>
    <row r="61712" spans="3:13" ht="12.75" customHeight="1" x14ac:dyDescent="0.2">
      <c r="C61712"/>
      <c r="M61712"/>
    </row>
    <row r="61713" spans="3:13" ht="12.75" customHeight="1" x14ac:dyDescent="0.2">
      <c r="C61713"/>
      <c r="M61713"/>
    </row>
    <row r="61714" spans="3:13" ht="12.75" customHeight="1" x14ac:dyDescent="0.2">
      <c r="C61714"/>
      <c r="M61714"/>
    </row>
    <row r="61715" spans="3:13" ht="12.75" customHeight="1" x14ac:dyDescent="0.2">
      <c r="C61715"/>
      <c r="M61715"/>
    </row>
    <row r="61716" spans="3:13" ht="12.75" customHeight="1" x14ac:dyDescent="0.2">
      <c r="C61716"/>
      <c r="M61716"/>
    </row>
    <row r="61717" spans="3:13" ht="12.75" customHeight="1" x14ac:dyDescent="0.2">
      <c r="C61717"/>
      <c r="M61717"/>
    </row>
    <row r="61718" spans="3:13" ht="12.75" customHeight="1" x14ac:dyDescent="0.2">
      <c r="C61718"/>
      <c r="M61718"/>
    </row>
    <row r="61722" spans="3:13" ht="12.75" customHeight="1" x14ac:dyDescent="0.2">
      <c r="C61722"/>
      <c r="M61722"/>
    </row>
    <row r="61723" spans="3:13" ht="12.75" customHeight="1" x14ac:dyDescent="0.2">
      <c r="C61723"/>
      <c r="M61723"/>
    </row>
    <row r="61724" spans="3:13" ht="12.75" customHeight="1" x14ac:dyDescent="0.2">
      <c r="C61724"/>
      <c r="M61724"/>
    </row>
    <row r="61725" spans="3:13" ht="12.75" customHeight="1" x14ac:dyDescent="0.2">
      <c r="C61725"/>
      <c r="M61725"/>
    </row>
    <row r="61726" spans="3:13" ht="12.75" customHeight="1" x14ac:dyDescent="0.2">
      <c r="C61726"/>
      <c r="M61726"/>
    </row>
    <row r="61727" spans="3:13" ht="12.75" customHeight="1" x14ac:dyDescent="0.2">
      <c r="C61727"/>
      <c r="M61727"/>
    </row>
    <row r="61728" spans="3:13" ht="12.75" customHeight="1" x14ac:dyDescent="0.2">
      <c r="C61728"/>
      <c r="M61728"/>
    </row>
    <row r="61729" spans="3:13" ht="12.75" customHeight="1" x14ac:dyDescent="0.2">
      <c r="C61729"/>
      <c r="M61729"/>
    </row>
    <row r="61730" spans="3:13" ht="12.75" customHeight="1" x14ac:dyDescent="0.2">
      <c r="C61730"/>
      <c r="M61730"/>
    </row>
    <row r="61731" spans="3:13" ht="12.75" customHeight="1" x14ac:dyDescent="0.2">
      <c r="C61731"/>
      <c r="M61731"/>
    </row>
    <row r="61732" spans="3:13" ht="12.75" customHeight="1" x14ac:dyDescent="0.2">
      <c r="C61732"/>
      <c r="M61732"/>
    </row>
    <row r="61733" spans="3:13" ht="12.75" customHeight="1" x14ac:dyDescent="0.2">
      <c r="C61733"/>
      <c r="M61733"/>
    </row>
    <row r="61734" spans="3:13" ht="12.75" customHeight="1" x14ac:dyDescent="0.2">
      <c r="C61734"/>
      <c r="M61734"/>
    </row>
    <row r="61738" spans="3:13" ht="12.75" customHeight="1" x14ac:dyDescent="0.2">
      <c r="C61738"/>
      <c r="M61738"/>
    </row>
    <row r="61739" spans="3:13" ht="12.75" customHeight="1" x14ac:dyDescent="0.2">
      <c r="C61739"/>
      <c r="M61739"/>
    </row>
    <row r="61740" spans="3:13" ht="12.75" customHeight="1" x14ac:dyDescent="0.2">
      <c r="C61740"/>
      <c r="M61740"/>
    </row>
    <row r="61741" spans="3:13" ht="12.75" customHeight="1" x14ac:dyDescent="0.2">
      <c r="C61741"/>
      <c r="M61741"/>
    </row>
    <row r="61742" spans="3:13" ht="12.75" customHeight="1" x14ac:dyDescent="0.2">
      <c r="C61742"/>
      <c r="M61742"/>
    </row>
    <row r="61743" spans="3:13" ht="12.75" customHeight="1" x14ac:dyDescent="0.2">
      <c r="C61743"/>
      <c r="M61743"/>
    </row>
    <row r="61744" spans="3:13" ht="12.75" customHeight="1" x14ac:dyDescent="0.2">
      <c r="C61744"/>
      <c r="M61744"/>
    </row>
    <row r="61745" spans="3:13" ht="12.75" customHeight="1" x14ac:dyDescent="0.2">
      <c r="C61745"/>
      <c r="M61745"/>
    </row>
    <row r="61746" spans="3:13" ht="12.75" customHeight="1" x14ac:dyDescent="0.2">
      <c r="C61746"/>
      <c r="M61746"/>
    </row>
    <row r="61747" spans="3:13" ht="12.75" customHeight="1" x14ac:dyDescent="0.2">
      <c r="C61747"/>
      <c r="M61747"/>
    </row>
    <row r="61748" spans="3:13" ht="12.75" customHeight="1" x14ac:dyDescent="0.2">
      <c r="C61748"/>
      <c r="M61748"/>
    </row>
    <row r="61749" spans="3:13" ht="12.75" customHeight="1" x14ac:dyDescent="0.2">
      <c r="C61749"/>
      <c r="M61749"/>
    </row>
    <row r="61750" spans="3:13" ht="12.75" customHeight="1" x14ac:dyDescent="0.2">
      <c r="C61750"/>
      <c r="M61750"/>
    </row>
    <row r="61754" spans="3:13" ht="12.75" customHeight="1" x14ac:dyDescent="0.2">
      <c r="C61754"/>
      <c r="M61754"/>
    </row>
    <row r="61755" spans="3:13" ht="12.75" customHeight="1" x14ac:dyDescent="0.2">
      <c r="C61755"/>
      <c r="M61755"/>
    </row>
    <row r="61756" spans="3:13" ht="12.75" customHeight="1" x14ac:dyDescent="0.2">
      <c r="C61756"/>
      <c r="M61756"/>
    </row>
    <row r="61757" spans="3:13" ht="12.75" customHeight="1" x14ac:dyDescent="0.2">
      <c r="C61757"/>
      <c r="M61757"/>
    </row>
    <row r="61758" spans="3:13" ht="12.75" customHeight="1" x14ac:dyDescent="0.2">
      <c r="C61758"/>
      <c r="M61758"/>
    </row>
    <row r="61759" spans="3:13" ht="12.75" customHeight="1" x14ac:dyDescent="0.2">
      <c r="C61759"/>
      <c r="M61759"/>
    </row>
    <row r="61760" spans="3:13" ht="12.75" customHeight="1" x14ac:dyDescent="0.2">
      <c r="C61760"/>
      <c r="M61760"/>
    </row>
    <row r="61761" spans="3:13" ht="12.75" customHeight="1" x14ac:dyDescent="0.2">
      <c r="C61761"/>
      <c r="M61761"/>
    </row>
    <row r="61762" spans="3:13" ht="12.75" customHeight="1" x14ac:dyDescent="0.2">
      <c r="C61762"/>
      <c r="M61762"/>
    </row>
    <row r="61763" spans="3:13" ht="12.75" customHeight="1" x14ac:dyDescent="0.2">
      <c r="C61763"/>
      <c r="M61763"/>
    </row>
    <row r="61764" spans="3:13" ht="12.75" customHeight="1" x14ac:dyDescent="0.2">
      <c r="C61764"/>
      <c r="M61764"/>
    </row>
    <row r="61765" spans="3:13" ht="12.75" customHeight="1" x14ac:dyDescent="0.2">
      <c r="C61765"/>
      <c r="M61765"/>
    </row>
    <row r="61766" spans="3:13" ht="12.75" customHeight="1" x14ac:dyDescent="0.2">
      <c r="C61766"/>
      <c r="M61766"/>
    </row>
    <row r="61770" spans="3:13" ht="12.75" customHeight="1" x14ac:dyDescent="0.2">
      <c r="C61770"/>
      <c r="M61770"/>
    </row>
    <row r="61771" spans="3:13" ht="12.75" customHeight="1" x14ac:dyDescent="0.2">
      <c r="C61771"/>
      <c r="M61771"/>
    </row>
    <row r="61772" spans="3:13" ht="12.75" customHeight="1" x14ac:dyDescent="0.2">
      <c r="C61772"/>
      <c r="M61772"/>
    </row>
    <row r="61773" spans="3:13" ht="12.75" customHeight="1" x14ac:dyDescent="0.2">
      <c r="C61773"/>
      <c r="M61773"/>
    </row>
    <row r="61774" spans="3:13" ht="12.75" customHeight="1" x14ac:dyDescent="0.2">
      <c r="C61774"/>
      <c r="M61774"/>
    </row>
    <row r="61775" spans="3:13" ht="12.75" customHeight="1" x14ac:dyDescent="0.2">
      <c r="C61775"/>
      <c r="M61775"/>
    </row>
    <row r="61776" spans="3:13" ht="12.75" customHeight="1" x14ac:dyDescent="0.2">
      <c r="C61776"/>
      <c r="M61776"/>
    </row>
    <row r="61777" spans="3:13" ht="12.75" customHeight="1" x14ac:dyDescent="0.2">
      <c r="C61777"/>
      <c r="M61777"/>
    </row>
    <row r="61778" spans="3:13" ht="12.75" customHeight="1" x14ac:dyDescent="0.2">
      <c r="C61778"/>
      <c r="M61778"/>
    </row>
    <row r="61779" spans="3:13" ht="12.75" customHeight="1" x14ac:dyDescent="0.2">
      <c r="C61779"/>
      <c r="M61779"/>
    </row>
    <row r="61780" spans="3:13" ht="12.75" customHeight="1" x14ac:dyDescent="0.2">
      <c r="C61780"/>
      <c r="M61780"/>
    </row>
    <row r="61781" spans="3:13" ht="12.75" customHeight="1" x14ac:dyDescent="0.2">
      <c r="C61781"/>
      <c r="M61781"/>
    </row>
    <row r="61782" spans="3:13" ht="12.75" customHeight="1" x14ac:dyDescent="0.2">
      <c r="C61782"/>
      <c r="M61782"/>
    </row>
    <row r="61783" spans="3:13" ht="12.75" customHeight="1" x14ac:dyDescent="0.2">
      <c r="C61783"/>
      <c r="M61783"/>
    </row>
    <row r="61786" spans="3:13" ht="12.75" customHeight="1" x14ac:dyDescent="0.2">
      <c r="C61786"/>
      <c r="M61786"/>
    </row>
    <row r="61787" spans="3:13" ht="12.75" customHeight="1" x14ac:dyDescent="0.2">
      <c r="C61787"/>
      <c r="M61787"/>
    </row>
    <row r="61788" spans="3:13" ht="12.75" customHeight="1" x14ac:dyDescent="0.2">
      <c r="C61788"/>
      <c r="M61788"/>
    </row>
    <row r="61789" spans="3:13" ht="12.75" customHeight="1" x14ac:dyDescent="0.2">
      <c r="C61789"/>
      <c r="M61789"/>
    </row>
    <row r="61790" spans="3:13" ht="12.75" customHeight="1" x14ac:dyDescent="0.2">
      <c r="C61790"/>
      <c r="M61790"/>
    </row>
    <row r="61791" spans="3:13" ht="12.75" customHeight="1" x14ac:dyDescent="0.2">
      <c r="C61791"/>
      <c r="M61791"/>
    </row>
    <row r="61792" spans="3:13" ht="12.75" customHeight="1" x14ac:dyDescent="0.2">
      <c r="C61792"/>
      <c r="M61792"/>
    </row>
    <row r="61793" spans="3:13" ht="12.75" customHeight="1" x14ac:dyDescent="0.2">
      <c r="C61793"/>
      <c r="M61793"/>
    </row>
    <row r="61794" spans="3:13" ht="12.75" customHeight="1" x14ac:dyDescent="0.2">
      <c r="C61794"/>
      <c r="M61794"/>
    </row>
    <row r="61795" spans="3:13" ht="12.75" customHeight="1" x14ac:dyDescent="0.2">
      <c r="C61795"/>
      <c r="M61795"/>
    </row>
    <row r="61796" spans="3:13" ht="12.75" customHeight="1" x14ac:dyDescent="0.2">
      <c r="C61796"/>
      <c r="M61796"/>
    </row>
    <row r="61797" spans="3:13" ht="12.75" customHeight="1" x14ac:dyDescent="0.2">
      <c r="C61797"/>
      <c r="M61797"/>
    </row>
    <row r="61798" spans="3:13" ht="12.75" customHeight="1" x14ac:dyDescent="0.2">
      <c r="C61798"/>
      <c r="M61798"/>
    </row>
    <row r="61799" spans="3:13" ht="12.75" customHeight="1" x14ac:dyDescent="0.2">
      <c r="C61799"/>
      <c r="M61799"/>
    </row>
    <row r="61802" spans="3:13" ht="12.75" customHeight="1" x14ac:dyDescent="0.2">
      <c r="C61802"/>
      <c r="M61802"/>
    </row>
    <row r="61803" spans="3:13" ht="12.75" customHeight="1" x14ac:dyDescent="0.2">
      <c r="C61803"/>
      <c r="M61803"/>
    </row>
    <row r="61804" spans="3:13" ht="12.75" customHeight="1" x14ac:dyDescent="0.2">
      <c r="C61804"/>
      <c r="M61804"/>
    </row>
    <row r="61805" spans="3:13" ht="12.75" customHeight="1" x14ac:dyDescent="0.2">
      <c r="C61805"/>
      <c r="M61805"/>
    </row>
    <row r="61806" spans="3:13" ht="12.75" customHeight="1" x14ac:dyDescent="0.2">
      <c r="C61806"/>
      <c r="M61806"/>
    </row>
    <row r="61807" spans="3:13" ht="12.75" customHeight="1" x14ac:dyDescent="0.2">
      <c r="C61807"/>
      <c r="M61807"/>
    </row>
    <row r="61808" spans="3:13" ht="12.75" customHeight="1" x14ac:dyDescent="0.2">
      <c r="C61808"/>
      <c r="M61808"/>
    </row>
    <row r="61809" spans="3:13" ht="12.75" customHeight="1" x14ac:dyDescent="0.2">
      <c r="C61809"/>
      <c r="M61809"/>
    </row>
    <row r="61810" spans="3:13" ht="12.75" customHeight="1" x14ac:dyDescent="0.2">
      <c r="C61810"/>
      <c r="M61810"/>
    </row>
    <row r="61811" spans="3:13" ht="12.75" customHeight="1" x14ac:dyDescent="0.2">
      <c r="C61811"/>
      <c r="M61811"/>
    </row>
    <row r="61812" spans="3:13" ht="12.75" customHeight="1" x14ac:dyDescent="0.2">
      <c r="C61812"/>
      <c r="M61812"/>
    </row>
    <row r="61813" spans="3:13" ht="12.75" customHeight="1" x14ac:dyDescent="0.2">
      <c r="C61813"/>
      <c r="M61813"/>
    </row>
    <row r="61814" spans="3:13" ht="12.75" customHeight="1" x14ac:dyDescent="0.2">
      <c r="C61814"/>
      <c r="M61814"/>
    </row>
    <row r="61815" spans="3:13" ht="12.75" customHeight="1" x14ac:dyDescent="0.2">
      <c r="C61815"/>
      <c r="M61815"/>
    </row>
    <row r="61816" spans="3:13" ht="12.75" customHeight="1" x14ac:dyDescent="0.2">
      <c r="C61816"/>
      <c r="M61816"/>
    </row>
    <row r="61818" spans="3:13" ht="12.75" customHeight="1" x14ac:dyDescent="0.2">
      <c r="C61818"/>
      <c r="M61818"/>
    </row>
    <row r="61819" spans="3:13" ht="12.75" customHeight="1" x14ac:dyDescent="0.2">
      <c r="C61819"/>
      <c r="M61819"/>
    </row>
    <row r="61820" spans="3:13" ht="12.75" customHeight="1" x14ac:dyDescent="0.2">
      <c r="C61820"/>
      <c r="M61820"/>
    </row>
    <row r="61821" spans="3:13" ht="12.75" customHeight="1" x14ac:dyDescent="0.2">
      <c r="C61821"/>
      <c r="M61821"/>
    </row>
    <row r="61822" spans="3:13" ht="12.75" customHeight="1" x14ac:dyDescent="0.2">
      <c r="C61822"/>
      <c r="M61822"/>
    </row>
    <row r="61823" spans="3:13" ht="12.75" customHeight="1" x14ac:dyDescent="0.2">
      <c r="C61823"/>
      <c r="M61823"/>
    </row>
    <row r="61824" spans="3:13" ht="12.75" customHeight="1" x14ac:dyDescent="0.2">
      <c r="C61824"/>
      <c r="M61824"/>
    </row>
    <row r="61825" spans="3:13" ht="12.75" customHeight="1" x14ac:dyDescent="0.2">
      <c r="C61825"/>
      <c r="M61825"/>
    </row>
    <row r="61826" spans="3:13" ht="12.75" customHeight="1" x14ac:dyDescent="0.2">
      <c r="C61826"/>
      <c r="M61826"/>
    </row>
    <row r="61827" spans="3:13" ht="12.75" customHeight="1" x14ac:dyDescent="0.2">
      <c r="C61827"/>
      <c r="M61827"/>
    </row>
    <row r="61828" spans="3:13" ht="12.75" customHeight="1" x14ac:dyDescent="0.2">
      <c r="C61828"/>
      <c r="M61828"/>
    </row>
    <row r="61829" spans="3:13" ht="12.75" customHeight="1" x14ac:dyDescent="0.2">
      <c r="C61829"/>
      <c r="M61829"/>
    </row>
    <row r="61830" spans="3:13" ht="12.75" customHeight="1" x14ac:dyDescent="0.2">
      <c r="C61830"/>
      <c r="M61830"/>
    </row>
    <row r="61831" spans="3:13" ht="12.75" customHeight="1" x14ac:dyDescent="0.2">
      <c r="C61831"/>
      <c r="M61831"/>
    </row>
    <row r="61832" spans="3:13" ht="12.75" customHeight="1" x14ac:dyDescent="0.2">
      <c r="C61832"/>
      <c r="M61832"/>
    </row>
    <row r="61833" spans="3:13" ht="12.75" customHeight="1" x14ac:dyDescent="0.2">
      <c r="C61833"/>
      <c r="M61833"/>
    </row>
    <row r="61834" spans="3:13" ht="12.75" customHeight="1" x14ac:dyDescent="0.2">
      <c r="C61834"/>
      <c r="M61834"/>
    </row>
    <row r="61835" spans="3:13" ht="12.75" customHeight="1" x14ac:dyDescent="0.2">
      <c r="C61835"/>
      <c r="M61835"/>
    </row>
    <row r="61836" spans="3:13" ht="12.75" customHeight="1" x14ac:dyDescent="0.2">
      <c r="C61836"/>
      <c r="M61836"/>
    </row>
    <row r="61837" spans="3:13" ht="12.75" customHeight="1" x14ac:dyDescent="0.2">
      <c r="C61837"/>
      <c r="M61837"/>
    </row>
    <row r="61838" spans="3:13" ht="12.75" customHeight="1" x14ac:dyDescent="0.2">
      <c r="C61838"/>
      <c r="M61838"/>
    </row>
    <row r="61839" spans="3:13" ht="12.75" customHeight="1" x14ac:dyDescent="0.2">
      <c r="C61839"/>
      <c r="M61839"/>
    </row>
    <row r="61840" spans="3:13" ht="12.75" customHeight="1" x14ac:dyDescent="0.2">
      <c r="C61840"/>
      <c r="M61840"/>
    </row>
    <row r="61841" spans="3:13" ht="12.75" customHeight="1" x14ac:dyDescent="0.2">
      <c r="C61841"/>
      <c r="M61841"/>
    </row>
    <row r="61842" spans="3:13" ht="12.75" customHeight="1" x14ac:dyDescent="0.2">
      <c r="C61842"/>
      <c r="M61842"/>
    </row>
    <row r="61843" spans="3:13" ht="12.75" customHeight="1" x14ac:dyDescent="0.2">
      <c r="C61843"/>
      <c r="M61843"/>
    </row>
    <row r="61844" spans="3:13" ht="12.75" customHeight="1" x14ac:dyDescent="0.2">
      <c r="C61844"/>
      <c r="M61844"/>
    </row>
    <row r="61845" spans="3:13" ht="12.75" customHeight="1" x14ac:dyDescent="0.2">
      <c r="C61845"/>
      <c r="M61845"/>
    </row>
    <row r="61846" spans="3:13" ht="12.75" customHeight="1" x14ac:dyDescent="0.2">
      <c r="C61846"/>
      <c r="M61846"/>
    </row>
    <row r="61847" spans="3:13" ht="12.75" customHeight="1" x14ac:dyDescent="0.2">
      <c r="C61847"/>
      <c r="M61847"/>
    </row>
    <row r="61848" spans="3:13" ht="12.75" customHeight="1" x14ac:dyDescent="0.2">
      <c r="C61848"/>
      <c r="M61848"/>
    </row>
    <row r="61849" spans="3:13" ht="12.75" customHeight="1" x14ac:dyDescent="0.2">
      <c r="C61849"/>
      <c r="M61849"/>
    </row>
    <row r="61850" spans="3:13" ht="12.75" customHeight="1" x14ac:dyDescent="0.2">
      <c r="C61850"/>
      <c r="M61850"/>
    </row>
    <row r="61851" spans="3:13" ht="12.75" customHeight="1" x14ac:dyDescent="0.2">
      <c r="C61851"/>
      <c r="M61851"/>
    </row>
    <row r="61852" spans="3:13" ht="12.75" customHeight="1" x14ac:dyDescent="0.2">
      <c r="C61852"/>
      <c r="M61852"/>
    </row>
    <row r="61853" spans="3:13" ht="12.75" customHeight="1" x14ac:dyDescent="0.2">
      <c r="C61853"/>
      <c r="M61853"/>
    </row>
    <row r="61854" spans="3:13" ht="12.75" customHeight="1" x14ac:dyDescent="0.2">
      <c r="C61854"/>
      <c r="M61854"/>
    </row>
    <row r="61855" spans="3:13" ht="12.75" customHeight="1" x14ac:dyDescent="0.2">
      <c r="C61855"/>
      <c r="M61855"/>
    </row>
    <row r="61856" spans="3:13" ht="12.75" customHeight="1" x14ac:dyDescent="0.2">
      <c r="C61856"/>
      <c r="M61856"/>
    </row>
    <row r="61857" spans="3:13" ht="12.75" customHeight="1" x14ac:dyDescent="0.2">
      <c r="C61857"/>
      <c r="M61857"/>
    </row>
    <row r="61858" spans="3:13" ht="12.75" customHeight="1" x14ac:dyDescent="0.2">
      <c r="C61858"/>
      <c r="M61858"/>
    </row>
    <row r="61859" spans="3:13" ht="12.75" customHeight="1" x14ac:dyDescent="0.2">
      <c r="C61859"/>
      <c r="M61859"/>
    </row>
    <row r="61860" spans="3:13" ht="12.75" customHeight="1" x14ac:dyDescent="0.2">
      <c r="C61860"/>
      <c r="M61860"/>
    </row>
    <row r="61861" spans="3:13" ht="12.75" customHeight="1" x14ac:dyDescent="0.2">
      <c r="C61861"/>
      <c r="M61861"/>
    </row>
    <row r="61862" spans="3:13" ht="12.75" customHeight="1" x14ac:dyDescent="0.2">
      <c r="C61862"/>
      <c r="M61862"/>
    </row>
    <row r="61863" spans="3:13" ht="12.75" customHeight="1" x14ac:dyDescent="0.2">
      <c r="C61863"/>
      <c r="M61863"/>
    </row>
    <row r="61864" spans="3:13" ht="12.75" customHeight="1" x14ac:dyDescent="0.2">
      <c r="C61864"/>
      <c r="M61864"/>
    </row>
    <row r="61865" spans="3:13" ht="12.75" customHeight="1" x14ac:dyDescent="0.2">
      <c r="C61865"/>
      <c r="M61865"/>
    </row>
    <row r="61866" spans="3:13" ht="12.75" customHeight="1" x14ac:dyDescent="0.2">
      <c r="C61866"/>
      <c r="M61866"/>
    </row>
    <row r="61867" spans="3:13" ht="12.75" customHeight="1" x14ac:dyDescent="0.2">
      <c r="C61867"/>
      <c r="M61867"/>
    </row>
    <row r="61868" spans="3:13" ht="12.75" customHeight="1" x14ac:dyDescent="0.2">
      <c r="C61868"/>
      <c r="M61868"/>
    </row>
    <row r="61869" spans="3:13" ht="12.75" customHeight="1" x14ac:dyDescent="0.2">
      <c r="C61869"/>
      <c r="M61869"/>
    </row>
    <row r="61870" spans="3:13" ht="12.75" customHeight="1" x14ac:dyDescent="0.2">
      <c r="C61870"/>
      <c r="M61870"/>
    </row>
    <row r="61871" spans="3:13" ht="12.75" customHeight="1" x14ac:dyDescent="0.2">
      <c r="C61871"/>
      <c r="M61871"/>
    </row>
    <row r="61872" spans="3:13" ht="12.75" customHeight="1" x14ac:dyDescent="0.2">
      <c r="C61872"/>
      <c r="M61872"/>
    </row>
    <row r="61873" spans="3:13" ht="12.75" customHeight="1" x14ac:dyDescent="0.2">
      <c r="C61873"/>
      <c r="M61873"/>
    </row>
    <row r="61874" spans="3:13" ht="12.75" customHeight="1" x14ac:dyDescent="0.2">
      <c r="C61874"/>
      <c r="M61874"/>
    </row>
    <row r="61875" spans="3:13" ht="12.75" customHeight="1" x14ac:dyDescent="0.2">
      <c r="C61875"/>
      <c r="M61875"/>
    </row>
    <row r="61876" spans="3:13" ht="12.75" customHeight="1" x14ac:dyDescent="0.2">
      <c r="C61876"/>
      <c r="M61876"/>
    </row>
    <row r="61877" spans="3:13" ht="12.75" customHeight="1" x14ac:dyDescent="0.2">
      <c r="C61877"/>
      <c r="M61877"/>
    </row>
    <row r="61878" spans="3:13" ht="12.75" customHeight="1" x14ac:dyDescent="0.2">
      <c r="C61878"/>
      <c r="M61878"/>
    </row>
    <row r="61879" spans="3:13" ht="12.75" customHeight="1" x14ac:dyDescent="0.2">
      <c r="C61879"/>
      <c r="M61879"/>
    </row>
    <row r="61880" spans="3:13" ht="12.75" customHeight="1" x14ac:dyDescent="0.2">
      <c r="C61880"/>
      <c r="M61880"/>
    </row>
    <row r="61881" spans="3:13" ht="12.75" customHeight="1" x14ac:dyDescent="0.2">
      <c r="C61881"/>
      <c r="M61881"/>
    </row>
    <row r="61882" spans="3:13" ht="12.75" customHeight="1" x14ac:dyDescent="0.2">
      <c r="C61882"/>
      <c r="M61882"/>
    </row>
    <row r="61883" spans="3:13" ht="12.75" customHeight="1" x14ac:dyDescent="0.2">
      <c r="C61883"/>
      <c r="M61883"/>
    </row>
    <row r="61884" spans="3:13" ht="12.75" customHeight="1" x14ac:dyDescent="0.2">
      <c r="C61884"/>
      <c r="M61884"/>
    </row>
    <row r="61885" spans="3:13" ht="12.75" customHeight="1" x14ac:dyDescent="0.2">
      <c r="C61885"/>
      <c r="M61885"/>
    </row>
    <row r="61886" spans="3:13" ht="12.75" customHeight="1" x14ac:dyDescent="0.2">
      <c r="C61886"/>
      <c r="M61886"/>
    </row>
    <row r="61887" spans="3:13" ht="12.75" customHeight="1" x14ac:dyDescent="0.2">
      <c r="C61887"/>
      <c r="M61887"/>
    </row>
    <row r="61888" spans="3:13" ht="12.75" customHeight="1" x14ac:dyDescent="0.2">
      <c r="C61888"/>
      <c r="M61888"/>
    </row>
    <row r="61889" spans="3:13" ht="12.75" customHeight="1" x14ac:dyDescent="0.2">
      <c r="C61889"/>
      <c r="M61889"/>
    </row>
    <row r="61890" spans="3:13" ht="12.75" customHeight="1" x14ac:dyDescent="0.2">
      <c r="C61890"/>
      <c r="M61890"/>
    </row>
    <row r="61891" spans="3:13" ht="12.75" customHeight="1" x14ac:dyDescent="0.2">
      <c r="C61891"/>
      <c r="M61891"/>
    </row>
    <row r="61892" spans="3:13" ht="12.75" customHeight="1" x14ac:dyDescent="0.2">
      <c r="C61892"/>
      <c r="M61892"/>
    </row>
    <row r="61893" spans="3:13" ht="12.75" customHeight="1" x14ac:dyDescent="0.2">
      <c r="C61893"/>
      <c r="M61893"/>
    </row>
    <row r="61894" spans="3:13" ht="12.75" customHeight="1" x14ac:dyDescent="0.2">
      <c r="C61894"/>
      <c r="M61894"/>
    </row>
    <row r="61895" spans="3:13" ht="12.75" customHeight="1" x14ac:dyDescent="0.2">
      <c r="C61895"/>
      <c r="M61895"/>
    </row>
    <row r="61896" spans="3:13" ht="12.75" customHeight="1" x14ac:dyDescent="0.2">
      <c r="C61896"/>
      <c r="M61896"/>
    </row>
    <row r="61897" spans="3:13" ht="12.75" customHeight="1" x14ac:dyDescent="0.2">
      <c r="C61897"/>
      <c r="M61897"/>
    </row>
    <row r="61898" spans="3:13" ht="12.75" customHeight="1" x14ac:dyDescent="0.2">
      <c r="C61898"/>
      <c r="M61898"/>
    </row>
    <row r="61899" spans="3:13" ht="12.75" customHeight="1" x14ac:dyDescent="0.2">
      <c r="C61899"/>
      <c r="M61899"/>
    </row>
    <row r="61900" spans="3:13" ht="12.75" customHeight="1" x14ac:dyDescent="0.2">
      <c r="C61900"/>
      <c r="M61900"/>
    </row>
    <row r="61901" spans="3:13" ht="12.75" customHeight="1" x14ac:dyDescent="0.2">
      <c r="C61901"/>
      <c r="M61901"/>
    </row>
    <row r="61902" spans="3:13" ht="12.75" customHeight="1" x14ac:dyDescent="0.2">
      <c r="C61902"/>
      <c r="M61902"/>
    </row>
    <row r="61903" spans="3:13" ht="12.75" customHeight="1" x14ac:dyDescent="0.2">
      <c r="C61903"/>
      <c r="M61903"/>
    </row>
    <row r="61904" spans="3:13" ht="12.75" customHeight="1" x14ac:dyDescent="0.2">
      <c r="C61904"/>
      <c r="M61904"/>
    </row>
    <row r="61905" spans="3:13" ht="12.75" customHeight="1" x14ac:dyDescent="0.2">
      <c r="C61905"/>
      <c r="M61905"/>
    </row>
    <row r="61906" spans="3:13" ht="12.75" customHeight="1" x14ac:dyDescent="0.2">
      <c r="C61906"/>
      <c r="M61906"/>
    </row>
    <row r="61907" spans="3:13" ht="12.75" customHeight="1" x14ac:dyDescent="0.2">
      <c r="C61907"/>
      <c r="M61907"/>
    </row>
    <row r="61908" spans="3:13" ht="12.75" customHeight="1" x14ac:dyDescent="0.2">
      <c r="C61908"/>
      <c r="M61908"/>
    </row>
    <row r="61909" spans="3:13" ht="12.75" customHeight="1" x14ac:dyDescent="0.2">
      <c r="C61909"/>
      <c r="M61909"/>
    </row>
    <row r="61910" spans="3:13" ht="12.75" customHeight="1" x14ac:dyDescent="0.2">
      <c r="C61910"/>
      <c r="M61910"/>
    </row>
    <row r="61911" spans="3:13" ht="12.75" customHeight="1" x14ac:dyDescent="0.2">
      <c r="C61911"/>
      <c r="M61911"/>
    </row>
    <row r="61912" spans="3:13" ht="12.75" customHeight="1" x14ac:dyDescent="0.2">
      <c r="C61912"/>
      <c r="M61912"/>
    </row>
    <row r="61913" spans="3:13" ht="12.75" customHeight="1" x14ac:dyDescent="0.2">
      <c r="C61913"/>
      <c r="M61913"/>
    </row>
    <row r="61914" spans="3:13" ht="12.75" customHeight="1" x14ac:dyDescent="0.2">
      <c r="C61914"/>
      <c r="M61914"/>
    </row>
    <row r="61915" spans="3:13" ht="12.75" customHeight="1" x14ac:dyDescent="0.2">
      <c r="C61915"/>
      <c r="M61915"/>
    </row>
    <row r="61916" spans="3:13" ht="12.75" customHeight="1" x14ac:dyDescent="0.2">
      <c r="C61916"/>
      <c r="M61916"/>
    </row>
    <row r="61917" spans="3:13" ht="12.75" customHeight="1" x14ac:dyDescent="0.2">
      <c r="C61917"/>
      <c r="M61917"/>
    </row>
    <row r="61918" spans="3:13" ht="12.75" customHeight="1" x14ac:dyDescent="0.2">
      <c r="C61918"/>
      <c r="M61918"/>
    </row>
    <row r="61919" spans="3:13" ht="12.75" customHeight="1" x14ac:dyDescent="0.2">
      <c r="C61919"/>
      <c r="M61919"/>
    </row>
    <row r="61920" spans="3:13" ht="12.75" customHeight="1" x14ac:dyDescent="0.2">
      <c r="C61920"/>
      <c r="M61920"/>
    </row>
    <row r="61921" spans="3:13" ht="12.75" customHeight="1" x14ac:dyDescent="0.2">
      <c r="C61921"/>
      <c r="M61921"/>
    </row>
    <row r="61922" spans="3:13" ht="12.75" customHeight="1" x14ac:dyDescent="0.2">
      <c r="C61922"/>
      <c r="M61922"/>
    </row>
    <row r="61923" spans="3:13" ht="12.75" customHeight="1" x14ac:dyDescent="0.2">
      <c r="C61923"/>
      <c r="M61923"/>
    </row>
    <row r="61924" spans="3:13" ht="12.75" customHeight="1" x14ac:dyDescent="0.2">
      <c r="C61924"/>
      <c r="M61924"/>
    </row>
    <row r="61925" spans="3:13" ht="12.75" customHeight="1" x14ac:dyDescent="0.2">
      <c r="C61925"/>
      <c r="M61925"/>
    </row>
    <row r="61926" spans="3:13" ht="12.75" customHeight="1" x14ac:dyDescent="0.2">
      <c r="C61926"/>
      <c r="M61926"/>
    </row>
    <row r="61927" spans="3:13" ht="12.75" customHeight="1" x14ac:dyDescent="0.2">
      <c r="C61927"/>
      <c r="M61927"/>
    </row>
    <row r="61928" spans="3:13" ht="12.75" customHeight="1" x14ac:dyDescent="0.2">
      <c r="C61928"/>
      <c r="M61928"/>
    </row>
    <row r="61929" spans="3:13" ht="12.75" customHeight="1" x14ac:dyDescent="0.2">
      <c r="C61929"/>
      <c r="M61929"/>
    </row>
    <row r="61930" spans="3:13" ht="12.75" customHeight="1" x14ac:dyDescent="0.2">
      <c r="C61930"/>
      <c r="M61930"/>
    </row>
    <row r="61931" spans="3:13" ht="12.75" customHeight="1" x14ac:dyDescent="0.2">
      <c r="C61931"/>
      <c r="M61931"/>
    </row>
    <row r="61932" spans="3:13" ht="12.75" customHeight="1" x14ac:dyDescent="0.2">
      <c r="C61932"/>
      <c r="M61932"/>
    </row>
    <row r="61933" spans="3:13" ht="12.75" customHeight="1" x14ac:dyDescent="0.2">
      <c r="C61933"/>
      <c r="M61933"/>
    </row>
    <row r="61934" spans="3:13" ht="12.75" customHeight="1" x14ac:dyDescent="0.2">
      <c r="C61934"/>
      <c r="M61934"/>
    </row>
    <row r="61935" spans="3:13" ht="12.75" customHeight="1" x14ac:dyDescent="0.2">
      <c r="C61935"/>
      <c r="M61935"/>
    </row>
    <row r="61936" spans="3:13" ht="12.75" customHeight="1" x14ac:dyDescent="0.2">
      <c r="C61936"/>
      <c r="M61936"/>
    </row>
    <row r="61937" spans="3:13" ht="12.75" customHeight="1" x14ac:dyDescent="0.2">
      <c r="C61937"/>
      <c r="M61937"/>
    </row>
    <row r="61938" spans="3:13" ht="12.75" customHeight="1" x14ac:dyDescent="0.2">
      <c r="C61938"/>
      <c r="M61938"/>
    </row>
    <row r="61939" spans="3:13" ht="12.75" customHeight="1" x14ac:dyDescent="0.2">
      <c r="C61939"/>
      <c r="M61939"/>
    </row>
    <row r="61940" spans="3:13" ht="12.75" customHeight="1" x14ac:dyDescent="0.2">
      <c r="C61940"/>
      <c r="M61940"/>
    </row>
    <row r="61941" spans="3:13" ht="12.75" customHeight="1" x14ac:dyDescent="0.2">
      <c r="C61941"/>
      <c r="M61941"/>
    </row>
    <row r="61942" spans="3:13" ht="12.75" customHeight="1" x14ac:dyDescent="0.2">
      <c r="C61942"/>
      <c r="M61942"/>
    </row>
    <row r="61943" spans="3:13" ht="12.75" customHeight="1" x14ac:dyDescent="0.2">
      <c r="C61943"/>
      <c r="M61943"/>
    </row>
    <row r="61944" spans="3:13" ht="12.75" customHeight="1" x14ac:dyDescent="0.2">
      <c r="C61944"/>
      <c r="M61944"/>
    </row>
    <row r="61945" spans="3:13" ht="12.75" customHeight="1" x14ac:dyDescent="0.2">
      <c r="C61945"/>
      <c r="M61945"/>
    </row>
    <row r="61946" spans="3:13" ht="12.75" customHeight="1" x14ac:dyDescent="0.2">
      <c r="C61946"/>
      <c r="M61946"/>
    </row>
    <row r="61947" spans="3:13" ht="12.75" customHeight="1" x14ac:dyDescent="0.2">
      <c r="C61947"/>
      <c r="M61947"/>
    </row>
    <row r="61948" spans="3:13" ht="12.75" customHeight="1" x14ac:dyDescent="0.2">
      <c r="C61948"/>
      <c r="M61948"/>
    </row>
    <row r="61949" spans="3:13" ht="12.75" customHeight="1" x14ac:dyDescent="0.2">
      <c r="C61949"/>
      <c r="M61949"/>
    </row>
    <row r="61950" spans="3:13" ht="12.75" customHeight="1" x14ac:dyDescent="0.2">
      <c r="C61950"/>
      <c r="M61950"/>
    </row>
    <row r="61951" spans="3:13" ht="12.75" customHeight="1" x14ac:dyDescent="0.2">
      <c r="C61951"/>
      <c r="M61951"/>
    </row>
    <row r="61952" spans="3:13" ht="12.75" customHeight="1" x14ac:dyDescent="0.2">
      <c r="C61952"/>
      <c r="M61952"/>
    </row>
    <row r="61953" spans="3:13" ht="12.75" customHeight="1" x14ac:dyDescent="0.2">
      <c r="C61953"/>
      <c r="M61953"/>
    </row>
    <row r="61954" spans="3:13" ht="12.75" customHeight="1" x14ac:dyDescent="0.2">
      <c r="C61954"/>
      <c r="M61954"/>
    </row>
    <row r="61955" spans="3:13" ht="12.75" customHeight="1" x14ac:dyDescent="0.2">
      <c r="C61955"/>
      <c r="M61955"/>
    </row>
    <row r="61956" spans="3:13" ht="12.75" customHeight="1" x14ac:dyDescent="0.2">
      <c r="C61956"/>
      <c r="M61956"/>
    </row>
    <row r="61957" spans="3:13" ht="12.75" customHeight="1" x14ac:dyDescent="0.2">
      <c r="C61957"/>
      <c r="M61957"/>
    </row>
    <row r="61958" spans="3:13" ht="12.75" customHeight="1" x14ac:dyDescent="0.2">
      <c r="C61958"/>
      <c r="M61958"/>
    </row>
    <row r="61959" spans="3:13" ht="12.75" customHeight="1" x14ac:dyDescent="0.2">
      <c r="C61959"/>
      <c r="M61959"/>
    </row>
    <row r="61960" spans="3:13" ht="12.75" customHeight="1" x14ac:dyDescent="0.2">
      <c r="C61960"/>
      <c r="M61960"/>
    </row>
    <row r="61961" spans="3:13" ht="12.75" customHeight="1" x14ac:dyDescent="0.2">
      <c r="C61961"/>
      <c r="M61961"/>
    </row>
    <row r="61962" spans="3:13" ht="12.75" customHeight="1" x14ac:dyDescent="0.2">
      <c r="C61962"/>
      <c r="M61962"/>
    </row>
    <row r="61963" spans="3:13" ht="12.75" customHeight="1" x14ac:dyDescent="0.2">
      <c r="C61963"/>
      <c r="M61963"/>
    </row>
    <row r="61964" spans="3:13" ht="12.75" customHeight="1" x14ac:dyDescent="0.2">
      <c r="C61964"/>
      <c r="M61964"/>
    </row>
    <row r="61965" spans="3:13" ht="12.75" customHeight="1" x14ac:dyDescent="0.2">
      <c r="C61965"/>
      <c r="M61965"/>
    </row>
    <row r="61966" spans="3:13" ht="12.75" customHeight="1" x14ac:dyDescent="0.2">
      <c r="C61966"/>
      <c r="M61966"/>
    </row>
    <row r="61967" spans="3:13" ht="12.75" customHeight="1" x14ac:dyDescent="0.2">
      <c r="C61967"/>
      <c r="M61967"/>
    </row>
    <row r="61968" spans="3:13" ht="12.75" customHeight="1" x14ac:dyDescent="0.2">
      <c r="C61968"/>
      <c r="M61968"/>
    </row>
    <row r="61969" spans="3:13" ht="12.75" customHeight="1" x14ac:dyDescent="0.2">
      <c r="C61969"/>
      <c r="M61969"/>
    </row>
    <row r="61970" spans="3:13" ht="12.75" customHeight="1" x14ac:dyDescent="0.2">
      <c r="C61970"/>
      <c r="M61970"/>
    </row>
    <row r="61971" spans="3:13" ht="12.75" customHeight="1" x14ac:dyDescent="0.2">
      <c r="C61971"/>
      <c r="M61971"/>
    </row>
    <row r="61972" spans="3:13" ht="12.75" customHeight="1" x14ac:dyDescent="0.2">
      <c r="C61972"/>
      <c r="M61972"/>
    </row>
    <row r="61973" spans="3:13" ht="12.75" customHeight="1" x14ac:dyDescent="0.2">
      <c r="C61973"/>
      <c r="M61973"/>
    </row>
    <row r="61974" spans="3:13" ht="12.75" customHeight="1" x14ac:dyDescent="0.2">
      <c r="C61974"/>
      <c r="M61974"/>
    </row>
    <row r="61975" spans="3:13" ht="12.75" customHeight="1" x14ac:dyDescent="0.2">
      <c r="C61975"/>
      <c r="M61975"/>
    </row>
    <row r="61976" spans="3:13" ht="12.75" customHeight="1" x14ac:dyDescent="0.2">
      <c r="C61976"/>
      <c r="M61976"/>
    </row>
    <row r="61977" spans="3:13" ht="12.75" customHeight="1" x14ac:dyDescent="0.2">
      <c r="C61977"/>
      <c r="M61977"/>
    </row>
    <row r="61978" spans="3:13" ht="12.75" customHeight="1" x14ac:dyDescent="0.2">
      <c r="C61978"/>
      <c r="M61978"/>
    </row>
    <row r="61979" spans="3:13" ht="12.75" customHeight="1" x14ac:dyDescent="0.2">
      <c r="C61979"/>
      <c r="M61979"/>
    </row>
    <row r="61980" spans="3:13" ht="12.75" customHeight="1" x14ac:dyDescent="0.2">
      <c r="C61980"/>
      <c r="M61980"/>
    </row>
    <row r="61981" spans="3:13" ht="12.75" customHeight="1" x14ac:dyDescent="0.2">
      <c r="C61981"/>
      <c r="M61981"/>
    </row>
    <row r="61982" spans="3:13" ht="12.75" customHeight="1" x14ac:dyDescent="0.2">
      <c r="C61982"/>
      <c r="M61982"/>
    </row>
    <row r="61983" spans="3:13" ht="12.75" customHeight="1" x14ac:dyDescent="0.2">
      <c r="C61983"/>
      <c r="M61983"/>
    </row>
    <row r="61984" spans="3:13" ht="12.75" customHeight="1" x14ac:dyDescent="0.2">
      <c r="C61984"/>
      <c r="M61984"/>
    </row>
    <row r="61985" spans="3:13" ht="12.75" customHeight="1" x14ac:dyDescent="0.2">
      <c r="C61985"/>
      <c r="M61985"/>
    </row>
    <row r="61986" spans="3:13" ht="12.75" customHeight="1" x14ac:dyDescent="0.2">
      <c r="C61986"/>
      <c r="M61986"/>
    </row>
    <row r="61987" spans="3:13" ht="12.75" customHeight="1" x14ac:dyDescent="0.2">
      <c r="C61987"/>
      <c r="M61987"/>
    </row>
    <row r="61988" spans="3:13" ht="12.75" customHeight="1" x14ac:dyDescent="0.2">
      <c r="C61988"/>
      <c r="M61988"/>
    </row>
    <row r="61989" spans="3:13" ht="12.75" customHeight="1" x14ac:dyDescent="0.2">
      <c r="C61989"/>
      <c r="M61989"/>
    </row>
    <row r="61990" spans="3:13" ht="12.75" customHeight="1" x14ac:dyDescent="0.2">
      <c r="C61990"/>
      <c r="M61990"/>
    </row>
    <row r="61991" spans="3:13" ht="12.75" customHeight="1" x14ac:dyDescent="0.2">
      <c r="C61991"/>
      <c r="M61991"/>
    </row>
    <row r="61992" spans="3:13" ht="12.75" customHeight="1" x14ac:dyDescent="0.2">
      <c r="C61992"/>
      <c r="M61992"/>
    </row>
    <row r="61993" spans="3:13" ht="12.75" customHeight="1" x14ac:dyDescent="0.2">
      <c r="C61993"/>
      <c r="M61993"/>
    </row>
    <row r="61994" spans="3:13" ht="12.75" customHeight="1" x14ac:dyDescent="0.2">
      <c r="C61994"/>
      <c r="M61994"/>
    </row>
    <row r="61995" spans="3:13" ht="12.75" customHeight="1" x14ac:dyDescent="0.2">
      <c r="C61995"/>
      <c r="M61995"/>
    </row>
    <row r="61996" spans="3:13" ht="12.75" customHeight="1" x14ac:dyDescent="0.2">
      <c r="C61996"/>
      <c r="M61996"/>
    </row>
    <row r="61997" spans="3:13" ht="12.75" customHeight="1" x14ac:dyDescent="0.2">
      <c r="C61997"/>
      <c r="M61997"/>
    </row>
    <row r="61998" spans="3:13" ht="12.75" customHeight="1" x14ac:dyDescent="0.2">
      <c r="C61998"/>
      <c r="M61998"/>
    </row>
    <row r="61999" spans="3:13" ht="12.75" customHeight="1" x14ac:dyDescent="0.2">
      <c r="C61999"/>
      <c r="M61999"/>
    </row>
    <row r="62000" spans="3:13" ht="12.75" customHeight="1" x14ac:dyDescent="0.2">
      <c r="C62000"/>
      <c r="M62000"/>
    </row>
    <row r="62001" spans="3:13" ht="12.75" customHeight="1" x14ac:dyDescent="0.2">
      <c r="C62001"/>
      <c r="M62001"/>
    </row>
    <row r="62002" spans="3:13" ht="12.75" customHeight="1" x14ac:dyDescent="0.2">
      <c r="C62002"/>
      <c r="M62002"/>
    </row>
    <row r="62003" spans="3:13" ht="12.75" customHeight="1" x14ac:dyDescent="0.2">
      <c r="C62003"/>
      <c r="M62003"/>
    </row>
    <row r="62004" spans="3:13" ht="12.75" customHeight="1" x14ac:dyDescent="0.2">
      <c r="C62004"/>
      <c r="M62004"/>
    </row>
    <row r="62005" spans="3:13" ht="12.75" customHeight="1" x14ac:dyDescent="0.2">
      <c r="C62005"/>
      <c r="M62005"/>
    </row>
    <row r="62006" spans="3:13" ht="12.75" customHeight="1" x14ac:dyDescent="0.2">
      <c r="C62006"/>
      <c r="M62006"/>
    </row>
    <row r="62007" spans="3:13" ht="12.75" customHeight="1" x14ac:dyDescent="0.2">
      <c r="C62007"/>
      <c r="M62007"/>
    </row>
    <row r="62008" spans="3:13" ht="12.75" customHeight="1" x14ac:dyDescent="0.2">
      <c r="C62008"/>
      <c r="M62008"/>
    </row>
    <row r="62009" spans="3:13" ht="12.75" customHeight="1" x14ac:dyDescent="0.2">
      <c r="C62009"/>
      <c r="M62009"/>
    </row>
    <row r="62010" spans="3:13" ht="12.75" customHeight="1" x14ac:dyDescent="0.2">
      <c r="C62010"/>
      <c r="M62010"/>
    </row>
    <row r="62011" spans="3:13" ht="12.75" customHeight="1" x14ac:dyDescent="0.2">
      <c r="C62011"/>
      <c r="M62011"/>
    </row>
    <row r="62012" spans="3:13" ht="12.75" customHeight="1" x14ac:dyDescent="0.2">
      <c r="C62012"/>
      <c r="M62012"/>
    </row>
    <row r="62013" spans="3:13" ht="12.75" customHeight="1" x14ac:dyDescent="0.2">
      <c r="C62013"/>
      <c r="M62013"/>
    </row>
    <row r="62014" spans="3:13" ht="12.75" customHeight="1" x14ac:dyDescent="0.2">
      <c r="C62014"/>
      <c r="M62014"/>
    </row>
    <row r="62015" spans="3:13" ht="12.75" customHeight="1" x14ac:dyDescent="0.2">
      <c r="C62015"/>
      <c r="M62015"/>
    </row>
    <row r="62016" spans="3:13" ht="12.75" customHeight="1" x14ac:dyDescent="0.2">
      <c r="C62016"/>
      <c r="M62016"/>
    </row>
    <row r="62017" spans="3:13" ht="12.75" customHeight="1" x14ac:dyDescent="0.2">
      <c r="C62017"/>
      <c r="M62017"/>
    </row>
    <row r="62018" spans="3:13" ht="12.75" customHeight="1" x14ac:dyDescent="0.2">
      <c r="C62018"/>
      <c r="M62018"/>
    </row>
    <row r="62019" spans="3:13" ht="12.75" customHeight="1" x14ac:dyDescent="0.2">
      <c r="C62019"/>
      <c r="M62019"/>
    </row>
    <row r="62020" spans="3:13" ht="12.75" customHeight="1" x14ac:dyDescent="0.2">
      <c r="C62020"/>
      <c r="M62020"/>
    </row>
    <row r="62021" spans="3:13" ht="12.75" customHeight="1" x14ac:dyDescent="0.2">
      <c r="C62021"/>
      <c r="M62021"/>
    </row>
    <row r="62022" spans="3:13" ht="12.75" customHeight="1" x14ac:dyDescent="0.2">
      <c r="C62022"/>
      <c r="M62022"/>
    </row>
    <row r="62023" spans="3:13" ht="12.75" customHeight="1" x14ac:dyDescent="0.2">
      <c r="C62023"/>
      <c r="M62023"/>
    </row>
    <row r="62024" spans="3:13" ht="12.75" customHeight="1" x14ac:dyDescent="0.2">
      <c r="C62024"/>
      <c r="M62024"/>
    </row>
    <row r="62025" spans="3:13" ht="12.75" customHeight="1" x14ac:dyDescent="0.2">
      <c r="C62025"/>
      <c r="M62025"/>
    </row>
    <row r="62026" spans="3:13" ht="12.75" customHeight="1" x14ac:dyDescent="0.2">
      <c r="C62026"/>
      <c r="M62026"/>
    </row>
    <row r="62027" spans="3:13" ht="12.75" customHeight="1" x14ac:dyDescent="0.2">
      <c r="C62027"/>
      <c r="M62027"/>
    </row>
    <row r="62028" spans="3:13" ht="12.75" customHeight="1" x14ac:dyDescent="0.2">
      <c r="C62028"/>
      <c r="M62028"/>
    </row>
    <row r="62029" spans="3:13" ht="12.75" customHeight="1" x14ac:dyDescent="0.2">
      <c r="C62029"/>
      <c r="M62029"/>
    </row>
    <row r="62030" spans="3:13" ht="12.75" customHeight="1" x14ac:dyDescent="0.2">
      <c r="C62030"/>
      <c r="M62030"/>
    </row>
    <row r="62031" spans="3:13" ht="12.75" customHeight="1" x14ac:dyDescent="0.2">
      <c r="C62031"/>
      <c r="M62031"/>
    </row>
    <row r="62032" spans="3:13" ht="12.75" customHeight="1" x14ac:dyDescent="0.2">
      <c r="C62032"/>
      <c r="M62032"/>
    </row>
    <row r="62033" spans="3:13" ht="12.75" customHeight="1" x14ac:dyDescent="0.2">
      <c r="C62033"/>
      <c r="M62033"/>
    </row>
    <row r="62034" spans="3:13" ht="12.75" customHeight="1" x14ac:dyDescent="0.2">
      <c r="C62034"/>
      <c r="M62034"/>
    </row>
    <row r="62035" spans="3:13" ht="12.75" customHeight="1" x14ac:dyDescent="0.2">
      <c r="C62035"/>
      <c r="M62035"/>
    </row>
    <row r="62036" spans="3:13" ht="12.75" customHeight="1" x14ac:dyDescent="0.2">
      <c r="C62036"/>
      <c r="M62036"/>
    </row>
    <row r="62037" spans="3:13" ht="12.75" customHeight="1" x14ac:dyDescent="0.2">
      <c r="C62037"/>
      <c r="M62037"/>
    </row>
    <row r="62038" spans="3:13" ht="12.75" customHeight="1" x14ac:dyDescent="0.2">
      <c r="C62038"/>
      <c r="M62038"/>
    </row>
    <row r="62039" spans="3:13" ht="12.75" customHeight="1" x14ac:dyDescent="0.2">
      <c r="C62039"/>
      <c r="M62039"/>
    </row>
    <row r="62040" spans="3:13" ht="12.75" customHeight="1" x14ac:dyDescent="0.2">
      <c r="C62040"/>
      <c r="M62040"/>
    </row>
    <row r="62041" spans="3:13" ht="12.75" customHeight="1" x14ac:dyDescent="0.2">
      <c r="C62041"/>
      <c r="M62041"/>
    </row>
    <row r="62042" spans="3:13" ht="12.75" customHeight="1" x14ac:dyDescent="0.2">
      <c r="C62042"/>
      <c r="M62042"/>
    </row>
    <row r="62043" spans="3:13" ht="12.75" customHeight="1" x14ac:dyDescent="0.2">
      <c r="C62043"/>
      <c r="M62043"/>
    </row>
    <row r="62044" spans="3:13" ht="12.75" customHeight="1" x14ac:dyDescent="0.2">
      <c r="C62044"/>
      <c r="M62044"/>
    </row>
    <row r="62045" spans="3:13" ht="12.75" customHeight="1" x14ac:dyDescent="0.2">
      <c r="C62045"/>
      <c r="M62045"/>
    </row>
    <row r="62046" spans="3:13" ht="12.75" customHeight="1" x14ac:dyDescent="0.2">
      <c r="C62046"/>
      <c r="M62046"/>
    </row>
    <row r="62047" spans="3:13" ht="12.75" customHeight="1" x14ac:dyDescent="0.2">
      <c r="C62047"/>
      <c r="M62047"/>
    </row>
    <row r="62048" spans="3:13" ht="12.75" customHeight="1" x14ac:dyDescent="0.2">
      <c r="C62048"/>
      <c r="M62048"/>
    </row>
    <row r="62049" spans="3:13" ht="12.75" customHeight="1" x14ac:dyDescent="0.2">
      <c r="C62049"/>
      <c r="M62049"/>
    </row>
    <row r="62050" spans="3:13" ht="12.75" customHeight="1" x14ac:dyDescent="0.2">
      <c r="C62050"/>
      <c r="M62050"/>
    </row>
    <row r="62051" spans="3:13" ht="12.75" customHeight="1" x14ac:dyDescent="0.2">
      <c r="C62051"/>
      <c r="M62051"/>
    </row>
    <row r="62052" spans="3:13" ht="12.75" customHeight="1" x14ac:dyDescent="0.2">
      <c r="C62052"/>
      <c r="M62052"/>
    </row>
    <row r="62053" spans="3:13" ht="12.75" customHeight="1" x14ac:dyDescent="0.2">
      <c r="C62053"/>
      <c r="M62053"/>
    </row>
    <row r="62054" spans="3:13" ht="12.75" customHeight="1" x14ac:dyDescent="0.2">
      <c r="C62054"/>
      <c r="M62054"/>
    </row>
    <row r="62055" spans="3:13" ht="12.75" customHeight="1" x14ac:dyDescent="0.2">
      <c r="C62055"/>
      <c r="M62055"/>
    </row>
    <row r="62056" spans="3:13" ht="12.75" customHeight="1" x14ac:dyDescent="0.2">
      <c r="C62056"/>
      <c r="M62056"/>
    </row>
    <row r="62057" spans="3:13" ht="12.75" customHeight="1" x14ac:dyDescent="0.2">
      <c r="C62057"/>
      <c r="M62057"/>
    </row>
    <row r="62058" spans="3:13" ht="12.75" customHeight="1" x14ac:dyDescent="0.2">
      <c r="C62058"/>
      <c r="M62058"/>
    </row>
    <row r="62059" spans="3:13" ht="12.75" customHeight="1" x14ac:dyDescent="0.2">
      <c r="C62059"/>
      <c r="M62059"/>
    </row>
    <row r="62060" spans="3:13" ht="12.75" customHeight="1" x14ac:dyDescent="0.2">
      <c r="C62060"/>
      <c r="M62060"/>
    </row>
    <row r="62061" spans="3:13" ht="12.75" customHeight="1" x14ac:dyDescent="0.2">
      <c r="C62061"/>
      <c r="M62061"/>
    </row>
    <row r="62062" spans="3:13" ht="12.75" customHeight="1" x14ac:dyDescent="0.2">
      <c r="C62062"/>
      <c r="M62062"/>
    </row>
    <row r="62063" spans="3:13" ht="12.75" customHeight="1" x14ac:dyDescent="0.2">
      <c r="C62063"/>
      <c r="M62063"/>
    </row>
    <row r="62064" spans="3:13" ht="12.75" customHeight="1" x14ac:dyDescent="0.2">
      <c r="C62064"/>
      <c r="M62064"/>
    </row>
    <row r="62065" spans="3:13" ht="12.75" customHeight="1" x14ac:dyDescent="0.2">
      <c r="C62065"/>
      <c r="M62065"/>
    </row>
    <row r="62066" spans="3:13" ht="12.75" customHeight="1" x14ac:dyDescent="0.2">
      <c r="C62066"/>
      <c r="M62066"/>
    </row>
    <row r="62067" spans="3:13" ht="12.75" customHeight="1" x14ac:dyDescent="0.2">
      <c r="C62067"/>
      <c r="M62067"/>
    </row>
    <row r="62068" spans="3:13" ht="12.75" customHeight="1" x14ac:dyDescent="0.2">
      <c r="C62068"/>
      <c r="M62068"/>
    </row>
    <row r="62069" spans="3:13" ht="12.75" customHeight="1" x14ac:dyDescent="0.2">
      <c r="C62069"/>
      <c r="M62069"/>
    </row>
    <row r="62070" spans="3:13" ht="12.75" customHeight="1" x14ac:dyDescent="0.2">
      <c r="C62070"/>
      <c r="M62070"/>
    </row>
    <row r="62071" spans="3:13" ht="12.75" customHeight="1" x14ac:dyDescent="0.2">
      <c r="C62071"/>
      <c r="M62071"/>
    </row>
    <row r="62072" spans="3:13" ht="12.75" customHeight="1" x14ac:dyDescent="0.2">
      <c r="C62072"/>
      <c r="M62072"/>
    </row>
    <row r="62073" spans="3:13" ht="12.75" customHeight="1" x14ac:dyDescent="0.2">
      <c r="C62073"/>
      <c r="M62073"/>
    </row>
    <row r="62074" spans="3:13" ht="12.75" customHeight="1" x14ac:dyDescent="0.2">
      <c r="C62074"/>
      <c r="M62074"/>
    </row>
    <row r="62075" spans="3:13" ht="12.75" customHeight="1" x14ac:dyDescent="0.2">
      <c r="C62075"/>
      <c r="M62075"/>
    </row>
    <row r="62076" spans="3:13" ht="12.75" customHeight="1" x14ac:dyDescent="0.2">
      <c r="C62076"/>
      <c r="M62076"/>
    </row>
    <row r="62077" spans="3:13" ht="12.75" customHeight="1" x14ac:dyDescent="0.2">
      <c r="C62077"/>
      <c r="M62077"/>
    </row>
    <row r="62078" spans="3:13" ht="12.75" customHeight="1" x14ac:dyDescent="0.2">
      <c r="C62078"/>
      <c r="M62078"/>
    </row>
    <row r="62079" spans="3:13" ht="12.75" customHeight="1" x14ac:dyDescent="0.2">
      <c r="C62079"/>
      <c r="M62079"/>
    </row>
    <row r="62080" spans="3:13" ht="12.75" customHeight="1" x14ac:dyDescent="0.2">
      <c r="C62080"/>
      <c r="M62080"/>
    </row>
    <row r="62081" spans="3:13" ht="12.75" customHeight="1" x14ac:dyDescent="0.2">
      <c r="C62081"/>
      <c r="M62081"/>
    </row>
    <row r="62082" spans="3:13" ht="12.75" customHeight="1" x14ac:dyDescent="0.2">
      <c r="C62082"/>
      <c r="M62082"/>
    </row>
    <row r="62083" spans="3:13" ht="12.75" customHeight="1" x14ac:dyDescent="0.2">
      <c r="C62083"/>
      <c r="M62083"/>
    </row>
    <row r="62084" spans="3:13" ht="12.75" customHeight="1" x14ac:dyDescent="0.2">
      <c r="C62084"/>
      <c r="M62084"/>
    </row>
    <row r="62085" spans="3:13" ht="12.75" customHeight="1" x14ac:dyDescent="0.2">
      <c r="C62085"/>
      <c r="M62085"/>
    </row>
    <row r="62086" spans="3:13" ht="12.75" customHeight="1" x14ac:dyDescent="0.2">
      <c r="C62086"/>
      <c r="M62086"/>
    </row>
    <row r="62087" spans="3:13" ht="12.75" customHeight="1" x14ac:dyDescent="0.2">
      <c r="C62087"/>
      <c r="M62087"/>
    </row>
    <row r="62088" spans="3:13" ht="12.75" customHeight="1" x14ac:dyDescent="0.2">
      <c r="C62088"/>
      <c r="M62088"/>
    </row>
    <row r="62089" spans="3:13" ht="12.75" customHeight="1" x14ac:dyDescent="0.2">
      <c r="C62089"/>
      <c r="M62089"/>
    </row>
    <row r="62090" spans="3:13" ht="12.75" customHeight="1" x14ac:dyDescent="0.2">
      <c r="C62090"/>
      <c r="M62090"/>
    </row>
    <row r="62091" spans="3:13" ht="12.75" customHeight="1" x14ac:dyDescent="0.2">
      <c r="C62091"/>
      <c r="M62091"/>
    </row>
    <row r="62092" spans="3:13" ht="12.75" customHeight="1" x14ac:dyDescent="0.2">
      <c r="C62092"/>
      <c r="M62092"/>
    </row>
    <row r="62093" spans="3:13" ht="12.75" customHeight="1" x14ac:dyDescent="0.2">
      <c r="C62093"/>
      <c r="M62093"/>
    </row>
    <row r="62094" spans="3:13" ht="12.75" customHeight="1" x14ac:dyDescent="0.2">
      <c r="C62094"/>
      <c r="M62094"/>
    </row>
    <row r="62095" spans="3:13" ht="12.75" customHeight="1" x14ac:dyDescent="0.2">
      <c r="C62095"/>
      <c r="M62095"/>
    </row>
    <row r="62096" spans="3:13" ht="12.75" customHeight="1" x14ac:dyDescent="0.2">
      <c r="C62096"/>
      <c r="M62096"/>
    </row>
    <row r="62097" spans="3:13" ht="12.75" customHeight="1" x14ac:dyDescent="0.2">
      <c r="C62097"/>
      <c r="M62097"/>
    </row>
    <row r="62098" spans="3:13" ht="12.75" customHeight="1" x14ac:dyDescent="0.2">
      <c r="C62098"/>
      <c r="M62098"/>
    </row>
    <row r="62099" spans="3:13" ht="12.75" customHeight="1" x14ac:dyDescent="0.2">
      <c r="C62099"/>
      <c r="M62099"/>
    </row>
    <row r="62100" spans="3:13" ht="12.75" customHeight="1" x14ac:dyDescent="0.2">
      <c r="C62100"/>
      <c r="M62100"/>
    </row>
    <row r="62101" spans="3:13" ht="12.75" customHeight="1" x14ac:dyDescent="0.2">
      <c r="C62101"/>
      <c r="M62101"/>
    </row>
    <row r="62102" spans="3:13" ht="12.75" customHeight="1" x14ac:dyDescent="0.2">
      <c r="C62102"/>
      <c r="M62102"/>
    </row>
    <row r="62103" spans="3:13" ht="12.75" customHeight="1" x14ac:dyDescent="0.2">
      <c r="C62103"/>
      <c r="M62103"/>
    </row>
    <row r="62104" spans="3:13" ht="12.75" customHeight="1" x14ac:dyDescent="0.2">
      <c r="C62104"/>
      <c r="M62104"/>
    </row>
    <row r="62105" spans="3:13" ht="12.75" customHeight="1" x14ac:dyDescent="0.2">
      <c r="C62105"/>
      <c r="M62105"/>
    </row>
    <row r="62106" spans="3:13" ht="12.75" customHeight="1" x14ac:dyDescent="0.2">
      <c r="C62106"/>
      <c r="M62106"/>
    </row>
    <row r="62107" spans="3:13" ht="12.75" customHeight="1" x14ac:dyDescent="0.2">
      <c r="C62107"/>
      <c r="M62107"/>
    </row>
    <row r="62108" spans="3:13" ht="12.75" customHeight="1" x14ac:dyDescent="0.2">
      <c r="C62108"/>
      <c r="M62108"/>
    </row>
    <row r="62109" spans="3:13" ht="12.75" customHeight="1" x14ac:dyDescent="0.2">
      <c r="C62109"/>
      <c r="M62109"/>
    </row>
    <row r="62110" spans="3:13" ht="12.75" customHeight="1" x14ac:dyDescent="0.2">
      <c r="C62110"/>
      <c r="M62110"/>
    </row>
    <row r="62111" spans="3:13" ht="12.75" customHeight="1" x14ac:dyDescent="0.2">
      <c r="C62111"/>
      <c r="M62111"/>
    </row>
    <row r="62112" spans="3:13" ht="12.75" customHeight="1" x14ac:dyDescent="0.2">
      <c r="C62112"/>
      <c r="M62112"/>
    </row>
    <row r="62113" spans="3:13" ht="12.75" customHeight="1" x14ac:dyDescent="0.2">
      <c r="C62113"/>
      <c r="M62113"/>
    </row>
    <row r="62114" spans="3:13" ht="12.75" customHeight="1" x14ac:dyDescent="0.2">
      <c r="C62114"/>
      <c r="M62114"/>
    </row>
    <row r="62115" spans="3:13" ht="12.75" customHeight="1" x14ac:dyDescent="0.2">
      <c r="C62115"/>
      <c r="M62115"/>
    </row>
    <row r="62116" spans="3:13" ht="12.75" customHeight="1" x14ac:dyDescent="0.2">
      <c r="C62116"/>
      <c r="M62116"/>
    </row>
    <row r="62117" spans="3:13" ht="12.75" customHeight="1" x14ac:dyDescent="0.2">
      <c r="C62117"/>
      <c r="M62117"/>
    </row>
    <row r="62118" spans="3:13" ht="12.75" customHeight="1" x14ac:dyDescent="0.2">
      <c r="C62118"/>
      <c r="M62118"/>
    </row>
    <row r="62119" spans="3:13" ht="12.75" customHeight="1" x14ac:dyDescent="0.2">
      <c r="C62119"/>
      <c r="M62119"/>
    </row>
    <row r="62120" spans="3:13" ht="12.75" customHeight="1" x14ac:dyDescent="0.2">
      <c r="C62120"/>
      <c r="M62120"/>
    </row>
    <row r="62121" spans="3:13" ht="12.75" customHeight="1" x14ac:dyDescent="0.2">
      <c r="C62121"/>
      <c r="M62121"/>
    </row>
    <row r="62122" spans="3:13" ht="12.75" customHeight="1" x14ac:dyDescent="0.2">
      <c r="C62122"/>
      <c r="M62122"/>
    </row>
    <row r="62123" spans="3:13" ht="12.75" customHeight="1" x14ac:dyDescent="0.2">
      <c r="C62123"/>
      <c r="M62123"/>
    </row>
    <row r="62124" spans="3:13" ht="12.75" customHeight="1" x14ac:dyDescent="0.2">
      <c r="C62124"/>
      <c r="M62124"/>
    </row>
    <row r="62125" spans="3:13" ht="12.75" customHeight="1" x14ac:dyDescent="0.2">
      <c r="C62125"/>
      <c r="M62125"/>
    </row>
    <row r="62126" spans="3:13" ht="12.75" customHeight="1" x14ac:dyDescent="0.2">
      <c r="C62126"/>
      <c r="M62126"/>
    </row>
    <row r="62127" spans="3:13" ht="12.75" customHeight="1" x14ac:dyDescent="0.2">
      <c r="C62127"/>
      <c r="M62127"/>
    </row>
    <row r="62128" spans="3:13" ht="12.75" customHeight="1" x14ac:dyDescent="0.2">
      <c r="C62128"/>
      <c r="M62128"/>
    </row>
    <row r="62129" spans="3:13" ht="12.75" customHeight="1" x14ac:dyDescent="0.2">
      <c r="C62129"/>
      <c r="M62129"/>
    </row>
    <row r="62130" spans="3:13" ht="12.75" customHeight="1" x14ac:dyDescent="0.2">
      <c r="C62130"/>
      <c r="M62130"/>
    </row>
    <row r="62131" spans="3:13" ht="12.75" customHeight="1" x14ac:dyDescent="0.2">
      <c r="C62131"/>
      <c r="M62131"/>
    </row>
    <row r="62132" spans="3:13" ht="12.75" customHeight="1" x14ac:dyDescent="0.2">
      <c r="C62132"/>
      <c r="M62132"/>
    </row>
    <row r="62133" spans="3:13" ht="12.75" customHeight="1" x14ac:dyDescent="0.2">
      <c r="C62133"/>
      <c r="M62133"/>
    </row>
    <row r="62134" spans="3:13" ht="12.75" customHeight="1" x14ac:dyDescent="0.2">
      <c r="C62134"/>
      <c r="M62134"/>
    </row>
    <row r="62135" spans="3:13" ht="12.75" customHeight="1" x14ac:dyDescent="0.2">
      <c r="C62135"/>
      <c r="M62135"/>
    </row>
    <row r="62136" spans="3:13" ht="12.75" customHeight="1" x14ac:dyDescent="0.2">
      <c r="C62136"/>
      <c r="M62136"/>
    </row>
    <row r="62137" spans="3:13" ht="12.75" customHeight="1" x14ac:dyDescent="0.2">
      <c r="C62137"/>
      <c r="M62137"/>
    </row>
    <row r="62138" spans="3:13" ht="12.75" customHeight="1" x14ac:dyDescent="0.2">
      <c r="C62138"/>
      <c r="M62138"/>
    </row>
    <row r="62139" spans="3:13" ht="12.75" customHeight="1" x14ac:dyDescent="0.2">
      <c r="C62139"/>
      <c r="M62139"/>
    </row>
    <row r="62140" spans="3:13" ht="12.75" customHeight="1" x14ac:dyDescent="0.2">
      <c r="C62140"/>
      <c r="M62140"/>
    </row>
    <row r="62141" spans="3:13" ht="12.75" customHeight="1" x14ac:dyDescent="0.2">
      <c r="C62141"/>
      <c r="M62141"/>
    </row>
    <row r="62142" spans="3:13" ht="12.75" customHeight="1" x14ac:dyDescent="0.2">
      <c r="C62142"/>
      <c r="M62142"/>
    </row>
    <row r="62143" spans="3:13" ht="12.75" customHeight="1" x14ac:dyDescent="0.2">
      <c r="C62143"/>
      <c r="M62143"/>
    </row>
    <row r="62144" spans="3:13" ht="12.75" customHeight="1" x14ac:dyDescent="0.2">
      <c r="C62144"/>
      <c r="M62144"/>
    </row>
    <row r="62145" spans="3:13" ht="12.75" customHeight="1" x14ac:dyDescent="0.2">
      <c r="C62145"/>
      <c r="M62145"/>
    </row>
    <row r="62146" spans="3:13" ht="12.75" customHeight="1" x14ac:dyDescent="0.2">
      <c r="C62146"/>
      <c r="M62146"/>
    </row>
    <row r="62147" spans="3:13" ht="12.75" customHeight="1" x14ac:dyDescent="0.2">
      <c r="C62147"/>
      <c r="M62147"/>
    </row>
    <row r="62148" spans="3:13" ht="12.75" customHeight="1" x14ac:dyDescent="0.2">
      <c r="C62148"/>
      <c r="M62148"/>
    </row>
    <row r="62149" spans="3:13" ht="12.75" customHeight="1" x14ac:dyDescent="0.2">
      <c r="C62149"/>
      <c r="M62149"/>
    </row>
    <row r="62150" spans="3:13" ht="12.75" customHeight="1" x14ac:dyDescent="0.2">
      <c r="C62150"/>
      <c r="M62150"/>
    </row>
    <row r="62151" spans="3:13" ht="12.75" customHeight="1" x14ac:dyDescent="0.2">
      <c r="C62151"/>
      <c r="M62151"/>
    </row>
    <row r="62152" spans="3:13" ht="12.75" customHeight="1" x14ac:dyDescent="0.2">
      <c r="C62152"/>
      <c r="M62152"/>
    </row>
    <row r="62153" spans="3:13" ht="12.75" customHeight="1" x14ac:dyDescent="0.2">
      <c r="C62153"/>
      <c r="M62153"/>
    </row>
    <row r="62154" spans="3:13" ht="12.75" customHeight="1" x14ac:dyDescent="0.2">
      <c r="C62154"/>
      <c r="M62154"/>
    </row>
    <row r="62155" spans="3:13" ht="12.75" customHeight="1" x14ac:dyDescent="0.2">
      <c r="C62155"/>
      <c r="M62155"/>
    </row>
    <row r="62156" spans="3:13" ht="12.75" customHeight="1" x14ac:dyDescent="0.2">
      <c r="C62156"/>
      <c r="M62156"/>
    </row>
    <row r="62157" spans="3:13" ht="12.75" customHeight="1" x14ac:dyDescent="0.2">
      <c r="C62157"/>
      <c r="M62157"/>
    </row>
    <row r="62158" spans="3:13" ht="12.75" customHeight="1" x14ac:dyDescent="0.2">
      <c r="C62158"/>
      <c r="M62158"/>
    </row>
    <row r="62159" spans="3:13" ht="12.75" customHeight="1" x14ac:dyDescent="0.2">
      <c r="C62159"/>
      <c r="M62159"/>
    </row>
    <row r="62160" spans="3:13" ht="12.75" customHeight="1" x14ac:dyDescent="0.2">
      <c r="C62160"/>
      <c r="M62160"/>
    </row>
    <row r="62161" spans="3:13" ht="12.75" customHeight="1" x14ac:dyDescent="0.2">
      <c r="C62161"/>
      <c r="M62161"/>
    </row>
    <row r="62162" spans="3:13" ht="12.75" customHeight="1" x14ac:dyDescent="0.2">
      <c r="C62162"/>
      <c r="M62162"/>
    </row>
    <row r="62163" spans="3:13" ht="12.75" customHeight="1" x14ac:dyDescent="0.2">
      <c r="C62163"/>
      <c r="M62163"/>
    </row>
    <row r="62164" spans="3:13" ht="12.75" customHeight="1" x14ac:dyDescent="0.2">
      <c r="C62164"/>
      <c r="M62164"/>
    </row>
    <row r="62165" spans="3:13" ht="12.75" customHeight="1" x14ac:dyDescent="0.2">
      <c r="C62165"/>
      <c r="M62165"/>
    </row>
    <row r="62166" spans="3:13" ht="12.75" customHeight="1" x14ac:dyDescent="0.2">
      <c r="C62166"/>
      <c r="M62166"/>
    </row>
    <row r="62167" spans="3:13" ht="12.75" customHeight="1" x14ac:dyDescent="0.2">
      <c r="C62167"/>
      <c r="M62167"/>
    </row>
    <row r="62168" spans="3:13" ht="12.75" customHeight="1" x14ac:dyDescent="0.2">
      <c r="C62168"/>
      <c r="M62168"/>
    </row>
    <row r="62169" spans="3:13" ht="12.75" customHeight="1" x14ac:dyDescent="0.2">
      <c r="C62169"/>
      <c r="M62169"/>
    </row>
    <row r="62170" spans="3:13" ht="12.75" customHeight="1" x14ac:dyDescent="0.2">
      <c r="C62170"/>
      <c r="M62170"/>
    </row>
    <row r="62171" spans="3:13" ht="12.75" customHeight="1" x14ac:dyDescent="0.2">
      <c r="C62171"/>
      <c r="M62171"/>
    </row>
    <row r="62172" spans="3:13" ht="12.75" customHeight="1" x14ac:dyDescent="0.2">
      <c r="C62172"/>
      <c r="M62172"/>
    </row>
    <row r="62173" spans="3:13" ht="12.75" customHeight="1" x14ac:dyDescent="0.2">
      <c r="C62173"/>
      <c r="M62173"/>
    </row>
    <row r="62174" spans="3:13" ht="12.75" customHeight="1" x14ac:dyDescent="0.2">
      <c r="C62174"/>
      <c r="M62174"/>
    </row>
    <row r="62175" spans="3:13" ht="12.75" customHeight="1" x14ac:dyDescent="0.2">
      <c r="C62175"/>
      <c r="M62175"/>
    </row>
    <row r="62176" spans="3:13" ht="12.75" customHeight="1" x14ac:dyDescent="0.2">
      <c r="C62176"/>
      <c r="M62176"/>
    </row>
    <row r="62177" spans="3:13" ht="12.75" customHeight="1" x14ac:dyDescent="0.2">
      <c r="C62177"/>
      <c r="M62177"/>
    </row>
    <row r="62178" spans="3:13" ht="12.75" customHeight="1" x14ac:dyDescent="0.2">
      <c r="C62178"/>
      <c r="M62178"/>
    </row>
    <row r="62179" spans="3:13" ht="12.75" customHeight="1" x14ac:dyDescent="0.2">
      <c r="C62179"/>
      <c r="M62179"/>
    </row>
    <row r="62180" spans="3:13" ht="12.75" customHeight="1" x14ac:dyDescent="0.2">
      <c r="C62180"/>
      <c r="M62180"/>
    </row>
    <row r="62181" spans="3:13" ht="12.75" customHeight="1" x14ac:dyDescent="0.2">
      <c r="C62181"/>
      <c r="M62181"/>
    </row>
    <row r="62182" spans="3:13" ht="12.75" customHeight="1" x14ac:dyDescent="0.2">
      <c r="C62182"/>
      <c r="M62182"/>
    </row>
    <row r="62183" spans="3:13" ht="12.75" customHeight="1" x14ac:dyDescent="0.2">
      <c r="C62183"/>
      <c r="M62183"/>
    </row>
    <row r="62184" spans="3:13" ht="12.75" customHeight="1" x14ac:dyDescent="0.2">
      <c r="C62184"/>
      <c r="M62184"/>
    </row>
    <row r="62185" spans="3:13" ht="12.75" customHeight="1" x14ac:dyDescent="0.2">
      <c r="C62185"/>
      <c r="M62185"/>
    </row>
    <row r="62186" spans="3:13" ht="12.75" customHeight="1" x14ac:dyDescent="0.2">
      <c r="C62186"/>
      <c r="M62186"/>
    </row>
    <row r="62187" spans="3:13" ht="12.75" customHeight="1" x14ac:dyDescent="0.2">
      <c r="C62187"/>
      <c r="M62187"/>
    </row>
    <row r="62188" spans="3:13" ht="12.75" customHeight="1" x14ac:dyDescent="0.2">
      <c r="C62188"/>
      <c r="M62188"/>
    </row>
    <row r="62189" spans="3:13" ht="12.75" customHeight="1" x14ac:dyDescent="0.2">
      <c r="C62189"/>
      <c r="M62189"/>
    </row>
    <row r="62190" spans="3:13" ht="12.75" customHeight="1" x14ac:dyDescent="0.2">
      <c r="C62190"/>
      <c r="M62190"/>
    </row>
    <row r="62191" spans="3:13" ht="12.75" customHeight="1" x14ac:dyDescent="0.2">
      <c r="C62191"/>
      <c r="M62191"/>
    </row>
    <row r="62192" spans="3:13" ht="12.75" customHeight="1" x14ac:dyDescent="0.2">
      <c r="C62192"/>
      <c r="M62192"/>
    </row>
    <row r="62193" spans="3:13" ht="12.75" customHeight="1" x14ac:dyDescent="0.2">
      <c r="C62193"/>
      <c r="M62193"/>
    </row>
    <row r="62194" spans="3:13" ht="12.75" customHeight="1" x14ac:dyDescent="0.2">
      <c r="C62194"/>
      <c r="M62194"/>
    </row>
    <row r="62195" spans="3:13" ht="12.75" customHeight="1" x14ac:dyDescent="0.2">
      <c r="C62195"/>
      <c r="M62195"/>
    </row>
    <row r="62196" spans="3:13" ht="12.75" customHeight="1" x14ac:dyDescent="0.2">
      <c r="C62196"/>
      <c r="M62196"/>
    </row>
    <row r="62197" spans="3:13" ht="12.75" customHeight="1" x14ac:dyDescent="0.2">
      <c r="C62197"/>
      <c r="M62197"/>
    </row>
    <row r="62198" spans="3:13" ht="12.75" customHeight="1" x14ac:dyDescent="0.2">
      <c r="C62198"/>
      <c r="M62198"/>
    </row>
    <row r="62199" spans="3:13" ht="12.75" customHeight="1" x14ac:dyDescent="0.2">
      <c r="C62199"/>
      <c r="M62199"/>
    </row>
    <row r="62200" spans="3:13" ht="12.75" customHeight="1" x14ac:dyDescent="0.2">
      <c r="C62200"/>
      <c r="M62200"/>
    </row>
    <row r="62201" spans="3:13" ht="12.75" customHeight="1" x14ac:dyDescent="0.2">
      <c r="C62201"/>
      <c r="M62201"/>
    </row>
    <row r="62202" spans="3:13" ht="12.75" customHeight="1" x14ac:dyDescent="0.2">
      <c r="C62202"/>
      <c r="M62202"/>
    </row>
    <row r="62203" spans="3:13" ht="12.75" customHeight="1" x14ac:dyDescent="0.2">
      <c r="C62203"/>
      <c r="M62203"/>
    </row>
    <row r="62204" spans="3:13" ht="12.75" customHeight="1" x14ac:dyDescent="0.2">
      <c r="C62204"/>
      <c r="M62204"/>
    </row>
    <row r="62205" spans="3:13" ht="12.75" customHeight="1" x14ac:dyDescent="0.2">
      <c r="C62205"/>
      <c r="M62205"/>
    </row>
    <row r="62206" spans="3:13" ht="12.75" customHeight="1" x14ac:dyDescent="0.2">
      <c r="C62206"/>
      <c r="M62206"/>
    </row>
    <row r="62207" spans="3:13" ht="12.75" customHeight="1" x14ac:dyDescent="0.2">
      <c r="C62207"/>
      <c r="M62207"/>
    </row>
    <row r="62208" spans="3:13" ht="12.75" customHeight="1" x14ac:dyDescent="0.2">
      <c r="C62208"/>
      <c r="M62208"/>
    </row>
    <row r="62209" spans="3:13" ht="12.75" customHeight="1" x14ac:dyDescent="0.2">
      <c r="C62209"/>
      <c r="M62209"/>
    </row>
    <row r="62210" spans="3:13" ht="12.75" customHeight="1" x14ac:dyDescent="0.2">
      <c r="C62210"/>
      <c r="M62210"/>
    </row>
    <row r="62211" spans="3:13" ht="12.75" customHeight="1" x14ac:dyDescent="0.2">
      <c r="C62211"/>
      <c r="M62211"/>
    </row>
    <row r="62212" spans="3:13" ht="12.75" customHeight="1" x14ac:dyDescent="0.2">
      <c r="C62212"/>
      <c r="M62212"/>
    </row>
    <row r="62213" spans="3:13" ht="12.75" customHeight="1" x14ac:dyDescent="0.2">
      <c r="C62213"/>
      <c r="M62213"/>
    </row>
    <row r="62214" spans="3:13" ht="12.75" customHeight="1" x14ac:dyDescent="0.2">
      <c r="C62214"/>
      <c r="M62214"/>
    </row>
    <row r="62215" spans="3:13" ht="12.75" customHeight="1" x14ac:dyDescent="0.2">
      <c r="C62215"/>
      <c r="M62215"/>
    </row>
    <row r="62216" spans="3:13" ht="12.75" customHeight="1" x14ac:dyDescent="0.2">
      <c r="C62216"/>
      <c r="M62216"/>
    </row>
    <row r="62217" spans="3:13" ht="12.75" customHeight="1" x14ac:dyDescent="0.2">
      <c r="C62217"/>
      <c r="M62217"/>
    </row>
    <row r="62218" spans="3:13" ht="12.75" customHeight="1" x14ac:dyDescent="0.2">
      <c r="C62218"/>
      <c r="M62218"/>
    </row>
    <row r="62219" spans="3:13" ht="12.75" customHeight="1" x14ac:dyDescent="0.2">
      <c r="C62219"/>
      <c r="M62219"/>
    </row>
    <row r="62220" spans="3:13" ht="12.75" customHeight="1" x14ac:dyDescent="0.2">
      <c r="C62220"/>
      <c r="M62220"/>
    </row>
    <row r="62221" spans="3:13" ht="12.75" customHeight="1" x14ac:dyDescent="0.2">
      <c r="C62221"/>
      <c r="M62221"/>
    </row>
    <row r="62222" spans="3:13" ht="12.75" customHeight="1" x14ac:dyDescent="0.2">
      <c r="C62222"/>
      <c r="M62222"/>
    </row>
    <row r="62223" spans="3:13" ht="12.75" customHeight="1" x14ac:dyDescent="0.2">
      <c r="C62223"/>
      <c r="M62223"/>
    </row>
    <row r="62224" spans="3:13" ht="12.75" customHeight="1" x14ac:dyDescent="0.2">
      <c r="C62224"/>
      <c r="M62224"/>
    </row>
    <row r="62225" spans="3:13" ht="12.75" customHeight="1" x14ac:dyDescent="0.2">
      <c r="C62225"/>
      <c r="M62225"/>
    </row>
    <row r="62226" spans="3:13" ht="12.75" customHeight="1" x14ac:dyDescent="0.2">
      <c r="C62226"/>
      <c r="M62226"/>
    </row>
    <row r="62227" spans="3:13" ht="12.75" customHeight="1" x14ac:dyDescent="0.2">
      <c r="C62227"/>
      <c r="M62227"/>
    </row>
    <row r="62228" spans="3:13" ht="12.75" customHeight="1" x14ac:dyDescent="0.2">
      <c r="C62228"/>
      <c r="M62228"/>
    </row>
    <row r="62229" spans="3:13" ht="12.75" customHeight="1" x14ac:dyDescent="0.2">
      <c r="C62229"/>
      <c r="M62229"/>
    </row>
    <row r="62230" spans="3:13" ht="12.75" customHeight="1" x14ac:dyDescent="0.2">
      <c r="C62230"/>
      <c r="M62230"/>
    </row>
    <row r="62231" spans="3:13" ht="12.75" customHeight="1" x14ac:dyDescent="0.2">
      <c r="C62231"/>
      <c r="M62231"/>
    </row>
    <row r="62232" spans="3:13" ht="12.75" customHeight="1" x14ac:dyDescent="0.2">
      <c r="C62232"/>
      <c r="M62232"/>
    </row>
    <row r="62233" spans="3:13" ht="12.75" customHeight="1" x14ac:dyDescent="0.2">
      <c r="C62233"/>
      <c r="M62233"/>
    </row>
    <row r="62234" spans="3:13" ht="12.75" customHeight="1" x14ac:dyDescent="0.2">
      <c r="C62234"/>
      <c r="M62234"/>
    </row>
    <row r="62235" spans="3:13" ht="12.75" customHeight="1" x14ac:dyDescent="0.2">
      <c r="C62235"/>
      <c r="M62235"/>
    </row>
    <row r="62236" spans="3:13" ht="12.75" customHeight="1" x14ac:dyDescent="0.2">
      <c r="C62236"/>
      <c r="M62236"/>
    </row>
    <row r="62237" spans="3:13" ht="12.75" customHeight="1" x14ac:dyDescent="0.2">
      <c r="C62237"/>
      <c r="M62237"/>
    </row>
    <row r="62238" spans="3:13" ht="12.75" customHeight="1" x14ac:dyDescent="0.2">
      <c r="C62238"/>
      <c r="M62238"/>
    </row>
    <row r="62239" spans="3:13" ht="12.75" customHeight="1" x14ac:dyDescent="0.2">
      <c r="C62239"/>
      <c r="M62239"/>
    </row>
    <row r="62240" spans="3:13" ht="12.75" customHeight="1" x14ac:dyDescent="0.2">
      <c r="C62240"/>
      <c r="M62240"/>
    </row>
    <row r="62241" spans="3:13" ht="12.75" customHeight="1" x14ac:dyDescent="0.2">
      <c r="C62241"/>
      <c r="M62241"/>
    </row>
    <row r="62242" spans="3:13" ht="12.75" customHeight="1" x14ac:dyDescent="0.2">
      <c r="C62242"/>
      <c r="M62242"/>
    </row>
    <row r="62243" spans="3:13" ht="12.75" customHeight="1" x14ac:dyDescent="0.2">
      <c r="C62243"/>
      <c r="M62243"/>
    </row>
    <row r="62244" spans="3:13" ht="12.75" customHeight="1" x14ac:dyDescent="0.2">
      <c r="C62244"/>
      <c r="M62244"/>
    </row>
    <row r="62245" spans="3:13" ht="12.75" customHeight="1" x14ac:dyDescent="0.2">
      <c r="C62245"/>
      <c r="M62245"/>
    </row>
    <row r="62246" spans="3:13" ht="12.75" customHeight="1" x14ac:dyDescent="0.2">
      <c r="C62246"/>
      <c r="M62246"/>
    </row>
    <row r="62247" spans="3:13" ht="12.75" customHeight="1" x14ac:dyDescent="0.2">
      <c r="C62247"/>
      <c r="M62247"/>
    </row>
    <row r="62248" spans="3:13" ht="12.75" customHeight="1" x14ac:dyDescent="0.2">
      <c r="C62248"/>
      <c r="M62248"/>
    </row>
    <row r="62249" spans="3:13" ht="12.75" customHeight="1" x14ac:dyDescent="0.2">
      <c r="C62249"/>
      <c r="M62249"/>
    </row>
    <row r="62250" spans="3:13" ht="12.75" customHeight="1" x14ac:dyDescent="0.2">
      <c r="C62250"/>
      <c r="M62250"/>
    </row>
    <row r="62251" spans="3:13" ht="12.75" customHeight="1" x14ac:dyDescent="0.2">
      <c r="C62251"/>
      <c r="M62251"/>
    </row>
    <row r="62252" spans="3:13" ht="12.75" customHeight="1" x14ac:dyDescent="0.2">
      <c r="C62252"/>
      <c r="M62252"/>
    </row>
    <row r="62253" spans="3:13" ht="12.75" customHeight="1" x14ac:dyDescent="0.2">
      <c r="C62253"/>
      <c r="M62253"/>
    </row>
    <row r="62254" spans="3:13" ht="12.75" customHeight="1" x14ac:dyDescent="0.2">
      <c r="C62254"/>
      <c r="M62254"/>
    </row>
    <row r="62255" spans="3:13" ht="12.75" customHeight="1" x14ac:dyDescent="0.2">
      <c r="C62255"/>
      <c r="M62255"/>
    </row>
    <row r="62256" spans="3:13" ht="12.75" customHeight="1" x14ac:dyDescent="0.2">
      <c r="C62256"/>
      <c r="M62256"/>
    </row>
    <row r="62257" spans="3:13" ht="12.75" customHeight="1" x14ac:dyDescent="0.2">
      <c r="C62257"/>
      <c r="M62257"/>
    </row>
    <row r="62258" spans="3:13" ht="12.75" customHeight="1" x14ac:dyDescent="0.2">
      <c r="C62258"/>
      <c r="M62258"/>
    </row>
    <row r="62259" spans="3:13" ht="12.75" customHeight="1" x14ac:dyDescent="0.2">
      <c r="C62259"/>
      <c r="M62259"/>
    </row>
    <row r="62260" spans="3:13" ht="12.75" customHeight="1" x14ac:dyDescent="0.2">
      <c r="C62260"/>
      <c r="M62260"/>
    </row>
    <row r="62261" spans="3:13" ht="12.75" customHeight="1" x14ac:dyDescent="0.2">
      <c r="C62261"/>
      <c r="M62261"/>
    </row>
    <row r="62262" spans="3:13" ht="12.75" customHeight="1" x14ac:dyDescent="0.2">
      <c r="C62262"/>
      <c r="M62262"/>
    </row>
    <row r="62263" spans="3:13" ht="12.75" customHeight="1" x14ac:dyDescent="0.2">
      <c r="C62263"/>
      <c r="M62263"/>
    </row>
    <row r="62264" spans="3:13" ht="12.75" customHeight="1" x14ac:dyDescent="0.2">
      <c r="C62264"/>
      <c r="M62264"/>
    </row>
    <row r="62265" spans="3:13" ht="12.75" customHeight="1" x14ac:dyDescent="0.2">
      <c r="C62265"/>
      <c r="M62265"/>
    </row>
    <row r="62266" spans="3:13" ht="12.75" customHeight="1" x14ac:dyDescent="0.2">
      <c r="C62266"/>
      <c r="M62266"/>
    </row>
    <row r="62267" spans="3:13" ht="12.75" customHeight="1" x14ac:dyDescent="0.2">
      <c r="C62267"/>
      <c r="M62267"/>
    </row>
    <row r="62268" spans="3:13" ht="12.75" customHeight="1" x14ac:dyDescent="0.2">
      <c r="C62268"/>
      <c r="M62268"/>
    </row>
    <row r="62269" spans="3:13" ht="12.75" customHeight="1" x14ac:dyDescent="0.2">
      <c r="C62269"/>
      <c r="M62269"/>
    </row>
    <row r="62270" spans="3:13" ht="12.75" customHeight="1" x14ac:dyDescent="0.2">
      <c r="C62270"/>
      <c r="M62270"/>
    </row>
    <row r="62271" spans="3:13" ht="12.75" customHeight="1" x14ac:dyDescent="0.2">
      <c r="C62271"/>
      <c r="M62271"/>
    </row>
    <row r="62272" spans="3:13" ht="12.75" customHeight="1" x14ac:dyDescent="0.2">
      <c r="C62272"/>
      <c r="M62272"/>
    </row>
    <row r="62273" spans="3:13" ht="12.75" customHeight="1" x14ac:dyDescent="0.2">
      <c r="C62273"/>
      <c r="M62273"/>
    </row>
    <row r="62274" spans="3:13" ht="12.75" customHeight="1" x14ac:dyDescent="0.2">
      <c r="C62274"/>
      <c r="M62274"/>
    </row>
    <row r="62275" spans="3:13" ht="12.75" customHeight="1" x14ac:dyDescent="0.2">
      <c r="C62275"/>
      <c r="M62275"/>
    </row>
    <row r="62276" spans="3:13" ht="12.75" customHeight="1" x14ac:dyDescent="0.2">
      <c r="C62276"/>
      <c r="M62276"/>
    </row>
    <row r="62277" spans="3:13" ht="12.75" customHeight="1" x14ac:dyDescent="0.2">
      <c r="C62277"/>
      <c r="M62277"/>
    </row>
    <row r="62278" spans="3:13" ht="12.75" customHeight="1" x14ac:dyDescent="0.2">
      <c r="C62278"/>
      <c r="M62278"/>
    </row>
    <row r="62279" spans="3:13" ht="12.75" customHeight="1" x14ac:dyDescent="0.2">
      <c r="C62279"/>
      <c r="M62279"/>
    </row>
    <row r="62280" spans="3:13" ht="12.75" customHeight="1" x14ac:dyDescent="0.2">
      <c r="C62280"/>
      <c r="M62280"/>
    </row>
    <row r="62281" spans="3:13" ht="12.75" customHeight="1" x14ac:dyDescent="0.2">
      <c r="C62281"/>
      <c r="M62281"/>
    </row>
    <row r="62282" spans="3:13" ht="12.75" customHeight="1" x14ac:dyDescent="0.2">
      <c r="C62282"/>
      <c r="M62282"/>
    </row>
    <row r="62283" spans="3:13" ht="12.75" customHeight="1" x14ac:dyDescent="0.2">
      <c r="C62283"/>
      <c r="M62283"/>
    </row>
    <row r="62284" spans="3:13" ht="12.75" customHeight="1" x14ac:dyDescent="0.2">
      <c r="C62284"/>
      <c r="M62284"/>
    </row>
    <row r="62285" spans="3:13" ht="12.75" customHeight="1" x14ac:dyDescent="0.2">
      <c r="C62285"/>
      <c r="M62285"/>
    </row>
    <row r="62286" spans="3:13" ht="12.75" customHeight="1" x14ac:dyDescent="0.2">
      <c r="C62286"/>
      <c r="M62286"/>
    </row>
    <row r="62287" spans="3:13" ht="12.75" customHeight="1" x14ac:dyDescent="0.2">
      <c r="C62287"/>
      <c r="M62287"/>
    </row>
    <row r="62288" spans="3:13" ht="12.75" customHeight="1" x14ac:dyDescent="0.2">
      <c r="C62288"/>
      <c r="M62288"/>
    </row>
    <row r="62289" spans="3:13" ht="12.75" customHeight="1" x14ac:dyDescent="0.2">
      <c r="C62289"/>
      <c r="M62289"/>
    </row>
    <row r="62290" spans="3:13" ht="12.75" customHeight="1" x14ac:dyDescent="0.2">
      <c r="C62290"/>
      <c r="M62290"/>
    </row>
    <row r="62291" spans="3:13" ht="12.75" customHeight="1" x14ac:dyDescent="0.2">
      <c r="C62291"/>
      <c r="M62291"/>
    </row>
    <row r="62292" spans="3:13" ht="12.75" customHeight="1" x14ac:dyDescent="0.2">
      <c r="C62292"/>
      <c r="M62292"/>
    </row>
    <row r="62293" spans="3:13" ht="12.75" customHeight="1" x14ac:dyDescent="0.2">
      <c r="C62293"/>
      <c r="M62293"/>
    </row>
    <row r="62294" spans="3:13" ht="12.75" customHeight="1" x14ac:dyDescent="0.2">
      <c r="C62294"/>
      <c r="M62294"/>
    </row>
    <row r="62295" spans="3:13" ht="12.75" customHeight="1" x14ac:dyDescent="0.2">
      <c r="C62295"/>
      <c r="M62295"/>
    </row>
    <row r="62296" spans="3:13" ht="12.75" customHeight="1" x14ac:dyDescent="0.2">
      <c r="C62296"/>
      <c r="M62296"/>
    </row>
    <row r="62297" spans="3:13" ht="12.75" customHeight="1" x14ac:dyDescent="0.2">
      <c r="C62297"/>
      <c r="M62297"/>
    </row>
    <row r="62298" spans="3:13" ht="12.75" customHeight="1" x14ac:dyDescent="0.2">
      <c r="C62298"/>
      <c r="M62298"/>
    </row>
    <row r="62299" spans="3:13" ht="12.75" customHeight="1" x14ac:dyDescent="0.2">
      <c r="C62299"/>
      <c r="M62299"/>
    </row>
    <row r="62300" spans="3:13" ht="12.75" customHeight="1" x14ac:dyDescent="0.2">
      <c r="C62300"/>
      <c r="M62300"/>
    </row>
    <row r="62301" spans="3:13" ht="12.75" customHeight="1" x14ac:dyDescent="0.2">
      <c r="C62301"/>
      <c r="M62301"/>
    </row>
    <row r="62302" spans="3:13" ht="12.75" customHeight="1" x14ac:dyDescent="0.2">
      <c r="C62302"/>
      <c r="M62302"/>
    </row>
    <row r="62303" spans="3:13" ht="12.75" customHeight="1" x14ac:dyDescent="0.2">
      <c r="C62303"/>
      <c r="M62303"/>
    </row>
    <row r="62304" spans="3:13" ht="12.75" customHeight="1" x14ac:dyDescent="0.2">
      <c r="C62304"/>
      <c r="M62304"/>
    </row>
    <row r="62305" spans="3:13" ht="12.75" customHeight="1" x14ac:dyDescent="0.2">
      <c r="C62305"/>
      <c r="M62305"/>
    </row>
    <row r="62306" spans="3:13" ht="12.75" customHeight="1" x14ac:dyDescent="0.2">
      <c r="C62306"/>
      <c r="M62306"/>
    </row>
    <row r="62307" spans="3:13" ht="12.75" customHeight="1" x14ac:dyDescent="0.2">
      <c r="C62307"/>
      <c r="M62307"/>
    </row>
    <row r="62308" spans="3:13" ht="12.75" customHeight="1" x14ac:dyDescent="0.2">
      <c r="C62308"/>
      <c r="M62308"/>
    </row>
    <row r="62309" spans="3:13" ht="12.75" customHeight="1" x14ac:dyDescent="0.2">
      <c r="C62309"/>
      <c r="M62309"/>
    </row>
    <row r="62310" spans="3:13" ht="12.75" customHeight="1" x14ac:dyDescent="0.2">
      <c r="C62310"/>
      <c r="M62310"/>
    </row>
    <row r="62311" spans="3:13" ht="12.75" customHeight="1" x14ac:dyDescent="0.2">
      <c r="C62311"/>
      <c r="M62311"/>
    </row>
    <row r="62312" spans="3:13" ht="12.75" customHeight="1" x14ac:dyDescent="0.2">
      <c r="C62312"/>
      <c r="M62312"/>
    </row>
    <row r="62313" spans="3:13" ht="12.75" customHeight="1" x14ac:dyDescent="0.2">
      <c r="C62313"/>
      <c r="M62313"/>
    </row>
    <row r="62314" spans="3:13" ht="12.75" customHeight="1" x14ac:dyDescent="0.2">
      <c r="C62314"/>
      <c r="M62314"/>
    </row>
    <row r="62315" spans="3:13" ht="12.75" customHeight="1" x14ac:dyDescent="0.2">
      <c r="C62315"/>
      <c r="M62315"/>
    </row>
    <row r="62316" spans="3:13" ht="12.75" customHeight="1" x14ac:dyDescent="0.2">
      <c r="C62316"/>
      <c r="M62316"/>
    </row>
    <row r="62317" spans="3:13" ht="12.75" customHeight="1" x14ac:dyDescent="0.2">
      <c r="C62317"/>
      <c r="M62317"/>
    </row>
    <row r="62318" spans="3:13" ht="12.75" customHeight="1" x14ac:dyDescent="0.2">
      <c r="C62318"/>
      <c r="M62318"/>
    </row>
    <row r="62319" spans="3:13" ht="12.75" customHeight="1" x14ac:dyDescent="0.2">
      <c r="C62319"/>
      <c r="M62319"/>
    </row>
    <row r="62320" spans="3:13" ht="12.75" customHeight="1" x14ac:dyDescent="0.2">
      <c r="C62320"/>
      <c r="M62320"/>
    </row>
    <row r="62321" spans="3:13" ht="12.75" customHeight="1" x14ac:dyDescent="0.2">
      <c r="C62321"/>
      <c r="M62321"/>
    </row>
    <row r="62322" spans="3:13" ht="12.75" customHeight="1" x14ac:dyDescent="0.2">
      <c r="C62322"/>
      <c r="M62322"/>
    </row>
    <row r="62323" spans="3:13" ht="12.75" customHeight="1" x14ac:dyDescent="0.2">
      <c r="C62323"/>
      <c r="M62323"/>
    </row>
    <row r="62324" spans="3:13" ht="12.75" customHeight="1" x14ac:dyDescent="0.2">
      <c r="C62324"/>
      <c r="M62324"/>
    </row>
    <row r="62325" spans="3:13" ht="12.75" customHeight="1" x14ac:dyDescent="0.2">
      <c r="C62325"/>
      <c r="M62325"/>
    </row>
    <row r="62326" spans="3:13" ht="12.75" customHeight="1" x14ac:dyDescent="0.2">
      <c r="C62326"/>
      <c r="M62326"/>
    </row>
    <row r="62327" spans="3:13" ht="12.75" customHeight="1" x14ac:dyDescent="0.2">
      <c r="C62327"/>
      <c r="M62327"/>
    </row>
    <row r="62328" spans="3:13" ht="12.75" customHeight="1" x14ac:dyDescent="0.2">
      <c r="C62328"/>
      <c r="M62328"/>
    </row>
    <row r="62329" spans="3:13" ht="12.75" customHeight="1" x14ac:dyDescent="0.2">
      <c r="C62329"/>
      <c r="M62329"/>
    </row>
    <row r="62330" spans="3:13" ht="12.75" customHeight="1" x14ac:dyDescent="0.2">
      <c r="C62330"/>
      <c r="M62330"/>
    </row>
    <row r="62331" spans="3:13" ht="12.75" customHeight="1" x14ac:dyDescent="0.2">
      <c r="C62331"/>
      <c r="M62331"/>
    </row>
    <row r="62332" spans="3:13" ht="12.75" customHeight="1" x14ac:dyDescent="0.2">
      <c r="C62332"/>
      <c r="M62332"/>
    </row>
    <row r="62333" spans="3:13" ht="12.75" customHeight="1" x14ac:dyDescent="0.2">
      <c r="C62333"/>
      <c r="M62333"/>
    </row>
    <row r="62334" spans="3:13" ht="12.75" customHeight="1" x14ac:dyDescent="0.2">
      <c r="C62334"/>
      <c r="M62334"/>
    </row>
    <row r="62335" spans="3:13" ht="12.75" customHeight="1" x14ac:dyDescent="0.2">
      <c r="C62335"/>
      <c r="M62335"/>
    </row>
    <row r="62336" spans="3:13" ht="12.75" customHeight="1" x14ac:dyDescent="0.2">
      <c r="C62336"/>
      <c r="M62336"/>
    </row>
    <row r="62337" spans="3:13" ht="12.75" customHeight="1" x14ac:dyDescent="0.2">
      <c r="C62337"/>
      <c r="M62337"/>
    </row>
    <row r="62338" spans="3:13" ht="12.75" customHeight="1" x14ac:dyDescent="0.2">
      <c r="C62338"/>
      <c r="M62338"/>
    </row>
    <row r="62339" spans="3:13" ht="12.75" customHeight="1" x14ac:dyDescent="0.2">
      <c r="C62339"/>
      <c r="M62339"/>
    </row>
    <row r="62340" spans="3:13" ht="12.75" customHeight="1" x14ac:dyDescent="0.2">
      <c r="C62340"/>
      <c r="M62340"/>
    </row>
    <row r="62341" spans="3:13" ht="12.75" customHeight="1" x14ac:dyDescent="0.2">
      <c r="C62341"/>
      <c r="M62341"/>
    </row>
    <row r="62342" spans="3:13" ht="12.75" customHeight="1" x14ac:dyDescent="0.2">
      <c r="C62342"/>
      <c r="M62342"/>
    </row>
    <row r="62343" spans="3:13" ht="12.75" customHeight="1" x14ac:dyDescent="0.2">
      <c r="C62343"/>
      <c r="M62343"/>
    </row>
    <row r="62344" spans="3:13" ht="12.75" customHeight="1" x14ac:dyDescent="0.2">
      <c r="C62344"/>
      <c r="M62344"/>
    </row>
    <row r="62345" spans="3:13" ht="12.75" customHeight="1" x14ac:dyDescent="0.2">
      <c r="C62345"/>
      <c r="M62345"/>
    </row>
    <row r="62346" spans="3:13" ht="12.75" customHeight="1" x14ac:dyDescent="0.2">
      <c r="C62346"/>
      <c r="M62346"/>
    </row>
    <row r="62347" spans="3:13" ht="12.75" customHeight="1" x14ac:dyDescent="0.2">
      <c r="C62347"/>
      <c r="M62347"/>
    </row>
    <row r="62348" spans="3:13" ht="12.75" customHeight="1" x14ac:dyDescent="0.2">
      <c r="C62348"/>
      <c r="M62348"/>
    </row>
    <row r="62349" spans="3:13" ht="12.75" customHeight="1" x14ac:dyDescent="0.2">
      <c r="C62349"/>
      <c r="M62349"/>
    </row>
    <row r="62350" spans="3:13" ht="12.75" customHeight="1" x14ac:dyDescent="0.2">
      <c r="C62350"/>
      <c r="M62350"/>
    </row>
    <row r="62351" spans="3:13" ht="12.75" customHeight="1" x14ac:dyDescent="0.2">
      <c r="C62351"/>
      <c r="M62351"/>
    </row>
    <row r="62352" spans="3:13" ht="12.75" customHeight="1" x14ac:dyDescent="0.2">
      <c r="C62352"/>
      <c r="M62352"/>
    </row>
    <row r="62353" spans="3:13" ht="12.75" customHeight="1" x14ac:dyDescent="0.2">
      <c r="C62353"/>
      <c r="M62353"/>
    </row>
    <row r="62354" spans="3:13" ht="12.75" customHeight="1" x14ac:dyDescent="0.2">
      <c r="C62354"/>
      <c r="M62354"/>
    </row>
    <row r="62355" spans="3:13" ht="12.75" customHeight="1" x14ac:dyDescent="0.2">
      <c r="C62355"/>
      <c r="M62355"/>
    </row>
    <row r="62356" spans="3:13" ht="12.75" customHeight="1" x14ac:dyDescent="0.2">
      <c r="C62356"/>
      <c r="M62356"/>
    </row>
    <row r="62357" spans="3:13" ht="12.75" customHeight="1" x14ac:dyDescent="0.2">
      <c r="C62357"/>
      <c r="M62357"/>
    </row>
    <row r="62358" spans="3:13" ht="12.75" customHeight="1" x14ac:dyDescent="0.2">
      <c r="C62358"/>
      <c r="M62358"/>
    </row>
    <row r="62359" spans="3:13" ht="12.75" customHeight="1" x14ac:dyDescent="0.2">
      <c r="C62359"/>
      <c r="M62359"/>
    </row>
    <row r="62360" spans="3:13" ht="12.75" customHeight="1" x14ac:dyDescent="0.2">
      <c r="C62360"/>
      <c r="M62360"/>
    </row>
    <row r="62361" spans="3:13" ht="12.75" customHeight="1" x14ac:dyDescent="0.2">
      <c r="C62361"/>
      <c r="M62361"/>
    </row>
    <row r="62362" spans="3:13" ht="12.75" customHeight="1" x14ac:dyDescent="0.2">
      <c r="C62362"/>
      <c r="M62362"/>
    </row>
    <row r="62363" spans="3:13" ht="12.75" customHeight="1" x14ac:dyDescent="0.2">
      <c r="C62363"/>
      <c r="M62363"/>
    </row>
    <row r="62364" spans="3:13" ht="12.75" customHeight="1" x14ac:dyDescent="0.2">
      <c r="C62364"/>
      <c r="M62364"/>
    </row>
    <row r="62365" spans="3:13" ht="12.75" customHeight="1" x14ac:dyDescent="0.2">
      <c r="C62365"/>
      <c r="M62365"/>
    </row>
    <row r="62366" spans="3:13" ht="12.75" customHeight="1" x14ac:dyDescent="0.2">
      <c r="C62366"/>
      <c r="M62366"/>
    </row>
    <row r="62367" spans="3:13" ht="12.75" customHeight="1" x14ac:dyDescent="0.2">
      <c r="C62367"/>
      <c r="M62367"/>
    </row>
    <row r="62368" spans="3:13" ht="12.75" customHeight="1" x14ac:dyDescent="0.2">
      <c r="C62368"/>
      <c r="M62368"/>
    </row>
    <row r="62369" spans="3:13" ht="12.75" customHeight="1" x14ac:dyDescent="0.2">
      <c r="C62369"/>
      <c r="M62369"/>
    </row>
    <row r="62370" spans="3:13" ht="12.75" customHeight="1" x14ac:dyDescent="0.2">
      <c r="C62370"/>
      <c r="M62370"/>
    </row>
    <row r="62371" spans="3:13" ht="12.75" customHeight="1" x14ac:dyDescent="0.2">
      <c r="C62371"/>
      <c r="M62371"/>
    </row>
    <row r="62372" spans="3:13" ht="12.75" customHeight="1" x14ac:dyDescent="0.2">
      <c r="C62372"/>
      <c r="M62372"/>
    </row>
    <row r="62373" spans="3:13" ht="12.75" customHeight="1" x14ac:dyDescent="0.2">
      <c r="C62373"/>
      <c r="M62373"/>
    </row>
    <row r="62374" spans="3:13" ht="12.75" customHeight="1" x14ac:dyDescent="0.2">
      <c r="C62374"/>
      <c r="M62374"/>
    </row>
    <row r="62375" spans="3:13" ht="12.75" customHeight="1" x14ac:dyDescent="0.2">
      <c r="C62375"/>
      <c r="M62375"/>
    </row>
    <row r="62376" spans="3:13" ht="12.75" customHeight="1" x14ac:dyDescent="0.2">
      <c r="C62376"/>
      <c r="M62376"/>
    </row>
    <row r="62377" spans="3:13" ht="12.75" customHeight="1" x14ac:dyDescent="0.2">
      <c r="C62377"/>
      <c r="M62377"/>
    </row>
    <row r="62378" spans="3:13" ht="12.75" customHeight="1" x14ac:dyDescent="0.2">
      <c r="C62378"/>
      <c r="M62378"/>
    </row>
    <row r="62379" spans="3:13" ht="12.75" customHeight="1" x14ac:dyDescent="0.2">
      <c r="C62379"/>
      <c r="M62379"/>
    </row>
    <row r="62380" spans="3:13" ht="12.75" customHeight="1" x14ac:dyDescent="0.2">
      <c r="C62380"/>
      <c r="M62380"/>
    </row>
    <row r="62381" spans="3:13" ht="12.75" customHeight="1" x14ac:dyDescent="0.2">
      <c r="C62381"/>
      <c r="M62381"/>
    </row>
    <row r="62382" spans="3:13" ht="12.75" customHeight="1" x14ac:dyDescent="0.2">
      <c r="C62382"/>
      <c r="M62382"/>
    </row>
    <row r="62383" spans="3:13" ht="12.75" customHeight="1" x14ac:dyDescent="0.2">
      <c r="C62383"/>
      <c r="M62383"/>
    </row>
    <row r="62384" spans="3:13" ht="12.75" customHeight="1" x14ac:dyDescent="0.2">
      <c r="C62384"/>
      <c r="M62384"/>
    </row>
    <row r="62385" spans="3:13" ht="12.75" customHeight="1" x14ac:dyDescent="0.2">
      <c r="C62385"/>
      <c r="M62385"/>
    </row>
    <row r="62386" spans="3:13" ht="12.75" customHeight="1" x14ac:dyDescent="0.2">
      <c r="C62386"/>
      <c r="M62386"/>
    </row>
    <row r="62387" spans="3:13" ht="12.75" customHeight="1" x14ac:dyDescent="0.2">
      <c r="C62387"/>
      <c r="M62387"/>
    </row>
    <row r="62388" spans="3:13" ht="12.75" customHeight="1" x14ac:dyDescent="0.2">
      <c r="C62388"/>
      <c r="M62388"/>
    </row>
    <row r="62389" spans="3:13" ht="12.75" customHeight="1" x14ac:dyDescent="0.2">
      <c r="C62389"/>
      <c r="M62389"/>
    </row>
    <row r="62390" spans="3:13" ht="12.75" customHeight="1" x14ac:dyDescent="0.2">
      <c r="C62390"/>
      <c r="M62390"/>
    </row>
    <row r="62391" spans="3:13" ht="12.75" customHeight="1" x14ac:dyDescent="0.2">
      <c r="C62391"/>
      <c r="M62391"/>
    </row>
    <row r="62392" spans="3:13" ht="12.75" customHeight="1" x14ac:dyDescent="0.2">
      <c r="C62392"/>
      <c r="M62392"/>
    </row>
    <row r="62393" spans="3:13" ht="12.75" customHeight="1" x14ac:dyDescent="0.2">
      <c r="C62393"/>
      <c r="M62393"/>
    </row>
    <row r="62394" spans="3:13" ht="12.75" customHeight="1" x14ac:dyDescent="0.2">
      <c r="C62394"/>
      <c r="M62394"/>
    </row>
    <row r="62395" spans="3:13" ht="12.75" customHeight="1" x14ac:dyDescent="0.2">
      <c r="C62395"/>
      <c r="M62395"/>
    </row>
    <row r="62396" spans="3:13" ht="12.75" customHeight="1" x14ac:dyDescent="0.2">
      <c r="C62396"/>
      <c r="M62396"/>
    </row>
    <row r="62397" spans="3:13" ht="12.75" customHeight="1" x14ac:dyDescent="0.2">
      <c r="C62397"/>
      <c r="M62397"/>
    </row>
    <row r="62398" spans="3:13" ht="12.75" customHeight="1" x14ac:dyDescent="0.2">
      <c r="C62398"/>
      <c r="M62398"/>
    </row>
    <row r="62399" spans="3:13" ht="12.75" customHeight="1" x14ac:dyDescent="0.2">
      <c r="C62399"/>
      <c r="M62399"/>
    </row>
    <row r="62400" spans="3:13" ht="12.75" customHeight="1" x14ac:dyDescent="0.2">
      <c r="C62400"/>
      <c r="M62400"/>
    </row>
    <row r="62401" spans="3:13" ht="12.75" customHeight="1" x14ac:dyDescent="0.2">
      <c r="C62401"/>
      <c r="M62401"/>
    </row>
    <row r="62402" spans="3:13" ht="12.75" customHeight="1" x14ac:dyDescent="0.2">
      <c r="C62402"/>
      <c r="M62402"/>
    </row>
    <row r="62403" spans="3:13" ht="12.75" customHeight="1" x14ac:dyDescent="0.2">
      <c r="C62403"/>
      <c r="M62403"/>
    </row>
    <row r="62404" spans="3:13" ht="12.75" customHeight="1" x14ac:dyDescent="0.2">
      <c r="C62404"/>
      <c r="M62404"/>
    </row>
    <row r="62405" spans="3:13" ht="12.75" customHeight="1" x14ac:dyDescent="0.2">
      <c r="C62405"/>
      <c r="M62405"/>
    </row>
    <row r="62406" spans="3:13" ht="12.75" customHeight="1" x14ac:dyDescent="0.2">
      <c r="C62406"/>
      <c r="M62406"/>
    </row>
    <row r="62407" spans="3:13" ht="12.75" customHeight="1" x14ac:dyDescent="0.2">
      <c r="C62407"/>
      <c r="M62407"/>
    </row>
    <row r="62408" spans="3:13" ht="12.75" customHeight="1" x14ac:dyDescent="0.2">
      <c r="C62408"/>
      <c r="M62408"/>
    </row>
    <row r="62409" spans="3:13" ht="12.75" customHeight="1" x14ac:dyDescent="0.2">
      <c r="C62409"/>
      <c r="M62409"/>
    </row>
    <row r="62410" spans="3:13" ht="12.75" customHeight="1" x14ac:dyDescent="0.2">
      <c r="C62410"/>
      <c r="M62410"/>
    </row>
    <row r="62411" spans="3:13" ht="12.75" customHeight="1" x14ac:dyDescent="0.2">
      <c r="C62411"/>
      <c r="M62411"/>
    </row>
    <row r="62412" spans="3:13" ht="12.75" customHeight="1" x14ac:dyDescent="0.2">
      <c r="C62412"/>
      <c r="M62412"/>
    </row>
    <row r="62413" spans="3:13" ht="12.75" customHeight="1" x14ac:dyDescent="0.2">
      <c r="C62413"/>
      <c r="M62413"/>
    </row>
    <row r="62414" spans="3:13" ht="12.75" customHeight="1" x14ac:dyDescent="0.2">
      <c r="C62414"/>
      <c r="M62414"/>
    </row>
    <row r="62415" spans="3:13" ht="12.75" customHeight="1" x14ac:dyDescent="0.2">
      <c r="C62415"/>
      <c r="M62415"/>
    </row>
    <row r="62416" spans="3:13" ht="12.75" customHeight="1" x14ac:dyDescent="0.2">
      <c r="C62416"/>
      <c r="M62416"/>
    </row>
    <row r="62417" spans="3:13" ht="12.75" customHeight="1" x14ac:dyDescent="0.2">
      <c r="C62417"/>
      <c r="M62417"/>
    </row>
    <row r="62418" spans="3:13" ht="12.75" customHeight="1" x14ac:dyDescent="0.2">
      <c r="C62418"/>
      <c r="M62418"/>
    </row>
    <row r="62419" spans="3:13" ht="12.75" customHeight="1" x14ac:dyDescent="0.2">
      <c r="C62419"/>
      <c r="M62419"/>
    </row>
    <row r="62420" spans="3:13" ht="12.75" customHeight="1" x14ac:dyDescent="0.2">
      <c r="C62420"/>
      <c r="M62420"/>
    </row>
    <row r="62421" spans="3:13" ht="12.75" customHeight="1" x14ac:dyDescent="0.2">
      <c r="C62421"/>
      <c r="M62421"/>
    </row>
    <row r="62422" spans="3:13" ht="12.75" customHeight="1" x14ac:dyDescent="0.2">
      <c r="C62422"/>
      <c r="M62422"/>
    </row>
    <row r="62423" spans="3:13" ht="12.75" customHeight="1" x14ac:dyDescent="0.2">
      <c r="C62423"/>
      <c r="M62423"/>
    </row>
    <row r="62424" spans="3:13" ht="12.75" customHeight="1" x14ac:dyDescent="0.2">
      <c r="C62424"/>
      <c r="M62424"/>
    </row>
    <row r="62425" spans="3:13" ht="12.75" customHeight="1" x14ac:dyDescent="0.2">
      <c r="C62425"/>
      <c r="M62425"/>
    </row>
    <row r="62426" spans="3:13" ht="12.75" customHeight="1" x14ac:dyDescent="0.2">
      <c r="C62426"/>
      <c r="M62426"/>
    </row>
    <row r="62427" spans="3:13" ht="12.75" customHeight="1" x14ac:dyDescent="0.2">
      <c r="C62427"/>
      <c r="M62427"/>
    </row>
    <row r="62428" spans="3:13" ht="12.75" customHeight="1" x14ac:dyDescent="0.2">
      <c r="C62428"/>
      <c r="M62428"/>
    </row>
    <row r="62429" spans="3:13" ht="12.75" customHeight="1" x14ac:dyDescent="0.2">
      <c r="C62429"/>
      <c r="M62429"/>
    </row>
    <row r="62430" spans="3:13" ht="12.75" customHeight="1" x14ac:dyDescent="0.2">
      <c r="C62430"/>
      <c r="M62430"/>
    </row>
    <row r="62431" spans="3:13" ht="12.75" customHeight="1" x14ac:dyDescent="0.2">
      <c r="C62431"/>
      <c r="M62431"/>
    </row>
    <row r="62432" spans="3:13" ht="12.75" customHeight="1" x14ac:dyDescent="0.2">
      <c r="C62432"/>
      <c r="M62432"/>
    </row>
    <row r="62433" spans="3:13" ht="12.75" customHeight="1" x14ac:dyDescent="0.2">
      <c r="C62433"/>
      <c r="M62433"/>
    </row>
    <row r="62434" spans="3:13" ht="12.75" customHeight="1" x14ac:dyDescent="0.2">
      <c r="C62434"/>
      <c r="M62434"/>
    </row>
    <row r="62435" spans="3:13" ht="12.75" customHeight="1" x14ac:dyDescent="0.2">
      <c r="C62435"/>
      <c r="M62435"/>
    </row>
    <row r="62436" spans="3:13" ht="12.75" customHeight="1" x14ac:dyDescent="0.2">
      <c r="C62436"/>
      <c r="M62436"/>
    </row>
    <row r="62437" spans="3:13" ht="12.75" customHeight="1" x14ac:dyDescent="0.2">
      <c r="C62437"/>
      <c r="M62437"/>
    </row>
    <row r="62438" spans="3:13" ht="12.75" customHeight="1" x14ac:dyDescent="0.2">
      <c r="C62438"/>
      <c r="M62438"/>
    </row>
    <row r="62439" spans="3:13" ht="12.75" customHeight="1" x14ac:dyDescent="0.2">
      <c r="C62439"/>
      <c r="M62439"/>
    </row>
    <row r="62440" spans="3:13" ht="12.75" customHeight="1" x14ac:dyDescent="0.2">
      <c r="C62440"/>
      <c r="M62440"/>
    </row>
    <row r="62441" spans="3:13" ht="12.75" customHeight="1" x14ac:dyDescent="0.2">
      <c r="C62441"/>
      <c r="M62441"/>
    </row>
    <row r="62442" spans="3:13" ht="12.75" customHeight="1" x14ac:dyDescent="0.2">
      <c r="C62442"/>
      <c r="M62442"/>
    </row>
    <row r="62443" spans="3:13" ht="12.75" customHeight="1" x14ac:dyDescent="0.2">
      <c r="C62443"/>
      <c r="M62443"/>
    </row>
    <row r="62444" spans="3:13" ht="12.75" customHeight="1" x14ac:dyDescent="0.2">
      <c r="C62444"/>
      <c r="M62444"/>
    </row>
    <row r="62445" spans="3:13" ht="12.75" customHeight="1" x14ac:dyDescent="0.2">
      <c r="C62445"/>
      <c r="M62445"/>
    </row>
    <row r="62446" spans="3:13" ht="12.75" customHeight="1" x14ac:dyDescent="0.2">
      <c r="C62446"/>
      <c r="M62446"/>
    </row>
    <row r="62447" spans="3:13" ht="12.75" customHeight="1" x14ac:dyDescent="0.2">
      <c r="C62447"/>
      <c r="M62447"/>
    </row>
    <row r="62448" spans="3:13" ht="12.75" customHeight="1" x14ac:dyDescent="0.2">
      <c r="C62448"/>
      <c r="M62448"/>
    </row>
    <row r="62449" spans="3:13" ht="12.75" customHeight="1" x14ac:dyDescent="0.2">
      <c r="C62449"/>
      <c r="M62449"/>
    </row>
    <row r="62450" spans="3:13" ht="12.75" customHeight="1" x14ac:dyDescent="0.2">
      <c r="C62450"/>
      <c r="M62450"/>
    </row>
    <row r="62451" spans="3:13" ht="12.75" customHeight="1" x14ac:dyDescent="0.2">
      <c r="C62451"/>
      <c r="M62451"/>
    </row>
    <row r="62452" spans="3:13" ht="12.75" customHeight="1" x14ac:dyDescent="0.2">
      <c r="C62452"/>
      <c r="M62452"/>
    </row>
    <row r="62453" spans="3:13" ht="12.75" customHeight="1" x14ac:dyDescent="0.2">
      <c r="C62453"/>
      <c r="M62453"/>
    </row>
    <row r="62454" spans="3:13" ht="12.75" customHeight="1" x14ac:dyDescent="0.2">
      <c r="C62454"/>
      <c r="M62454"/>
    </row>
    <row r="62455" spans="3:13" ht="12.75" customHeight="1" x14ac:dyDescent="0.2">
      <c r="C62455"/>
      <c r="M62455"/>
    </row>
    <row r="62456" spans="3:13" ht="12.75" customHeight="1" x14ac:dyDescent="0.2">
      <c r="C62456"/>
      <c r="M62456"/>
    </row>
    <row r="62457" spans="3:13" ht="12.75" customHeight="1" x14ac:dyDescent="0.2">
      <c r="C62457"/>
      <c r="M62457"/>
    </row>
    <row r="62458" spans="3:13" ht="12.75" customHeight="1" x14ac:dyDescent="0.2">
      <c r="C62458"/>
      <c r="M62458"/>
    </row>
    <row r="62459" spans="3:13" ht="12.75" customHeight="1" x14ac:dyDescent="0.2">
      <c r="C62459"/>
      <c r="M62459"/>
    </row>
    <row r="62460" spans="3:13" ht="12.75" customHeight="1" x14ac:dyDescent="0.2">
      <c r="C62460"/>
      <c r="M62460"/>
    </row>
    <row r="62461" spans="3:13" ht="12.75" customHeight="1" x14ac:dyDescent="0.2">
      <c r="C62461"/>
      <c r="M62461"/>
    </row>
    <row r="62462" spans="3:13" ht="12.75" customHeight="1" x14ac:dyDescent="0.2">
      <c r="C62462"/>
      <c r="M62462"/>
    </row>
    <row r="62463" spans="3:13" ht="12.75" customHeight="1" x14ac:dyDescent="0.2">
      <c r="C62463"/>
      <c r="M62463"/>
    </row>
    <row r="62464" spans="3:13" ht="12.75" customHeight="1" x14ac:dyDescent="0.2">
      <c r="C62464"/>
      <c r="M62464"/>
    </row>
    <row r="62465" spans="3:13" ht="12.75" customHeight="1" x14ac:dyDescent="0.2">
      <c r="C62465"/>
      <c r="M62465"/>
    </row>
    <row r="62466" spans="3:13" ht="12.75" customHeight="1" x14ac:dyDescent="0.2">
      <c r="C62466"/>
      <c r="M62466"/>
    </row>
    <row r="62467" spans="3:13" ht="12.75" customHeight="1" x14ac:dyDescent="0.2">
      <c r="C62467"/>
      <c r="M62467"/>
    </row>
    <row r="62468" spans="3:13" ht="12.75" customHeight="1" x14ac:dyDescent="0.2">
      <c r="C62468"/>
      <c r="M62468"/>
    </row>
    <row r="62469" spans="3:13" ht="12.75" customHeight="1" x14ac:dyDescent="0.2">
      <c r="C62469"/>
      <c r="M62469"/>
    </row>
    <row r="62470" spans="3:13" ht="12.75" customHeight="1" x14ac:dyDescent="0.2">
      <c r="C62470"/>
      <c r="M62470"/>
    </row>
    <row r="62471" spans="3:13" ht="12.75" customHeight="1" x14ac:dyDescent="0.2">
      <c r="C62471"/>
      <c r="M62471"/>
    </row>
    <row r="62472" spans="3:13" ht="12.75" customHeight="1" x14ac:dyDescent="0.2">
      <c r="C62472"/>
      <c r="M62472"/>
    </row>
    <row r="62473" spans="3:13" ht="12.75" customHeight="1" x14ac:dyDescent="0.2">
      <c r="C62473"/>
      <c r="M62473"/>
    </row>
    <row r="62474" spans="3:13" ht="12.75" customHeight="1" x14ac:dyDescent="0.2">
      <c r="C62474"/>
      <c r="M62474"/>
    </row>
    <row r="62475" spans="3:13" ht="12.75" customHeight="1" x14ac:dyDescent="0.2">
      <c r="C62475"/>
      <c r="M62475"/>
    </row>
    <row r="62476" spans="3:13" ht="12.75" customHeight="1" x14ac:dyDescent="0.2">
      <c r="C62476"/>
      <c r="M62476"/>
    </row>
    <row r="62477" spans="3:13" ht="12.75" customHeight="1" x14ac:dyDescent="0.2">
      <c r="C62477"/>
      <c r="M62477"/>
    </row>
    <row r="62478" spans="3:13" ht="12.75" customHeight="1" x14ac:dyDescent="0.2">
      <c r="C62478"/>
      <c r="M62478"/>
    </row>
    <row r="62479" spans="3:13" ht="12.75" customHeight="1" x14ac:dyDescent="0.2">
      <c r="C62479"/>
      <c r="M62479"/>
    </row>
    <row r="62480" spans="3:13" ht="12.75" customHeight="1" x14ac:dyDescent="0.2">
      <c r="C62480"/>
      <c r="M62480"/>
    </row>
    <row r="62481" spans="3:13" ht="12.75" customHeight="1" x14ac:dyDescent="0.2">
      <c r="C62481"/>
      <c r="M62481"/>
    </row>
    <row r="62482" spans="3:13" ht="12.75" customHeight="1" x14ac:dyDescent="0.2">
      <c r="C62482"/>
      <c r="M62482"/>
    </row>
    <row r="62483" spans="3:13" ht="12.75" customHeight="1" x14ac:dyDescent="0.2">
      <c r="C62483"/>
      <c r="M62483"/>
    </row>
    <row r="62484" spans="3:13" ht="12.75" customHeight="1" x14ac:dyDescent="0.2">
      <c r="C62484"/>
      <c r="M62484"/>
    </row>
    <row r="62485" spans="3:13" ht="12.75" customHeight="1" x14ac:dyDescent="0.2">
      <c r="C62485"/>
      <c r="M62485"/>
    </row>
    <row r="62486" spans="3:13" ht="12.75" customHeight="1" x14ac:dyDescent="0.2">
      <c r="C62486"/>
      <c r="M62486"/>
    </row>
    <row r="62487" spans="3:13" ht="12.75" customHeight="1" x14ac:dyDescent="0.2">
      <c r="C62487"/>
      <c r="M62487"/>
    </row>
    <row r="62488" spans="3:13" ht="12.75" customHeight="1" x14ac:dyDescent="0.2">
      <c r="C62488"/>
      <c r="M62488"/>
    </row>
    <row r="62489" spans="3:13" ht="12.75" customHeight="1" x14ac:dyDescent="0.2">
      <c r="C62489"/>
      <c r="M62489"/>
    </row>
    <row r="62490" spans="3:13" ht="12.75" customHeight="1" x14ac:dyDescent="0.2">
      <c r="C62490"/>
      <c r="M62490"/>
    </row>
    <row r="62491" spans="3:13" ht="12.75" customHeight="1" x14ac:dyDescent="0.2">
      <c r="C62491"/>
      <c r="M62491"/>
    </row>
    <row r="62492" spans="3:13" ht="12.75" customHeight="1" x14ac:dyDescent="0.2">
      <c r="C62492"/>
      <c r="M62492"/>
    </row>
    <row r="62493" spans="3:13" ht="12.75" customHeight="1" x14ac:dyDescent="0.2">
      <c r="C62493"/>
      <c r="M62493"/>
    </row>
    <row r="62494" spans="3:13" ht="12.75" customHeight="1" x14ac:dyDescent="0.2">
      <c r="C62494"/>
      <c r="M62494"/>
    </row>
    <row r="62495" spans="3:13" ht="12.75" customHeight="1" x14ac:dyDescent="0.2">
      <c r="C62495"/>
      <c r="M62495"/>
    </row>
    <row r="62496" spans="3:13" ht="12.75" customHeight="1" x14ac:dyDescent="0.2">
      <c r="C62496"/>
      <c r="M62496"/>
    </row>
    <row r="62497" spans="3:13" ht="12.75" customHeight="1" x14ac:dyDescent="0.2">
      <c r="C62497"/>
      <c r="M62497"/>
    </row>
    <row r="62498" spans="3:13" ht="12.75" customHeight="1" x14ac:dyDescent="0.2">
      <c r="C62498"/>
      <c r="M62498"/>
    </row>
    <row r="62499" spans="3:13" ht="12.75" customHeight="1" x14ac:dyDescent="0.2">
      <c r="C62499"/>
      <c r="M62499"/>
    </row>
    <row r="62500" spans="3:13" ht="12.75" customHeight="1" x14ac:dyDescent="0.2">
      <c r="C62500"/>
      <c r="M62500"/>
    </row>
    <row r="62501" spans="3:13" ht="12.75" customHeight="1" x14ac:dyDescent="0.2">
      <c r="C62501"/>
      <c r="M62501"/>
    </row>
    <row r="62502" spans="3:13" ht="12.75" customHeight="1" x14ac:dyDescent="0.2">
      <c r="C62502"/>
      <c r="M62502"/>
    </row>
    <row r="62503" spans="3:13" ht="12.75" customHeight="1" x14ac:dyDescent="0.2">
      <c r="C62503"/>
      <c r="M62503"/>
    </row>
    <row r="62504" spans="3:13" ht="12.75" customHeight="1" x14ac:dyDescent="0.2">
      <c r="C62504"/>
      <c r="M62504"/>
    </row>
    <row r="62505" spans="3:13" ht="12.75" customHeight="1" x14ac:dyDescent="0.2">
      <c r="C62505"/>
      <c r="M62505"/>
    </row>
    <row r="62506" spans="3:13" ht="12.75" customHeight="1" x14ac:dyDescent="0.2">
      <c r="C62506"/>
      <c r="M62506"/>
    </row>
    <row r="62507" spans="3:13" ht="12.75" customHeight="1" x14ac:dyDescent="0.2">
      <c r="C62507"/>
      <c r="M62507"/>
    </row>
    <row r="62508" spans="3:13" ht="12.75" customHeight="1" x14ac:dyDescent="0.2">
      <c r="C62508"/>
      <c r="M62508"/>
    </row>
    <row r="62509" spans="3:13" ht="12.75" customHeight="1" x14ac:dyDescent="0.2">
      <c r="C62509"/>
      <c r="M62509"/>
    </row>
    <row r="62510" spans="3:13" ht="12.75" customHeight="1" x14ac:dyDescent="0.2">
      <c r="C62510"/>
      <c r="M62510"/>
    </row>
    <row r="62511" spans="3:13" ht="12.75" customHeight="1" x14ac:dyDescent="0.2">
      <c r="C62511"/>
      <c r="M62511"/>
    </row>
    <row r="62512" spans="3:13" ht="12.75" customHeight="1" x14ac:dyDescent="0.2">
      <c r="C62512"/>
      <c r="M62512"/>
    </row>
    <row r="62513" spans="3:13" ht="12.75" customHeight="1" x14ac:dyDescent="0.2">
      <c r="C62513"/>
      <c r="M62513"/>
    </row>
    <row r="62514" spans="3:13" ht="12.75" customHeight="1" x14ac:dyDescent="0.2">
      <c r="C62514"/>
      <c r="M62514"/>
    </row>
    <row r="62515" spans="3:13" ht="12.75" customHeight="1" x14ac:dyDescent="0.2">
      <c r="C62515"/>
      <c r="M62515"/>
    </row>
    <row r="62516" spans="3:13" ht="12.75" customHeight="1" x14ac:dyDescent="0.2">
      <c r="C62516"/>
      <c r="M62516"/>
    </row>
    <row r="62517" spans="3:13" ht="12.75" customHeight="1" x14ac:dyDescent="0.2">
      <c r="C62517"/>
      <c r="M62517"/>
    </row>
    <row r="62518" spans="3:13" ht="12.75" customHeight="1" x14ac:dyDescent="0.2">
      <c r="C62518"/>
      <c r="M62518"/>
    </row>
    <row r="62519" spans="3:13" ht="12.75" customHeight="1" x14ac:dyDescent="0.2">
      <c r="C62519"/>
      <c r="M62519"/>
    </row>
    <row r="62520" spans="3:13" ht="12.75" customHeight="1" x14ac:dyDescent="0.2">
      <c r="C62520"/>
      <c r="M62520"/>
    </row>
    <row r="62521" spans="3:13" ht="12.75" customHeight="1" x14ac:dyDescent="0.2">
      <c r="C62521"/>
      <c r="M62521"/>
    </row>
    <row r="62522" spans="3:13" ht="12.75" customHeight="1" x14ac:dyDescent="0.2">
      <c r="C62522"/>
      <c r="M62522"/>
    </row>
    <row r="62523" spans="3:13" ht="12.75" customHeight="1" x14ac:dyDescent="0.2">
      <c r="C62523"/>
      <c r="M62523"/>
    </row>
    <row r="62524" spans="3:13" ht="12.75" customHeight="1" x14ac:dyDescent="0.2">
      <c r="C62524"/>
      <c r="M62524"/>
    </row>
    <row r="62525" spans="3:13" ht="12.75" customHeight="1" x14ac:dyDescent="0.2">
      <c r="C62525"/>
      <c r="M62525"/>
    </row>
    <row r="62526" spans="3:13" ht="12.75" customHeight="1" x14ac:dyDescent="0.2">
      <c r="C62526"/>
      <c r="M62526"/>
    </row>
    <row r="62527" spans="3:13" ht="12.75" customHeight="1" x14ac:dyDescent="0.2">
      <c r="C62527"/>
      <c r="M62527"/>
    </row>
    <row r="62528" spans="3:13" ht="12.75" customHeight="1" x14ac:dyDescent="0.2">
      <c r="C62528"/>
      <c r="M62528"/>
    </row>
    <row r="62529" spans="3:13" ht="12.75" customHeight="1" x14ac:dyDescent="0.2">
      <c r="C62529"/>
      <c r="M62529"/>
    </row>
    <row r="62530" spans="3:13" ht="12.75" customHeight="1" x14ac:dyDescent="0.2">
      <c r="C62530"/>
      <c r="M62530"/>
    </row>
    <row r="62531" spans="3:13" ht="12.75" customHeight="1" x14ac:dyDescent="0.2">
      <c r="C62531"/>
      <c r="M62531"/>
    </row>
    <row r="62532" spans="3:13" ht="12.75" customHeight="1" x14ac:dyDescent="0.2">
      <c r="C62532"/>
      <c r="M62532"/>
    </row>
    <row r="62533" spans="3:13" ht="12.75" customHeight="1" x14ac:dyDescent="0.2">
      <c r="C62533"/>
      <c r="M62533"/>
    </row>
    <row r="62534" spans="3:13" ht="12.75" customHeight="1" x14ac:dyDescent="0.2">
      <c r="C62534"/>
      <c r="M62534"/>
    </row>
    <row r="62535" spans="3:13" ht="12.75" customHeight="1" x14ac:dyDescent="0.2">
      <c r="C62535"/>
      <c r="M62535"/>
    </row>
    <row r="62536" spans="3:13" ht="12.75" customHeight="1" x14ac:dyDescent="0.2">
      <c r="C62536"/>
      <c r="M62536"/>
    </row>
    <row r="62537" spans="3:13" ht="12.75" customHeight="1" x14ac:dyDescent="0.2">
      <c r="C62537"/>
      <c r="M62537"/>
    </row>
    <row r="62538" spans="3:13" ht="12.75" customHeight="1" x14ac:dyDescent="0.2">
      <c r="C62538"/>
      <c r="M62538"/>
    </row>
    <row r="62539" spans="3:13" ht="12.75" customHeight="1" x14ac:dyDescent="0.2">
      <c r="C62539"/>
      <c r="M62539"/>
    </row>
    <row r="62540" spans="3:13" ht="12.75" customHeight="1" x14ac:dyDescent="0.2">
      <c r="C62540"/>
      <c r="M62540"/>
    </row>
    <row r="62541" spans="3:13" ht="12.75" customHeight="1" x14ac:dyDescent="0.2">
      <c r="C62541"/>
      <c r="M62541"/>
    </row>
    <row r="62542" spans="3:13" ht="12.75" customHeight="1" x14ac:dyDescent="0.2">
      <c r="C62542"/>
      <c r="M62542"/>
    </row>
    <row r="62543" spans="3:13" ht="12.75" customHeight="1" x14ac:dyDescent="0.2">
      <c r="C62543"/>
      <c r="M62543"/>
    </row>
    <row r="62544" spans="3:13" ht="12.75" customHeight="1" x14ac:dyDescent="0.2">
      <c r="C62544"/>
      <c r="M62544"/>
    </row>
    <row r="62545" spans="3:13" ht="12.75" customHeight="1" x14ac:dyDescent="0.2">
      <c r="C62545"/>
      <c r="M62545"/>
    </row>
    <row r="62546" spans="3:13" ht="12.75" customHeight="1" x14ac:dyDescent="0.2">
      <c r="C62546"/>
      <c r="M62546"/>
    </row>
    <row r="62547" spans="3:13" ht="12.75" customHeight="1" x14ac:dyDescent="0.2">
      <c r="C62547"/>
      <c r="M62547"/>
    </row>
    <row r="62548" spans="3:13" ht="12.75" customHeight="1" x14ac:dyDescent="0.2">
      <c r="C62548"/>
      <c r="M62548"/>
    </row>
    <row r="62549" spans="3:13" ht="12.75" customHeight="1" x14ac:dyDescent="0.2">
      <c r="C62549"/>
      <c r="M62549"/>
    </row>
    <row r="62550" spans="3:13" ht="12.75" customHeight="1" x14ac:dyDescent="0.2">
      <c r="C62550"/>
      <c r="M62550"/>
    </row>
    <row r="62551" spans="3:13" ht="12.75" customHeight="1" x14ac:dyDescent="0.2">
      <c r="C62551"/>
      <c r="M62551"/>
    </row>
    <row r="62552" spans="3:13" ht="12.75" customHeight="1" x14ac:dyDescent="0.2">
      <c r="C62552"/>
      <c r="M62552"/>
    </row>
    <row r="62553" spans="3:13" ht="12.75" customHeight="1" x14ac:dyDescent="0.2">
      <c r="C62553"/>
      <c r="M62553"/>
    </row>
    <row r="62554" spans="3:13" ht="12.75" customHeight="1" x14ac:dyDescent="0.2">
      <c r="C62554"/>
      <c r="M62554"/>
    </row>
    <row r="62555" spans="3:13" ht="12.75" customHeight="1" x14ac:dyDescent="0.2">
      <c r="C62555"/>
      <c r="M62555"/>
    </row>
    <row r="62556" spans="3:13" ht="12.75" customHeight="1" x14ac:dyDescent="0.2">
      <c r="C62556"/>
      <c r="M62556"/>
    </row>
    <row r="62557" spans="3:13" ht="12.75" customHeight="1" x14ac:dyDescent="0.2">
      <c r="C62557"/>
      <c r="M62557"/>
    </row>
    <row r="62558" spans="3:13" ht="12.75" customHeight="1" x14ac:dyDescent="0.2">
      <c r="C62558"/>
      <c r="M62558"/>
    </row>
    <row r="62559" spans="3:13" ht="12.75" customHeight="1" x14ac:dyDescent="0.2">
      <c r="C62559"/>
      <c r="M62559"/>
    </row>
    <row r="62560" spans="3:13" ht="12.75" customHeight="1" x14ac:dyDescent="0.2">
      <c r="C62560"/>
      <c r="M62560"/>
    </row>
    <row r="62561" spans="3:13" ht="12.75" customHeight="1" x14ac:dyDescent="0.2">
      <c r="C62561"/>
      <c r="M62561"/>
    </row>
    <row r="62562" spans="3:13" ht="12.75" customHeight="1" x14ac:dyDescent="0.2">
      <c r="C62562"/>
      <c r="M62562"/>
    </row>
    <row r="62563" spans="3:13" ht="12.75" customHeight="1" x14ac:dyDescent="0.2">
      <c r="C62563"/>
      <c r="M62563"/>
    </row>
    <row r="62564" spans="3:13" ht="12.75" customHeight="1" x14ac:dyDescent="0.2">
      <c r="C62564"/>
      <c r="M62564"/>
    </row>
    <row r="62565" spans="3:13" ht="12.75" customHeight="1" x14ac:dyDescent="0.2">
      <c r="C62565"/>
      <c r="M62565"/>
    </row>
    <row r="62566" spans="3:13" ht="12.75" customHeight="1" x14ac:dyDescent="0.2">
      <c r="C62566"/>
      <c r="M62566"/>
    </row>
    <row r="62567" spans="3:13" ht="12.75" customHeight="1" x14ac:dyDescent="0.2">
      <c r="C62567"/>
      <c r="M62567"/>
    </row>
    <row r="62568" spans="3:13" ht="12.75" customHeight="1" x14ac:dyDescent="0.2">
      <c r="C62568"/>
      <c r="M62568"/>
    </row>
    <row r="62569" spans="3:13" ht="12.75" customHeight="1" x14ac:dyDescent="0.2">
      <c r="C62569"/>
      <c r="M62569"/>
    </row>
    <row r="62570" spans="3:13" ht="12.75" customHeight="1" x14ac:dyDescent="0.2">
      <c r="C62570"/>
      <c r="M62570"/>
    </row>
    <row r="62571" spans="3:13" ht="12.75" customHeight="1" x14ac:dyDescent="0.2">
      <c r="C62571"/>
      <c r="M62571"/>
    </row>
    <row r="62572" spans="3:13" ht="12.75" customHeight="1" x14ac:dyDescent="0.2">
      <c r="C62572"/>
      <c r="M62572"/>
    </row>
    <row r="62573" spans="3:13" ht="12.75" customHeight="1" x14ac:dyDescent="0.2">
      <c r="C62573"/>
      <c r="M62573"/>
    </row>
    <row r="62574" spans="3:13" ht="12.75" customHeight="1" x14ac:dyDescent="0.2">
      <c r="C62574"/>
      <c r="M62574"/>
    </row>
    <row r="62575" spans="3:13" ht="12.75" customHeight="1" x14ac:dyDescent="0.2">
      <c r="C62575"/>
      <c r="M62575"/>
    </row>
    <row r="62576" spans="3:13" ht="12.75" customHeight="1" x14ac:dyDescent="0.2">
      <c r="C62576"/>
      <c r="M62576"/>
    </row>
    <row r="62577" spans="3:13" ht="12.75" customHeight="1" x14ac:dyDescent="0.2">
      <c r="C62577"/>
      <c r="M62577"/>
    </row>
    <row r="62578" spans="3:13" ht="12.75" customHeight="1" x14ac:dyDescent="0.2">
      <c r="C62578"/>
      <c r="M62578"/>
    </row>
    <row r="62579" spans="3:13" ht="12.75" customHeight="1" x14ac:dyDescent="0.2">
      <c r="C62579"/>
      <c r="M62579"/>
    </row>
    <row r="62580" spans="3:13" ht="12.75" customHeight="1" x14ac:dyDescent="0.2">
      <c r="C62580"/>
      <c r="M62580"/>
    </row>
    <row r="62581" spans="3:13" ht="12.75" customHeight="1" x14ac:dyDescent="0.2">
      <c r="C62581"/>
      <c r="M62581"/>
    </row>
    <row r="62582" spans="3:13" ht="12.75" customHeight="1" x14ac:dyDescent="0.2">
      <c r="C62582"/>
      <c r="M62582"/>
    </row>
    <row r="62583" spans="3:13" ht="12.75" customHeight="1" x14ac:dyDescent="0.2">
      <c r="C62583"/>
      <c r="M62583"/>
    </row>
    <row r="62584" spans="3:13" ht="12.75" customHeight="1" x14ac:dyDescent="0.2">
      <c r="C62584"/>
      <c r="M62584"/>
    </row>
    <row r="62585" spans="3:13" ht="12.75" customHeight="1" x14ac:dyDescent="0.2">
      <c r="C62585"/>
      <c r="M62585"/>
    </row>
    <row r="62586" spans="3:13" ht="12.75" customHeight="1" x14ac:dyDescent="0.2">
      <c r="C62586"/>
      <c r="M62586"/>
    </row>
    <row r="62587" spans="3:13" ht="12.75" customHeight="1" x14ac:dyDescent="0.2">
      <c r="C62587"/>
      <c r="M62587"/>
    </row>
    <row r="62588" spans="3:13" ht="12.75" customHeight="1" x14ac:dyDescent="0.2">
      <c r="C62588"/>
      <c r="M62588"/>
    </row>
    <row r="62589" spans="3:13" ht="12.75" customHeight="1" x14ac:dyDescent="0.2">
      <c r="C62589"/>
      <c r="M62589"/>
    </row>
    <row r="62590" spans="3:13" ht="12.75" customHeight="1" x14ac:dyDescent="0.2">
      <c r="C62590"/>
      <c r="M62590"/>
    </row>
    <row r="62591" spans="3:13" ht="12.75" customHeight="1" x14ac:dyDescent="0.2">
      <c r="C62591"/>
      <c r="M62591"/>
    </row>
    <row r="62592" spans="3:13" ht="12.75" customHeight="1" x14ac:dyDescent="0.2">
      <c r="C62592"/>
      <c r="M62592"/>
    </row>
    <row r="62593" spans="3:13" ht="12.75" customHeight="1" x14ac:dyDescent="0.2">
      <c r="C62593"/>
      <c r="M62593"/>
    </row>
    <row r="62594" spans="3:13" ht="12.75" customHeight="1" x14ac:dyDescent="0.2">
      <c r="C62594"/>
      <c r="M62594"/>
    </row>
    <row r="62595" spans="3:13" ht="12.75" customHeight="1" x14ac:dyDescent="0.2">
      <c r="C62595"/>
      <c r="M62595"/>
    </row>
    <row r="62596" spans="3:13" ht="12.75" customHeight="1" x14ac:dyDescent="0.2">
      <c r="C62596"/>
      <c r="M62596"/>
    </row>
    <row r="62597" spans="3:13" ht="12.75" customHeight="1" x14ac:dyDescent="0.2">
      <c r="C62597"/>
      <c r="M62597"/>
    </row>
    <row r="62598" spans="3:13" ht="12.75" customHeight="1" x14ac:dyDescent="0.2">
      <c r="C62598"/>
      <c r="M62598"/>
    </row>
    <row r="62599" spans="3:13" ht="12.75" customHeight="1" x14ac:dyDescent="0.2">
      <c r="C62599"/>
      <c r="M62599"/>
    </row>
    <row r="62600" spans="3:13" ht="12.75" customHeight="1" x14ac:dyDescent="0.2">
      <c r="C62600"/>
      <c r="M62600"/>
    </row>
    <row r="62601" spans="3:13" ht="12.75" customHeight="1" x14ac:dyDescent="0.2">
      <c r="C62601"/>
      <c r="M62601"/>
    </row>
    <row r="62602" spans="3:13" ht="12.75" customHeight="1" x14ac:dyDescent="0.2">
      <c r="C62602"/>
      <c r="M62602"/>
    </row>
    <row r="62603" spans="3:13" ht="12.75" customHeight="1" x14ac:dyDescent="0.2">
      <c r="C62603"/>
      <c r="M62603"/>
    </row>
    <row r="62604" spans="3:13" ht="12.75" customHeight="1" x14ac:dyDescent="0.2">
      <c r="C62604"/>
      <c r="M62604"/>
    </row>
    <row r="62605" spans="3:13" ht="12.75" customHeight="1" x14ac:dyDescent="0.2">
      <c r="C62605"/>
      <c r="M62605"/>
    </row>
    <row r="62606" spans="3:13" ht="12.75" customHeight="1" x14ac:dyDescent="0.2">
      <c r="C62606"/>
      <c r="M62606"/>
    </row>
    <row r="62607" spans="3:13" ht="12.75" customHeight="1" x14ac:dyDescent="0.2">
      <c r="C62607"/>
      <c r="M62607"/>
    </row>
    <row r="62608" spans="3:13" ht="12.75" customHeight="1" x14ac:dyDescent="0.2">
      <c r="C62608"/>
      <c r="M62608"/>
    </row>
    <row r="62609" spans="3:13" ht="12.75" customHeight="1" x14ac:dyDescent="0.2">
      <c r="C62609"/>
      <c r="M62609"/>
    </row>
    <row r="62610" spans="3:13" ht="12.75" customHeight="1" x14ac:dyDescent="0.2">
      <c r="C62610"/>
      <c r="M62610"/>
    </row>
    <row r="62611" spans="3:13" ht="12.75" customHeight="1" x14ac:dyDescent="0.2">
      <c r="C62611"/>
      <c r="M62611"/>
    </row>
    <row r="62612" spans="3:13" ht="12.75" customHeight="1" x14ac:dyDescent="0.2">
      <c r="C62612"/>
      <c r="M62612"/>
    </row>
    <row r="62613" spans="3:13" ht="12.75" customHeight="1" x14ac:dyDescent="0.2">
      <c r="C62613"/>
      <c r="M62613"/>
    </row>
    <row r="62614" spans="3:13" ht="12.75" customHeight="1" x14ac:dyDescent="0.2">
      <c r="C62614"/>
      <c r="M62614"/>
    </row>
    <row r="62615" spans="3:13" ht="12.75" customHeight="1" x14ac:dyDescent="0.2">
      <c r="C62615"/>
      <c r="M62615"/>
    </row>
    <row r="62616" spans="3:13" ht="12.75" customHeight="1" x14ac:dyDescent="0.2">
      <c r="C62616"/>
      <c r="M62616"/>
    </row>
    <row r="62617" spans="3:13" ht="12.75" customHeight="1" x14ac:dyDescent="0.2">
      <c r="C62617"/>
      <c r="M62617"/>
    </row>
    <row r="62618" spans="3:13" ht="12.75" customHeight="1" x14ac:dyDescent="0.2">
      <c r="C62618"/>
      <c r="M62618"/>
    </row>
    <row r="62619" spans="3:13" ht="12.75" customHeight="1" x14ac:dyDescent="0.2">
      <c r="C62619"/>
      <c r="M62619"/>
    </row>
    <row r="62620" spans="3:13" ht="12.75" customHeight="1" x14ac:dyDescent="0.2">
      <c r="C62620"/>
      <c r="M62620"/>
    </row>
    <row r="62621" spans="3:13" ht="12.75" customHeight="1" x14ac:dyDescent="0.2">
      <c r="C62621"/>
      <c r="M62621"/>
    </row>
    <row r="62622" spans="3:13" ht="12.75" customHeight="1" x14ac:dyDescent="0.2">
      <c r="C62622"/>
      <c r="M62622"/>
    </row>
    <row r="62623" spans="3:13" ht="12.75" customHeight="1" x14ac:dyDescent="0.2">
      <c r="C62623"/>
      <c r="M62623"/>
    </row>
    <row r="62624" spans="3:13" ht="12.75" customHeight="1" x14ac:dyDescent="0.2">
      <c r="C62624"/>
      <c r="M62624"/>
    </row>
    <row r="62625" spans="3:13" ht="12.75" customHeight="1" x14ac:dyDescent="0.2">
      <c r="C62625"/>
      <c r="M62625"/>
    </row>
    <row r="62626" spans="3:13" ht="12.75" customHeight="1" x14ac:dyDescent="0.2">
      <c r="C62626"/>
      <c r="M62626"/>
    </row>
    <row r="62627" spans="3:13" ht="12.75" customHeight="1" x14ac:dyDescent="0.2">
      <c r="C62627"/>
      <c r="M62627"/>
    </row>
    <row r="62628" spans="3:13" ht="12.75" customHeight="1" x14ac:dyDescent="0.2">
      <c r="C62628"/>
      <c r="M62628"/>
    </row>
    <row r="62629" spans="3:13" ht="12.75" customHeight="1" x14ac:dyDescent="0.2">
      <c r="C62629"/>
      <c r="M62629"/>
    </row>
    <row r="62630" spans="3:13" ht="12.75" customHeight="1" x14ac:dyDescent="0.2">
      <c r="C62630"/>
      <c r="M62630"/>
    </row>
    <row r="62631" spans="3:13" ht="12.75" customHeight="1" x14ac:dyDescent="0.2">
      <c r="C62631"/>
      <c r="M62631"/>
    </row>
    <row r="62632" spans="3:13" ht="12.75" customHeight="1" x14ac:dyDescent="0.2">
      <c r="C62632"/>
      <c r="M62632"/>
    </row>
    <row r="62633" spans="3:13" ht="12.75" customHeight="1" x14ac:dyDescent="0.2">
      <c r="C62633"/>
      <c r="M62633"/>
    </row>
    <row r="62634" spans="3:13" ht="12.75" customHeight="1" x14ac:dyDescent="0.2">
      <c r="C62634"/>
      <c r="M62634"/>
    </row>
    <row r="62635" spans="3:13" ht="12.75" customHeight="1" x14ac:dyDescent="0.2">
      <c r="C62635"/>
      <c r="M62635"/>
    </row>
    <row r="62636" spans="3:13" ht="12.75" customHeight="1" x14ac:dyDescent="0.2">
      <c r="C62636"/>
      <c r="M62636"/>
    </row>
    <row r="62637" spans="3:13" ht="12.75" customHeight="1" x14ac:dyDescent="0.2">
      <c r="C62637"/>
      <c r="M62637"/>
    </row>
    <row r="62638" spans="3:13" ht="12.75" customHeight="1" x14ac:dyDescent="0.2">
      <c r="C62638"/>
      <c r="M62638"/>
    </row>
    <row r="62639" spans="3:13" ht="12.75" customHeight="1" x14ac:dyDescent="0.2">
      <c r="C62639"/>
      <c r="M62639"/>
    </row>
    <row r="62640" spans="3:13" ht="12.75" customHeight="1" x14ac:dyDescent="0.2">
      <c r="C62640"/>
      <c r="M62640"/>
    </row>
    <row r="62641" spans="3:13" ht="12.75" customHeight="1" x14ac:dyDescent="0.2">
      <c r="C62641"/>
      <c r="M62641"/>
    </row>
    <row r="62642" spans="3:13" ht="12.75" customHeight="1" x14ac:dyDescent="0.2">
      <c r="C62642"/>
      <c r="M62642"/>
    </row>
    <row r="62643" spans="3:13" ht="12.75" customHeight="1" x14ac:dyDescent="0.2">
      <c r="C62643"/>
      <c r="M62643"/>
    </row>
    <row r="62644" spans="3:13" ht="12.75" customHeight="1" x14ac:dyDescent="0.2">
      <c r="C62644"/>
      <c r="M62644"/>
    </row>
    <row r="62645" spans="3:13" ht="12.75" customHeight="1" x14ac:dyDescent="0.2">
      <c r="C62645"/>
      <c r="M62645"/>
    </row>
    <row r="62646" spans="3:13" ht="12.75" customHeight="1" x14ac:dyDescent="0.2">
      <c r="C62646"/>
      <c r="M62646"/>
    </row>
    <row r="62647" spans="3:13" ht="12.75" customHeight="1" x14ac:dyDescent="0.2">
      <c r="C62647"/>
      <c r="M62647"/>
    </row>
    <row r="62648" spans="3:13" ht="12.75" customHeight="1" x14ac:dyDescent="0.2">
      <c r="C62648"/>
      <c r="M62648"/>
    </row>
    <row r="62649" spans="3:13" ht="12.75" customHeight="1" x14ac:dyDescent="0.2">
      <c r="C62649"/>
      <c r="M62649"/>
    </row>
    <row r="62650" spans="3:13" ht="12.75" customHeight="1" x14ac:dyDescent="0.2">
      <c r="C62650"/>
      <c r="M62650"/>
    </row>
    <row r="62651" spans="3:13" ht="12.75" customHeight="1" x14ac:dyDescent="0.2">
      <c r="C62651"/>
      <c r="M62651"/>
    </row>
    <row r="62652" spans="3:13" ht="12.75" customHeight="1" x14ac:dyDescent="0.2">
      <c r="C62652"/>
      <c r="M62652"/>
    </row>
    <row r="62653" spans="3:13" ht="12.75" customHeight="1" x14ac:dyDescent="0.2">
      <c r="C62653"/>
      <c r="M62653"/>
    </row>
    <row r="62654" spans="3:13" ht="12.75" customHeight="1" x14ac:dyDescent="0.2">
      <c r="C62654"/>
      <c r="M62654"/>
    </row>
    <row r="62655" spans="3:13" ht="12.75" customHeight="1" x14ac:dyDescent="0.2">
      <c r="C62655"/>
      <c r="M62655"/>
    </row>
    <row r="62656" spans="3:13" ht="12.75" customHeight="1" x14ac:dyDescent="0.2">
      <c r="C62656"/>
      <c r="M62656"/>
    </row>
    <row r="62657" spans="3:13" ht="12.75" customHeight="1" x14ac:dyDescent="0.2">
      <c r="C62657"/>
      <c r="M62657"/>
    </row>
    <row r="62658" spans="3:13" ht="12.75" customHeight="1" x14ac:dyDescent="0.2">
      <c r="C62658"/>
      <c r="M62658"/>
    </row>
    <row r="62659" spans="3:13" ht="12.75" customHeight="1" x14ac:dyDescent="0.2">
      <c r="C62659"/>
      <c r="M62659"/>
    </row>
    <row r="62660" spans="3:13" ht="12.75" customHeight="1" x14ac:dyDescent="0.2">
      <c r="C62660"/>
      <c r="M62660"/>
    </row>
    <row r="62661" spans="3:13" ht="12.75" customHeight="1" x14ac:dyDescent="0.2">
      <c r="C62661"/>
      <c r="M62661"/>
    </row>
    <row r="62662" spans="3:13" ht="12.75" customHeight="1" x14ac:dyDescent="0.2">
      <c r="C62662"/>
      <c r="M62662"/>
    </row>
    <row r="62663" spans="3:13" ht="12.75" customHeight="1" x14ac:dyDescent="0.2">
      <c r="C62663"/>
      <c r="M62663"/>
    </row>
    <row r="62664" spans="3:13" ht="12.75" customHeight="1" x14ac:dyDescent="0.2">
      <c r="C62664"/>
      <c r="M62664"/>
    </row>
    <row r="62665" spans="3:13" ht="12.75" customHeight="1" x14ac:dyDescent="0.2">
      <c r="C62665"/>
      <c r="M62665"/>
    </row>
    <row r="62666" spans="3:13" ht="12.75" customHeight="1" x14ac:dyDescent="0.2">
      <c r="C62666"/>
      <c r="M62666"/>
    </row>
    <row r="62667" spans="3:13" ht="12.75" customHeight="1" x14ac:dyDescent="0.2">
      <c r="C62667"/>
      <c r="M62667"/>
    </row>
    <row r="62668" spans="3:13" ht="12.75" customHeight="1" x14ac:dyDescent="0.2">
      <c r="C62668"/>
      <c r="M62668"/>
    </row>
    <row r="62669" spans="3:13" ht="12.75" customHeight="1" x14ac:dyDescent="0.2">
      <c r="C62669"/>
      <c r="M62669"/>
    </row>
    <row r="62670" spans="3:13" ht="12.75" customHeight="1" x14ac:dyDescent="0.2">
      <c r="C62670"/>
      <c r="M62670"/>
    </row>
    <row r="62671" spans="3:13" ht="12.75" customHeight="1" x14ac:dyDescent="0.2">
      <c r="C62671"/>
      <c r="M62671"/>
    </row>
    <row r="62672" spans="3:13" ht="12.75" customHeight="1" x14ac:dyDescent="0.2">
      <c r="C62672"/>
      <c r="M62672"/>
    </row>
    <row r="62673" spans="3:13" ht="12.75" customHeight="1" x14ac:dyDescent="0.2">
      <c r="C62673"/>
      <c r="M62673"/>
    </row>
    <row r="62674" spans="3:13" ht="12.75" customHeight="1" x14ac:dyDescent="0.2">
      <c r="C62674"/>
      <c r="M62674"/>
    </row>
    <row r="62675" spans="3:13" ht="12.75" customHeight="1" x14ac:dyDescent="0.2">
      <c r="C62675"/>
      <c r="M62675"/>
    </row>
    <row r="62676" spans="3:13" ht="12.75" customHeight="1" x14ac:dyDescent="0.2">
      <c r="C62676"/>
      <c r="M62676"/>
    </row>
    <row r="62677" spans="3:13" ht="12.75" customHeight="1" x14ac:dyDescent="0.2">
      <c r="C62677"/>
      <c r="M62677"/>
    </row>
    <row r="62678" spans="3:13" ht="12.75" customHeight="1" x14ac:dyDescent="0.2">
      <c r="C62678"/>
      <c r="M62678"/>
    </row>
    <row r="62679" spans="3:13" ht="12.75" customHeight="1" x14ac:dyDescent="0.2">
      <c r="C62679"/>
      <c r="M62679"/>
    </row>
    <row r="62680" spans="3:13" ht="12.75" customHeight="1" x14ac:dyDescent="0.2">
      <c r="C62680"/>
      <c r="M62680"/>
    </row>
    <row r="62681" spans="3:13" ht="12.75" customHeight="1" x14ac:dyDescent="0.2">
      <c r="C62681"/>
      <c r="M62681"/>
    </row>
    <row r="62682" spans="3:13" ht="12.75" customHeight="1" x14ac:dyDescent="0.2">
      <c r="C62682"/>
      <c r="M62682"/>
    </row>
    <row r="62683" spans="3:13" ht="12.75" customHeight="1" x14ac:dyDescent="0.2">
      <c r="C62683"/>
      <c r="M62683"/>
    </row>
    <row r="62684" spans="3:13" ht="12.75" customHeight="1" x14ac:dyDescent="0.2">
      <c r="C62684"/>
      <c r="M62684"/>
    </row>
    <row r="62685" spans="3:13" ht="12.75" customHeight="1" x14ac:dyDescent="0.2">
      <c r="C62685"/>
      <c r="M62685"/>
    </row>
    <row r="62686" spans="3:13" ht="12.75" customHeight="1" x14ac:dyDescent="0.2">
      <c r="C62686"/>
      <c r="M62686"/>
    </row>
    <row r="62687" spans="3:13" ht="12.75" customHeight="1" x14ac:dyDescent="0.2">
      <c r="C62687"/>
      <c r="M62687"/>
    </row>
    <row r="62688" spans="3:13" ht="12.75" customHeight="1" x14ac:dyDescent="0.2">
      <c r="C62688"/>
      <c r="M62688"/>
    </row>
    <row r="62689" spans="3:13" ht="12.75" customHeight="1" x14ac:dyDescent="0.2">
      <c r="C62689"/>
      <c r="M62689"/>
    </row>
    <row r="62690" spans="3:13" ht="12.75" customHeight="1" x14ac:dyDescent="0.2">
      <c r="C62690"/>
      <c r="M62690"/>
    </row>
    <row r="62691" spans="3:13" ht="12.75" customHeight="1" x14ac:dyDescent="0.2">
      <c r="C62691"/>
      <c r="M62691"/>
    </row>
    <row r="62692" spans="3:13" ht="12.75" customHeight="1" x14ac:dyDescent="0.2">
      <c r="C62692"/>
      <c r="M62692"/>
    </row>
    <row r="62693" spans="3:13" ht="12.75" customHeight="1" x14ac:dyDescent="0.2">
      <c r="C62693"/>
      <c r="M62693"/>
    </row>
    <row r="62694" spans="3:13" ht="12.75" customHeight="1" x14ac:dyDescent="0.2">
      <c r="C62694"/>
      <c r="M62694"/>
    </row>
    <row r="62695" spans="3:13" ht="12.75" customHeight="1" x14ac:dyDescent="0.2">
      <c r="C62695"/>
      <c r="M62695"/>
    </row>
    <row r="62696" spans="3:13" ht="12.75" customHeight="1" x14ac:dyDescent="0.2">
      <c r="C62696"/>
      <c r="M62696"/>
    </row>
    <row r="62697" spans="3:13" ht="12.75" customHeight="1" x14ac:dyDescent="0.2">
      <c r="C62697"/>
      <c r="M62697"/>
    </row>
    <row r="62698" spans="3:13" ht="12.75" customHeight="1" x14ac:dyDescent="0.2">
      <c r="C62698"/>
      <c r="M62698"/>
    </row>
    <row r="62699" spans="3:13" ht="12.75" customHeight="1" x14ac:dyDescent="0.2">
      <c r="C62699"/>
      <c r="M62699"/>
    </row>
    <row r="62700" spans="3:13" ht="12.75" customHeight="1" x14ac:dyDescent="0.2">
      <c r="C62700"/>
      <c r="M62700"/>
    </row>
    <row r="62701" spans="3:13" ht="12.75" customHeight="1" x14ac:dyDescent="0.2">
      <c r="C62701"/>
      <c r="M62701"/>
    </row>
    <row r="62702" spans="3:13" ht="12.75" customHeight="1" x14ac:dyDescent="0.2">
      <c r="C62702"/>
      <c r="M62702"/>
    </row>
    <row r="62703" spans="3:13" ht="12.75" customHeight="1" x14ac:dyDescent="0.2">
      <c r="C62703"/>
      <c r="M62703"/>
    </row>
    <row r="62704" spans="3:13" ht="12.75" customHeight="1" x14ac:dyDescent="0.2">
      <c r="C62704"/>
      <c r="M62704"/>
    </row>
    <row r="62705" spans="3:13" ht="12.75" customHeight="1" x14ac:dyDescent="0.2">
      <c r="C62705"/>
      <c r="M62705"/>
    </row>
    <row r="62706" spans="3:13" ht="12.75" customHeight="1" x14ac:dyDescent="0.2">
      <c r="C62706"/>
      <c r="M62706"/>
    </row>
    <row r="62707" spans="3:13" ht="12.75" customHeight="1" x14ac:dyDescent="0.2">
      <c r="C62707"/>
      <c r="M62707"/>
    </row>
    <row r="62708" spans="3:13" ht="12.75" customHeight="1" x14ac:dyDescent="0.2">
      <c r="C62708"/>
      <c r="M62708"/>
    </row>
    <row r="62709" spans="3:13" ht="12.75" customHeight="1" x14ac:dyDescent="0.2">
      <c r="C62709"/>
      <c r="M62709"/>
    </row>
    <row r="62710" spans="3:13" ht="12.75" customHeight="1" x14ac:dyDescent="0.2">
      <c r="C62710"/>
      <c r="M62710"/>
    </row>
    <row r="62711" spans="3:13" ht="12.75" customHeight="1" x14ac:dyDescent="0.2">
      <c r="C62711"/>
      <c r="M62711"/>
    </row>
    <row r="62712" spans="3:13" ht="12.75" customHeight="1" x14ac:dyDescent="0.2">
      <c r="C62712"/>
      <c r="M62712"/>
    </row>
    <row r="62713" spans="3:13" ht="12.75" customHeight="1" x14ac:dyDescent="0.2">
      <c r="C62713"/>
      <c r="M62713"/>
    </row>
    <row r="62714" spans="3:13" ht="12.75" customHeight="1" x14ac:dyDescent="0.2">
      <c r="C62714"/>
      <c r="M62714"/>
    </row>
    <row r="62715" spans="3:13" ht="12.75" customHeight="1" x14ac:dyDescent="0.2">
      <c r="C62715"/>
      <c r="M62715"/>
    </row>
    <row r="62716" spans="3:13" ht="12.75" customHeight="1" x14ac:dyDescent="0.2">
      <c r="C62716"/>
      <c r="M62716"/>
    </row>
    <row r="62717" spans="3:13" ht="12.75" customHeight="1" x14ac:dyDescent="0.2">
      <c r="C62717"/>
      <c r="M62717"/>
    </row>
    <row r="62718" spans="3:13" ht="12.75" customHeight="1" x14ac:dyDescent="0.2">
      <c r="C62718"/>
      <c r="M62718"/>
    </row>
    <row r="62719" spans="3:13" ht="12.75" customHeight="1" x14ac:dyDescent="0.2">
      <c r="C62719"/>
      <c r="M62719"/>
    </row>
    <row r="62720" spans="3:13" ht="12.75" customHeight="1" x14ac:dyDescent="0.2">
      <c r="C62720"/>
      <c r="M62720"/>
    </row>
    <row r="62721" spans="3:13" ht="12.75" customHeight="1" x14ac:dyDescent="0.2">
      <c r="C62721"/>
      <c r="M62721"/>
    </row>
    <row r="62722" spans="3:13" ht="12.75" customHeight="1" x14ac:dyDescent="0.2">
      <c r="C62722"/>
      <c r="M62722"/>
    </row>
    <row r="62723" spans="3:13" ht="12.75" customHeight="1" x14ac:dyDescent="0.2">
      <c r="C62723"/>
      <c r="M62723"/>
    </row>
    <row r="62724" spans="3:13" ht="12.75" customHeight="1" x14ac:dyDescent="0.2">
      <c r="C62724"/>
      <c r="M62724"/>
    </row>
    <row r="62725" spans="3:13" ht="12.75" customHeight="1" x14ac:dyDescent="0.2">
      <c r="C62725"/>
      <c r="M62725"/>
    </row>
    <row r="62726" spans="3:13" ht="12.75" customHeight="1" x14ac:dyDescent="0.2">
      <c r="C62726"/>
      <c r="M62726"/>
    </row>
    <row r="62727" spans="3:13" ht="12.75" customHeight="1" x14ac:dyDescent="0.2">
      <c r="C62727"/>
      <c r="M62727"/>
    </row>
    <row r="62728" spans="3:13" ht="12.75" customHeight="1" x14ac:dyDescent="0.2">
      <c r="C62728"/>
      <c r="M62728"/>
    </row>
    <row r="62729" spans="3:13" ht="12.75" customHeight="1" x14ac:dyDescent="0.2">
      <c r="C62729"/>
      <c r="M62729"/>
    </row>
    <row r="62730" spans="3:13" ht="12.75" customHeight="1" x14ac:dyDescent="0.2">
      <c r="C62730"/>
      <c r="M62730"/>
    </row>
    <row r="62731" spans="3:13" ht="12.75" customHeight="1" x14ac:dyDescent="0.2">
      <c r="C62731"/>
      <c r="M62731"/>
    </row>
    <row r="62732" spans="3:13" ht="12.75" customHeight="1" x14ac:dyDescent="0.2">
      <c r="C62732"/>
      <c r="M62732"/>
    </row>
    <row r="62733" spans="3:13" ht="12.75" customHeight="1" x14ac:dyDescent="0.2">
      <c r="C62733"/>
      <c r="M62733"/>
    </row>
    <row r="62734" spans="3:13" ht="12.75" customHeight="1" x14ac:dyDescent="0.2">
      <c r="C62734"/>
      <c r="M62734"/>
    </row>
    <row r="62735" spans="3:13" ht="12.75" customHeight="1" x14ac:dyDescent="0.2">
      <c r="C62735"/>
      <c r="M62735"/>
    </row>
    <row r="62736" spans="3:13" ht="12.75" customHeight="1" x14ac:dyDescent="0.2">
      <c r="C62736"/>
      <c r="M62736"/>
    </row>
    <row r="62737" spans="3:13" ht="12.75" customHeight="1" x14ac:dyDescent="0.2">
      <c r="C62737"/>
      <c r="M62737"/>
    </row>
    <row r="62738" spans="3:13" ht="12.75" customHeight="1" x14ac:dyDescent="0.2">
      <c r="C62738"/>
      <c r="M62738"/>
    </row>
    <row r="62739" spans="3:13" ht="12.75" customHeight="1" x14ac:dyDescent="0.2">
      <c r="C62739"/>
      <c r="M62739"/>
    </row>
    <row r="62740" spans="3:13" ht="12.75" customHeight="1" x14ac:dyDescent="0.2">
      <c r="C62740"/>
      <c r="M62740"/>
    </row>
    <row r="62741" spans="3:13" ht="12.75" customHeight="1" x14ac:dyDescent="0.2">
      <c r="C62741"/>
      <c r="M62741"/>
    </row>
    <row r="62742" spans="3:13" ht="12.75" customHeight="1" x14ac:dyDescent="0.2">
      <c r="C62742"/>
      <c r="M62742"/>
    </row>
    <row r="62743" spans="3:13" ht="12.75" customHeight="1" x14ac:dyDescent="0.2">
      <c r="C62743"/>
      <c r="M62743"/>
    </row>
    <row r="62744" spans="3:13" ht="12.75" customHeight="1" x14ac:dyDescent="0.2">
      <c r="C62744"/>
      <c r="M62744"/>
    </row>
    <row r="62745" spans="3:13" ht="12.75" customHeight="1" x14ac:dyDescent="0.2">
      <c r="C62745"/>
      <c r="M62745"/>
    </row>
    <row r="62746" spans="3:13" ht="12.75" customHeight="1" x14ac:dyDescent="0.2">
      <c r="C62746"/>
      <c r="M62746"/>
    </row>
    <row r="62747" spans="3:13" ht="12.75" customHeight="1" x14ac:dyDescent="0.2">
      <c r="C62747"/>
      <c r="M62747"/>
    </row>
    <row r="62748" spans="3:13" ht="12.75" customHeight="1" x14ac:dyDescent="0.2">
      <c r="C62748"/>
      <c r="M62748"/>
    </row>
    <row r="62749" spans="3:13" ht="12.75" customHeight="1" x14ac:dyDescent="0.2">
      <c r="C62749"/>
      <c r="M62749"/>
    </row>
    <row r="62750" spans="3:13" ht="12.75" customHeight="1" x14ac:dyDescent="0.2">
      <c r="C62750"/>
      <c r="M62750"/>
    </row>
    <row r="62751" spans="3:13" ht="12.75" customHeight="1" x14ac:dyDescent="0.2">
      <c r="C62751"/>
      <c r="M62751"/>
    </row>
    <row r="62752" spans="3:13" ht="12.75" customHeight="1" x14ac:dyDescent="0.2">
      <c r="C62752"/>
      <c r="M62752"/>
    </row>
    <row r="62753" spans="3:13" ht="12.75" customHeight="1" x14ac:dyDescent="0.2">
      <c r="C62753"/>
      <c r="M62753"/>
    </row>
    <row r="62754" spans="3:13" ht="12.75" customHeight="1" x14ac:dyDescent="0.2">
      <c r="C62754"/>
      <c r="M62754"/>
    </row>
    <row r="62755" spans="3:13" ht="12.75" customHeight="1" x14ac:dyDescent="0.2">
      <c r="C62755"/>
      <c r="M62755"/>
    </row>
    <row r="62756" spans="3:13" ht="12.75" customHeight="1" x14ac:dyDescent="0.2">
      <c r="C62756"/>
      <c r="M62756"/>
    </row>
    <row r="62757" spans="3:13" ht="12.75" customHeight="1" x14ac:dyDescent="0.2">
      <c r="C62757"/>
      <c r="M62757"/>
    </row>
    <row r="62758" spans="3:13" ht="12.75" customHeight="1" x14ac:dyDescent="0.2">
      <c r="C62758"/>
      <c r="M62758"/>
    </row>
    <row r="62759" spans="3:13" ht="12.75" customHeight="1" x14ac:dyDescent="0.2">
      <c r="C62759"/>
      <c r="M62759"/>
    </row>
    <row r="62760" spans="3:13" ht="12.75" customHeight="1" x14ac:dyDescent="0.2">
      <c r="C62760"/>
      <c r="M62760"/>
    </row>
    <row r="62761" spans="3:13" ht="12.75" customHeight="1" x14ac:dyDescent="0.2">
      <c r="C62761"/>
      <c r="M62761"/>
    </row>
    <row r="62762" spans="3:13" ht="12.75" customHeight="1" x14ac:dyDescent="0.2">
      <c r="C62762"/>
      <c r="M62762"/>
    </row>
    <row r="62763" spans="3:13" ht="12.75" customHeight="1" x14ac:dyDescent="0.2">
      <c r="C62763"/>
      <c r="M62763"/>
    </row>
    <row r="62764" spans="3:13" ht="12.75" customHeight="1" x14ac:dyDescent="0.2">
      <c r="C62764"/>
      <c r="M62764"/>
    </row>
    <row r="62765" spans="3:13" ht="12.75" customHeight="1" x14ac:dyDescent="0.2">
      <c r="C62765"/>
      <c r="M62765"/>
    </row>
    <row r="62766" spans="3:13" ht="12.75" customHeight="1" x14ac:dyDescent="0.2">
      <c r="C62766"/>
      <c r="M62766"/>
    </row>
    <row r="62767" spans="3:13" ht="12.75" customHeight="1" x14ac:dyDescent="0.2">
      <c r="C62767"/>
      <c r="M62767"/>
    </row>
    <row r="62768" spans="3:13" ht="12.75" customHeight="1" x14ac:dyDescent="0.2">
      <c r="C62768"/>
      <c r="M62768"/>
    </row>
    <row r="62769" spans="3:13" ht="12.75" customHeight="1" x14ac:dyDescent="0.2">
      <c r="C62769"/>
      <c r="M62769"/>
    </row>
    <row r="62770" spans="3:13" ht="12.75" customHeight="1" x14ac:dyDescent="0.2">
      <c r="C62770"/>
      <c r="M62770"/>
    </row>
    <row r="62771" spans="3:13" ht="12.75" customHeight="1" x14ac:dyDescent="0.2">
      <c r="C62771"/>
      <c r="M62771"/>
    </row>
    <row r="62772" spans="3:13" ht="12.75" customHeight="1" x14ac:dyDescent="0.2">
      <c r="C62772"/>
      <c r="M62772"/>
    </row>
    <row r="62773" spans="3:13" ht="12.75" customHeight="1" x14ac:dyDescent="0.2">
      <c r="C62773"/>
      <c r="M62773"/>
    </row>
    <row r="62774" spans="3:13" ht="12.75" customHeight="1" x14ac:dyDescent="0.2">
      <c r="C62774"/>
      <c r="M62774"/>
    </row>
    <row r="62775" spans="3:13" ht="12.75" customHeight="1" x14ac:dyDescent="0.2">
      <c r="C62775"/>
      <c r="M62775"/>
    </row>
    <row r="62776" spans="3:13" ht="12.75" customHeight="1" x14ac:dyDescent="0.2">
      <c r="C62776"/>
      <c r="M62776"/>
    </row>
    <row r="62777" spans="3:13" ht="12.75" customHeight="1" x14ac:dyDescent="0.2">
      <c r="C62777"/>
      <c r="M62777"/>
    </row>
    <row r="62778" spans="3:13" ht="12.75" customHeight="1" x14ac:dyDescent="0.2">
      <c r="C62778"/>
      <c r="M62778"/>
    </row>
    <row r="62779" spans="3:13" ht="12.75" customHeight="1" x14ac:dyDescent="0.2">
      <c r="C62779"/>
      <c r="M62779"/>
    </row>
    <row r="62780" spans="3:13" ht="12.75" customHeight="1" x14ac:dyDescent="0.2">
      <c r="C62780"/>
      <c r="M62780"/>
    </row>
    <row r="62781" spans="3:13" ht="12.75" customHeight="1" x14ac:dyDescent="0.2">
      <c r="C62781"/>
      <c r="M62781"/>
    </row>
    <row r="62782" spans="3:13" ht="12.75" customHeight="1" x14ac:dyDescent="0.2">
      <c r="C62782"/>
      <c r="M62782"/>
    </row>
    <row r="62783" spans="3:13" ht="12.75" customHeight="1" x14ac:dyDescent="0.2">
      <c r="C62783"/>
      <c r="M62783"/>
    </row>
    <row r="62784" spans="3:13" ht="12.75" customHeight="1" x14ac:dyDescent="0.2">
      <c r="C62784"/>
      <c r="M62784"/>
    </row>
    <row r="62785" spans="3:13" ht="12.75" customHeight="1" x14ac:dyDescent="0.2">
      <c r="C62785"/>
      <c r="M62785"/>
    </row>
    <row r="62786" spans="3:13" ht="12.75" customHeight="1" x14ac:dyDescent="0.2">
      <c r="C62786"/>
      <c r="M62786"/>
    </row>
    <row r="62787" spans="3:13" ht="12.75" customHeight="1" x14ac:dyDescent="0.2">
      <c r="C62787"/>
      <c r="M62787"/>
    </row>
    <row r="62788" spans="3:13" ht="12.75" customHeight="1" x14ac:dyDescent="0.2">
      <c r="C62788"/>
      <c r="M62788"/>
    </row>
    <row r="62789" spans="3:13" ht="12.75" customHeight="1" x14ac:dyDescent="0.2">
      <c r="C62789"/>
      <c r="M62789"/>
    </row>
    <row r="62790" spans="3:13" ht="12.75" customHeight="1" x14ac:dyDescent="0.2">
      <c r="C62790"/>
      <c r="M62790"/>
    </row>
    <row r="62791" spans="3:13" ht="12.75" customHeight="1" x14ac:dyDescent="0.2">
      <c r="C62791"/>
      <c r="M62791"/>
    </row>
    <row r="62792" spans="3:13" ht="12.75" customHeight="1" x14ac:dyDescent="0.2">
      <c r="C62792"/>
      <c r="M62792"/>
    </row>
    <row r="62793" spans="3:13" ht="12.75" customHeight="1" x14ac:dyDescent="0.2">
      <c r="C62793"/>
      <c r="M62793"/>
    </row>
    <row r="62794" spans="3:13" ht="12.75" customHeight="1" x14ac:dyDescent="0.2">
      <c r="C62794"/>
      <c r="M62794"/>
    </row>
    <row r="62795" spans="3:13" ht="12.75" customHeight="1" x14ac:dyDescent="0.2">
      <c r="C62795"/>
      <c r="M62795"/>
    </row>
    <row r="62796" spans="3:13" ht="12.75" customHeight="1" x14ac:dyDescent="0.2">
      <c r="C62796"/>
      <c r="M62796"/>
    </row>
    <row r="62797" spans="3:13" ht="12.75" customHeight="1" x14ac:dyDescent="0.2">
      <c r="C62797"/>
      <c r="M62797"/>
    </row>
    <row r="62798" spans="3:13" ht="12.75" customHeight="1" x14ac:dyDescent="0.2">
      <c r="C62798"/>
      <c r="M62798"/>
    </row>
    <row r="62799" spans="3:13" ht="12.75" customHeight="1" x14ac:dyDescent="0.2">
      <c r="C62799"/>
      <c r="M62799"/>
    </row>
    <row r="62800" spans="3:13" ht="12.75" customHeight="1" x14ac:dyDescent="0.2">
      <c r="C62800"/>
      <c r="M62800"/>
    </row>
    <row r="62801" spans="3:13" ht="12.75" customHeight="1" x14ac:dyDescent="0.2">
      <c r="C62801"/>
      <c r="M62801"/>
    </row>
    <row r="62802" spans="3:13" ht="12.75" customHeight="1" x14ac:dyDescent="0.2">
      <c r="C62802"/>
      <c r="M62802"/>
    </row>
    <row r="62803" spans="3:13" ht="12.75" customHeight="1" x14ac:dyDescent="0.2">
      <c r="C62803"/>
      <c r="M62803"/>
    </row>
    <row r="62804" spans="3:13" ht="12.75" customHeight="1" x14ac:dyDescent="0.2">
      <c r="C62804"/>
      <c r="M62804"/>
    </row>
    <row r="62805" spans="3:13" ht="12.75" customHeight="1" x14ac:dyDescent="0.2">
      <c r="C62805"/>
      <c r="M62805"/>
    </row>
    <row r="62806" spans="3:13" ht="12.75" customHeight="1" x14ac:dyDescent="0.2">
      <c r="C62806"/>
      <c r="M62806"/>
    </row>
    <row r="62807" spans="3:13" ht="12.75" customHeight="1" x14ac:dyDescent="0.2">
      <c r="C62807"/>
      <c r="M62807"/>
    </row>
    <row r="62808" spans="3:13" ht="12.75" customHeight="1" x14ac:dyDescent="0.2">
      <c r="C62808"/>
      <c r="M62808"/>
    </row>
    <row r="62809" spans="3:13" ht="12.75" customHeight="1" x14ac:dyDescent="0.2">
      <c r="C62809"/>
      <c r="M62809"/>
    </row>
    <row r="62810" spans="3:13" ht="12.75" customHeight="1" x14ac:dyDescent="0.2">
      <c r="C62810"/>
      <c r="M62810"/>
    </row>
    <row r="62811" spans="3:13" ht="12.75" customHeight="1" x14ac:dyDescent="0.2">
      <c r="C62811"/>
      <c r="M62811"/>
    </row>
    <row r="62812" spans="3:13" ht="12.75" customHeight="1" x14ac:dyDescent="0.2">
      <c r="C62812"/>
      <c r="M62812"/>
    </row>
    <row r="62813" spans="3:13" ht="12.75" customHeight="1" x14ac:dyDescent="0.2">
      <c r="C62813"/>
      <c r="M62813"/>
    </row>
    <row r="62814" spans="3:13" ht="12.75" customHeight="1" x14ac:dyDescent="0.2">
      <c r="C62814"/>
      <c r="M62814"/>
    </row>
    <row r="62815" spans="3:13" ht="12.75" customHeight="1" x14ac:dyDescent="0.2">
      <c r="C62815"/>
      <c r="M62815"/>
    </row>
    <row r="62816" spans="3:13" ht="12.75" customHeight="1" x14ac:dyDescent="0.2">
      <c r="C62816"/>
      <c r="M62816"/>
    </row>
    <row r="62817" spans="3:13" ht="12.75" customHeight="1" x14ac:dyDescent="0.2">
      <c r="C62817"/>
      <c r="M62817"/>
    </row>
    <row r="62818" spans="3:13" ht="12.75" customHeight="1" x14ac:dyDescent="0.2">
      <c r="C62818"/>
      <c r="M62818"/>
    </row>
    <row r="62819" spans="3:13" ht="12.75" customHeight="1" x14ac:dyDescent="0.2">
      <c r="C62819"/>
      <c r="M62819"/>
    </row>
    <row r="62820" spans="3:13" ht="12.75" customHeight="1" x14ac:dyDescent="0.2">
      <c r="C62820"/>
      <c r="M62820"/>
    </row>
    <row r="62821" spans="3:13" ht="12.75" customHeight="1" x14ac:dyDescent="0.2">
      <c r="C62821"/>
      <c r="M62821"/>
    </row>
    <row r="62822" spans="3:13" ht="12.75" customHeight="1" x14ac:dyDescent="0.2">
      <c r="C62822"/>
      <c r="M62822"/>
    </row>
    <row r="62823" spans="3:13" ht="12.75" customHeight="1" x14ac:dyDescent="0.2">
      <c r="C62823"/>
      <c r="M62823"/>
    </row>
    <row r="62824" spans="3:13" ht="12.75" customHeight="1" x14ac:dyDescent="0.2">
      <c r="C62824"/>
      <c r="M62824"/>
    </row>
    <row r="62825" spans="3:13" ht="12.75" customHeight="1" x14ac:dyDescent="0.2">
      <c r="C62825"/>
      <c r="M62825"/>
    </row>
    <row r="62826" spans="3:13" ht="12.75" customHeight="1" x14ac:dyDescent="0.2">
      <c r="C62826"/>
      <c r="M62826"/>
    </row>
    <row r="62827" spans="3:13" ht="12.75" customHeight="1" x14ac:dyDescent="0.2">
      <c r="C62827"/>
      <c r="M62827"/>
    </row>
    <row r="62828" spans="3:13" ht="12.75" customHeight="1" x14ac:dyDescent="0.2">
      <c r="C62828"/>
      <c r="M62828"/>
    </row>
    <row r="62829" spans="3:13" ht="12.75" customHeight="1" x14ac:dyDescent="0.2">
      <c r="C62829"/>
      <c r="M62829"/>
    </row>
    <row r="62830" spans="3:13" ht="12.75" customHeight="1" x14ac:dyDescent="0.2">
      <c r="C62830"/>
      <c r="M62830"/>
    </row>
    <row r="62831" spans="3:13" ht="12.75" customHeight="1" x14ac:dyDescent="0.2">
      <c r="C62831"/>
      <c r="M62831"/>
    </row>
    <row r="62832" spans="3:13" ht="12.75" customHeight="1" x14ac:dyDescent="0.2">
      <c r="C62832"/>
      <c r="M62832"/>
    </row>
    <row r="62833" spans="3:13" ht="12.75" customHeight="1" x14ac:dyDescent="0.2">
      <c r="C62833"/>
      <c r="M62833"/>
    </row>
    <row r="62834" spans="3:13" ht="12.75" customHeight="1" x14ac:dyDescent="0.2">
      <c r="C62834"/>
      <c r="M62834"/>
    </row>
    <row r="62835" spans="3:13" ht="12.75" customHeight="1" x14ac:dyDescent="0.2">
      <c r="C62835"/>
      <c r="M62835"/>
    </row>
    <row r="62836" spans="3:13" ht="12.75" customHeight="1" x14ac:dyDescent="0.2">
      <c r="C62836"/>
      <c r="M62836"/>
    </row>
    <row r="62837" spans="3:13" ht="12.75" customHeight="1" x14ac:dyDescent="0.2">
      <c r="C62837"/>
      <c r="M62837"/>
    </row>
    <row r="62838" spans="3:13" ht="12.75" customHeight="1" x14ac:dyDescent="0.2">
      <c r="C62838"/>
      <c r="M62838"/>
    </row>
    <row r="62839" spans="3:13" ht="12.75" customHeight="1" x14ac:dyDescent="0.2">
      <c r="C62839"/>
      <c r="M62839"/>
    </row>
    <row r="62840" spans="3:13" ht="12.75" customHeight="1" x14ac:dyDescent="0.2">
      <c r="C62840"/>
      <c r="M62840"/>
    </row>
    <row r="62841" spans="3:13" ht="12.75" customHeight="1" x14ac:dyDescent="0.2">
      <c r="C62841"/>
      <c r="M62841"/>
    </row>
    <row r="62842" spans="3:13" ht="12.75" customHeight="1" x14ac:dyDescent="0.2">
      <c r="C62842"/>
      <c r="M62842"/>
    </row>
    <row r="62843" spans="3:13" ht="12.75" customHeight="1" x14ac:dyDescent="0.2">
      <c r="C62843"/>
      <c r="M62843"/>
    </row>
    <row r="62844" spans="3:13" ht="12.75" customHeight="1" x14ac:dyDescent="0.2">
      <c r="C62844"/>
      <c r="M62844"/>
    </row>
    <row r="62845" spans="3:13" ht="12.75" customHeight="1" x14ac:dyDescent="0.2">
      <c r="C62845"/>
      <c r="M62845"/>
    </row>
    <row r="62846" spans="3:13" ht="12.75" customHeight="1" x14ac:dyDescent="0.2">
      <c r="C62846"/>
      <c r="M62846"/>
    </row>
    <row r="62847" spans="3:13" ht="12.75" customHeight="1" x14ac:dyDescent="0.2">
      <c r="C62847"/>
      <c r="M62847"/>
    </row>
    <row r="62848" spans="3:13" ht="12.75" customHeight="1" x14ac:dyDescent="0.2">
      <c r="C62848"/>
      <c r="M62848"/>
    </row>
    <row r="62849" spans="3:13" ht="12.75" customHeight="1" x14ac:dyDescent="0.2">
      <c r="C62849"/>
      <c r="M62849"/>
    </row>
    <row r="62850" spans="3:13" ht="12.75" customHeight="1" x14ac:dyDescent="0.2">
      <c r="C62850"/>
      <c r="M62850"/>
    </row>
    <row r="62851" spans="3:13" ht="12.75" customHeight="1" x14ac:dyDescent="0.2">
      <c r="C62851"/>
      <c r="M62851"/>
    </row>
    <row r="62852" spans="3:13" ht="12.75" customHeight="1" x14ac:dyDescent="0.2">
      <c r="C62852"/>
      <c r="M62852"/>
    </row>
    <row r="62853" spans="3:13" ht="12.75" customHeight="1" x14ac:dyDescent="0.2">
      <c r="C62853"/>
      <c r="M62853"/>
    </row>
    <row r="62854" spans="3:13" ht="12.75" customHeight="1" x14ac:dyDescent="0.2">
      <c r="C62854"/>
      <c r="M62854"/>
    </row>
    <row r="62855" spans="3:13" ht="12.75" customHeight="1" x14ac:dyDescent="0.2">
      <c r="C62855"/>
      <c r="M62855"/>
    </row>
    <row r="62856" spans="3:13" ht="12.75" customHeight="1" x14ac:dyDescent="0.2">
      <c r="C62856"/>
      <c r="M62856"/>
    </row>
    <row r="62857" spans="3:13" ht="12.75" customHeight="1" x14ac:dyDescent="0.2">
      <c r="C62857"/>
      <c r="M62857"/>
    </row>
    <row r="62858" spans="3:13" ht="12.75" customHeight="1" x14ac:dyDescent="0.2">
      <c r="C62858"/>
      <c r="M62858"/>
    </row>
    <row r="62859" spans="3:13" ht="12.75" customHeight="1" x14ac:dyDescent="0.2">
      <c r="C62859"/>
      <c r="M62859"/>
    </row>
    <row r="62860" spans="3:13" ht="12.75" customHeight="1" x14ac:dyDescent="0.2">
      <c r="C62860"/>
      <c r="M62860"/>
    </row>
    <row r="62861" spans="3:13" ht="12.75" customHeight="1" x14ac:dyDescent="0.2">
      <c r="C62861"/>
      <c r="M62861"/>
    </row>
    <row r="62862" spans="3:13" ht="12.75" customHeight="1" x14ac:dyDescent="0.2">
      <c r="C62862"/>
      <c r="M62862"/>
    </row>
    <row r="62863" spans="3:13" ht="12.75" customHeight="1" x14ac:dyDescent="0.2">
      <c r="C62863"/>
      <c r="M62863"/>
    </row>
    <row r="62864" spans="3:13" ht="12.75" customHeight="1" x14ac:dyDescent="0.2">
      <c r="C62864"/>
      <c r="M62864"/>
    </row>
    <row r="62865" spans="3:13" ht="12.75" customHeight="1" x14ac:dyDescent="0.2">
      <c r="C62865"/>
      <c r="M62865"/>
    </row>
    <row r="62866" spans="3:13" ht="12.75" customHeight="1" x14ac:dyDescent="0.2">
      <c r="C62866"/>
      <c r="M62866"/>
    </row>
    <row r="62867" spans="3:13" ht="12.75" customHeight="1" x14ac:dyDescent="0.2">
      <c r="C62867"/>
      <c r="M62867"/>
    </row>
    <row r="62868" spans="3:13" ht="12.75" customHeight="1" x14ac:dyDescent="0.2">
      <c r="C62868"/>
      <c r="M62868"/>
    </row>
    <row r="62869" spans="3:13" ht="12.75" customHeight="1" x14ac:dyDescent="0.2">
      <c r="C62869"/>
      <c r="M62869"/>
    </row>
    <row r="62870" spans="3:13" ht="12.75" customHeight="1" x14ac:dyDescent="0.2">
      <c r="C62870"/>
      <c r="M62870"/>
    </row>
    <row r="62871" spans="3:13" ht="12.75" customHeight="1" x14ac:dyDescent="0.2">
      <c r="C62871"/>
      <c r="M62871"/>
    </row>
    <row r="62872" spans="3:13" ht="12.75" customHeight="1" x14ac:dyDescent="0.2">
      <c r="C62872"/>
      <c r="M62872"/>
    </row>
    <row r="62873" spans="3:13" ht="12.75" customHeight="1" x14ac:dyDescent="0.2">
      <c r="C62873"/>
      <c r="M62873"/>
    </row>
    <row r="62874" spans="3:13" ht="12.75" customHeight="1" x14ac:dyDescent="0.2">
      <c r="C62874"/>
      <c r="M62874"/>
    </row>
    <row r="62875" spans="3:13" ht="12.75" customHeight="1" x14ac:dyDescent="0.2">
      <c r="C62875"/>
      <c r="M62875"/>
    </row>
    <row r="62876" spans="3:13" ht="12.75" customHeight="1" x14ac:dyDescent="0.2">
      <c r="C62876"/>
      <c r="M62876"/>
    </row>
    <row r="62877" spans="3:13" ht="12.75" customHeight="1" x14ac:dyDescent="0.2">
      <c r="C62877"/>
      <c r="M62877"/>
    </row>
    <row r="62878" spans="3:13" ht="12.75" customHeight="1" x14ac:dyDescent="0.2">
      <c r="C62878"/>
      <c r="M62878"/>
    </row>
    <row r="62879" spans="3:13" ht="12.75" customHeight="1" x14ac:dyDescent="0.2">
      <c r="C62879"/>
      <c r="M62879"/>
    </row>
    <row r="62880" spans="3:13" ht="12.75" customHeight="1" x14ac:dyDescent="0.2">
      <c r="C62880"/>
      <c r="M62880"/>
    </row>
    <row r="62881" spans="3:13" ht="12.75" customHeight="1" x14ac:dyDescent="0.2">
      <c r="C62881"/>
      <c r="M62881"/>
    </row>
    <row r="62882" spans="3:13" ht="12.75" customHeight="1" x14ac:dyDescent="0.2">
      <c r="C62882"/>
      <c r="M62882"/>
    </row>
    <row r="62883" spans="3:13" ht="12.75" customHeight="1" x14ac:dyDescent="0.2">
      <c r="C62883"/>
      <c r="M62883"/>
    </row>
    <row r="62884" spans="3:13" ht="12.75" customHeight="1" x14ac:dyDescent="0.2">
      <c r="C62884"/>
      <c r="M62884"/>
    </row>
    <row r="62885" spans="3:13" ht="12.75" customHeight="1" x14ac:dyDescent="0.2">
      <c r="C62885"/>
      <c r="M62885"/>
    </row>
    <row r="62886" spans="3:13" ht="12.75" customHeight="1" x14ac:dyDescent="0.2">
      <c r="C62886"/>
      <c r="M62886"/>
    </row>
    <row r="62887" spans="3:13" ht="12.75" customHeight="1" x14ac:dyDescent="0.2">
      <c r="C62887"/>
      <c r="M62887"/>
    </row>
    <row r="62888" spans="3:13" ht="12.75" customHeight="1" x14ac:dyDescent="0.2">
      <c r="C62888"/>
      <c r="M62888"/>
    </row>
    <row r="62889" spans="3:13" ht="12.75" customHeight="1" x14ac:dyDescent="0.2">
      <c r="C62889"/>
      <c r="M62889"/>
    </row>
    <row r="62890" spans="3:13" ht="12.75" customHeight="1" x14ac:dyDescent="0.2">
      <c r="C62890"/>
      <c r="M62890"/>
    </row>
    <row r="62891" spans="3:13" ht="12.75" customHeight="1" x14ac:dyDescent="0.2">
      <c r="C62891"/>
      <c r="M62891"/>
    </row>
    <row r="62892" spans="3:13" ht="12.75" customHeight="1" x14ac:dyDescent="0.2">
      <c r="C62892"/>
      <c r="M62892"/>
    </row>
    <row r="62893" spans="3:13" ht="12.75" customHeight="1" x14ac:dyDescent="0.2">
      <c r="C62893"/>
      <c r="M62893"/>
    </row>
    <row r="62894" spans="3:13" ht="12.75" customHeight="1" x14ac:dyDescent="0.2">
      <c r="C62894"/>
      <c r="M62894"/>
    </row>
    <row r="62895" spans="3:13" ht="12.75" customHeight="1" x14ac:dyDescent="0.2">
      <c r="C62895"/>
      <c r="M62895"/>
    </row>
    <row r="62896" spans="3:13" ht="12.75" customHeight="1" x14ac:dyDescent="0.2">
      <c r="C62896"/>
      <c r="M62896"/>
    </row>
    <row r="62897" spans="3:13" ht="12.75" customHeight="1" x14ac:dyDescent="0.2">
      <c r="C62897"/>
      <c r="M62897"/>
    </row>
    <row r="62898" spans="3:13" ht="12.75" customHeight="1" x14ac:dyDescent="0.2">
      <c r="C62898"/>
      <c r="M62898"/>
    </row>
    <row r="62899" spans="3:13" ht="12.75" customHeight="1" x14ac:dyDescent="0.2">
      <c r="C62899"/>
      <c r="M62899"/>
    </row>
    <row r="62900" spans="3:13" ht="12.75" customHeight="1" x14ac:dyDescent="0.2">
      <c r="C62900"/>
      <c r="M62900"/>
    </row>
    <row r="62901" spans="3:13" ht="12.75" customHeight="1" x14ac:dyDescent="0.2">
      <c r="C62901"/>
      <c r="M62901"/>
    </row>
    <row r="62902" spans="3:13" ht="12.75" customHeight="1" x14ac:dyDescent="0.2">
      <c r="C62902"/>
      <c r="M62902"/>
    </row>
    <row r="62903" spans="3:13" ht="12.75" customHeight="1" x14ac:dyDescent="0.2">
      <c r="C62903"/>
      <c r="M62903"/>
    </row>
    <row r="62904" spans="3:13" ht="12.75" customHeight="1" x14ac:dyDescent="0.2">
      <c r="C62904"/>
      <c r="M62904"/>
    </row>
    <row r="62905" spans="3:13" ht="12.75" customHeight="1" x14ac:dyDescent="0.2">
      <c r="C62905"/>
      <c r="M62905"/>
    </row>
    <row r="62906" spans="3:13" ht="12.75" customHeight="1" x14ac:dyDescent="0.2">
      <c r="C62906"/>
      <c r="M62906"/>
    </row>
    <row r="62907" spans="3:13" ht="12.75" customHeight="1" x14ac:dyDescent="0.2">
      <c r="C62907"/>
      <c r="M62907"/>
    </row>
    <row r="62908" spans="3:13" ht="12.75" customHeight="1" x14ac:dyDescent="0.2">
      <c r="C62908"/>
      <c r="M62908"/>
    </row>
    <row r="62909" spans="3:13" ht="12.75" customHeight="1" x14ac:dyDescent="0.2">
      <c r="C62909"/>
      <c r="M62909"/>
    </row>
    <row r="62910" spans="3:13" ht="12.75" customHeight="1" x14ac:dyDescent="0.2">
      <c r="C62910"/>
      <c r="M62910"/>
    </row>
    <row r="62911" spans="3:13" ht="12.75" customHeight="1" x14ac:dyDescent="0.2">
      <c r="C62911"/>
      <c r="M62911"/>
    </row>
    <row r="62912" spans="3:13" ht="12.75" customHeight="1" x14ac:dyDescent="0.2">
      <c r="C62912"/>
      <c r="M62912"/>
    </row>
    <row r="62913" spans="3:13" ht="12.75" customHeight="1" x14ac:dyDescent="0.2">
      <c r="C62913"/>
      <c r="M62913"/>
    </row>
    <row r="62914" spans="3:13" ht="12.75" customHeight="1" x14ac:dyDescent="0.2">
      <c r="C62914"/>
      <c r="M62914"/>
    </row>
    <row r="62915" spans="3:13" ht="12.75" customHeight="1" x14ac:dyDescent="0.2">
      <c r="C62915"/>
      <c r="M62915"/>
    </row>
    <row r="62916" spans="3:13" ht="12.75" customHeight="1" x14ac:dyDescent="0.2">
      <c r="C62916"/>
      <c r="M62916"/>
    </row>
    <row r="62917" spans="3:13" ht="12.75" customHeight="1" x14ac:dyDescent="0.2">
      <c r="C62917"/>
      <c r="M62917"/>
    </row>
    <row r="62918" spans="3:13" ht="12.75" customHeight="1" x14ac:dyDescent="0.2">
      <c r="C62918"/>
      <c r="M62918"/>
    </row>
    <row r="62919" spans="3:13" ht="12.75" customHeight="1" x14ac:dyDescent="0.2">
      <c r="C62919"/>
      <c r="M62919"/>
    </row>
    <row r="62920" spans="3:13" ht="12.75" customHeight="1" x14ac:dyDescent="0.2">
      <c r="C62920"/>
      <c r="M62920"/>
    </row>
    <row r="62921" spans="3:13" ht="12.75" customHeight="1" x14ac:dyDescent="0.2">
      <c r="C62921"/>
      <c r="M62921"/>
    </row>
    <row r="62922" spans="3:13" ht="12.75" customHeight="1" x14ac:dyDescent="0.2">
      <c r="C62922"/>
      <c r="M62922"/>
    </row>
    <row r="62923" spans="3:13" ht="12.75" customHeight="1" x14ac:dyDescent="0.2">
      <c r="C62923"/>
      <c r="M62923"/>
    </row>
    <row r="62924" spans="3:13" ht="12.75" customHeight="1" x14ac:dyDescent="0.2">
      <c r="C62924"/>
      <c r="M62924"/>
    </row>
    <row r="62925" spans="3:13" ht="12.75" customHeight="1" x14ac:dyDescent="0.2">
      <c r="C62925"/>
      <c r="M62925"/>
    </row>
    <row r="62926" spans="3:13" ht="12.75" customHeight="1" x14ac:dyDescent="0.2">
      <c r="C62926"/>
      <c r="M62926"/>
    </row>
    <row r="62927" spans="3:13" ht="12.75" customHeight="1" x14ac:dyDescent="0.2">
      <c r="C62927"/>
      <c r="M62927"/>
    </row>
    <row r="62928" spans="3:13" ht="12.75" customHeight="1" x14ac:dyDescent="0.2">
      <c r="C62928"/>
      <c r="M62928"/>
    </row>
    <row r="62929" spans="3:13" ht="12.75" customHeight="1" x14ac:dyDescent="0.2">
      <c r="C62929"/>
      <c r="M62929"/>
    </row>
    <row r="62930" spans="3:13" ht="12.75" customHeight="1" x14ac:dyDescent="0.2">
      <c r="C62930"/>
      <c r="M62930"/>
    </row>
    <row r="62931" spans="3:13" ht="12.75" customHeight="1" x14ac:dyDescent="0.2">
      <c r="C62931"/>
      <c r="M62931"/>
    </row>
    <row r="62932" spans="3:13" ht="12.75" customHeight="1" x14ac:dyDescent="0.2">
      <c r="C62932"/>
      <c r="M62932"/>
    </row>
    <row r="62933" spans="3:13" ht="12.75" customHeight="1" x14ac:dyDescent="0.2">
      <c r="C62933"/>
      <c r="M62933"/>
    </row>
    <row r="62934" spans="3:13" ht="12.75" customHeight="1" x14ac:dyDescent="0.2">
      <c r="C62934"/>
      <c r="M62934"/>
    </row>
    <row r="62935" spans="3:13" ht="12.75" customHeight="1" x14ac:dyDescent="0.2">
      <c r="C62935"/>
      <c r="M62935"/>
    </row>
    <row r="62936" spans="3:13" ht="12.75" customHeight="1" x14ac:dyDescent="0.2">
      <c r="C62936"/>
      <c r="M62936"/>
    </row>
    <row r="62937" spans="3:13" ht="12.75" customHeight="1" x14ac:dyDescent="0.2">
      <c r="C62937"/>
      <c r="M62937"/>
    </row>
    <row r="62938" spans="3:13" ht="12.75" customHeight="1" x14ac:dyDescent="0.2">
      <c r="C62938"/>
      <c r="M62938"/>
    </row>
    <row r="62939" spans="3:13" ht="12.75" customHeight="1" x14ac:dyDescent="0.2">
      <c r="C62939"/>
      <c r="M62939"/>
    </row>
    <row r="62940" spans="3:13" ht="12.75" customHeight="1" x14ac:dyDescent="0.2">
      <c r="C62940"/>
      <c r="M62940"/>
    </row>
    <row r="62941" spans="3:13" ht="12.75" customHeight="1" x14ac:dyDescent="0.2">
      <c r="C62941"/>
      <c r="M62941"/>
    </row>
    <row r="62942" spans="3:13" ht="12.75" customHeight="1" x14ac:dyDescent="0.2">
      <c r="C62942"/>
      <c r="M62942"/>
    </row>
    <row r="62943" spans="3:13" ht="12.75" customHeight="1" x14ac:dyDescent="0.2">
      <c r="C62943"/>
      <c r="M62943"/>
    </row>
    <row r="62944" spans="3:13" ht="12.75" customHeight="1" x14ac:dyDescent="0.2">
      <c r="C62944"/>
      <c r="M62944"/>
    </row>
    <row r="62945" spans="3:13" ht="12.75" customHeight="1" x14ac:dyDescent="0.2">
      <c r="C62945"/>
      <c r="M62945"/>
    </row>
    <row r="62946" spans="3:13" ht="12.75" customHeight="1" x14ac:dyDescent="0.2">
      <c r="C62946"/>
      <c r="M62946"/>
    </row>
    <row r="62947" spans="3:13" ht="12.75" customHeight="1" x14ac:dyDescent="0.2">
      <c r="C62947"/>
      <c r="M62947"/>
    </row>
    <row r="62948" spans="3:13" ht="12.75" customHeight="1" x14ac:dyDescent="0.2">
      <c r="C62948"/>
      <c r="M62948"/>
    </row>
    <row r="62949" spans="3:13" ht="12.75" customHeight="1" x14ac:dyDescent="0.2">
      <c r="C62949"/>
      <c r="M62949"/>
    </row>
    <row r="62950" spans="3:13" ht="12.75" customHeight="1" x14ac:dyDescent="0.2">
      <c r="C62950"/>
      <c r="M62950"/>
    </row>
    <row r="62951" spans="3:13" ht="12.75" customHeight="1" x14ac:dyDescent="0.2">
      <c r="C62951"/>
      <c r="M62951"/>
    </row>
    <row r="62952" spans="3:13" ht="12.75" customHeight="1" x14ac:dyDescent="0.2">
      <c r="C62952"/>
      <c r="M62952"/>
    </row>
    <row r="62953" spans="3:13" ht="12.75" customHeight="1" x14ac:dyDescent="0.2">
      <c r="C62953"/>
      <c r="M62953"/>
    </row>
    <row r="62954" spans="3:13" ht="12.75" customHeight="1" x14ac:dyDescent="0.2">
      <c r="C62954"/>
      <c r="M62954"/>
    </row>
    <row r="62955" spans="3:13" ht="12.75" customHeight="1" x14ac:dyDescent="0.2">
      <c r="C62955"/>
      <c r="M62955"/>
    </row>
    <row r="62956" spans="3:13" ht="12.75" customHeight="1" x14ac:dyDescent="0.2">
      <c r="C62956"/>
      <c r="M62956"/>
    </row>
    <row r="62957" spans="3:13" ht="12.75" customHeight="1" x14ac:dyDescent="0.2">
      <c r="C62957"/>
      <c r="M62957"/>
    </row>
    <row r="62958" spans="3:13" ht="12.75" customHeight="1" x14ac:dyDescent="0.2">
      <c r="C62958"/>
      <c r="M62958"/>
    </row>
    <row r="62959" spans="3:13" ht="12.75" customHeight="1" x14ac:dyDescent="0.2">
      <c r="C62959"/>
      <c r="M62959"/>
    </row>
    <row r="62960" spans="3:13" ht="12.75" customHeight="1" x14ac:dyDescent="0.2">
      <c r="C62960"/>
      <c r="M62960"/>
    </row>
    <row r="62961" spans="3:13" ht="12.75" customHeight="1" x14ac:dyDescent="0.2">
      <c r="C62961"/>
      <c r="M62961"/>
    </row>
    <row r="62962" spans="3:13" ht="12.75" customHeight="1" x14ac:dyDescent="0.2">
      <c r="C62962"/>
      <c r="M62962"/>
    </row>
    <row r="62963" spans="3:13" ht="12.75" customHeight="1" x14ac:dyDescent="0.2">
      <c r="C62963"/>
      <c r="M62963"/>
    </row>
    <row r="62964" spans="3:13" ht="12.75" customHeight="1" x14ac:dyDescent="0.2">
      <c r="C62964"/>
      <c r="M62964"/>
    </row>
    <row r="62965" spans="3:13" ht="12.75" customHeight="1" x14ac:dyDescent="0.2">
      <c r="C62965"/>
      <c r="M62965"/>
    </row>
    <row r="62966" spans="3:13" ht="12.75" customHeight="1" x14ac:dyDescent="0.2">
      <c r="C62966"/>
      <c r="M62966"/>
    </row>
    <row r="62967" spans="3:13" ht="12.75" customHeight="1" x14ac:dyDescent="0.2">
      <c r="C62967"/>
      <c r="M62967"/>
    </row>
    <row r="62968" spans="3:13" ht="12.75" customHeight="1" x14ac:dyDescent="0.2">
      <c r="C62968"/>
      <c r="M62968"/>
    </row>
    <row r="62969" spans="3:13" ht="12.75" customHeight="1" x14ac:dyDescent="0.2">
      <c r="C62969"/>
      <c r="M62969"/>
    </row>
    <row r="62970" spans="3:13" ht="12.75" customHeight="1" x14ac:dyDescent="0.2">
      <c r="C62970"/>
      <c r="M62970"/>
    </row>
    <row r="62971" spans="3:13" ht="12.75" customHeight="1" x14ac:dyDescent="0.2">
      <c r="C62971"/>
      <c r="M62971"/>
    </row>
    <row r="62972" spans="3:13" ht="12.75" customHeight="1" x14ac:dyDescent="0.2">
      <c r="C62972"/>
      <c r="M62972"/>
    </row>
    <row r="62973" spans="3:13" ht="12.75" customHeight="1" x14ac:dyDescent="0.2">
      <c r="C62973"/>
      <c r="M62973"/>
    </row>
    <row r="62974" spans="3:13" ht="12.75" customHeight="1" x14ac:dyDescent="0.2">
      <c r="C62974"/>
      <c r="M62974"/>
    </row>
    <row r="62975" spans="3:13" ht="12.75" customHeight="1" x14ac:dyDescent="0.2">
      <c r="C62975"/>
      <c r="M62975"/>
    </row>
    <row r="62976" spans="3:13" ht="12.75" customHeight="1" x14ac:dyDescent="0.2">
      <c r="C62976"/>
      <c r="M62976"/>
    </row>
    <row r="62977" spans="3:13" ht="12.75" customHeight="1" x14ac:dyDescent="0.2">
      <c r="C62977"/>
      <c r="M62977"/>
    </row>
    <row r="62978" spans="3:13" ht="12.75" customHeight="1" x14ac:dyDescent="0.2">
      <c r="C62978"/>
      <c r="M62978"/>
    </row>
    <row r="62979" spans="3:13" ht="12.75" customHeight="1" x14ac:dyDescent="0.2">
      <c r="C62979"/>
      <c r="M62979"/>
    </row>
    <row r="62980" spans="3:13" ht="12.75" customHeight="1" x14ac:dyDescent="0.2">
      <c r="C62980"/>
      <c r="M62980"/>
    </row>
    <row r="62981" spans="3:13" ht="12.75" customHeight="1" x14ac:dyDescent="0.2">
      <c r="C62981"/>
      <c r="M62981"/>
    </row>
    <row r="62982" spans="3:13" ht="12.75" customHeight="1" x14ac:dyDescent="0.2">
      <c r="C62982"/>
      <c r="M62982"/>
    </row>
    <row r="62983" spans="3:13" ht="12.75" customHeight="1" x14ac:dyDescent="0.2">
      <c r="C62983"/>
      <c r="M62983"/>
    </row>
    <row r="62984" spans="3:13" ht="12.75" customHeight="1" x14ac:dyDescent="0.2">
      <c r="C62984"/>
      <c r="M62984"/>
    </row>
    <row r="62985" spans="3:13" ht="12.75" customHeight="1" x14ac:dyDescent="0.2">
      <c r="C62985"/>
      <c r="M62985"/>
    </row>
    <row r="62986" spans="3:13" ht="12.75" customHeight="1" x14ac:dyDescent="0.2">
      <c r="C62986"/>
      <c r="M62986"/>
    </row>
    <row r="62987" spans="3:13" ht="12.75" customHeight="1" x14ac:dyDescent="0.2">
      <c r="C62987"/>
      <c r="M62987"/>
    </row>
    <row r="62988" spans="3:13" ht="12.75" customHeight="1" x14ac:dyDescent="0.2">
      <c r="C62988"/>
      <c r="M62988"/>
    </row>
    <row r="62989" spans="3:13" ht="12.75" customHeight="1" x14ac:dyDescent="0.2">
      <c r="C62989"/>
      <c r="M62989"/>
    </row>
    <row r="62990" spans="3:13" ht="12.75" customHeight="1" x14ac:dyDescent="0.2">
      <c r="C62990"/>
      <c r="M62990"/>
    </row>
    <row r="62991" spans="3:13" ht="12.75" customHeight="1" x14ac:dyDescent="0.2">
      <c r="C62991"/>
      <c r="M62991"/>
    </row>
    <row r="62992" spans="3:13" ht="12.75" customHeight="1" x14ac:dyDescent="0.2">
      <c r="C62992"/>
      <c r="M62992"/>
    </row>
    <row r="62993" spans="3:13" ht="12.75" customHeight="1" x14ac:dyDescent="0.2">
      <c r="C62993"/>
      <c r="M62993"/>
    </row>
    <row r="62994" spans="3:13" ht="12.75" customHeight="1" x14ac:dyDescent="0.2">
      <c r="C62994"/>
      <c r="M62994"/>
    </row>
    <row r="62995" spans="3:13" ht="12.75" customHeight="1" x14ac:dyDescent="0.2">
      <c r="C62995"/>
      <c r="M62995"/>
    </row>
    <row r="62996" spans="3:13" ht="12.75" customHeight="1" x14ac:dyDescent="0.2">
      <c r="C62996"/>
      <c r="M62996"/>
    </row>
    <row r="62997" spans="3:13" ht="12.75" customHeight="1" x14ac:dyDescent="0.2">
      <c r="C62997"/>
      <c r="M62997"/>
    </row>
    <row r="62998" spans="3:13" ht="12.75" customHeight="1" x14ac:dyDescent="0.2">
      <c r="C62998"/>
      <c r="M62998"/>
    </row>
    <row r="62999" spans="3:13" ht="12.75" customHeight="1" x14ac:dyDescent="0.2">
      <c r="C62999"/>
      <c r="M62999"/>
    </row>
    <row r="63000" spans="3:13" ht="12.75" customHeight="1" x14ac:dyDescent="0.2">
      <c r="C63000"/>
      <c r="M63000"/>
    </row>
    <row r="63001" spans="3:13" ht="12.75" customHeight="1" x14ac:dyDescent="0.2">
      <c r="C63001"/>
      <c r="M63001"/>
    </row>
    <row r="63002" spans="3:13" ht="12.75" customHeight="1" x14ac:dyDescent="0.2">
      <c r="C63002"/>
      <c r="M63002"/>
    </row>
    <row r="63003" spans="3:13" ht="12.75" customHeight="1" x14ac:dyDescent="0.2">
      <c r="C63003"/>
      <c r="M63003"/>
    </row>
    <row r="63004" spans="3:13" ht="12.75" customHeight="1" x14ac:dyDescent="0.2">
      <c r="C63004"/>
      <c r="M63004"/>
    </row>
    <row r="63005" spans="3:13" ht="12.75" customHeight="1" x14ac:dyDescent="0.2">
      <c r="C63005"/>
      <c r="M63005"/>
    </row>
    <row r="63006" spans="3:13" ht="12.75" customHeight="1" x14ac:dyDescent="0.2">
      <c r="C63006"/>
      <c r="M63006"/>
    </row>
    <row r="63007" spans="3:13" ht="12.75" customHeight="1" x14ac:dyDescent="0.2">
      <c r="C63007"/>
      <c r="M63007"/>
    </row>
    <row r="63008" spans="3:13" ht="12.75" customHeight="1" x14ac:dyDescent="0.2">
      <c r="C63008"/>
      <c r="M63008"/>
    </row>
    <row r="63009" spans="3:13" ht="12.75" customHeight="1" x14ac:dyDescent="0.2">
      <c r="C63009"/>
      <c r="M63009"/>
    </row>
    <row r="63010" spans="3:13" ht="12.75" customHeight="1" x14ac:dyDescent="0.2">
      <c r="C63010"/>
      <c r="M63010"/>
    </row>
    <row r="63011" spans="3:13" ht="12.75" customHeight="1" x14ac:dyDescent="0.2">
      <c r="C63011"/>
      <c r="M63011"/>
    </row>
    <row r="63012" spans="3:13" ht="12.75" customHeight="1" x14ac:dyDescent="0.2">
      <c r="C63012"/>
      <c r="M63012"/>
    </row>
    <row r="63013" spans="3:13" ht="12.75" customHeight="1" x14ac:dyDescent="0.2">
      <c r="C63013"/>
      <c r="M63013"/>
    </row>
    <row r="63014" spans="3:13" ht="12.75" customHeight="1" x14ac:dyDescent="0.2">
      <c r="C63014"/>
      <c r="M63014"/>
    </row>
    <row r="63015" spans="3:13" ht="12.75" customHeight="1" x14ac:dyDescent="0.2">
      <c r="C63015"/>
      <c r="M63015"/>
    </row>
    <row r="63016" spans="3:13" ht="12.75" customHeight="1" x14ac:dyDescent="0.2">
      <c r="C63016"/>
      <c r="M63016"/>
    </row>
    <row r="63017" spans="3:13" ht="12.75" customHeight="1" x14ac:dyDescent="0.2">
      <c r="C63017"/>
      <c r="M63017"/>
    </row>
    <row r="63018" spans="3:13" ht="12.75" customHeight="1" x14ac:dyDescent="0.2">
      <c r="C63018"/>
      <c r="M63018"/>
    </row>
    <row r="63019" spans="3:13" ht="12.75" customHeight="1" x14ac:dyDescent="0.2">
      <c r="C63019"/>
      <c r="M63019"/>
    </row>
    <row r="63020" spans="3:13" ht="12.75" customHeight="1" x14ac:dyDescent="0.2">
      <c r="C63020"/>
      <c r="M63020"/>
    </row>
    <row r="63021" spans="3:13" ht="12.75" customHeight="1" x14ac:dyDescent="0.2">
      <c r="C63021"/>
      <c r="M63021"/>
    </row>
    <row r="63022" spans="3:13" ht="12.75" customHeight="1" x14ac:dyDescent="0.2">
      <c r="C63022"/>
      <c r="M63022"/>
    </row>
    <row r="63023" spans="3:13" ht="12.75" customHeight="1" x14ac:dyDescent="0.2">
      <c r="C63023"/>
      <c r="M63023"/>
    </row>
    <row r="63024" spans="3:13" ht="12.75" customHeight="1" x14ac:dyDescent="0.2">
      <c r="C63024"/>
      <c r="M63024"/>
    </row>
    <row r="63025" spans="3:13" ht="12.75" customHeight="1" x14ac:dyDescent="0.2">
      <c r="C63025"/>
      <c r="M63025"/>
    </row>
    <row r="63026" spans="3:13" ht="12.75" customHeight="1" x14ac:dyDescent="0.2">
      <c r="C63026"/>
      <c r="M63026"/>
    </row>
    <row r="63027" spans="3:13" ht="12.75" customHeight="1" x14ac:dyDescent="0.2">
      <c r="C63027"/>
      <c r="M63027"/>
    </row>
    <row r="63028" spans="3:13" ht="12.75" customHeight="1" x14ac:dyDescent="0.2">
      <c r="C63028"/>
      <c r="M63028"/>
    </row>
    <row r="63029" spans="3:13" ht="12.75" customHeight="1" x14ac:dyDescent="0.2">
      <c r="C63029"/>
      <c r="M63029"/>
    </row>
    <row r="63030" spans="3:13" ht="12.75" customHeight="1" x14ac:dyDescent="0.2">
      <c r="C63030"/>
      <c r="M63030"/>
    </row>
    <row r="63031" spans="3:13" ht="12.75" customHeight="1" x14ac:dyDescent="0.2">
      <c r="C63031"/>
      <c r="M63031"/>
    </row>
    <row r="63032" spans="3:13" ht="12.75" customHeight="1" x14ac:dyDescent="0.2">
      <c r="C63032"/>
      <c r="M63032"/>
    </row>
    <row r="63033" spans="3:13" ht="12.75" customHeight="1" x14ac:dyDescent="0.2">
      <c r="C63033"/>
      <c r="M63033"/>
    </row>
    <row r="63034" spans="3:13" ht="12.75" customHeight="1" x14ac:dyDescent="0.2">
      <c r="C63034"/>
      <c r="M63034"/>
    </row>
    <row r="63035" spans="3:13" ht="12.75" customHeight="1" x14ac:dyDescent="0.2">
      <c r="C63035"/>
      <c r="M63035"/>
    </row>
    <row r="63036" spans="3:13" ht="12.75" customHeight="1" x14ac:dyDescent="0.2">
      <c r="C63036"/>
      <c r="M63036"/>
    </row>
    <row r="63037" spans="3:13" ht="12.75" customHeight="1" x14ac:dyDescent="0.2">
      <c r="C63037"/>
      <c r="M63037"/>
    </row>
    <row r="63038" spans="3:13" ht="12.75" customHeight="1" x14ac:dyDescent="0.2">
      <c r="C63038"/>
      <c r="M63038"/>
    </row>
    <row r="63039" spans="3:13" ht="12.75" customHeight="1" x14ac:dyDescent="0.2">
      <c r="C63039"/>
      <c r="M63039"/>
    </row>
    <row r="63040" spans="3:13" ht="12.75" customHeight="1" x14ac:dyDescent="0.2">
      <c r="C63040"/>
      <c r="M63040"/>
    </row>
    <row r="63041" spans="3:13" ht="12.75" customHeight="1" x14ac:dyDescent="0.2">
      <c r="C63041"/>
      <c r="M63041"/>
    </row>
    <row r="63042" spans="3:13" ht="12.75" customHeight="1" x14ac:dyDescent="0.2">
      <c r="C63042"/>
      <c r="M63042"/>
    </row>
    <row r="63043" spans="3:13" ht="12.75" customHeight="1" x14ac:dyDescent="0.2">
      <c r="C63043"/>
      <c r="M63043"/>
    </row>
    <row r="63044" spans="3:13" ht="12.75" customHeight="1" x14ac:dyDescent="0.2">
      <c r="C63044"/>
      <c r="M63044"/>
    </row>
    <row r="63045" spans="3:13" ht="12.75" customHeight="1" x14ac:dyDescent="0.2">
      <c r="C63045"/>
      <c r="M63045"/>
    </row>
    <row r="63046" spans="3:13" ht="12.75" customHeight="1" x14ac:dyDescent="0.2">
      <c r="C63046"/>
      <c r="M63046"/>
    </row>
    <row r="63047" spans="3:13" ht="12.75" customHeight="1" x14ac:dyDescent="0.2">
      <c r="C63047"/>
      <c r="M63047"/>
    </row>
    <row r="63048" spans="3:13" ht="12.75" customHeight="1" x14ac:dyDescent="0.2">
      <c r="C63048"/>
      <c r="M63048"/>
    </row>
    <row r="63049" spans="3:13" ht="12.75" customHeight="1" x14ac:dyDescent="0.2">
      <c r="C63049"/>
      <c r="M63049"/>
    </row>
    <row r="63050" spans="3:13" ht="12.75" customHeight="1" x14ac:dyDescent="0.2">
      <c r="C63050"/>
      <c r="M63050"/>
    </row>
    <row r="63051" spans="3:13" ht="12.75" customHeight="1" x14ac:dyDescent="0.2">
      <c r="C63051"/>
      <c r="M63051"/>
    </row>
    <row r="63052" spans="3:13" ht="12.75" customHeight="1" x14ac:dyDescent="0.2">
      <c r="C63052"/>
      <c r="M63052"/>
    </row>
    <row r="63053" spans="3:13" ht="12.75" customHeight="1" x14ac:dyDescent="0.2">
      <c r="C63053"/>
      <c r="M63053"/>
    </row>
    <row r="63054" spans="3:13" ht="12.75" customHeight="1" x14ac:dyDescent="0.2">
      <c r="C63054"/>
      <c r="M63054"/>
    </row>
    <row r="63055" spans="3:13" ht="12.75" customHeight="1" x14ac:dyDescent="0.2">
      <c r="C63055"/>
      <c r="M63055"/>
    </row>
    <row r="63056" spans="3:13" ht="12.75" customHeight="1" x14ac:dyDescent="0.2">
      <c r="C63056"/>
      <c r="M63056"/>
    </row>
    <row r="63057" spans="3:13" ht="12.75" customHeight="1" x14ac:dyDescent="0.2">
      <c r="C63057"/>
      <c r="M63057"/>
    </row>
    <row r="63058" spans="3:13" ht="12.75" customHeight="1" x14ac:dyDescent="0.2">
      <c r="C63058"/>
      <c r="M63058"/>
    </row>
    <row r="63059" spans="3:13" ht="12.75" customHeight="1" x14ac:dyDescent="0.2">
      <c r="C63059"/>
      <c r="M63059"/>
    </row>
    <row r="63060" spans="3:13" ht="12.75" customHeight="1" x14ac:dyDescent="0.2">
      <c r="C63060"/>
      <c r="M63060"/>
    </row>
    <row r="63061" spans="3:13" ht="12.75" customHeight="1" x14ac:dyDescent="0.2">
      <c r="C63061"/>
      <c r="M63061"/>
    </row>
    <row r="63062" spans="3:13" ht="12.75" customHeight="1" x14ac:dyDescent="0.2">
      <c r="C63062"/>
      <c r="M63062"/>
    </row>
    <row r="63063" spans="3:13" ht="12.75" customHeight="1" x14ac:dyDescent="0.2">
      <c r="C63063"/>
      <c r="M63063"/>
    </row>
    <row r="63064" spans="3:13" ht="12.75" customHeight="1" x14ac:dyDescent="0.2">
      <c r="C63064"/>
      <c r="M63064"/>
    </row>
    <row r="63065" spans="3:13" ht="12.75" customHeight="1" x14ac:dyDescent="0.2">
      <c r="C63065"/>
      <c r="M63065"/>
    </row>
    <row r="63066" spans="3:13" ht="12.75" customHeight="1" x14ac:dyDescent="0.2">
      <c r="C63066"/>
      <c r="M63066"/>
    </row>
    <row r="63067" spans="3:13" ht="12.75" customHeight="1" x14ac:dyDescent="0.2">
      <c r="C63067"/>
      <c r="M63067"/>
    </row>
    <row r="63068" spans="3:13" ht="12.75" customHeight="1" x14ac:dyDescent="0.2">
      <c r="C63068"/>
      <c r="M63068"/>
    </row>
    <row r="63069" spans="3:13" ht="12.75" customHeight="1" x14ac:dyDescent="0.2">
      <c r="C63069"/>
      <c r="M63069"/>
    </row>
    <row r="63070" spans="3:13" ht="12.75" customHeight="1" x14ac:dyDescent="0.2">
      <c r="C63070"/>
      <c r="M63070"/>
    </row>
    <row r="63071" spans="3:13" ht="12.75" customHeight="1" x14ac:dyDescent="0.2">
      <c r="C63071"/>
      <c r="M63071"/>
    </row>
    <row r="63072" spans="3:13" ht="12.75" customHeight="1" x14ac:dyDescent="0.2">
      <c r="C63072"/>
      <c r="M63072"/>
    </row>
    <row r="63073" spans="3:13" ht="12.75" customHeight="1" x14ac:dyDescent="0.2">
      <c r="C63073"/>
      <c r="M63073"/>
    </row>
    <row r="63074" spans="3:13" ht="12.75" customHeight="1" x14ac:dyDescent="0.2">
      <c r="C63074"/>
      <c r="M63074"/>
    </row>
    <row r="63075" spans="3:13" ht="12.75" customHeight="1" x14ac:dyDescent="0.2">
      <c r="C63075"/>
      <c r="M63075"/>
    </row>
    <row r="63076" spans="3:13" ht="12.75" customHeight="1" x14ac:dyDescent="0.2">
      <c r="C63076"/>
      <c r="M63076"/>
    </row>
    <row r="63077" spans="3:13" ht="12.75" customHeight="1" x14ac:dyDescent="0.2">
      <c r="C63077"/>
      <c r="M63077"/>
    </row>
    <row r="63078" spans="3:13" ht="12.75" customHeight="1" x14ac:dyDescent="0.2">
      <c r="C63078"/>
      <c r="M63078"/>
    </row>
    <row r="63079" spans="3:13" ht="12.75" customHeight="1" x14ac:dyDescent="0.2">
      <c r="C63079"/>
      <c r="M63079"/>
    </row>
    <row r="63080" spans="3:13" ht="12.75" customHeight="1" x14ac:dyDescent="0.2">
      <c r="C63080"/>
      <c r="M63080"/>
    </row>
    <row r="63081" spans="3:13" ht="12.75" customHeight="1" x14ac:dyDescent="0.2">
      <c r="C63081"/>
      <c r="M63081"/>
    </row>
    <row r="63082" spans="3:13" ht="12.75" customHeight="1" x14ac:dyDescent="0.2">
      <c r="C63082"/>
      <c r="M63082"/>
    </row>
    <row r="63083" spans="3:13" ht="12.75" customHeight="1" x14ac:dyDescent="0.2">
      <c r="C63083"/>
      <c r="M63083"/>
    </row>
    <row r="63084" spans="3:13" ht="12.75" customHeight="1" x14ac:dyDescent="0.2">
      <c r="C63084"/>
      <c r="M63084"/>
    </row>
    <row r="63085" spans="3:13" ht="12.75" customHeight="1" x14ac:dyDescent="0.2">
      <c r="C63085"/>
      <c r="M63085"/>
    </row>
    <row r="63086" spans="3:13" ht="12.75" customHeight="1" x14ac:dyDescent="0.2">
      <c r="C63086"/>
      <c r="M63086"/>
    </row>
    <row r="63087" spans="3:13" ht="12.75" customHeight="1" x14ac:dyDescent="0.2">
      <c r="C63087"/>
      <c r="M63087"/>
    </row>
    <row r="63088" spans="3:13" ht="12.75" customHeight="1" x14ac:dyDescent="0.2">
      <c r="C63088"/>
      <c r="M63088"/>
    </row>
    <row r="63089" spans="3:13" ht="12.75" customHeight="1" x14ac:dyDescent="0.2">
      <c r="C63089"/>
      <c r="M63089"/>
    </row>
    <row r="63090" spans="3:13" ht="12.75" customHeight="1" x14ac:dyDescent="0.2">
      <c r="C63090"/>
      <c r="M63090"/>
    </row>
    <row r="63091" spans="3:13" ht="12.75" customHeight="1" x14ac:dyDescent="0.2">
      <c r="C63091"/>
      <c r="M63091"/>
    </row>
    <row r="63092" spans="3:13" ht="12.75" customHeight="1" x14ac:dyDescent="0.2">
      <c r="C63092"/>
      <c r="M63092"/>
    </row>
    <row r="63093" spans="3:13" ht="12.75" customHeight="1" x14ac:dyDescent="0.2">
      <c r="C63093"/>
      <c r="M63093"/>
    </row>
    <row r="63094" spans="3:13" ht="12.75" customHeight="1" x14ac:dyDescent="0.2">
      <c r="C63094"/>
      <c r="M63094"/>
    </row>
    <row r="63095" spans="3:13" ht="12.75" customHeight="1" x14ac:dyDescent="0.2">
      <c r="C63095"/>
      <c r="M63095"/>
    </row>
    <row r="63096" spans="3:13" ht="12.75" customHeight="1" x14ac:dyDescent="0.2">
      <c r="C63096"/>
      <c r="M63096"/>
    </row>
    <row r="63097" spans="3:13" ht="12.75" customHeight="1" x14ac:dyDescent="0.2">
      <c r="C63097"/>
      <c r="M63097"/>
    </row>
    <row r="63098" spans="3:13" ht="12.75" customHeight="1" x14ac:dyDescent="0.2">
      <c r="C63098"/>
      <c r="M63098"/>
    </row>
    <row r="63099" spans="3:13" ht="12.75" customHeight="1" x14ac:dyDescent="0.2">
      <c r="C63099"/>
      <c r="M63099"/>
    </row>
    <row r="63100" spans="3:13" ht="12.75" customHeight="1" x14ac:dyDescent="0.2">
      <c r="C63100"/>
      <c r="M63100"/>
    </row>
    <row r="63101" spans="3:13" ht="12.75" customHeight="1" x14ac:dyDescent="0.2">
      <c r="C63101"/>
      <c r="M63101"/>
    </row>
    <row r="63102" spans="3:13" ht="12.75" customHeight="1" x14ac:dyDescent="0.2">
      <c r="C63102"/>
      <c r="M63102"/>
    </row>
    <row r="63103" spans="3:13" ht="12.75" customHeight="1" x14ac:dyDescent="0.2">
      <c r="C63103"/>
      <c r="M63103"/>
    </row>
    <row r="63104" spans="3:13" ht="12.75" customHeight="1" x14ac:dyDescent="0.2">
      <c r="C63104"/>
      <c r="M63104"/>
    </row>
    <row r="63105" spans="3:13" ht="12.75" customHeight="1" x14ac:dyDescent="0.2">
      <c r="C63105"/>
      <c r="M63105"/>
    </row>
    <row r="63106" spans="3:13" ht="12.75" customHeight="1" x14ac:dyDescent="0.2">
      <c r="C63106"/>
      <c r="M63106"/>
    </row>
    <row r="63107" spans="3:13" ht="12.75" customHeight="1" x14ac:dyDescent="0.2">
      <c r="C63107"/>
      <c r="M63107"/>
    </row>
    <row r="63108" spans="3:13" ht="12.75" customHeight="1" x14ac:dyDescent="0.2">
      <c r="C63108"/>
      <c r="M63108"/>
    </row>
    <row r="63109" spans="3:13" ht="12.75" customHeight="1" x14ac:dyDescent="0.2">
      <c r="C63109"/>
      <c r="M63109"/>
    </row>
    <row r="63110" spans="3:13" ht="12.75" customHeight="1" x14ac:dyDescent="0.2">
      <c r="C63110"/>
      <c r="M63110"/>
    </row>
    <row r="63111" spans="3:13" ht="12.75" customHeight="1" x14ac:dyDescent="0.2">
      <c r="C63111"/>
      <c r="M63111"/>
    </row>
    <row r="63112" spans="3:13" ht="12.75" customHeight="1" x14ac:dyDescent="0.2">
      <c r="C63112"/>
      <c r="M63112"/>
    </row>
    <row r="63113" spans="3:13" ht="12.75" customHeight="1" x14ac:dyDescent="0.2">
      <c r="C63113"/>
      <c r="M63113"/>
    </row>
    <row r="63114" spans="3:13" ht="12.75" customHeight="1" x14ac:dyDescent="0.2">
      <c r="C63114"/>
      <c r="M63114"/>
    </row>
    <row r="63115" spans="3:13" ht="12.75" customHeight="1" x14ac:dyDescent="0.2">
      <c r="C63115"/>
      <c r="M63115"/>
    </row>
    <row r="63116" spans="3:13" ht="12.75" customHeight="1" x14ac:dyDescent="0.2">
      <c r="C63116"/>
      <c r="M63116"/>
    </row>
    <row r="63117" spans="3:13" ht="12.75" customHeight="1" x14ac:dyDescent="0.2">
      <c r="C63117"/>
      <c r="M63117"/>
    </row>
    <row r="63118" spans="3:13" ht="12.75" customHeight="1" x14ac:dyDescent="0.2">
      <c r="C63118"/>
      <c r="M63118"/>
    </row>
    <row r="63119" spans="3:13" ht="12.75" customHeight="1" x14ac:dyDescent="0.2">
      <c r="C63119"/>
      <c r="M63119"/>
    </row>
    <row r="63120" spans="3:13" ht="12.75" customHeight="1" x14ac:dyDescent="0.2">
      <c r="C63120"/>
      <c r="M63120"/>
    </row>
    <row r="63121" spans="3:13" ht="12.75" customHeight="1" x14ac:dyDescent="0.2">
      <c r="C63121"/>
      <c r="M63121"/>
    </row>
    <row r="63122" spans="3:13" ht="12.75" customHeight="1" x14ac:dyDescent="0.2">
      <c r="C63122"/>
      <c r="M63122"/>
    </row>
    <row r="63123" spans="3:13" ht="12.75" customHeight="1" x14ac:dyDescent="0.2">
      <c r="C63123"/>
      <c r="M63123"/>
    </row>
    <row r="63124" spans="3:13" ht="12.75" customHeight="1" x14ac:dyDescent="0.2">
      <c r="C63124"/>
      <c r="M63124"/>
    </row>
    <row r="63125" spans="3:13" ht="12.75" customHeight="1" x14ac:dyDescent="0.2">
      <c r="C63125"/>
      <c r="M63125"/>
    </row>
    <row r="63126" spans="3:13" ht="12.75" customHeight="1" x14ac:dyDescent="0.2">
      <c r="C63126"/>
      <c r="M63126"/>
    </row>
    <row r="63127" spans="3:13" ht="12.75" customHeight="1" x14ac:dyDescent="0.2">
      <c r="C63127"/>
      <c r="M63127"/>
    </row>
    <row r="63128" spans="3:13" ht="12.75" customHeight="1" x14ac:dyDescent="0.2">
      <c r="C63128"/>
      <c r="M63128"/>
    </row>
    <row r="63129" spans="3:13" ht="12.75" customHeight="1" x14ac:dyDescent="0.2">
      <c r="C63129"/>
      <c r="M63129"/>
    </row>
    <row r="63130" spans="3:13" ht="12.75" customHeight="1" x14ac:dyDescent="0.2">
      <c r="C63130"/>
      <c r="M63130"/>
    </row>
    <row r="63131" spans="3:13" ht="12.75" customHeight="1" x14ac:dyDescent="0.2">
      <c r="C63131"/>
      <c r="M63131"/>
    </row>
    <row r="63132" spans="3:13" ht="12.75" customHeight="1" x14ac:dyDescent="0.2">
      <c r="C63132"/>
      <c r="M63132"/>
    </row>
    <row r="63133" spans="3:13" ht="12.75" customHeight="1" x14ac:dyDescent="0.2">
      <c r="C63133"/>
      <c r="M63133"/>
    </row>
    <row r="63134" spans="3:13" ht="12.75" customHeight="1" x14ac:dyDescent="0.2">
      <c r="C63134"/>
      <c r="M63134"/>
    </row>
    <row r="63135" spans="3:13" ht="12.75" customHeight="1" x14ac:dyDescent="0.2">
      <c r="C63135"/>
      <c r="M63135"/>
    </row>
    <row r="63136" spans="3:13" ht="12.75" customHeight="1" x14ac:dyDescent="0.2">
      <c r="C63136"/>
      <c r="M63136"/>
    </row>
    <row r="63137" spans="3:13" ht="12.75" customHeight="1" x14ac:dyDescent="0.2">
      <c r="C63137"/>
      <c r="M63137"/>
    </row>
    <row r="63138" spans="3:13" ht="12.75" customHeight="1" x14ac:dyDescent="0.2">
      <c r="C63138"/>
      <c r="M63138"/>
    </row>
    <row r="63139" spans="3:13" ht="12.75" customHeight="1" x14ac:dyDescent="0.2">
      <c r="C63139"/>
      <c r="M63139"/>
    </row>
    <row r="63140" spans="3:13" ht="12.75" customHeight="1" x14ac:dyDescent="0.2">
      <c r="C63140"/>
      <c r="M63140"/>
    </row>
    <row r="63141" spans="3:13" ht="12.75" customHeight="1" x14ac:dyDescent="0.2">
      <c r="C63141"/>
      <c r="M63141"/>
    </row>
    <row r="63142" spans="3:13" ht="12.75" customHeight="1" x14ac:dyDescent="0.2">
      <c r="C63142"/>
      <c r="M63142"/>
    </row>
    <row r="63143" spans="3:13" ht="12.75" customHeight="1" x14ac:dyDescent="0.2">
      <c r="C63143"/>
      <c r="M63143"/>
    </row>
    <row r="63144" spans="3:13" ht="12.75" customHeight="1" x14ac:dyDescent="0.2">
      <c r="C63144"/>
      <c r="M63144"/>
    </row>
    <row r="63145" spans="3:13" ht="12.75" customHeight="1" x14ac:dyDescent="0.2">
      <c r="C63145"/>
      <c r="M63145"/>
    </row>
    <row r="63146" spans="3:13" ht="12.75" customHeight="1" x14ac:dyDescent="0.2">
      <c r="C63146"/>
      <c r="M63146"/>
    </row>
    <row r="63147" spans="3:13" ht="12.75" customHeight="1" x14ac:dyDescent="0.2">
      <c r="C63147"/>
      <c r="M63147"/>
    </row>
    <row r="63148" spans="3:13" ht="12.75" customHeight="1" x14ac:dyDescent="0.2">
      <c r="C63148"/>
      <c r="M63148"/>
    </row>
    <row r="63149" spans="3:13" ht="12.75" customHeight="1" x14ac:dyDescent="0.2">
      <c r="C63149"/>
      <c r="M63149"/>
    </row>
    <row r="63150" spans="3:13" ht="12.75" customHeight="1" x14ac:dyDescent="0.2">
      <c r="C63150"/>
      <c r="M63150"/>
    </row>
    <row r="63151" spans="3:13" ht="12.75" customHeight="1" x14ac:dyDescent="0.2">
      <c r="C63151"/>
      <c r="M63151"/>
    </row>
    <row r="63152" spans="3:13" ht="12.75" customHeight="1" x14ac:dyDescent="0.2">
      <c r="C63152"/>
      <c r="M63152"/>
    </row>
    <row r="63153" spans="3:13" ht="12.75" customHeight="1" x14ac:dyDescent="0.2">
      <c r="C63153"/>
      <c r="M63153"/>
    </row>
    <row r="63154" spans="3:13" ht="12.75" customHeight="1" x14ac:dyDescent="0.2">
      <c r="C63154"/>
      <c r="M63154"/>
    </row>
    <row r="63155" spans="3:13" ht="12.75" customHeight="1" x14ac:dyDescent="0.2">
      <c r="C63155"/>
      <c r="M63155"/>
    </row>
    <row r="63156" spans="3:13" ht="12.75" customHeight="1" x14ac:dyDescent="0.2">
      <c r="C63156"/>
      <c r="M63156"/>
    </row>
    <row r="63157" spans="3:13" ht="12.75" customHeight="1" x14ac:dyDescent="0.2">
      <c r="C63157"/>
      <c r="M63157"/>
    </row>
    <row r="63158" spans="3:13" ht="12.75" customHeight="1" x14ac:dyDescent="0.2">
      <c r="C63158"/>
      <c r="M63158"/>
    </row>
    <row r="63159" spans="3:13" ht="12.75" customHeight="1" x14ac:dyDescent="0.2">
      <c r="C63159"/>
      <c r="M63159"/>
    </row>
    <row r="63160" spans="3:13" ht="12.75" customHeight="1" x14ac:dyDescent="0.2">
      <c r="C63160"/>
      <c r="M63160"/>
    </row>
    <row r="63161" spans="3:13" ht="12.75" customHeight="1" x14ac:dyDescent="0.2">
      <c r="C63161"/>
      <c r="M63161"/>
    </row>
    <row r="63162" spans="3:13" ht="12.75" customHeight="1" x14ac:dyDescent="0.2">
      <c r="C63162"/>
      <c r="M63162"/>
    </row>
    <row r="63163" spans="3:13" ht="12.75" customHeight="1" x14ac:dyDescent="0.2">
      <c r="C63163"/>
      <c r="M63163"/>
    </row>
    <row r="63164" spans="3:13" ht="12.75" customHeight="1" x14ac:dyDescent="0.2">
      <c r="C63164"/>
      <c r="M63164"/>
    </row>
    <row r="63165" spans="3:13" ht="12.75" customHeight="1" x14ac:dyDescent="0.2">
      <c r="C63165"/>
      <c r="M63165"/>
    </row>
    <row r="63166" spans="3:13" ht="12.75" customHeight="1" x14ac:dyDescent="0.2">
      <c r="C63166"/>
      <c r="M63166"/>
    </row>
    <row r="63167" spans="3:13" ht="12.75" customHeight="1" x14ac:dyDescent="0.2">
      <c r="C63167"/>
      <c r="M63167"/>
    </row>
    <row r="63168" spans="3:13" ht="12.75" customHeight="1" x14ac:dyDescent="0.2">
      <c r="C63168"/>
      <c r="M63168"/>
    </row>
    <row r="63169" spans="3:13" ht="12.75" customHeight="1" x14ac:dyDescent="0.2">
      <c r="C63169"/>
      <c r="M63169"/>
    </row>
    <row r="63170" spans="3:13" ht="12.75" customHeight="1" x14ac:dyDescent="0.2">
      <c r="C63170"/>
      <c r="M63170"/>
    </row>
    <row r="63171" spans="3:13" ht="12.75" customHeight="1" x14ac:dyDescent="0.2">
      <c r="C63171"/>
      <c r="M63171"/>
    </row>
    <row r="63172" spans="3:13" ht="12.75" customHeight="1" x14ac:dyDescent="0.2">
      <c r="C63172"/>
      <c r="M63172"/>
    </row>
    <row r="63173" spans="3:13" ht="12.75" customHeight="1" x14ac:dyDescent="0.2">
      <c r="C63173"/>
      <c r="M63173"/>
    </row>
    <row r="63174" spans="3:13" ht="12.75" customHeight="1" x14ac:dyDescent="0.2">
      <c r="C63174"/>
      <c r="M63174"/>
    </row>
    <row r="63175" spans="3:13" ht="12.75" customHeight="1" x14ac:dyDescent="0.2">
      <c r="C63175"/>
      <c r="M63175"/>
    </row>
    <row r="63176" spans="3:13" ht="12.75" customHeight="1" x14ac:dyDescent="0.2">
      <c r="C63176"/>
      <c r="M63176"/>
    </row>
    <row r="63177" spans="3:13" ht="12.75" customHeight="1" x14ac:dyDescent="0.2">
      <c r="C63177"/>
      <c r="M63177"/>
    </row>
    <row r="63178" spans="3:13" ht="12.75" customHeight="1" x14ac:dyDescent="0.2">
      <c r="C63178"/>
      <c r="M63178"/>
    </row>
    <row r="63179" spans="3:13" ht="12.75" customHeight="1" x14ac:dyDescent="0.2">
      <c r="C63179"/>
      <c r="M63179"/>
    </row>
    <row r="63180" spans="3:13" ht="12.75" customHeight="1" x14ac:dyDescent="0.2">
      <c r="C63180"/>
      <c r="M63180"/>
    </row>
    <row r="63181" spans="3:13" ht="12.75" customHeight="1" x14ac:dyDescent="0.2">
      <c r="C63181"/>
      <c r="M63181"/>
    </row>
    <row r="63182" spans="3:13" ht="12.75" customHeight="1" x14ac:dyDescent="0.2">
      <c r="C63182"/>
      <c r="M63182"/>
    </row>
    <row r="63183" spans="3:13" ht="12.75" customHeight="1" x14ac:dyDescent="0.2">
      <c r="C63183"/>
      <c r="M63183"/>
    </row>
    <row r="63184" spans="3:13" ht="12.75" customHeight="1" x14ac:dyDescent="0.2">
      <c r="C63184"/>
      <c r="M63184"/>
    </row>
    <row r="63185" spans="3:13" ht="12.75" customHeight="1" x14ac:dyDescent="0.2">
      <c r="C63185"/>
      <c r="M63185"/>
    </row>
    <row r="63186" spans="3:13" ht="12.75" customHeight="1" x14ac:dyDescent="0.2">
      <c r="C63186"/>
      <c r="M63186"/>
    </row>
    <row r="63187" spans="3:13" ht="12.75" customHeight="1" x14ac:dyDescent="0.2">
      <c r="C63187"/>
      <c r="M63187"/>
    </row>
    <row r="63188" spans="3:13" ht="12.75" customHeight="1" x14ac:dyDescent="0.2">
      <c r="C63188"/>
      <c r="M63188"/>
    </row>
    <row r="63189" spans="3:13" ht="12.75" customHeight="1" x14ac:dyDescent="0.2">
      <c r="C63189"/>
      <c r="M63189"/>
    </row>
    <row r="63190" spans="3:13" ht="12.75" customHeight="1" x14ac:dyDescent="0.2">
      <c r="C63190"/>
      <c r="M63190"/>
    </row>
    <row r="63191" spans="3:13" ht="12.75" customHeight="1" x14ac:dyDescent="0.2">
      <c r="C63191"/>
      <c r="M63191"/>
    </row>
    <row r="63192" spans="3:13" ht="12.75" customHeight="1" x14ac:dyDescent="0.2">
      <c r="C63192"/>
      <c r="M63192"/>
    </row>
    <row r="63193" spans="3:13" ht="12.75" customHeight="1" x14ac:dyDescent="0.2">
      <c r="C63193"/>
      <c r="M63193"/>
    </row>
    <row r="63194" spans="3:13" ht="12.75" customHeight="1" x14ac:dyDescent="0.2">
      <c r="C63194"/>
      <c r="M63194"/>
    </row>
    <row r="63195" spans="3:13" ht="12.75" customHeight="1" x14ac:dyDescent="0.2">
      <c r="C63195"/>
      <c r="M63195"/>
    </row>
    <row r="63196" spans="3:13" ht="12.75" customHeight="1" x14ac:dyDescent="0.2">
      <c r="C63196"/>
      <c r="M63196"/>
    </row>
    <row r="63197" spans="3:13" ht="12.75" customHeight="1" x14ac:dyDescent="0.2">
      <c r="C63197"/>
      <c r="M63197"/>
    </row>
    <row r="63198" spans="3:13" ht="12.75" customHeight="1" x14ac:dyDescent="0.2">
      <c r="C63198"/>
      <c r="M63198"/>
    </row>
    <row r="63199" spans="3:13" ht="12.75" customHeight="1" x14ac:dyDescent="0.2">
      <c r="C63199"/>
      <c r="M63199"/>
    </row>
    <row r="63200" spans="3:13" ht="12.75" customHeight="1" x14ac:dyDescent="0.2">
      <c r="C63200"/>
      <c r="M63200"/>
    </row>
    <row r="63201" spans="3:13" ht="12.75" customHeight="1" x14ac:dyDescent="0.2">
      <c r="C63201"/>
      <c r="M63201"/>
    </row>
    <row r="63202" spans="3:13" ht="12.75" customHeight="1" x14ac:dyDescent="0.2">
      <c r="C63202"/>
      <c r="M63202"/>
    </row>
    <row r="63203" spans="3:13" ht="12.75" customHeight="1" x14ac:dyDescent="0.2">
      <c r="C63203"/>
      <c r="M63203"/>
    </row>
    <row r="63204" spans="3:13" ht="12.75" customHeight="1" x14ac:dyDescent="0.2">
      <c r="C63204"/>
      <c r="M63204"/>
    </row>
    <row r="63205" spans="3:13" ht="12.75" customHeight="1" x14ac:dyDescent="0.2">
      <c r="C63205"/>
      <c r="M63205"/>
    </row>
    <row r="63206" spans="3:13" ht="12.75" customHeight="1" x14ac:dyDescent="0.2">
      <c r="C63206"/>
      <c r="M63206"/>
    </row>
    <row r="63207" spans="3:13" ht="12.75" customHeight="1" x14ac:dyDescent="0.2">
      <c r="C63207"/>
      <c r="M63207"/>
    </row>
    <row r="63208" spans="3:13" ht="12.75" customHeight="1" x14ac:dyDescent="0.2">
      <c r="C63208"/>
      <c r="M63208"/>
    </row>
    <row r="63209" spans="3:13" ht="12.75" customHeight="1" x14ac:dyDescent="0.2">
      <c r="C63209"/>
      <c r="M63209"/>
    </row>
    <row r="63210" spans="3:13" ht="12.75" customHeight="1" x14ac:dyDescent="0.2">
      <c r="C63210"/>
      <c r="M63210"/>
    </row>
    <row r="63211" spans="3:13" ht="12.75" customHeight="1" x14ac:dyDescent="0.2">
      <c r="C63211"/>
      <c r="M63211"/>
    </row>
    <row r="63212" spans="3:13" ht="12.75" customHeight="1" x14ac:dyDescent="0.2">
      <c r="C63212"/>
      <c r="M63212"/>
    </row>
    <row r="63213" spans="3:13" ht="12.75" customHeight="1" x14ac:dyDescent="0.2">
      <c r="C63213"/>
      <c r="M63213"/>
    </row>
    <row r="63214" spans="3:13" ht="12.75" customHeight="1" x14ac:dyDescent="0.2">
      <c r="C63214"/>
      <c r="M63214"/>
    </row>
    <row r="63215" spans="3:13" ht="12.75" customHeight="1" x14ac:dyDescent="0.2">
      <c r="C63215"/>
      <c r="M63215"/>
    </row>
    <row r="63216" spans="3:13" ht="12.75" customHeight="1" x14ac:dyDescent="0.2">
      <c r="C63216"/>
      <c r="M63216"/>
    </row>
    <row r="63217" spans="3:13" ht="12.75" customHeight="1" x14ac:dyDescent="0.2">
      <c r="C63217"/>
      <c r="M63217"/>
    </row>
    <row r="63218" spans="3:13" ht="12.75" customHeight="1" x14ac:dyDescent="0.2">
      <c r="C63218"/>
      <c r="M63218"/>
    </row>
    <row r="63219" spans="3:13" ht="12.75" customHeight="1" x14ac:dyDescent="0.2">
      <c r="C63219"/>
      <c r="M63219"/>
    </row>
    <row r="63220" spans="3:13" ht="12.75" customHeight="1" x14ac:dyDescent="0.2">
      <c r="C63220"/>
      <c r="M63220"/>
    </row>
    <row r="63221" spans="3:13" ht="12.75" customHeight="1" x14ac:dyDescent="0.2">
      <c r="C63221"/>
      <c r="M63221"/>
    </row>
    <row r="63222" spans="3:13" ht="12.75" customHeight="1" x14ac:dyDescent="0.2">
      <c r="C63222"/>
      <c r="M63222"/>
    </row>
    <row r="63223" spans="3:13" ht="12.75" customHeight="1" x14ac:dyDescent="0.2">
      <c r="C63223"/>
      <c r="M63223"/>
    </row>
    <row r="63224" spans="3:13" ht="12.75" customHeight="1" x14ac:dyDescent="0.2">
      <c r="C63224"/>
      <c r="M63224"/>
    </row>
    <row r="63225" spans="3:13" ht="12.75" customHeight="1" x14ac:dyDescent="0.2">
      <c r="C63225"/>
      <c r="M63225"/>
    </row>
    <row r="63226" spans="3:13" ht="12.75" customHeight="1" x14ac:dyDescent="0.2">
      <c r="C63226"/>
      <c r="M63226"/>
    </row>
    <row r="63227" spans="3:13" ht="12.75" customHeight="1" x14ac:dyDescent="0.2">
      <c r="C63227"/>
      <c r="M63227"/>
    </row>
    <row r="63228" spans="3:13" ht="12.75" customHeight="1" x14ac:dyDescent="0.2">
      <c r="C63228"/>
      <c r="M63228"/>
    </row>
    <row r="63229" spans="3:13" ht="12.75" customHeight="1" x14ac:dyDescent="0.2">
      <c r="C63229"/>
      <c r="M63229"/>
    </row>
    <row r="63230" spans="3:13" ht="12.75" customHeight="1" x14ac:dyDescent="0.2">
      <c r="C63230"/>
      <c r="M63230"/>
    </row>
    <row r="63231" spans="3:13" ht="12.75" customHeight="1" x14ac:dyDescent="0.2">
      <c r="C63231"/>
      <c r="M63231"/>
    </row>
    <row r="63232" spans="3:13" ht="12.75" customHeight="1" x14ac:dyDescent="0.2">
      <c r="C63232"/>
      <c r="M63232"/>
    </row>
    <row r="63233" spans="3:13" ht="12.75" customHeight="1" x14ac:dyDescent="0.2">
      <c r="C63233"/>
      <c r="M63233"/>
    </row>
    <row r="63234" spans="3:13" ht="12.75" customHeight="1" x14ac:dyDescent="0.2">
      <c r="C63234"/>
      <c r="M63234"/>
    </row>
    <row r="63235" spans="3:13" ht="12.75" customHeight="1" x14ac:dyDescent="0.2">
      <c r="C63235"/>
      <c r="M63235"/>
    </row>
    <row r="63236" spans="3:13" ht="12.75" customHeight="1" x14ac:dyDescent="0.2">
      <c r="C63236"/>
      <c r="M63236"/>
    </row>
    <row r="63237" spans="3:13" ht="12.75" customHeight="1" x14ac:dyDescent="0.2">
      <c r="C63237"/>
      <c r="M63237"/>
    </row>
    <row r="63238" spans="3:13" ht="12.75" customHeight="1" x14ac:dyDescent="0.2">
      <c r="C63238"/>
      <c r="M63238"/>
    </row>
    <row r="63239" spans="3:13" ht="12.75" customHeight="1" x14ac:dyDescent="0.2">
      <c r="C63239"/>
      <c r="M63239"/>
    </row>
    <row r="63240" spans="3:13" ht="12.75" customHeight="1" x14ac:dyDescent="0.2">
      <c r="C63240"/>
      <c r="M63240"/>
    </row>
    <row r="63241" spans="3:13" ht="12.75" customHeight="1" x14ac:dyDescent="0.2">
      <c r="C63241"/>
      <c r="M63241"/>
    </row>
    <row r="63242" spans="3:13" ht="12.75" customHeight="1" x14ac:dyDescent="0.2">
      <c r="C63242"/>
      <c r="M63242"/>
    </row>
    <row r="63243" spans="3:13" ht="12.75" customHeight="1" x14ac:dyDescent="0.2">
      <c r="C63243"/>
      <c r="M63243"/>
    </row>
    <row r="63244" spans="3:13" ht="12.75" customHeight="1" x14ac:dyDescent="0.2">
      <c r="C63244"/>
      <c r="M63244"/>
    </row>
    <row r="63245" spans="3:13" ht="12.75" customHeight="1" x14ac:dyDescent="0.2">
      <c r="C63245"/>
      <c r="M63245"/>
    </row>
    <row r="63246" spans="3:13" ht="12.75" customHeight="1" x14ac:dyDescent="0.2">
      <c r="C63246"/>
      <c r="M63246"/>
    </row>
    <row r="63247" spans="3:13" ht="12.75" customHeight="1" x14ac:dyDescent="0.2">
      <c r="C63247"/>
      <c r="M63247"/>
    </row>
    <row r="63248" spans="3:13" ht="12.75" customHeight="1" x14ac:dyDescent="0.2">
      <c r="C63248"/>
      <c r="M63248"/>
    </row>
    <row r="63249" spans="3:13" ht="12.75" customHeight="1" x14ac:dyDescent="0.2">
      <c r="C63249"/>
      <c r="M63249"/>
    </row>
    <row r="63250" spans="3:13" ht="12.75" customHeight="1" x14ac:dyDescent="0.2">
      <c r="C63250"/>
      <c r="M63250"/>
    </row>
    <row r="63251" spans="3:13" ht="12.75" customHeight="1" x14ac:dyDescent="0.2">
      <c r="C63251"/>
      <c r="M63251"/>
    </row>
    <row r="63252" spans="3:13" ht="12.75" customHeight="1" x14ac:dyDescent="0.2">
      <c r="C63252"/>
      <c r="M63252"/>
    </row>
    <row r="63253" spans="3:13" ht="12.75" customHeight="1" x14ac:dyDescent="0.2">
      <c r="C63253"/>
      <c r="M63253"/>
    </row>
    <row r="63254" spans="3:13" ht="12.75" customHeight="1" x14ac:dyDescent="0.2">
      <c r="C63254"/>
      <c r="M63254"/>
    </row>
    <row r="63255" spans="3:13" ht="12.75" customHeight="1" x14ac:dyDescent="0.2">
      <c r="C63255"/>
      <c r="M63255"/>
    </row>
    <row r="63256" spans="3:13" ht="12.75" customHeight="1" x14ac:dyDescent="0.2">
      <c r="C63256"/>
      <c r="M63256"/>
    </row>
    <row r="63257" spans="3:13" ht="12.75" customHeight="1" x14ac:dyDescent="0.2">
      <c r="C63257"/>
      <c r="M63257"/>
    </row>
    <row r="63258" spans="3:13" ht="12.75" customHeight="1" x14ac:dyDescent="0.2">
      <c r="C63258"/>
      <c r="M63258"/>
    </row>
    <row r="63259" spans="3:13" ht="12.75" customHeight="1" x14ac:dyDescent="0.2">
      <c r="C63259"/>
      <c r="M63259"/>
    </row>
    <row r="63260" spans="3:13" ht="12.75" customHeight="1" x14ac:dyDescent="0.2">
      <c r="C63260"/>
      <c r="M63260"/>
    </row>
    <row r="63261" spans="3:13" ht="12.75" customHeight="1" x14ac:dyDescent="0.2">
      <c r="C63261"/>
      <c r="M63261"/>
    </row>
    <row r="63262" spans="3:13" ht="12.75" customHeight="1" x14ac:dyDescent="0.2">
      <c r="C63262"/>
      <c r="M63262"/>
    </row>
    <row r="63263" spans="3:13" ht="12.75" customHeight="1" x14ac:dyDescent="0.2">
      <c r="C63263"/>
      <c r="M63263"/>
    </row>
    <row r="63264" spans="3:13" ht="12.75" customHeight="1" x14ac:dyDescent="0.2">
      <c r="C63264"/>
      <c r="M63264"/>
    </row>
    <row r="63265" spans="3:13" ht="12.75" customHeight="1" x14ac:dyDescent="0.2">
      <c r="C63265"/>
      <c r="M63265"/>
    </row>
    <row r="63266" spans="3:13" ht="12.75" customHeight="1" x14ac:dyDescent="0.2">
      <c r="C63266"/>
      <c r="M63266"/>
    </row>
    <row r="63267" spans="3:13" ht="12.75" customHeight="1" x14ac:dyDescent="0.2">
      <c r="C63267"/>
      <c r="M63267"/>
    </row>
    <row r="63268" spans="3:13" ht="12.75" customHeight="1" x14ac:dyDescent="0.2">
      <c r="C63268"/>
      <c r="M63268"/>
    </row>
    <row r="63269" spans="3:13" ht="12.75" customHeight="1" x14ac:dyDescent="0.2">
      <c r="C63269"/>
      <c r="M63269"/>
    </row>
    <row r="63270" spans="3:13" ht="12.75" customHeight="1" x14ac:dyDescent="0.2">
      <c r="C63270"/>
      <c r="M63270"/>
    </row>
    <row r="63271" spans="3:13" ht="12.75" customHeight="1" x14ac:dyDescent="0.2">
      <c r="C63271"/>
      <c r="M63271"/>
    </row>
    <row r="63272" spans="3:13" ht="12.75" customHeight="1" x14ac:dyDescent="0.2">
      <c r="C63272"/>
      <c r="M63272"/>
    </row>
    <row r="63273" spans="3:13" ht="12.75" customHeight="1" x14ac:dyDescent="0.2">
      <c r="C63273"/>
      <c r="M63273"/>
    </row>
    <row r="63274" spans="3:13" ht="12.75" customHeight="1" x14ac:dyDescent="0.2">
      <c r="C63274"/>
      <c r="M63274"/>
    </row>
    <row r="63275" spans="3:13" ht="12.75" customHeight="1" x14ac:dyDescent="0.2">
      <c r="C63275"/>
      <c r="M63275"/>
    </row>
    <row r="63276" spans="3:13" ht="12.75" customHeight="1" x14ac:dyDescent="0.2">
      <c r="C63276"/>
      <c r="M63276"/>
    </row>
    <row r="63277" spans="3:13" ht="12.75" customHeight="1" x14ac:dyDescent="0.2">
      <c r="C63277"/>
      <c r="M63277"/>
    </row>
    <row r="63278" spans="3:13" ht="12.75" customHeight="1" x14ac:dyDescent="0.2">
      <c r="C63278"/>
      <c r="M63278"/>
    </row>
    <row r="63279" spans="3:13" ht="12.75" customHeight="1" x14ac:dyDescent="0.2">
      <c r="C63279"/>
      <c r="M63279"/>
    </row>
    <row r="63280" spans="3:13" ht="12.75" customHeight="1" x14ac:dyDescent="0.2">
      <c r="C63280"/>
      <c r="M63280"/>
    </row>
    <row r="63281" spans="3:13" ht="12.75" customHeight="1" x14ac:dyDescent="0.2">
      <c r="C63281"/>
      <c r="M63281"/>
    </row>
    <row r="63282" spans="3:13" ht="12.75" customHeight="1" x14ac:dyDescent="0.2">
      <c r="C63282"/>
      <c r="M63282"/>
    </row>
    <row r="63283" spans="3:13" ht="12.75" customHeight="1" x14ac:dyDescent="0.2">
      <c r="C63283"/>
      <c r="M63283"/>
    </row>
    <row r="63284" spans="3:13" ht="12.75" customHeight="1" x14ac:dyDescent="0.2">
      <c r="C63284"/>
      <c r="M63284"/>
    </row>
    <row r="63285" spans="3:13" ht="12.75" customHeight="1" x14ac:dyDescent="0.2">
      <c r="C63285"/>
      <c r="M63285"/>
    </row>
    <row r="63286" spans="3:13" ht="12.75" customHeight="1" x14ac:dyDescent="0.2">
      <c r="C63286"/>
      <c r="M63286"/>
    </row>
    <row r="63287" spans="3:13" ht="12.75" customHeight="1" x14ac:dyDescent="0.2">
      <c r="C63287"/>
      <c r="M63287"/>
    </row>
    <row r="63288" spans="3:13" ht="12.75" customHeight="1" x14ac:dyDescent="0.2">
      <c r="C63288"/>
      <c r="M63288"/>
    </row>
    <row r="63289" spans="3:13" ht="12.75" customHeight="1" x14ac:dyDescent="0.2">
      <c r="C63289"/>
      <c r="M63289"/>
    </row>
    <row r="63290" spans="3:13" ht="12.75" customHeight="1" x14ac:dyDescent="0.2">
      <c r="C63290"/>
      <c r="M63290"/>
    </row>
    <row r="63291" spans="3:13" ht="12.75" customHeight="1" x14ac:dyDescent="0.2">
      <c r="C63291"/>
      <c r="M63291"/>
    </row>
    <row r="63292" spans="3:13" ht="12.75" customHeight="1" x14ac:dyDescent="0.2">
      <c r="C63292"/>
      <c r="M63292"/>
    </row>
    <row r="63293" spans="3:13" ht="12.75" customHeight="1" x14ac:dyDescent="0.2">
      <c r="C63293"/>
      <c r="M63293"/>
    </row>
    <row r="63294" spans="3:13" ht="12.75" customHeight="1" x14ac:dyDescent="0.2">
      <c r="C63294"/>
      <c r="M63294"/>
    </row>
    <row r="63295" spans="3:13" ht="12.75" customHeight="1" x14ac:dyDescent="0.2">
      <c r="C63295"/>
      <c r="M63295"/>
    </row>
    <row r="63296" spans="3:13" ht="12.75" customHeight="1" x14ac:dyDescent="0.2">
      <c r="C63296"/>
      <c r="M63296"/>
    </row>
    <row r="63297" spans="3:13" ht="12.75" customHeight="1" x14ac:dyDescent="0.2">
      <c r="C63297"/>
      <c r="M63297"/>
    </row>
    <row r="63298" spans="3:13" ht="12.75" customHeight="1" x14ac:dyDescent="0.2">
      <c r="C63298"/>
      <c r="M63298"/>
    </row>
    <row r="63299" spans="3:13" ht="12.75" customHeight="1" x14ac:dyDescent="0.2">
      <c r="C63299"/>
      <c r="M63299"/>
    </row>
    <row r="63300" spans="3:13" ht="12.75" customHeight="1" x14ac:dyDescent="0.2">
      <c r="C63300"/>
      <c r="M63300"/>
    </row>
    <row r="63301" spans="3:13" ht="12.75" customHeight="1" x14ac:dyDescent="0.2">
      <c r="C63301"/>
      <c r="M63301"/>
    </row>
    <row r="63302" spans="3:13" ht="12.75" customHeight="1" x14ac:dyDescent="0.2">
      <c r="C63302"/>
      <c r="M63302"/>
    </row>
    <row r="63303" spans="3:13" ht="12.75" customHeight="1" x14ac:dyDescent="0.2">
      <c r="C63303"/>
      <c r="M63303"/>
    </row>
    <row r="63304" spans="3:13" ht="12.75" customHeight="1" x14ac:dyDescent="0.2">
      <c r="C63304"/>
      <c r="M63304"/>
    </row>
    <row r="63305" spans="3:13" ht="12.75" customHeight="1" x14ac:dyDescent="0.2">
      <c r="C63305"/>
      <c r="M63305"/>
    </row>
    <row r="63306" spans="3:13" ht="12.75" customHeight="1" x14ac:dyDescent="0.2">
      <c r="C63306"/>
      <c r="M63306"/>
    </row>
    <row r="63307" spans="3:13" ht="12.75" customHeight="1" x14ac:dyDescent="0.2">
      <c r="C63307"/>
      <c r="M63307"/>
    </row>
    <row r="63308" spans="3:13" ht="12.75" customHeight="1" x14ac:dyDescent="0.2">
      <c r="C63308"/>
      <c r="M63308"/>
    </row>
    <row r="63309" spans="3:13" ht="12.75" customHeight="1" x14ac:dyDescent="0.2">
      <c r="C63309"/>
      <c r="M63309"/>
    </row>
    <row r="63310" spans="3:13" ht="12.75" customHeight="1" x14ac:dyDescent="0.2">
      <c r="C63310"/>
      <c r="M63310"/>
    </row>
    <row r="63311" spans="3:13" ht="12.75" customHeight="1" x14ac:dyDescent="0.2">
      <c r="C63311"/>
      <c r="M63311"/>
    </row>
    <row r="63312" spans="3:13" ht="12.75" customHeight="1" x14ac:dyDescent="0.2">
      <c r="C63312"/>
      <c r="M63312"/>
    </row>
    <row r="63313" spans="3:13" ht="12.75" customHeight="1" x14ac:dyDescent="0.2">
      <c r="C63313"/>
      <c r="M63313"/>
    </row>
    <row r="63314" spans="3:13" ht="12.75" customHeight="1" x14ac:dyDescent="0.2">
      <c r="C63314"/>
      <c r="M63314"/>
    </row>
    <row r="63315" spans="3:13" ht="12.75" customHeight="1" x14ac:dyDescent="0.2">
      <c r="C63315"/>
      <c r="M63315"/>
    </row>
    <row r="63316" spans="3:13" ht="12.75" customHeight="1" x14ac:dyDescent="0.2">
      <c r="C63316"/>
      <c r="M63316"/>
    </row>
    <row r="63317" spans="3:13" ht="12.75" customHeight="1" x14ac:dyDescent="0.2">
      <c r="C63317"/>
      <c r="M63317"/>
    </row>
    <row r="63318" spans="3:13" ht="12.75" customHeight="1" x14ac:dyDescent="0.2">
      <c r="C63318"/>
      <c r="M63318"/>
    </row>
    <row r="63319" spans="3:13" ht="12.75" customHeight="1" x14ac:dyDescent="0.2">
      <c r="C63319"/>
      <c r="M63319"/>
    </row>
    <row r="63320" spans="3:13" ht="12.75" customHeight="1" x14ac:dyDescent="0.2">
      <c r="C63320"/>
      <c r="M63320"/>
    </row>
    <row r="63321" spans="3:13" ht="12.75" customHeight="1" x14ac:dyDescent="0.2">
      <c r="C63321"/>
      <c r="M63321"/>
    </row>
    <row r="63322" spans="3:13" ht="12.75" customHeight="1" x14ac:dyDescent="0.2">
      <c r="C63322"/>
      <c r="M63322"/>
    </row>
    <row r="63323" spans="3:13" ht="12.75" customHeight="1" x14ac:dyDescent="0.2">
      <c r="C63323"/>
      <c r="M63323"/>
    </row>
    <row r="63324" spans="3:13" ht="12.75" customHeight="1" x14ac:dyDescent="0.2">
      <c r="C63324"/>
      <c r="M63324"/>
    </row>
    <row r="63325" spans="3:13" ht="12.75" customHeight="1" x14ac:dyDescent="0.2">
      <c r="C63325"/>
      <c r="M63325"/>
    </row>
    <row r="63326" spans="3:13" ht="12.75" customHeight="1" x14ac:dyDescent="0.2">
      <c r="C63326"/>
      <c r="M63326"/>
    </row>
    <row r="63327" spans="3:13" ht="12.75" customHeight="1" x14ac:dyDescent="0.2">
      <c r="C63327"/>
      <c r="M63327"/>
    </row>
    <row r="63328" spans="3:13" ht="12.75" customHeight="1" x14ac:dyDescent="0.2">
      <c r="C63328"/>
      <c r="M63328"/>
    </row>
    <row r="63329" spans="3:13" ht="12.75" customHeight="1" x14ac:dyDescent="0.2">
      <c r="C63329"/>
      <c r="M63329"/>
    </row>
    <row r="63330" spans="3:13" ht="12.75" customHeight="1" x14ac:dyDescent="0.2">
      <c r="C63330"/>
      <c r="M63330"/>
    </row>
    <row r="63331" spans="3:13" ht="12.75" customHeight="1" x14ac:dyDescent="0.2">
      <c r="C63331"/>
      <c r="M63331"/>
    </row>
    <row r="63332" spans="3:13" ht="12.75" customHeight="1" x14ac:dyDescent="0.2">
      <c r="C63332"/>
      <c r="M63332"/>
    </row>
    <row r="63333" spans="3:13" ht="12.75" customHeight="1" x14ac:dyDescent="0.2">
      <c r="C63333"/>
      <c r="M63333"/>
    </row>
    <row r="63334" spans="3:13" ht="12.75" customHeight="1" x14ac:dyDescent="0.2">
      <c r="C63334"/>
      <c r="M63334"/>
    </row>
    <row r="63335" spans="3:13" ht="12.75" customHeight="1" x14ac:dyDescent="0.2">
      <c r="C63335"/>
      <c r="M63335"/>
    </row>
    <row r="63336" spans="3:13" ht="12.75" customHeight="1" x14ac:dyDescent="0.2">
      <c r="C63336"/>
      <c r="M63336"/>
    </row>
    <row r="63337" spans="3:13" ht="12.75" customHeight="1" x14ac:dyDescent="0.2">
      <c r="C63337"/>
      <c r="M63337"/>
    </row>
    <row r="63338" spans="3:13" ht="12.75" customHeight="1" x14ac:dyDescent="0.2">
      <c r="C63338"/>
      <c r="M63338"/>
    </row>
    <row r="63339" spans="3:13" ht="12.75" customHeight="1" x14ac:dyDescent="0.2">
      <c r="C63339"/>
      <c r="M63339"/>
    </row>
    <row r="63340" spans="3:13" ht="12.75" customHeight="1" x14ac:dyDescent="0.2">
      <c r="C63340"/>
      <c r="M63340"/>
    </row>
    <row r="63341" spans="3:13" ht="12.75" customHeight="1" x14ac:dyDescent="0.2">
      <c r="C63341"/>
      <c r="M63341"/>
    </row>
    <row r="63342" spans="3:13" ht="12.75" customHeight="1" x14ac:dyDescent="0.2">
      <c r="C63342"/>
      <c r="M63342"/>
    </row>
    <row r="63343" spans="3:13" ht="12.75" customHeight="1" x14ac:dyDescent="0.2">
      <c r="C63343"/>
      <c r="M63343"/>
    </row>
    <row r="63344" spans="3:13" ht="12.75" customHeight="1" x14ac:dyDescent="0.2">
      <c r="C63344"/>
      <c r="M63344"/>
    </row>
    <row r="63345" spans="3:13" ht="12.75" customHeight="1" x14ac:dyDescent="0.2">
      <c r="C63345"/>
      <c r="M63345"/>
    </row>
    <row r="63346" spans="3:13" ht="12.75" customHeight="1" x14ac:dyDescent="0.2">
      <c r="C63346"/>
      <c r="M63346"/>
    </row>
    <row r="63347" spans="3:13" ht="12.75" customHeight="1" x14ac:dyDescent="0.2">
      <c r="C63347"/>
      <c r="M63347"/>
    </row>
    <row r="63348" spans="3:13" ht="12.75" customHeight="1" x14ac:dyDescent="0.2">
      <c r="C63348"/>
      <c r="M63348"/>
    </row>
    <row r="63349" spans="3:13" ht="12.75" customHeight="1" x14ac:dyDescent="0.2">
      <c r="C63349"/>
      <c r="M63349"/>
    </row>
    <row r="63350" spans="3:13" ht="12.75" customHeight="1" x14ac:dyDescent="0.2">
      <c r="C63350"/>
      <c r="M63350"/>
    </row>
    <row r="63351" spans="3:13" ht="12.75" customHeight="1" x14ac:dyDescent="0.2">
      <c r="C63351"/>
      <c r="M63351"/>
    </row>
    <row r="63352" spans="3:13" ht="12.75" customHeight="1" x14ac:dyDescent="0.2">
      <c r="C63352"/>
      <c r="M63352"/>
    </row>
    <row r="63353" spans="3:13" ht="12.75" customHeight="1" x14ac:dyDescent="0.2">
      <c r="C63353"/>
      <c r="M63353"/>
    </row>
    <row r="63354" spans="3:13" ht="12.75" customHeight="1" x14ac:dyDescent="0.2">
      <c r="C63354"/>
      <c r="M63354"/>
    </row>
    <row r="63355" spans="3:13" ht="12.75" customHeight="1" x14ac:dyDescent="0.2">
      <c r="C63355"/>
      <c r="M63355"/>
    </row>
    <row r="63356" spans="3:13" ht="12.75" customHeight="1" x14ac:dyDescent="0.2">
      <c r="C63356"/>
      <c r="M63356"/>
    </row>
    <row r="63357" spans="3:13" ht="12.75" customHeight="1" x14ac:dyDescent="0.2">
      <c r="C63357"/>
      <c r="M63357"/>
    </row>
    <row r="63358" spans="3:13" ht="12.75" customHeight="1" x14ac:dyDescent="0.2">
      <c r="C63358"/>
      <c r="M63358"/>
    </row>
    <row r="63359" spans="3:13" ht="12.75" customHeight="1" x14ac:dyDescent="0.2">
      <c r="C63359"/>
      <c r="M63359"/>
    </row>
    <row r="63360" spans="3:13" ht="12.75" customHeight="1" x14ac:dyDescent="0.2">
      <c r="C63360"/>
      <c r="M63360"/>
    </row>
    <row r="63361" spans="3:13" ht="12.75" customHeight="1" x14ac:dyDescent="0.2">
      <c r="C63361"/>
      <c r="M63361"/>
    </row>
    <row r="63362" spans="3:13" ht="12.75" customHeight="1" x14ac:dyDescent="0.2">
      <c r="C63362"/>
      <c r="M63362"/>
    </row>
    <row r="63363" spans="3:13" ht="12.75" customHeight="1" x14ac:dyDescent="0.2">
      <c r="C63363"/>
      <c r="M63363"/>
    </row>
    <row r="63364" spans="3:13" ht="12.75" customHeight="1" x14ac:dyDescent="0.2">
      <c r="C63364"/>
      <c r="M63364"/>
    </row>
    <row r="63365" spans="3:13" ht="12.75" customHeight="1" x14ac:dyDescent="0.2">
      <c r="C63365"/>
      <c r="M63365"/>
    </row>
    <row r="63366" spans="3:13" ht="12.75" customHeight="1" x14ac:dyDescent="0.2">
      <c r="C63366"/>
      <c r="M63366"/>
    </row>
    <row r="63367" spans="3:13" ht="12.75" customHeight="1" x14ac:dyDescent="0.2">
      <c r="C63367"/>
      <c r="M63367"/>
    </row>
    <row r="63368" spans="3:13" ht="12.75" customHeight="1" x14ac:dyDescent="0.2">
      <c r="C63368"/>
      <c r="M63368"/>
    </row>
    <row r="63369" spans="3:13" ht="12.75" customHeight="1" x14ac:dyDescent="0.2">
      <c r="C63369"/>
      <c r="M63369"/>
    </row>
    <row r="63370" spans="3:13" ht="12.75" customHeight="1" x14ac:dyDescent="0.2">
      <c r="C63370"/>
      <c r="M63370"/>
    </row>
    <row r="63371" spans="3:13" ht="12.75" customHeight="1" x14ac:dyDescent="0.2">
      <c r="C63371"/>
      <c r="M63371"/>
    </row>
    <row r="63372" spans="3:13" ht="12.75" customHeight="1" x14ac:dyDescent="0.2">
      <c r="C63372"/>
      <c r="M63372"/>
    </row>
    <row r="63373" spans="3:13" ht="12.75" customHeight="1" x14ac:dyDescent="0.2">
      <c r="C63373"/>
      <c r="M63373"/>
    </row>
    <row r="63374" spans="3:13" ht="12.75" customHeight="1" x14ac:dyDescent="0.2">
      <c r="C63374"/>
      <c r="M63374"/>
    </row>
    <row r="63375" spans="3:13" ht="12.75" customHeight="1" x14ac:dyDescent="0.2">
      <c r="C63375"/>
      <c r="M63375"/>
    </row>
    <row r="63376" spans="3:13" ht="12.75" customHeight="1" x14ac:dyDescent="0.2">
      <c r="C63376"/>
      <c r="M63376"/>
    </row>
    <row r="63377" spans="3:13" ht="12.75" customHeight="1" x14ac:dyDescent="0.2">
      <c r="C63377"/>
      <c r="M63377"/>
    </row>
    <row r="63378" spans="3:13" ht="12.75" customHeight="1" x14ac:dyDescent="0.2">
      <c r="C63378"/>
      <c r="M63378"/>
    </row>
    <row r="63379" spans="3:13" ht="12.75" customHeight="1" x14ac:dyDescent="0.2">
      <c r="C63379"/>
      <c r="M63379"/>
    </row>
    <row r="63380" spans="3:13" ht="12.75" customHeight="1" x14ac:dyDescent="0.2">
      <c r="C63380"/>
      <c r="M63380"/>
    </row>
    <row r="63381" spans="3:13" ht="12.75" customHeight="1" x14ac:dyDescent="0.2">
      <c r="C63381"/>
      <c r="M63381"/>
    </row>
    <row r="63382" spans="3:13" ht="12.75" customHeight="1" x14ac:dyDescent="0.2">
      <c r="C63382"/>
      <c r="M63382"/>
    </row>
    <row r="63383" spans="3:13" ht="12.75" customHeight="1" x14ac:dyDescent="0.2">
      <c r="C63383"/>
      <c r="M63383"/>
    </row>
    <row r="63384" spans="3:13" ht="12.75" customHeight="1" x14ac:dyDescent="0.2">
      <c r="C63384"/>
      <c r="M63384"/>
    </row>
    <row r="63385" spans="3:13" ht="12.75" customHeight="1" x14ac:dyDescent="0.2">
      <c r="C63385"/>
      <c r="M63385"/>
    </row>
    <row r="63386" spans="3:13" ht="12.75" customHeight="1" x14ac:dyDescent="0.2">
      <c r="C63386"/>
      <c r="M63386"/>
    </row>
    <row r="63387" spans="3:13" ht="12.75" customHeight="1" x14ac:dyDescent="0.2">
      <c r="C63387"/>
      <c r="M63387"/>
    </row>
    <row r="63388" spans="3:13" ht="12.75" customHeight="1" x14ac:dyDescent="0.2">
      <c r="C63388"/>
      <c r="M63388"/>
    </row>
    <row r="63389" spans="3:13" ht="12.75" customHeight="1" x14ac:dyDescent="0.2">
      <c r="C63389"/>
      <c r="M63389"/>
    </row>
    <row r="63390" spans="3:13" ht="12.75" customHeight="1" x14ac:dyDescent="0.2">
      <c r="C63390"/>
      <c r="M63390"/>
    </row>
    <row r="63391" spans="3:13" ht="12.75" customHeight="1" x14ac:dyDescent="0.2">
      <c r="C63391"/>
      <c r="M63391"/>
    </row>
    <row r="63392" spans="3:13" ht="12.75" customHeight="1" x14ac:dyDescent="0.2">
      <c r="C63392"/>
      <c r="M63392"/>
    </row>
    <row r="63393" spans="3:13" ht="12.75" customHeight="1" x14ac:dyDescent="0.2">
      <c r="C63393"/>
      <c r="M63393"/>
    </row>
    <row r="63394" spans="3:13" ht="12.75" customHeight="1" x14ac:dyDescent="0.2">
      <c r="C63394"/>
      <c r="M63394"/>
    </row>
    <row r="63395" spans="3:13" ht="12.75" customHeight="1" x14ac:dyDescent="0.2">
      <c r="C63395"/>
      <c r="M63395"/>
    </row>
    <row r="63396" spans="3:13" ht="12.75" customHeight="1" x14ac:dyDescent="0.2">
      <c r="C63396"/>
      <c r="M63396"/>
    </row>
    <row r="63397" spans="3:13" ht="12.75" customHeight="1" x14ac:dyDescent="0.2">
      <c r="C63397"/>
      <c r="M63397"/>
    </row>
    <row r="63398" spans="3:13" ht="12.75" customHeight="1" x14ac:dyDescent="0.2">
      <c r="C63398"/>
      <c r="M63398"/>
    </row>
    <row r="63399" spans="3:13" ht="12.75" customHeight="1" x14ac:dyDescent="0.2">
      <c r="C63399"/>
      <c r="M63399"/>
    </row>
    <row r="63400" spans="3:13" ht="12.75" customHeight="1" x14ac:dyDescent="0.2">
      <c r="C63400"/>
      <c r="M63400"/>
    </row>
    <row r="63401" spans="3:13" ht="12.75" customHeight="1" x14ac:dyDescent="0.2">
      <c r="C63401"/>
      <c r="M63401"/>
    </row>
    <row r="63402" spans="3:13" ht="12.75" customHeight="1" x14ac:dyDescent="0.2">
      <c r="C63402"/>
      <c r="M63402"/>
    </row>
    <row r="63403" spans="3:13" ht="12.75" customHeight="1" x14ac:dyDescent="0.2">
      <c r="C63403"/>
      <c r="M63403"/>
    </row>
    <row r="63404" spans="3:13" ht="12.75" customHeight="1" x14ac:dyDescent="0.2">
      <c r="C63404"/>
      <c r="M63404"/>
    </row>
    <row r="63405" spans="3:13" ht="12.75" customHeight="1" x14ac:dyDescent="0.2">
      <c r="C63405"/>
      <c r="M63405"/>
    </row>
    <row r="63406" spans="3:13" ht="12.75" customHeight="1" x14ac:dyDescent="0.2">
      <c r="C63406"/>
      <c r="M63406"/>
    </row>
    <row r="63407" spans="3:13" ht="12.75" customHeight="1" x14ac:dyDescent="0.2">
      <c r="C63407"/>
      <c r="M63407"/>
    </row>
    <row r="63408" spans="3:13" ht="12.75" customHeight="1" x14ac:dyDescent="0.2">
      <c r="C63408"/>
      <c r="M63408"/>
    </row>
    <row r="63409" spans="3:13" ht="12.75" customHeight="1" x14ac:dyDescent="0.2">
      <c r="C63409"/>
      <c r="M63409"/>
    </row>
    <row r="63410" spans="3:13" ht="12.75" customHeight="1" x14ac:dyDescent="0.2">
      <c r="C63410"/>
      <c r="M63410"/>
    </row>
    <row r="63411" spans="3:13" ht="12.75" customHeight="1" x14ac:dyDescent="0.2">
      <c r="C63411"/>
      <c r="M63411"/>
    </row>
    <row r="63412" spans="3:13" ht="12.75" customHeight="1" x14ac:dyDescent="0.2">
      <c r="C63412"/>
      <c r="M63412"/>
    </row>
    <row r="63413" spans="3:13" ht="12.75" customHeight="1" x14ac:dyDescent="0.2">
      <c r="C63413"/>
      <c r="M63413"/>
    </row>
    <row r="63414" spans="3:13" ht="12.75" customHeight="1" x14ac:dyDescent="0.2">
      <c r="C63414"/>
      <c r="M63414"/>
    </row>
    <row r="63415" spans="3:13" ht="12.75" customHeight="1" x14ac:dyDescent="0.2">
      <c r="C63415"/>
      <c r="M63415"/>
    </row>
    <row r="63416" spans="3:13" ht="12.75" customHeight="1" x14ac:dyDescent="0.2">
      <c r="C63416"/>
      <c r="M63416"/>
    </row>
    <row r="63417" spans="3:13" ht="12.75" customHeight="1" x14ac:dyDescent="0.2">
      <c r="C63417"/>
      <c r="M63417"/>
    </row>
    <row r="63418" spans="3:13" ht="12.75" customHeight="1" x14ac:dyDescent="0.2">
      <c r="C63418"/>
      <c r="M63418"/>
    </row>
    <row r="63419" spans="3:13" ht="12.75" customHeight="1" x14ac:dyDescent="0.2">
      <c r="C63419"/>
      <c r="M63419"/>
    </row>
    <row r="63420" spans="3:13" ht="12.75" customHeight="1" x14ac:dyDescent="0.2">
      <c r="C63420"/>
      <c r="M63420"/>
    </row>
    <row r="63421" spans="3:13" ht="12.75" customHeight="1" x14ac:dyDescent="0.2">
      <c r="C63421"/>
      <c r="M63421"/>
    </row>
    <row r="63422" spans="3:13" ht="12.75" customHeight="1" x14ac:dyDescent="0.2">
      <c r="C63422"/>
      <c r="M63422"/>
    </row>
    <row r="63423" spans="3:13" ht="12.75" customHeight="1" x14ac:dyDescent="0.2">
      <c r="C63423"/>
      <c r="M63423"/>
    </row>
    <row r="63424" spans="3:13" ht="12.75" customHeight="1" x14ac:dyDescent="0.2">
      <c r="C63424"/>
      <c r="M63424"/>
    </row>
    <row r="63425" spans="3:13" ht="12.75" customHeight="1" x14ac:dyDescent="0.2">
      <c r="C63425"/>
      <c r="M63425"/>
    </row>
    <row r="63426" spans="3:13" ht="12.75" customHeight="1" x14ac:dyDescent="0.2">
      <c r="C63426"/>
      <c r="M63426"/>
    </row>
    <row r="63427" spans="3:13" ht="12.75" customHeight="1" x14ac:dyDescent="0.2">
      <c r="C63427"/>
      <c r="M63427"/>
    </row>
    <row r="63428" spans="3:13" ht="12.75" customHeight="1" x14ac:dyDescent="0.2">
      <c r="C63428"/>
      <c r="M63428"/>
    </row>
    <row r="63429" spans="3:13" ht="12.75" customHeight="1" x14ac:dyDescent="0.2">
      <c r="C63429"/>
      <c r="M63429"/>
    </row>
    <row r="63430" spans="3:13" ht="12.75" customHeight="1" x14ac:dyDescent="0.2">
      <c r="C63430"/>
      <c r="M63430"/>
    </row>
    <row r="63431" spans="3:13" ht="12.75" customHeight="1" x14ac:dyDescent="0.2">
      <c r="C63431"/>
      <c r="M63431"/>
    </row>
    <row r="63432" spans="3:13" ht="12.75" customHeight="1" x14ac:dyDescent="0.2">
      <c r="C63432"/>
      <c r="M63432"/>
    </row>
    <row r="63433" spans="3:13" ht="12.75" customHeight="1" x14ac:dyDescent="0.2">
      <c r="C63433"/>
      <c r="M63433"/>
    </row>
    <row r="63434" spans="3:13" ht="12.75" customHeight="1" x14ac:dyDescent="0.2">
      <c r="C63434"/>
      <c r="M63434"/>
    </row>
    <row r="63435" spans="3:13" ht="12.75" customHeight="1" x14ac:dyDescent="0.2">
      <c r="C63435"/>
      <c r="M63435"/>
    </row>
    <row r="63436" spans="3:13" ht="12.75" customHeight="1" x14ac:dyDescent="0.2">
      <c r="C63436"/>
      <c r="M63436"/>
    </row>
    <row r="63437" spans="3:13" ht="12.75" customHeight="1" x14ac:dyDescent="0.2">
      <c r="C63437"/>
      <c r="M63437"/>
    </row>
    <row r="63438" spans="3:13" ht="12.75" customHeight="1" x14ac:dyDescent="0.2">
      <c r="C63438"/>
      <c r="M63438"/>
    </row>
    <row r="63439" spans="3:13" ht="12.75" customHeight="1" x14ac:dyDescent="0.2">
      <c r="C63439"/>
      <c r="M63439"/>
    </row>
    <row r="63440" spans="3:13" ht="12.75" customHeight="1" x14ac:dyDescent="0.2">
      <c r="C63440"/>
      <c r="M63440"/>
    </row>
    <row r="63441" spans="3:13" ht="12.75" customHeight="1" x14ac:dyDescent="0.2">
      <c r="C63441"/>
      <c r="M63441"/>
    </row>
    <row r="63442" spans="3:13" ht="12.75" customHeight="1" x14ac:dyDescent="0.2">
      <c r="C63442"/>
      <c r="M63442"/>
    </row>
    <row r="63443" spans="3:13" ht="12.75" customHeight="1" x14ac:dyDescent="0.2">
      <c r="C63443"/>
      <c r="M63443"/>
    </row>
    <row r="63444" spans="3:13" ht="12.75" customHeight="1" x14ac:dyDescent="0.2">
      <c r="C63444"/>
      <c r="M63444"/>
    </row>
    <row r="63445" spans="3:13" ht="12.75" customHeight="1" x14ac:dyDescent="0.2">
      <c r="C63445"/>
      <c r="M63445"/>
    </row>
    <row r="63446" spans="3:13" ht="12.75" customHeight="1" x14ac:dyDescent="0.2">
      <c r="C63446"/>
      <c r="M63446"/>
    </row>
    <row r="63447" spans="3:13" ht="12.75" customHeight="1" x14ac:dyDescent="0.2">
      <c r="C63447"/>
      <c r="M63447"/>
    </row>
    <row r="63448" spans="3:13" ht="12.75" customHeight="1" x14ac:dyDescent="0.2">
      <c r="C63448"/>
      <c r="M63448"/>
    </row>
    <row r="63449" spans="3:13" ht="12.75" customHeight="1" x14ac:dyDescent="0.2">
      <c r="C63449"/>
      <c r="M63449"/>
    </row>
    <row r="63450" spans="3:13" ht="12.75" customHeight="1" x14ac:dyDescent="0.2">
      <c r="C63450"/>
      <c r="M63450"/>
    </row>
    <row r="63451" spans="3:13" ht="12.75" customHeight="1" x14ac:dyDescent="0.2">
      <c r="C63451"/>
      <c r="M63451"/>
    </row>
    <row r="63452" spans="3:13" ht="12.75" customHeight="1" x14ac:dyDescent="0.2">
      <c r="C63452"/>
      <c r="M63452"/>
    </row>
    <row r="63453" spans="3:13" ht="12.75" customHeight="1" x14ac:dyDescent="0.2">
      <c r="C63453"/>
      <c r="M63453"/>
    </row>
    <row r="63454" spans="3:13" ht="12.75" customHeight="1" x14ac:dyDescent="0.2">
      <c r="C63454"/>
      <c r="M63454"/>
    </row>
    <row r="63455" spans="3:13" ht="12.75" customHeight="1" x14ac:dyDescent="0.2">
      <c r="C63455"/>
      <c r="M63455"/>
    </row>
    <row r="63456" spans="3:13" ht="12.75" customHeight="1" x14ac:dyDescent="0.2">
      <c r="C63456"/>
      <c r="M63456"/>
    </row>
    <row r="63457" spans="3:13" ht="12.75" customHeight="1" x14ac:dyDescent="0.2">
      <c r="C63457"/>
      <c r="M63457"/>
    </row>
    <row r="63458" spans="3:13" ht="12.75" customHeight="1" x14ac:dyDescent="0.2">
      <c r="C63458"/>
      <c r="M63458"/>
    </row>
    <row r="63459" spans="3:13" ht="12.75" customHeight="1" x14ac:dyDescent="0.2">
      <c r="C63459"/>
      <c r="M63459"/>
    </row>
    <row r="63460" spans="3:13" ht="12.75" customHeight="1" x14ac:dyDescent="0.2">
      <c r="C63460"/>
      <c r="M63460"/>
    </row>
    <row r="63461" spans="3:13" ht="12.75" customHeight="1" x14ac:dyDescent="0.2">
      <c r="C63461"/>
      <c r="M63461"/>
    </row>
    <row r="63462" spans="3:13" ht="12.75" customHeight="1" x14ac:dyDescent="0.2">
      <c r="C63462"/>
      <c r="M63462"/>
    </row>
    <row r="63463" spans="3:13" ht="12.75" customHeight="1" x14ac:dyDescent="0.2">
      <c r="C63463"/>
      <c r="M63463"/>
    </row>
    <row r="63464" spans="3:13" ht="12.75" customHeight="1" x14ac:dyDescent="0.2">
      <c r="C63464"/>
      <c r="M63464"/>
    </row>
    <row r="63465" spans="3:13" ht="12.75" customHeight="1" x14ac:dyDescent="0.2">
      <c r="C63465"/>
      <c r="M63465"/>
    </row>
    <row r="63466" spans="3:13" ht="12.75" customHeight="1" x14ac:dyDescent="0.2">
      <c r="C63466"/>
      <c r="M63466"/>
    </row>
    <row r="63467" spans="3:13" ht="12.75" customHeight="1" x14ac:dyDescent="0.2">
      <c r="C63467"/>
      <c r="M63467"/>
    </row>
    <row r="63468" spans="3:13" ht="12.75" customHeight="1" x14ac:dyDescent="0.2">
      <c r="C63468"/>
      <c r="M63468"/>
    </row>
    <row r="63469" spans="3:13" ht="12.75" customHeight="1" x14ac:dyDescent="0.2">
      <c r="C63469"/>
      <c r="M63469"/>
    </row>
    <row r="63470" spans="3:13" ht="12.75" customHeight="1" x14ac:dyDescent="0.2">
      <c r="C63470"/>
      <c r="M63470"/>
    </row>
    <row r="63471" spans="3:13" ht="12.75" customHeight="1" x14ac:dyDescent="0.2">
      <c r="C63471"/>
      <c r="M63471"/>
    </row>
    <row r="63472" spans="3:13" ht="12.75" customHeight="1" x14ac:dyDescent="0.2">
      <c r="C63472"/>
      <c r="M63472"/>
    </row>
    <row r="63473" spans="3:13" ht="12.75" customHeight="1" x14ac:dyDescent="0.2">
      <c r="C63473"/>
      <c r="M63473"/>
    </row>
    <row r="63474" spans="3:13" ht="12.75" customHeight="1" x14ac:dyDescent="0.2">
      <c r="C63474"/>
      <c r="M63474"/>
    </row>
    <row r="63475" spans="3:13" ht="12.75" customHeight="1" x14ac:dyDescent="0.2">
      <c r="C63475"/>
      <c r="M63475"/>
    </row>
    <row r="63476" spans="3:13" ht="12.75" customHeight="1" x14ac:dyDescent="0.2">
      <c r="C63476"/>
      <c r="M63476"/>
    </row>
    <row r="63477" spans="3:13" ht="12.75" customHeight="1" x14ac:dyDescent="0.2">
      <c r="C63477"/>
      <c r="M63477"/>
    </row>
    <row r="63478" spans="3:13" ht="12.75" customHeight="1" x14ac:dyDescent="0.2">
      <c r="C63478"/>
      <c r="M63478"/>
    </row>
    <row r="63479" spans="3:13" ht="12.75" customHeight="1" x14ac:dyDescent="0.2">
      <c r="C63479"/>
      <c r="M63479"/>
    </row>
    <row r="63480" spans="3:13" ht="12.75" customHeight="1" x14ac:dyDescent="0.2">
      <c r="C63480"/>
      <c r="M63480"/>
    </row>
    <row r="63481" spans="3:13" ht="12.75" customHeight="1" x14ac:dyDescent="0.2">
      <c r="C63481"/>
      <c r="M63481"/>
    </row>
    <row r="63482" spans="3:13" ht="12.75" customHeight="1" x14ac:dyDescent="0.2">
      <c r="C63482"/>
      <c r="M63482"/>
    </row>
    <row r="63483" spans="3:13" ht="12.75" customHeight="1" x14ac:dyDescent="0.2">
      <c r="C63483"/>
      <c r="M63483"/>
    </row>
    <row r="63484" spans="3:13" ht="12.75" customHeight="1" x14ac:dyDescent="0.2">
      <c r="C63484"/>
      <c r="M63484"/>
    </row>
    <row r="63485" spans="3:13" ht="12.75" customHeight="1" x14ac:dyDescent="0.2">
      <c r="C63485"/>
      <c r="M63485"/>
    </row>
    <row r="63486" spans="3:13" ht="12.75" customHeight="1" x14ac:dyDescent="0.2">
      <c r="C63486"/>
      <c r="M63486"/>
    </row>
    <row r="63487" spans="3:13" ht="12.75" customHeight="1" x14ac:dyDescent="0.2">
      <c r="C63487"/>
      <c r="M63487"/>
    </row>
    <row r="63488" spans="3:13" ht="12.75" customHeight="1" x14ac:dyDescent="0.2">
      <c r="C63488"/>
      <c r="M63488"/>
    </row>
    <row r="63489" spans="3:13" ht="12.75" customHeight="1" x14ac:dyDescent="0.2">
      <c r="C63489"/>
      <c r="M63489"/>
    </row>
    <row r="63490" spans="3:13" ht="12.75" customHeight="1" x14ac:dyDescent="0.2">
      <c r="C63490"/>
      <c r="M63490"/>
    </row>
    <row r="63491" spans="3:13" ht="12.75" customHeight="1" x14ac:dyDescent="0.2">
      <c r="C63491"/>
      <c r="M63491"/>
    </row>
    <row r="63492" spans="3:13" ht="12.75" customHeight="1" x14ac:dyDescent="0.2">
      <c r="C63492"/>
      <c r="M63492"/>
    </row>
    <row r="63493" spans="3:13" ht="12.75" customHeight="1" x14ac:dyDescent="0.2">
      <c r="C63493"/>
      <c r="M63493"/>
    </row>
    <row r="63494" spans="3:13" ht="12.75" customHeight="1" x14ac:dyDescent="0.2">
      <c r="C63494"/>
      <c r="M63494"/>
    </row>
    <row r="63495" spans="3:13" ht="12.75" customHeight="1" x14ac:dyDescent="0.2">
      <c r="C63495"/>
      <c r="M63495"/>
    </row>
    <row r="63496" spans="3:13" ht="12.75" customHeight="1" x14ac:dyDescent="0.2">
      <c r="C63496"/>
      <c r="M63496"/>
    </row>
    <row r="63497" spans="3:13" ht="12.75" customHeight="1" x14ac:dyDescent="0.2">
      <c r="C63497"/>
      <c r="M63497"/>
    </row>
    <row r="63498" spans="3:13" ht="12.75" customHeight="1" x14ac:dyDescent="0.2">
      <c r="C63498"/>
      <c r="M63498"/>
    </row>
    <row r="63499" spans="3:13" ht="12.75" customHeight="1" x14ac:dyDescent="0.2">
      <c r="C63499"/>
      <c r="M63499"/>
    </row>
    <row r="63500" spans="3:13" ht="12.75" customHeight="1" x14ac:dyDescent="0.2">
      <c r="C63500"/>
      <c r="M63500"/>
    </row>
    <row r="63501" spans="3:13" ht="12.75" customHeight="1" x14ac:dyDescent="0.2">
      <c r="C63501"/>
      <c r="M63501"/>
    </row>
    <row r="63502" spans="3:13" ht="12.75" customHeight="1" x14ac:dyDescent="0.2">
      <c r="C63502"/>
      <c r="M63502"/>
    </row>
    <row r="63503" spans="3:13" ht="12.75" customHeight="1" x14ac:dyDescent="0.2">
      <c r="C63503"/>
      <c r="M63503"/>
    </row>
    <row r="63504" spans="3:13" ht="12.75" customHeight="1" x14ac:dyDescent="0.2">
      <c r="C63504"/>
      <c r="M63504"/>
    </row>
    <row r="63505" spans="3:13" ht="12.75" customHeight="1" x14ac:dyDescent="0.2">
      <c r="C63505"/>
      <c r="M63505"/>
    </row>
    <row r="63506" spans="3:13" ht="12.75" customHeight="1" x14ac:dyDescent="0.2">
      <c r="C63506"/>
      <c r="M63506"/>
    </row>
    <row r="63507" spans="3:13" ht="12.75" customHeight="1" x14ac:dyDescent="0.2">
      <c r="C63507"/>
      <c r="M63507"/>
    </row>
    <row r="63508" spans="3:13" ht="12.75" customHeight="1" x14ac:dyDescent="0.2">
      <c r="C63508"/>
      <c r="M63508"/>
    </row>
    <row r="63509" spans="3:13" ht="12.75" customHeight="1" x14ac:dyDescent="0.2">
      <c r="C63509"/>
      <c r="M63509"/>
    </row>
    <row r="63510" spans="3:13" ht="12.75" customHeight="1" x14ac:dyDescent="0.2">
      <c r="C63510"/>
      <c r="M63510"/>
    </row>
    <row r="63511" spans="3:13" ht="12.75" customHeight="1" x14ac:dyDescent="0.2">
      <c r="C63511"/>
      <c r="M63511"/>
    </row>
    <row r="63512" spans="3:13" ht="12.75" customHeight="1" x14ac:dyDescent="0.2">
      <c r="C63512"/>
      <c r="M63512"/>
    </row>
    <row r="63513" spans="3:13" ht="12.75" customHeight="1" x14ac:dyDescent="0.2">
      <c r="C63513"/>
      <c r="M63513"/>
    </row>
    <row r="63514" spans="3:13" ht="12.75" customHeight="1" x14ac:dyDescent="0.2">
      <c r="C63514"/>
      <c r="M63514"/>
    </row>
    <row r="63515" spans="3:13" ht="12.75" customHeight="1" x14ac:dyDescent="0.2">
      <c r="C63515"/>
      <c r="M63515"/>
    </row>
    <row r="63516" spans="3:13" ht="12.75" customHeight="1" x14ac:dyDescent="0.2">
      <c r="C63516"/>
      <c r="M63516"/>
    </row>
    <row r="63517" spans="3:13" ht="12.75" customHeight="1" x14ac:dyDescent="0.2">
      <c r="C63517"/>
      <c r="M63517"/>
    </row>
    <row r="63518" spans="3:13" ht="12.75" customHeight="1" x14ac:dyDescent="0.2">
      <c r="C63518"/>
      <c r="M63518"/>
    </row>
    <row r="63519" spans="3:13" ht="12.75" customHeight="1" x14ac:dyDescent="0.2">
      <c r="C63519"/>
      <c r="M63519"/>
    </row>
    <row r="63520" spans="3:13" ht="12.75" customHeight="1" x14ac:dyDescent="0.2">
      <c r="C63520"/>
      <c r="M63520"/>
    </row>
    <row r="63521" spans="3:13" ht="12.75" customHeight="1" x14ac:dyDescent="0.2">
      <c r="C63521"/>
      <c r="M63521"/>
    </row>
    <row r="63522" spans="3:13" ht="12.75" customHeight="1" x14ac:dyDescent="0.2">
      <c r="C63522"/>
      <c r="M63522"/>
    </row>
    <row r="63523" spans="3:13" ht="12.75" customHeight="1" x14ac:dyDescent="0.2">
      <c r="C63523"/>
      <c r="M63523"/>
    </row>
    <row r="63524" spans="3:13" ht="12.75" customHeight="1" x14ac:dyDescent="0.2">
      <c r="C63524"/>
      <c r="M63524"/>
    </row>
    <row r="63525" spans="3:13" ht="12.75" customHeight="1" x14ac:dyDescent="0.2">
      <c r="C63525"/>
      <c r="M63525"/>
    </row>
    <row r="63526" spans="3:13" ht="12.75" customHeight="1" x14ac:dyDescent="0.2">
      <c r="C63526"/>
      <c r="M63526"/>
    </row>
    <row r="63527" spans="3:13" ht="12.75" customHeight="1" x14ac:dyDescent="0.2">
      <c r="C63527"/>
      <c r="M63527"/>
    </row>
    <row r="63528" spans="3:13" ht="12.75" customHeight="1" x14ac:dyDescent="0.2">
      <c r="C63528"/>
      <c r="M63528"/>
    </row>
    <row r="63529" spans="3:13" ht="12.75" customHeight="1" x14ac:dyDescent="0.2">
      <c r="C63529"/>
      <c r="M63529"/>
    </row>
    <row r="63530" spans="3:13" ht="12.75" customHeight="1" x14ac:dyDescent="0.2">
      <c r="C63530"/>
      <c r="M63530"/>
    </row>
    <row r="63531" spans="3:13" ht="12.75" customHeight="1" x14ac:dyDescent="0.2">
      <c r="C63531"/>
      <c r="M63531"/>
    </row>
    <row r="63532" spans="3:13" ht="12.75" customHeight="1" x14ac:dyDescent="0.2">
      <c r="C63532"/>
      <c r="M63532"/>
    </row>
    <row r="63533" spans="3:13" ht="12.75" customHeight="1" x14ac:dyDescent="0.2">
      <c r="C63533"/>
      <c r="M63533"/>
    </row>
    <row r="63534" spans="3:13" ht="12.75" customHeight="1" x14ac:dyDescent="0.2">
      <c r="C63534"/>
      <c r="M63534"/>
    </row>
    <row r="63535" spans="3:13" ht="12.75" customHeight="1" x14ac:dyDescent="0.2">
      <c r="C63535"/>
      <c r="M63535"/>
    </row>
    <row r="63536" spans="3:13" ht="12.75" customHeight="1" x14ac:dyDescent="0.2">
      <c r="C63536"/>
      <c r="M63536"/>
    </row>
    <row r="63537" spans="3:13" ht="12.75" customHeight="1" x14ac:dyDescent="0.2">
      <c r="C63537"/>
      <c r="M63537"/>
    </row>
    <row r="63538" spans="3:13" ht="12.75" customHeight="1" x14ac:dyDescent="0.2">
      <c r="C63538"/>
      <c r="M63538"/>
    </row>
    <row r="63539" spans="3:13" ht="12.75" customHeight="1" x14ac:dyDescent="0.2">
      <c r="C63539"/>
      <c r="M63539"/>
    </row>
    <row r="63540" spans="3:13" ht="12.75" customHeight="1" x14ac:dyDescent="0.2">
      <c r="C63540"/>
      <c r="M63540"/>
    </row>
    <row r="63541" spans="3:13" ht="12.75" customHeight="1" x14ac:dyDescent="0.2">
      <c r="C63541"/>
      <c r="M63541"/>
    </row>
    <row r="63542" spans="3:13" ht="12.75" customHeight="1" x14ac:dyDescent="0.2">
      <c r="C63542"/>
      <c r="M63542"/>
    </row>
    <row r="63543" spans="3:13" ht="12.75" customHeight="1" x14ac:dyDescent="0.2">
      <c r="C63543"/>
      <c r="M63543"/>
    </row>
    <row r="63544" spans="3:13" ht="12.75" customHeight="1" x14ac:dyDescent="0.2">
      <c r="C63544"/>
      <c r="M63544"/>
    </row>
    <row r="63545" spans="3:13" ht="12.75" customHeight="1" x14ac:dyDescent="0.2">
      <c r="C63545"/>
      <c r="M63545"/>
    </row>
    <row r="63546" spans="3:13" ht="12.75" customHeight="1" x14ac:dyDescent="0.2">
      <c r="C63546"/>
      <c r="M63546"/>
    </row>
    <row r="63547" spans="3:13" ht="12.75" customHeight="1" x14ac:dyDescent="0.2">
      <c r="C63547"/>
      <c r="M63547"/>
    </row>
    <row r="63548" spans="3:13" ht="12.75" customHeight="1" x14ac:dyDescent="0.2">
      <c r="C63548"/>
      <c r="M63548"/>
    </row>
    <row r="63549" spans="3:13" ht="12.75" customHeight="1" x14ac:dyDescent="0.2">
      <c r="C63549"/>
      <c r="M63549"/>
    </row>
    <row r="63550" spans="3:13" ht="12.75" customHeight="1" x14ac:dyDescent="0.2">
      <c r="C63550"/>
      <c r="M63550"/>
    </row>
    <row r="63551" spans="3:13" ht="12.75" customHeight="1" x14ac:dyDescent="0.2">
      <c r="C63551"/>
      <c r="M63551"/>
    </row>
    <row r="63552" spans="3:13" ht="12.75" customHeight="1" x14ac:dyDescent="0.2">
      <c r="C63552"/>
      <c r="M63552"/>
    </row>
    <row r="63553" spans="3:13" ht="12.75" customHeight="1" x14ac:dyDescent="0.2">
      <c r="C63553"/>
      <c r="M63553"/>
    </row>
    <row r="63554" spans="3:13" ht="12.75" customHeight="1" x14ac:dyDescent="0.2">
      <c r="C63554"/>
      <c r="M63554"/>
    </row>
    <row r="63555" spans="3:13" ht="12.75" customHeight="1" x14ac:dyDescent="0.2">
      <c r="C63555"/>
      <c r="M63555"/>
    </row>
    <row r="63556" spans="3:13" ht="12.75" customHeight="1" x14ac:dyDescent="0.2">
      <c r="C63556"/>
      <c r="M63556"/>
    </row>
    <row r="63557" spans="3:13" ht="12.75" customHeight="1" x14ac:dyDescent="0.2">
      <c r="C63557"/>
      <c r="M63557"/>
    </row>
    <row r="63558" spans="3:13" ht="12.75" customHeight="1" x14ac:dyDescent="0.2">
      <c r="C63558"/>
      <c r="M63558"/>
    </row>
    <row r="63559" spans="3:13" ht="12.75" customHeight="1" x14ac:dyDescent="0.2">
      <c r="C63559"/>
      <c r="M63559"/>
    </row>
    <row r="63560" spans="3:13" ht="12.75" customHeight="1" x14ac:dyDescent="0.2">
      <c r="C63560"/>
      <c r="M63560"/>
    </row>
    <row r="63561" spans="3:13" ht="12.75" customHeight="1" x14ac:dyDescent="0.2">
      <c r="C63561"/>
      <c r="M63561"/>
    </row>
    <row r="63562" spans="3:13" ht="12.75" customHeight="1" x14ac:dyDescent="0.2">
      <c r="C63562"/>
      <c r="M63562"/>
    </row>
    <row r="63563" spans="3:13" ht="12.75" customHeight="1" x14ac:dyDescent="0.2">
      <c r="C63563"/>
      <c r="M63563"/>
    </row>
    <row r="63564" spans="3:13" ht="12.75" customHeight="1" x14ac:dyDescent="0.2">
      <c r="C63564"/>
      <c r="M63564"/>
    </row>
    <row r="63565" spans="3:13" ht="12.75" customHeight="1" x14ac:dyDescent="0.2">
      <c r="C63565"/>
      <c r="M63565"/>
    </row>
    <row r="63566" spans="3:13" ht="12.75" customHeight="1" x14ac:dyDescent="0.2">
      <c r="C63566"/>
      <c r="M63566"/>
    </row>
    <row r="63567" spans="3:13" ht="12.75" customHeight="1" x14ac:dyDescent="0.2">
      <c r="C63567"/>
      <c r="M63567"/>
    </row>
    <row r="63568" spans="3:13" ht="12.75" customHeight="1" x14ac:dyDescent="0.2">
      <c r="C63568"/>
      <c r="M63568"/>
    </row>
    <row r="63569" spans="3:13" ht="12.75" customHeight="1" x14ac:dyDescent="0.2">
      <c r="C63569"/>
      <c r="M63569"/>
    </row>
    <row r="63570" spans="3:13" ht="12.75" customHeight="1" x14ac:dyDescent="0.2">
      <c r="C63570"/>
      <c r="M63570"/>
    </row>
    <row r="63571" spans="3:13" ht="12.75" customHeight="1" x14ac:dyDescent="0.2">
      <c r="C63571"/>
      <c r="M63571"/>
    </row>
    <row r="63572" spans="3:13" ht="12.75" customHeight="1" x14ac:dyDescent="0.2">
      <c r="C63572"/>
      <c r="M63572"/>
    </row>
    <row r="63573" spans="3:13" ht="12.75" customHeight="1" x14ac:dyDescent="0.2">
      <c r="C63573"/>
      <c r="M63573"/>
    </row>
    <row r="63574" spans="3:13" ht="12.75" customHeight="1" x14ac:dyDescent="0.2">
      <c r="C63574"/>
      <c r="M63574"/>
    </row>
    <row r="63575" spans="3:13" ht="12.75" customHeight="1" x14ac:dyDescent="0.2">
      <c r="C63575"/>
      <c r="M63575"/>
    </row>
    <row r="63576" spans="3:13" ht="12.75" customHeight="1" x14ac:dyDescent="0.2">
      <c r="C63576"/>
      <c r="M63576"/>
    </row>
    <row r="63577" spans="3:13" ht="12.75" customHeight="1" x14ac:dyDescent="0.2">
      <c r="C63577"/>
      <c r="M63577"/>
    </row>
    <row r="63578" spans="3:13" ht="12.75" customHeight="1" x14ac:dyDescent="0.2">
      <c r="C63578"/>
      <c r="M63578"/>
    </row>
    <row r="63579" spans="3:13" ht="12.75" customHeight="1" x14ac:dyDescent="0.2">
      <c r="C63579"/>
      <c r="M63579"/>
    </row>
    <row r="63580" spans="3:13" ht="12.75" customHeight="1" x14ac:dyDescent="0.2">
      <c r="C63580"/>
      <c r="M63580"/>
    </row>
    <row r="63581" spans="3:13" ht="12.75" customHeight="1" x14ac:dyDescent="0.2">
      <c r="C63581"/>
      <c r="M63581"/>
    </row>
    <row r="63582" spans="3:13" ht="12.75" customHeight="1" x14ac:dyDescent="0.2">
      <c r="C63582"/>
      <c r="M63582"/>
    </row>
    <row r="63583" spans="3:13" ht="12.75" customHeight="1" x14ac:dyDescent="0.2">
      <c r="C63583"/>
      <c r="M63583"/>
    </row>
    <row r="63584" spans="3:13" ht="12.75" customHeight="1" x14ac:dyDescent="0.2">
      <c r="C63584"/>
      <c r="M63584"/>
    </row>
    <row r="63585" spans="3:13" ht="12.75" customHeight="1" x14ac:dyDescent="0.2">
      <c r="C63585"/>
      <c r="M63585"/>
    </row>
    <row r="63586" spans="3:13" ht="12.75" customHeight="1" x14ac:dyDescent="0.2">
      <c r="C63586"/>
      <c r="M63586"/>
    </row>
    <row r="63587" spans="3:13" ht="12.75" customHeight="1" x14ac:dyDescent="0.2">
      <c r="C63587"/>
      <c r="M63587"/>
    </row>
    <row r="63588" spans="3:13" ht="12.75" customHeight="1" x14ac:dyDescent="0.2">
      <c r="C63588"/>
      <c r="M63588"/>
    </row>
    <row r="63589" spans="3:13" ht="12.75" customHeight="1" x14ac:dyDescent="0.2">
      <c r="C63589"/>
      <c r="M63589"/>
    </row>
    <row r="63590" spans="3:13" ht="12.75" customHeight="1" x14ac:dyDescent="0.2">
      <c r="C63590"/>
      <c r="M63590"/>
    </row>
    <row r="63591" spans="3:13" ht="12.75" customHeight="1" x14ac:dyDescent="0.2">
      <c r="C63591"/>
      <c r="M63591"/>
    </row>
    <row r="63592" spans="3:13" ht="12.75" customHeight="1" x14ac:dyDescent="0.2">
      <c r="C63592"/>
      <c r="M63592"/>
    </row>
    <row r="63593" spans="3:13" ht="12.75" customHeight="1" x14ac:dyDescent="0.2">
      <c r="C63593"/>
      <c r="M63593"/>
    </row>
    <row r="63594" spans="3:13" ht="12.75" customHeight="1" x14ac:dyDescent="0.2">
      <c r="C63594"/>
      <c r="M63594"/>
    </row>
    <row r="63595" spans="3:13" ht="12.75" customHeight="1" x14ac:dyDescent="0.2">
      <c r="C63595"/>
      <c r="M63595"/>
    </row>
    <row r="63596" spans="3:13" ht="12.75" customHeight="1" x14ac:dyDescent="0.2">
      <c r="C63596"/>
      <c r="M63596"/>
    </row>
    <row r="63597" spans="3:13" ht="12.75" customHeight="1" x14ac:dyDescent="0.2">
      <c r="C63597"/>
      <c r="M63597"/>
    </row>
    <row r="63598" spans="3:13" ht="12.75" customHeight="1" x14ac:dyDescent="0.2">
      <c r="C63598"/>
      <c r="M63598"/>
    </row>
    <row r="63599" spans="3:13" ht="12.75" customHeight="1" x14ac:dyDescent="0.2">
      <c r="C63599"/>
      <c r="M63599"/>
    </row>
    <row r="63600" spans="3:13" ht="12.75" customHeight="1" x14ac:dyDescent="0.2">
      <c r="C63600"/>
      <c r="M63600"/>
    </row>
    <row r="63601" spans="3:13" ht="12.75" customHeight="1" x14ac:dyDescent="0.2">
      <c r="C63601"/>
      <c r="M63601"/>
    </row>
    <row r="63602" spans="3:13" ht="12.75" customHeight="1" x14ac:dyDescent="0.2">
      <c r="C63602"/>
      <c r="M63602"/>
    </row>
    <row r="63603" spans="3:13" ht="12.75" customHeight="1" x14ac:dyDescent="0.2">
      <c r="C63603"/>
      <c r="M63603"/>
    </row>
    <row r="63604" spans="3:13" ht="12.75" customHeight="1" x14ac:dyDescent="0.2">
      <c r="C63604"/>
      <c r="M63604"/>
    </row>
    <row r="63605" spans="3:13" ht="12.75" customHeight="1" x14ac:dyDescent="0.2">
      <c r="C63605"/>
      <c r="M63605"/>
    </row>
    <row r="63606" spans="3:13" ht="12.75" customHeight="1" x14ac:dyDescent="0.2">
      <c r="C63606"/>
      <c r="M63606"/>
    </row>
    <row r="63607" spans="3:13" ht="12.75" customHeight="1" x14ac:dyDescent="0.2">
      <c r="C63607"/>
      <c r="M63607"/>
    </row>
    <row r="63608" spans="3:13" ht="12.75" customHeight="1" x14ac:dyDescent="0.2">
      <c r="C63608"/>
      <c r="M63608"/>
    </row>
    <row r="63609" spans="3:13" ht="12.75" customHeight="1" x14ac:dyDescent="0.2">
      <c r="C63609"/>
      <c r="M63609"/>
    </row>
    <row r="63610" spans="3:13" ht="12.75" customHeight="1" x14ac:dyDescent="0.2">
      <c r="C63610"/>
      <c r="M63610"/>
    </row>
    <row r="63611" spans="3:13" ht="12.75" customHeight="1" x14ac:dyDescent="0.2">
      <c r="C63611"/>
      <c r="M63611"/>
    </row>
    <row r="63612" spans="3:13" ht="12.75" customHeight="1" x14ac:dyDescent="0.2">
      <c r="C63612"/>
      <c r="M63612"/>
    </row>
    <row r="63613" spans="3:13" ht="12.75" customHeight="1" x14ac:dyDescent="0.2">
      <c r="C63613"/>
      <c r="M63613"/>
    </row>
    <row r="63614" spans="3:13" ht="12.75" customHeight="1" x14ac:dyDescent="0.2">
      <c r="C63614"/>
      <c r="M63614"/>
    </row>
    <row r="63615" spans="3:13" ht="12.75" customHeight="1" x14ac:dyDescent="0.2">
      <c r="C63615"/>
      <c r="M63615"/>
    </row>
    <row r="63616" spans="3:13" ht="12.75" customHeight="1" x14ac:dyDescent="0.2">
      <c r="C63616"/>
      <c r="M63616"/>
    </row>
    <row r="63617" spans="3:13" ht="12.75" customHeight="1" x14ac:dyDescent="0.2">
      <c r="C63617"/>
      <c r="M63617"/>
    </row>
    <row r="63618" spans="3:13" ht="12.75" customHeight="1" x14ac:dyDescent="0.2">
      <c r="C63618"/>
      <c r="M63618"/>
    </row>
    <row r="63619" spans="3:13" ht="12.75" customHeight="1" x14ac:dyDescent="0.2">
      <c r="C63619"/>
      <c r="M63619"/>
    </row>
    <row r="63620" spans="3:13" ht="12.75" customHeight="1" x14ac:dyDescent="0.2">
      <c r="C63620"/>
      <c r="M63620"/>
    </row>
    <row r="63621" spans="3:13" ht="12.75" customHeight="1" x14ac:dyDescent="0.2">
      <c r="C63621"/>
      <c r="M63621"/>
    </row>
    <row r="63622" spans="3:13" ht="12.75" customHeight="1" x14ac:dyDescent="0.2">
      <c r="C63622"/>
      <c r="M63622"/>
    </row>
    <row r="63623" spans="3:13" ht="12.75" customHeight="1" x14ac:dyDescent="0.2">
      <c r="C63623"/>
      <c r="M63623"/>
    </row>
    <row r="63624" spans="3:13" ht="12.75" customHeight="1" x14ac:dyDescent="0.2">
      <c r="C63624"/>
      <c r="M63624"/>
    </row>
    <row r="63625" spans="3:13" ht="12.75" customHeight="1" x14ac:dyDescent="0.2">
      <c r="C63625"/>
      <c r="M63625"/>
    </row>
    <row r="63626" spans="3:13" ht="12.75" customHeight="1" x14ac:dyDescent="0.2">
      <c r="C63626"/>
      <c r="M63626"/>
    </row>
    <row r="63627" spans="3:13" ht="12.75" customHeight="1" x14ac:dyDescent="0.2">
      <c r="C63627"/>
      <c r="M63627"/>
    </row>
    <row r="63628" spans="3:13" ht="12.75" customHeight="1" x14ac:dyDescent="0.2">
      <c r="C63628"/>
      <c r="M63628"/>
    </row>
    <row r="63629" spans="3:13" ht="12.75" customHeight="1" x14ac:dyDescent="0.2">
      <c r="C63629"/>
      <c r="M63629"/>
    </row>
    <row r="63630" spans="3:13" ht="12.75" customHeight="1" x14ac:dyDescent="0.2">
      <c r="C63630"/>
      <c r="M63630"/>
    </row>
    <row r="63631" spans="3:13" ht="12.75" customHeight="1" x14ac:dyDescent="0.2">
      <c r="C63631"/>
      <c r="M63631"/>
    </row>
    <row r="63632" spans="3:13" ht="12.75" customHeight="1" x14ac:dyDescent="0.2">
      <c r="C63632"/>
      <c r="M63632"/>
    </row>
    <row r="63633" spans="3:13" ht="12.75" customHeight="1" x14ac:dyDescent="0.2">
      <c r="C63633"/>
      <c r="M63633"/>
    </row>
    <row r="63634" spans="3:13" ht="12.75" customHeight="1" x14ac:dyDescent="0.2">
      <c r="C63634"/>
      <c r="M63634"/>
    </row>
    <row r="63635" spans="3:13" ht="12.75" customHeight="1" x14ac:dyDescent="0.2">
      <c r="C63635"/>
      <c r="M63635"/>
    </row>
    <row r="63636" spans="3:13" ht="12.75" customHeight="1" x14ac:dyDescent="0.2">
      <c r="C63636"/>
      <c r="M63636"/>
    </row>
    <row r="63637" spans="3:13" ht="12.75" customHeight="1" x14ac:dyDescent="0.2">
      <c r="C63637"/>
      <c r="M63637"/>
    </row>
    <row r="63638" spans="3:13" ht="12.75" customHeight="1" x14ac:dyDescent="0.2">
      <c r="C63638"/>
      <c r="M63638"/>
    </row>
    <row r="63639" spans="3:13" ht="12.75" customHeight="1" x14ac:dyDescent="0.2">
      <c r="C63639"/>
      <c r="M63639"/>
    </row>
    <row r="63640" spans="3:13" ht="12.75" customHeight="1" x14ac:dyDescent="0.2">
      <c r="C63640"/>
      <c r="M63640"/>
    </row>
    <row r="63641" spans="3:13" ht="12.75" customHeight="1" x14ac:dyDescent="0.2">
      <c r="C63641"/>
      <c r="M63641"/>
    </row>
    <row r="63642" spans="3:13" ht="12.75" customHeight="1" x14ac:dyDescent="0.2">
      <c r="C63642"/>
      <c r="M63642"/>
    </row>
    <row r="63643" spans="3:13" ht="12.75" customHeight="1" x14ac:dyDescent="0.2">
      <c r="C63643"/>
      <c r="M63643"/>
    </row>
    <row r="63644" spans="3:13" ht="12.75" customHeight="1" x14ac:dyDescent="0.2">
      <c r="C63644"/>
      <c r="M63644"/>
    </row>
    <row r="63645" spans="3:13" ht="12.75" customHeight="1" x14ac:dyDescent="0.2">
      <c r="C63645"/>
      <c r="M63645"/>
    </row>
    <row r="63646" spans="3:13" ht="12.75" customHeight="1" x14ac:dyDescent="0.2">
      <c r="C63646"/>
      <c r="M63646"/>
    </row>
    <row r="63647" spans="3:13" ht="12.75" customHeight="1" x14ac:dyDescent="0.2">
      <c r="C63647"/>
      <c r="M63647"/>
    </row>
    <row r="63648" spans="3:13" ht="12.75" customHeight="1" x14ac:dyDescent="0.2">
      <c r="C63648"/>
      <c r="M63648"/>
    </row>
    <row r="63649" spans="3:13" ht="12.75" customHeight="1" x14ac:dyDescent="0.2">
      <c r="C63649"/>
      <c r="M63649"/>
    </row>
    <row r="63650" spans="3:13" ht="12.75" customHeight="1" x14ac:dyDescent="0.2">
      <c r="C63650"/>
      <c r="M63650"/>
    </row>
    <row r="63651" spans="3:13" ht="12.75" customHeight="1" x14ac:dyDescent="0.2">
      <c r="C63651"/>
      <c r="M63651"/>
    </row>
    <row r="63652" spans="3:13" ht="12.75" customHeight="1" x14ac:dyDescent="0.2">
      <c r="C63652"/>
      <c r="M63652"/>
    </row>
    <row r="63653" spans="3:13" ht="12.75" customHeight="1" x14ac:dyDescent="0.2">
      <c r="C63653"/>
      <c r="M63653"/>
    </row>
    <row r="63654" spans="3:13" ht="12.75" customHeight="1" x14ac:dyDescent="0.2">
      <c r="C63654"/>
      <c r="M63654"/>
    </row>
    <row r="63655" spans="3:13" ht="12.75" customHeight="1" x14ac:dyDescent="0.2">
      <c r="C63655"/>
      <c r="M63655"/>
    </row>
    <row r="63656" spans="3:13" ht="12.75" customHeight="1" x14ac:dyDescent="0.2">
      <c r="C63656"/>
      <c r="M63656"/>
    </row>
    <row r="63657" spans="3:13" ht="12.75" customHeight="1" x14ac:dyDescent="0.2">
      <c r="C63657"/>
      <c r="M63657"/>
    </row>
    <row r="63658" spans="3:13" ht="12.75" customHeight="1" x14ac:dyDescent="0.2">
      <c r="C63658"/>
      <c r="M63658"/>
    </row>
    <row r="63659" spans="3:13" ht="12.75" customHeight="1" x14ac:dyDescent="0.2">
      <c r="C63659"/>
      <c r="M63659"/>
    </row>
    <row r="63660" spans="3:13" ht="12.75" customHeight="1" x14ac:dyDescent="0.2">
      <c r="C63660"/>
      <c r="M63660"/>
    </row>
    <row r="63661" spans="3:13" ht="12.75" customHeight="1" x14ac:dyDescent="0.2">
      <c r="C63661"/>
      <c r="M63661"/>
    </row>
    <row r="63662" spans="3:13" ht="12.75" customHeight="1" x14ac:dyDescent="0.2">
      <c r="C63662"/>
      <c r="M63662"/>
    </row>
    <row r="63663" spans="3:13" ht="12.75" customHeight="1" x14ac:dyDescent="0.2">
      <c r="C63663"/>
      <c r="M63663"/>
    </row>
    <row r="63664" spans="3:13" ht="12.75" customHeight="1" x14ac:dyDescent="0.2">
      <c r="C63664"/>
      <c r="M63664"/>
    </row>
    <row r="63665" spans="3:13" ht="12.75" customHeight="1" x14ac:dyDescent="0.2">
      <c r="C63665"/>
      <c r="M63665"/>
    </row>
    <row r="63666" spans="3:13" ht="12.75" customHeight="1" x14ac:dyDescent="0.2">
      <c r="C63666"/>
      <c r="M63666"/>
    </row>
    <row r="63667" spans="3:13" ht="12.75" customHeight="1" x14ac:dyDescent="0.2">
      <c r="C63667"/>
      <c r="M63667"/>
    </row>
    <row r="63668" spans="3:13" ht="12.75" customHeight="1" x14ac:dyDescent="0.2">
      <c r="C63668"/>
      <c r="M63668"/>
    </row>
    <row r="63669" spans="3:13" ht="12.75" customHeight="1" x14ac:dyDescent="0.2">
      <c r="C63669"/>
      <c r="M63669"/>
    </row>
    <row r="63670" spans="3:13" ht="12.75" customHeight="1" x14ac:dyDescent="0.2">
      <c r="C63670"/>
      <c r="M63670"/>
    </row>
    <row r="63671" spans="3:13" ht="12.75" customHeight="1" x14ac:dyDescent="0.2">
      <c r="C63671"/>
      <c r="M63671"/>
    </row>
    <row r="63672" spans="3:13" ht="12.75" customHeight="1" x14ac:dyDescent="0.2">
      <c r="C63672"/>
      <c r="M63672"/>
    </row>
    <row r="63673" spans="3:13" ht="12.75" customHeight="1" x14ac:dyDescent="0.2">
      <c r="C63673"/>
      <c r="M63673"/>
    </row>
    <row r="63674" spans="3:13" ht="12.75" customHeight="1" x14ac:dyDescent="0.2">
      <c r="C63674"/>
      <c r="M63674"/>
    </row>
    <row r="63675" spans="3:13" ht="12.75" customHeight="1" x14ac:dyDescent="0.2">
      <c r="C63675"/>
      <c r="M63675"/>
    </row>
    <row r="63676" spans="3:13" ht="12.75" customHeight="1" x14ac:dyDescent="0.2">
      <c r="C63676"/>
      <c r="M63676"/>
    </row>
    <row r="63677" spans="3:13" ht="12.75" customHeight="1" x14ac:dyDescent="0.2">
      <c r="C63677"/>
      <c r="M63677"/>
    </row>
    <row r="63678" spans="3:13" ht="12.75" customHeight="1" x14ac:dyDescent="0.2">
      <c r="C63678"/>
      <c r="M63678"/>
    </row>
    <row r="63679" spans="3:13" ht="12.75" customHeight="1" x14ac:dyDescent="0.2">
      <c r="C63679"/>
      <c r="M63679"/>
    </row>
    <row r="63680" spans="3:13" ht="12.75" customHeight="1" x14ac:dyDescent="0.2">
      <c r="C63680"/>
      <c r="M63680"/>
    </row>
    <row r="63681" spans="3:13" ht="12.75" customHeight="1" x14ac:dyDescent="0.2">
      <c r="C63681"/>
      <c r="M63681"/>
    </row>
    <row r="63682" spans="3:13" ht="12.75" customHeight="1" x14ac:dyDescent="0.2">
      <c r="C63682"/>
      <c r="M63682"/>
    </row>
    <row r="63683" spans="3:13" ht="12.75" customHeight="1" x14ac:dyDescent="0.2">
      <c r="C63683"/>
      <c r="M63683"/>
    </row>
    <row r="63684" spans="3:13" ht="12.75" customHeight="1" x14ac:dyDescent="0.2">
      <c r="C63684"/>
      <c r="M63684"/>
    </row>
    <row r="63685" spans="3:13" ht="12.75" customHeight="1" x14ac:dyDescent="0.2">
      <c r="C63685"/>
      <c r="M63685"/>
    </row>
    <row r="63686" spans="3:13" ht="12.75" customHeight="1" x14ac:dyDescent="0.2">
      <c r="C63686"/>
      <c r="M63686"/>
    </row>
    <row r="63687" spans="3:13" ht="12.75" customHeight="1" x14ac:dyDescent="0.2">
      <c r="C63687"/>
      <c r="M63687"/>
    </row>
    <row r="63688" spans="3:13" ht="12.75" customHeight="1" x14ac:dyDescent="0.2">
      <c r="C63688"/>
      <c r="M63688"/>
    </row>
    <row r="63689" spans="3:13" ht="12.75" customHeight="1" x14ac:dyDescent="0.2">
      <c r="C63689"/>
      <c r="M63689"/>
    </row>
    <row r="63690" spans="3:13" ht="12.75" customHeight="1" x14ac:dyDescent="0.2">
      <c r="C63690"/>
      <c r="M63690"/>
    </row>
    <row r="63691" spans="3:13" ht="12.75" customHeight="1" x14ac:dyDescent="0.2">
      <c r="C63691"/>
      <c r="M63691"/>
    </row>
    <row r="63692" spans="3:13" ht="12.75" customHeight="1" x14ac:dyDescent="0.2">
      <c r="C63692"/>
      <c r="M63692"/>
    </row>
    <row r="63693" spans="3:13" ht="12.75" customHeight="1" x14ac:dyDescent="0.2">
      <c r="C63693"/>
      <c r="M63693"/>
    </row>
    <row r="63694" spans="3:13" ht="12.75" customHeight="1" x14ac:dyDescent="0.2">
      <c r="C63694"/>
      <c r="M63694"/>
    </row>
    <row r="63695" spans="3:13" ht="12.75" customHeight="1" x14ac:dyDescent="0.2">
      <c r="C63695"/>
      <c r="M63695"/>
    </row>
    <row r="63696" spans="3:13" ht="12.75" customHeight="1" x14ac:dyDescent="0.2">
      <c r="C63696"/>
      <c r="M63696"/>
    </row>
    <row r="63697" spans="3:13" ht="12.75" customHeight="1" x14ac:dyDescent="0.2">
      <c r="C63697"/>
      <c r="M63697"/>
    </row>
    <row r="63698" spans="3:13" ht="12.75" customHeight="1" x14ac:dyDescent="0.2">
      <c r="C63698"/>
      <c r="M63698"/>
    </row>
    <row r="63699" spans="3:13" ht="12.75" customHeight="1" x14ac:dyDescent="0.2">
      <c r="C63699"/>
      <c r="M63699"/>
    </row>
    <row r="63700" spans="3:13" ht="12.75" customHeight="1" x14ac:dyDescent="0.2">
      <c r="C63700"/>
      <c r="M63700"/>
    </row>
    <row r="63701" spans="3:13" ht="12.75" customHeight="1" x14ac:dyDescent="0.2">
      <c r="C63701"/>
      <c r="M63701"/>
    </row>
    <row r="63702" spans="3:13" ht="12.75" customHeight="1" x14ac:dyDescent="0.2">
      <c r="C63702"/>
      <c r="M63702"/>
    </row>
    <row r="63703" spans="3:13" ht="12.75" customHeight="1" x14ac:dyDescent="0.2">
      <c r="C63703"/>
      <c r="M63703"/>
    </row>
    <row r="63704" spans="3:13" ht="12.75" customHeight="1" x14ac:dyDescent="0.2">
      <c r="C63704"/>
      <c r="M63704"/>
    </row>
    <row r="63705" spans="3:13" ht="12.75" customHeight="1" x14ac:dyDescent="0.2">
      <c r="C63705"/>
      <c r="M63705"/>
    </row>
    <row r="63706" spans="3:13" ht="12.75" customHeight="1" x14ac:dyDescent="0.2">
      <c r="C63706"/>
      <c r="M63706"/>
    </row>
    <row r="63707" spans="3:13" ht="12.75" customHeight="1" x14ac:dyDescent="0.2">
      <c r="C63707"/>
      <c r="M63707"/>
    </row>
    <row r="63708" spans="3:13" ht="12.75" customHeight="1" x14ac:dyDescent="0.2">
      <c r="C63708"/>
      <c r="M63708"/>
    </row>
    <row r="63709" spans="3:13" ht="12.75" customHeight="1" x14ac:dyDescent="0.2">
      <c r="C63709"/>
      <c r="M63709"/>
    </row>
    <row r="63710" spans="3:13" ht="12.75" customHeight="1" x14ac:dyDescent="0.2">
      <c r="C63710"/>
      <c r="M63710"/>
    </row>
    <row r="63711" spans="3:13" ht="12.75" customHeight="1" x14ac:dyDescent="0.2">
      <c r="C63711"/>
      <c r="M63711"/>
    </row>
    <row r="63712" spans="3:13" ht="12.75" customHeight="1" x14ac:dyDescent="0.2">
      <c r="C63712"/>
      <c r="M63712"/>
    </row>
    <row r="63713" spans="3:13" ht="12.75" customHeight="1" x14ac:dyDescent="0.2">
      <c r="C63713"/>
      <c r="M63713"/>
    </row>
    <row r="63714" spans="3:13" ht="12.75" customHeight="1" x14ac:dyDescent="0.2">
      <c r="C63714"/>
      <c r="M63714"/>
    </row>
    <row r="63715" spans="3:13" ht="12.75" customHeight="1" x14ac:dyDescent="0.2">
      <c r="C63715"/>
      <c r="M63715"/>
    </row>
    <row r="63716" spans="3:13" ht="12.75" customHeight="1" x14ac:dyDescent="0.2">
      <c r="C63716"/>
      <c r="M63716"/>
    </row>
    <row r="63717" spans="3:13" ht="12.75" customHeight="1" x14ac:dyDescent="0.2">
      <c r="C63717"/>
      <c r="M63717"/>
    </row>
    <row r="63718" spans="3:13" ht="12.75" customHeight="1" x14ac:dyDescent="0.2">
      <c r="C63718"/>
      <c r="M63718"/>
    </row>
    <row r="63719" spans="3:13" ht="12.75" customHeight="1" x14ac:dyDescent="0.2">
      <c r="C63719"/>
      <c r="M63719"/>
    </row>
    <row r="63720" spans="3:13" ht="12.75" customHeight="1" x14ac:dyDescent="0.2">
      <c r="C63720"/>
      <c r="M63720"/>
    </row>
    <row r="63721" spans="3:13" ht="12.75" customHeight="1" x14ac:dyDescent="0.2">
      <c r="C63721"/>
      <c r="M63721"/>
    </row>
    <row r="63722" spans="3:13" ht="12.75" customHeight="1" x14ac:dyDescent="0.2">
      <c r="C63722"/>
      <c r="M63722"/>
    </row>
    <row r="63723" spans="3:13" ht="12.75" customHeight="1" x14ac:dyDescent="0.2">
      <c r="C63723"/>
      <c r="M63723"/>
    </row>
    <row r="63724" spans="3:13" ht="12.75" customHeight="1" x14ac:dyDescent="0.2">
      <c r="C63724"/>
      <c r="M63724"/>
    </row>
    <row r="63725" spans="3:13" ht="12.75" customHeight="1" x14ac:dyDescent="0.2">
      <c r="C63725"/>
      <c r="M63725"/>
    </row>
    <row r="63726" spans="3:13" ht="12.75" customHeight="1" x14ac:dyDescent="0.2">
      <c r="C63726"/>
      <c r="M63726"/>
    </row>
    <row r="63727" spans="3:13" ht="12.75" customHeight="1" x14ac:dyDescent="0.2">
      <c r="C63727"/>
      <c r="M63727"/>
    </row>
    <row r="63728" spans="3:13" ht="12.75" customHeight="1" x14ac:dyDescent="0.2">
      <c r="C63728"/>
      <c r="M63728"/>
    </row>
    <row r="63729" spans="3:13" ht="12.75" customHeight="1" x14ac:dyDescent="0.2">
      <c r="C63729"/>
      <c r="M63729"/>
    </row>
    <row r="63730" spans="3:13" ht="12.75" customHeight="1" x14ac:dyDescent="0.2">
      <c r="C63730"/>
      <c r="M63730"/>
    </row>
    <row r="63731" spans="3:13" ht="12.75" customHeight="1" x14ac:dyDescent="0.2">
      <c r="C63731"/>
      <c r="M63731"/>
    </row>
    <row r="63732" spans="3:13" ht="12.75" customHeight="1" x14ac:dyDescent="0.2">
      <c r="C63732"/>
      <c r="M63732"/>
    </row>
    <row r="63733" spans="3:13" ht="12.75" customHeight="1" x14ac:dyDescent="0.2">
      <c r="C63733"/>
      <c r="M63733"/>
    </row>
    <row r="63734" spans="3:13" ht="12.75" customHeight="1" x14ac:dyDescent="0.2">
      <c r="C63734"/>
      <c r="M63734"/>
    </row>
    <row r="63735" spans="3:13" ht="12.75" customHeight="1" x14ac:dyDescent="0.2">
      <c r="C63735"/>
      <c r="M63735"/>
    </row>
    <row r="63736" spans="3:13" ht="12.75" customHeight="1" x14ac:dyDescent="0.2">
      <c r="C63736"/>
      <c r="M63736"/>
    </row>
    <row r="63737" spans="3:13" ht="12.75" customHeight="1" x14ac:dyDescent="0.2">
      <c r="C63737"/>
      <c r="M63737"/>
    </row>
    <row r="63738" spans="3:13" ht="12.75" customHeight="1" x14ac:dyDescent="0.2">
      <c r="C63738"/>
      <c r="M63738"/>
    </row>
    <row r="63739" spans="3:13" ht="12.75" customHeight="1" x14ac:dyDescent="0.2">
      <c r="C63739"/>
      <c r="M63739"/>
    </row>
    <row r="63740" spans="3:13" ht="12.75" customHeight="1" x14ac:dyDescent="0.2">
      <c r="C63740"/>
      <c r="M63740"/>
    </row>
    <row r="63741" spans="3:13" ht="12.75" customHeight="1" x14ac:dyDescent="0.2">
      <c r="C63741"/>
      <c r="M63741"/>
    </row>
    <row r="63742" spans="3:13" ht="12.75" customHeight="1" x14ac:dyDescent="0.2">
      <c r="C63742"/>
      <c r="M63742"/>
    </row>
    <row r="63743" spans="3:13" ht="12.75" customHeight="1" x14ac:dyDescent="0.2">
      <c r="C63743"/>
      <c r="M63743"/>
    </row>
    <row r="63744" spans="3:13" ht="12.75" customHeight="1" x14ac:dyDescent="0.2">
      <c r="C63744"/>
      <c r="M63744"/>
    </row>
    <row r="63745" spans="3:13" ht="12.75" customHeight="1" x14ac:dyDescent="0.2">
      <c r="C63745"/>
      <c r="M63745"/>
    </row>
    <row r="63746" spans="3:13" ht="12.75" customHeight="1" x14ac:dyDescent="0.2">
      <c r="C63746"/>
      <c r="M63746"/>
    </row>
    <row r="63747" spans="3:13" ht="12.75" customHeight="1" x14ac:dyDescent="0.2">
      <c r="C63747"/>
      <c r="M63747"/>
    </row>
    <row r="63748" spans="3:13" ht="12.75" customHeight="1" x14ac:dyDescent="0.2">
      <c r="C63748"/>
      <c r="M63748"/>
    </row>
    <row r="63749" spans="3:13" ht="12.75" customHeight="1" x14ac:dyDescent="0.2">
      <c r="C63749"/>
      <c r="M63749"/>
    </row>
    <row r="63750" spans="3:13" ht="12.75" customHeight="1" x14ac:dyDescent="0.2">
      <c r="C63750"/>
      <c r="M63750"/>
    </row>
    <row r="63751" spans="3:13" ht="12.75" customHeight="1" x14ac:dyDescent="0.2">
      <c r="C63751"/>
      <c r="M63751"/>
    </row>
    <row r="63752" spans="3:13" ht="12.75" customHeight="1" x14ac:dyDescent="0.2">
      <c r="C63752"/>
      <c r="M63752"/>
    </row>
    <row r="63753" spans="3:13" ht="12.75" customHeight="1" x14ac:dyDescent="0.2">
      <c r="C63753"/>
      <c r="M63753"/>
    </row>
    <row r="63754" spans="3:13" ht="12.75" customHeight="1" x14ac:dyDescent="0.2">
      <c r="C63754"/>
      <c r="M63754"/>
    </row>
    <row r="63755" spans="3:13" ht="12.75" customHeight="1" x14ac:dyDescent="0.2">
      <c r="C63755"/>
      <c r="M63755"/>
    </row>
    <row r="63756" spans="3:13" ht="12.75" customHeight="1" x14ac:dyDescent="0.2">
      <c r="C63756"/>
      <c r="M63756"/>
    </row>
    <row r="63757" spans="3:13" ht="12.75" customHeight="1" x14ac:dyDescent="0.2">
      <c r="C63757"/>
      <c r="M63757"/>
    </row>
    <row r="63758" spans="3:13" ht="12.75" customHeight="1" x14ac:dyDescent="0.2">
      <c r="C63758"/>
      <c r="M63758"/>
    </row>
    <row r="63759" spans="3:13" ht="12.75" customHeight="1" x14ac:dyDescent="0.2">
      <c r="C63759"/>
      <c r="M63759"/>
    </row>
    <row r="63760" spans="3:13" ht="12.75" customHeight="1" x14ac:dyDescent="0.2">
      <c r="C63760"/>
      <c r="M63760"/>
    </row>
    <row r="63761" spans="3:13" ht="12.75" customHeight="1" x14ac:dyDescent="0.2">
      <c r="C63761"/>
      <c r="M63761"/>
    </row>
    <row r="63762" spans="3:13" ht="12.75" customHeight="1" x14ac:dyDescent="0.2">
      <c r="C63762"/>
      <c r="M63762"/>
    </row>
    <row r="63763" spans="3:13" ht="12.75" customHeight="1" x14ac:dyDescent="0.2">
      <c r="C63763"/>
      <c r="M63763"/>
    </row>
    <row r="63764" spans="3:13" ht="12.75" customHeight="1" x14ac:dyDescent="0.2">
      <c r="C63764"/>
      <c r="M63764"/>
    </row>
    <row r="63765" spans="3:13" ht="12.75" customHeight="1" x14ac:dyDescent="0.2">
      <c r="C63765"/>
      <c r="M63765"/>
    </row>
    <row r="63766" spans="3:13" ht="12.75" customHeight="1" x14ac:dyDescent="0.2">
      <c r="C63766"/>
      <c r="M63766"/>
    </row>
    <row r="63767" spans="3:13" ht="12.75" customHeight="1" x14ac:dyDescent="0.2">
      <c r="C63767"/>
      <c r="M63767"/>
    </row>
    <row r="63768" spans="3:13" ht="12.75" customHeight="1" x14ac:dyDescent="0.2">
      <c r="C63768"/>
      <c r="M63768"/>
    </row>
    <row r="63769" spans="3:13" ht="12.75" customHeight="1" x14ac:dyDescent="0.2">
      <c r="C63769"/>
      <c r="M63769"/>
    </row>
    <row r="63770" spans="3:13" ht="12.75" customHeight="1" x14ac:dyDescent="0.2">
      <c r="C63770"/>
      <c r="M63770"/>
    </row>
    <row r="63771" spans="3:13" ht="12.75" customHeight="1" x14ac:dyDescent="0.2">
      <c r="C63771"/>
      <c r="M63771"/>
    </row>
    <row r="63772" spans="3:13" ht="12.75" customHeight="1" x14ac:dyDescent="0.2">
      <c r="C63772"/>
      <c r="M63772"/>
    </row>
    <row r="63773" spans="3:13" ht="12.75" customHeight="1" x14ac:dyDescent="0.2">
      <c r="C63773"/>
      <c r="M63773"/>
    </row>
    <row r="63774" spans="3:13" ht="12.75" customHeight="1" x14ac:dyDescent="0.2">
      <c r="C63774"/>
      <c r="M63774"/>
    </row>
    <row r="63775" spans="3:13" ht="12.75" customHeight="1" x14ac:dyDescent="0.2">
      <c r="C63775"/>
      <c r="M63775"/>
    </row>
    <row r="63776" spans="3:13" ht="12.75" customHeight="1" x14ac:dyDescent="0.2">
      <c r="C63776"/>
      <c r="M63776"/>
    </row>
    <row r="63777" spans="3:13" ht="12.75" customHeight="1" x14ac:dyDescent="0.2">
      <c r="C63777"/>
      <c r="M63777"/>
    </row>
    <row r="63778" spans="3:13" ht="12.75" customHeight="1" x14ac:dyDescent="0.2">
      <c r="C63778"/>
      <c r="M63778"/>
    </row>
    <row r="63779" spans="3:13" ht="12.75" customHeight="1" x14ac:dyDescent="0.2">
      <c r="C63779"/>
      <c r="M63779"/>
    </row>
    <row r="63780" spans="3:13" ht="12.75" customHeight="1" x14ac:dyDescent="0.2">
      <c r="C63780"/>
      <c r="M63780"/>
    </row>
    <row r="63781" spans="3:13" ht="12.75" customHeight="1" x14ac:dyDescent="0.2">
      <c r="C63781"/>
      <c r="M63781"/>
    </row>
    <row r="63782" spans="3:13" ht="12.75" customHeight="1" x14ac:dyDescent="0.2">
      <c r="C63782"/>
      <c r="M63782"/>
    </row>
    <row r="63783" spans="3:13" ht="12.75" customHeight="1" x14ac:dyDescent="0.2">
      <c r="C63783"/>
      <c r="M63783"/>
    </row>
    <row r="63784" spans="3:13" ht="12.75" customHeight="1" x14ac:dyDescent="0.2">
      <c r="C63784"/>
      <c r="M63784"/>
    </row>
    <row r="63785" spans="3:13" ht="12.75" customHeight="1" x14ac:dyDescent="0.2">
      <c r="C63785"/>
      <c r="M63785"/>
    </row>
    <row r="63786" spans="3:13" ht="12.75" customHeight="1" x14ac:dyDescent="0.2">
      <c r="C63786"/>
      <c r="M63786"/>
    </row>
    <row r="63787" spans="3:13" ht="12.75" customHeight="1" x14ac:dyDescent="0.2">
      <c r="C63787"/>
      <c r="M63787"/>
    </row>
    <row r="63788" spans="3:13" ht="12.75" customHeight="1" x14ac:dyDescent="0.2">
      <c r="C63788"/>
      <c r="M63788"/>
    </row>
    <row r="63789" spans="3:13" ht="12.75" customHeight="1" x14ac:dyDescent="0.2">
      <c r="C63789"/>
      <c r="M63789"/>
    </row>
    <row r="63790" spans="3:13" ht="12.75" customHeight="1" x14ac:dyDescent="0.2">
      <c r="C63790"/>
      <c r="M63790"/>
    </row>
    <row r="63791" spans="3:13" ht="12.75" customHeight="1" x14ac:dyDescent="0.2">
      <c r="C63791"/>
      <c r="M63791"/>
    </row>
    <row r="63792" spans="3:13" ht="12.75" customHeight="1" x14ac:dyDescent="0.2">
      <c r="C63792"/>
      <c r="M63792"/>
    </row>
    <row r="63793" spans="3:13" ht="12.75" customHeight="1" x14ac:dyDescent="0.2">
      <c r="C63793"/>
      <c r="M63793"/>
    </row>
    <row r="63794" spans="3:13" ht="12.75" customHeight="1" x14ac:dyDescent="0.2">
      <c r="C63794"/>
      <c r="M63794"/>
    </row>
    <row r="63795" spans="3:13" ht="12.75" customHeight="1" x14ac:dyDescent="0.2">
      <c r="C63795"/>
      <c r="M63795"/>
    </row>
    <row r="63796" spans="3:13" ht="12.75" customHeight="1" x14ac:dyDescent="0.2">
      <c r="C63796"/>
      <c r="M63796"/>
    </row>
    <row r="63797" spans="3:13" ht="12.75" customHeight="1" x14ac:dyDescent="0.2">
      <c r="C63797"/>
      <c r="M63797"/>
    </row>
    <row r="63798" spans="3:13" ht="12.75" customHeight="1" x14ac:dyDescent="0.2">
      <c r="C63798"/>
      <c r="M63798"/>
    </row>
    <row r="63799" spans="3:13" ht="12.75" customHeight="1" x14ac:dyDescent="0.2">
      <c r="C63799"/>
      <c r="M63799"/>
    </row>
    <row r="63800" spans="3:13" ht="12.75" customHeight="1" x14ac:dyDescent="0.2">
      <c r="C63800"/>
      <c r="M63800"/>
    </row>
    <row r="63801" spans="3:13" ht="12.75" customHeight="1" x14ac:dyDescent="0.2">
      <c r="C63801"/>
      <c r="M63801"/>
    </row>
    <row r="63802" spans="3:13" ht="12.75" customHeight="1" x14ac:dyDescent="0.2">
      <c r="C63802"/>
      <c r="M63802"/>
    </row>
    <row r="63803" spans="3:13" ht="12.75" customHeight="1" x14ac:dyDescent="0.2">
      <c r="C63803"/>
      <c r="M63803"/>
    </row>
    <row r="63804" spans="3:13" ht="12.75" customHeight="1" x14ac:dyDescent="0.2">
      <c r="C63804"/>
      <c r="M63804"/>
    </row>
    <row r="63805" spans="3:13" ht="12.75" customHeight="1" x14ac:dyDescent="0.2">
      <c r="C63805"/>
      <c r="M63805"/>
    </row>
    <row r="63806" spans="3:13" ht="12.75" customHeight="1" x14ac:dyDescent="0.2">
      <c r="C63806"/>
      <c r="M63806"/>
    </row>
    <row r="63807" spans="3:13" ht="12.75" customHeight="1" x14ac:dyDescent="0.2">
      <c r="C63807"/>
      <c r="M63807"/>
    </row>
    <row r="63808" spans="3:13" ht="12.75" customHeight="1" x14ac:dyDescent="0.2">
      <c r="C63808"/>
      <c r="M63808"/>
    </row>
    <row r="63809" spans="3:13" ht="12.75" customHeight="1" x14ac:dyDescent="0.2">
      <c r="C63809"/>
      <c r="M63809"/>
    </row>
    <row r="63810" spans="3:13" ht="12.75" customHeight="1" x14ac:dyDescent="0.2">
      <c r="C63810"/>
      <c r="M63810"/>
    </row>
    <row r="63811" spans="3:13" ht="12.75" customHeight="1" x14ac:dyDescent="0.2">
      <c r="C63811"/>
      <c r="M63811"/>
    </row>
    <row r="63812" spans="3:13" ht="12.75" customHeight="1" x14ac:dyDescent="0.2">
      <c r="C63812"/>
      <c r="M63812"/>
    </row>
    <row r="63813" spans="3:13" ht="12.75" customHeight="1" x14ac:dyDescent="0.2">
      <c r="C63813"/>
      <c r="M63813"/>
    </row>
    <row r="63814" spans="3:13" ht="12.75" customHeight="1" x14ac:dyDescent="0.2">
      <c r="C63814"/>
      <c r="M63814"/>
    </row>
    <row r="63815" spans="3:13" ht="12.75" customHeight="1" x14ac:dyDescent="0.2">
      <c r="C63815"/>
      <c r="M63815"/>
    </row>
    <row r="63816" spans="3:13" ht="12.75" customHeight="1" x14ac:dyDescent="0.2">
      <c r="C63816"/>
      <c r="M63816"/>
    </row>
    <row r="63817" spans="3:13" ht="12.75" customHeight="1" x14ac:dyDescent="0.2">
      <c r="C63817"/>
      <c r="M63817"/>
    </row>
    <row r="63818" spans="3:13" ht="12.75" customHeight="1" x14ac:dyDescent="0.2">
      <c r="C63818"/>
      <c r="M63818"/>
    </row>
    <row r="63819" spans="3:13" ht="12.75" customHeight="1" x14ac:dyDescent="0.2">
      <c r="C63819"/>
      <c r="M63819"/>
    </row>
    <row r="63820" spans="3:13" ht="12.75" customHeight="1" x14ac:dyDescent="0.2">
      <c r="C63820"/>
      <c r="M63820"/>
    </row>
    <row r="63821" spans="3:13" ht="12.75" customHeight="1" x14ac:dyDescent="0.2">
      <c r="C63821"/>
      <c r="M63821"/>
    </row>
    <row r="63822" spans="3:13" ht="12.75" customHeight="1" x14ac:dyDescent="0.2">
      <c r="C63822"/>
      <c r="M63822"/>
    </row>
    <row r="63823" spans="3:13" ht="12.75" customHeight="1" x14ac:dyDescent="0.2">
      <c r="C63823"/>
      <c r="M63823"/>
    </row>
    <row r="63824" spans="3:13" ht="12.75" customHeight="1" x14ac:dyDescent="0.2">
      <c r="C63824"/>
      <c r="M63824"/>
    </row>
    <row r="63825" spans="3:13" ht="12.75" customHeight="1" x14ac:dyDescent="0.2">
      <c r="C63825"/>
      <c r="M63825"/>
    </row>
    <row r="63826" spans="3:13" ht="12.75" customHeight="1" x14ac:dyDescent="0.2">
      <c r="C63826"/>
      <c r="M63826"/>
    </row>
    <row r="63827" spans="3:13" ht="12.75" customHeight="1" x14ac:dyDescent="0.2">
      <c r="C63827"/>
      <c r="M63827"/>
    </row>
    <row r="63828" spans="3:13" ht="12.75" customHeight="1" x14ac:dyDescent="0.2">
      <c r="C63828"/>
      <c r="M63828"/>
    </row>
    <row r="63829" spans="3:13" ht="12.75" customHeight="1" x14ac:dyDescent="0.2">
      <c r="C63829"/>
      <c r="M63829"/>
    </row>
    <row r="63830" spans="3:13" ht="12.75" customHeight="1" x14ac:dyDescent="0.2">
      <c r="C63830"/>
      <c r="M63830"/>
    </row>
    <row r="63831" spans="3:13" ht="12.75" customHeight="1" x14ac:dyDescent="0.2">
      <c r="C63831"/>
      <c r="M63831"/>
    </row>
    <row r="63832" spans="3:13" ht="12.75" customHeight="1" x14ac:dyDescent="0.2">
      <c r="C63832"/>
      <c r="M63832"/>
    </row>
    <row r="63833" spans="3:13" ht="12.75" customHeight="1" x14ac:dyDescent="0.2">
      <c r="C63833"/>
      <c r="M63833"/>
    </row>
    <row r="63834" spans="3:13" ht="12.75" customHeight="1" x14ac:dyDescent="0.2">
      <c r="C63834"/>
      <c r="M63834"/>
    </row>
    <row r="63835" spans="3:13" ht="12.75" customHeight="1" x14ac:dyDescent="0.2">
      <c r="C63835"/>
      <c r="M63835"/>
    </row>
    <row r="63836" spans="3:13" ht="12.75" customHeight="1" x14ac:dyDescent="0.2">
      <c r="C63836"/>
      <c r="M63836"/>
    </row>
    <row r="63837" spans="3:13" ht="12.75" customHeight="1" x14ac:dyDescent="0.2">
      <c r="C63837"/>
      <c r="M63837"/>
    </row>
    <row r="63838" spans="3:13" ht="12.75" customHeight="1" x14ac:dyDescent="0.2">
      <c r="C63838"/>
      <c r="M63838"/>
    </row>
    <row r="63839" spans="3:13" ht="12.75" customHeight="1" x14ac:dyDescent="0.2">
      <c r="C63839"/>
      <c r="M63839"/>
    </row>
    <row r="63840" spans="3:13" ht="12.75" customHeight="1" x14ac:dyDescent="0.2">
      <c r="C63840"/>
      <c r="M63840"/>
    </row>
    <row r="63841" spans="3:13" ht="12.75" customHeight="1" x14ac:dyDescent="0.2">
      <c r="C63841"/>
      <c r="M63841"/>
    </row>
    <row r="63842" spans="3:13" ht="12.75" customHeight="1" x14ac:dyDescent="0.2">
      <c r="C63842"/>
      <c r="M63842"/>
    </row>
    <row r="63843" spans="3:13" ht="12.75" customHeight="1" x14ac:dyDescent="0.2">
      <c r="C63843"/>
      <c r="M63843"/>
    </row>
    <row r="63844" spans="3:13" ht="12.75" customHeight="1" x14ac:dyDescent="0.2">
      <c r="C63844"/>
      <c r="M63844"/>
    </row>
    <row r="63845" spans="3:13" ht="12.75" customHeight="1" x14ac:dyDescent="0.2">
      <c r="C63845"/>
      <c r="M63845"/>
    </row>
    <row r="63846" spans="3:13" ht="12.75" customHeight="1" x14ac:dyDescent="0.2">
      <c r="C63846"/>
      <c r="M63846"/>
    </row>
    <row r="63847" spans="3:13" ht="12.75" customHeight="1" x14ac:dyDescent="0.2">
      <c r="C63847"/>
      <c r="M63847"/>
    </row>
    <row r="63848" spans="3:13" ht="12.75" customHeight="1" x14ac:dyDescent="0.2">
      <c r="C63848"/>
      <c r="M63848"/>
    </row>
    <row r="63849" spans="3:13" ht="12.75" customHeight="1" x14ac:dyDescent="0.2">
      <c r="C63849"/>
      <c r="M63849"/>
    </row>
    <row r="63850" spans="3:13" ht="12.75" customHeight="1" x14ac:dyDescent="0.2">
      <c r="C63850"/>
      <c r="M63850"/>
    </row>
    <row r="63851" spans="3:13" ht="12.75" customHeight="1" x14ac:dyDescent="0.2">
      <c r="C63851"/>
      <c r="M63851"/>
    </row>
    <row r="63852" spans="3:13" ht="12.75" customHeight="1" x14ac:dyDescent="0.2">
      <c r="C63852"/>
      <c r="M63852"/>
    </row>
    <row r="63853" spans="3:13" ht="12.75" customHeight="1" x14ac:dyDescent="0.2">
      <c r="C63853"/>
      <c r="M63853"/>
    </row>
    <row r="63854" spans="3:13" ht="12.75" customHeight="1" x14ac:dyDescent="0.2">
      <c r="C63854"/>
      <c r="M63854"/>
    </row>
    <row r="63855" spans="3:13" ht="12.75" customHeight="1" x14ac:dyDescent="0.2">
      <c r="C63855"/>
      <c r="M63855"/>
    </row>
    <row r="63856" spans="3:13" ht="12.75" customHeight="1" x14ac:dyDescent="0.2">
      <c r="C63856"/>
      <c r="M63856"/>
    </row>
    <row r="63857" spans="3:13" ht="12.75" customHeight="1" x14ac:dyDescent="0.2">
      <c r="C63857"/>
      <c r="M63857"/>
    </row>
    <row r="63858" spans="3:13" ht="12.75" customHeight="1" x14ac:dyDescent="0.2">
      <c r="C63858"/>
      <c r="M63858"/>
    </row>
    <row r="63859" spans="3:13" ht="12.75" customHeight="1" x14ac:dyDescent="0.2">
      <c r="C63859"/>
      <c r="M63859"/>
    </row>
    <row r="63860" spans="3:13" ht="12.75" customHeight="1" x14ac:dyDescent="0.2">
      <c r="C63860"/>
      <c r="M63860"/>
    </row>
    <row r="63861" spans="3:13" ht="12.75" customHeight="1" x14ac:dyDescent="0.2">
      <c r="C63861"/>
      <c r="M63861"/>
    </row>
    <row r="63862" spans="3:13" ht="12.75" customHeight="1" x14ac:dyDescent="0.2">
      <c r="C63862"/>
      <c r="M63862"/>
    </row>
    <row r="63863" spans="3:13" ht="12.75" customHeight="1" x14ac:dyDescent="0.2">
      <c r="C63863"/>
      <c r="M63863"/>
    </row>
    <row r="63864" spans="3:13" ht="12.75" customHeight="1" x14ac:dyDescent="0.2">
      <c r="C63864"/>
      <c r="M63864"/>
    </row>
    <row r="63865" spans="3:13" ht="12.75" customHeight="1" x14ac:dyDescent="0.2">
      <c r="C63865"/>
      <c r="M63865"/>
    </row>
    <row r="63866" spans="3:13" ht="12.75" customHeight="1" x14ac:dyDescent="0.2">
      <c r="C63866"/>
      <c r="M63866"/>
    </row>
    <row r="63867" spans="3:13" ht="12.75" customHeight="1" x14ac:dyDescent="0.2">
      <c r="C63867"/>
      <c r="M63867"/>
    </row>
    <row r="63868" spans="3:13" ht="12.75" customHeight="1" x14ac:dyDescent="0.2">
      <c r="C63868"/>
      <c r="M63868"/>
    </row>
    <row r="63869" spans="3:13" ht="12.75" customHeight="1" x14ac:dyDescent="0.2">
      <c r="C63869"/>
      <c r="M63869"/>
    </row>
    <row r="63870" spans="3:13" ht="12.75" customHeight="1" x14ac:dyDescent="0.2">
      <c r="C63870"/>
      <c r="M63870"/>
    </row>
    <row r="63871" spans="3:13" ht="12.75" customHeight="1" x14ac:dyDescent="0.2">
      <c r="C63871"/>
      <c r="M63871"/>
    </row>
    <row r="63872" spans="3:13" ht="12.75" customHeight="1" x14ac:dyDescent="0.2">
      <c r="C63872"/>
      <c r="M63872"/>
    </row>
    <row r="63873" spans="3:13" ht="12.75" customHeight="1" x14ac:dyDescent="0.2">
      <c r="C63873"/>
      <c r="M63873"/>
    </row>
    <row r="63874" spans="3:13" ht="12.75" customHeight="1" x14ac:dyDescent="0.2">
      <c r="C63874"/>
      <c r="M63874"/>
    </row>
    <row r="63875" spans="3:13" ht="12.75" customHeight="1" x14ac:dyDescent="0.2">
      <c r="C63875"/>
      <c r="M63875"/>
    </row>
    <row r="63876" spans="3:13" ht="12.75" customHeight="1" x14ac:dyDescent="0.2">
      <c r="C63876"/>
      <c r="M63876"/>
    </row>
    <row r="63877" spans="3:13" ht="12.75" customHeight="1" x14ac:dyDescent="0.2">
      <c r="C63877"/>
      <c r="M63877"/>
    </row>
    <row r="63878" spans="3:13" ht="12.75" customHeight="1" x14ac:dyDescent="0.2">
      <c r="C63878"/>
      <c r="M63878"/>
    </row>
    <row r="63879" spans="3:13" ht="12.75" customHeight="1" x14ac:dyDescent="0.2">
      <c r="C63879"/>
      <c r="M63879"/>
    </row>
    <row r="63880" spans="3:13" ht="12.75" customHeight="1" x14ac:dyDescent="0.2">
      <c r="C63880"/>
      <c r="M63880"/>
    </row>
    <row r="63881" spans="3:13" ht="12.75" customHeight="1" x14ac:dyDescent="0.2">
      <c r="C63881"/>
      <c r="M63881"/>
    </row>
    <row r="63882" spans="3:13" ht="12.75" customHeight="1" x14ac:dyDescent="0.2">
      <c r="C63882"/>
      <c r="M63882"/>
    </row>
    <row r="63883" spans="3:13" ht="12.75" customHeight="1" x14ac:dyDescent="0.2">
      <c r="C63883"/>
      <c r="M63883"/>
    </row>
    <row r="63884" spans="3:13" ht="12.75" customHeight="1" x14ac:dyDescent="0.2">
      <c r="C63884"/>
      <c r="M63884"/>
    </row>
    <row r="63885" spans="3:13" ht="12.75" customHeight="1" x14ac:dyDescent="0.2">
      <c r="C63885"/>
      <c r="M63885"/>
    </row>
    <row r="63886" spans="3:13" ht="12.75" customHeight="1" x14ac:dyDescent="0.2">
      <c r="C63886"/>
      <c r="M63886"/>
    </row>
    <row r="63887" spans="3:13" ht="12.75" customHeight="1" x14ac:dyDescent="0.2">
      <c r="C63887"/>
      <c r="M63887"/>
    </row>
    <row r="63888" spans="3:13" ht="12.75" customHeight="1" x14ac:dyDescent="0.2">
      <c r="C63888"/>
      <c r="M63888"/>
    </row>
    <row r="63889" spans="3:13" ht="12.75" customHeight="1" x14ac:dyDescent="0.2">
      <c r="C63889"/>
      <c r="M63889"/>
    </row>
    <row r="63890" spans="3:13" ht="12.75" customHeight="1" x14ac:dyDescent="0.2">
      <c r="C63890"/>
      <c r="M63890"/>
    </row>
    <row r="63891" spans="3:13" ht="12.75" customHeight="1" x14ac:dyDescent="0.2">
      <c r="C63891"/>
      <c r="M63891"/>
    </row>
    <row r="63892" spans="3:13" ht="12.75" customHeight="1" x14ac:dyDescent="0.2">
      <c r="C63892"/>
      <c r="M63892"/>
    </row>
    <row r="63893" spans="3:13" ht="12.75" customHeight="1" x14ac:dyDescent="0.2">
      <c r="C63893"/>
      <c r="M63893"/>
    </row>
    <row r="63894" spans="3:13" ht="12.75" customHeight="1" x14ac:dyDescent="0.2">
      <c r="C63894"/>
      <c r="M63894"/>
    </row>
    <row r="63895" spans="3:13" ht="12.75" customHeight="1" x14ac:dyDescent="0.2">
      <c r="C63895"/>
      <c r="M63895"/>
    </row>
    <row r="63896" spans="3:13" ht="12.75" customHeight="1" x14ac:dyDescent="0.2">
      <c r="C63896"/>
      <c r="M63896"/>
    </row>
    <row r="63897" spans="3:13" ht="12.75" customHeight="1" x14ac:dyDescent="0.2">
      <c r="C63897"/>
      <c r="M63897"/>
    </row>
    <row r="63898" spans="3:13" ht="12.75" customHeight="1" x14ac:dyDescent="0.2">
      <c r="C63898"/>
      <c r="M63898"/>
    </row>
    <row r="63899" spans="3:13" ht="12.75" customHeight="1" x14ac:dyDescent="0.2">
      <c r="C63899"/>
      <c r="M63899"/>
    </row>
    <row r="63900" spans="3:13" ht="12.75" customHeight="1" x14ac:dyDescent="0.2">
      <c r="C63900"/>
      <c r="M63900"/>
    </row>
    <row r="63901" spans="3:13" ht="12.75" customHeight="1" x14ac:dyDescent="0.2">
      <c r="C63901"/>
      <c r="M63901"/>
    </row>
    <row r="63902" spans="3:13" ht="12.75" customHeight="1" x14ac:dyDescent="0.2">
      <c r="C63902"/>
      <c r="M63902"/>
    </row>
    <row r="63903" spans="3:13" ht="12.75" customHeight="1" x14ac:dyDescent="0.2">
      <c r="C63903"/>
      <c r="M63903"/>
    </row>
    <row r="63904" spans="3:13" ht="12.75" customHeight="1" x14ac:dyDescent="0.2">
      <c r="C63904"/>
      <c r="M63904"/>
    </row>
    <row r="63905" spans="3:13" ht="12.75" customHeight="1" x14ac:dyDescent="0.2">
      <c r="C63905"/>
      <c r="M63905"/>
    </row>
    <row r="63906" spans="3:13" ht="12.75" customHeight="1" x14ac:dyDescent="0.2">
      <c r="C63906"/>
      <c r="M63906"/>
    </row>
    <row r="63907" spans="3:13" ht="12.75" customHeight="1" x14ac:dyDescent="0.2">
      <c r="C63907"/>
      <c r="M63907"/>
    </row>
    <row r="63908" spans="3:13" ht="12.75" customHeight="1" x14ac:dyDescent="0.2">
      <c r="C63908"/>
      <c r="M63908"/>
    </row>
    <row r="63909" spans="3:13" ht="12.75" customHeight="1" x14ac:dyDescent="0.2">
      <c r="C63909"/>
      <c r="M63909"/>
    </row>
    <row r="63910" spans="3:13" ht="12.75" customHeight="1" x14ac:dyDescent="0.2">
      <c r="C63910"/>
      <c r="M63910"/>
    </row>
    <row r="63911" spans="3:13" ht="12.75" customHeight="1" x14ac:dyDescent="0.2">
      <c r="C63911"/>
      <c r="M63911"/>
    </row>
    <row r="63912" spans="3:13" ht="12.75" customHeight="1" x14ac:dyDescent="0.2">
      <c r="C63912"/>
      <c r="M63912"/>
    </row>
    <row r="63913" spans="3:13" ht="12.75" customHeight="1" x14ac:dyDescent="0.2">
      <c r="C63913"/>
      <c r="M63913"/>
    </row>
    <row r="63914" spans="3:13" ht="12.75" customHeight="1" x14ac:dyDescent="0.2">
      <c r="C63914"/>
      <c r="M63914"/>
    </row>
    <row r="63915" spans="3:13" ht="12.75" customHeight="1" x14ac:dyDescent="0.2">
      <c r="C63915"/>
      <c r="M63915"/>
    </row>
    <row r="63916" spans="3:13" ht="12.75" customHeight="1" x14ac:dyDescent="0.2">
      <c r="C63916"/>
      <c r="M63916"/>
    </row>
    <row r="63917" spans="3:13" ht="12.75" customHeight="1" x14ac:dyDescent="0.2">
      <c r="C63917"/>
      <c r="M63917"/>
    </row>
    <row r="63918" spans="3:13" ht="12.75" customHeight="1" x14ac:dyDescent="0.2">
      <c r="C63918"/>
      <c r="M63918"/>
    </row>
    <row r="63919" spans="3:13" ht="12.75" customHeight="1" x14ac:dyDescent="0.2">
      <c r="C63919"/>
      <c r="M63919"/>
    </row>
    <row r="63920" spans="3:13" ht="12.75" customHeight="1" x14ac:dyDescent="0.2">
      <c r="C63920"/>
      <c r="M63920"/>
    </row>
    <row r="63921" spans="3:13" ht="12.75" customHeight="1" x14ac:dyDescent="0.2">
      <c r="C63921"/>
      <c r="M63921"/>
    </row>
    <row r="63922" spans="3:13" ht="12.75" customHeight="1" x14ac:dyDescent="0.2">
      <c r="C63922"/>
      <c r="M63922"/>
    </row>
    <row r="63923" spans="3:13" ht="12.75" customHeight="1" x14ac:dyDescent="0.2">
      <c r="C63923"/>
      <c r="M63923"/>
    </row>
    <row r="63924" spans="3:13" ht="12.75" customHeight="1" x14ac:dyDescent="0.2">
      <c r="C63924"/>
      <c r="M63924"/>
    </row>
    <row r="63925" spans="3:13" ht="12.75" customHeight="1" x14ac:dyDescent="0.2">
      <c r="C63925"/>
      <c r="M63925"/>
    </row>
    <row r="63926" spans="3:13" ht="12.75" customHeight="1" x14ac:dyDescent="0.2">
      <c r="C63926"/>
      <c r="M63926"/>
    </row>
    <row r="63927" spans="3:13" ht="12.75" customHeight="1" x14ac:dyDescent="0.2">
      <c r="C63927"/>
      <c r="M63927"/>
    </row>
    <row r="63928" spans="3:13" ht="12.75" customHeight="1" x14ac:dyDescent="0.2">
      <c r="C63928"/>
      <c r="M63928"/>
    </row>
    <row r="63929" spans="3:13" ht="12.75" customHeight="1" x14ac:dyDescent="0.2">
      <c r="C63929"/>
      <c r="M63929"/>
    </row>
    <row r="63930" spans="3:13" ht="12.75" customHeight="1" x14ac:dyDescent="0.2">
      <c r="C63930"/>
      <c r="M63930"/>
    </row>
    <row r="63931" spans="3:13" ht="12.75" customHeight="1" x14ac:dyDescent="0.2">
      <c r="C63931"/>
      <c r="M63931"/>
    </row>
    <row r="63932" spans="3:13" ht="12.75" customHeight="1" x14ac:dyDescent="0.2">
      <c r="C63932"/>
      <c r="M63932"/>
    </row>
    <row r="63933" spans="3:13" ht="12.75" customHeight="1" x14ac:dyDescent="0.2">
      <c r="C63933"/>
      <c r="M63933"/>
    </row>
    <row r="63934" spans="3:13" ht="12.75" customHeight="1" x14ac:dyDescent="0.2">
      <c r="C63934"/>
      <c r="M63934"/>
    </row>
    <row r="63935" spans="3:13" ht="12.75" customHeight="1" x14ac:dyDescent="0.2">
      <c r="C63935"/>
      <c r="M63935"/>
    </row>
    <row r="63936" spans="3:13" ht="12.75" customHeight="1" x14ac:dyDescent="0.2">
      <c r="C63936"/>
      <c r="M63936"/>
    </row>
    <row r="63937" spans="3:13" ht="12.75" customHeight="1" x14ac:dyDescent="0.2">
      <c r="C63937"/>
      <c r="M63937"/>
    </row>
    <row r="63938" spans="3:13" ht="12.75" customHeight="1" x14ac:dyDescent="0.2">
      <c r="C63938"/>
      <c r="M63938"/>
    </row>
    <row r="63939" spans="3:13" ht="12.75" customHeight="1" x14ac:dyDescent="0.2">
      <c r="C63939"/>
      <c r="M63939"/>
    </row>
    <row r="63940" spans="3:13" ht="12.75" customHeight="1" x14ac:dyDescent="0.2">
      <c r="C63940"/>
      <c r="M63940"/>
    </row>
    <row r="63941" spans="3:13" ht="12.75" customHeight="1" x14ac:dyDescent="0.2">
      <c r="C63941"/>
      <c r="M63941"/>
    </row>
    <row r="63942" spans="3:13" ht="12.75" customHeight="1" x14ac:dyDescent="0.2">
      <c r="C63942"/>
      <c r="M63942"/>
    </row>
    <row r="63943" spans="3:13" ht="12.75" customHeight="1" x14ac:dyDescent="0.2">
      <c r="C63943"/>
      <c r="M63943"/>
    </row>
    <row r="63944" spans="3:13" ht="12.75" customHeight="1" x14ac:dyDescent="0.2">
      <c r="C63944"/>
      <c r="M63944"/>
    </row>
    <row r="63945" spans="3:13" ht="12.75" customHeight="1" x14ac:dyDescent="0.2">
      <c r="C63945"/>
      <c r="M63945"/>
    </row>
    <row r="63946" spans="3:13" ht="12.75" customHeight="1" x14ac:dyDescent="0.2">
      <c r="C63946"/>
      <c r="M63946"/>
    </row>
    <row r="63947" spans="3:13" ht="12.75" customHeight="1" x14ac:dyDescent="0.2">
      <c r="C63947"/>
      <c r="M63947"/>
    </row>
    <row r="63948" spans="3:13" ht="12.75" customHeight="1" x14ac:dyDescent="0.2">
      <c r="C63948"/>
      <c r="M63948"/>
    </row>
    <row r="63949" spans="3:13" ht="12.75" customHeight="1" x14ac:dyDescent="0.2">
      <c r="C63949"/>
      <c r="M63949"/>
    </row>
    <row r="63950" spans="3:13" ht="12.75" customHeight="1" x14ac:dyDescent="0.2">
      <c r="C63950"/>
      <c r="M63950"/>
    </row>
    <row r="63951" spans="3:13" ht="12.75" customHeight="1" x14ac:dyDescent="0.2">
      <c r="C63951"/>
      <c r="M63951"/>
    </row>
    <row r="63952" spans="3:13" ht="12.75" customHeight="1" x14ac:dyDescent="0.2">
      <c r="C63952"/>
      <c r="M63952"/>
    </row>
    <row r="63953" spans="3:13" ht="12.75" customHeight="1" x14ac:dyDescent="0.2">
      <c r="C63953"/>
      <c r="M63953"/>
    </row>
    <row r="63954" spans="3:13" ht="12.75" customHeight="1" x14ac:dyDescent="0.2">
      <c r="C63954"/>
      <c r="M63954"/>
    </row>
    <row r="63955" spans="3:13" ht="12.75" customHeight="1" x14ac:dyDescent="0.2">
      <c r="C63955"/>
      <c r="M63955"/>
    </row>
    <row r="63956" spans="3:13" ht="12.75" customHeight="1" x14ac:dyDescent="0.2">
      <c r="C63956"/>
      <c r="M63956"/>
    </row>
    <row r="63957" spans="3:13" ht="12.75" customHeight="1" x14ac:dyDescent="0.2">
      <c r="C63957"/>
      <c r="M63957"/>
    </row>
    <row r="63958" spans="3:13" ht="12.75" customHeight="1" x14ac:dyDescent="0.2">
      <c r="C63958"/>
      <c r="M63958"/>
    </row>
    <row r="63959" spans="3:13" ht="12.75" customHeight="1" x14ac:dyDescent="0.2">
      <c r="C63959"/>
      <c r="M63959"/>
    </row>
    <row r="63960" spans="3:13" ht="12.75" customHeight="1" x14ac:dyDescent="0.2">
      <c r="C63960"/>
      <c r="M63960"/>
    </row>
    <row r="63961" spans="3:13" ht="12.75" customHeight="1" x14ac:dyDescent="0.2">
      <c r="C63961"/>
      <c r="M63961"/>
    </row>
    <row r="63962" spans="3:13" ht="12.75" customHeight="1" x14ac:dyDescent="0.2">
      <c r="C63962"/>
      <c r="M63962"/>
    </row>
    <row r="63963" spans="3:13" ht="12.75" customHeight="1" x14ac:dyDescent="0.2">
      <c r="C63963"/>
      <c r="M63963"/>
    </row>
    <row r="63964" spans="3:13" ht="12.75" customHeight="1" x14ac:dyDescent="0.2">
      <c r="C63964"/>
      <c r="M63964"/>
    </row>
    <row r="63965" spans="3:13" ht="12.75" customHeight="1" x14ac:dyDescent="0.2">
      <c r="C63965"/>
      <c r="M63965"/>
    </row>
    <row r="63966" spans="3:13" ht="12.75" customHeight="1" x14ac:dyDescent="0.2">
      <c r="C63966"/>
      <c r="M63966"/>
    </row>
    <row r="63967" spans="3:13" ht="12.75" customHeight="1" x14ac:dyDescent="0.2">
      <c r="C63967"/>
      <c r="M63967"/>
    </row>
    <row r="63968" spans="3:13" ht="12.75" customHeight="1" x14ac:dyDescent="0.2">
      <c r="C63968"/>
      <c r="M63968"/>
    </row>
    <row r="63969" spans="3:13" ht="12.75" customHeight="1" x14ac:dyDescent="0.2">
      <c r="C63969"/>
      <c r="M63969"/>
    </row>
    <row r="63970" spans="3:13" ht="12.75" customHeight="1" x14ac:dyDescent="0.2">
      <c r="C63970"/>
      <c r="M63970"/>
    </row>
    <row r="63971" spans="3:13" ht="12.75" customHeight="1" x14ac:dyDescent="0.2">
      <c r="C63971"/>
      <c r="M63971"/>
    </row>
    <row r="63972" spans="3:13" ht="12.75" customHeight="1" x14ac:dyDescent="0.2">
      <c r="C63972"/>
      <c r="M63972"/>
    </row>
    <row r="63973" spans="3:13" ht="12.75" customHeight="1" x14ac:dyDescent="0.2">
      <c r="C63973"/>
      <c r="M63973"/>
    </row>
    <row r="63974" spans="3:13" ht="12.75" customHeight="1" x14ac:dyDescent="0.2">
      <c r="C63974"/>
      <c r="M63974"/>
    </row>
    <row r="63975" spans="3:13" ht="12.75" customHeight="1" x14ac:dyDescent="0.2">
      <c r="C63975"/>
      <c r="M63975"/>
    </row>
    <row r="63976" spans="3:13" ht="12.75" customHeight="1" x14ac:dyDescent="0.2">
      <c r="C63976"/>
      <c r="M63976"/>
    </row>
    <row r="63977" spans="3:13" ht="12.75" customHeight="1" x14ac:dyDescent="0.2">
      <c r="C63977"/>
      <c r="M63977"/>
    </row>
    <row r="63978" spans="3:13" ht="12.75" customHeight="1" x14ac:dyDescent="0.2">
      <c r="C63978"/>
      <c r="M63978"/>
    </row>
    <row r="63979" spans="3:13" ht="12.75" customHeight="1" x14ac:dyDescent="0.2">
      <c r="C63979"/>
      <c r="M63979"/>
    </row>
    <row r="63980" spans="3:13" ht="12.75" customHeight="1" x14ac:dyDescent="0.2">
      <c r="C63980"/>
      <c r="M63980"/>
    </row>
    <row r="63981" spans="3:13" ht="12.75" customHeight="1" x14ac:dyDescent="0.2">
      <c r="C63981"/>
      <c r="M63981"/>
    </row>
    <row r="63982" spans="3:13" ht="12.75" customHeight="1" x14ac:dyDescent="0.2">
      <c r="C63982"/>
      <c r="M63982"/>
    </row>
    <row r="63983" spans="3:13" ht="12.75" customHeight="1" x14ac:dyDescent="0.2">
      <c r="C63983"/>
      <c r="M63983"/>
    </row>
    <row r="63984" spans="3:13" ht="12.75" customHeight="1" x14ac:dyDescent="0.2">
      <c r="C63984"/>
      <c r="M63984"/>
    </row>
    <row r="63985" spans="3:13" ht="12.75" customHeight="1" x14ac:dyDescent="0.2">
      <c r="C63985"/>
      <c r="M63985"/>
    </row>
    <row r="63986" spans="3:13" ht="12.75" customHeight="1" x14ac:dyDescent="0.2">
      <c r="C63986"/>
      <c r="M63986"/>
    </row>
    <row r="63987" spans="3:13" ht="12.75" customHeight="1" x14ac:dyDescent="0.2">
      <c r="C63987"/>
      <c r="M63987"/>
    </row>
    <row r="63988" spans="3:13" ht="12.75" customHeight="1" x14ac:dyDescent="0.2">
      <c r="C63988"/>
      <c r="M63988"/>
    </row>
    <row r="63989" spans="3:13" ht="12.75" customHeight="1" x14ac:dyDescent="0.2">
      <c r="C63989"/>
      <c r="M63989"/>
    </row>
    <row r="63990" spans="3:13" ht="12.75" customHeight="1" x14ac:dyDescent="0.2">
      <c r="C63990"/>
      <c r="M63990"/>
    </row>
    <row r="63991" spans="3:13" ht="12.75" customHeight="1" x14ac:dyDescent="0.2">
      <c r="C63991"/>
      <c r="M63991"/>
    </row>
    <row r="63992" spans="3:13" ht="12.75" customHeight="1" x14ac:dyDescent="0.2">
      <c r="C63992"/>
      <c r="M63992"/>
    </row>
    <row r="63993" spans="3:13" ht="12.75" customHeight="1" x14ac:dyDescent="0.2">
      <c r="C63993"/>
      <c r="M63993"/>
    </row>
    <row r="63994" spans="3:13" ht="12.75" customHeight="1" x14ac:dyDescent="0.2">
      <c r="C63994"/>
      <c r="M63994"/>
    </row>
    <row r="63995" spans="3:13" ht="12.75" customHeight="1" x14ac:dyDescent="0.2">
      <c r="C63995"/>
      <c r="M63995"/>
    </row>
    <row r="63996" spans="3:13" ht="12.75" customHeight="1" x14ac:dyDescent="0.2">
      <c r="C63996"/>
      <c r="M63996"/>
    </row>
    <row r="63997" spans="3:13" ht="12.75" customHeight="1" x14ac:dyDescent="0.2">
      <c r="C63997"/>
      <c r="M63997"/>
    </row>
    <row r="63998" spans="3:13" ht="12.75" customHeight="1" x14ac:dyDescent="0.2">
      <c r="C63998"/>
      <c r="M63998"/>
    </row>
    <row r="63999" spans="3:13" ht="12.75" customHeight="1" x14ac:dyDescent="0.2">
      <c r="C63999"/>
      <c r="M63999"/>
    </row>
    <row r="64000" spans="3:13" ht="12.75" customHeight="1" x14ac:dyDescent="0.2">
      <c r="C64000"/>
      <c r="M64000"/>
    </row>
    <row r="64001" spans="3:13" ht="12.75" customHeight="1" x14ac:dyDescent="0.2">
      <c r="C64001"/>
      <c r="M64001"/>
    </row>
    <row r="64002" spans="3:13" ht="12.75" customHeight="1" x14ac:dyDescent="0.2">
      <c r="C64002"/>
      <c r="M64002"/>
    </row>
    <row r="64003" spans="3:13" ht="12.75" customHeight="1" x14ac:dyDescent="0.2">
      <c r="C64003"/>
      <c r="M64003"/>
    </row>
    <row r="64004" spans="3:13" ht="12.75" customHeight="1" x14ac:dyDescent="0.2">
      <c r="C64004"/>
      <c r="M64004"/>
    </row>
    <row r="64005" spans="3:13" ht="12.75" customHeight="1" x14ac:dyDescent="0.2">
      <c r="C64005"/>
      <c r="M64005"/>
    </row>
    <row r="64006" spans="3:13" ht="12.75" customHeight="1" x14ac:dyDescent="0.2">
      <c r="C64006"/>
      <c r="M64006"/>
    </row>
    <row r="64007" spans="3:13" ht="12.75" customHeight="1" x14ac:dyDescent="0.2">
      <c r="C64007"/>
      <c r="M64007"/>
    </row>
    <row r="64008" spans="3:13" ht="12.75" customHeight="1" x14ac:dyDescent="0.2">
      <c r="C64008"/>
      <c r="M64008"/>
    </row>
    <row r="64009" spans="3:13" ht="12.75" customHeight="1" x14ac:dyDescent="0.2">
      <c r="C64009"/>
      <c r="M64009"/>
    </row>
    <row r="64010" spans="3:13" ht="12.75" customHeight="1" x14ac:dyDescent="0.2">
      <c r="C64010"/>
      <c r="M64010"/>
    </row>
    <row r="64011" spans="3:13" ht="12.75" customHeight="1" x14ac:dyDescent="0.2">
      <c r="C64011"/>
      <c r="M64011"/>
    </row>
    <row r="64012" spans="3:13" ht="12.75" customHeight="1" x14ac:dyDescent="0.2">
      <c r="C64012"/>
      <c r="M64012"/>
    </row>
    <row r="64013" spans="3:13" ht="12.75" customHeight="1" x14ac:dyDescent="0.2">
      <c r="C64013"/>
      <c r="M64013"/>
    </row>
    <row r="64014" spans="3:13" ht="12.75" customHeight="1" x14ac:dyDescent="0.2">
      <c r="C64014"/>
      <c r="M64014"/>
    </row>
    <row r="64015" spans="3:13" ht="12.75" customHeight="1" x14ac:dyDescent="0.2">
      <c r="C64015"/>
      <c r="M64015"/>
    </row>
    <row r="64016" spans="3:13" ht="12.75" customHeight="1" x14ac:dyDescent="0.2">
      <c r="C64016"/>
      <c r="M64016"/>
    </row>
    <row r="64017" spans="3:13" ht="12.75" customHeight="1" x14ac:dyDescent="0.2">
      <c r="C64017"/>
      <c r="M64017"/>
    </row>
    <row r="64018" spans="3:13" ht="12.75" customHeight="1" x14ac:dyDescent="0.2">
      <c r="C64018"/>
      <c r="M64018"/>
    </row>
    <row r="64019" spans="3:13" ht="12.75" customHeight="1" x14ac:dyDescent="0.2">
      <c r="C64019"/>
      <c r="M64019"/>
    </row>
    <row r="64020" spans="3:13" ht="12.75" customHeight="1" x14ac:dyDescent="0.2">
      <c r="C64020"/>
      <c r="M64020"/>
    </row>
    <row r="64021" spans="3:13" ht="12.75" customHeight="1" x14ac:dyDescent="0.2">
      <c r="C64021"/>
      <c r="M64021"/>
    </row>
    <row r="64022" spans="3:13" ht="12.75" customHeight="1" x14ac:dyDescent="0.2">
      <c r="C64022"/>
      <c r="M64022"/>
    </row>
    <row r="64023" spans="3:13" ht="12.75" customHeight="1" x14ac:dyDescent="0.2">
      <c r="C64023"/>
      <c r="M64023"/>
    </row>
    <row r="64024" spans="3:13" ht="12.75" customHeight="1" x14ac:dyDescent="0.2">
      <c r="C64024"/>
      <c r="M64024"/>
    </row>
    <row r="64025" spans="3:13" ht="12.75" customHeight="1" x14ac:dyDescent="0.2">
      <c r="C64025"/>
      <c r="M64025"/>
    </row>
    <row r="64026" spans="3:13" ht="12.75" customHeight="1" x14ac:dyDescent="0.2">
      <c r="C64026"/>
      <c r="M64026"/>
    </row>
    <row r="64027" spans="3:13" ht="12.75" customHeight="1" x14ac:dyDescent="0.2">
      <c r="C64027"/>
      <c r="M64027"/>
    </row>
    <row r="64028" spans="3:13" ht="12.75" customHeight="1" x14ac:dyDescent="0.2">
      <c r="C64028"/>
      <c r="M64028"/>
    </row>
    <row r="64029" spans="3:13" ht="12.75" customHeight="1" x14ac:dyDescent="0.2">
      <c r="C64029"/>
      <c r="M64029"/>
    </row>
    <row r="64030" spans="3:13" ht="12.75" customHeight="1" x14ac:dyDescent="0.2">
      <c r="C64030"/>
      <c r="M64030"/>
    </row>
    <row r="64031" spans="3:13" ht="12.75" customHeight="1" x14ac:dyDescent="0.2">
      <c r="C64031"/>
      <c r="M64031"/>
    </row>
    <row r="64032" spans="3:13" ht="12.75" customHeight="1" x14ac:dyDescent="0.2">
      <c r="C64032"/>
      <c r="M64032"/>
    </row>
    <row r="64033" spans="3:13" ht="12.75" customHeight="1" x14ac:dyDescent="0.2">
      <c r="C64033"/>
      <c r="M64033"/>
    </row>
    <row r="64034" spans="3:13" ht="12.75" customHeight="1" x14ac:dyDescent="0.2">
      <c r="C64034"/>
      <c r="M64034"/>
    </row>
    <row r="64035" spans="3:13" ht="12.75" customHeight="1" x14ac:dyDescent="0.2">
      <c r="C64035"/>
      <c r="M64035"/>
    </row>
    <row r="64036" spans="3:13" ht="12.75" customHeight="1" x14ac:dyDescent="0.2">
      <c r="C64036"/>
      <c r="M64036"/>
    </row>
    <row r="64037" spans="3:13" ht="12.75" customHeight="1" x14ac:dyDescent="0.2">
      <c r="C64037"/>
      <c r="M64037"/>
    </row>
    <row r="64038" spans="3:13" ht="12.75" customHeight="1" x14ac:dyDescent="0.2">
      <c r="C64038"/>
      <c r="M64038"/>
    </row>
    <row r="64039" spans="3:13" ht="12.75" customHeight="1" x14ac:dyDescent="0.2">
      <c r="C64039"/>
      <c r="M64039"/>
    </row>
    <row r="64040" spans="3:13" ht="12.75" customHeight="1" x14ac:dyDescent="0.2">
      <c r="C64040"/>
      <c r="M64040"/>
    </row>
    <row r="64041" spans="3:13" ht="12.75" customHeight="1" x14ac:dyDescent="0.2">
      <c r="C64041"/>
      <c r="M64041"/>
    </row>
    <row r="64042" spans="3:13" ht="12.75" customHeight="1" x14ac:dyDescent="0.2">
      <c r="C64042"/>
      <c r="M64042"/>
    </row>
    <row r="64043" spans="3:13" ht="12.75" customHeight="1" x14ac:dyDescent="0.2">
      <c r="C64043"/>
      <c r="M64043"/>
    </row>
    <row r="64044" spans="3:13" ht="12.75" customHeight="1" x14ac:dyDescent="0.2">
      <c r="C64044"/>
      <c r="M64044"/>
    </row>
    <row r="64045" spans="3:13" ht="12.75" customHeight="1" x14ac:dyDescent="0.2">
      <c r="C64045"/>
      <c r="M64045"/>
    </row>
    <row r="64046" spans="3:13" ht="12.75" customHeight="1" x14ac:dyDescent="0.2">
      <c r="C64046"/>
      <c r="M64046"/>
    </row>
    <row r="64047" spans="3:13" ht="12.75" customHeight="1" x14ac:dyDescent="0.2">
      <c r="C64047"/>
      <c r="M64047"/>
    </row>
    <row r="64048" spans="3:13" ht="12.75" customHeight="1" x14ac:dyDescent="0.2">
      <c r="C64048"/>
      <c r="M64048"/>
    </row>
    <row r="64049" spans="3:13" ht="12.75" customHeight="1" x14ac:dyDescent="0.2">
      <c r="C64049"/>
      <c r="M64049"/>
    </row>
    <row r="64050" spans="3:13" ht="12.75" customHeight="1" x14ac:dyDescent="0.2">
      <c r="C64050"/>
      <c r="M64050"/>
    </row>
    <row r="64051" spans="3:13" ht="12.75" customHeight="1" x14ac:dyDescent="0.2">
      <c r="C64051"/>
      <c r="M64051"/>
    </row>
    <row r="64052" spans="3:13" ht="12.75" customHeight="1" x14ac:dyDescent="0.2">
      <c r="C64052"/>
      <c r="M64052"/>
    </row>
    <row r="64053" spans="3:13" ht="12.75" customHeight="1" x14ac:dyDescent="0.2">
      <c r="C64053"/>
      <c r="M64053"/>
    </row>
    <row r="64054" spans="3:13" ht="12.75" customHeight="1" x14ac:dyDescent="0.2">
      <c r="C64054"/>
      <c r="M64054"/>
    </row>
    <row r="64055" spans="3:13" ht="12.75" customHeight="1" x14ac:dyDescent="0.2">
      <c r="C64055"/>
      <c r="M64055"/>
    </row>
    <row r="64056" spans="3:13" ht="12.75" customHeight="1" x14ac:dyDescent="0.2">
      <c r="C64056"/>
      <c r="M64056"/>
    </row>
    <row r="64057" spans="3:13" ht="12.75" customHeight="1" x14ac:dyDescent="0.2">
      <c r="C64057"/>
      <c r="M64057"/>
    </row>
    <row r="64058" spans="3:13" ht="12.75" customHeight="1" x14ac:dyDescent="0.2">
      <c r="C64058"/>
      <c r="M64058"/>
    </row>
    <row r="64059" spans="3:13" ht="12.75" customHeight="1" x14ac:dyDescent="0.2">
      <c r="C64059"/>
      <c r="M64059"/>
    </row>
    <row r="64060" spans="3:13" ht="12.75" customHeight="1" x14ac:dyDescent="0.2">
      <c r="C64060"/>
      <c r="M64060"/>
    </row>
    <row r="64061" spans="3:13" ht="12.75" customHeight="1" x14ac:dyDescent="0.2">
      <c r="C64061"/>
      <c r="M64061"/>
    </row>
    <row r="64062" spans="3:13" ht="12.75" customHeight="1" x14ac:dyDescent="0.2">
      <c r="C64062"/>
      <c r="M64062"/>
    </row>
    <row r="64063" spans="3:13" ht="12.75" customHeight="1" x14ac:dyDescent="0.2">
      <c r="C64063"/>
      <c r="M64063"/>
    </row>
    <row r="64064" spans="3:13" ht="12.75" customHeight="1" x14ac:dyDescent="0.2">
      <c r="C64064"/>
      <c r="M64064"/>
    </row>
    <row r="64065" spans="3:13" ht="12.75" customHeight="1" x14ac:dyDescent="0.2">
      <c r="C64065"/>
      <c r="M64065"/>
    </row>
    <row r="64066" spans="3:13" ht="12.75" customHeight="1" x14ac:dyDescent="0.2">
      <c r="C64066"/>
      <c r="M64066"/>
    </row>
    <row r="64067" spans="3:13" ht="12.75" customHeight="1" x14ac:dyDescent="0.2">
      <c r="C64067"/>
      <c r="M64067"/>
    </row>
    <row r="64068" spans="3:13" ht="12.75" customHeight="1" x14ac:dyDescent="0.2">
      <c r="C64068"/>
      <c r="M64068"/>
    </row>
    <row r="64069" spans="3:13" ht="12.75" customHeight="1" x14ac:dyDescent="0.2">
      <c r="C64069"/>
      <c r="M64069"/>
    </row>
    <row r="64070" spans="3:13" ht="12.75" customHeight="1" x14ac:dyDescent="0.2">
      <c r="C64070"/>
      <c r="M64070"/>
    </row>
    <row r="64071" spans="3:13" ht="12.75" customHeight="1" x14ac:dyDescent="0.2">
      <c r="C64071"/>
      <c r="M64071"/>
    </row>
    <row r="64072" spans="3:13" ht="12.75" customHeight="1" x14ac:dyDescent="0.2">
      <c r="C64072"/>
      <c r="M64072"/>
    </row>
    <row r="64073" spans="3:13" ht="12.75" customHeight="1" x14ac:dyDescent="0.2">
      <c r="C64073"/>
      <c r="M64073"/>
    </row>
    <row r="64074" spans="3:13" ht="12.75" customHeight="1" x14ac:dyDescent="0.2">
      <c r="C64074"/>
      <c r="M64074"/>
    </row>
    <row r="64075" spans="3:13" ht="12.75" customHeight="1" x14ac:dyDescent="0.2">
      <c r="C64075"/>
      <c r="M64075"/>
    </row>
    <row r="64076" spans="3:13" ht="12.75" customHeight="1" x14ac:dyDescent="0.2">
      <c r="C64076"/>
      <c r="M64076"/>
    </row>
    <row r="64077" spans="3:13" ht="12.75" customHeight="1" x14ac:dyDescent="0.2">
      <c r="C64077"/>
      <c r="M64077"/>
    </row>
    <row r="64078" spans="3:13" ht="12.75" customHeight="1" x14ac:dyDescent="0.2">
      <c r="C64078"/>
      <c r="M64078"/>
    </row>
    <row r="64079" spans="3:13" ht="12.75" customHeight="1" x14ac:dyDescent="0.2">
      <c r="C64079"/>
      <c r="M64079"/>
    </row>
    <row r="64080" spans="3:13" ht="12.75" customHeight="1" x14ac:dyDescent="0.2">
      <c r="C64080"/>
      <c r="M64080"/>
    </row>
    <row r="64081" spans="3:13" ht="12.75" customHeight="1" x14ac:dyDescent="0.2">
      <c r="C64081"/>
      <c r="M64081"/>
    </row>
    <row r="64082" spans="3:13" ht="12.75" customHeight="1" x14ac:dyDescent="0.2">
      <c r="C64082"/>
      <c r="M64082"/>
    </row>
    <row r="64083" spans="3:13" ht="12.75" customHeight="1" x14ac:dyDescent="0.2">
      <c r="C64083"/>
      <c r="M64083"/>
    </row>
    <row r="64084" spans="3:13" ht="12.75" customHeight="1" x14ac:dyDescent="0.2">
      <c r="C64084"/>
      <c r="M64084"/>
    </row>
    <row r="64085" spans="3:13" ht="12.75" customHeight="1" x14ac:dyDescent="0.2">
      <c r="C64085"/>
      <c r="M64085"/>
    </row>
    <row r="64086" spans="3:13" ht="12.75" customHeight="1" x14ac:dyDescent="0.2">
      <c r="C64086"/>
      <c r="M64086"/>
    </row>
    <row r="64087" spans="3:13" ht="12.75" customHeight="1" x14ac:dyDescent="0.2">
      <c r="C64087"/>
      <c r="M64087"/>
    </row>
    <row r="64088" spans="3:13" ht="12.75" customHeight="1" x14ac:dyDescent="0.2">
      <c r="C64088"/>
      <c r="M64088"/>
    </row>
    <row r="64089" spans="3:13" ht="12.75" customHeight="1" x14ac:dyDescent="0.2">
      <c r="C64089"/>
      <c r="M64089"/>
    </row>
    <row r="64090" spans="3:13" ht="12.75" customHeight="1" x14ac:dyDescent="0.2">
      <c r="C64090"/>
      <c r="M64090"/>
    </row>
    <row r="64091" spans="3:13" ht="12.75" customHeight="1" x14ac:dyDescent="0.2">
      <c r="C64091"/>
      <c r="M64091"/>
    </row>
    <row r="64092" spans="3:13" ht="12.75" customHeight="1" x14ac:dyDescent="0.2">
      <c r="C64092"/>
      <c r="M64092"/>
    </row>
    <row r="64093" spans="3:13" ht="12.75" customHeight="1" x14ac:dyDescent="0.2">
      <c r="C64093"/>
      <c r="M64093"/>
    </row>
    <row r="64094" spans="3:13" ht="12.75" customHeight="1" x14ac:dyDescent="0.2">
      <c r="C64094"/>
      <c r="M64094"/>
    </row>
    <row r="64095" spans="3:13" ht="12.75" customHeight="1" x14ac:dyDescent="0.2">
      <c r="C64095"/>
      <c r="M64095"/>
    </row>
    <row r="64096" spans="3:13" ht="12.75" customHeight="1" x14ac:dyDescent="0.2">
      <c r="C64096"/>
      <c r="M64096"/>
    </row>
    <row r="64097" spans="3:13" ht="12.75" customHeight="1" x14ac:dyDescent="0.2">
      <c r="C64097"/>
      <c r="M64097"/>
    </row>
    <row r="64098" spans="3:13" ht="12.75" customHeight="1" x14ac:dyDescent="0.2">
      <c r="C64098"/>
      <c r="M64098"/>
    </row>
    <row r="64099" spans="3:13" ht="12.75" customHeight="1" x14ac:dyDescent="0.2">
      <c r="C64099"/>
      <c r="M64099"/>
    </row>
    <row r="64100" spans="3:13" ht="12.75" customHeight="1" x14ac:dyDescent="0.2">
      <c r="C64100"/>
      <c r="M64100"/>
    </row>
    <row r="64101" spans="3:13" ht="12.75" customHeight="1" x14ac:dyDescent="0.2">
      <c r="C64101"/>
      <c r="M64101"/>
    </row>
    <row r="64102" spans="3:13" ht="12.75" customHeight="1" x14ac:dyDescent="0.2">
      <c r="C64102"/>
      <c r="M64102"/>
    </row>
    <row r="64103" spans="3:13" ht="12.75" customHeight="1" x14ac:dyDescent="0.2">
      <c r="C64103"/>
      <c r="M64103"/>
    </row>
    <row r="64104" spans="3:13" ht="12.75" customHeight="1" x14ac:dyDescent="0.2">
      <c r="C64104"/>
      <c r="M64104"/>
    </row>
    <row r="64105" spans="3:13" ht="12.75" customHeight="1" x14ac:dyDescent="0.2">
      <c r="C64105"/>
      <c r="M64105"/>
    </row>
    <row r="64106" spans="3:13" ht="12.75" customHeight="1" x14ac:dyDescent="0.2">
      <c r="C64106"/>
      <c r="M64106"/>
    </row>
    <row r="64107" spans="3:13" ht="12.75" customHeight="1" x14ac:dyDescent="0.2">
      <c r="C64107"/>
      <c r="M64107"/>
    </row>
    <row r="64108" spans="3:13" ht="12.75" customHeight="1" x14ac:dyDescent="0.2">
      <c r="C64108"/>
      <c r="M64108"/>
    </row>
    <row r="64109" spans="3:13" ht="12.75" customHeight="1" x14ac:dyDescent="0.2">
      <c r="C64109"/>
      <c r="M64109"/>
    </row>
    <row r="64110" spans="3:13" ht="12.75" customHeight="1" x14ac:dyDescent="0.2">
      <c r="C64110"/>
      <c r="M64110"/>
    </row>
    <row r="64111" spans="3:13" ht="12.75" customHeight="1" x14ac:dyDescent="0.2">
      <c r="C64111"/>
      <c r="M64111"/>
    </row>
    <row r="64112" spans="3:13" ht="12.75" customHeight="1" x14ac:dyDescent="0.2">
      <c r="C64112"/>
      <c r="M64112"/>
    </row>
    <row r="64113" spans="3:13" ht="12.75" customHeight="1" x14ac:dyDescent="0.2">
      <c r="C64113"/>
      <c r="M64113"/>
    </row>
    <row r="64114" spans="3:13" ht="12.75" customHeight="1" x14ac:dyDescent="0.2">
      <c r="C64114"/>
      <c r="M64114"/>
    </row>
    <row r="64115" spans="3:13" ht="12.75" customHeight="1" x14ac:dyDescent="0.2">
      <c r="C64115"/>
      <c r="M64115"/>
    </row>
    <row r="64116" spans="3:13" ht="12.75" customHeight="1" x14ac:dyDescent="0.2">
      <c r="C64116"/>
      <c r="M64116"/>
    </row>
    <row r="64117" spans="3:13" ht="12.75" customHeight="1" x14ac:dyDescent="0.2">
      <c r="C64117"/>
      <c r="M64117"/>
    </row>
    <row r="64118" spans="3:13" ht="12.75" customHeight="1" x14ac:dyDescent="0.2">
      <c r="C64118"/>
      <c r="M64118"/>
    </row>
    <row r="64119" spans="3:13" ht="12.75" customHeight="1" x14ac:dyDescent="0.2">
      <c r="C64119"/>
      <c r="M64119"/>
    </row>
    <row r="64120" spans="3:13" ht="12.75" customHeight="1" x14ac:dyDescent="0.2">
      <c r="C64120"/>
      <c r="M64120"/>
    </row>
    <row r="64121" spans="3:13" ht="12.75" customHeight="1" x14ac:dyDescent="0.2">
      <c r="C64121"/>
      <c r="M64121"/>
    </row>
    <row r="64122" spans="3:13" ht="12.75" customHeight="1" x14ac:dyDescent="0.2">
      <c r="C64122"/>
      <c r="M64122"/>
    </row>
    <row r="64123" spans="3:13" ht="12.75" customHeight="1" x14ac:dyDescent="0.2">
      <c r="C64123"/>
      <c r="M64123"/>
    </row>
    <row r="64124" spans="3:13" ht="12.75" customHeight="1" x14ac:dyDescent="0.2">
      <c r="C64124"/>
      <c r="M64124"/>
    </row>
    <row r="64125" spans="3:13" ht="12.75" customHeight="1" x14ac:dyDescent="0.2">
      <c r="C64125"/>
      <c r="M64125"/>
    </row>
    <row r="64126" spans="3:13" ht="12.75" customHeight="1" x14ac:dyDescent="0.2">
      <c r="C64126"/>
      <c r="M64126"/>
    </row>
    <row r="64127" spans="3:13" ht="12.75" customHeight="1" x14ac:dyDescent="0.2">
      <c r="C64127"/>
      <c r="M64127"/>
    </row>
    <row r="64128" spans="3:13" ht="12.75" customHeight="1" x14ac:dyDescent="0.2">
      <c r="C64128"/>
      <c r="M64128"/>
    </row>
    <row r="64129" spans="3:13" ht="12.75" customHeight="1" x14ac:dyDescent="0.2">
      <c r="C64129"/>
      <c r="M64129"/>
    </row>
    <row r="64130" spans="3:13" ht="12.75" customHeight="1" x14ac:dyDescent="0.2">
      <c r="C64130"/>
      <c r="M64130"/>
    </row>
    <row r="64131" spans="3:13" ht="12.75" customHeight="1" x14ac:dyDescent="0.2">
      <c r="C64131"/>
      <c r="M64131"/>
    </row>
    <row r="64132" spans="3:13" ht="12.75" customHeight="1" x14ac:dyDescent="0.2">
      <c r="C64132"/>
      <c r="M64132"/>
    </row>
    <row r="64133" spans="3:13" ht="12.75" customHeight="1" x14ac:dyDescent="0.2">
      <c r="C64133"/>
      <c r="M64133"/>
    </row>
    <row r="64134" spans="3:13" ht="12.75" customHeight="1" x14ac:dyDescent="0.2">
      <c r="C64134"/>
      <c r="M64134"/>
    </row>
    <row r="64135" spans="3:13" ht="12.75" customHeight="1" x14ac:dyDescent="0.2">
      <c r="C64135"/>
      <c r="M64135"/>
    </row>
    <row r="64136" spans="3:13" ht="12.75" customHeight="1" x14ac:dyDescent="0.2">
      <c r="C64136"/>
      <c r="M64136"/>
    </row>
    <row r="64137" spans="3:13" ht="12.75" customHeight="1" x14ac:dyDescent="0.2">
      <c r="C64137"/>
      <c r="M64137"/>
    </row>
    <row r="64138" spans="3:13" ht="12.75" customHeight="1" x14ac:dyDescent="0.2">
      <c r="C64138"/>
      <c r="M64138"/>
    </row>
    <row r="64139" spans="3:13" ht="12.75" customHeight="1" x14ac:dyDescent="0.2">
      <c r="C64139"/>
      <c r="M64139"/>
    </row>
    <row r="64140" spans="3:13" ht="12.75" customHeight="1" x14ac:dyDescent="0.2">
      <c r="C64140"/>
      <c r="M64140"/>
    </row>
    <row r="64141" spans="3:13" ht="12.75" customHeight="1" x14ac:dyDescent="0.2">
      <c r="C64141"/>
      <c r="M64141"/>
    </row>
    <row r="64142" spans="3:13" ht="12.75" customHeight="1" x14ac:dyDescent="0.2">
      <c r="C64142"/>
      <c r="M64142"/>
    </row>
    <row r="64143" spans="3:13" ht="12.75" customHeight="1" x14ac:dyDescent="0.2">
      <c r="C64143"/>
      <c r="M64143"/>
    </row>
    <row r="64144" spans="3:13" ht="12.75" customHeight="1" x14ac:dyDescent="0.2">
      <c r="C64144"/>
      <c r="M64144"/>
    </row>
    <row r="64145" spans="3:13" ht="12.75" customHeight="1" x14ac:dyDescent="0.2">
      <c r="C64145"/>
      <c r="M64145"/>
    </row>
    <row r="64146" spans="3:13" ht="12.75" customHeight="1" x14ac:dyDescent="0.2">
      <c r="C64146"/>
      <c r="M64146"/>
    </row>
    <row r="64147" spans="3:13" ht="12.75" customHeight="1" x14ac:dyDescent="0.2">
      <c r="C64147"/>
      <c r="M64147"/>
    </row>
    <row r="64148" spans="3:13" ht="12.75" customHeight="1" x14ac:dyDescent="0.2">
      <c r="C64148"/>
      <c r="M64148"/>
    </row>
    <row r="64149" spans="3:13" ht="12.75" customHeight="1" x14ac:dyDescent="0.2">
      <c r="C64149"/>
      <c r="M64149"/>
    </row>
    <row r="64150" spans="3:13" ht="12.75" customHeight="1" x14ac:dyDescent="0.2">
      <c r="C64150"/>
      <c r="M64150"/>
    </row>
    <row r="64151" spans="3:13" ht="12.75" customHeight="1" x14ac:dyDescent="0.2">
      <c r="C64151"/>
      <c r="M64151"/>
    </row>
    <row r="64152" spans="3:13" ht="12.75" customHeight="1" x14ac:dyDescent="0.2">
      <c r="C64152"/>
      <c r="M64152"/>
    </row>
    <row r="64153" spans="3:13" ht="12.75" customHeight="1" x14ac:dyDescent="0.2">
      <c r="C64153"/>
      <c r="M64153"/>
    </row>
    <row r="64154" spans="3:13" ht="12.75" customHeight="1" x14ac:dyDescent="0.2">
      <c r="C64154"/>
      <c r="M64154"/>
    </row>
    <row r="64155" spans="3:13" ht="12.75" customHeight="1" x14ac:dyDescent="0.2">
      <c r="C64155"/>
      <c r="M64155"/>
    </row>
    <row r="64156" spans="3:13" ht="12.75" customHeight="1" x14ac:dyDescent="0.2">
      <c r="C64156"/>
      <c r="M64156"/>
    </row>
    <row r="64157" spans="3:13" ht="12.75" customHeight="1" x14ac:dyDescent="0.2">
      <c r="C64157"/>
      <c r="M64157"/>
    </row>
    <row r="64158" spans="3:13" ht="12.75" customHeight="1" x14ac:dyDescent="0.2">
      <c r="C64158"/>
      <c r="M64158"/>
    </row>
    <row r="64159" spans="3:13" ht="12.75" customHeight="1" x14ac:dyDescent="0.2">
      <c r="C64159"/>
      <c r="M64159"/>
    </row>
    <row r="64160" spans="3:13" ht="12.75" customHeight="1" x14ac:dyDescent="0.2">
      <c r="C64160"/>
      <c r="M64160"/>
    </row>
    <row r="64161" spans="3:13" ht="12.75" customHeight="1" x14ac:dyDescent="0.2">
      <c r="C64161"/>
      <c r="M64161"/>
    </row>
    <row r="64162" spans="3:13" ht="12.75" customHeight="1" x14ac:dyDescent="0.2">
      <c r="C64162"/>
      <c r="M64162"/>
    </row>
    <row r="64163" spans="3:13" ht="12.75" customHeight="1" x14ac:dyDescent="0.2">
      <c r="C64163"/>
      <c r="M64163"/>
    </row>
    <row r="64164" spans="3:13" ht="12.75" customHeight="1" x14ac:dyDescent="0.2">
      <c r="C64164"/>
      <c r="M64164"/>
    </row>
    <row r="64165" spans="3:13" ht="12.75" customHeight="1" x14ac:dyDescent="0.2">
      <c r="C64165"/>
      <c r="M64165"/>
    </row>
    <row r="64166" spans="3:13" ht="12.75" customHeight="1" x14ac:dyDescent="0.2">
      <c r="C64166"/>
      <c r="M64166"/>
    </row>
    <row r="64167" spans="3:13" ht="12.75" customHeight="1" x14ac:dyDescent="0.2">
      <c r="C64167"/>
      <c r="M64167"/>
    </row>
    <row r="64168" spans="3:13" ht="12.75" customHeight="1" x14ac:dyDescent="0.2">
      <c r="C64168"/>
      <c r="M64168"/>
    </row>
    <row r="64169" spans="3:13" ht="12.75" customHeight="1" x14ac:dyDescent="0.2">
      <c r="C64169"/>
      <c r="M64169"/>
    </row>
    <row r="64170" spans="3:13" ht="12.75" customHeight="1" x14ac:dyDescent="0.2">
      <c r="C64170"/>
      <c r="M64170"/>
    </row>
    <row r="64171" spans="3:13" ht="12.75" customHeight="1" x14ac:dyDescent="0.2">
      <c r="C64171"/>
      <c r="M64171"/>
    </row>
    <row r="64172" spans="3:13" ht="12.75" customHeight="1" x14ac:dyDescent="0.2">
      <c r="C64172"/>
      <c r="M64172"/>
    </row>
    <row r="64173" spans="3:13" ht="12.75" customHeight="1" x14ac:dyDescent="0.2">
      <c r="C64173"/>
      <c r="M64173"/>
    </row>
    <row r="64174" spans="3:13" ht="12.75" customHeight="1" x14ac:dyDescent="0.2">
      <c r="C64174"/>
      <c r="M64174"/>
    </row>
    <row r="64175" spans="3:13" ht="12.75" customHeight="1" x14ac:dyDescent="0.2">
      <c r="C64175"/>
      <c r="M64175"/>
    </row>
    <row r="64176" spans="3:13" ht="12.75" customHeight="1" x14ac:dyDescent="0.2">
      <c r="C64176"/>
      <c r="M64176"/>
    </row>
    <row r="64177" spans="3:13" ht="12.75" customHeight="1" x14ac:dyDescent="0.2">
      <c r="C64177"/>
      <c r="M64177"/>
    </row>
    <row r="64178" spans="3:13" ht="12.75" customHeight="1" x14ac:dyDescent="0.2">
      <c r="C64178"/>
      <c r="M64178"/>
    </row>
    <row r="64179" spans="3:13" ht="12.75" customHeight="1" x14ac:dyDescent="0.2">
      <c r="C64179"/>
      <c r="M64179"/>
    </row>
    <row r="64180" spans="3:13" ht="12.75" customHeight="1" x14ac:dyDescent="0.2">
      <c r="C64180"/>
      <c r="M64180"/>
    </row>
    <row r="64181" spans="3:13" ht="12.75" customHeight="1" x14ac:dyDescent="0.2">
      <c r="C64181"/>
      <c r="M64181"/>
    </row>
    <row r="64182" spans="3:13" ht="12.75" customHeight="1" x14ac:dyDescent="0.2">
      <c r="C64182"/>
      <c r="M64182"/>
    </row>
    <row r="64183" spans="3:13" ht="12.75" customHeight="1" x14ac:dyDescent="0.2">
      <c r="C64183"/>
      <c r="M64183"/>
    </row>
    <row r="64184" spans="3:13" ht="12.75" customHeight="1" x14ac:dyDescent="0.2">
      <c r="C64184"/>
      <c r="M64184"/>
    </row>
    <row r="64185" spans="3:13" ht="12.75" customHeight="1" x14ac:dyDescent="0.2">
      <c r="C64185"/>
      <c r="M64185"/>
    </row>
    <row r="64186" spans="3:13" ht="12.75" customHeight="1" x14ac:dyDescent="0.2">
      <c r="C64186"/>
      <c r="M64186"/>
    </row>
    <row r="64187" spans="3:13" ht="12.75" customHeight="1" x14ac:dyDescent="0.2">
      <c r="C64187"/>
      <c r="M64187"/>
    </row>
    <row r="64188" spans="3:13" ht="12.75" customHeight="1" x14ac:dyDescent="0.2">
      <c r="C64188"/>
      <c r="M64188"/>
    </row>
    <row r="64189" spans="3:13" ht="12.75" customHeight="1" x14ac:dyDescent="0.2">
      <c r="C64189"/>
      <c r="M64189"/>
    </row>
    <row r="64190" spans="3:13" ht="12.75" customHeight="1" x14ac:dyDescent="0.2">
      <c r="C64190"/>
      <c r="M64190"/>
    </row>
    <row r="64191" spans="3:13" ht="12.75" customHeight="1" x14ac:dyDescent="0.2">
      <c r="C64191"/>
      <c r="M64191"/>
    </row>
    <row r="64192" spans="3:13" ht="12.75" customHeight="1" x14ac:dyDescent="0.2">
      <c r="C64192"/>
      <c r="M64192"/>
    </row>
    <row r="64193" spans="3:13" ht="12.75" customHeight="1" x14ac:dyDescent="0.2">
      <c r="C64193"/>
      <c r="M64193"/>
    </row>
    <row r="64194" spans="3:13" ht="12.75" customHeight="1" x14ac:dyDescent="0.2">
      <c r="C64194"/>
      <c r="M64194"/>
    </row>
    <row r="64195" spans="3:13" ht="12.75" customHeight="1" x14ac:dyDescent="0.2">
      <c r="C64195"/>
      <c r="M64195"/>
    </row>
    <row r="64196" spans="3:13" ht="12.75" customHeight="1" x14ac:dyDescent="0.2">
      <c r="C64196"/>
      <c r="M64196"/>
    </row>
    <row r="64197" spans="3:13" ht="12.75" customHeight="1" x14ac:dyDescent="0.2">
      <c r="C64197"/>
      <c r="M64197"/>
    </row>
    <row r="64198" spans="3:13" ht="12.75" customHeight="1" x14ac:dyDescent="0.2">
      <c r="C64198"/>
      <c r="M64198"/>
    </row>
    <row r="64199" spans="3:13" ht="12.75" customHeight="1" x14ac:dyDescent="0.2">
      <c r="C64199"/>
      <c r="M64199"/>
    </row>
    <row r="64200" spans="3:13" ht="12.75" customHeight="1" x14ac:dyDescent="0.2">
      <c r="C64200"/>
      <c r="M64200"/>
    </row>
    <row r="64201" spans="3:13" ht="12.75" customHeight="1" x14ac:dyDescent="0.2">
      <c r="C64201"/>
      <c r="M64201"/>
    </row>
    <row r="64202" spans="3:13" ht="12.75" customHeight="1" x14ac:dyDescent="0.2">
      <c r="C64202"/>
      <c r="M64202"/>
    </row>
    <row r="64203" spans="3:13" ht="12.75" customHeight="1" x14ac:dyDescent="0.2">
      <c r="C64203"/>
      <c r="M64203"/>
    </row>
    <row r="64204" spans="3:13" ht="12.75" customHeight="1" x14ac:dyDescent="0.2">
      <c r="C64204"/>
      <c r="M64204"/>
    </row>
    <row r="64205" spans="3:13" ht="12.75" customHeight="1" x14ac:dyDescent="0.2">
      <c r="C64205"/>
      <c r="M64205"/>
    </row>
    <row r="64206" spans="3:13" ht="12.75" customHeight="1" x14ac:dyDescent="0.2">
      <c r="C64206"/>
      <c r="M64206"/>
    </row>
    <row r="64207" spans="3:13" ht="12.75" customHeight="1" x14ac:dyDescent="0.2">
      <c r="C64207"/>
      <c r="M64207"/>
    </row>
    <row r="64208" spans="3:13" ht="12.75" customHeight="1" x14ac:dyDescent="0.2">
      <c r="C64208"/>
      <c r="M64208"/>
    </row>
    <row r="64209" spans="3:13" ht="12.75" customHeight="1" x14ac:dyDescent="0.2">
      <c r="C64209"/>
      <c r="M64209"/>
    </row>
    <row r="64210" spans="3:13" ht="12.75" customHeight="1" x14ac:dyDescent="0.2">
      <c r="C64210"/>
      <c r="M64210"/>
    </row>
    <row r="64211" spans="3:13" ht="12.75" customHeight="1" x14ac:dyDescent="0.2">
      <c r="C64211"/>
      <c r="M64211"/>
    </row>
    <row r="64212" spans="3:13" ht="12.75" customHeight="1" x14ac:dyDescent="0.2">
      <c r="C64212"/>
      <c r="M64212"/>
    </row>
    <row r="64213" spans="3:13" ht="12.75" customHeight="1" x14ac:dyDescent="0.2">
      <c r="C64213"/>
      <c r="M64213"/>
    </row>
    <row r="64214" spans="3:13" ht="12.75" customHeight="1" x14ac:dyDescent="0.2">
      <c r="C64214"/>
      <c r="M64214"/>
    </row>
    <row r="64215" spans="3:13" ht="12.75" customHeight="1" x14ac:dyDescent="0.2">
      <c r="C64215"/>
      <c r="M64215"/>
    </row>
    <row r="64216" spans="3:13" ht="12.75" customHeight="1" x14ac:dyDescent="0.2">
      <c r="C64216"/>
      <c r="M64216"/>
    </row>
    <row r="64217" spans="3:13" ht="12.75" customHeight="1" x14ac:dyDescent="0.2">
      <c r="C64217"/>
      <c r="M64217"/>
    </row>
    <row r="64218" spans="3:13" ht="12.75" customHeight="1" x14ac:dyDescent="0.2">
      <c r="C64218"/>
      <c r="M64218"/>
    </row>
    <row r="64219" spans="3:13" ht="12.75" customHeight="1" x14ac:dyDescent="0.2">
      <c r="C64219"/>
      <c r="M64219"/>
    </row>
    <row r="64220" spans="3:13" ht="12.75" customHeight="1" x14ac:dyDescent="0.2">
      <c r="C64220"/>
      <c r="M64220"/>
    </row>
    <row r="64221" spans="3:13" ht="12.75" customHeight="1" x14ac:dyDescent="0.2">
      <c r="C64221"/>
      <c r="M64221"/>
    </row>
    <row r="64222" spans="3:13" ht="12.75" customHeight="1" x14ac:dyDescent="0.2">
      <c r="C64222"/>
      <c r="M64222"/>
    </row>
    <row r="64223" spans="3:13" ht="12.75" customHeight="1" x14ac:dyDescent="0.2">
      <c r="C64223"/>
      <c r="M64223"/>
    </row>
    <row r="64224" spans="3:13" ht="12.75" customHeight="1" x14ac:dyDescent="0.2">
      <c r="C64224"/>
      <c r="M64224"/>
    </row>
    <row r="64225" spans="3:13" ht="12.75" customHeight="1" x14ac:dyDescent="0.2">
      <c r="C64225"/>
      <c r="M64225"/>
    </row>
    <row r="64226" spans="3:13" ht="12.75" customHeight="1" x14ac:dyDescent="0.2">
      <c r="C64226"/>
      <c r="M64226"/>
    </row>
    <row r="64227" spans="3:13" ht="12.75" customHeight="1" x14ac:dyDescent="0.2">
      <c r="C64227"/>
      <c r="M64227"/>
    </row>
    <row r="64228" spans="3:13" ht="12.75" customHeight="1" x14ac:dyDescent="0.2">
      <c r="C64228"/>
      <c r="M64228"/>
    </row>
    <row r="64229" spans="3:13" ht="12.75" customHeight="1" x14ac:dyDescent="0.2">
      <c r="C64229"/>
      <c r="M64229"/>
    </row>
    <row r="64230" spans="3:13" ht="12.75" customHeight="1" x14ac:dyDescent="0.2">
      <c r="C64230"/>
      <c r="M64230"/>
    </row>
    <row r="64231" spans="3:13" ht="12.75" customHeight="1" x14ac:dyDescent="0.2">
      <c r="C64231"/>
      <c r="M64231"/>
    </row>
    <row r="64232" spans="3:13" ht="12.75" customHeight="1" x14ac:dyDescent="0.2">
      <c r="C64232"/>
      <c r="M64232"/>
    </row>
    <row r="64233" spans="3:13" ht="12.75" customHeight="1" x14ac:dyDescent="0.2">
      <c r="C64233"/>
      <c r="M64233"/>
    </row>
    <row r="64234" spans="3:13" ht="12.75" customHeight="1" x14ac:dyDescent="0.2">
      <c r="C64234"/>
      <c r="M64234"/>
    </row>
    <row r="64235" spans="3:13" ht="12.75" customHeight="1" x14ac:dyDescent="0.2">
      <c r="C64235"/>
      <c r="M64235"/>
    </row>
    <row r="64236" spans="3:13" ht="12.75" customHeight="1" x14ac:dyDescent="0.2">
      <c r="C64236"/>
      <c r="M64236"/>
    </row>
    <row r="64237" spans="3:13" ht="12.75" customHeight="1" x14ac:dyDescent="0.2">
      <c r="C64237"/>
      <c r="M64237"/>
    </row>
    <row r="64238" spans="3:13" ht="12.75" customHeight="1" x14ac:dyDescent="0.2">
      <c r="C64238"/>
      <c r="M64238"/>
    </row>
    <row r="64239" spans="3:13" ht="12.75" customHeight="1" x14ac:dyDescent="0.2">
      <c r="C64239"/>
      <c r="M64239"/>
    </row>
    <row r="64240" spans="3:13" ht="12.75" customHeight="1" x14ac:dyDescent="0.2">
      <c r="C64240"/>
      <c r="M64240"/>
    </row>
    <row r="64241" spans="3:13" ht="12.75" customHeight="1" x14ac:dyDescent="0.2">
      <c r="C64241"/>
      <c r="M64241"/>
    </row>
    <row r="64242" spans="3:13" ht="12.75" customHeight="1" x14ac:dyDescent="0.2">
      <c r="C64242"/>
      <c r="M64242"/>
    </row>
    <row r="64243" spans="3:13" ht="12.75" customHeight="1" x14ac:dyDescent="0.2">
      <c r="C64243"/>
      <c r="M64243"/>
    </row>
    <row r="64244" spans="3:13" ht="12.75" customHeight="1" x14ac:dyDescent="0.2">
      <c r="C64244"/>
      <c r="M64244"/>
    </row>
    <row r="64245" spans="3:13" ht="12.75" customHeight="1" x14ac:dyDescent="0.2">
      <c r="C64245"/>
      <c r="M64245"/>
    </row>
    <row r="64246" spans="3:13" ht="12.75" customHeight="1" x14ac:dyDescent="0.2">
      <c r="C64246"/>
      <c r="M64246"/>
    </row>
    <row r="64247" spans="3:13" ht="12.75" customHeight="1" x14ac:dyDescent="0.2">
      <c r="C64247"/>
      <c r="M64247"/>
    </row>
    <row r="64248" spans="3:13" ht="12.75" customHeight="1" x14ac:dyDescent="0.2">
      <c r="C64248"/>
      <c r="M64248"/>
    </row>
    <row r="64249" spans="3:13" ht="12.75" customHeight="1" x14ac:dyDescent="0.2">
      <c r="C64249"/>
      <c r="M64249"/>
    </row>
    <row r="64250" spans="3:13" ht="12.75" customHeight="1" x14ac:dyDescent="0.2">
      <c r="C64250"/>
      <c r="M64250"/>
    </row>
    <row r="64251" spans="3:13" ht="12.75" customHeight="1" x14ac:dyDescent="0.2">
      <c r="C64251"/>
      <c r="M64251"/>
    </row>
    <row r="64252" spans="3:13" ht="12.75" customHeight="1" x14ac:dyDescent="0.2">
      <c r="C64252"/>
      <c r="M64252"/>
    </row>
    <row r="64253" spans="3:13" ht="12.75" customHeight="1" x14ac:dyDescent="0.2">
      <c r="C64253"/>
      <c r="M64253"/>
    </row>
    <row r="64254" spans="3:13" ht="12.75" customHeight="1" x14ac:dyDescent="0.2">
      <c r="C64254"/>
      <c r="M64254"/>
    </row>
    <row r="64255" spans="3:13" ht="12.75" customHeight="1" x14ac:dyDescent="0.2">
      <c r="C64255"/>
      <c r="M64255"/>
    </row>
    <row r="64256" spans="3:13" ht="12.75" customHeight="1" x14ac:dyDescent="0.2">
      <c r="C64256"/>
      <c r="M64256"/>
    </row>
    <row r="64257" spans="3:13" ht="12.75" customHeight="1" x14ac:dyDescent="0.2">
      <c r="C64257"/>
      <c r="M64257"/>
    </row>
    <row r="64258" spans="3:13" ht="12.75" customHeight="1" x14ac:dyDescent="0.2">
      <c r="C64258"/>
      <c r="M64258"/>
    </row>
    <row r="64259" spans="3:13" ht="12.75" customHeight="1" x14ac:dyDescent="0.2">
      <c r="C64259"/>
      <c r="M64259"/>
    </row>
    <row r="64260" spans="3:13" ht="12.75" customHeight="1" x14ac:dyDescent="0.2">
      <c r="C64260"/>
      <c r="M64260"/>
    </row>
    <row r="64261" spans="3:13" ht="12.75" customHeight="1" x14ac:dyDescent="0.2">
      <c r="C64261"/>
      <c r="M64261"/>
    </row>
    <row r="64262" spans="3:13" ht="12.75" customHeight="1" x14ac:dyDescent="0.2">
      <c r="C64262"/>
      <c r="M64262"/>
    </row>
    <row r="64263" spans="3:13" ht="12.75" customHeight="1" x14ac:dyDescent="0.2">
      <c r="C64263"/>
      <c r="M64263"/>
    </row>
    <row r="64264" spans="3:13" ht="12.75" customHeight="1" x14ac:dyDescent="0.2">
      <c r="C64264"/>
      <c r="M64264"/>
    </row>
    <row r="64265" spans="3:13" ht="12.75" customHeight="1" x14ac:dyDescent="0.2">
      <c r="C64265"/>
      <c r="M64265"/>
    </row>
    <row r="64266" spans="3:13" ht="12.75" customHeight="1" x14ac:dyDescent="0.2">
      <c r="C64266"/>
      <c r="M64266"/>
    </row>
    <row r="64267" spans="3:13" ht="12.75" customHeight="1" x14ac:dyDescent="0.2">
      <c r="C64267"/>
      <c r="M64267"/>
    </row>
    <row r="64268" spans="3:13" ht="12.75" customHeight="1" x14ac:dyDescent="0.2">
      <c r="C64268"/>
      <c r="M64268"/>
    </row>
    <row r="64269" spans="3:13" ht="12.75" customHeight="1" x14ac:dyDescent="0.2">
      <c r="C64269"/>
      <c r="M64269"/>
    </row>
    <row r="64270" spans="3:13" ht="12.75" customHeight="1" x14ac:dyDescent="0.2">
      <c r="C64270"/>
      <c r="M64270"/>
    </row>
    <row r="64271" spans="3:13" ht="12.75" customHeight="1" x14ac:dyDescent="0.2">
      <c r="C64271"/>
      <c r="M64271"/>
    </row>
    <row r="64272" spans="3:13" ht="12.75" customHeight="1" x14ac:dyDescent="0.2">
      <c r="C64272"/>
      <c r="M64272"/>
    </row>
    <row r="64273" spans="3:13" ht="12.75" customHeight="1" x14ac:dyDescent="0.2">
      <c r="C64273"/>
      <c r="M64273"/>
    </row>
    <row r="64274" spans="3:13" ht="12.75" customHeight="1" x14ac:dyDescent="0.2">
      <c r="C64274"/>
      <c r="M64274"/>
    </row>
    <row r="64275" spans="3:13" ht="12.75" customHeight="1" x14ac:dyDescent="0.2">
      <c r="C64275"/>
      <c r="M64275"/>
    </row>
    <row r="64276" spans="3:13" ht="12.75" customHeight="1" x14ac:dyDescent="0.2">
      <c r="C64276"/>
      <c r="M64276"/>
    </row>
    <row r="64277" spans="3:13" ht="12.75" customHeight="1" x14ac:dyDescent="0.2">
      <c r="C64277"/>
      <c r="M64277"/>
    </row>
    <row r="64278" spans="3:13" ht="12.75" customHeight="1" x14ac:dyDescent="0.2">
      <c r="C64278"/>
      <c r="M64278"/>
    </row>
    <row r="64279" spans="3:13" ht="12.75" customHeight="1" x14ac:dyDescent="0.2">
      <c r="C64279"/>
      <c r="M64279"/>
    </row>
    <row r="64280" spans="3:13" ht="12.75" customHeight="1" x14ac:dyDescent="0.2">
      <c r="C64280"/>
      <c r="M64280"/>
    </row>
    <row r="64281" spans="3:13" ht="12.75" customHeight="1" x14ac:dyDescent="0.2">
      <c r="C64281"/>
      <c r="M64281"/>
    </row>
    <row r="64282" spans="3:13" ht="12.75" customHeight="1" x14ac:dyDescent="0.2">
      <c r="C64282"/>
      <c r="M64282"/>
    </row>
    <row r="64283" spans="3:13" ht="12.75" customHeight="1" x14ac:dyDescent="0.2">
      <c r="C64283"/>
      <c r="M64283"/>
    </row>
    <row r="64284" spans="3:13" ht="12.75" customHeight="1" x14ac:dyDescent="0.2">
      <c r="C64284"/>
      <c r="M64284"/>
    </row>
    <row r="64285" spans="3:13" ht="12.75" customHeight="1" x14ac:dyDescent="0.2">
      <c r="C64285"/>
      <c r="M64285"/>
    </row>
    <row r="64286" spans="3:13" ht="12.75" customHeight="1" x14ac:dyDescent="0.2">
      <c r="C64286"/>
      <c r="M64286"/>
    </row>
    <row r="64287" spans="3:13" ht="12.75" customHeight="1" x14ac:dyDescent="0.2">
      <c r="C64287"/>
      <c r="M64287"/>
    </row>
    <row r="64288" spans="3:13" ht="12.75" customHeight="1" x14ac:dyDescent="0.2">
      <c r="C64288"/>
      <c r="M64288"/>
    </row>
    <row r="64289" spans="3:13" ht="12.75" customHeight="1" x14ac:dyDescent="0.2">
      <c r="C64289"/>
      <c r="M64289"/>
    </row>
    <row r="64290" spans="3:13" ht="12.75" customHeight="1" x14ac:dyDescent="0.2">
      <c r="C64290"/>
      <c r="M64290"/>
    </row>
    <row r="64291" spans="3:13" ht="12.75" customHeight="1" x14ac:dyDescent="0.2">
      <c r="C64291"/>
      <c r="M64291"/>
    </row>
    <row r="64292" spans="3:13" ht="12.75" customHeight="1" x14ac:dyDescent="0.2">
      <c r="C64292"/>
      <c r="M64292"/>
    </row>
    <row r="64293" spans="3:13" ht="12.75" customHeight="1" x14ac:dyDescent="0.2">
      <c r="C64293"/>
      <c r="M64293"/>
    </row>
    <row r="64294" spans="3:13" ht="12.75" customHeight="1" x14ac:dyDescent="0.2">
      <c r="C64294"/>
      <c r="M64294"/>
    </row>
    <row r="64295" spans="3:13" ht="12.75" customHeight="1" x14ac:dyDescent="0.2">
      <c r="C64295"/>
      <c r="M64295"/>
    </row>
    <row r="64296" spans="3:13" ht="12.75" customHeight="1" x14ac:dyDescent="0.2">
      <c r="C64296"/>
      <c r="M64296"/>
    </row>
    <row r="64297" spans="3:13" ht="12.75" customHeight="1" x14ac:dyDescent="0.2">
      <c r="C64297"/>
      <c r="M64297"/>
    </row>
    <row r="64298" spans="3:13" ht="12.75" customHeight="1" x14ac:dyDescent="0.2">
      <c r="C64298"/>
      <c r="M64298"/>
    </row>
    <row r="64299" spans="3:13" ht="12.75" customHeight="1" x14ac:dyDescent="0.2">
      <c r="C64299"/>
      <c r="M64299"/>
    </row>
    <row r="64300" spans="3:13" ht="12.75" customHeight="1" x14ac:dyDescent="0.2">
      <c r="C64300"/>
      <c r="M64300"/>
    </row>
    <row r="64301" spans="3:13" ht="12.75" customHeight="1" x14ac:dyDescent="0.2">
      <c r="C64301"/>
      <c r="M64301"/>
    </row>
    <row r="64302" spans="3:13" ht="12.75" customHeight="1" x14ac:dyDescent="0.2">
      <c r="C64302"/>
      <c r="M64302"/>
    </row>
    <row r="64303" spans="3:13" ht="12.75" customHeight="1" x14ac:dyDescent="0.2">
      <c r="C64303"/>
      <c r="M64303"/>
    </row>
    <row r="64304" spans="3:13" ht="12.75" customHeight="1" x14ac:dyDescent="0.2">
      <c r="C64304"/>
      <c r="M64304"/>
    </row>
    <row r="64305" spans="3:13" ht="12.75" customHeight="1" x14ac:dyDescent="0.2">
      <c r="C64305"/>
      <c r="M64305"/>
    </row>
    <row r="64306" spans="3:13" ht="12.75" customHeight="1" x14ac:dyDescent="0.2">
      <c r="C64306"/>
      <c r="M64306"/>
    </row>
    <row r="64307" spans="3:13" ht="12.75" customHeight="1" x14ac:dyDescent="0.2">
      <c r="C64307"/>
      <c r="M64307"/>
    </row>
    <row r="64308" spans="3:13" ht="12.75" customHeight="1" x14ac:dyDescent="0.2">
      <c r="C64308"/>
      <c r="M64308"/>
    </row>
    <row r="64309" spans="3:13" ht="12.75" customHeight="1" x14ac:dyDescent="0.2">
      <c r="C64309"/>
      <c r="M64309"/>
    </row>
    <row r="64310" spans="3:13" ht="12.75" customHeight="1" x14ac:dyDescent="0.2">
      <c r="C64310"/>
      <c r="M64310"/>
    </row>
    <row r="64311" spans="3:13" ht="12.75" customHeight="1" x14ac:dyDescent="0.2">
      <c r="C64311"/>
      <c r="M64311"/>
    </row>
    <row r="64312" spans="3:13" ht="12.75" customHeight="1" x14ac:dyDescent="0.2">
      <c r="C64312"/>
      <c r="M64312"/>
    </row>
    <row r="64313" spans="3:13" ht="12.75" customHeight="1" x14ac:dyDescent="0.2">
      <c r="C64313"/>
      <c r="M64313"/>
    </row>
    <row r="64314" spans="3:13" ht="12.75" customHeight="1" x14ac:dyDescent="0.2">
      <c r="C64314"/>
      <c r="M64314"/>
    </row>
    <row r="64315" spans="3:13" ht="12.75" customHeight="1" x14ac:dyDescent="0.2">
      <c r="C64315"/>
      <c r="M64315"/>
    </row>
    <row r="64316" spans="3:13" ht="12.75" customHeight="1" x14ac:dyDescent="0.2">
      <c r="C64316"/>
      <c r="M64316"/>
    </row>
    <row r="64317" spans="3:13" ht="12.75" customHeight="1" x14ac:dyDescent="0.2">
      <c r="C64317"/>
      <c r="M64317"/>
    </row>
    <row r="64318" spans="3:13" ht="12.75" customHeight="1" x14ac:dyDescent="0.2">
      <c r="C64318"/>
      <c r="M64318"/>
    </row>
    <row r="64319" spans="3:13" ht="12.75" customHeight="1" x14ac:dyDescent="0.2">
      <c r="C64319"/>
      <c r="M64319"/>
    </row>
    <row r="64320" spans="3:13" ht="12.75" customHeight="1" x14ac:dyDescent="0.2">
      <c r="C64320"/>
      <c r="M64320"/>
    </row>
    <row r="64321" spans="3:13" ht="12.75" customHeight="1" x14ac:dyDescent="0.2">
      <c r="C64321"/>
      <c r="M64321"/>
    </row>
    <row r="64322" spans="3:13" ht="12.75" customHeight="1" x14ac:dyDescent="0.2">
      <c r="C64322"/>
      <c r="M64322"/>
    </row>
    <row r="64323" spans="3:13" ht="12.75" customHeight="1" x14ac:dyDescent="0.2">
      <c r="C64323"/>
      <c r="M64323"/>
    </row>
    <row r="64324" spans="3:13" ht="12.75" customHeight="1" x14ac:dyDescent="0.2">
      <c r="C64324"/>
      <c r="M64324"/>
    </row>
    <row r="64325" spans="3:13" ht="12.75" customHeight="1" x14ac:dyDescent="0.2">
      <c r="C64325"/>
      <c r="M64325"/>
    </row>
    <row r="64326" spans="3:13" ht="12.75" customHeight="1" x14ac:dyDescent="0.2">
      <c r="C64326"/>
      <c r="M64326"/>
    </row>
    <row r="64327" spans="3:13" ht="12.75" customHeight="1" x14ac:dyDescent="0.2">
      <c r="C64327"/>
      <c r="M64327"/>
    </row>
    <row r="64328" spans="3:13" ht="12.75" customHeight="1" x14ac:dyDescent="0.2">
      <c r="C64328"/>
      <c r="M64328"/>
    </row>
    <row r="64329" spans="3:13" ht="12.75" customHeight="1" x14ac:dyDescent="0.2">
      <c r="C64329"/>
      <c r="M64329"/>
    </row>
    <row r="64330" spans="3:13" ht="12.75" customHeight="1" x14ac:dyDescent="0.2">
      <c r="C64330"/>
      <c r="M64330"/>
    </row>
    <row r="64331" spans="3:13" ht="12.75" customHeight="1" x14ac:dyDescent="0.2">
      <c r="C64331"/>
      <c r="M64331"/>
    </row>
    <row r="64332" spans="3:13" ht="12.75" customHeight="1" x14ac:dyDescent="0.2">
      <c r="C64332"/>
      <c r="M64332"/>
    </row>
    <row r="64333" spans="3:13" ht="12.75" customHeight="1" x14ac:dyDescent="0.2">
      <c r="C64333"/>
      <c r="M64333"/>
    </row>
    <row r="64334" spans="3:13" ht="12.75" customHeight="1" x14ac:dyDescent="0.2">
      <c r="C64334"/>
      <c r="M64334"/>
    </row>
    <row r="64335" spans="3:13" ht="12.75" customHeight="1" x14ac:dyDescent="0.2">
      <c r="C64335"/>
      <c r="M64335"/>
    </row>
    <row r="64336" spans="3:13" ht="12.75" customHeight="1" x14ac:dyDescent="0.2">
      <c r="C64336"/>
      <c r="M64336"/>
    </row>
    <row r="64337" spans="3:13" ht="12.75" customHeight="1" x14ac:dyDescent="0.2">
      <c r="C64337"/>
      <c r="M64337"/>
    </row>
    <row r="64338" spans="3:13" ht="12.75" customHeight="1" x14ac:dyDescent="0.2">
      <c r="C64338"/>
      <c r="M64338"/>
    </row>
    <row r="64339" spans="3:13" ht="12.75" customHeight="1" x14ac:dyDescent="0.2">
      <c r="C64339"/>
      <c r="M64339"/>
    </row>
    <row r="64340" spans="3:13" ht="12.75" customHeight="1" x14ac:dyDescent="0.2">
      <c r="C64340"/>
      <c r="M64340"/>
    </row>
    <row r="64341" spans="3:13" ht="12.75" customHeight="1" x14ac:dyDescent="0.2">
      <c r="C64341"/>
      <c r="M64341"/>
    </row>
    <row r="64342" spans="3:13" ht="12.75" customHeight="1" x14ac:dyDescent="0.2">
      <c r="C64342"/>
      <c r="M64342"/>
    </row>
    <row r="64343" spans="3:13" ht="12.75" customHeight="1" x14ac:dyDescent="0.2">
      <c r="C64343"/>
      <c r="M64343"/>
    </row>
    <row r="64344" spans="3:13" ht="12.75" customHeight="1" x14ac:dyDescent="0.2">
      <c r="C64344"/>
      <c r="M64344"/>
    </row>
    <row r="64345" spans="3:13" ht="12.75" customHeight="1" x14ac:dyDescent="0.2">
      <c r="C64345"/>
      <c r="M64345"/>
    </row>
    <row r="64346" spans="3:13" ht="12.75" customHeight="1" x14ac:dyDescent="0.2">
      <c r="C64346"/>
      <c r="M64346"/>
    </row>
    <row r="64347" spans="3:13" ht="12.75" customHeight="1" x14ac:dyDescent="0.2">
      <c r="C64347"/>
      <c r="M64347"/>
    </row>
    <row r="64348" spans="3:13" ht="12.75" customHeight="1" x14ac:dyDescent="0.2">
      <c r="C64348"/>
      <c r="M64348"/>
    </row>
    <row r="64349" spans="3:13" ht="12.75" customHeight="1" x14ac:dyDescent="0.2">
      <c r="C64349"/>
      <c r="M64349"/>
    </row>
    <row r="64350" spans="3:13" ht="12.75" customHeight="1" x14ac:dyDescent="0.2">
      <c r="C64350"/>
      <c r="M64350"/>
    </row>
    <row r="64351" spans="3:13" ht="12.75" customHeight="1" x14ac:dyDescent="0.2">
      <c r="C64351"/>
      <c r="M64351"/>
    </row>
    <row r="64352" spans="3:13" ht="12.75" customHeight="1" x14ac:dyDescent="0.2">
      <c r="C64352"/>
      <c r="M64352"/>
    </row>
    <row r="64353" spans="3:13" ht="12.75" customHeight="1" x14ac:dyDescent="0.2">
      <c r="C64353"/>
      <c r="M64353"/>
    </row>
    <row r="64354" spans="3:13" ht="12.75" customHeight="1" x14ac:dyDescent="0.2">
      <c r="C64354"/>
      <c r="M64354"/>
    </row>
    <row r="64355" spans="3:13" ht="12.75" customHeight="1" x14ac:dyDescent="0.2">
      <c r="C64355"/>
      <c r="M64355"/>
    </row>
    <row r="64356" spans="3:13" ht="12.75" customHeight="1" x14ac:dyDescent="0.2">
      <c r="C64356"/>
      <c r="M64356"/>
    </row>
    <row r="64357" spans="3:13" ht="12.75" customHeight="1" x14ac:dyDescent="0.2">
      <c r="C64357"/>
      <c r="M64357"/>
    </row>
    <row r="64358" spans="3:13" ht="12.75" customHeight="1" x14ac:dyDescent="0.2">
      <c r="C64358"/>
      <c r="M64358"/>
    </row>
    <row r="64359" spans="3:13" ht="12.75" customHeight="1" x14ac:dyDescent="0.2">
      <c r="C64359"/>
      <c r="M64359"/>
    </row>
    <row r="64360" spans="3:13" ht="12.75" customHeight="1" x14ac:dyDescent="0.2">
      <c r="C64360"/>
      <c r="M64360"/>
    </row>
    <row r="64361" spans="3:13" ht="12.75" customHeight="1" x14ac:dyDescent="0.2">
      <c r="C64361"/>
      <c r="M64361"/>
    </row>
    <row r="64362" spans="3:13" ht="12.75" customHeight="1" x14ac:dyDescent="0.2">
      <c r="C64362"/>
      <c r="M64362"/>
    </row>
    <row r="64363" spans="3:13" ht="12.75" customHeight="1" x14ac:dyDescent="0.2">
      <c r="C64363"/>
      <c r="M64363"/>
    </row>
    <row r="64364" spans="3:13" ht="12.75" customHeight="1" x14ac:dyDescent="0.2">
      <c r="C64364"/>
      <c r="M64364"/>
    </row>
    <row r="64365" spans="3:13" ht="12.75" customHeight="1" x14ac:dyDescent="0.2">
      <c r="C64365"/>
      <c r="M64365"/>
    </row>
    <row r="64366" spans="3:13" ht="12.75" customHeight="1" x14ac:dyDescent="0.2">
      <c r="C64366"/>
      <c r="M64366"/>
    </row>
    <row r="64367" spans="3:13" ht="12.75" customHeight="1" x14ac:dyDescent="0.2">
      <c r="C64367"/>
      <c r="M64367"/>
    </row>
    <row r="64368" spans="3:13" ht="12.75" customHeight="1" x14ac:dyDescent="0.2">
      <c r="C64368"/>
      <c r="M64368"/>
    </row>
    <row r="64369" spans="3:13" ht="12.75" customHeight="1" x14ac:dyDescent="0.2">
      <c r="C64369"/>
      <c r="M64369"/>
    </row>
    <row r="64370" spans="3:13" ht="12.75" customHeight="1" x14ac:dyDescent="0.2">
      <c r="C64370"/>
      <c r="M64370"/>
    </row>
    <row r="64371" spans="3:13" ht="12.75" customHeight="1" x14ac:dyDescent="0.2">
      <c r="C64371"/>
      <c r="M64371"/>
    </row>
    <row r="64372" spans="3:13" ht="12.75" customHeight="1" x14ac:dyDescent="0.2">
      <c r="C64372"/>
      <c r="M64372"/>
    </row>
    <row r="64373" spans="3:13" ht="12.75" customHeight="1" x14ac:dyDescent="0.2">
      <c r="C64373"/>
      <c r="M64373"/>
    </row>
    <row r="64374" spans="3:13" ht="12.75" customHeight="1" x14ac:dyDescent="0.2">
      <c r="C64374"/>
      <c r="M64374"/>
    </row>
    <row r="64375" spans="3:13" ht="12.75" customHeight="1" x14ac:dyDescent="0.2">
      <c r="C64375"/>
      <c r="M64375"/>
    </row>
    <row r="64376" spans="3:13" ht="12.75" customHeight="1" x14ac:dyDescent="0.2">
      <c r="C64376"/>
      <c r="M64376"/>
    </row>
    <row r="64377" spans="3:13" ht="12.75" customHeight="1" x14ac:dyDescent="0.2">
      <c r="C64377"/>
      <c r="M64377"/>
    </row>
    <row r="64378" spans="3:13" ht="12.75" customHeight="1" x14ac:dyDescent="0.2">
      <c r="C64378"/>
      <c r="M64378"/>
    </row>
    <row r="64379" spans="3:13" ht="12.75" customHeight="1" x14ac:dyDescent="0.2">
      <c r="C64379"/>
      <c r="M64379"/>
    </row>
    <row r="64380" spans="3:13" ht="12.75" customHeight="1" x14ac:dyDescent="0.2">
      <c r="C64380"/>
      <c r="M64380"/>
    </row>
    <row r="64381" spans="3:13" ht="12.75" customHeight="1" x14ac:dyDescent="0.2">
      <c r="C64381"/>
      <c r="M64381"/>
    </row>
    <row r="64382" spans="3:13" ht="12.75" customHeight="1" x14ac:dyDescent="0.2">
      <c r="C64382"/>
      <c r="M64382"/>
    </row>
    <row r="64383" spans="3:13" ht="12.75" customHeight="1" x14ac:dyDescent="0.2">
      <c r="C64383"/>
      <c r="M64383"/>
    </row>
    <row r="64384" spans="3:13" ht="12.75" customHeight="1" x14ac:dyDescent="0.2">
      <c r="C64384"/>
      <c r="M64384"/>
    </row>
    <row r="64385" spans="3:13" ht="12.75" customHeight="1" x14ac:dyDescent="0.2">
      <c r="C64385"/>
      <c r="M64385"/>
    </row>
    <row r="64386" spans="3:13" ht="12.75" customHeight="1" x14ac:dyDescent="0.2">
      <c r="C64386"/>
      <c r="M64386"/>
    </row>
    <row r="64387" spans="3:13" ht="12.75" customHeight="1" x14ac:dyDescent="0.2">
      <c r="C64387"/>
      <c r="M64387"/>
    </row>
    <row r="64388" spans="3:13" ht="12.75" customHeight="1" x14ac:dyDescent="0.2">
      <c r="C64388"/>
      <c r="M64388"/>
    </row>
    <row r="64389" spans="3:13" ht="12.75" customHeight="1" x14ac:dyDescent="0.2">
      <c r="C64389"/>
      <c r="M64389"/>
    </row>
    <row r="64390" spans="3:13" ht="12.75" customHeight="1" x14ac:dyDescent="0.2">
      <c r="C64390"/>
      <c r="M64390"/>
    </row>
    <row r="64391" spans="3:13" ht="12.75" customHeight="1" x14ac:dyDescent="0.2">
      <c r="C64391"/>
      <c r="M64391"/>
    </row>
    <row r="64392" spans="3:13" ht="12.75" customHeight="1" x14ac:dyDescent="0.2">
      <c r="C64392"/>
      <c r="M64392"/>
    </row>
    <row r="64393" spans="3:13" ht="12.75" customHeight="1" x14ac:dyDescent="0.2">
      <c r="C64393"/>
      <c r="M64393"/>
    </row>
    <row r="64394" spans="3:13" ht="12.75" customHeight="1" x14ac:dyDescent="0.2">
      <c r="C64394"/>
      <c r="M64394"/>
    </row>
    <row r="64395" spans="3:13" ht="12.75" customHeight="1" x14ac:dyDescent="0.2">
      <c r="C64395"/>
      <c r="M64395"/>
    </row>
    <row r="64396" spans="3:13" ht="12.75" customHeight="1" x14ac:dyDescent="0.2">
      <c r="C64396"/>
      <c r="M64396"/>
    </row>
    <row r="64397" spans="3:13" ht="12.75" customHeight="1" x14ac:dyDescent="0.2">
      <c r="C64397"/>
      <c r="M64397"/>
    </row>
    <row r="64398" spans="3:13" ht="12.75" customHeight="1" x14ac:dyDescent="0.2">
      <c r="C64398"/>
      <c r="M64398"/>
    </row>
    <row r="64399" spans="3:13" ht="12.75" customHeight="1" x14ac:dyDescent="0.2">
      <c r="C64399"/>
      <c r="M64399"/>
    </row>
    <row r="64400" spans="3:13" ht="12.75" customHeight="1" x14ac:dyDescent="0.2">
      <c r="C64400"/>
      <c r="M64400"/>
    </row>
    <row r="64401" spans="3:13" ht="12.75" customHeight="1" x14ac:dyDescent="0.2">
      <c r="C64401"/>
      <c r="M64401"/>
    </row>
    <row r="64402" spans="3:13" ht="12.75" customHeight="1" x14ac:dyDescent="0.2">
      <c r="C64402"/>
      <c r="M64402"/>
    </row>
    <row r="64403" spans="3:13" ht="12.75" customHeight="1" x14ac:dyDescent="0.2">
      <c r="C64403"/>
      <c r="M64403"/>
    </row>
    <row r="64404" spans="3:13" ht="12.75" customHeight="1" x14ac:dyDescent="0.2">
      <c r="C64404"/>
      <c r="M64404"/>
    </row>
    <row r="64405" spans="3:13" ht="12.75" customHeight="1" x14ac:dyDescent="0.2">
      <c r="C64405"/>
      <c r="M64405"/>
    </row>
    <row r="64406" spans="3:13" ht="12.75" customHeight="1" x14ac:dyDescent="0.2">
      <c r="C64406"/>
      <c r="M64406"/>
    </row>
    <row r="64407" spans="3:13" ht="12.75" customHeight="1" x14ac:dyDescent="0.2">
      <c r="C64407"/>
      <c r="M64407"/>
    </row>
    <row r="64408" spans="3:13" ht="12.75" customHeight="1" x14ac:dyDescent="0.2">
      <c r="C64408"/>
      <c r="M64408"/>
    </row>
    <row r="64409" spans="3:13" ht="12.75" customHeight="1" x14ac:dyDescent="0.2">
      <c r="C64409"/>
      <c r="M64409"/>
    </row>
    <row r="64410" spans="3:13" ht="12.75" customHeight="1" x14ac:dyDescent="0.2">
      <c r="C64410"/>
      <c r="M64410"/>
    </row>
    <row r="64411" spans="3:13" ht="12.75" customHeight="1" x14ac:dyDescent="0.2">
      <c r="C64411"/>
      <c r="M64411"/>
    </row>
    <row r="64412" spans="3:13" ht="12.75" customHeight="1" x14ac:dyDescent="0.2">
      <c r="C64412"/>
      <c r="M64412"/>
    </row>
    <row r="64413" spans="3:13" ht="12.75" customHeight="1" x14ac:dyDescent="0.2">
      <c r="C64413"/>
      <c r="M64413"/>
    </row>
    <row r="64414" spans="3:13" ht="12.75" customHeight="1" x14ac:dyDescent="0.2">
      <c r="C64414"/>
      <c r="M64414"/>
    </row>
    <row r="64415" spans="3:13" ht="12.75" customHeight="1" x14ac:dyDescent="0.2">
      <c r="C64415"/>
      <c r="M64415"/>
    </row>
    <row r="64416" spans="3:13" ht="12.75" customHeight="1" x14ac:dyDescent="0.2">
      <c r="C64416"/>
      <c r="M64416"/>
    </row>
    <row r="64417" spans="3:13" ht="12.75" customHeight="1" x14ac:dyDescent="0.2">
      <c r="C64417"/>
      <c r="M64417"/>
    </row>
    <row r="64418" spans="3:13" ht="12.75" customHeight="1" x14ac:dyDescent="0.2">
      <c r="C64418"/>
      <c r="M64418"/>
    </row>
    <row r="64419" spans="3:13" ht="12.75" customHeight="1" x14ac:dyDescent="0.2">
      <c r="C64419"/>
      <c r="M64419"/>
    </row>
    <row r="64420" spans="3:13" ht="12.75" customHeight="1" x14ac:dyDescent="0.2">
      <c r="C64420"/>
      <c r="M64420"/>
    </row>
    <row r="64421" spans="3:13" ht="12.75" customHeight="1" x14ac:dyDescent="0.2">
      <c r="C64421"/>
      <c r="M64421"/>
    </row>
    <row r="64422" spans="3:13" ht="12.75" customHeight="1" x14ac:dyDescent="0.2">
      <c r="C64422"/>
      <c r="M64422"/>
    </row>
    <row r="64423" spans="3:13" ht="12.75" customHeight="1" x14ac:dyDescent="0.2">
      <c r="C64423"/>
      <c r="M64423"/>
    </row>
    <row r="64424" spans="3:13" ht="12.75" customHeight="1" x14ac:dyDescent="0.2">
      <c r="C64424"/>
      <c r="M64424"/>
    </row>
    <row r="64425" spans="3:13" ht="12.75" customHeight="1" x14ac:dyDescent="0.2">
      <c r="C64425"/>
      <c r="M64425"/>
    </row>
    <row r="64426" spans="3:13" ht="12.75" customHeight="1" x14ac:dyDescent="0.2">
      <c r="C64426"/>
      <c r="M64426"/>
    </row>
    <row r="64427" spans="3:13" ht="12.75" customHeight="1" x14ac:dyDescent="0.2">
      <c r="C64427"/>
      <c r="M64427"/>
    </row>
    <row r="64428" spans="3:13" ht="12.75" customHeight="1" x14ac:dyDescent="0.2">
      <c r="C64428"/>
      <c r="M64428"/>
    </row>
    <row r="64429" spans="3:13" ht="12.75" customHeight="1" x14ac:dyDescent="0.2">
      <c r="C64429"/>
      <c r="M64429"/>
    </row>
    <row r="64430" spans="3:13" ht="12.75" customHeight="1" x14ac:dyDescent="0.2">
      <c r="C64430"/>
      <c r="M64430"/>
    </row>
    <row r="64431" spans="3:13" ht="12.75" customHeight="1" x14ac:dyDescent="0.2">
      <c r="C64431"/>
      <c r="M64431"/>
    </row>
    <row r="64432" spans="3:13" ht="12.75" customHeight="1" x14ac:dyDescent="0.2">
      <c r="C64432"/>
      <c r="M64432"/>
    </row>
    <row r="64433" spans="3:13" ht="12.75" customHeight="1" x14ac:dyDescent="0.2">
      <c r="C64433"/>
      <c r="M64433"/>
    </row>
    <row r="64434" spans="3:13" ht="12.75" customHeight="1" x14ac:dyDescent="0.2">
      <c r="C64434"/>
      <c r="M64434"/>
    </row>
    <row r="64435" spans="3:13" ht="12.75" customHeight="1" x14ac:dyDescent="0.2">
      <c r="C64435"/>
      <c r="M64435"/>
    </row>
    <row r="64436" spans="3:13" ht="12.75" customHeight="1" x14ac:dyDescent="0.2">
      <c r="C64436"/>
      <c r="M64436"/>
    </row>
    <row r="64437" spans="3:13" ht="12.75" customHeight="1" x14ac:dyDescent="0.2">
      <c r="C64437"/>
      <c r="M64437"/>
    </row>
    <row r="64438" spans="3:13" ht="12.75" customHeight="1" x14ac:dyDescent="0.2">
      <c r="C64438"/>
      <c r="M64438"/>
    </row>
    <row r="64439" spans="3:13" ht="12.75" customHeight="1" x14ac:dyDescent="0.2">
      <c r="C64439"/>
      <c r="M64439"/>
    </row>
    <row r="64440" spans="3:13" ht="12.75" customHeight="1" x14ac:dyDescent="0.2">
      <c r="C64440"/>
      <c r="M64440"/>
    </row>
    <row r="64441" spans="3:13" ht="12.75" customHeight="1" x14ac:dyDescent="0.2">
      <c r="C64441"/>
      <c r="M64441"/>
    </row>
    <row r="64442" spans="3:13" ht="12.75" customHeight="1" x14ac:dyDescent="0.2">
      <c r="C64442"/>
      <c r="M64442"/>
    </row>
    <row r="64443" spans="3:13" ht="12.75" customHeight="1" x14ac:dyDescent="0.2">
      <c r="C64443"/>
      <c r="M64443"/>
    </row>
    <row r="64444" spans="3:13" ht="12.75" customHeight="1" x14ac:dyDescent="0.2">
      <c r="C64444"/>
      <c r="M64444"/>
    </row>
    <row r="64445" spans="3:13" ht="12.75" customHeight="1" x14ac:dyDescent="0.2">
      <c r="C64445"/>
      <c r="M64445"/>
    </row>
    <row r="64446" spans="3:13" ht="12.75" customHeight="1" x14ac:dyDescent="0.2">
      <c r="C64446"/>
      <c r="M64446"/>
    </row>
    <row r="64447" spans="3:13" ht="12.75" customHeight="1" x14ac:dyDescent="0.2">
      <c r="C64447"/>
      <c r="M64447"/>
    </row>
    <row r="64448" spans="3:13" ht="12.75" customHeight="1" x14ac:dyDescent="0.2">
      <c r="C64448"/>
      <c r="M64448"/>
    </row>
    <row r="64449" spans="3:13" ht="12.75" customHeight="1" x14ac:dyDescent="0.2">
      <c r="C64449"/>
      <c r="M64449"/>
    </row>
    <row r="64450" spans="3:13" ht="12.75" customHeight="1" x14ac:dyDescent="0.2">
      <c r="C64450"/>
      <c r="M64450"/>
    </row>
    <row r="64451" spans="3:13" ht="12.75" customHeight="1" x14ac:dyDescent="0.2">
      <c r="C64451"/>
      <c r="M64451"/>
    </row>
    <row r="64452" spans="3:13" ht="12.75" customHeight="1" x14ac:dyDescent="0.2">
      <c r="C64452"/>
      <c r="M64452"/>
    </row>
    <row r="64453" spans="3:13" ht="12.75" customHeight="1" x14ac:dyDescent="0.2">
      <c r="C64453"/>
      <c r="M64453"/>
    </row>
    <row r="64454" spans="3:13" ht="12.75" customHeight="1" x14ac:dyDescent="0.2">
      <c r="C64454"/>
      <c r="M64454"/>
    </row>
    <row r="64455" spans="3:13" ht="12.75" customHeight="1" x14ac:dyDescent="0.2">
      <c r="C64455"/>
      <c r="M64455"/>
    </row>
    <row r="64456" spans="3:13" ht="12.75" customHeight="1" x14ac:dyDescent="0.2">
      <c r="C64456"/>
      <c r="M64456"/>
    </row>
    <row r="64457" spans="3:13" ht="12.75" customHeight="1" x14ac:dyDescent="0.2">
      <c r="C64457"/>
      <c r="M64457"/>
    </row>
    <row r="64458" spans="3:13" ht="12.75" customHeight="1" x14ac:dyDescent="0.2">
      <c r="C64458"/>
      <c r="M64458"/>
    </row>
    <row r="64459" spans="3:13" ht="12.75" customHeight="1" x14ac:dyDescent="0.2">
      <c r="C64459"/>
      <c r="M64459"/>
    </row>
    <row r="64460" spans="3:13" ht="12.75" customHeight="1" x14ac:dyDescent="0.2">
      <c r="C64460"/>
      <c r="M64460"/>
    </row>
    <row r="64461" spans="3:13" ht="12.75" customHeight="1" x14ac:dyDescent="0.2">
      <c r="C64461"/>
      <c r="M64461"/>
    </row>
    <row r="64462" spans="3:13" ht="12.75" customHeight="1" x14ac:dyDescent="0.2">
      <c r="C64462"/>
      <c r="M64462"/>
    </row>
    <row r="64463" spans="3:13" ht="12.75" customHeight="1" x14ac:dyDescent="0.2">
      <c r="C64463"/>
      <c r="M64463"/>
    </row>
    <row r="64464" spans="3:13" ht="12.75" customHeight="1" x14ac:dyDescent="0.2">
      <c r="C64464"/>
      <c r="M64464"/>
    </row>
    <row r="64465" spans="3:13" ht="12.75" customHeight="1" x14ac:dyDescent="0.2">
      <c r="C64465"/>
      <c r="M64465"/>
    </row>
    <row r="64466" spans="3:13" ht="12.75" customHeight="1" x14ac:dyDescent="0.2">
      <c r="C64466"/>
      <c r="M64466"/>
    </row>
    <row r="64467" spans="3:13" ht="12.75" customHeight="1" x14ac:dyDescent="0.2">
      <c r="C64467"/>
      <c r="M64467"/>
    </row>
    <row r="64468" spans="3:13" ht="12.75" customHeight="1" x14ac:dyDescent="0.2">
      <c r="C64468"/>
      <c r="M64468"/>
    </row>
    <row r="64469" spans="3:13" ht="12.75" customHeight="1" x14ac:dyDescent="0.2">
      <c r="C64469"/>
      <c r="M64469"/>
    </row>
    <row r="64470" spans="3:13" ht="12.75" customHeight="1" x14ac:dyDescent="0.2">
      <c r="C64470"/>
      <c r="M64470"/>
    </row>
    <row r="64471" spans="3:13" ht="12.75" customHeight="1" x14ac:dyDescent="0.2">
      <c r="C64471"/>
      <c r="M64471"/>
    </row>
    <row r="64472" spans="3:13" ht="12.75" customHeight="1" x14ac:dyDescent="0.2">
      <c r="C64472"/>
      <c r="M64472"/>
    </row>
    <row r="64473" spans="3:13" ht="12.75" customHeight="1" x14ac:dyDescent="0.2">
      <c r="C64473"/>
      <c r="M64473"/>
    </row>
    <row r="64474" spans="3:13" ht="12.75" customHeight="1" x14ac:dyDescent="0.2">
      <c r="C64474"/>
      <c r="M64474"/>
    </row>
    <row r="64475" spans="3:13" ht="12.75" customHeight="1" x14ac:dyDescent="0.2">
      <c r="C64475"/>
      <c r="M64475"/>
    </row>
    <row r="64476" spans="3:13" ht="12.75" customHeight="1" x14ac:dyDescent="0.2">
      <c r="C64476"/>
      <c r="M64476"/>
    </row>
    <row r="64477" spans="3:13" ht="12.75" customHeight="1" x14ac:dyDescent="0.2">
      <c r="C64477"/>
      <c r="M64477"/>
    </row>
    <row r="64478" spans="3:13" ht="12.75" customHeight="1" x14ac:dyDescent="0.2">
      <c r="C64478"/>
      <c r="M64478"/>
    </row>
    <row r="64479" spans="3:13" ht="12.75" customHeight="1" x14ac:dyDescent="0.2">
      <c r="C64479"/>
      <c r="M64479"/>
    </row>
    <row r="64480" spans="3:13" ht="12.75" customHeight="1" x14ac:dyDescent="0.2">
      <c r="C64480"/>
      <c r="M64480"/>
    </row>
    <row r="64481" spans="3:13" ht="12.75" customHeight="1" x14ac:dyDescent="0.2">
      <c r="C64481"/>
      <c r="M64481"/>
    </row>
    <row r="64482" spans="3:13" ht="12.75" customHeight="1" x14ac:dyDescent="0.2">
      <c r="C64482"/>
      <c r="M64482"/>
    </row>
    <row r="64483" spans="3:13" ht="12.75" customHeight="1" x14ac:dyDescent="0.2">
      <c r="C64483"/>
      <c r="M64483"/>
    </row>
    <row r="64484" spans="3:13" ht="12.75" customHeight="1" x14ac:dyDescent="0.2">
      <c r="C64484"/>
      <c r="M64484"/>
    </row>
    <row r="64485" spans="3:13" ht="12.75" customHeight="1" x14ac:dyDescent="0.2">
      <c r="C64485"/>
      <c r="M64485"/>
    </row>
    <row r="64486" spans="3:13" ht="12.75" customHeight="1" x14ac:dyDescent="0.2">
      <c r="C64486"/>
      <c r="M64486"/>
    </row>
    <row r="64487" spans="3:13" ht="12.75" customHeight="1" x14ac:dyDescent="0.2">
      <c r="C64487"/>
      <c r="M64487"/>
    </row>
    <row r="64488" spans="3:13" ht="12.75" customHeight="1" x14ac:dyDescent="0.2">
      <c r="C64488"/>
      <c r="M64488"/>
    </row>
    <row r="64489" spans="3:13" ht="12.75" customHeight="1" x14ac:dyDescent="0.2">
      <c r="C64489"/>
      <c r="M64489"/>
    </row>
    <row r="64490" spans="3:13" ht="12.75" customHeight="1" x14ac:dyDescent="0.2">
      <c r="C64490"/>
      <c r="M64490"/>
    </row>
    <row r="64491" spans="3:13" ht="12.75" customHeight="1" x14ac:dyDescent="0.2">
      <c r="C64491"/>
      <c r="M64491"/>
    </row>
    <row r="64492" spans="3:13" ht="12.75" customHeight="1" x14ac:dyDescent="0.2">
      <c r="C64492"/>
      <c r="M64492"/>
    </row>
    <row r="64493" spans="3:13" ht="12.75" customHeight="1" x14ac:dyDescent="0.2">
      <c r="C64493"/>
      <c r="M64493"/>
    </row>
    <row r="64494" spans="3:13" ht="12.75" customHeight="1" x14ac:dyDescent="0.2">
      <c r="C64494"/>
      <c r="M64494"/>
    </row>
    <row r="64495" spans="3:13" ht="12.75" customHeight="1" x14ac:dyDescent="0.2">
      <c r="C64495"/>
      <c r="M64495"/>
    </row>
    <row r="64496" spans="3:13" ht="12.75" customHeight="1" x14ac:dyDescent="0.2">
      <c r="C64496"/>
      <c r="M64496"/>
    </row>
    <row r="64497" spans="3:13" ht="12.75" customHeight="1" x14ac:dyDescent="0.2">
      <c r="C64497"/>
      <c r="M64497"/>
    </row>
    <row r="64498" spans="3:13" ht="12.75" customHeight="1" x14ac:dyDescent="0.2">
      <c r="C64498"/>
      <c r="M64498"/>
    </row>
    <row r="64499" spans="3:13" ht="12.75" customHeight="1" x14ac:dyDescent="0.2">
      <c r="C64499"/>
      <c r="M64499"/>
    </row>
    <row r="64500" spans="3:13" ht="12.75" customHeight="1" x14ac:dyDescent="0.2">
      <c r="C64500"/>
      <c r="M64500"/>
    </row>
    <row r="64501" spans="3:13" ht="12.75" customHeight="1" x14ac:dyDescent="0.2">
      <c r="C64501"/>
      <c r="M64501"/>
    </row>
    <row r="64502" spans="3:13" ht="12.75" customHeight="1" x14ac:dyDescent="0.2">
      <c r="C64502"/>
      <c r="M64502"/>
    </row>
    <row r="64503" spans="3:13" ht="12.75" customHeight="1" x14ac:dyDescent="0.2">
      <c r="C64503"/>
      <c r="M64503"/>
    </row>
    <row r="64504" spans="3:13" ht="12.75" customHeight="1" x14ac:dyDescent="0.2">
      <c r="C64504"/>
      <c r="M64504"/>
    </row>
    <row r="64505" spans="3:13" ht="12.75" customHeight="1" x14ac:dyDescent="0.2">
      <c r="C64505"/>
      <c r="M64505"/>
    </row>
    <row r="64506" spans="3:13" ht="12.75" customHeight="1" x14ac:dyDescent="0.2">
      <c r="C64506"/>
      <c r="M64506"/>
    </row>
    <row r="64507" spans="3:13" ht="12.75" customHeight="1" x14ac:dyDescent="0.2">
      <c r="C64507"/>
      <c r="M64507"/>
    </row>
    <row r="64508" spans="3:13" ht="12.75" customHeight="1" x14ac:dyDescent="0.2">
      <c r="C64508"/>
      <c r="M64508"/>
    </row>
    <row r="64509" spans="3:13" ht="12.75" customHeight="1" x14ac:dyDescent="0.2">
      <c r="C64509"/>
      <c r="M64509"/>
    </row>
    <row r="64510" spans="3:13" ht="12.75" customHeight="1" x14ac:dyDescent="0.2">
      <c r="C64510"/>
      <c r="M64510"/>
    </row>
    <row r="64511" spans="3:13" ht="12.75" customHeight="1" x14ac:dyDescent="0.2">
      <c r="C64511"/>
      <c r="M64511"/>
    </row>
    <row r="64512" spans="3:13" ht="12.75" customHeight="1" x14ac:dyDescent="0.2">
      <c r="C64512"/>
      <c r="M64512"/>
    </row>
    <row r="64513" spans="3:13" ht="12.75" customHeight="1" x14ac:dyDescent="0.2">
      <c r="C64513"/>
      <c r="M64513"/>
    </row>
    <row r="64514" spans="3:13" ht="12.75" customHeight="1" x14ac:dyDescent="0.2">
      <c r="C64514"/>
      <c r="M64514"/>
    </row>
    <row r="64515" spans="3:13" ht="12.75" customHeight="1" x14ac:dyDescent="0.2">
      <c r="C64515"/>
      <c r="M64515"/>
    </row>
    <row r="64516" spans="3:13" ht="12.75" customHeight="1" x14ac:dyDescent="0.2">
      <c r="C64516"/>
      <c r="M64516"/>
    </row>
    <row r="64517" spans="3:13" ht="12.75" customHeight="1" x14ac:dyDescent="0.2">
      <c r="C64517"/>
      <c r="M64517"/>
    </row>
    <row r="64518" spans="3:13" ht="12.75" customHeight="1" x14ac:dyDescent="0.2">
      <c r="C64518"/>
      <c r="M64518"/>
    </row>
    <row r="64519" spans="3:13" ht="12.75" customHeight="1" x14ac:dyDescent="0.2">
      <c r="C64519"/>
      <c r="M64519"/>
    </row>
    <row r="64520" spans="3:13" ht="12.75" customHeight="1" x14ac:dyDescent="0.2">
      <c r="C64520"/>
      <c r="M64520"/>
    </row>
    <row r="64521" spans="3:13" ht="12.75" customHeight="1" x14ac:dyDescent="0.2">
      <c r="C64521"/>
      <c r="M64521"/>
    </row>
    <row r="64522" spans="3:13" ht="12.75" customHeight="1" x14ac:dyDescent="0.2">
      <c r="C64522"/>
      <c r="M64522"/>
    </row>
    <row r="64523" spans="3:13" ht="12.75" customHeight="1" x14ac:dyDescent="0.2">
      <c r="C64523"/>
      <c r="M64523"/>
    </row>
    <row r="64524" spans="3:13" ht="12.75" customHeight="1" x14ac:dyDescent="0.2">
      <c r="C64524"/>
      <c r="M64524"/>
    </row>
    <row r="64525" spans="3:13" ht="12.75" customHeight="1" x14ac:dyDescent="0.2">
      <c r="C64525"/>
      <c r="M64525"/>
    </row>
    <row r="64526" spans="3:13" ht="12.75" customHeight="1" x14ac:dyDescent="0.2">
      <c r="C64526"/>
      <c r="M64526"/>
    </row>
    <row r="64527" spans="3:13" ht="12.75" customHeight="1" x14ac:dyDescent="0.2">
      <c r="C64527"/>
      <c r="M64527"/>
    </row>
    <row r="64528" spans="3:13" ht="12.75" customHeight="1" x14ac:dyDescent="0.2">
      <c r="C64528"/>
      <c r="M64528"/>
    </row>
    <row r="64529" spans="3:13" ht="12.75" customHeight="1" x14ac:dyDescent="0.2">
      <c r="C64529"/>
      <c r="M64529"/>
    </row>
    <row r="64530" spans="3:13" ht="12.75" customHeight="1" x14ac:dyDescent="0.2">
      <c r="C64530"/>
      <c r="M64530"/>
    </row>
    <row r="64531" spans="3:13" ht="12.75" customHeight="1" x14ac:dyDescent="0.2">
      <c r="C64531"/>
      <c r="M64531"/>
    </row>
    <row r="64532" spans="3:13" ht="12.75" customHeight="1" x14ac:dyDescent="0.2">
      <c r="C64532"/>
      <c r="M64532"/>
    </row>
    <row r="64533" spans="3:13" ht="12.75" customHeight="1" x14ac:dyDescent="0.2">
      <c r="C64533"/>
      <c r="M64533"/>
    </row>
    <row r="64534" spans="3:13" ht="12.75" customHeight="1" x14ac:dyDescent="0.2">
      <c r="C64534"/>
      <c r="M64534"/>
    </row>
    <row r="64535" spans="3:13" ht="12.75" customHeight="1" x14ac:dyDescent="0.2">
      <c r="C64535"/>
      <c r="M64535"/>
    </row>
    <row r="64536" spans="3:13" ht="12.75" customHeight="1" x14ac:dyDescent="0.2">
      <c r="C64536"/>
      <c r="M64536"/>
    </row>
    <row r="64537" spans="3:13" ht="12.75" customHeight="1" x14ac:dyDescent="0.2">
      <c r="C64537"/>
      <c r="M64537"/>
    </row>
    <row r="64538" spans="3:13" ht="12.75" customHeight="1" x14ac:dyDescent="0.2">
      <c r="C64538"/>
      <c r="M64538"/>
    </row>
    <row r="64539" spans="3:13" ht="12.75" customHeight="1" x14ac:dyDescent="0.2">
      <c r="C64539"/>
      <c r="M64539"/>
    </row>
    <row r="64540" spans="3:13" ht="12.75" customHeight="1" x14ac:dyDescent="0.2">
      <c r="C64540"/>
      <c r="M64540"/>
    </row>
    <row r="64541" spans="3:13" ht="12.75" customHeight="1" x14ac:dyDescent="0.2">
      <c r="C64541"/>
      <c r="M64541"/>
    </row>
    <row r="64542" spans="3:13" ht="12.75" customHeight="1" x14ac:dyDescent="0.2">
      <c r="C64542"/>
      <c r="M64542"/>
    </row>
    <row r="64543" spans="3:13" ht="12.75" customHeight="1" x14ac:dyDescent="0.2">
      <c r="C64543"/>
      <c r="M64543"/>
    </row>
    <row r="64544" spans="3:13" ht="12.75" customHeight="1" x14ac:dyDescent="0.2">
      <c r="C64544"/>
      <c r="M64544"/>
    </row>
    <row r="64545" spans="3:13" ht="12.75" customHeight="1" x14ac:dyDescent="0.2">
      <c r="C64545"/>
      <c r="M64545"/>
    </row>
    <row r="64546" spans="3:13" ht="12.75" customHeight="1" x14ac:dyDescent="0.2">
      <c r="C64546"/>
      <c r="M64546"/>
    </row>
    <row r="64547" spans="3:13" ht="12.75" customHeight="1" x14ac:dyDescent="0.2">
      <c r="C64547"/>
      <c r="M64547"/>
    </row>
    <row r="64548" spans="3:13" ht="12.75" customHeight="1" x14ac:dyDescent="0.2">
      <c r="C64548"/>
      <c r="M64548"/>
    </row>
    <row r="64549" spans="3:13" ht="12.75" customHeight="1" x14ac:dyDescent="0.2">
      <c r="C64549"/>
      <c r="M64549"/>
    </row>
    <row r="64550" spans="3:13" ht="12.75" customHeight="1" x14ac:dyDescent="0.2">
      <c r="C64550"/>
      <c r="M64550"/>
    </row>
    <row r="64551" spans="3:13" ht="12.75" customHeight="1" x14ac:dyDescent="0.2">
      <c r="C64551"/>
      <c r="M64551"/>
    </row>
    <row r="64552" spans="3:13" ht="12.75" customHeight="1" x14ac:dyDescent="0.2">
      <c r="C64552"/>
      <c r="M64552"/>
    </row>
    <row r="64553" spans="3:13" ht="12.75" customHeight="1" x14ac:dyDescent="0.2">
      <c r="C64553"/>
      <c r="M64553"/>
    </row>
    <row r="64554" spans="3:13" ht="12.75" customHeight="1" x14ac:dyDescent="0.2">
      <c r="C64554"/>
      <c r="M64554"/>
    </row>
    <row r="64555" spans="3:13" ht="12.75" customHeight="1" x14ac:dyDescent="0.2">
      <c r="C64555"/>
      <c r="M64555"/>
    </row>
    <row r="64556" spans="3:13" ht="12.75" customHeight="1" x14ac:dyDescent="0.2">
      <c r="C64556"/>
      <c r="M64556"/>
    </row>
    <row r="64557" spans="3:13" ht="12.75" customHeight="1" x14ac:dyDescent="0.2">
      <c r="C64557"/>
      <c r="M64557"/>
    </row>
    <row r="64558" spans="3:13" ht="12.75" customHeight="1" x14ac:dyDescent="0.2">
      <c r="C64558"/>
      <c r="M64558"/>
    </row>
    <row r="64559" spans="3:13" ht="12.75" customHeight="1" x14ac:dyDescent="0.2">
      <c r="C64559"/>
      <c r="M64559"/>
    </row>
    <row r="64560" spans="3:13" ht="12.75" customHeight="1" x14ac:dyDescent="0.2">
      <c r="C64560"/>
      <c r="M64560"/>
    </row>
    <row r="64561" spans="3:13" ht="12.75" customHeight="1" x14ac:dyDescent="0.2">
      <c r="C64561"/>
      <c r="M64561"/>
    </row>
    <row r="64562" spans="3:13" ht="12.75" customHeight="1" x14ac:dyDescent="0.2">
      <c r="C64562"/>
      <c r="M64562"/>
    </row>
    <row r="64563" spans="3:13" ht="12.75" customHeight="1" x14ac:dyDescent="0.2">
      <c r="C64563"/>
      <c r="M64563"/>
    </row>
    <row r="64564" spans="3:13" ht="12.75" customHeight="1" x14ac:dyDescent="0.2">
      <c r="C64564"/>
      <c r="M64564"/>
    </row>
    <row r="64565" spans="3:13" ht="12.75" customHeight="1" x14ac:dyDescent="0.2">
      <c r="C64565"/>
      <c r="M64565"/>
    </row>
    <row r="64566" spans="3:13" ht="12.75" customHeight="1" x14ac:dyDescent="0.2">
      <c r="C64566"/>
      <c r="M64566"/>
    </row>
    <row r="64567" spans="3:13" ht="12.75" customHeight="1" x14ac:dyDescent="0.2">
      <c r="C64567"/>
      <c r="M64567"/>
    </row>
    <row r="64568" spans="3:13" ht="12.75" customHeight="1" x14ac:dyDescent="0.2">
      <c r="C64568"/>
      <c r="M64568"/>
    </row>
    <row r="64569" spans="3:13" ht="12.75" customHeight="1" x14ac:dyDescent="0.2">
      <c r="C64569"/>
      <c r="M64569"/>
    </row>
    <row r="64570" spans="3:13" ht="12.75" customHeight="1" x14ac:dyDescent="0.2">
      <c r="C64570"/>
      <c r="M64570"/>
    </row>
    <row r="64571" spans="3:13" ht="12.75" customHeight="1" x14ac:dyDescent="0.2">
      <c r="C64571"/>
      <c r="M64571"/>
    </row>
    <row r="64572" spans="3:13" ht="12.75" customHeight="1" x14ac:dyDescent="0.2">
      <c r="C64572"/>
      <c r="M64572"/>
    </row>
    <row r="64573" spans="3:13" ht="12.75" customHeight="1" x14ac:dyDescent="0.2">
      <c r="C64573"/>
      <c r="M64573"/>
    </row>
    <row r="64574" spans="3:13" ht="12.75" customHeight="1" x14ac:dyDescent="0.2">
      <c r="C64574"/>
      <c r="M64574"/>
    </row>
    <row r="64575" spans="3:13" ht="12.75" customHeight="1" x14ac:dyDescent="0.2">
      <c r="C64575"/>
      <c r="M64575"/>
    </row>
    <row r="64576" spans="3:13" ht="12.75" customHeight="1" x14ac:dyDescent="0.2">
      <c r="C64576"/>
      <c r="M64576"/>
    </row>
    <row r="64577" spans="3:13" ht="12.75" customHeight="1" x14ac:dyDescent="0.2">
      <c r="C64577"/>
      <c r="M64577"/>
    </row>
    <row r="64578" spans="3:13" ht="12.75" customHeight="1" x14ac:dyDescent="0.2">
      <c r="C64578"/>
      <c r="M64578"/>
    </row>
    <row r="64579" spans="3:13" ht="12.75" customHeight="1" x14ac:dyDescent="0.2">
      <c r="C64579"/>
      <c r="M64579"/>
    </row>
    <row r="64580" spans="3:13" ht="12.75" customHeight="1" x14ac:dyDescent="0.2">
      <c r="C64580"/>
      <c r="M64580"/>
    </row>
    <row r="64581" spans="3:13" ht="12.75" customHeight="1" x14ac:dyDescent="0.2">
      <c r="C64581"/>
      <c r="M64581"/>
    </row>
    <row r="64582" spans="3:13" ht="12.75" customHeight="1" x14ac:dyDescent="0.2">
      <c r="C64582"/>
      <c r="M64582"/>
    </row>
    <row r="64583" spans="3:13" ht="12.75" customHeight="1" x14ac:dyDescent="0.2">
      <c r="C64583"/>
      <c r="M64583"/>
    </row>
    <row r="64584" spans="3:13" ht="12.75" customHeight="1" x14ac:dyDescent="0.2">
      <c r="C64584"/>
      <c r="M64584"/>
    </row>
    <row r="64585" spans="3:13" ht="12.75" customHeight="1" x14ac:dyDescent="0.2">
      <c r="C64585"/>
      <c r="M64585"/>
    </row>
    <row r="64586" spans="3:13" ht="12.75" customHeight="1" x14ac:dyDescent="0.2">
      <c r="C64586"/>
      <c r="M64586"/>
    </row>
    <row r="64587" spans="3:13" ht="12.75" customHeight="1" x14ac:dyDescent="0.2">
      <c r="C64587"/>
      <c r="M64587"/>
    </row>
    <row r="64588" spans="3:13" ht="12.75" customHeight="1" x14ac:dyDescent="0.2">
      <c r="C64588"/>
      <c r="M64588"/>
    </row>
    <row r="64589" spans="3:13" ht="12.75" customHeight="1" x14ac:dyDescent="0.2">
      <c r="C64589"/>
      <c r="M64589"/>
    </row>
    <row r="64590" spans="3:13" ht="12.75" customHeight="1" x14ac:dyDescent="0.2">
      <c r="C64590"/>
      <c r="M64590"/>
    </row>
    <row r="64591" spans="3:13" ht="12.75" customHeight="1" x14ac:dyDescent="0.2">
      <c r="C64591"/>
      <c r="M64591"/>
    </row>
    <row r="64592" spans="3:13" ht="12.75" customHeight="1" x14ac:dyDescent="0.2">
      <c r="C64592"/>
      <c r="M64592"/>
    </row>
    <row r="64593" spans="3:13" ht="12.75" customHeight="1" x14ac:dyDescent="0.2">
      <c r="C64593"/>
      <c r="M64593"/>
    </row>
    <row r="64594" spans="3:13" ht="12.75" customHeight="1" x14ac:dyDescent="0.2">
      <c r="C64594"/>
      <c r="M64594"/>
    </row>
    <row r="64595" spans="3:13" ht="12.75" customHeight="1" x14ac:dyDescent="0.2">
      <c r="C64595"/>
      <c r="M64595"/>
    </row>
    <row r="64596" spans="3:13" ht="12.75" customHeight="1" x14ac:dyDescent="0.2">
      <c r="C64596"/>
      <c r="M64596"/>
    </row>
    <row r="64597" spans="3:13" ht="12.75" customHeight="1" x14ac:dyDescent="0.2">
      <c r="C64597"/>
      <c r="M64597"/>
    </row>
    <row r="64598" spans="3:13" ht="12.75" customHeight="1" x14ac:dyDescent="0.2">
      <c r="C64598"/>
      <c r="M64598"/>
    </row>
    <row r="64599" spans="3:13" ht="12.75" customHeight="1" x14ac:dyDescent="0.2">
      <c r="C64599"/>
      <c r="M64599"/>
    </row>
    <row r="64600" spans="3:13" ht="12.75" customHeight="1" x14ac:dyDescent="0.2">
      <c r="C64600"/>
      <c r="M64600"/>
    </row>
    <row r="64601" spans="3:13" ht="12.75" customHeight="1" x14ac:dyDescent="0.2">
      <c r="C64601"/>
      <c r="M64601"/>
    </row>
    <row r="64602" spans="3:13" ht="12.75" customHeight="1" x14ac:dyDescent="0.2">
      <c r="C64602"/>
      <c r="M64602"/>
    </row>
    <row r="64603" spans="3:13" ht="12.75" customHeight="1" x14ac:dyDescent="0.2">
      <c r="C64603"/>
      <c r="M64603"/>
    </row>
    <row r="64604" spans="3:13" ht="12.75" customHeight="1" x14ac:dyDescent="0.2">
      <c r="C64604"/>
      <c r="M64604"/>
    </row>
    <row r="64605" spans="3:13" ht="12.75" customHeight="1" x14ac:dyDescent="0.2">
      <c r="C64605"/>
      <c r="M64605"/>
    </row>
    <row r="64606" spans="3:13" ht="12.75" customHeight="1" x14ac:dyDescent="0.2">
      <c r="C64606"/>
      <c r="M64606"/>
    </row>
    <row r="64607" spans="3:13" ht="12.75" customHeight="1" x14ac:dyDescent="0.2">
      <c r="C64607"/>
      <c r="M64607"/>
    </row>
    <row r="64608" spans="3:13" ht="12.75" customHeight="1" x14ac:dyDescent="0.2">
      <c r="C64608"/>
      <c r="M64608"/>
    </row>
    <row r="64609" spans="3:13" ht="12.75" customHeight="1" x14ac:dyDescent="0.2">
      <c r="C64609"/>
      <c r="M64609"/>
    </row>
    <row r="64610" spans="3:13" ht="12.75" customHeight="1" x14ac:dyDescent="0.2">
      <c r="C64610"/>
      <c r="M64610"/>
    </row>
    <row r="64611" spans="3:13" ht="12.75" customHeight="1" x14ac:dyDescent="0.2">
      <c r="C64611"/>
      <c r="M64611"/>
    </row>
    <row r="64612" spans="3:13" ht="12.75" customHeight="1" x14ac:dyDescent="0.2">
      <c r="C64612"/>
      <c r="M64612"/>
    </row>
    <row r="64613" spans="3:13" ht="12.75" customHeight="1" x14ac:dyDescent="0.2">
      <c r="C64613"/>
      <c r="M64613"/>
    </row>
    <row r="64614" spans="3:13" ht="12.75" customHeight="1" x14ac:dyDescent="0.2">
      <c r="C64614"/>
      <c r="M64614"/>
    </row>
    <row r="64615" spans="3:13" ht="12.75" customHeight="1" x14ac:dyDescent="0.2">
      <c r="C64615"/>
      <c r="M64615"/>
    </row>
    <row r="64616" spans="3:13" ht="12.75" customHeight="1" x14ac:dyDescent="0.2">
      <c r="C64616"/>
      <c r="M64616"/>
    </row>
    <row r="64617" spans="3:13" ht="12.75" customHeight="1" x14ac:dyDescent="0.2">
      <c r="C64617"/>
      <c r="M64617"/>
    </row>
    <row r="64618" spans="3:13" ht="12.75" customHeight="1" x14ac:dyDescent="0.2">
      <c r="C64618"/>
      <c r="M64618"/>
    </row>
    <row r="64619" spans="3:13" ht="12.75" customHeight="1" x14ac:dyDescent="0.2">
      <c r="C64619"/>
      <c r="M64619"/>
    </row>
    <row r="64620" spans="3:13" ht="12.75" customHeight="1" x14ac:dyDescent="0.2">
      <c r="C64620"/>
      <c r="M64620"/>
    </row>
    <row r="64621" spans="3:13" ht="12.75" customHeight="1" x14ac:dyDescent="0.2">
      <c r="C64621"/>
      <c r="M64621"/>
    </row>
    <row r="64622" spans="3:13" ht="12.75" customHeight="1" x14ac:dyDescent="0.2">
      <c r="C64622"/>
      <c r="M64622"/>
    </row>
    <row r="64623" spans="3:13" ht="12.75" customHeight="1" x14ac:dyDescent="0.2">
      <c r="C64623"/>
      <c r="M64623"/>
    </row>
    <row r="64624" spans="3:13" ht="12.75" customHeight="1" x14ac:dyDescent="0.2">
      <c r="C64624"/>
      <c r="M64624"/>
    </row>
    <row r="64625" spans="3:13" ht="12.75" customHeight="1" x14ac:dyDescent="0.2">
      <c r="C64625"/>
      <c r="M64625"/>
    </row>
    <row r="64626" spans="3:13" ht="12.75" customHeight="1" x14ac:dyDescent="0.2">
      <c r="C64626"/>
      <c r="M64626"/>
    </row>
    <row r="64627" spans="3:13" ht="12.75" customHeight="1" x14ac:dyDescent="0.2">
      <c r="C64627"/>
      <c r="M64627"/>
    </row>
    <row r="64628" spans="3:13" ht="12.75" customHeight="1" x14ac:dyDescent="0.2">
      <c r="C64628"/>
      <c r="M64628"/>
    </row>
    <row r="64629" spans="3:13" ht="12.75" customHeight="1" x14ac:dyDescent="0.2">
      <c r="C64629"/>
      <c r="M64629"/>
    </row>
    <row r="64630" spans="3:13" ht="12.75" customHeight="1" x14ac:dyDescent="0.2">
      <c r="C64630"/>
      <c r="M64630"/>
    </row>
    <row r="64631" spans="3:13" ht="12.75" customHeight="1" x14ac:dyDescent="0.2">
      <c r="C64631"/>
      <c r="M64631"/>
    </row>
    <row r="64632" spans="3:13" ht="12.75" customHeight="1" x14ac:dyDescent="0.2">
      <c r="C64632"/>
      <c r="M64632"/>
    </row>
    <row r="64633" spans="3:13" ht="12.75" customHeight="1" x14ac:dyDescent="0.2">
      <c r="C64633"/>
      <c r="M64633"/>
    </row>
    <row r="64634" spans="3:13" ht="12.75" customHeight="1" x14ac:dyDescent="0.2">
      <c r="C64634"/>
      <c r="M64634"/>
    </row>
    <row r="64635" spans="3:13" ht="12.75" customHeight="1" x14ac:dyDescent="0.2">
      <c r="C64635"/>
      <c r="M64635"/>
    </row>
    <row r="64636" spans="3:13" ht="12.75" customHeight="1" x14ac:dyDescent="0.2">
      <c r="C64636"/>
      <c r="M64636"/>
    </row>
    <row r="64637" spans="3:13" ht="12.75" customHeight="1" x14ac:dyDescent="0.2">
      <c r="C64637"/>
      <c r="M64637"/>
    </row>
    <row r="64638" spans="3:13" ht="12.75" customHeight="1" x14ac:dyDescent="0.2">
      <c r="C64638"/>
      <c r="M64638"/>
    </row>
    <row r="64639" spans="3:13" ht="12.75" customHeight="1" x14ac:dyDescent="0.2">
      <c r="C64639"/>
      <c r="M64639"/>
    </row>
    <row r="64640" spans="3:13" ht="12.75" customHeight="1" x14ac:dyDescent="0.2">
      <c r="C64640"/>
      <c r="M64640"/>
    </row>
    <row r="64641" spans="3:13" ht="12.75" customHeight="1" x14ac:dyDescent="0.2">
      <c r="C64641"/>
      <c r="M64641"/>
    </row>
    <row r="64642" spans="3:13" ht="12.75" customHeight="1" x14ac:dyDescent="0.2">
      <c r="C64642"/>
      <c r="M64642"/>
    </row>
    <row r="64643" spans="3:13" ht="12.75" customHeight="1" x14ac:dyDescent="0.2">
      <c r="C64643"/>
      <c r="M64643"/>
    </row>
    <row r="64644" spans="3:13" ht="12.75" customHeight="1" x14ac:dyDescent="0.2">
      <c r="C64644"/>
      <c r="M64644"/>
    </row>
    <row r="64645" spans="3:13" ht="12.75" customHeight="1" x14ac:dyDescent="0.2">
      <c r="C64645"/>
      <c r="M64645"/>
    </row>
    <row r="64646" spans="3:13" ht="12.75" customHeight="1" x14ac:dyDescent="0.2">
      <c r="C64646"/>
      <c r="M64646"/>
    </row>
    <row r="64647" spans="3:13" ht="12.75" customHeight="1" x14ac:dyDescent="0.2">
      <c r="C64647"/>
      <c r="M64647"/>
    </row>
    <row r="64648" spans="3:13" ht="12.75" customHeight="1" x14ac:dyDescent="0.2">
      <c r="C64648"/>
      <c r="M64648"/>
    </row>
    <row r="64649" spans="3:13" ht="12.75" customHeight="1" x14ac:dyDescent="0.2">
      <c r="C64649"/>
      <c r="M64649"/>
    </row>
    <row r="64650" spans="3:13" ht="12.75" customHeight="1" x14ac:dyDescent="0.2">
      <c r="C64650"/>
      <c r="M64650"/>
    </row>
    <row r="64651" spans="3:13" ht="12.75" customHeight="1" x14ac:dyDescent="0.2">
      <c r="C64651"/>
      <c r="M64651"/>
    </row>
    <row r="64652" spans="3:13" ht="12.75" customHeight="1" x14ac:dyDescent="0.2">
      <c r="C64652"/>
      <c r="M64652"/>
    </row>
    <row r="64653" spans="3:13" ht="12.75" customHeight="1" x14ac:dyDescent="0.2">
      <c r="C64653"/>
      <c r="M64653"/>
    </row>
    <row r="64654" spans="3:13" ht="12.75" customHeight="1" x14ac:dyDescent="0.2">
      <c r="C64654"/>
      <c r="M64654"/>
    </row>
    <row r="64655" spans="3:13" ht="12.75" customHeight="1" x14ac:dyDescent="0.2">
      <c r="C64655"/>
      <c r="M64655"/>
    </row>
    <row r="64656" spans="3:13" ht="12.75" customHeight="1" x14ac:dyDescent="0.2">
      <c r="C64656"/>
      <c r="M64656"/>
    </row>
    <row r="64657" spans="3:13" ht="12.75" customHeight="1" x14ac:dyDescent="0.2">
      <c r="C64657"/>
      <c r="M64657"/>
    </row>
    <row r="64658" spans="3:13" ht="12.75" customHeight="1" x14ac:dyDescent="0.2">
      <c r="C64658"/>
      <c r="M64658"/>
    </row>
    <row r="64659" spans="3:13" ht="12.75" customHeight="1" x14ac:dyDescent="0.2">
      <c r="C64659"/>
      <c r="M64659"/>
    </row>
    <row r="64660" spans="3:13" ht="12.75" customHeight="1" x14ac:dyDescent="0.2">
      <c r="C64660"/>
      <c r="M64660"/>
    </row>
    <row r="64661" spans="3:13" ht="12.75" customHeight="1" x14ac:dyDescent="0.2">
      <c r="C64661"/>
      <c r="M64661"/>
    </row>
    <row r="64662" spans="3:13" ht="12.75" customHeight="1" x14ac:dyDescent="0.2">
      <c r="C64662"/>
      <c r="M64662"/>
    </row>
    <row r="64663" spans="3:13" ht="12.75" customHeight="1" x14ac:dyDescent="0.2">
      <c r="C64663"/>
      <c r="M64663"/>
    </row>
    <row r="64664" spans="3:13" ht="12.75" customHeight="1" x14ac:dyDescent="0.2">
      <c r="C64664"/>
      <c r="M64664"/>
    </row>
    <row r="64665" spans="3:13" ht="12.75" customHeight="1" x14ac:dyDescent="0.2">
      <c r="C64665"/>
      <c r="M64665"/>
    </row>
    <row r="64666" spans="3:13" ht="12.75" customHeight="1" x14ac:dyDescent="0.2">
      <c r="C64666"/>
      <c r="M64666"/>
    </row>
    <row r="64667" spans="3:13" ht="12.75" customHeight="1" x14ac:dyDescent="0.2">
      <c r="C64667"/>
      <c r="M64667"/>
    </row>
    <row r="64668" spans="3:13" ht="12.75" customHeight="1" x14ac:dyDescent="0.2">
      <c r="C64668"/>
      <c r="M64668"/>
    </row>
    <row r="64669" spans="3:13" ht="12.75" customHeight="1" x14ac:dyDescent="0.2">
      <c r="C64669"/>
      <c r="M64669"/>
    </row>
    <row r="64670" spans="3:13" ht="12.75" customHeight="1" x14ac:dyDescent="0.2">
      <c r="C64670"/>
      <c r="M64670"/>
    </row>
    <row r="64671" spans="3:13" ht="12.75" customHeight="1" x14ac:dyDescent="0.2">
      <c r="C64671"/>
      <c r="M64671"/>
    </row>
    <row r="64672" spans="3:13" ht="12.75" customHeight="1" x14ac:dyDescent="0.2">
      <c r="C64672"/>
      <c r="M64672"/>
    </row>
    <row r="64673" spans="3:13" ht="12.75" customHeight="1" x14ac:dyDescent="0.2">
      <c r="C64673"/>
      <c r="M64673"/>
    </row>
    <row r="64674" spans="3:13" ht="12.75" customHeight="1" x14ac:dyDescent="0.2">
      <c r="C64674"/>
      <c r="M64674"/>
    </row>
    <row r="64675" spans="3:13" ht="12.75" customHeight="1" x14ac:dyDescent="0.2">
      <c r="C64675"/>
      <c r="M64675"/>
    </row>
    <row r="64676" spans="3:13" ht="12.75" customHeight="1" x14ac:dyDescent="0.2">
      <c r="C64676"/>
      <c r="M64676"/>
    </row>
    <row r="64677" spans="3:13" ht="12.75" customHeight="1" x14ac:dyDescent="0.2">
      <c r="C64677"/>
      <c r="M64677"/>
    </row>
    <row r="64678" spans="3:13" ht="12.75" customHeight="1" x14ac:dyDescent="0.2">
      <c r="C64678"/>
      <c r="M64678"/>
    </row>
    <row r="64679" spans="3:13" ht="12.75" customHeight="1" x14ac:dyDescent="0.2">
      <c r="C64679"/>
      <c r="M64679"/>
    </row>
    <row r="64680" spans="3:13" ht="12.75" customHeight="1" x14ac:dyDescent="0.2">
      <c r="C64680"/>
      <c r="M64680"/>
    </row>
    <row r="64681" spans="3:13" ht="12.75" customHeight="1" x14ac:dyDescent="0.2">
      <c r="C64681"/>
      <c r="M64681"/>
    </row>
    <row r="64682" spans="3:13" ht="12.75" customHeight="1" x14ac:dyDescent="0.2">
      <c r="C64682"/>
      <c r="M64682"/>
    </row>
    <row r="64683" spans="3:13" ht="12.75" customHeight="1" x14ac:dyDescent="0.2">
      <c r="C64683"/>
      <c r="M64683"/>
    </row>
    <row r="64684" spans="3:13" ht="12.75" customHeight="1" x14ac:dyDescent="0.2">
      <c r="C64684"/>
      <c r="M64684"/>
    </row>
    <row r="64685" spans="3:13" ht="12.75" customHeight="1" x14ac:dyDescent="0.2">
      <c r="C64685"/>
      <c r="M64685"/>
    </row>
    <row r="64686" spans="3:13" ht="12.75" customHeight="1" x14ac:dyDescent="0.2">
      <c r="C64686"/>
      <c r="M64686"/>
    </row>
    <row r="64687" spans="3:13" ht="12.75" customHeight="1" x14ac:dyDescent="0.2">
      <c r="C64687"/>
      <c r="M64687"/>
    </row>
    <row r="64688" spans="3:13" ht="12.75" customHeight="1" x14ac:dyDescent="0.2">
      <c r="C64688"/>
      <c r="M64688"/>
    </row>
    <row r="64689" spans="3:13" ht="12.75" customHeight="1" x14ac:dyDescent="0.2">
      <c r="C64689"/>
      <c r="M64689"/>
    </row>
    <row r="64690" spans="3:13" ht="12.75" customHeight="1" x14ac:dyDescent="0.2">
      <c r="C64690"/>
      <c r="M64690"/>
    </row>
    <row r="64691" spans="3:13" ht="12.75" customHeight="1" x14ac:dyDescent="0.2">
      <c r="C64691"/>
      <c r="M64691"/>
    </row>
    <row r="64692" spans="3:13" ht="12.75" customHeight="1" x14ac:dyDescent="0.2">
      <c r="C64692"/>
      <c r="M64692"/>
    </row>
    <row r="64693" spans="3:13" ht="12.75" customHeight="1" x14ac:dyDescent="0.2">
      <c r="C64693"/>
      <c r="M64693"/>
    </row>
    <row r="64694" spans="3:13" ht="12.75" customHeight="1" x14ac:dyDescent="0.2">
      <c r="C64694"/>
      <c r="M64694"/>
    </row>
    <row r="64695" spans="3:13" ht="12.75" customHeight="1" x14ac:dyDescent="0.2">
      <c r="C64695"/>
      <c r="M64695"/>
    </row>
    <row r="64696" spans="3:13" ht="12.75" customHeight="1" x14ac:dyDescent="0.2">
      <c r="C64696"/>
      <c r="M64696"/>
    </row>
    <row r="64697" spans="3:13" ht="12.75" customHeight="1" x14ac:dyDescent="0.2">
      <c r="C64697"/>
      <c r="M64697"/>
    </row>
    <row r="64698" spans="3:13" ht="12.75" customHeight="1" x14ac:dyDescent="0.2">
      <c r="C64698"/>
      <c r="M64698"/>
    </row>
    <row r="64699" spans="3:13" ht="12.75" customHeight="1" x14ac:dyDescent="0.2">
      <c r="C64699"/>
      <c r="M64699"/>
    </row>
    <row r="64700" spans="3:13" ht="12.75" customHeight="1" x14ac:dyDescent="0.2">
      <c r="C64700"/>
      <c r="M64700"/>
    </row>
    <row r="64701" spans="3:13" ht="12.75" customHeight="1" x14ac:dyDescent="0.2">
      <c r="C64701"/>
      <c r="M64701"/>
    </row>
    <row r="64702" spans="3:13" ht="12.75" customHeight="1" x14ac:dyDescent="0.2">
      <c r="C64702"/>
      <c r="M64702"/>
    </row>
    <row r="64703" spans="3:13" ht="12.75" customHeight="1" x14ac:dyDescent="0.2">
      <c r="C64703"/>
      <c r="M64703"/>
    </row>
    <row r="64704" spans="3:13" ht="12.75" customHeight="1" x14ac:dyDescent="0.2">
      <c r="C64704"/>
      <c r="M64704"/>
    </row>
    <row r="64705" spans="3:13" ht="12.75" customHeight="1" x14ac:dyDescent="0.2">
      <c r="C64705"/>
      <c r="M64705"/>
    </row>
    <row r="64706" spans="3:13" ht="12.75" customHeight="1" x14ac:dyDescent="0.2">
      <c r="C64706"/>
      <c r="M64706"/>
    </row>
    <row r="64707" spans="3:13" ht="12.75" customHeight="1" x14ac:dyDescent="0.2">
      <c r="C64707"/>
      <c r="M64707"/>
    </row>
    <row r="64708" spans="3:13" ht="12.75" customHeight="1" x14ac:dyDescent="0.2">
      <c r="C64708"/>
      <c r="M64708"/>
    </row>
    <row r="64709" spans="3:13" ht="12.75" customHeight="1" x14ac:dyDescent="0.2">
      <c r="C64709"/>
      <c r="M64709"/>
    </row>
    <row r="64710" spans="3:13" ht="12.75" customHeight="1" x14ac:dyDescent="0.2">
      <c r="C64710"/>
      <c r="M64710"/>
    </row>
    <row r="64711" spans="3:13" ht="12.75" customHeight="1" x14ac:dyDescent="0.2">
      <c r="C64711"/>
      <c r="M64711"/>
    </row>
    <row r="64712" spans="3:13" ht="12.75" customHeight="1" x14ac:dyDescent="0.2">
      <c r="C64712"/>
      <c r="M64712"/>
    </row>
    <row r="64713" spans="3:13" ht="12.75" customHeight="1" x14ac:dyDescent="0.2">
      <c r="C64713"/>
      <c r="M64713"/>
    </row>
    <row r="64714" spans="3:13" ht="12.75" customHeight="1" x14ac:dyDescent="0.2">
      <c r="C64714"/>
      <c r="M64714"/>
    </row>
    <row r="64715" spans="3:13" ht="12.75" customHeight="1" x14ac:dyDescent="0.2">
      <c r="C64715"/>
      <c r="M64715"/>
    </row>
    <row r="64716" spans="3:13" ht="12.75" customHeight="1" x14ac:dyDescent="0.2">
      <c r="C64716"/>
      <c r="M64716"/>
    </row>
    <row r="64717" spans="3:13" ht="12.75" customHeight="1" x14ac:dyDescent="0.2">
      <c r="C64717"/>
      <c r="M64717"/>
    </row>
    <row r="64718" spans="3:13" ht="12.75" customHeight="1" x14ac:dyDescent="0.2">
      <c r="C64718"/>
      <c r="M64718"/>
    </row>
    <row r="64719" spans="3:13" ht="12.75" customHeight="1" x14ac:dyDescent="0.2">
      <c r="C64719"/>
      <c r="M64719"/>
    </row>
    <row r="64720" spans="3:13" ht="12.75" customHeight="1" x14ac:dyDescent="0.2">
      <c r="C64720"/>
      <c r="M64720"/>
    </row>
    <row r="64721" spans="3:13" ht="12.75" customHeight="1" x14ac:dyDescent="0.2">
      <c r="C64721"/>
      <c r="M64721"/>
    </row>
    <row r="64722" spans="3:13" ht="12.75" customHeight="1" x14ac:dyDescent="0.2">
      <c r="C64722"/>
      <c r="M64722"/>
    </row>
    <row r="64723" spans="3:13" ht="12.75" customHeight="1" x14ac:dyDescent="0.2">
      <c r="C64723"/>
      <c r="M64723"/>
    </row>
    <row r="64724" spans="3:13" ht="12.75" customHeight="1" x14ac:dyDescent="0.2">
      <c r="C64724"/>
      <c r="M64724"/>
    </row>
    <row r="64725" spans="3:13" ht="12.75" customHeight="1" x14ac:dyDescent="0.2">
      <c r="C64725"/>
      <c r="M64725"/>
    </row>
    <row r="64726" spans="3:13" ht="12.75" customHeight="1" x14ac:dyDescent="0.2">
      <c r="C64726"/>
      <c r="M64726"/>
    </row>
    <row r="64727" spans="3:13" ht="12.75" customHeight="1" x14ac:dyDescent="0.2">
      <c r="C64727"/>
      <c r="M64727"/>
    </row>
    <row r="64728" spans="3:13" ht="12.75" customHeight="1" x14ac:dyDescent="0.2">
      <c r="C64728"/>
      <c r="M64728"/>
    </row>
    <row r="64729" spans="3:13" ht="12.75" customHeight="1" x14ac:dyDescent="0.2">
      <c r="C64729"/>
      <c r="M64729"/>
    </row>
    <row r="64730" spans="3:13" ht="12.75" customHeight="1" x14ac:dyDescent="0.2">
      <c r="C64730"/>
      <c r="M64730"/>
    </row>
    <row r="64731" spans="3:13" ht="12.75" customHeight="1" x14ac:dyDescent="0.2">
      <c r="C64731"/>
      <c r="M64731"/>
    </row>
    <row r="64732" spans="3:13" ht="12.75" customHeight="1" x14ac:dyDescent="0.2">
      <c r="C64732"/>
      <c r="M64732"/>
    </row>
    <row r="64733" spans="3:13" ht="12.75" customHeight="1" x14ac:dyDescent="0.2">
      <c r="C64733"/>
      <c r="M64733"/>
    </row>
    <row r="64734" spans="3:13" ht="12.75" customHeight="1" x14ac:dyDescent="0.2">
      <c r="C64734"/>
      <c r="M64734"/>
    </row>
    <row r="64735" spans="3:13" ht="12.75" customHeight="1" x14ac:dyDescent="0.2">
      <c r="C64735"/>
      <c r="M64735"/>
    </row>
    <row r="64736" spans="3:13" ht="12.75" customHeight="1" x14ac:dyDescent="0.2">
      <c r="C64736"/>
      <c r="M64736"/>
    </row>
    <row r="64737" spans="3:13" ht="12.75" customHeight="1" x14ac:dyDescent="0.2">
      <c r="C64737"/>
      <c r="M64737"/>
    </row>
    <row r="64738" spans="3:13" ht="12.75" customHeight="1" x14ac:dyDescent="0.2">
      <c r="C64738"/>
      <c r="M64738"/>
    </row>
    <row r="64739" spans="3:13" ht="12.75" customHeight="1" x14ac:dyDescent="0.2">
      <c r="C64739"/>
      <c r="M64739"/>
    </row>
    <row r="64740" spans="3:13" ht="12.75" customHeight="1" x14ac:dyDescent="0.2">
      <c r="C64740"/>
      <c r="M64740"/>
    </row>
    <row r="64741" spans="3:13" ht="12.75" customHeight="1" x14ac:dyDescent="0.2">
      <c r="C64741"/>
      <c r="M64741"/>
    </row>
    <row r="64742" spans="3:13" ht="12.75" customHeight="1" x14ac:dyDescent="0.2">
      <c r="C64742"/>
      <c r="M64742"/>
    </row>
    <row r="64743" spans="3:13" ht="12.75" customHeight="1" x14ac:dyDescent="0.2">
      <c r="C64743"/>
      <c r="M64743"/>
    </row>
    <row r="64744" spans="3:13" ht="12.75" customHeight="1" x14ac:dyDescent="0.2">
      <c r="C64744"/>
      <c r="M64744"/>
    </row>
    <row r="64745" spans="3:13" ht="12.75" customHeight="1" x14ac:dyDescent="0.2">
      <c r="C64745"/>
      <c r="M64745"/>
    </row>
    <row r="64746" spans="3:13" ht="12.75" customHeight="1" x14ac:dyDescent="0.2">
      <c r="C64746"/>
      <c r="M64746"/>
    </row>
    <row r="64747" spans="3:13" ht="12.75" customHeight="1" x14ac:dyDescent="0.2">
      <c r="C64747"/>
      <c r="M64747"/>
    </row>
    <row r="64748" spans="3:13" ht="12.75" customHeight="1" x14ac:dyDescent="0.2">
      <c r="C64748"/>
      <c r="M64748"/>
    </row>
    <row r="64749" spans="3:13" ht="12.75" customHeight="1" x14ac:dyDescent="0.2">
      <c r="C64749"/>
      <c r="M64749"/>
    </row>
    <row r="64750" spans="3:13" ht="12.75" customHeight="1" x14ac:dyDescent="0.2">
      <c r="C64750"/>
      <c r="M64750"/>
    </row>
    <row r="64751" spans="3:13" ht="12.75" customHeight="1" x14ac:dyDescent="0.2">
      <c r="C64751"/>
      <c r="M64751"/>
    </row>
    <row r="64752" spans="3:13" ht="12.75" customHeight="1" x14ac:dyDescent="0.2">
      <c r="C64752"/>
      <c r="M64752"/>
    </row>
    <row r="64753" spans="3:13" ht="12.75" customHeight="1" x14ac:dyDescent="0.2">
      <c r="C64753"/>
      <c r="M64753"/>
    </row>
    <row r="64754" spans="3:13" ht="12.75" customHeight="1" x14ac:dyDescent="0.2">
      <c r="C64754"/>
      <c r="M64754"/>
    </row>
    <row r="64755" spans="3:13" ht="12.75" customHeight="1" x14ac:dyDescent="0.2">
      <c r="C64755"/>
      <c r="M64755"/>
    </row>
    <row r="64756" spans="3:13" ht="12.75" customHeight="1" x14ac:dyDescent="0.2">
      <c r="C64756"/>
      <c r="M64756"/>
    </row>
    <row r="64757" spans="3:13" ht="12.75" customHeight="1" x14ac:dyDescent="0.2">
      <c r="C64757"/>
      <c r="M64757"/>
    </row>
    <row r="64758" spans="3:13" ht="12.75" customHeight="1" x14ac:dyDescent="0.2">
      <c r="C64758"/>
      <c r="M64758"/>
    </row>
    <row r="64759" spans="3:13" ht="12.75" customHeight="1" x14ac:dyDescent="0.2">
      <c r="C64759"/>
      <c r="M64759"/>
    </row>
    <row r="64760" spans="3:13" ht="12.75" customHeight="1" x14ac:dyDescent="0.2">
      <c r="C64760"/>
      <c r="M64760"/>
    </row>
    <row r="64761" spans="3:13" ht="12.75" customHeight="1" x14ac:dyDescent="0.2">
      <c r="C64761"/>
      <c r="M64761"/>
    </row>
    <row r="64762" spans="3:13" ht="12.75" customHeight="1" x14ac:dyDescent="0.2">
      <c r="C64762"/>
      <c r="M64762"/>
    </row>
    <row r="64763" spans="3:13" ht="12.75" customHeight="1" x14ac:dyDescent="0.2">
      <c r="C64763"/>
      <c r="M64763"/>
    </row>
    <row r="64764" spans="3:13" ht="12.75" customHeight="1" x14ac:dyDescent="0.2">
      <c r="C64764"/>
      <c r="M64764"/>
    </row>
    <row r="64765" spans="3:13" ht="12.75" customHeight="1" x14ac:dyDescent="0.2">
      <c r="C64765"/>
      <c r="M64765"/>
    </row>
    <row r="64766" spans="3:13" ht="12.75" customHeight="1" x14ac:dyDescent="0.2">
      <c r="C64766"/>
      <c r="M64766"/>
    </row>
    <row r="64767" spans="3:13" ht="12.75" customHeight="1" x14ac:dyDescent="0.2">
      <c r="C64767"/>
      <c r="M64767"/>
    </row>
    <row r="64768" spans="3:13" ht="12.75" customHeight="1" x14ac:dyDescent="0.2">
      <c r="C64768"/>
      <c r="M64768"/>
    </row>
    <row r="64769" spans="3:13" ht="12.75" customHeight="1" x14ac:dyDescent="0.2">
      <c r="C64769"/>
      <c r="M64769"/>
    </row>
    <row r="64770" spans="3:13" ht="12.75" customHeight="1" x14ac:dyDescent="0.2">
      <c r="C64770"/>
      <c r="M64770"/>
    </row>
    <row r="64771" spans="3:13" ht="12.75" customHeight="1" x14ac:dyDescent="0.2">
      <c r="C64771"/>
      <c r="M64771"/>
    </row>
    <row r="64772" spans="3:13" ht="12.75" customHeight="1" x14ac:dyDescent="0.2">
      <c r="C64772"/>
      <c r="M64772"/>
    </row>
    <row r="64773" spans="3:13" ht="12.75" customHeight="1" x14ac:dyDescent="0.2">
      <c r="C64773"/>
      <c r="M64773"/>
    </row>
    <row r="64774" spans="3:13" ht="12.75" customHeight="1" x14ac:dyDescent="0.2">
      <c r="C64774"/>
      <c r="M64774"/>
    </row>
    <row r="64775" spans="3:13" ht="12.75" customHeight="1" x14ac:dyDescent="0.2">
      <c r="C64775"/>
      <c r="M64775"/>
    </row>
    <row r="64776" spans="3:13" ht="12.75" customHeight="1" x14ac:dyDescent="0.2">
      <c r="C64776"/>
      <c r="M64776"/>
    </row>
    <row r="64777" spans="3:13" ht="12.75" customHeight="1" x14ac:dyDescent="0.2">
      <c r="C64777"/>
      <c r="M64777"/>
    </row>
    <row r="64778" spans="3:13" ht="12.75" customHeight="1" x14ac:dyDescent="0.2">
      <c r="C64778"/>
      <c r="M64778"/>
    </row>
    <row r="64779" spans="3:13" ht="12.75" customHeight="1" x14ac:dyDescent="0.2">
      <c r="C64779"/>
      <c r="M64779"/>
    </row>
    <row r="64780" spans="3:13" ht="12.75" customHeight="1" x14ac:dyDescent="0.2">
      <c r="C64780"/>
      <c r="M64780"/>
    </row>
    <row r="64781" spans="3:13" ht="12.75" customHeight="1" x14ac:dyDescent="0.2">
      <c r="C64781"/>
      <c r="M64781"/>
    </row>
    <row r="64782" spans="3:13" ht="12.75" customHeight="1" x14ac:dyDescent="0.2">
      <c r="C64782"/>
      <c r="M64782"/>
    </row>
    <row r="64783" spans="3:13" ht="12.75" customHeight="1" x14ac:dyDescent="0.2">
      <c r="C64783"/>
      <c r="M64783"/>
    </row>
    <row r="64784" spans="3:13" ht="12.75" customHeight="1" x14ac:dyDescent="0.2">
      <c r="C64784"/>
      <c r="M64784"/>
    </row>
    <row r="64785" spans="3:13" ht="12.75" customHeight="1" x14ac:dyDescent="0.2">
      <c r="C64785"/>
      <c r="M64785"/>
    </row>
    <row r="64786" spans="3:13" ht="12.75" customHeight="1" x14ac:dyDescent="0.2">
      <c r="C64786"/>
      <c r="M64786"/>
    </row>
    <row r="64787" spans="3:13" ht="12.75" customHeight="1" x14ac:dyDescent="0.2">
      <c r="C64787"/>
      <c r="M64787"/>
    </row>
    <row r="64788" spans="3:13" ht="12.75" customHeight="1" x14ac:dyDescent="0.2">
      <c r="C64788"/>
      <c r="M64788"/>
    </row>
    <row r="64789" spans="3:13" ht="12.75" customHeight="1" x14ac:dyDescent="0.2">
      <c r="C64789"/>
      <c r="M64789"/>
    </row>
    <row r="64790" spans="3:13" ht="12.75" customHeight="1" x14ac:dyDescent="0.2">
      <c r="C64790"/>
      <c r="M64790"/>
    </row>
    <row r="64791" spans="3:13" ht="12.75" customHeight="1" x14ac:dyDescent="0.2">
      <c r="C64791"/>
      <c r="M64791"/>
    </row>
    <row r="64792" spans="3:13" ht="12.75" customHeight="1" x14ac:dyDescent="0.2">
      <c r="C64792"/>
      <c r="M64792"/>
    </row>
    <row r="64793" spans="3:13" ht="12.75" customHeight="1" x14ac:dyDescent="0.2">
      <c r="C64793"/>
      <c r="M64793"/>
    </row>
    <row r="64794" spans="3:13" ht="12.75" customHeight="1" x14ac:dyDescent="0.2">
      <c r="C64794"/>
      <c r="M64794"/>
    </row>
    <row r="64795" spans="3:13" ht="12.75" customHeight="1" x14ac:dyDescent="0.2">
      <c r="C64795"/>
      <c r="M64795"/>
    </row>
    <row r="64796" spans="3:13" ht="12.75" customHeight="1" x14ac:dyDescent="0.2">
      <c r="C64796"/>
      <c r="M64796"/>
    </row>
    <row r="64797" spans="3:13" ht="12.75" customHeight="1" x14ac:dyDescent="0.2">
      <c r="C64797"/>
      <c r="M64797"/>
    </row>
    <row r="64798" spans="3:13" ht="12.75" customHeight="1" x14ac:dyDescent="0.2">
      <c r="C64798"/>
      <c r="M64798"/>
    </row>
    <row r="64799" spans="3:13" ht="12.75" customHeight="1" x14ac:dyDescent="0.2">
      <c r="C64799"/>
      <c r="M64799"/>
    </row>
    <row r="64800" spans="3:13" ht="12.75" customHeight="1" x14ac:dyDescent="0.2">
      <c r="C64800"/>
      <c r="M64800"/>
    </row>
    <row r="64801" spans="3:13" ht="12.75" customHeight="1" x14ac:dyDescent="0.2">
      <c r="C64801"/>
      <c r="M64801"/>
    </row>
    <row r="64802" spans="3:13" ht="12.75" customHeight="1" x14ac:dyDescent="0.2">
      <c r="C64802"/>
      <c r="M64802"/>
    </row>
    <row r="64803" spans="3:13" ht="12.75" customHeight="1" x14ac:dyDescent="0.2">
      <c r="C64803"/>
      <c r="M64803"/>
    </row>
    <row r="64804" spans="3:13" ht="12.75" customHeight="1" x14ac:dyDescent="0.2">
      <c r="C64804"/>
      <c r="M64804"/>
    </row>
    <row r="64805" spans="3:13" ht="12.75" customHeight="1" x14ac:dyDescent="0.2">
      <c r="C64805"/>
      <c r="M64805"/>
    </row>
    <row r="64806" spans="3:13" ht="12.75" customHeight="1" x14ac:dyDescent="0.2">
      <c r="C64806"/>
      <c r="M64806"/>
    </row>
    <row r="64807" spans="3:13" ht="12.75" customHeight="1" x14ac:dyDescent="0.2">
      <c r="C64807"/>
      <c r="M64807"/>
    </row>
    <row r="64808" spans="3:13" ht="12.75" customHeight="1" x14ac:dyDescent="0.2">
      <c r="C64808"/>
      <c r="M64808"/>
    </row>
    <row r="64809" spans="3:13" ht="12.75" customHeight="1" x14ac:dyDescent="0.2">
      <c r="C64809"/>
      <c r="M64809"/>
    </row>
    <row r="64810" spans="3:13" ht="12.75" customHeight="1" x14ac:dyDescent="0.2">
      <c r="C64810"/>
      <c r="M64810"/>
    </row>
    <row r="64811" spans="3:13" ht="12.75" customHeight="1" x14ac:dyDescent="0.2">
      <c r="C64811"/>
      <c r="M64811"/>
    </row>
    <row r="64812" spans="3:13" ht="12.75" customHeight="1" x14ac:dyDescent="0.2">
      <c r="C64812"/>
      <c r="M64812"/>
    </row>
    <row r="64813" spans="3:13" ht="12.75" customHeight="1" x14ac:dyDescent="0.2">
      <c r="C64813"/>
      <c r="M64813"/>
    </row>
    <row r="64814" spans="3:13" ht="12.75" customHeight="1" x14ac:dyDescent="0.2">
      <c r="C64814"/>
      <c r="M64814"/>
    </row>
    <row r="64815" spans="3:13" ht="12.75" customHeight="1" x14ac:dyDescent="0.2">
      <c r="C64815"/>
      <c r="M64815"/>
    </row>
    <row r="64816" spans="3:13" ht="12.75" customHeight="1" x14ac:dyDescent="0.2">
      <c r="C64816"/>
      <c r="M64816"/>
    </row>
    <row r="64817" spans="3:13" ht="12.75" customHeight="1" x14ac:dyDescent="0.2">
      <c r="C64817"/>
      <c r="M64817"/>
    </row>
    <row r="64818" spans="3:13" ht="12.75" customHeight="1" x14ac:dyDescent="0.2">
      <c r="C64818"/>
      <c r="M64818"/>
    </row>
    <row r="64819" spans="3:13" ht="12.75" customHeight="1" x14ac:dyDescent="0.2">
      <c r="C64819"/>
      <c r="M64819"/>
    </row>
    <row r="64820" spans="3:13" ht="12.75" customHeight="1" x14ac:dyDescent="0.2">
      <c r="C64820"/>
      <c r="M64820"/>
    </row>
    <row r="64821" spans="3:13" ht="12.75" customHeight="1" x14ac:dyDescent="0.2">
      <c r="C64821"/>
      <c r="M64821"/>
    </row>
    <row r="64822" spans="3:13" ht="12.75" customHeight="1" x14ac:dyDescent="0.2">
      <c r="C64822"/>
      <c r="M64822"/>
    </row>
    <row r="64823" spans="3:13" ht="12.75" customHeight="1" x14ac:dyDescent="0.2">
      <c r="C64823"/>
      <c r="M64823"/>
    </row>
    <row r="64824" spans="3:13" ht="12.75" customHeight="1" x14ac:dyDescent="0.2">
      <c r="C64824"/>
      <c r="M64824"/>
    </row>
    <row r="64825" spans="3:13" ht="12.75" customHeight="1" x14ac:dyDescent="0.2">
      <c r="C64825"/>
      <c r="M64825"/>
    </row>
    <row r="64826" spans="3:13" ht="12.75" customHeight="1" x14ac:dyDescent="0.2">
      <c r="C64826"/>
      <c r="M64826"/>
    </row>
    <row r="64827" spans="3:13" ht="12.75" customHeight="1" x14ac:dyDescent="0.2">
      <c r="C64827"/>
      <c r="M64827"/>
    </row>
    <row r="64828" spans="3:13" ht="12.75" customHeight="1" x14ac:dyDescent="0.2">
      <c r="C64828"/>
      <c r="M64828"/>
    </row>
    <row r="64829" spans="3:13" ht="12.75" customHeight="1" x14ac:dyDescent="0.2">
      <c r="C64829"/>
      <c r="M64829"/>
    </row>
    <row r="64830" spans="3:13" ht="12.75" customHeight="1" x14ac:dyDescent="0.2">
      <c r="C64830"/>
      <c r="M64830"/>
    </row>
    <row r="64831" spans="3:13" ht="12.75" customHeight="1" x14ac:dyDescent="0.2">
      <c r="C64831"/>
      <c r="M64831"/>
    </row>
    <row r="64832" spans="3:13" ht="12.75" customHeight="1" x14ac:dyDescent="0.2">
      <c r="C64832"/>
      <c r="M64832"/>
    </row>
    <row r="64833" spans="3:13" ht="12.75" customHeight="1" x14ac:dyDescent="0.2">
      <c r="C64833"/>
      <c r="M64833"/>
    </row>
    <row r="64834" spans="3:13" ht="12.75" customHeight="1" x14ac:dyDescent="0.2">
      <c r="C64834"/>
      <c r="M64834"/>
    </row>
    <row r="64835" spans="3:13" ht="12.75" customHeight="1" x14ac:dyDescent="0.2">
      <c r="C64835"/>
      <c r="M64835"/>
    </row>
    <row r="64836" spans="3:13" ht="12.75" customHeight="1" x14ac:dyDescent="0.2">
      <c r="C64836"/>
      <c r="M64836"/>
    </row>
    <row r="64837" spans="3:13" ht="12.75" customHeight="1" x14ac:dyDescent="0.2">
      <c r="C64837"/>
      <c r="M64837"/>
    </row>
    <row r="64838" spans="3:13" ht="12.75" customHeight="1" x14ac:dyDescent="0.2">
      <c r="C64838"/>
      <c r="M64838"/>
    </row>
    <row r="64839" spans="3:13" ht="12.75" customHeight="1" x14ac:dyDescent="0.2">
      <c r="C64839"/>
      <c r="M64839"/>
    </row>
    <row r="64840" spans="3:13" ht="12.75" customHeight="1" x14ac:dyDescent="0.2">
      <c r="C64840"/>
      <c r="M64840"/>
    </row>
    <row r="64841" spans="3:13" ht="12.75" customHeight="1" x14ac:dyDescent="0.2">
      <c r="C64841"/>
      <c r="M64841"/>
    </row>
    <row r="64842" spans="3:13" ht="12.75" customHeight="1" x14ac:dyDescent="0.2">
      <c r="C64842"/>
      <c r="M64842"/>
    </row>
    <row r="64843" spans="3:13" ht="12.75" customHeight="1" x14ac:dyDescent="0.2">
      <c r="C64843"/>
      <c r="M64843"/>
    </row>
    <row r="64844" spans="3:13" ht="12.75" customHeight="1" x14ac:dyDescent="0.2">
      <c r="C64844"/>
      <c r="M64844"/>
    </row>
    <row r="64845" spans="3:13" ht="12.75" customHeight="1" x14ac:dyDescent="0.2">
      <c r="C64845"/>
      <c r="M64845"/>
    </row>
    <row r="64846" spans="3:13" ht="12.75" customHeight="1" x14ac:dyDescent="0.2">
      <c r="C64846"/>
      <c r="M64846"/>
    </row>
    <row r="64847" spans="3:13" ht="12.75" customHeight="1" x14ac:dyDescent="0.2">
      <c r="C64847"/>
      <c r="M64847"/>
    </row>
    <row r="64848" spans="3:13" ht="12.75" customHeight="1" x14ac:dyDescent="0.2">
      <c r="C64848"/>
      <c r="M64848"/>
    </row>
    <row r="64849" spans="3:13" ht="12.75" customHeight="1" x14ac:dyDescent="0.2">
      <c r="C64849"/>
      <c r="M64849"/>
    </row>
    <row r="64850" spans="3:13" ht="12.75" customHeight="1" x14ac:dyDescent="0.2">
      <c r="C64850"/>
      <c r="M64850"/>
    </row>
    <row r="64851" spans="3:13" ht="12.75" customHeight="1" x14ac:dyDescent="0.2">
      <c r="C64851"/>
      <c r="M64851"/>
    </row>
    <row r="64852" spans="3:13" ht="12.75" customHeight="1" x14ac:dyDescent="0.2">
      <c r="C64852"/>
      <c r="M64852"/>
    </row>
    <row r="64853" spans="3:13" ht="12.75" customHeight="1" x14ac:dyDescent="0.2">
      <c r="C64853"/>
      <c r="M64853"/>
    </row>
    <row r="64854" spans="3:13" ht="12.75" customHeight="1" x14ac:dyDescent="0.2">
      <c r="C64854"/>
      <c r="M64854"/>
    </row>
    <row r="64855" spans="3:13" ht="12.75" customHeight="1" x14ac:dyDescent="0.2">
      <c r="C64855"/>
      <c r="M64855"/>
    </row>
    <row r="64856" spans="3:13" ht="12.75" customHeight="1" x14ac:dyDescent="0.2">
      <c r="C64856"/>
      <c r="M64856"/>
    </row>
    <row r="64857" spans="3:13" ht="12.75" customHeight="1" x14ac:dyDescent="0.2">
      <c r="C64857"/>
      <c r="M64857"/>
    </row>
    <row r="64858" spans="3:13" ht="12.75" customHeight="1" x14ac:dyDescent="0.2">
      <c r="C64858"/>
      <c r="M64858"/>
    </row>
    <row r="64859" spans="3:13" ht="12.75" customHeight="1" x14ac:dyDescent="0.2">
      <c r="C64859"/>
      <c r="M64859"/>
    </row>
    <row r="64860" spans="3:13" ht="12.75" customHeight="1" x14ac:dyDescent="0.2">
      <c r="C64860"/>
      <c r="M64860"/>
    </row>
    <row r="64861" spans="3:13" ht="12.75" customHeight="1" x14ac:dyDescent="0.2">
      <c r="C64861"/>
      <c r="M64861"/>
    </row>
    <row r="64862" spans="3:13" ht="12.75" customHeight="1" x14ac:dyDescent="0.2">
      <c r="C64862"/>
      <c r="M64862"/>
    </row>
    <row r="64863" spans="3:13" ht="12.75" customHeight="1" x14ac:dyDescent="0.2">
      <c r="C64863"/>
      <c r="M64863"/>
    </row>
    <row r="64864" spans="3:13" ht="12.75" customHeight="1" x14ac:dyDescent="0.2">
      <c r="C64864"/>
      <c r="M64864"/>
    </row>
    <row r="64865" spans="3:13" ht="12.75" customHeight="1" x14ac:dyDescent="0.2">
      <c r="C64865"/>
      <c r="M64865"/>
    </row>
    <row r="64866" spans="3:13" ht="12.75" customHeight="1" x14ac:dyDescent="0.2">
      <c r="C64866"/>
      <c r="M64866"/>
    </row>
    <row r="64867" spans="3:13" ht="12.75" customHeight="1" x14ac:dyDescent="0.2">
      <c r="C64867"/>
      <c r="M64867"/>
    </row>
    <row r="64868" spans="3:13" ht="12.75" customHeight="1" x14ac:dyDescent="0.2">
      <c r="C64868"/>
      <c r="M64868"/>
    </row>
    <row r="64869" spans="3:13" ht="12.75" customHeight="1" x14ac:dyDescent="0.2">
      <c r="C64869"/>
      <c r="M64869"/>
    </row>
    <row r="64870" spans="3:13" ht="12.75" customHeight="1" x14ac:dyDescent="0.2">
      <c r="C64870"/>
      <c r="M64870"/>
    </row>
    <row r="64871" spans="3:13" ht="12.75" customHeight="1" x14ac:dyDescent="0.2">
      <c r="C64871"/>
      <c r="M64871"/>
    </row>
    <row r="64872" spans="3:13" ht="12.75" customHeight="1" x14ac:dyDescent="0.2">
      <c r="C64872"/>
      <c r="M64872"/>
    </row>
    <row r="64873" spans="3:13" ht="12.75" customHeight="1" x14ac:dyDescent="0.2">
      <c r="C64873"/>
      <c r="M64873"/>
    </row>
    <row r="64874" spans="3:13" ht="12.75" customHeight="1" x14ac:dyDescent="0.2">
      <c r="C64874"/>
      <c r="M64874"/>
    </row>
    <row r="64875" spans="3:13" ht="12.75" customHeight="1" x14ac:dyDescent="0.2">
      <c r="C64875"/>
      <c r="M64875"/>
    </row>
    <row r="64876" spans="3:13" ht="12.75" customHeight="1" x14ac:dyDescent="0.2">
      <c r="C64876"/>
      <c r="M64876"/>
    </row>
    <row r="64877" spans="3:13" ht="12.75" customHeight="1" x14ac:dyDescent="0.2">
      <c r="C64877"/>
      <c r="M64877"/>
    </row>
    <row r="64878" spans="3:13" ht="12.75" customHeight="1" x14ac:dyDescent="0.2">
      <c r="C64878"/>
      <c r="M64878"/>
    </row>
    <row r="64879" spans="3:13" ht="12.75" customHeight="1" x14ac:dyDescent="0.2">
      <c r="C64879"/>
      <c r="M64879"/>
    </row>
    <row r="64880" spans="3:13" ht="12.75" customHeight="1" x14ac:dyDescent="0.2">
      <c r="C64880"/>
      <c r="M64880"/>
    </row>
    <row r="64881" spans="3:13" ht="12.75" customHeight="1" x14ac:dyDescent="0.2">
      <c r="C64881"/>
      <c r="M64881"/>
    </row>
    <row r="64882" spans="3:13" ht="12.75" customHeight="1" x14ac:dyDescent="0.2">
      <c r="C64882"/>
      <c r="M64882"/>
    </row>
    <row r="64883" spans="3:13" ht="12.75" customHeight="1" x14ac:dyDescent="0.2">
      <c r="C64883"/>
      <c r="M64883"/>
    </row>
    <row r="64884" spans="3:13" ht="12.75" customHeight="1" x14ac:dyDescent="0.2">
      <c r="C64884"/>
      <c r="M64884"/>
    </row>
    <row r="64885" spans="3:13" ht="12.75" customHeight="1" x14ac:dyDescent="0.2">
      <c r="C64885"/>
      <c r="M64885"/>
    </row>
    <row r="64886" spans="3:13" ht="12.75" customHeight="1" x14ac:dyDescent="0.2">
      <c r="C64886"/>
      <c r="M64886"/>
    </row>
    <row r="64887" spans="3:13" ht="12.75" customHeight="1" x14ac:dyDescent="0.2">
      <c r="C64887"/>
      <c r="M64887"/>
    </row>
    <row r="64888" spans="3:13" ht="12.75" customHeight="1" x14ac:dyDescent="0.2">
      <c r="C64888"/>
      <c r="M64888"/>
    </row>
    <row r="64889" spans="3:13" ht="12.75" customHeight="1" x14ac:dyDescent="0.2">
      <c r="C64889"/>
      <c r="M64889"/>
    </row>
    <row r="64890" spans="3:13" ht="12.75" customHeight="1" x14ac:dyDescent="0.2">
      <c r="C64890"/>
      <c r="M64890"/>
    </row>
    <row r="64891" spans="3:13" ht="12.75" customHeight="1" x14ac:dyDescent="0.2">
      <c r="C64891"/>
      <c r="M64891"/>
    </row>
    <row r="64892" spans="3:13" ht="12.75" customHeight="1" x14ac:dyDescent="0.2">
      <c r="C64892"/>
      <c r="M64892"/>
    </row>
    <row r="64893" spans="3:13" ht="12.75" customHeight="1" x14ac:dyDescent="0.2">
      <c r="C64893"/>
      <c r="M64893"/>
    </row>
    <row r="64894" spans="3:13" ht="12.75" customHeight="1" x14ac:dyDescent="0.2">
      <c r="C64894"/>
      <c r="M64894"/>
    </row>
    <row r="64895" spans="3:13" ht="12.75" customHeight="1" x14ac:dyDescent="0.2">
      <c r="C64895"/>
      <c r="M64895"/>
    </row>
    <row r="64896" spans="3:13" ht="12.75" customHeight="1" x14ac:dyDescent="0.2">
      <c r="C64896"/>
      <c r="M64896"/>
    </row>
    <row r="64897" spans="3:13" ht="12.75" customHeight="1" x14ac:dyDescent="0.2">
      <c r="C64897"/>
      <c r="M64897"/>
    </row>
    <row r="64898" spans="3:13" ht="12.75" customHeight="1" x14ac:dyDescent="0.2">
      <c r="C64898"/>
      <c r="M64898"/>
    </row>
    <row r="64899" spans="3:13" ht="12.75" customHeight="1" x14ac:dyDescent="0.2">
      <c r="C64899"/>
      <c r="M64899"/>
    </row>
    <row r="64900" spans="3:13" ht="12.75" customHeight="1" x14ac:dyDescent="0.2">
      <c r="C64900"/>
      <c r="M64900"/>
    </row>
    <row r="64901" spans="3:13" ht="12.75" customHeight="1" x14ac:dyDescent="0.2">
      <c r="C64901"/>
      <c r="M64901"/>
    </row>
    <row r="64902" spans="3:13" ht="12.75" customHeight="1" x14ac:dyDescent="0.2">
      <c r="C64902"/>
      <c r="M64902"/>
    </row>
    <row r="64903" spans="3:13" ht="12.75" customHeight="1" x14ac:dyDescent="0.2">
      <c r="C64903"/>
      <c r="M64903"/>
    </row>
    <row r="64904" spans="3:13" ht="12.75" customHeight="1" x14ac:dyDescent="0.2">
      <c r="C64904"/>
      <c r="M64904"/>
    </row>
    <row r="64905" spans="3:13" ht="12.75" customHeight="1" x14ac:dyDescent="0.2">
      <c r="C64905"/>
      <c r="M64905"/>
    </row>
    <row r="64906" spans="3:13" ht="12.75" customHeight="1" x14ac:dyDescent="0.2">
      <c r="C64906"/>
      <c r="M64906"/>
    </row>
    <row r="64907" spans="3:13" ht="12.75" customHeight="1" x14ac:dyDescent="0.2">
      <c r="C64907"/>
      <c r="M64907"/>
    </row>
    <row r="64908" spans="3:13" ht="12.75" customHeight="1" x14ac:dyDescent="0.2">
      <c r="C64908"/>
      <c r="M64908"/>
    </row>
    <row r="64909" spans="3:13" ht="12.75" customHeight="1" x14ac:dyDescent="0.2">
      <c r="C64909"/>
      <c r="M64909"/>
    </row>
    <row r="64910" spans="3:13" ht="12.75" customHeight="1" x14ac:dyDescent="0.2">
      <c r="C64910"/>
      <c r="M64910"/>
    </row>
    <row r="64911" spans="3:13" ht="12.75" customHeight="1" x14ac:dyDescent="0.2">
      <c r="C64911"/>
      <c r="M64911"/>
    </row>
    <row r="64912" spans="3:13" ht="12.75" customHeight="1" x14ac:dyDescent="0.2">
      <c r="C64912"/>
      <c r="M64912"/>
    </row>
    <row r="64913" spans="3:13" ht="12.75" customHeight="1" x14ac:dyDescent="0.2">
      <c r="C64913"/>
      <c r="M64913"/>
    </row>
    <row r="64914" spans="3:13" ht="12.75" customHeight="1" x14ac:dyDescent="0.2">
      <c r="C64914"/>
      <c r="M64914"/>
    </row>
    <row r="64915" spans="3:13" ht="12.75" customHeight="1" x14ac:dyDescent="0.2">
      <c r="C64915"/>
      <c r="M64915"/>
    </row>
    <row r="64916" spans="3:13" ht="12.75" customHeight="1" x14ac:dyDescent="0.2">
      <c r="C64916"/>
      <c r="M64916"/>
    </row>
    <row r="64917" spans="3:13" ht="12.75" customHeight="1" x14ac:dyDescent="0.2">
      <c r="C64917"/>
      <c r="M64917"/>
    </row>
    <row r="64918" spans="3:13" ht="12.75" customHeight="1" x14ac:dyDescent="0.2">
      <c r="C64918"/>
      <c r="M64918"/>
    </row>
    <row r="64919" spans="3:13" ht="12.75" customHeight="1" x14ac:dyDescent="0.2">
      <c r="C64919"/>
      <c r="M64919"/>
    </row>
    <row r="64920" spans="3:13" ht="12.75" customHeight="1" x14ac:dyDescent="0.2">
      <c r="C64920"/>
      <c r="M64920"/>
    </row>
    <row r="64921" spans="3:13" ht="12.75" customHeight="1" x14ac:dyDescent="0.2">
      <c r="C64921"/>
      <c r="M64921"/>
    </row>
    <row r="64922" spans="3:13" ht="12.75" customHeight="1" x14ac:dyDescent="0.2">
      <c r="C64922"/>
      <c r="M64922"/>
    </row>
    <row r="64923" spans="3:13" ht="12.75" customHeight="1" x14ac:dyDescent="0.2">
      <c r="C64923"/>
      <c r="M64923"/>
    </row>
    <row r="64924" spans="3:13" ht="12.75" customHeight="1" x14ac:dyDescent="0.2">
      <c r="C64924"/>
      <c r="M64924"/>
    </row>
    <row r="64925" spans="3:13" ht="12.75" customHeight="1" x14ac:dyDescent="0.2">
      <c r="C64925"/>
      <c r="M64925"/>
    </row>
    <row r="64926" spans="3:13" ht="12.75" customHeight="1" x14ac:dyDescent="0.2">
      <c r="C64926"/>
      <c r="M64926"/>
    </row>
    <row r="64927" spans="3:13" ht="12.75" customHeight="1" x14ac:dyDescent="0.2">
      <c r="C64927"/>
      <c r="M64927"/>
    </row>
    <row r="64928" spans="3:13" ht="12.75" customHeight="1" x14ac:dyDescent="0.2">
      <c r="C64928"/>
      <c r="M64928"/>
    </row>
    <row r="64929" spans="3:13" ht="12.75" customHeight="1" x14ac:dyDescent="0.2">
      <c r="C64929"/>
      <c r="M64929"/>
    </row>
    <row r="64930" spans="3:13" ht="12.75" customHeight="1" x14ac:dyDescent="0.2">
      <c r="C64930"/>
      <c r="M64930"/>
    </row>
    <row r="64931" spans="3:13" ht="12.75" customHeight="1" x14ac:dyDescent="0.2">
      <c r="C64931"/>
      <c r="M64931"/>
    </row>
    <row r="64932" spans="3:13" ht="12.75" customHeight="1" x14ac:dyDescent="0.2">
      <c r="C64932"/>
      <c r="M64932"/>
    </row>
    <row r="64933" spans="3:13" ht="12.75" customHeight="1" x14ac:dyDescent="0.2">
      <c r="C64933"/>
      <c r="M64933"/>
    </row>
    <row r="64934" spans="3:13" ht="12.75" customHeight="1" x14ac:dyDescent="0.2">
      <c r="C64934"/>
      <c r="M64934"/>
    </row>
    <row r="64935" spans="3:13" ht="12.75" customHeight="1" x14ac:dyDescent="0.2">
      <c r="C64935"/>
      <c r="M64935"/>
    </row>
    <row r="64936" spans="3:13" ht="12.75" customHeight="1" x14ac:dyDescent="0.2">
      <c r="C64936"/>
      <c r="M64936"/>
    </row>
    <row r="64937" spans="3:13" ht="12.75" customHeight="1" x14ac:dyDescent="0.2">
      <c r="C64937"/>
      <c r="M64937"/>
    </row>
    <row r="64938" spans="3:13" ht="12.75" customHeight="1" x14ac:dyDescent="0.2">
      <c r="C64938"/>
      <c r="M64938"/>
    </row>
    <row r="64939" spans="3:13" ht="12.75" customHeight="1" x14ac:dyDescent="0.2">
      <c r="C64939"/>
      <c r="M64939"/>
    </row>
    <row r="64940" spans="3:13" ht="12.75" customHeight="1" x14ac:dyDescent="0.2">
      <c r="C64940"/>
      <c r="M64940"/>
    </row>
    <row r="64941" spans="3:13" ht="12.75" customHeight="1" x14ac:dyDescent="0.2">
      <c r="C64941"/>
      <c r="M64941"/>
    </row>
    <row r="64942" spans="3:13" ht="12.75" customHeight="1" x14ac:dyDescent="0.2">
      <c r="C64942"/>
      <c r="M64942"/>
    </row>
    <row r="64943" spans="3:13" ht="12.75" customHeight="1" x14ac:dyDescent="0.2">
      <c r="C64943"/>
      <c r="M64943"/>
    </row>
    <row r="64944" spans="3:13" ht="12.75" customHeight="1" x14ac:dyDescent="0.2">
      <c r="C64944"/>
      <c r="M64944"/>
    </row>
    <row r="64945" spans="3:13" ht="12.75" customHeight="1" x14ac:dyDescent="0.2">
      <c r="C64945"/>
      <c r="M64945"/>
    </row>
    <row r="64946" spans="3:13" ht="12.75" customHeight="1" x14ac:dyDescent="0.2">
      <c r="C64946"/>
      <c r="M64946"/>
    </row>
    <row r="64947" spans="3:13" ht="12.75" customHeight="1" x14ac:dyDescent="0.2">
      <c r="C64947"/>
      <c r="M64947"/>
    </row>
    <row r="64948" spans="3:13" ht="12.75" customHeight="1" x14ac:dyDescent="0.2">
      <c r="C64948"/>
      <c r="M64948"/>
    </row>
    <row r="64949" spans="3:13" ht="12.75" customHeight="1" x14ac:dyDescent="0.2">
      <c r="C64949"/>
      <c r="M64949"/>
    </row>
    <row r="64950" spans="3:13" ht="12.75" customHeight="1" x14ac:dyDescent="0.2">
      <c r="C64950"/>
      <c r="M64950"/>
    </row>
    <row r="64951" spans="3:13" ht="12.75" customHeight="1" x14ac:dyDescent="0.2">
      <c r="C64951"/>
      <c r="M64951"/>
    </row>
    <row r="64952" spans="3:13" ht="12.75" customHeight="1" x14ac:dyDescent="0.2">
      <c r="C64952"/>
      <c r="M64952"/>
    </row>
    <row r="64953" spans="3:13" ht="12.75" customHeight="1" x14ac:dyDescent="0.2">
      <c r="C64953"/>
      <c r="M64953"/>
    </row>
    <row r="64954" spans="3:13" ht="12.75" customHeight="1" x14ac:dyDescent="0.2">
      <c r="C64954"/>
      <c r="M64954"/>
    </row>
    <row r="64955" spans="3:13" ht="12.75" customHeight="1" x14ac:dyDescent="0.2">
      <c r="C64955"/>
      <c r="M64955"/>
    </row>
    <row r="64956" spans="3:13" ht="12.75" customHeight="1" x14ac:dyDescent="0.2">
      <c r="C64956"/>
      <c r="M64956"/>
    </row>
    <row r="64957" spans="3:13" ht="12.75" customHeight="1" x14ac:dyDescent="0.2">
      <c r="C64957"/>
      <c r="M64957"/>
    </row>
    <row r="64958" spans="3:13" ht="12.75" customHeight="1" x14ac:dyDescent="0.2">
      <c r="C64958"/>
      <c r="M64958"/>
    </row>
    <row r="64959" spans="3:13" ht="12.75" customHeight="1" x14ac:dyDescent="0.2">
      <c r="C64959"/>
      <c r="M64959"/>
    </row>
    <row r="64960" spans="3:13" ht="12.75" customHeight="1" x14ac:dyDescent="0.2">
      <c r="C64960"/>
      <c r="M64960"/>
    </row>
    <row r="64961" spans="3:13" ht="12.75" customHeight="1" x14ac:dyDescent="0.2">
      <c r="C64961"/>
      <c r="M64961"/>
    </row>
    <row r="64962" spans="3:13" ht="12.75" customHeight="1" x14ac:dyDescent="0.2">
      <c r="C64962"/>
      <c r="M64962"/>
    </row>
    <row r="64963" spans="3:13" ht="12.75" customHeight="1" x14ac:dyDescent="0.2">
      <c r="C64963"/>
      <c r="M64963"/>
    </row>
    <row r="64964" spans="3:13" ht="12.75" customHeight="1" x14ac:dyDescent="0.2">
      <c r="C64964"/>
      <c r="M64964"/>
    </row>
    <row r="64965" spans="3:13" ht="12.75" customHeight="1" x14ac:dyDescent="0.2">
      <c r="C64965"/>
      <c r="M64965"/>
    </row>
    <row r="64966" spans="3:13" ht="12.75" customHeight="1" x14ac:dyDescent="0.2">
      <c r="C64966"/>
      <c r="M64966"/>
    </row>
    <row r="64967" spans="3:13" ht="12.75" customHeight="1" x14ac:dyDescent="0.2">
      <c r="C64967"/>
      <c r="M64967"/>
    </row>
    <row r="64968" spans="3:13" ht="12.75" customHeight="1" x14ac:dyDescent="0.2">
      <c r="C64968"/>
      <c r="M64968"/>
    </row>
    <row r="64969" spans="3:13" ht="12.75" customHeight="1" x14ac:dyDescent="0.2">
      <c r="C64969"/>
      <c r="M64969"/>
    </row>
    <row r="64970" spans="3:13" ht="12.75" customHeight="1" x14ac:dyDescent="0.2">
      <c r="C64970"/>
      <c r="M64970"/>
    </row>
    <row r="64971" spans="3:13" ht="12.75" customHeight="1" x14ac:dyDescent="0.2">
      <c r="C64971"/>
      <c r="M64971"/>
    </row>
    <row r="64972" spans="3:13" ht="12.75" customHeight="1" x14ac:dyDescent="0.2">
      <c r="C64972"/>
      <c r="M64972"/>
    </row>
    <row r="64973" spans="3:13" ht="12.75" customHeight="1" x14ac:dyDescent="0.2">
      <c r="C64973"/>
      <c r="M64973"/>
    </row>
    <row r="64974" spans="3:13" ht="12.75" customHeight="1" x14ac:dyDescent="0.2">
      <c r="C64974"/>
      <c r="M64974"/>
    </row>
    <row r="64975" spans="3:13" ht="12.75" customHeight="1" x14ac:dyDescent="0.2">
      <c r="C64975"/>
      <c r="M64975"/>
    </row>
    <row r="64976" spans="3:13" ht="12.75" customHeight="1" x14ac:dyDescent="0.2">
      <c r="C64976"/>
      <c r="M64976"/>
    </row>
    <row r="64977" spans="3:13" ht="12.75" customHeight="1" x14ac:dyDescent="0.2">
      <c r="C64977"/>
      <c r="M64977"/>
    </row>
    <row r="64978" spans="3:13" ht="12.75" customHeight="1" x14ac:dyDescent="0.2">
      <c r="C64978"/>
      <c r="M64978"/>
    </row>
    <row r="64979" spans="3:13" ht="12.75" customHeight="1" x14ac:dyDescent="0.2">
      <c r="C64979"/>
      <c r="M64979"/>
    </row>
    <row r="64980" spans="3:13" ht="12.75" customHeight="1" x14ac:dyDescent="0.2">
      <c r="C64980"/>
      <c r="M64980"/>
    </row>
    <row r="64981" spans="3:13" ht="12.75" customHeight="1" x14ac:dyDescent="0.2">
      <c r="C64981"/>
      <c r="M64981"/>
    </row>
    <row r="64982" spans="3:13" ht="12.75" customHeight="1" x14ac:dyDescent="0.2">
      <c r="C64982"/>
      <c r="M64982"/>
    </row>
    <row r="64983" spans="3:13" ht="12.75" customHeight="1" x14ac:dyDescent="0.2">
      <c r="C64983"/>
      <c r="M64983"/>
    </row>
    <row r="64984" spans="3:13" ht="12.75" customHeight="1" x14ac:dyDescent="0.2">
      <c r="C64984"/>
      <c r="M64984"/>
    </row>
    <row r="64985" spans="3:13" ht="12.75" customHeight="1" x14ac:dyDescent="0.2">
      <c r="C64985"/>
      <c r="M64985"/>
    </row>
    <row r="64986" spans="3:13" ht="12.75" customHeight="1" x14ac:dyDescent="0.2">
      <c r="C64986"/>
      <c r="M64986"/>
    </row>
    <row r="64987" spans="3:13" ht="12.75" customHeight="1" x14ac:dyDescent="0.2">
      <c r="C64987"/>
      <c r="M64987"/>
    </row>
    <row r="64988" spans="3:13" ht="12.75" customHeight="1" x14ac:dyDescent="0.2">
      <c r="C64988"/>
      <c r="M64988"/>
    </row>
    <row r="64989" spans="3:13" ht="12.75" customHeight="1" x14ac:dyDescent="0.2">
      <c r="C64989"/>
      <c r="M64989"/>
    </row>
    <row r="64990" spans="3:13" ht="12.75" customHeight="1" x14ac:dyDescent="0.2">
      <c r="C64990"/>
      <c r="M64990"/>
    </row>
    <row r="64991" spans="3:13" ht="12.75" customHeight="1" x14ac:dyDescent="0.2">
      <c r="C64991"/>
      <c r="M64991"/>
    </row>
    <row r="64992" spans="3:13" ht="12.75" customHeight="1" x14ac:dyDescent="0.2">
      <c r="C64992"/>
      <c r="M64992"/>
    </row>
    <row r="64993" spans="3:13" ht="12.75" customHeight="1" x14ac:dyDescent="0.2">
      <c r="C64993"/>
      <c r="M64993"/>
    </row>
    <row r="64994" spans="3:13" ht="12.75" customHeight="1" x14ac:dyDescent="0.2">
      <c r="C64994"/>
      <c r="M64994"/>
    </row>
    <row r="64995" spans="3:13" ht="12.75" customHeight="1" x14ac:dyDescent="0.2">
      <c r="C64995"/>
      <c r="M64995"/>
    </row>
    <row r="64996" spans="3:13" ht="12.75" customHeight="1" x14ac:dyDescent="0.2">
      <c r="C64996"/>
      <c r="M64996"/>
    </row>
    <row r="64997" spans="3:13" ht="12.75" customHeight="1" x14ac:dyDescent="0.2">
      <c r="C64997"/>
      <c r="M64997"/>
    </row>
    <row r="64998" spans="3:13" ht="12.75" customHeight="1" x14ac:dyDescent="0.2">
      <c r="C64998"/>
      <c r="M64998"/>
    </row>
    <row r="64999" spans="3:13" ht="12.75" customHeight="1" x14ac:dyDescent="0.2">
      <c r="C64999"/>
      <c r="M64999"/>
    </row>
    <row r="65000" spans="3:13" ht="12.75" customHeight="1" x14ac:dyDescent="0.2">
      <c r="C65000"/>
      <c r="M65000"/>
    </row>
    <row r="65001" spans="3:13" ht="12.75" customHeight="1" x14ac:dyDescent="0.2">
      <c r="C65001"/>
      <c r="M65001"/>
    </row>
    <row r="65002" spans="3:13" ht="12.75" customHeight="1" x14ac:dyDescent="0.2">
      <c r="C65002"/>
      <c r="M65002"/>
    </row>
    <row r="65003" spans="3:13" ht="12.75" customHeight="1" x14ac:dyDescent="0.2">
      <c r="C65003"/>
      <c r="M65003"/>
    </row>
    <row r="65004" spans="3:13" ht="12.75" customHeight="1" x14ac:dyDescent="0.2">
      <c r="C65004"/>
      <c r="M65004"/>
    </row>
    <row r="65005" spans="3:13" ht="12.75" customHeight="1" x14ac:dyDescent="0.2">
      <c r="C65005"/>
      <c r="M65005"/>
    </row>
    <row r="65006" spans="3:13" ht="12.75" customHeight="1" x14ac:dyDescent="0.2">
      <c r="C65006"/>
      <c r="M65006"/>
    </row>
    <row r="65007" spans="3:13" ht="12.75" customHeight="1" x14ac:dyDescent="0.2">
      <c r="C65007"/>
      <c r="M65007"/>
    </row>
    <row r="65008" spans="3:13" ht="12.75" customHeight="1" x14ac:dyDescent="0.2">
      <c r="C65008"/>
      <c r="M65008"/>
    </row>
    <row r="65009" spans="3:13" ht="12.75" customHeight="1" x14ac:dyDescent="0.2">
      <c r="C65009"/>
      <c r="M65009"/>
    </row>
    <row r="65010" spans="3:13" ht="12.75" customHeight="1" x14ac:dyDescent="0.2">
      <c r="C65010"/>
      <c r="M65010"/>
    </row>
    <row r="65011" spans="3:13" ht="12.75" customHeight="1" x14ac:dyDescent="0.2">
      <c r="C65011"/>
      <c r="M65011"/>
    </row>
    <row r="65012" spans="3:13" ht="12.75" customHeight="1" x14ac:dyDescent="0.2">
      <c r="C65012"/>
      <c r="M65012"/>
    </row>
    <row r="65013" spans="3:13" ht="12.75" customHeight="1" x14ac:dyDescent="0.2">
      <c r="C65013"/>
      <c r="M65013"/>
    </row>
    <row r="65014" spans="3:13" ht="12.75" customHeight="1" x14ac:dyDescent="0.2">
      <c r="C65014"/>
      <c r="M65014"/>
    </row>
    <row r="65015" spans="3:13" ht="12.75" customHeight="1" x14ac:dyDescent="0.2">
      <c r="C65015"/>
      <c r="M65015"/>
    </row>
    <row r="65016" spans="3:13" ht="12.75" customHeight="1" x14ac:dyDescent="0.2">
      <c r="C65016"/>
      <c r="M65016"/>
    </row>
    <row r="65017" spans="3:13" ht="12.75" customHeight="1" x14ac:dyDescent="0.2">
      <c r="C65017"/>
      <c r="M65017"/>
    </row>
    <row r="65018" spans="3:13" ht="12.75" customHeight="1" x14ac:dyDescent="0.2">
      <c r="C65018"/>
      <c r="M65018"/>
    </row>
    <row r="65019" spans="3:13" ht="12.75" customHeight="1" x14ac:dyDescent="0.2">
      <c r="C65019"/>
      <c r="M65019"/>
    </row>
    <row r="65020" spans="3:13" ht="12.75" customHeight="1" x14ac:dyDescent="0.2">
      <c r="C65020"/>
      <c r="M65020"/>
    </row>
    <row r="65021" spans="3:13" ht="12.75" customHeight="1" x14ac:dyDescent="0.2">
      <c r="C65021"/>
      <c r="M65021"/>
    </row>
    <row r="65022" spans="3:13" ht="12.75" customHeight="1" x14ac:dyDescent="0.2">
      <c r="C65022"/>
      <c r="M65022"/>
    </row>
    <row r="65023" spans="3:13" ht="12.75" customHeight="1" x14ac:dyDescent="0.2">
      <c r="C65023"/>
      <c r="M65023"/>
    </row>
    <row r="65024" spans="3:13" ht="12.75" customHeight="1" x14ac:dyDescent="0.2">
      <c r="C65024"/>
      <c r="M65024"/>
    </row>
    <row r="65025" spans="3:13" ht="12.75" customHeight="1" x14ac:dyDescent="0.2">
      <c r="C65025"/>
      <c r="M65025"/>
    </row>
    <row r="65026" spans="3:13" ht="12.75" customHeight="1" x14ac:dyDescent="0.2">
      <c r="C65026"/>
      <c r="M65026"/>
    </row>
    <row r="65027" spans="3:13" ht="12.75" customHeight="1" x14ac:dyDescent="0.2">
      <c r="C65027"/>
      <c r="M65027"/>
    </row>
    <row r="65028" spans="3:13" ht="12.75" customHeight="1" x14ac:dyDescent="0.2">
      <c r="C65028"/>
      <c r="M65028"/>
    </row>
    <row r="65029" spans="3:13" ht="12.75" customHeight="1" x14ac:dyDescent="0.2">
      <c r="C65029"/>
      <c r="M65029"/>
    </row>
    <row r="65030" spans="3:13" ht="12.75" customHeight="1" x14ac:dyDescent="0.2">
      <c r="C65030"/>
      <c r="M65030"/>
    </row>
    <row r="65031" spans="3:13" ht="12.75" customHeight="1" x14ac:dyDescent="0.2">
      <c r="C65031"/>
      <c r="M65031"/>
    </row>
    <row r="65032" spans="3:13" ht="12.75" customHeight="1" x14ac:dyDescent="0.2">
      <c r="C65032"/>
      <c r="M65032"/>
    </row>
    <row r="65033" spans="3:13" ht="12.75" customHeight="1" x14ac:dyDescent="0.2">
      <c r="C65033"/>
      <c r="M65033"/>
    </row>
    <row r="65034" spans="3:13" ht="12.75" customHeight="1" x14ac:dyDescent="0.2">
      <c r="C65034"/>
      <c r="M65034"/>
    </row>
    <row r="65035" spans="3:13" ht="12.75" customHeight="1" x14ac:dyDescent="0.2">
      <c r="C65035"/>
      <c r="M65035"/>
    </row>
    <row r="65036" spans="3:13" ht="12.75" customHeight="1" x14ac:dyDescent="0.2">
      <c r="C65036"/>
      <c r="M65036"/>
    </row>
    <row r="65037" spans="3:13" ht="12.75" customHeight="1" x14ac:dyDescent="0.2">
      <c r="C65037"/>
      <c r="M65037"/>
    </row>
    <row r="65038" spans="3:13" ht="12.75" customHeight="1" x14ac:dyDescent="0.2">
      <c r="C65038"/>
      <c r="M65038"/>
    </row>
    <row r="65039" spans="3:13" ht="12.75" customHeight="1" x14ac:dyDescent="0.2">
      <c r="C65039"/>
      <c r="M65039"/>
    </row>
    <row r="65040" spans="3:13" ht="12.75" customHeight="1" x14ac:dyDescent="0.2">
      <c r="C65040"/>
      <c r="M65040"/>
    </row>
    <row r="65041" spans="3:13" ht="12.75" customHeight="1" x14ac:dyDescent="0.2">
      <c r="C65041"/>
      <c r="M65041"/>
    </row>
    <row r="65042" spans="3:13" ht="12.75" customHeight="1" x14ac:dyDescent="0.2">
      <c r="C65042"/>
      <c r="M65042"/>
    </row>
    <row r="65043" spans="3:13" ht="12.75" customHeight="1" x14ac:dyDescent="0.2">
      <c r="C65043"/>
      <c r="M65043"/>
    </row>
    <row r="65044" spans="3:13" ht="12.75" customHeight="1" x14ac:dyDescent="0.2">
      <c r="C65044"/>
      <c r="M65044"/>
    </row>
    <row r="65045" spans="3:13" ht="12.75" customHeight="1" x14ac:dyDescent="0.2">
      <c r="C65045"/>
      <c r="M65045"/>
    </row>
    <row r="65046" spans="3:13" ht="12.75" customHeight="1" x14ac:dyDescent="0.2">
      <c r="C65046"/>
      <c r="M65046"/>
    </row>
    <row r="65047" spans="3:13" ht="12.75" customHeight="1" x14ac:dyDescent="0.2">
      <c r="C65047"/>
      <c r="M65047"/>
    </row>
    <row r="65048" spans="3:13" ht="12.75" customHeight="1" x14ac:dyDescent="0.2">
      <c r="C65048"/>
      <c r="M65048"/>
    </row>
    <row r="65049" spans="3:13" ht="12.75" customHeight="1" x14ac:dyDescent="0.2">
      <c r="C65049"/>
      <c r="M65049"/>
    </row>
    <row r="65050" spans="3:13" ht="12.75" customHeight="1" x14ac:dyDescent="0.2">
      <c r="C65050"/>
      <c r="M65050"/>
    </row>
    <row r="65051" spans="3:13" ht="12.75" customHeight="1" x14ac:dyDescent="0.2">
      <c r="C65051"/>
      <c r="M65051"/>
    </row>
    <row r="65052" spans="3:13" ht="12.75" customHeight="1" x14ac:dyDescent="0.2">
      <c r="C65052"/>
      <c r="M65052"/>
    </row>
    <row r="65053" spans="3:13" ht="12.75" customHeight="1" x14ac:dyDescent="0.2">
      <c r="C65053"/>
      <c r="M65053"/>
    </row>
    <row r="65054" spans="3:13" ht="12.75" customHeight="1" x14ac:dyDescent="0.2">
      <c r="C65054"/>
      <c r="M65054"/>
    </row>
    <row r="65055" spans="3:13" ht="12.75" customHeight="1" x14ac:dyDescent="0.2">
      <c r="C65055"/>
      <c r="M65055"/>
    </row>
    <row r="65056" spans="3:13" ht="12.75" customHeight="1" x14ac:dyDescent="0.2">
      <c r="C65056"/>
      <c r="M65056"/>
    </row>
    <row r="65057" spans="3:13" ht="12.75" customHeight="1" x14ac:dyDescent="0.2">
      <c r="C65057"/>
      <c r="M65057"/>
    </row>
    <row r="65058" spans="3:13" ht="12.75" customHeight="1" x14ac:dyDescent="0.2">
      <c r="C65058"/>
      <c r="M65058"/>
    </row>
    <row r="65059" spans="3:13" ht="12.75" customHeight="1" x14ac:dyDescent="0.2">
      <c r="C65059"/>
      <c r="M65059"/>
    </row>
    <row r="65060" spans="3:13" ht="12.75" customHeight="1" x14ac:dyDescent="0.2">
      <c r="C65060"/>
      <c r="M65060"/>
    </row>
    <row r="65061" spans="3:13" ht="12.75" customHeight="1" x14ac:dyDescent="0.2">
      <c r="C65061"/>
      <c r="M65061"/>
    </row>
    <row r="65062" spans="3:13" ht="12.75" customHeight="1" x14ac:dyDescent="0.2">
      <c r="C65062"/>
      <c r="M65062"/>
    </row>
    <row r="65063" spans="3:13" ht="12.75" customHeight="1" x14ac:dyDescent="0.2">
      <c r="C65063"/>
      <c r="M65063"/>
    </row>
    <row r="65064" spans="3:13" ht="12.75" customHeight="1" x14ac:dyDescent="0.2">
      <c r="C65064"/>
      <c r="M65064"/>
    </row>
    <row r="65065" spans="3:13" ht="12.75" customHeight="1" x14ac:dyDescent="0.2">
      <c r="C65065"/>
      <c r="M65065"/>
    </row>
    <row r="65066" spans="3:13" ht="12.75" customHeight="1" x14ac:dyDescent="0.2">
      <c r="C65066"/>
      <c r="M65066"/>
    </row>
    <row r="65067" spans="3:13" ht="12.75" customHeight="1" x14ac:dyDescent="0.2">
      <c r="C65067"/>
      <c r="M65067"/>
    </row>
    <row r="65068" spans="3:13" ht="12.75" customHeight="1" x14ac:dyDescent="0.2">
      <c r="C65068"/>
      <c r="M65068"/>
    </row>
    <row r="65069" spans="3:13" ht="12.75" customHeight="1" x14ac:dyDescent="0.2">
      <c r="C65069"/>
      <c r="M65069"/>
    </row>
    <row r="65070" spans="3:13" ht="12.75" customHeight="1" x14ac:dyDescent="0.2">
      <c r="C65070"/>
      <c r="M65070"/>
    </row>
    <row r="65071" spans="3:13" ht="12.75" customHeight="1" x14ac:dyDescent="0.2">
      <c r="C65071"/>
      <c r="M65071"/>
    </row>
    <row r="65072" spans="3:13" ht="12.75" customHeight="1" x14ac:dyDescent="0.2">
      <c r="C65072"/>
      <c r="M65072"/>
    </row>
    <row r="65073" spans="3:13" ht="12.75" customHeight="1" x14ac:dyDescent="0.2">
      <c r="C65073"/>
      <c r="M65073"/>
    </row>
    <row r="65074" spans="3:13" ht="12.75" customHeight="1" x14ac:dyDescent="0.2">
      <c r="C65074"/>
      <c r="M65074"/>
    </row>
    <row r="65075" spans="3:13" ht="12.75" customHeight="1" x14ac:dyDescent="0.2">
      <c r="C65075"/>
      <c r="M65075"/>
    </row>
    <row r="65076" spans="3:13" ht="12.75" customHeight="1" x14ac:dyDescent="0.2">
      <c r="C65076"/>
      <c r="M65076"/>
    </row>
    <row r="65077" spans="3:13" ht="12.75" customHeight="1" x14ac:dyDescent="0.2">
      <c r="C65077"/>
      <c r="M65077"/>
    </row>
    <row r="65078" spans="3:13" ht="12.75" customHeight="1" x14ac:dyDescent="0.2">
      <c r="C65078"/>
      <c r="M65078"/>
    </row>
    <row r="65079" spans="3:13" ht="12.75" customHeight="1" x14ac:dyDescent="0.2">
      <c r="C65079"/>
      <c r="M65079"/>
    </row>
    <row r="65080" spans="3:13" ht="12.75" customHeight="1" x14ac:dyDescent="0.2">
      <c r="C65080"/>
      <c r="M65080"/>
    </row>
    <row r="65081" spans="3:13" ht="12.75" customHeight="1" x14ac:dyDescent="0.2">
      <c r="C65081"/>
      <c r="M65081"/>
    </row>
    <row r="65082" spans="3:13" ht="12.75" customHeight="1" x14ac:dyDescent="0.2">
      <c r="C65082"/>
      <c r="M65082"/>
    </row>
    <row r="65083" spans="3:13" ht="12.75" customHeight="1" x14ac:dyDescent="0.2">
      <c r="C65083"/>
      <c r="M65083"/>
    </row>
    <row r="65084" spans="3:13" ht="12.75" customHeight="1" x14ac:dyDescent="0.2">
      <c r="C65084"/>
      <c r="M65084"/>
    </row>
    <row r="65085" spans="3:13" ht="12.75" customHeight="1" x14ac:dyDescent="0.2">
      <c r="C65085"/>
      <c r="M65085"/>
    </row>
    <row r="65086" spans="3:13" ht="12.75" customHeight="1" x14ac:dyDescent="0.2">
      <c r="C65086"/>
      <c r="M65086"/>
    </row>
    <row r="65087" spans="3:13" ht="12.75" customHeight="1" x14ac:dyDescent="0.2">
      <c r="C65087"/>
      <c r="M65087"/>
    </row>
    <row r="65088" spans="3:13" ht="12.75" customHeight="1" x14ac:dyDescent="0.2">
      <c r="C65088"/>
      <c r="M65088"/>
    </row>
    <row r="65089" spans="3:13" ht="12.75" customHeight="1" x14ac:dyDescent="0.2">
      <c r="C65089"/>
      <c r="M65089"/>
    </row>
    <row r="65090" spans="3:13" ht="12.75" customHeight="1" x14ac:dyDescent="0.2">
      <c r="C65090"/>
      <c r="M65090"/>
    </row>
    <row r="65091" spans="3:13" ht="12.75" customHeight="1" x14ac:dyDescent="0.2">
      <c r="C65091"/>
      <c r="M65091"/>
    </row>
    <row r="65092" spans="3:13" ht="12.75" customHeight="1" x14ac:dyDescent="0.2">
      <c r="C65092"/>
      <c r="M65092"/>
    </row>
    <row r="65093" spans="3:13" ht="12.75" customHeight="1" x14ac:dyDescent="0.2">
      <c r="C65093"/>
      <c r="M65093"/>
    </row>
    <row r="65094" spans="3:13" ht="12.75" customHeight="1" x14ac:dyDescent="0.2">
      <c r="C65094"/>
      <c r="M65094"/>
    </row>
    <row r="65095" spans="3:13" ht="12.75" customHeight="1" x14ac:dyDescent="0.2">
      <c r="C65095"/>
      <c r="M65095"/>
    </row>
    <row r="65096" spans="3:13" ht="12.75" customHeight="1" x14ac:dyDescent="0.2">
      <c r="C65096"/>
      <c r="M65096"/>
    </row>
    <row r="65097" spans="3:13" ht="12.75" customHeight="1" x14ac:dyDescent="0.2">
      <c r="C65097"/>
      <c r="M65097"/>
    </row>
    <row r="65098" spans="3:13" ht="12.75" customHeight="1" x14ac:dyDescent="0.2">
      <c r="C65098"/>
      <c r="M65098"/>
    </row>
    <row r="65099" spans="3:13" ht="12.75" customHeight="1" x14ac:dyDescent="0.2">
      <c r="C65099"/>
      <c r="M65099"/>
    </row>
    <row r="65100" spans="3:13" ht="12.75" customHeight="1" x14ac:dyDescent="0.2">
      <c r="C65100"/>
      <c r="M65100"/>
    </row>
    <row r="65101" spans="3:13" ht="12.75" customHeight="1" x14ac:dyDescent="0.2">
      <c r="C65101"/>
      <c r="M65101"/>
    </row>
    <row r="65102" spans="3:13" ht="12.75" customHeight="1" x14ac:dyDescent="0.2">
      <c r="C65102"/>
      <c r="M65102"/>
    </row>
    <row r="65103" spans="3:13" ht="12.75" customHeight="1" x14ac:dyDescent="0.2">
      <c r="C65103"/>
      <c r="M65103"/>
    </row>
    <row r="65104" spans="3:13" ht="12.75" customHeight="1" x14ac:dyDescent="0.2">
      <c r="C65104"/>
      <c r="M65104"/>
    </row>
    <row r="65105" spans="3:13" ht="12.75" customHeight="1" x14ac:dyDescent="0.2">
      <c r="C65105"/>
      <c r="M65105"/>
    </row>
    <row r="65106" spans="3:13" ht="12.75" customHeight="1" x14ac:dyDescent="0.2">
      <c r="C65106"/>
      <c r="M65106"/>
    </row>
    <row r="65107" spans="3:13" ht="12.75" customHeight="1" x14ac:dyDescent="0.2">
      <c r="C65107"/>
      <c r="M65107"/>
    </row>
    <row r="65108" spans="3:13" ht="12.75" customHeight="1" x14ac:dyDescent="0.2">
      <c r="C65108"/>
      <c r="M65108"/>
    </row>
    <row r="65109" spans="3:13" ht="12.75" customHeight="1" x14ac:dyDescent="0.2">
      <c r="C65109"/>
      <c r="M65109"/>
    </row>
    <row r="65110" spans="3:13" ht="12.75" customHeight="1" x14ac:dyDescent="0.2">
      <c r="C65110"/>
      <c r="M65110"/>
    </row>
    <row r="65111" spans="3:13" ht="12.75" customHeight="1" x14ac:dyDescent="0.2">
      <c r="C65111"/>
      <c r="M65111"/>
    </row>
    <row r="65112" spans="3:13" ht="12.75" customHeight="1" x14ac:dyDescent="0.2">
      <c r="C65112"/>
      <c r="M65112"/>
    </row>
    <row r="65113" spans="3:13" ht="12.75" customHeight="1" x14ac:dyDescent="0.2">
      <c r="C65113"/>
      <c r="M65113"/>
    </row>
    <row r="65114" spans="3:13" ht="12.75" customHeight="1" x14ac:dyDescent="0.2">
      <c r="C65114"/>
      <c r="M65114"/>
    </row>
    <row r="65115" spans="3:13" ht="12.75" customHeight="1" x14ac:dyDescent="0.2">
      <c r="C65115"/>
      <c r="M65115"/>
    </row>
    <row r="65116" spans="3:13" ht="12.75" customHeight="1" x14ac:dyDescent="0.2">
      <c r="C65116"/>
      <c r="M65116"/>
    </row>
    <row r="65117" spans="3:13" ht="12.75" customHeight="1" x14ac:dyDescent="0.2">
      <c r="C65117"/>
      <c r="M65117"/>
    </row>
    <row r="65118" spans="3:13" ht="12.75" customHeight="1" x14ac:dyDescent="0.2">
      <c r="C65118"/>
      <c r="M65118"/>
    </row>
    <row r="65119" spans="3:13" ht="12.75" customHeight="1" x14ac:dyDescent="0.2">
      <c r="C65119"/>
      <c r="M65119"/>
    </row>
    <row r="65120" spans="3:13" ht="12.75" customHeight="1" x14ac:dyDescent="0.2">
      <c r="C65120"/>
      <c r="M65120"/>
    </row>
    <row r="65121" spans="3:13" ht="12.75" customHeight="1" x14ac:dyDescent="0.2">
      <c r="C65121"/>
      <c r="M65121"/>
    </row>
    <row r="65122" spans="3:13" ht="12.75" customHeight="1" x14ac:dyDescent="0.2">
      <c r="C65122"/>
      <c r="M65122"/>
    </row>
    <row r="65123" spans="3:13" ht="12.75" customHeight="1" x14ac:dyDescent="0.2">
      <c r="C65123"/>
      <c r="M65123"/>
    </row>
    <row r="65124" spans="3:13" ht="12.75" customHeight="1" x14ac:dyDescent="0.2">
      <c r="C65124"/>
      <c r="M65124"/>
    </row>
    <row r="65125" spans="3:13" ht="12.75" customHeight="1" x14ac:dyDescent="0.2">
      <c r="C65125"/>
      <c r="M65125"/>
    </row>
    <row r="65126" spans="3:13" ht="12.75" customHeight="1" x14ac:dyDescent="0.2">
      <c r="C65126"/>
      <c r="M65126"/>
    </row>
    <row r="65127" spans="3:13" ht="12.75" customHeight="1" x14ac:dyDescent="0.2">
      <c r="C65127"/>
      <c r="M65127"/>
    </row>
    <row r="65128" spans="3:13" ht="12.75" customHeight="1" x14ac:dyDescent="0.2">
      <c r="C65128"/>
      <c r="M65128"/>
    </row>
    <row r="65129" spans="3:13" ht="12.75" customHeight="1" x14ac:dyDescent="0.2">
      <c r="C65129"/>
      <c r="M65129"/>
    </row>
    <row r="65130" spans="3:13" ht="12.75" customHeight="1" x14ac:dyDescent="0.2">
      <c r="C65130"/>
      <c r="M65130"/>
    </row>
    <row r="65131" spans="3:13" ht="12.75" customHeight="1" x14ac:dyDescent="0.2">
      <c r="C65131"/>
      <c r="M65131"/>
    </row>
    <row r="65132" spans="3:13" ht="12.75" customHeight="1" x14ac:dyDescent="0.2">
      <c r="C65132"/>
      <c r="M65132"/>
    </row>
    <row r="65133" spans="3:13" ht="12.75" customHeight="1" x14ac:dyDescent="0.2">
      <c r="C65133"/>
      <c r="M65133"/>
    </row>
    <row r="65134" spans="3:13" ht="12.75" customHeight="1" x14ac:dyDescent="0.2">
      <c r="C65134"/>
      <c r="M65134"/>
    </row>
    <row r="65135" spans="3:13" ht="12.75" customHeight="1" x14ac:dyDescent="0.2">
      <c r="C65135"/>
      <c r="M65135"/>
    </row>
    <row r="65136" spans="3:13" ht="12.75" customHeight="1" x14ac:dyDescent="0.2">
      <c r="C65136"/>
      <c r="M65136"/>
    </row>
    <row r="65137" spans="3:13" ht="12.75" customHeight="1" x14ac:dyDescent="0.2">
      <c r="C65137"/>
      <c r="M65137"/>
    </row>
    <row r="65138" spans="3:13" ht="12.75" customHeight="1" x14ac:dyDescent="0.2">
      <c r="C65138"/>
      <c r="M65138"/>
    </row>
    <row r="65139" spans="3:13" ht="12.75" customHeight="1" x14ac:dyDescent="0.2">
      <c r="C65139"/>
      <c r="M65139"/>
    </row>
    <row r="65140" spans="3:13" ht="12.75" customHeight="1" x14ac:dyDescent="0.2">
      <c r="C65140"/>
      <c r="M65140"/>
    </row>
    <row r="65141" spans="3:13" ht="12.75" customHeight="1" x14ac:dyDescent="0.2">
      <c r="C65141"/>
      <c r="M65141"/>
    </row>
    <row r="65142" spans="3:13" ht="12.75" customHeight="1" x14ac:dyDescent="0.2">
      <c r="C65142"/>
      <c r="M65142"/>
    </row>
    <row r="65143" spans="3:13" ht="12.75" customHeight="1" x14ac:dyDescent="0.2">
      <c r="C65143"/>
      <c r="M65143"/>
    </row>
    <row r="65144" spans="3:13" ht="12.75" customHeight="1" x14ac:dyDescent="0.2">
      <c r="C65144"/>
      <c r="M65144"/>
    </row>
    <row r="65145" spans="3:13" ht="12.75" customHeight="1" x14ac:dyDescent="0.2">
      <c r="C65145"/>
      <c r="M65145"/>
    </row>
    <row r="65146" spans="3:13" ht="12.75" customHeight="1" x14ac:dyDescent="0.2">
      <c r="C65146"/>
      <c r="M65146"/>
    </row>
    <row r="65147" spans="3:13" ht="12.75" customHeight="1" x14ac:dyDescent="0.2">
      <c r="C65147"/>
      <c r="M65147"/>
    </row>
    <row r="65148" spans="3:13" ht="12.75" customHeight="1" x14ac:dyDescent="0.2">
      <c r="C65148"/>
      <c r="M65148"/>
    </row>
    <row r="65149" spans="3:13" ht="12.75" customHeight="1" x14ac:dyDescent="0.2">
      <c r="C65149"/>
      <c r="M65149"/>
    </row>
    <row r="65150" spans="3:13" ht="12.75" customHeight="1" x14ac:dyDescent="0.2">
      <c r="C65150"/>
      <c r="M65150"/>
    </row>
    <row r="65151" spans="3:13" ht="12.75" customHeight="1" x14ac:dyDescent="0.2">
      <c r="C65151"/>
      <c r="M65151"/>
    </row>
    <row r="65152" spans="3:13" ht="12.75" customHeight="1" x14ac:dyDescent="0.2">
      <c r="C65152"/>
      <c r="M65152"/>
    </row>
    <row r="65153" spans="3:13" ht="12.75" customHeight="1" x14ac:dyDescent="0.2">
      <c r="C65153"/>
      <c r="M65153"/>
    </row>
    <row r="65154" spans="3:13" ht="12.75" customHeight="1" x14ac:dyDescent="0.2">
      <c r="C65154"/>
      <c r="M65154"/>
    </row>
    <row r="65155" spans="3:13" ht="12.75" customHeight="1" x14ac:dyDescent="0.2">
      <c r="C65155"/>
      <c r="M65155"/>
    </row>
    <row r="65156" spans="3:13" ht="12.75" customHeight="1" x14ac:dyDescent="0.2">
      <c r="C65156"/>
      <c r="M65156"/>
    </row>
    <row r="65157" spans="3:13" ht="12.75" customHeight="1" x14ac:dyDescent="0.2">
      <c r="C65157"/>
      <c r="M65157"/>
    </row>
    <row r="65158" spans="3:13" ht="12.75" customHeight="1" x14ac:dyDescent="0.2">
      <c r="C65158"/>
      <c r="M65158"/>
    </row>
    <row r="65159" spans="3:13" ht="12.75" customHeight="1" x14ac:dyDescent="0.2">
      <c r="C65159"/>
      <c r="M65159"/>
    </row>
    <row r="65160" spans="3:13" ht="12.75" customHeight="1" x14ac:dyDescent="0.2">
      <c r="C65160"/>
      <c r="M65160"/>
    </row>
    <row r="65161" spans="3:13" ht="12.75" customHeight="1" x14ac:dyDescent="0.2">
      <c r="C65161"/>
      <c r="M65161"/>
    </row>
    <row r="65162" spans="3:13" ht="12.75" customHeight="1" x14ac:dyDescent="0.2">
      <c r="C65162"/>
      <c r="M65162"/>
    </row>
    <row r="65163" spans="3:13" ht="12.75" customHeight="1" x14ac:dyDescent="0.2">
      <c r="C65163"/>
      <c r="M65163"/>
    </row>
    <row r="65164" spans="3:13" ht="12.75" customHeight="1" x14ac:dyDescent="0.2">
      <c r="C65164"/>
      <c r="M65164"/>
    </row>
    <row r="65165" spans="3:13" ht="12.75" customHeight="1" x14ac:dyDescent="0.2">
      <c r="C65165"/>
      <c r="M65165"/>
    </row>
    <row r="65166" spans="3:13" ht="12.75" customHeight="1" x14ac:dyDescent="0.2">
      <c r="C65166"/>
      <c r="M65166"/>
    </row>
    <row r="65167" spans="3:13" ht="12.75" customHeight="1" x14ac:dyDescent="0.2">
      <c r="C65167"/>
      <c r="M65167"/>
    </row>
    <row r="65168" spans="3:13" ht="12.75" customHeight="1" x14ac:dyDescent="0.2">
      <c r="C65168"/>
      <c r="M65168"/>
    </row>
    <row r="65169" spans="3:13" ht="12.75" customHeight="1" x14ac:dyDescent="0.2">
      <c r="C65169"/>
      <c r="M65169"/>
    </row>
    <row r="65170" spans="3:13" ht="12.75" customHeight="1" x14ac:dyDescent="0.2">
      <c r="C65170"/>
      <c r="M65170"/>
    </row>
    <row r="65171" spans="3:13" ht="12.75" customHeight="1" x14ac:dyDescent="0.2">
      <c r="C65171"/>
      <c r="M65171"/>
    </row>
    <row r="65172" spans="3:13" ht="12.75" customHeight="1" x14ac:dyDescent="0.2">
      <c r="C65172"/>
      <c r="M65172"/>
    </row>
    <row r="65173" spans="3:13" ht="12.75" customHeight="1" x14ac:dyDescent="0.2">
      <c r="C65173"/>
      <c r="M65173"/>
    </row>
    <row r="65174" spans="3:13" ht="12.75" customHeight="1" x14ac:dyDescent="0.2">
      <c r="C65174"/>
      <c r="M65174"/>
    </row>
    <row r="65175" spans="3:13" ht="12.75" customHeight="1" x14ac:dyDescent="0.2">
      <c r="C65175"/>
      <c r="M65175"/>
    </row>
    <row r="65176" spans="3:13" ht="12.75" customHeight="1" x14ac:dyDescent="0.2">
      <c r="C65176"/>
      <c r="M65176"/>
    </row>
    <row r="65177" spans="3:13" ht="12.75" customHeight="1" x14ac:dyDescent="0.2">
      <c r="C65177"/>
      <c r="M65177"/>
    </row>
    <row r="65178" spans="3:13" ht="12.75" customHeight="1" x14ac:dyDescent="0.2">
      <c r="C65178"/>
      <c r="M65178"/>
    </row>
    <row r="65179" spans="3:13" ht="12.75" customHeight="1" x14ac:dyDescent="0.2">
      <c r="C65179"/>
      <c r="M65179"/>
    </row>
    <row r="65180" spans="3:13" ht="12.75" customHeight="1" x14ac:dyDescent="0.2">
      <c r="C65180"/>
      <c r="M65180"/>
    </row>
    <row r="65181" spans="3:13" ht="12.75" customHeight="1" x14ac:dyDescent="0.2">
      <c r="C65181"/>
      <c r="M65181"/>
    </row>
    <row r="65182" spans="3:13" ht="12.75" customHeight="1" x14ac:dyDescent="0.2">
      <c r="C65182"/>
      <c r="M65182"/>
    </row>
    <row r="65183" spans="3:13" ht="12.75" customHeight="1" x14ac:dyDescent="0.2">
      <c r="C65183"/>
      <c r="M65183"/>
    </row>
    <row r="65184" spans="3:13" ht="12.75" customHeight="1" x14ac:dyDescent="0.2">
      <c r="C65184"/>
      <c r="M65184"/>
    </row>
    <row r="65185" spans="3:13" ht="12.75" customHeight="1" x14ac:dyDescent="0.2">
      <c r="C65185"/>
      <c r="M65185"/>
    </row>
    <row r="65186" spans="3:13" ht="12.75" customHeight="1" x14ac:dyDescent="0.2">
      <c r="C65186"/>
      <c r="M65186"/>
    </row>
    <row r="65187" spans="3:13" ht="12.75" customHeight="1" x14ac:dyDescent="0.2">
      <c r="C65187"/>
      <c r="M65187"/>
    </row>
    <row r="65188" spans="3:13" ht="12.75" customHeight="1" x14ac:dyDescent="0.2">
      <c r="C65188"/>
      <c r="M65188"/>
    </row>
    <row r="65189" spans="3:13" ht="12.75" customHeight="1" x14ac:dyDescent="0.2">
      <c r="C65189"/>
      <c r="M65189"/>
    </row>
    <row r="65190" spans="3:13" ht="12.75" customHeight="1" x14ac:dyDescent="0.2">
      <c r="C65190"/>
      <c r="M65190"/>
    </row>
    <row r="65191" spans="3:13" ht="12.75" customHeight="1" x14ac:dyDescent="0.2">
      <c r="C65191"/>
      <c r="M65191"/>
    </row>
    <row r="65192" spans="3:13" ht="12.75" customHeight="1" x14ac:dyDescent="0.2">
      <c r="C65192"/>
      <c r="M65192"/>
    </row>
    <row r="65193" spans="3:13" ht="12.75" customHeight="1" x14ac:dyDescent="0.2">
      <c r="C65193"/>
      <c r="M65193"/>
    </row>
    <row r="65194" spans="3:13" ht="12.75" customHeight="1" x14ac:dyDescent="0.2">
      <c r="C65194"/>
      <c r="M65194"/>
    </row>
    <row r="65195" spans="3:13" ht="12.75" customHeight="1" x14ac:dyDescent="0.2">
      <c r="C65195"/>
      <c r="M65195"/>
    </row>
    <row r="65196" spans="3:13" ht="12.75" customHeight="1" x14ac:dyDescent="0.2">
      <c r="C65196"/>
      <c r="M65196"/>
    </row>
    <row r="65197" spans="3:13" ht="12.75" customHeight="1" x14ac:dyDescent="0.2">
      <c r="C65197"/>
      <c r="M65197"/>
    </row>
    <row r="65198" spans="3:13" ht="12.75" customHeight="1" x14ac:dyDescent="0.2">
      <c r="C65198"/>
      <c r="M65198"/>
    </row>
    <row r="65199" spans="3:13" ht="12.75" customHeight="1" x14ac:dyDescent="0.2">
      <c r="C65199"/>
      <c r="M65199"/>
    </row>
    <row r="65200" spans="3:13" ht="12.75" customHeight="1" x14ac:dyDescent="0.2">
      <c r="C65200"/>
      <c r="M65200"/>
    </row>
    <row r="65201" spans="3:13" ht="12.75" customHeight="1" x14ac:dyDescent="0.2">
      <c r="C65201"/>
      <c r="M65201"/>
    </row>
    <row r="65202" spans="3:13" ht="12.75" customHeight="1" x14ac:dyDescent="0.2">
      <c r="C65202"/>
      <c r="M65202"/>
    </row>
    <row r="65203" spans="3:13" ht="12.75" customHeight="1" x14ac:dyDescent="0.2">
      <c r="C65203"/>
      <c r="M65203"/>
    </row>
    <row r="65204" spans="3:13" ht="12.75" customHeight="1" x14ac:dyDescent="0.2">
      <c r="C65204"/>
      <c r="M65204"/>
    </row>
    <row r="65205" spans="3:13" ht="12.75" customHeight="1" x14ac:dyDescent="0.2">
      <c r="C65205"/>
      <c r="M65205"/>
    </row>
    <row r="65206" spans="3:13" ht="12.75" customHeight="1" x14ac:dyDescent="0.2">
      <c r="C65206"/>
      <c r="M65206"/>
    </row>
    <row r="65207" spans="3:13" ht="12.75" customHeight="1" x14ac:dyDescent="0.2">
      <c r="C65207"/>
      <c r="M65207"/>
    </row>
    <row r="65208" spans="3:13" ht="12.75" customHeight="1" x14ac:dyDescent="0.2">
      <c r="C65208"/>
      <c r="M65208"/>
    </row>
    <row r="65209" spans="3:13" ht="12.75" customHeight="1" x14ac:dyDescent="0.2">
      <c r="C65209"/>
      <c r="M65209"/>
    </row>
    <row r="65210" spans="3:13" ht="12.75" customHeight="1" x14ac:dyDescent="0.2">
      <c r="C65210"/>
      <c r="M65210"/>
    </row>
    <row r="65211" spans="3:13" ht="12.75" customHeight="1" x14ac:dyDescent="0.2">
      <c r="C65211"/>
      <c r="M65211"/>
    </row>
    <row r="65212" spans="3:13" ht="12.75" customHeight="1" x14ac:dyDescent="0.2">
      <c r="C65212"/>
      <c r="M65212"/>
    </row>
    <row r="65213" spans="3:13" ht="12.75" customHeight="1" x14ac:dyDescent="0.2">
      <c r="C65213"/>
      <c r="M65213"/>
    </row>
    <row r="65214" spans="3:13" ht="12.75" customHeight="1" x14ac:dyDescent="0.2">
      <c r="C65214"/>
      <c r="M65214"/>
    </row>
    <row r="65215" spans="3:13" ht="12.75" customHeight="1" x14ac:dyDescent="0.2">
      <c r="C65215"/>
      <c r="M65215"/>
    </row>
    <row r="65216" spans="3:13" ht="12.75" customHeight="1" x14ac:dyDescent="0.2">
      <c r="C65216"/>
      <c r="M65216"/>
    </row>
    <row r="65217" spans="3:13" ht="12.75" customHeight="1" x14ac:dyDescent="0.2">
      <c r="C65217"/>
      <c r="M65217"/>
    </row>
    <row r="65218" spans="3:13" ht="12.75" customHeight="1" x14ac:dyDescent="0.2">
      <c r="C65218"/>
      <c r="M65218"/>
    </row>
    <row r="65219" spans="3:13" ht="12.75" customHeight="1" x14ac:dyDescent="0.2">
      <c r="C65219"/>
      <c r="M65219"/>
    </row>
    <row r="65220" spans="3:13" ht="12.75" customHeight="1" x14ac:dyDescent="0.2">
      <c r="C65220"/>
      <c r="M65220"/>
    </row>
    <row r="65221" spans="3:13" ht="12.75" customHeight="1" x14ac:dyDescent="0.2">
      <c r="C65221"/>
      <c r="M65221"/>
    </row>
    <row r="65222" spans="3:13" ht="12.75" customHeight="1" x14ac:dyDescent="0.2">
      <c r="C65222"/>
      <c r="M65222"/>
    </row>
    <row r="65223" spans="3:13" ht="12.75" customHeight="1" x14ac:dyDescent="0.2">
      <c r="C65223"/>
      <c r="M65223"/>
    </row>
    <row r="65224" spans="3:13" ht="12.75" customHeight="1" x14ac:dyDescent="0.2">
      <c r="C65224"/>
      <c r="M65224"/>
    </row>
    <row r="65225" spans="3:13" ht="12.75" customHeight="1" x14ac:dyDescent="0.2">
      <c r="C65225"/>
      <c r="M65225"/>
    </row>
    <row r="65226" spans="3:13" ht="12.75" customHeight="1" x14ac:dyDescent="0.2">
      <c r="C65226"/>
      <c r="M65226"/>
    </row>
    <row r="65227" spans="3:13" ht="12.75" customHeight="1" x14ac:dyDescent="0.2">
      <c r="C65227"/>
      <c r="M65227"/>
    </row>
    <row r="65228" spans="3:13" ht="12.75" customHeight="1" x14ac:dyDescent="0.2">
      <c r="C65228"/>
      <c r="M65228"/>
    </row>
    <row r="65229" spans="3:13" ht="12.75" customHeight="1" x14ac:dyDescent="0.2">
      <c r="C65229"/>
      <c r="M65229"/>
    </row>
    <row r="65230" spans="3:13" ht="12.75" customHeight="1" x14ac:dyDescent="0.2">
      <c r="C65230"/>
      <c r="M65230"/>
    </row>
    <row r="65231" spans="3:13" ht="12.75" customHeight="1" x14ac:dyDescent="0.2">
      <c r="C65231"/>
      <c r="M65231"/>
    </row>
    <row r="65232" spans="3:13" ht="12.75" customHeight="1" x14ac:dyDescent="0.2">
      <c r="C65232"/>
      <c r="M65232"/>
    </row>
    <row r="65233" spans="3:13" ht="12.75" customHeight="1" x14ac:dyDescent="0.2">
      <c r="C65233"/>
      <c r="M65233"/>
    </row>
    <row r="65234" spans="3:13" ht="12.75" customHeight="1" x14ac:dyDescent="0.2">
      <c r="C65234"/>
      <c r="M65234"/>
    </row>
    <row r="65235" spans="3:13" ht="12.75" customHeight="1" x14ac:dyDescent="0.2">
      <c r="C65235"/>
      <c r="M65235"/>
    </row>
    <row r="65236" spans="3:13" ht="12.75" customHeight="1" x14ac:dyDescent="0.2">
      <c r="C65236"/>
      <c r="M65236"/>
    </row>
    <row r="65237" spans="3:13" ht="12.75" customHeight="1" x14ac:dyDescent="0.2">
      <c r="C65237"/>
      <c r="M65237"/>
    </row>
    <row r="65238" spans="3:13" ht="12.75" customHeight="1" x14ac:dyDescent="0.2">
      <c r="C65238"/>
      <c r="M65238"/>
    </row>
    <row r="65239" spans="3:13" ht="12.75" customHeight="1" x14ac:dyDescent="0.2">
      <c r="C65239"/>
      <c r="M65239"/>
    </row>
    <row r="65240" spans="3:13" ht="12.75" customHeight="1" x14ac:dyDescent="0.2">
      <c r="C65240"/>
      <c r="M65240"/>
    </row>
    <row r="65241" spans="3:13" ht="12.75" customHeight="1" x14ac:dyDescent="0.2">
      <c r="C65241"/>
      <c r="M65241"/>
    </row>
    <row r="65242" spans="3:13" ht="12.75" customHeight="1" x14ac:dyDescent="0.2">
      <c r="C65242"/>
      <c r="M65242"/>
    </row>
    <row r="65243" spans="3:13" ht="12.75" customHeight="1" x14ac:dyDescent="0.2">
      <c r="C65243"/>
      <c r="M65243"/>
    </row>
    <row r="65244" spans="3:13" ht="12.75" customHeight="1" x14ac:dyDescent="0.2">
      <c r="C65244"/>
      <c r="M65244"/>
    </row>
    <row r="65245" spans="3:13" ht="12.75" customHeight="1" x14ac:dyDescent="0.2">
      <c r="C65245"/>
      <c r="M65245"/>
    </row>
    <row r="65246" spans="3:13" ht="12.75" customHeight="1" x14ac:dyDescent="0.2">
      <c r="C65246"/>
      <c r="M65246"/>
    </row>
    <row r="65247" spans="3:13" ht="12.75" customHeight="1" x14ac:dyDescent="0.2">
      <c r="C65247"/>
      <c r="M65247"/>
    </row>
    <row r="65248" spans="3:13" ht="12.75" customHeight="1" x14ac:dyDescent="0.2">
      <c r="C65248"/>
      <c r="M65248"/>
    </row>
    <row r="65249" spans="3:13" ht="12.75" customHeight="1" x14ac:dyDescent="0.2">
      <c r="C65249"/>
      <c r="M65249"/>
    </row>
    <row r="65250" spans="3:13" ht="12.75" customHeight="1" x14ac:dyDescent="0.2">
      <c r="C65250"/>
      <c r="M65250"/>
    </row>
    <row r="65251" spans="3:13" ht="12.75" customHeight="1" x14ac:dyDescent="0.2">
      <c r="C65251"/>
      <c r="M65251"/>
    </row>
    <row r="65252" spans="3:13" ht="12.75" customHeight="1" x14ac:dyDescent="0.2">
      <c r="C65252"/>
      <c r="M65252"/>
    </row>
    <row r="65253" spans="3:13" ht="12.75" customHeight="1" x14ac:dyDescent="0.2">
      <c r="C65253"/>
      <c r="M65253"/>
    </row>
    <row r="65254" spans="3:13" ht="12.75" customHeight="1" x14ac:dyDescent="0.2">
      <c r="C65254"/>
      <c r="M65254"/>
    </row>
    <row r="65255" spans="3:13" ht="12.75" customHeight="1" x14ac:dyDescent="0.2">
      <c r="C65255"/>
      <c r="M65255"/>
    </row>
    <row r="65256" spans="3:13" ht="12.75" customHeight="1" x14ac:dyDescent="0.2">
      <c r="C65256"/>
      <c r="M65256"/>
    </row>
    <row r="65257" spans="3:13" ht="12.75" customHeight="1" x14ac:dyDescent="0.2">
      <c r="C65257"/>
      <c r="M65257"/>
    </row>
    <row r="65258" spans="3:13" ht="12.75" customHeight="1" x14ac:dyDescent="0.2">
      <c r="C65258"/>
      <c r="M65258"/>
    </row>
    <row r="65259" spans="3:13" ht="12.75" customHeight="1" x14ac:dyDescent="0.2">
      <c r="C65259"/>
      <c r="M65259"/>
    </row>
    <row r="65260" spans="3:13" ht="12.75" customHeight="1" x14ac:dyDescent="0.2">
      <c r="C65260"/>
      <c r="M65260"/>
    </row>
    <row r="65261" spans="3:13" ht="12.75" customHeight="1" x14ac:dyDescent="0.2">
      <c r="C65261"/>
      <c r="M65261"/>
    </row>
    <row r="65262" spans="3:13" ht="12.75" customHeight="1" x14ac:dyDescent="0.2">
      <c r="C65262"/>
      <c r="M65262"/>
    </row>
    <row r="65263" spans="3:13" ht="12.75" customHeight="1" x14ac:dyDescent="0.2">
      <c r="C65263"/>
      <c r="M65263"/>
    </row>
    <row r="65264" spans="3:13" ht="12.75" customHeight="1" x14ac:dyDescent="0.2">
      <c r="C65264"/>
      <c r="M65264"/>
    </row>
    <row r="65265" spans="3:13" ht="12.75" customHeight="1" x14ac:dyDescent="0.2">
      <c r="C65265"/>
      <c r="M65265"/>
    </row>
    <row r="65266" spans="3:13" ht="12.75" customHeight="1" x14ac:dyDescent="0.2">
      <c r="C65266"/>
      <c r="M65266"/>
    </row>
    <row r="65267" spans="3:13" ht="12.75" customHeight="1" x14ac:dyDescent="0.2">
      <c r="C65267"/>
      <c r="M65267"/>
    </row>
    <row r="65268" spans="3:13" ht="12.75" customHeight="1" x14ac:dyDescent="0.2">
      <c r="C65268"/>
      <c r="M65268"/>
    </row>
    <row r="65269" spans="3:13" ht="12.75" customHeight="1" x14ac:dyDescent="0.2">
      <c r="C65269"/>
      <c r="M65269"/>
    </row>
    <row r="65270" spans="3:13" ht="12.75" customHeight="1" x14ac:dyDescent="0.2">
      <c r="C65270"/>
      <c r="M65270"/>
    </row>
    <row r="65271" spans="3:13" ht="12.75" customHeight="1" x14ac:dyDescent="0.2">
      <c r="C65271"/>
      <c r="M65271"/>
    </row>
    <row r="65272" spans="3:13" ht="12.75" customHeight="1" x14ac:dyDescent="0.2">
      <c r="C65272"/>
      <c r="M65272"/>
    </row>
    <row r="65273" spans="3:13" ht="12.75" customHeight="1" x14ac:dyDescent="0.2">
      <c r="C65273"/>
      <c r="M65273"/>
    </row>
    <row r="65274" spans="3:13" ht="12.75" customHeight="1" x14ac:dyDescent="0.2">
      <c r="C65274"/>
      <c r="M65274"/>
    </row>
    <row r="65275" spans="3:13" ht="12.75" customHeight="1" x14ac:dyDescent="0.2">
      <c r="C65275"/>
      <c r="M65275"/>
    </row>
    <row r="65276" spans="3:13" ht="12.75" customHeight="1" x14ac:dyDescent="0.2">
      <c r="C65276"/>
      <c r="M65276"/>
    </row>
    <row r="65277" spans="3:13" ht="12.75" customHeight="1" x14ac:dyDescent="0.2">
      <c r="C65277"/>
      <c r="M65277"/>
    </row>
    <row r="65278" spans="3:13" ht="12.75" customHeight="1" x14ac:dyDescent="0.2">
      <c r="C65278"/>
      <c r="M65278"/>
    </row>
    <row r="65279" spans="3:13" ht="12.75" customHeight="1" x14ac:dyDescent="0.2">
      <c r="C65279"/>
      <c r="M65279"/>
    </row>
    <row r="65280" spans="3:13" ht="12.75" customHeight="1" x14ac:dyDescent="0.2">
      <c r="C65280"/>
      <c r="M65280"/>
    </row>
    <row r="65281" spans="3:13" ht="12.75" customHeight="1" x14ac:dyDescent="0.2">
      <c r="C65281"/>
      <c r="M65281"/>
    </row>
    <row r="65282" spans="3:13" ht="12.75" customHeight="1" x14ac:dyDescent="0.2">
      <c r="C65282"/>
      <c r="M65282"/>
    </row>
    <row r="65283" spans="3:13" ht="12.75" customHeight="1" x14ac:dyDescent="0.2">
      <c r="C65283"/>
      <c r="M65283"/>
    </row>
    <row r="65284" spans="3:13" ht="12.75" customHeight="1" x14ac:dyDescent="0.2">
      <c r="C65284"/>
      <c r="M65284"/>
    </row>
    <row r="65285" spans="3:13" ht="12.75" customHeight="1" x14ac:dyDescent="0.2">
      <c r="C65285"/>
      <c r="M65285"/>
    </row>
    <row r="65286" spans="3:13" ht="12.75" customHeight="1" x14ac:dyDescent="0.2">
      <c r="C65286"/>
      <c r="M65286"/>
    </row>
    <row r="65287" spans="3:13" ht="12.75" customHeight="1" x14ac:dyDescent="0.2">
      <c r="C65287"/>
      <c r="M65287"/>
    </row>
    <row r="65288" spans="3:13" ht="12.75" customHeight="1" x14ac:dyDescent="0.2">
      <c r="C65288"/>
      <c r="M65288"/>
    </row>
    <row r="65289" spans="3:13" ht="12.75" customHeight="1" x14ac:dyDescent="0.2">
      <c r="C65289"/>
      <c r="M65289"/>
    </row>
    <row r="65290" spans="3:13" ht="12.75" customHeight="1" x14ac:dyDescent="0.2">
      <c r="C65290"/>
      <c r="M65290"/>
    </row>
    <row r="65291" spans="3:13" ht="12.75" customHeight="1" x14ac:dyDescent="0.2">
      <c r="C65291"/>
      <c r="M65291"/>
    </row>
    <row r="65292" spans="3:13" ht="12.75" customHeight="1" x14ac:dyDescent="0.2">
      <c r="C65292"/>
      <c r="M65292"/>
    </row>
    <row r="65293" spans="3:13" ht="12.75" customHeight="1" x14ac:dyDescent="0.2">
      <c r="C65293"/>
      <c r="M65293"/>
    </row>
    <row r="65294" spans="3:13" ht="12.75" customHeight="1" x14ac:dyDescent="0.2">
      <c r="C65294"/>
      <c r="M65294"/>
    </row>
    <row r="65295" spans="3:13" ht="12.75" customHeight="1" x14ac:dyDescent="0.2">
      <c r="C65295"/>
      <c r="M65295"/>
    </row>
    <row r="65296" spans="3:13" ht="12.75" customHeight="1" x14ac:dyDescent="0.2">
      <c r="C65296"/>
      <c r="M65296"/>
    </row>
    <row r="65297" spans="3:13" ht="12.75" customHeight="1" x14ac:dyDescent="0.2">
      <c r="C65297"/>
      <c r="M65297"/>
    </row>
    <row r="65298" spans="3:13" ht="12.75" customHeight="1" x14ac:dyDescent="0.2">
      <c r="C65298"/>
      <c r="M65298"/>
    </row>
    <row r="65299" spans="3:13" ht="12.75" customHeight="1" x14ac:dyDescent="0.2">
      <c r="C65299"/>
      <c r="M65299"/>
    </row>
    <row r="65300" spans="3:13" ht="12.75" customHeight="1" x14ac:dyDescent="0.2">
      <c r="C65300"/>
      <c r="M65300"/>
    </row>
    <row r="65301" spans="3:13" ht="12.75" customHeight="1" x14ac:dyDescent="0.2">
      <c r="C65301"/>
      <c r="M65301"/>
    </row>
    <row r="65302" spans="3:13" ht="12.75" customHeight="1" x14ac:dyDescent="0.2">
      <c r="C65302"/>
      <c r="M65302"/>
    </row>
    <row r="65303" spans="3:13" ht="12.75" customHeight="1" x14ac:dyDescent="0.2">
      <c r="C65303"/>
      <c r="M65303"/>
    </row>
    <row r="65304" spans="3:13" ht="12.75" customHeight="1" x14ac:dyDescent="0.2">
      <c r="C65304"/>
      <c r="M65304"/>
    </row>
    <row r="65305" spans="3:13" ht="12.75" customHeight="1" x14ac:dyDescent="0.2">
      <c r="C65305"/>
      <c r="M65305"/>
    </row>
    <row r="65306" spans="3:13" ht="12.75" customHeight="1" x14ac:dyDescent="0.2">
      <c r="C65306"/>
      <c r="M65306"/>
    </row>
    <row r="65307" spans="3:13" ht="12.75" customHeight="1" x14ac:dyDescent="0.2">
      <c r="C65307"/>
      <c r="M65307"/>
    </row>
    <row r="65308" spans="3:13" ht="12.75" customHeight="1" x14ac:dyDescent="0.2">
      <c r="C65308"/>
      <c r="M65308"/>
    </row>
    <row r="65309" spans="3:13" ht="12.75" customHeight="1" x14ac:dyDescent="0.2">
      <c r="C65309"/>
      <c r="M65309"/>
    </row>
    <row r="65310" spans="3:13" ht="12.75" customHeight="1" x14ac:dyDescent="0.2">
      <c r="C65310"/>
      <c r="M65310"/>
    </row>
    <row r="65311" spans="3:13" ht="12.75" customHeight="1" x14ac:dyDescent="0.2">
      <c r="C65311"/>
      <c r="M65311"/>
    </row>
    <row r="65312" spans="3:13" ht="12.75" customHeight="1" x14ac:dyDescent="0.2">
      <c r="C65312"/>
      <c r="M65312"/>
    </row>
    <row r="65313" spans="3:13" ht="12.75" customHeight="1" x14ac:dyDescent="0.2">
      <c r="C65313"/>
      <c r="M65313"/>
    </row>
    <row r="65314" spans="3:13" ht="12.75" customHeight="1" x14ac:dyDescent="0.2">
      <c r="C65314"/>
      <c r="M65314"/>
    </row>
    <row r="65315" spans="3:13" ht="12.75" customHeight="1" x14ac:dyDescent="0.2">
      <c r="C65315"/>
      <c r="M65315"/>
    </row>
    <row r="65316" spans="3:13" ht="12.75" customHeight="1" x14ac:dyDescent="0.2">
      <c r="C65316"/>
      <c r="M65316"/>
    </row>
    <row r="65317" spans="3:13" ht="12.75" customHeight="1" x14ac:dyDescent="0.2">
      <c r="C65317"/>
      <c r="M65317"/>
    </row>
    <row r="65318" spans="3:13" ht="12.75" customHeight="1" x14ac:dyDescent="0.2">
      <c r="C65318"/>
      <c r="M65318"/>
    </row>
    <row r="65319" spans="3:13" ht="12.75" customHeight="1" x14ac:dyDescent="0.2">
      <c r="C65319"/>
      <c r="M65319"/>
    </row>
    <row r="65320" spans="3:13" ht="12.75" customHeight="1" x14ac:dyDescent="0.2">
      <c r="C65320"/>
      <c r="M65320"/>
    </row>
    <row r="65321" spans="3:13" ht="12.75" customHeight="1" x14ac:dyDescent="0.2">
      <c r="C65321"/>
      <c r="M65321"/>
    </row>
    <row r="65322" spans="3:13" ht="12.75" customHeight="1" x14ac:dyDescent="0.2">
      <c r="C65322"/>
      <c r="M65322"/>
    </row>
    <row r="65323" spans="3:13" ht="12.75" customHeight="1" x14ac:dyDescent="0.2">
      <c r="C65323"/>
      <c r="M65323"/>
    </row>
    <row r="65324" spans="3:13" ht="12.75" customHeight="1" x14ac:dyDescent="0.2">
      <c r="C65324"/>
      <c r="M65324"/>
    </row>
    <row r="65325" spans="3:13" ht="12.75" customHeight="1" x14ac:dyDescent="0.2">
      <c r="C65325"/>
      <c r="M65325"/>
    </row>
    <row r="65326" spans="3:13" ht="12.75" customHeight="1" x14ac:dyDescent="0.2">
      <c r="C65326"/>
      <c r="M65326"/>
    </row>
    <row r="65327" spans="3:13" ht="12.75" customHeight="1" x14ac:dyDescent="0.2">
      <c r="C65327"/>
      <c r="M65327"/>
    </row>
    <row r="65328" spans="3:13" ht="12.75" customHeight="1" x14ac:dyDescent="0.2">
      <c r="C65328"/>
      <c r="M65328"/>
    </row>
    <row r="65329" spans="3:13" ht="12.75" customHeight="1" x14ac:dyDescent="0.2">
      <c r="C65329"/>
      <c r="M65329"/>
    </row>
    <row r="65330" spans="3:13" ht="12.75" customHeight="1" x14ac:dyDescent="0.2">
      <c r="C65330"/>
      <c r="M65330"/>
    </row>
    <row r="65331" spans="3:13" ht="12.75" customHeight="1" x14ac:dyDescent="0.2">
      <c r="C65331"/>
      <c r="M65331"/>
    </row>
    <row r="65332" spans="3:13" ht="12.75" customHeight="1" x14ac:dyDescent="0.2">
      <c r="C65332"/>
      <c r="M65332"/>
    </row>
    <row r="65333" spans="3:13" ht="12.75" customHeight="1" x14ac:dyDescent="0.2">
      <c r="C65333"/>
      <c r="M65333"/>
    </row>
    <row r="65334" spans="3:13" ht="12.75" customHeight="1" x14ac:dyDescent="0.2">
      <c r="C65334"/>
      <c r="M65334"/>
    </row>
    <row r="65335" spans="3:13" ht="12.75" customHeight="1" x14ac:dyDescent="0.2">
      <c r="C65335"/>
      <c r="M65335"/>
    </row>
    <row r="65336" spans="3:13" ht="12.75" customHeight="1" x14ac:dyDescent="0.2">
      <c r="C65336"/>
      <c r="M65336"/>
    </row>
    <row r="65337" spans="3:13" ht="12.75" customHeight="1" x14ac:dyDescent="0.2">
      <c r="C65337"/>
      <c r="M65337"/>
    </row>
    <row r="65338" spans="3:13" ht="12.75" customHeight="1" x14ac:dyDescent="0.2">
      <c r="C65338"/>
      <c r="M65338"/>
    </row>
    <row r="65339" spans="3:13" ht="12.75" customHeight="1" x14ac:dyDescent="0.2">
      <c r="C65339"/>
      <c r="M65339"/>
    </row>
    <row r="65340" spans="3:13" ht="12.75" customHeight="1" x14ac:dyDescent="0.2">
      <c r="C65340"/>
      <c r="M65340"/>
    </row>
    <row r="65341" spans="3:13" ht="12.75" customHeight="1" x14ac:dyDescent="0.2">
      <c r="C65341"/>
      <c r="M65341"/>
    </row>
    <row r="65342" spans="3:13" ht="12.75" customHeight="1" x14ac:dyDescent="0.2">
      <c r="C65342"/>
      <c r="M65342"/>
    </row>
    <row r="65343" spans="3:13" ht="12.75" customHeight="1" x14ac:dyDescent="0.2">
      <c r="C65343"/>
      <c r="M65343"/>
    </row>
    <row r="65344" spans="3:13" ht="12.75" customHeight="1" x14ac:dyDescent="0.2">
      <c r="C65344"/>
      <c r="M65344"/>
    </row>
    <row r="65345" spans="3:13" ht="12.75" customHeight="1" x14ac:dyDescent="0.2">
      <c r="C65345"/>
      <c r="M65345"/>
    </row>
    <row r="65346" spans="3:13" ht="12.75" customHeight="1" x14ac:dyDescent="0.2">
      <c r="C65346"/>
      <c r="M65346"/>
    </row>
    <row r="65347" spans="3:13" ht="12.75" customHeight="1" x14ac:dyDescent="0.2">
      <c r="C65347"/>
      <c r="M65347"/>
    </row>
    <row r="65348" spans="3:13" ht="12.75" customHeight="1" x14ac:dyDescent="0.2">
      <c r="C65348"/>
      <c r="M65348"/>
    </row>
    <row r="65349" spans="3:13" ht="12.75" customHeight="1" x14ac:dyDescent="0.2">
      <c r="C65349"/>
      <c r="M65349"/>
    </row>
    <row r="65350" spans="3:13" ht="12.75" customHeight="1" x14ac:dyDescent="0.2">
      <c r="C65350"/>
      <c r="M65350"/>
    </row>
    <row r="65351" spans="3:13" ht="12.75" customHeight="1" x14ac:dyDescent="0.2">
      <c r="C65351"/>
      <c r="M65351"/>
    </row>
    <row r="65352" spans="3:13" ht="12.75" customHeight="1" x14ac:dyDescent="0.2">
      <c r="C65352"/>
      <c r="M65352"/>
    </row>
    <row r="65353" spans="3:13" ht="12.75" customHeight="1" x14ac:dyDescent="0.2">
      <c r="C65353"/>
      <c r="M65353"/>
    </row>
    <row r="65354" spans="3:13" ht="12.75" customHeight="1" x14ac:dyDescent="0.2">
      <c r="C65354"/>
      <c r="M65354"/>
    </row>
    <row r="65355" spans="3:13" ht="12.75" customHeight="1" x14ac:dyDescent="0.2">
      <c r="C65355"/>
      <c r="M65355"/>
    </row>
    <row r="65356" spans="3:13" ht="12.75" customHeight="1" x14ac:dyDescent="0.2">
      <c r="C65356"/>
      <c r="M65356"/>
    </row>
    <row r="65357" spans="3:13" ht="12.75" customHeight="1" x14ac:dyDescent="0.2">
      <c r="C65357"/>
      <c r="M65357"/>
    </row>
    <row r="65358" spans="3:13" ht="12.75" customHeight="1" x14ac:dyDescent="0.2">
      <c r="C65358"/>
      <c r="M65358"/>
    </row>
    <row r="65359" spans="3:13" ht="12.75" customHeight="1" x14ac:dyDescent="0.2">
      <c r="C65359"/>
      <c r="M65359"/>
    </row>
    <row r="65360" spans="3:13" ht="12.75" customHeight="1" x14ac:dyDescent="0.2">
      <c r="C65360"/>
      <c r="M65360"/>
    </row>
    <row r="65361" spans="3:13" ht="12.75" customHeight="1" x14ac:dyDescent="0.2">
      <c r="C65361"/>
      <c r="M65361"/>
    </row>
    <row r="65362" spans="3:13" ht="12.75" customHeight="1" x14ac:dyDescent="0.2">
      <c r="C65362"/>
      <c r="M65362"/>
    </row>
    <row r="65363" spans="3:13" ht="12.75" customHeight="1" x14ac:dyDescent="0.2">
      <c r="C65363"/>
      <c r="M65363"/>
    </row>
    <row r="65364" spans="3:13" ht="12.75" customHeight="1" x14ac:dyDescent="0.2">
      <c r="C65364"/>
      <c r="M65364"/>
    </row>
    <row r="65365" spans="3:13" ht="12.75" customHeight="1" x14ac:dyDescent="0.2">
      <c r="C65365"/>
      <c r="M65365"/>
    </row>
    <row r="65366" spans="3:13" ht="12.75" customHeight="1" x14ac:dyDescent="0.2">
      <c r="C65366"/>
      <c r="M65366"/>
    </row>
    <row r="65367" spans="3:13" ht="12.75" customHeight="1" x14ac:dyDescent="0.2">
      <c r="C65367"/>
      <c r="M65367"/>
    </row>
    <row r="65368" spans="3:13" ht="12.75" customHeight="1" x14ac:dyDescent="0.2">
      <c r="C65368"/>
      <c r="M65368"/>
    </row>
    <row r="65369" spans="3:13" ht="12.75" customHeight="1" x14ac:dyDescent="0.2">
      <c r="C65369"/>
      <c r="M65369"/>
    </row>
    <row r="65370" spans="3:13" ht="12.75" customHeight="1" x14ac:dyDescent="0.2">
      <c r="C65370"/>
      <c r="M65370"/>
    </row>
    <row r="65371" spans="3:13" ht="12.75" customHeight="1" x14ac:dyDescent="0.2">
      <c r="C65371"/>
      <c r="M65371"/>
    </row>
    <row r="65372" spans="3:13" ht="12.75" customHeight="1" x14ac:dyDescent="0.2">
      <c r="C65372"/>
      <c r="M65372"/>
    </row>
    <row r="65373" spans="3:13" ht="12.75" customHeight="1" x14ac:dyDescent="0.2">
      <c r="C65373"/>
      <c r="M65373"/>
    </row>
    <row r="65374" spans="3:13" ht="12.75" customHeight="1" x14ac:dyDescent="0.2">
      <c r="C65374"/>
      <c r="M65374"/>
    </row>
    <row r="65375" spans="3:13" ht="12.75" customHeight="1" x14ac:dyDescent="0.2">
      <c r="C65375"/>
      <c r="M65375"/>
    </row>
    <row r="65376" spans="3:13" ht="12.75" customHeight="1" x14ac:dyDescent="0.2">
      <c r="C65376"/>
      <c r="M65376"/>
    </row>
    <row r="65377" spans="3:13" ht="12.75" customHeight="1" x14ac:dyDescent="0.2">
      <c r="C65377"/>
      <c r="M65377"/>
    </row>
    <row r="65378" spans="3:13" ht="12.75" customHeight="1" x14ac:dyDescent="0.2">
      <c r="C65378"/>
      <c r="M65378"/>
    </row>
    <row r="65379" spans="3:13" ht="12.75" customHeight="1" x14ac:dyDescent="0.2">
      <c r="C65379"/>
      <c r="M65379"/>
    </row>
    <row r="65380" spans="3:13" ht="12.75" customHeight="1" x14ac:dyDescent="0.2">
      <c r="C65380"/>
      <c r="M65380"/>
    </row>
    <row r="65381" spans="3:13" ht="12.75" customHeight="1" x14ac:dyDescent="0.2">
      <c r="C65381"/>
      <c r="M65381"/>
    </row>
    <row r="65382" spans="3:13" ht="12.75" customHeight="1" x14ac:dyDescent="0.2">
      <c r="C65382"/>
      <c r="M65382"/>
    </row>
    <row r="65383" spans="3:13" ht="12.75" customHeight="1" x14ac:dyDescent="0.2">
      <c r="C65383"/>
      <c r="M65383"/>
    </row>
    <row r="65384" spans="3:13" ht="12.75" customHeight="1" x14ac:dyDescent="0.2">
      <c r="C65384"/>
      <c r="M65384"/>
    </row>
    <row r="65385" spans="3:13" ht="12.75" customHeight="1" x14ac:dyDescent="0.2">
      <c r="C65385"/>
      <c r="M65385"/>
    </row>
    <row r="65386" spans="3:13" ht="12.75" customHeight="1" x14ac:dyDescent="0.2">
      <c r="C65386"/>
      <c r="M65386"/>
    </row>
    <row r="65387" spans="3:13" ht="12.75" customHeight="1" x14ac:dyDescent="0.2">
      <c r="C65387"/>
      <c r="M65387"/>
    </row>
    <row r="65388" spans="3:13" ht="12.75" customHeight="1" x14ac:dyDescent="0.2">
      <c r="C65388"/>
      <c r="M65388"/>
    </row>
    <row r="65389" spans="3:13" ht="12.75" customHeight="1" x14ac:dyDescent="0.2">
      <c r="C65389"/>
      <c r="M65389"/>
    </row>
    <row r="65390" spans="3:13" ht="12.75" customHeight="1" x14ac:dyDescent="0.2">
      <c r="C65390"/>
      <c r="M65390"/>
    </row>
    <row r="65391" spans="3:13" ht="12.75" customHeight="1" x14ac:dyDescent="0.2">
      <c r="C65391"/>
      <c r="M65391"/>
    </row>
    <row r="65392" spans="3:13" ht="12.75" customHeight="1" x14ac:dyDescent="0.2">
      <c r="C65392"/>
      <c r="M65392"/>
    </row>
    <row r="65393" spans="3:13" ht="12.75" customHeight="1" x14ac:dyDescent="0.2">
      <c r="C65393"/>
      <c r="M65393"/>
    </row>
    <row r="65394" spans="3:13" ht="12.75" customHeight="1" x14ac:dyDescent="0.2">
      <c r="C65394"/>
      <c r="M65394"/>
    </row>
    <row r="65395" spans="3:13" ht="12.75" customHeight="1" x14ac:dyDescent="0.2">
      <c r="C65395"/>
      <c r="M65395"/>
    </row>
    <row r="65396" spans="3:13" ht="12.75" customHeight="1" x14ac:dyDescent="0.2">
      <c r="C65396"/>
      <c r="M65396"/>
    </row>
    <row r="65397" spans="3:13" ht="12.75" customHeight="1" x14ac:dyDescent="0.2">
      <c r="C65397"/>
      <c r="M65397"/>
    </row>
    <row r="65398" spans="3:13" ht="12.75" customHeight="1" x14ac:dyDescent="0.2">
      <c r="C65398"/>
      <c r="M65398"/>
    </row>
    <row r="65399" spans="3:13" ht="12.75" customHeight="1" x14ac:dyDescent="0.2">
      <c r="C65399"/>
      <c r="M65399"/>
    </row>
    <row r="65400" spans="3:13" ht="12.75" customHeight="1" x14ac:dyDescent="0.2">
      <c r="C65400"/>
      <c r="M65400"/>
    </row>
    <row r="65401" spans="3:13" ht="12.75" customHeight="1" x14ac:dyDescent="0.2">
      <c r="C65401"/>
      <c r="M65401"/>
    </row>
    <row r="65402" spans="3:13" ht="12.75" customHeight="1" x14ac:dyDescent="0.2">
      <c r="C65402"/>
      <c r="M65402"/>
    </row>
    <row r="65403" spans="3:13" ht="12.75" customHeight="1" x14ac:dyDescent="0.2">
      <c r="C65403"/>
      <c r="M65403"/>
    </row>
    <row r="65404" spans="3:13" ht="12.75" customHeight="1" x14ac:dyDescent="0.2">
      <c r="C65404"/>
      <c r="M65404"/>
    </row>
    <row r="65405" spans="3:13" ht="12.75" customHeight="1" x14ac:dyDescent="0.2">
      <c r="C65405"/>
      <c r="M65405"/>
    </row>
    <row r="65406" spans="3:13" ht="12.75" customHeight="1" x14ac:dyDescent="0.2">
      <c r="C65406"/>
      <c r="M65406"/>
    </row>
    <row r="65407" spans="3:13" ht="12.75" customHeight="1" x14ac:dyDescent="0.2">
      <c r="C65407"/>
      <c r="M65407"/>
    </row>
    <row r="65408" spans="3:13" ht="12.75" customHeight="1" x14ac:dyDescent="0.2">
      <c r="C65408"/>
      <c r="M65408"/>
    </row>
    <row r="65409" spans="3:13" ht="12.75" customHeight="1" x14ac:dyDescent="0.2">
      <c r="C65409"/>
      <c r="M65409"/>
    </row>
    <row r="65410" spans="3:13" ht="12.75" customHeight="1" x14ac:dyDescent="0.2">
      <c r="C65410"/>
      <c r="M65410"/>
    </row>
    <row r="65411" spans="3:13" ht="12.75" customHeight="1" x14ac:dyDescent="0.2">
      <c r="C65411"/>
      <c r="M65411"/>
    </row>
    <row r="65412" spans="3:13" ht="12.75" customHeight="1" x14ac:dyDescent="0.2">
      <c r="C65412"/>
      <c r="M65412"/>
    </row>
    <row r="65413" spans="3:13" ht="12.75" customHeight="1" x14ac:dyDescent="0.2">
      <c r="C65413"/>
      <c r="M65413"/>
    </row>
    <row r="65414" spans="3:13" ht="12.75" customHeight="1" x14ac:dyDescent="0.2">
      <c r="C65414"/>
      <c r="M65414"/>
    </row>
    <row r="65415" spans="3:13" ht="12.75" customHeight="1" x14ac:dyDescent="0.2">
      <c r="C65415"/>
      <c r="M65415"/>
    </row>
    <row r="65416" spans="3:13" ht="12.75" customHeight="1" x14ac:dyDescent="0.2">
      <c r="C65416"/>
      <c r="M65416"/>
    </row>
    <row r="65417" spans="3:13" ht="12.75" customHeight="1" x14ac:dyDescent="0.2">
      <c r="C65417"/>
      <c r="M65417"/>
    </row>
    <row r="65418" spans="3:13" ht="12.75" customHeight="1" x14ac:dyDescent="0.2">
      <c r="C65418"/>
      <c r="M65418"/>
    </row>
    <row r="65419" spans="3:13" ht="12.75" customHeight="1" x14ac:dyDescent="0.2">
      <c r="C65419"/>
      <c r="M65419"/>
    </row>
    <row r="65420" spans="3:13" ht="12.75" customHeight="1" x14ac:dyDescent="0.2">
      <c r="C65420"/>
      <c r="M65420"/>
    </row>
    <row r="65421" spans="3:13" ht="12.75" customHeight="1" x14ac:dyDescent="0.2">
      <c r="C65421"/>
      <c r="M65421"/>
    </row>
    <row r="65422" spans="3:13" ht="12.75" customHeight="1" x14ac:dyDescent="0.2">
      <c r="C65422"/>
      <c r="M65422"/>
    </row>
    <row r="65423" spans="3:13" ht="12.75" customHeight="1" x14ac:dyDescent="0.2">
      <c r="C65423"/>
      <c r="M65423"/>
    </row>
    <row r="65424" spans="3:13" ht="12.75" customHeight="1" x14ac:dyDescent="0.2">
      <c r="C65424"/>
      <c r="M65424"/>
    </row>
    <row r="65425" spans="3:13" ht="12.75" customHeight="1" x14ac:dyDescent="0.2">
      <c r="C65425"/>
      <c r="M65425"/>
    </row>
    <row r="65426" spans="3:13" ht="12.75" customHeight="1" x14ac:dyDescent="0.2">
      <c r="C65426"/>
      <c r="M65426"/>
    </row>
    <row r="65427" spans="3:13" ht="12.75" customHeight="1" x14ac:dyDescent="0.2">
      <c r="C65427"/>
      <c r="M65427"/>
    </row>
    <row r="65428" spans="3:13" ht="12.75" customHeight="1" x14ac:dyDescent="0.2">
      <c r="C65428"/>
      <c r="M65428"/>
    </row>
    <row r="65429" spans="3:13" ht="12.75" customHeight="1" x14ac:dyDescent="0.2">
      <c r="C65429"/>
      <c r="M65429"/>
    </row>
    <row r="65430" spans="3:13" ht="12.75" customHeight="1" x14ac:dyDescent="0.2">
      <c r="C65430"/>
      <c r="M65430"/>
    </row>
    <row r="65431" spans="3:13" ht="12.75" customHeight="1" x14ac:dyDescent="0.2">
      <c r="C65431"/>
      <c r="M65431"/>
    </row>
    <row r="65432" spans="3:13" ht="12.75" customHeight="1" x14ac:dyDescent="0.2">
      <c r="C65432"/>
      <c r="M65432"/>
    </row>
    <row r="65433" spans="3:13" ht="12.75" customHeight="1" x14ac:dyDescent="0.2">
      <c r="C65433"/>
      <c r="M65433"/>
    </row>
    <row r="65434" spans="3:13" ht="12.75" customHeight="1" x14ac:dyDescent="0.2">
      <c r="C65434"/>
      <c r="M65434"/>
    </row>
    <row r="65435" spans="3:13" ht="12.75" customHeight="1" x14ac:dyDescent="0.2">
      <c r="C65435"/>
      <c r="M65435"/>
    </row>
    <row r="65436" spans="3:13" ht="12.75" customHeight="1" x14ac:dyDescent="0.2">
      <c r="C65436"/>
      <c r="M65436"/>
    </row>
    <row r="65437" spans="3:13" ht="12.75" customHeight="1" x14ac:dyDescent="0.2">
      <c r="C65437"/>
      <c r="M65437"/>
    </row>
    <row r="65438" spans="3:13" ht="12.75" customHeight="1" x14ac:dyDescent="0.2">
      <c r="C65438"/>
      <c r="M65438"/>
    </row>
    <row r="65439" spans="3:13" ht="12.75" customHeight="1" x14ac:dyDescent="0.2">
      <c r="C65439"/>
      <c r="M65439"/>
    </row>
    <row r="65440" spans="3:13" ht="12.75" customHeight="1" x14ac:dyDescent="0.2">
      <c r="C65440"/>
      <c r="M65440"/>
    </row>
    <row r="65441" spans="3:13" ht="12.75" customHeight="1" x14ac:dyDescent="0.2">
      <c r="C65441"/>
      <c r="M65441"/>
    </row>
    <row r="65442" spans="3:13" ht="12.75" customHeight="1" x14ac:dyDescent="0.2">
      <c r="C65442"/>
      <c r="M65442"/>
    </row>
    <row r="65443" spans="3:13" ht="12.75" customHeight="1" x14ac:dyDescent="0.2">
      <c r="C65443"/>
      <c r="M65443"/>
    </row>
    <row r="65444" spans="3:13" ht="12.75" customHeight="1" x14ac:dyDescent="0.2">
      <c r="C65444"/>
      <c r="M65444"/>
    </row>
    <row r="65445" spans="3:13" ht="12.75" customHeight="1" x14ac:dyDescent="0.2">
      <c r="C65445"/>
      <c r="M65445"/>
    </row>
    <row r="65446" spans="3:13" ht="12.75" customHeight="1" x14ac:dyDescent="0.2">
      <c r="C65446"/>
      <c r="M65446"/>
    </row>
    <row r="65447" spans="3:13" ht="12.75" customHeight="1" x14ac:dyDescent="0.2">
      <c r="C65447"/>
      <c r="M65447"/>
    </row>
    <row r="65448" spans="3:13" ht="12.75" customHeight="1" x14ac:dyDescent="0.2">
      <c r="C65448"/>
      <c r="M65448"/>
    </row>
    <row r="65449" spans="3:13" ht="12.75" customHeight="1" x14ac:dyDescent="0.2">
      <c r="C65449"/>
      <c r="M65449"/>
    </row>
    <row r="65450" spans="3:13" ht="12.75" customHeight="1" x14ac:dyDescent="0.2">
      <c r="C65450"/>
      <c r="M65450"/>
    </row>
    <row r="65451" spans="3:13" ht="12.75" customHeight="1" x14ac:dyDescent="0.2">
      <c r="C65451"/>
      <c r="M65451"/>
    </row>
    <row r="65452" spans="3:13" ht="12.75" customHeight="1" x14ac:dyDescent="0.2">
      <c r="C65452"/>
      <c r="M65452"/>
    </row>
    <row r="65453" spans="3:13" ht="12.75" customHeight="1" x14ac:dyDescent="0.2">
      <c r="C65453"/>
      <c r="M65453"/>
    </row>
    <row r="65454" spans="3:13" ht="12.75" customHeight="1" x14ac:dyDescent="0.2">
      <c r="C65454"/>
      <c r="M65454"/>
    </row>
    <row r="65455" spans="3:13" ht="12.75" customHeight="1" x14ac:dyDescent="0.2">
      <c r="C65455"/>
      <c r="M65455"/>
    </row>
    <row r="65456" spans="3:13" ht="12.75" customHeight="1" x14ac:dyDescent="0.2">
      <c r="C65456"/>
      <c r="M65456"/>
    </row>
    <row r="65457" spans="3:13" ht="12.75" customHeight="1" x14ac:dyDescent="0.2">
      <c r="C65457"/>
      <c r="M65457"/>
    </row>
    <row r="65458" spans="3:13" ht="12.75" customHeight="1" x14ac:dyDescent="0.2">
      <c r="C65458"/>
      <c r="M65458"/>
    </row>
    <row r="65459" spans="3:13" ht="12.75" customHeight="1" x14ac:dyDescent="0.2">
      <c r="C65459"/>
      <c r="M65459"/>
    </row>
    <row r="65460" spans="3:13" ht="12.75" customHeight="1" x14ac:dyDescent="0.2">
      <c r="C65460"/>
      <c r="M65460"/>
    </row>
    <row r="65461" spans="3:13" ht="12.75" customHeight="1" x14ac:dyDescent="0.2">
      <c r="C65461"/>
      <c r="M65461"/>
    </row>
    <row r="65462" spans="3:13" ht="12.75" customHeight="1" x14ac:dyDescent="0.2">
      <c r="C65462"/>
      <c r="M65462"/>
    </row>
    <row r="65463" spans="3:13" ht="12.75" customHeight="1" x14ac:dyDescent="0.2">
      <c r="C65463"/>
      <c r="M65463"/>
    </row>
    <row r="65464" spans="3:13" ht="12.75" customHeight="1" x14ac:dyDescent="0.2">
      <c r="C65464"/>
      <c r="M65464"/>
    </row>
    <row r="65465" spans="3:13" ht="12.75" customHeight="1" x14ac:dyDescent="0.2">
      <c r="C65465"/>
      <c r="M65465"/>
    </row>
    <row r="65466" spans="3:13" ht="12.75" customHeight="1" x14ac:dyDescent="0.2">
      <c r="C65466"/>
      <c r="M65466"/>
    </row>
    <row r="65467" spans="3:13" ht="12.75" customHeight="1" x14ac:dyDescent="0.2">
      <c r="C65467"/>
      <c r="M65467"/>
    </row>
    <row r="65468" spans="3:13" ht="12.75" customHeight="1" x14ac:dyDescent="0.2">
      <c r="C65468"/>
      <c r="M65468"/>
    </row>
    <row r="65469" spans="3:13" ht="12.75" customHeight="1" x14ac:dyDescent="0.2">
      <c r="C65469"/>
      <c r="M65469"/>
    </row>
    <row r="65470" spans="3:13" ht="12.75" customHeight="1" x14ac:dyDescent="0.2">
      <c r="C65470"/>
      <c r="M65470"/>
    </row>
    <row r="65471" spans="3:13" ht="12.75" customHeight="1" x14ac:dyDescent="0.2">
      <c r="C65471"/>
      <c r="M65471"/>
    </row>
    <row r="65472" spans="3:13" ht="12.75" customHeight="1" x14ac:dyDescent="0.2">
      <c r="C65472"/>
      <c r="M65472"/>
    </row>
    <row r="65473" spans="3:13" ht="12.75" customHeight="1" x14ac:dyDescent="0.2">
      <c r="C65473"/>
      <c r="M65473"/>
    </row>
    <row r="65474" spans="3:13" ht="12.75" customHeight="1" x14ac:dyDescent="0.2">
      <c r="C65474"/>
      <c r="M65474"/>
    </row>
    <row r="65475" spans="3:13" ht="12.75" customHeight="1" x14ac:dyDescent="0.2">
      <c r="C65475"/>
      <c r="M65475"/>
    </row>
    <row r="65476" spans="3:13" ht="12.75" customHeight="1" x14ac:dyDescent="0.2">
      <c r="C65476"/>
      <c r="M65476"/>
    </row>
    <row r="65477" spans="3:13" ht="12.75" customHeight="1" x14ac:dyDescent="0.2">
      <c r="C65477"/>
      <c r="M65477"/>
    </row>
    <row r="65478" spans="3:13" ht="12.75" customHeight="1" x14ac:dyDescent="0.2">
      <c r="C65478"/>
      <c r="M65478"/>
    </row>
    <row r="65479" spans="3:13" ht="12.75" customHeight="1" x14ac:dyDescent="0.2">
      <c r="C65479"/>
      <c r="M65479"/>
    </row>
    <row r="65480" spans="3:13" ht="12.75" customHeight="1" x14ac:dyDescent="0.2">
      <c r="C65480"/>
      <c r="M65480"/>
    </row>
    <row r="65481" spans="3:13" ht="12.75" customHeight="1" x14ac:dyDescent="0.2">
      <c r="C65481"/>
      <c r="M65481"/>
    </row>
    <row r="65482" spans="3:13" ht="12.75" customHeight="1" x14ac:dyDescent="0.2">
      <c r="C65482"/>
      <c r="M65482"/>
    </row>
    <row r="65483" spans="3:13" ht="12.75" customHeight="1" x14ac:dyDescent="0.2">
      <c r="C65483"/>
      <c r="M65483"/>
    </row>
    <row r="65484" spans="3:13" ht="12.75" customHeight="1" x14ac:dyDescent="0.2">
      <c r="C65484"/>
      <c r="M65484"/>
    </row>
    <row r="65485" spans="3:13" ht="12.75" customHeight="1" x14ac:dyDescent="0.2">
      <c r="C65485"/>
      <c r="M65485"/>
    </row>
    <row r="65486" spans="3:13" ht="12.75" customHeight="1" x14ac:dyDescent="0.2">
      <c r="C65486"/>
      <c r="M65486"/>
    </row>
    <row r="65487" spans="3:13" ht="12.75" customHeight="1" x14ac:dyDescent="0.2">
      <c r="C65487"/>
      <c r="M65487"/>
    </row>
    <row r="65488" spans="3:13" ht="12.75" customHeight="1" x14ac:dyDescent="0.2">
      <c r="C65488"/>
      <c r="M65488"/>
    </row>
    <row r="65489" spans="3:13" ht="12.75" customHeight="1" x14ac:dyDescent="0.2">
      <c r="C65489"/>
      <c r="M65489"/>
    </row>
    <row r="65490" spans="3:13" ht="12.75" customHeight="1" x14ac:dyDescent="0.2">
      <c r="C65490"/>
      <c r="M65490"/>
    </row>
    <row r="65491" spans="3:13" ht="12.75" customHeight="1" x14ac:dyDescent="0.2">
      <c r="C65491"/>
      <c r="M65491"/>
    </row>
    <row r="65492" spans="3:13" ht="12.75" customHeight="1" x14ac:dyDescent="0.2">
      <c r="C65492"/>
      <c r="M65492"/>
    </row>
    <row r="65493" spans="3:13" ht="12.75" customHeight="1" x14ac:dyDescent="0.2">
      <c r="C65493"/>
      <c r="M65493"/>
    </row>
    <row r="65494" spans="3:13" ht="12.75" customHeight="1" x14ac:dyDescent="0.2">
      <c r="C65494"/>
      <c r="M65494"/>
    </row>
    <row r="65495" spans="3:13" ht="12.75" customHeight="1" x14ac:dyDescent="0.2">
      <c r="C65495"/>
      <c r="M65495"/>
    </row>
    <row r="65496" spans="3:13" ht="12.75" customHeight="1" x14ac:dyDescent="0.2">
      <c r="C65496"/>
      <c r="M65496"/>
    </row>
    <row r="65497" spans="3:13" ht="12.75" customHeight="1" x14ac:dyDescent="0.2">
      <c r="C65497"/>
      <c r="M65497"/>
    </row>
    <row r="65498" spans="3:13" ht="12.75" customHeight="1" x14ac:dyDescent="0.2">
      <c r="C65498"/>
      <c r="M65498"/>
    </row>
    <row r="65499" spans="3:13" ht="12.75" customHeight="1" x14ac:dyDescent="0.2">
      <c r="C65499"/>
      <c r="M65499"/>
    </row>
    <row r="65500" spans="3:13" ht="12.75" customHeight="1" x14ac:dyDescent="0.2">
      <c r="C65500"/>
      <c r="M65500"/>
    </row>
    <row r="65501" spans="3:13" ht="12.75" customHeight="1" x14ac:dyDescent="0.2">
      <c r="C65501"/>
      <c r="M65501"/>
    </row>
    <row r="65502" spans="3:13" ht="12.75" customHeight="1" x14ac:dyDescent="0.2">
      <c r="C65502"/>
      <c r="M65502"/>
    </row>
    <row r="65503" spans="3:13" ht="12.75" customHeight="1" x14ac:dyDescent="0.2">
      <c r="C65503"/>
      <c r="M65503"/>
    </row>
    <row r="65504" spans="3:13" ht="12.75" customHeight="1" x14ac:dyDescent="0.2">
      <c r="C65504"/>
      <c r="M65504"/>
    </row>
    <row r="65505" spans="3:13" ht="12.75" customHeight="1" x14ac:dyDescent="0.2">
      <c r="C65505"/>
      <c r="M65505"/>
    </row>
    <row r="65506" spans="3:13" ht="12.75" customHeight="1" x14ac:dyDescent="0.2">
      <c r="C65506"/>
      <c r="M65506"/>
    </row>
    <row r="65507" spans="3:13" ht="12.75" customHeight="1" x14ac:dyDescent="0.2">
      <c r="C65507"/>
      <c r="M65507"/>
    </row>
    <row r="65508" spans="3:13" ht="12.75" customHeight="1" x14ac:dyDescent="0.2">
      <c r="C65508"/>
      <c r="M65508"/>
    </row>
    <row r="65509" spans="3:13" ht="12.75" customHeight="1" x14ac:dyDescent="0.2">
      <c r="C65509"/>
      <c r="M65509"/>
    </row>
    <row r="65510" spans="3:13" ht="12.75" customHeight="1" x14ac:dyDescent="0.2">
      <c r="C65510"/>
      <c r="M65510"/>
    </row>
    <row r="65511" spans="3:13" ht="12.75" customHeight="1" x14ac:dyDescent="0.2">
      <c r="C65511"/>
      <c r="M65511"/>
    </row>
    <row r="65512" spans="3:13" ht="12.75" customHeight="1" x14ac:dyDescent="0.2">
      <c r="C65512"/>
      <c r="M65512"/>
    </row>
    <row r="65513" spans="3:13" ht="12.75" customHeight="1" x14ac:dyDescent="0.2">
      <c r="C65513"/>
      <c r="M65513"/>
    </row>
    <row r="65514" spans="3:13" ht="12.75" customHeight="1" x14ac:dyDescent="0.2">
      <c r="C65514"/>
      <c r="M65514"/>
    </row>
    <row r="65515" spans="3:13" ht="12.75" customHeight="1" x14ac:dyDescent="0.2">
      <c r="C65515"/>
      <c r="M65515"/>
    </row>
    <row r="65516" spans="3:13" ht="12.75" customHeight="1" x14ac:dyDescent="0.2">
      <c r="C65516"/>
      <c r="M65516"/>
    </row>
    <row r="65517" spans="3:13" ht="12.75" customHeight="1" x14ac:dyDescent="0.2">
      <c r="C65517"/>
      <c r="M65517"/>
    </row>
    <row r="65518" spans="3:13" ht="12.75" customHeight="1" x14ac:dyDescent="0.2">
      <c r="C65518"/>
      <c r="M65518"/>
    </row>
    <row r="65519" spans="3:13" ht="12.75" customHeight="1" x14ac:dyDescent="0.2">
      <c r="C65519"/>
      <c r="M65519"/>
    </row>
    <row r="65520" spans="3:13" ht="12.75" customHeight="1" x14ac:dyDescent="0.2">
      <c r="C65520"/>
      <c r="M65520"/>
    </row>
    <row r="65521" spans="3:13" ht="12.75" customHeight="1" x14ac:dyDescent="0.2">
      <c r="C65521"/>
      <c r="M65521"/>
    </row>
    <row r="65522" spans="3:13" ht="12.75" customHeight="1" x14ac:dyDescent="0.2">
      <c r="C65522"/>
      <c r="M65522"/>
    </row>
    <row r="65523" spans="3:13" ht="12.75" customHeight="1" x14ac:dyDescent="0.2">
      <c r="C65523"/>
      <c r="M65523"/>
    </row>
    <row r="65524" spans="3:13" ht="12.75" customHeight="1" x14ac:dyDescent="0.2">
      <c r="C65524"/>
      <c r="M65524"/>
    </row>
    <row r="65525" spans="3:13" ht="12.75" customHeight="1" x14ac:dyDescent="0.2">
      <c r="C65525"/>
      <c r="M65525"/>
    </row>
    <row r="65526" spans="3:13" ht="12.75" customHeight="1" x14ac:dyDescent="0.2">
      <c r="C65526"/>
      <c r="M65526"/>
    </row>
    <row r="65527" spans="3:13" ht="12.75" customHeight="1" x14ac:dyDescent="0.2">
      <c r="C65527"/>
      <c r="M65527"/>
    </row>
    <row r="65528" spans="3:13" ht="12.75" customHeight="1" x14ac:dyDescent="0.2">
      <c r="C65528"/>
      <c r="M65528"/>
    </row>
    <row r="65529" spans="3:13" ht="12.75" customHeight="1" x14ac:dyDescent="0.2">
      <c r="C65529"/>
      <c r="M65529"/>
    </row>
    <row r="65530" spans="3:13" ht="12.75" customHeight="1" x14ac:dyDescent="0.2">
      <c r="C65530"/>
      <c r="M65530"/>
    </row>
    <row r="65531" spans="3:13" ht="12.75" customHeight="1" x14ac:dyDescent="0.2">
      <c r="C65531"/>
      <c r="M65531"/>
    </row>
    <row r="65532" spans="3:13" ht="12.75" customHeight="1" x14ac:dyDescent="0.2">
      <c r="C65532"/>
      <c r="M65532"/>
    </row>
    <row r="65533" spans="3:13" ht="12.75" customHeight="1" x14ac:dyDescent="0.2">
      <c r="C65533"/>
      <c r="M65533"/>
    </row>
    <row r="65534" spans="3:13" ht="12.75" customHeight="1" x14ac:dyDescent="0.2">
      <c r="C65534"/>
      <c r="M65534"/>
    </row>
    <row r="65535" spans="3:13" ht="12.75" customHeight="1" x14ac:dyDescent="0.2">
      <c r="C65535"/>
      <c r="M65535"/>
    </row>
    <row r="65536" spans="3:13" ht="12.75" customHeight="1" x14ac:dyDescent="0.2">
      <c r="C65536"/>
      <c r="M65536"/>
    </row>
    <row r="65537" spans="3:13" ht="12.75" customHeight="1" x14ac:dyDescent="0.2">
      <c r="C65537"/>
      <c r="M65537"/>
    </row>
    <row r="65538" spans="3:13" ht="12.75" customHeight="1" x14ac:dyDescent="0.2">
      <c r="C65538"/>
      <c r="M65538"/>
    </row>
    <row r="65539" spans="3:13" ht="12.75" customHeight="1" x14ac:dyDescent="0.2">
      <c r="C65539"/>
      <c r="M65539"/>
    </row>
    <row r="65540" spans="3:13" ht="12.75" customHeight="1" x14ac:dyDescent="0.2">
      <c r="C65540"/>
      <c r="M65540"/>
    </row>
    <row r="65541" spans="3:13" ht="12.75" customHeight="1" x14ac:dyDescent="0.2">
      <c r="C65541"/>
      <c r="M65541"/>
    </row>
    <row r="65542" spans="3:13" ht="12.75" customHeight="1" x14ac:dyDescent="0.2">
      <c r="C65542"/>
      <c r="M65542"/>
    </row>
    <row r="65543" spans="3:13" ht="12.75" customHeight="1" x14ac:dyDescent="0.2">
      <c r="C65543"/>
      <c r="M65543"/>
    </row>
    <row r="65544" spans="3:13" ht="12.75" customHeight="1" x14ac:dyDescent="0.2">
      <c r="C65544"/>
      <c r="M65544"/>
    </row>
    <row r="65545" spans="3:13" ht="12.75" customHeight="1" x14ac:dyDescent="0.2">
      <c r="C65545"/>
      <c r="M65545"/>
    </row>
    <row r="65546" spans="3:13" ht="12.75" customHeight="1" x14ac:dyDescent="0.2">
      <c r="C65546"/>
      <c r="M65546"/>
    </row>
    <row r="65547" spans="3:13" ht="12.75" customHeight="1" x14ac:dyDescent="0.2">
      <c r="C65547"/>
      <c r="M65547"/>
    </row>
    <row r="65548" spans="3:13" ht="12.75" customHeight="1" x14ac:dyDescent="0.2">
      <c r="C65548"/>
      <c r="M65548"/>
    </row>
    <row r="65549" spans="3:13" ht="12.75" customHeight="1" x14ac:dyDescent="0.2">
      <c r="C65549"/>
      <c r="M65549"/>
    </row>
    <row r="65550" spans="3:13" ht="12.75" customHeight="1" x14ac:dyDescent="0.2">
      <c r="C65550"/>
      <c r="M65550"/>
    </row>
    <row r="65551" spans="3:13" ht="12.75" customHeight="1" x14ac:dyDescent="0.2">
      <c r="C65551"/>
      <c r="M65551"/>
    </row>
    <row r="65552" spans="3:13" ht="12.75" customHeight="1" x14ac:dyDescent="0.2">
      <c r="C65552"/>
      <c r="M65552"/>
    </row>
    <row r="65553" spans="3:13" ht="12.75" customHeight="1" x14ac:dyDescent="0.2">
      <c r="C65553"/>
      <c r="M65553"/>
    </row>
    <row r="65554" spans="3:13" ht="12.75" customHeight="1" x14ac:dyDescent="0.2">
      <c r="C65554"/>
      <c r="M65554"/>
    </row>
    <row r="65555" spans="3:13" ht="12.75" customHeight="1" x14ac:dyDescent="0.2">
      <c r="C65555"/>
      <c r="M65555"/>
    </row>
    <row r="65556" spans="3:13" ht="12.75" customHeight="1" x14ac:dyDescent="0.2">
      <c r="C65556"/>
      <c r="M65556"/>
    </row>
    <row r="65557" spans="3:13" ht="12.75" customHeight="1" x14ac:dyDescent="0.2">
      <c r="C65557"/>
      <c r="M65557"/>
    </row>
    <row r="65558" spans="3:13" ht="12.75" customHeight="1" x14ac:dyDescent="0.2">
      <c r="C65558"/>
      <c r="M65558"/>
    </row>
    <row r="65559" spans="3:13" ht="12.75" customHeight="1" x14ac:dyDescent="0.2">
      <c r="C65559"/>
      <c r="M65559"/>
    </row>
    <row r="65560" spans="3:13" ht="12.75" customHeight="1" x14ac:dyDescent="0.2">
      <c r="C65560"/>
      <c r="M65560"/>
    </row>
    <row r="65561" spans="3:13" ht="12.75" customHeight="1" x14ac:dyDescent="0.2">
      <c r="C65561"/>
      <c r="M65561"/>
    </row>
    <row r="65562" spans="3:13" ht="12.75" customHeight="1" x14ac:dyDescent="0.2">
      <c r="C65562"/>
      <c r="M65562"/>
    </row>
    <row r="65563" spans="3:13" ht="12.75" customHeight="1" x14ac:dyDescent="0.2">
      <c r="C65563"/>
      <c r="M65563"/>
    </row>
    <row r="65564" spans="3:13" ht="12.75" customHeight="1" x14ac:dyDescent="0.2">
      <c r="C65564"/>
      <c r="M65564"/>
    </row>
    <row r="65565" spans="3:13" ht="12.75" customHeight="1" x14ac:dyDescent="0.2">
      <c r="C65565"/>
      <c r="M65565"/>
    </row>
    <row r="65566" spans="3:13" ht="12.75" customHeight="1" x14ac:dyDescent="0.2">
      <c r="C65566"/>
      <c r="M65566"/>
    </row>
    <row r="65567" spans="3:13" ht="12.75" customHeight="1" x14ac:dyDescent="0.2">
      <c r="C65567"/>
      <c r="M65567"/>
    </row>
    <row r="65568" spans="3:13" ht="12.75" customHeight="1" x14ac:dyDescent="0.2">
      <c r="C65568"/>
      <c r="M65568"/>
    </row>
    <row r="65569" spans="3:13" ht="12.75" customHeight="1" x14ac:dyDescent="0.2">
      <c r="C65569"/>
      <c r="M65569"/>
    </row>
    <row r="65570" spans="3:13" ht="12.75" customHeight="1" x14ac:dyDescent="0.2">
      <c r="C65570"/>
      <c r="M65570"/>
    </row>
    <row r="65571" spans="3:13" ht="12.75" customHeight="1" x14ac:dyDescent="0.2">
      <c r="C65571"/>
      <c r="M65571"/>
    </row>
    <row r="65572" spans="3:13" ht="12.75" customHeight="1" x14ac:dyDescent="0.2">
      <c r="C65572"/>
      <c r="M65572"/>
    </row>
    <row r="65573" spans="3:13" ht="12.75" customHeight="1" x14ac:dyDescent="0.2">
      <c r="C65573"/>
      <c r="M65573"/>
    </row>
    <row r="65574" spans="3:13" ht="12.75" customHeight="1" x14ac:dyDescent="0.2">
      <c r="C65574"/>
      <c r="M65574"/>
    </row>
    <row r="65575" spans="3:13" ht="12.75" customHeight="1" x14ac:dyDescent="0.2">
      <c r="C65575"/>
      <c r="M65575"/>
    </row>
    <row r="65576" spans="3:13" ht="12.75" customHeight="1" x14ac:dyDescent="0.2">
      <c r="C65576"/>
      <c r="M65576"/>
    </row>
    <row r="65577" spans="3:13" ht="12.75" customHeight="1" x14ac:dyDescent="0.2">
      <c r="C65577"/>
      <c r="M65577"/>
    </row>
    <row r="65578" spans="3:13" ht="12.75" customHeight="1" x14ac:dyDescent="0.2">
      <c r="C65578"/>
      <c r="M65578"/>
    </row>
    <row r="65579" spans="3:13" ht="12.75" customHeight="1" x14ac:dyDescent="0.2">
      <c r="C65579"/>
      <c r="M65579"/>
    </row>
    <row r="65580" spans="3:13" ht="12.75" customHeight="1" x14ac:dyDescent="0.2">
      <c r="C65580"/>
      <c r="M65580"/>
    </row>
    <row r="65581" spans="3:13" ht="12.75" customHeight="1" x14ac:dyDescent="0.2">
      <c r="C65581"/>
      <c r="M65581"/>
    </row>
    <row r="65582" spans="3:13" ht="12.75" customHeight="1" x14ac:dyDescent="0.2">
      <c r="C65582"/>
      <c r="M65582"/>
    </row>
    <row r="65583" spans="3:13" ht="12.75" customHeight="1" x14ac:dyDescent="0.2">
      <c r="C65583"/>
      <c r="M65583"/>
    </row>
    <row r="65584" spans="3:13" ht="12.75" customHeight="1" x14ac:dyDescent="0.2">
      <c r="C65584"/>
      <c r="M65584"/>
    </row>
    <row r="65585" spans="3:13" ht="12.75" customHeight="1" x14ac:dyDescent="0.2">
      <c r="C65585"/>
      <c r="M65585"/>
    </row>
    <row r="65586" spans="3:13" ht="12.75" customHeight="1" x14ac:dyDescent="0.2">
      <c r="C65586"/>
      <c r="M65586"/>
    </row>
    <row r="65587" spans="3:13" ht="12.75" customHeight="1" x14ac:dyDescent="0.2">
      <c r="C65587"/>
      <c r="M65587"/>
    </row>
    <row r="65588" spans="3:13" ht="12.75" customHeight="1" x14ac:dyDescent="0.2">
      <c r="C65588"/>
      <c r="M65588"/>
    </row>
    <row r="65589" spans="3:13" ht="12.75" customHeight="1" x14ac:dyDescent="0.2">
      <c r="C65589"/>
      <c r="M65589"/>
    </row>
    <row r="65590" spans="3:13" ht="12.75" customHeight="1" x14ac:dyDescent="0.2">
      <c r="C65590"/>
      <c r="M65590"/>
    </row>
    <row r="65591" spans="3:13" ht="12.75" customHeight="1" x14ac:dyDescent="0.2">
      <c r="C65591"/>
      <c r="M65591"/>
    </row>
    <row r="65592" spans="3:13" ht="12.75" customHeight="1" x14ac:dyDescent="0.2">
      <c r="C65592"/>
      <c r="M65592"/>
    </row>
    <row r="65593" spans="3:13" ht="12.75" customHeight="1" x14ac:dyDescent="0.2">
      <c r="C65593"/>
      <c r="M65593"/>
    </row>
    <row r="65594" spans="3:13" ht="12.75" customHeight="1" x14ac:dyDescent="0.2">
      <c r="C65594"/>
      <c r="M65594"/>
    </row>
    <row r="65595" spans="3:13" ht="12.75" customHeight="1" x14ac:dyDescent="0.2">
      <c r="C65595"/>
      <c r="M65595"/>
    </row>
    <row r="65596" spans="3:13" ht="12.75" customHeight="1" x14ac:dyDescent="0.2">
      <c r="C65596"/>
      <c r="M65596"/>
    </row>
    <row r="65597" spans="3:13" ht="12.75" customHeight="1" x14ac:dyDescent="0.2">
      <c r="C65597"/>
      <c r="M65597"/>
    </row>
    <row r="65598" spans="3:13" ht="12.75" customHeight="1" x14ac:dyDescent="0.2">
      <c r="C65598"/>
      <c r="M65598"/>
    </row>
    <row r="65599" spans="3:13" ht="12.75" customHeight="1" x14ac:dyDescent="0.2">
      <c r="C65599"/>
      <c r="M65599"/>
    </row>
    <row r="65600" spans="3:13" ht="12.75" customHeight="1" x14ac:dyDescent="0.2">
      <c r="C65600"/>
      <c r="M65600"/>
    </row>
    <row r="65601" spans="3:13" ht="12.75" customHeight="1" x14ac:dyDescent="0.2">
      <c r="C65601"/>
      <c r="M65601"/>
    </row>
    <row r="65602" spans="3:13" ht="12.75" customHeight="1" x14ac:dyDescent="0.2">
      <c r="C65602"/>
      <c r="M65602"/>
    </row>
    <row r="65603" spans="3:13" ht="12.75" customHeight="1" x14ac:dyDescent="0.2">
      <c r="C65603"/>
      <c r="M65603"/>
    </row>
    <row r="65604" spans="3:13" ht="12.75" customHeight="1" x14ac:dyDescent="0.2">
      <c r="C65604"/>
      <c r="M65604"/>
    </row>
    <row r="65605" spans="3:13" ht="12.75" customHeight="1" x14ac:dyDescent="0.2">
      <c r="C65605"/>
      <c r="M65605"/>
    </row>
    <row r="65606" spans="3:13" ht="12.75" customHeight="1" x14ac:dyDescent="0.2">
      <c r="C65606"/>
      <c r="M65606"/>
    </row>
    <row r="65607" spans="3:13" ht="12.75" customHeight="1" x14ac:dyDescent="0.2">
      <c r="C65607"/>
      <c r="M65607"/>
    </row>
    <row r="65608" spans="3:13" ht="12.75" customHeight="1" x14ac:dyDescent="0.2">
      <c r="C65608"/>
      <c r="M65608"/>
    </row>
    <row r="65609" spans="3:13" ht="12.75" customHeight="1" x14ac:dyDescent="0.2">
      <c r="C65609"/>
      <c r="M65609"/>
    </row>
    <row r="65610" spans="3:13" ht="12.75" customHeight="1" x14ac:dyDescent="0.2">
      <c r="C65610"/>
      <c r="M65610"/>
    </row>
    <row r="65611" spans="3:13" ht="12.75" customHeight="1" x14ac:dyDescent="0.2">
      <c r="C65611"/>
      <c r="M65611"/>
    </row>
    <row r="65612" spans="3:13" ht="12.75" customHeight="1" x14ac:dyDescent="0.2">
      <c r="C65612"/>
      <c r="M65612"/>
    </row>
    <row r="65613" spans="3:13" ht="12.75" customHeight="1" x14ac:dyDescent="0.2">
      <c r="C65613"/>
      <c r="M65613"/>
    </row>
    <row r="65614" spans="3:13" ht="12.75" customHeight="1" x14ac:dyDescent="0.2">
      <c r="C65614"/>
      <c r="M65614"/>
    </row>
    <row r="65615" spans="3:13" ht="12.75" customHeight="1" x14ac:dyDescent="0.2">
      <c r="C65615"/>
      <c r="M65615"/>
    </row>
    <row r="65616" spans="3:13" ht="12.75" customHeight="1" x14ac:dyDescent="0.2">
      <c r="C65616"/>
      <c r="M65616"/>
    </row>
    <row r="65617" spans="3:13" ht="12.75" customHeight="1" x14ac:dyDescent="0.2">
      <c r="C65617"/>
      <c r="M65617"/>
    </row>
    <row r="65618" spans="3:13" ht="12.75" customHeight="1" x14ac:dyDescent="0.2">
      <c r="C65618"/>
      <c r="M65618"/>
    </row>
    <row r="65619" spans="3:13" ht="12.75" customHeight="1" x14ac:dyDescent="0.2">
      <c r="C65619"/>
      <c r="M65619"/>
    </row>
    <row r="65620" spans="3:13" ht="12.75" customHeight="1" x14ac:dyDescent="0.2">
      <c r="C65620"/>
      <c r="M65620"/>
    </row>
    <row r="65621" spans="3:13" ht="12.75" customHeight="1" x14ac:dyDescent="0.2">
      <c r="C65621"/>
      <c r="M65621"/>
    </row>
    <row r="65622" spans="3:13" ht="12.75" customHeight="1" x14ac:dyDescent="0.2">
      <c r="C65622"/>
      <c r="M65622"/>
    </row>
    <row r="65623" spans="3:13" ht="12.75" customHeight="1" x14ac:dyDescent="0.2">
      <c r="C65623"/>
      <c r="M65623"/>
    </row>
    <row r="65624" spans="3:13" ht="12.75" customHeight="1" x14ac:dyDescent="0.2">
      <c r="C65624"/>
      <c r="M65624"/>
    </row>
    <row r="65625" spans="3:13" ht="12.75" customHeight="1" x14ac:dyDescent="0.2">
      <c r="C65625"/>
      <c r="M65625"/>
    </row>
    <row r="65626" spans="3:13" ht="12.75" customHeight="1" x14ac:dyDescent="0.2">
      <c r="C65626"/>
      <c r="M65626"/>
    </row>
    <row r="65627" spans="3:13" ht="12.75" customHeight="1" x14ac:dyDescent="0.2">
      <c r="C65627"/>
      <c r="M65627"/>
    </row>
    <row r="65628" spans="3:13" ht="12.75" customHeight="1" x14ac:dyDescent="0.2">
      <c r="C65628"/>
      <c r="M65628"/>
    </row>
    <row r="65629" spans="3:13" ht="12.75" customHeight="1" x14ac:dyDescent="0.2">
      <c r="C65629"/>
      <c r="M65629"/>
    </row>
    <row r="65630" spans="3:13" ht="12.75" customHeight="1" x14ac:dyDescent="0.2">
      <c r="C65630"/>
      <c r="M65630"/>
    </row>
    <row r="65631" spans="3:13" ht="12.75" customHeight="1" x14ac:dyDescent="0.2">
      <c r="C65631"/>
      <c r="M65631"/>
    </row>
    <row r="65632" spans="3:13" ht="12.75" customHeight="1" x14ac:dyDescent="0.2">
      <c r="C65632"/>
      <c r="M65632"/>
    </row>
    <row r="65633" spans="3:13" ht="12.75" customHeight="1" x14ac:dyDescent="0.2">
      <c r="C65633"/>
      <c r="M65633"/>
    </row>
    <row r="65634" spans="3:13" ht="12.75" customHeight="1" x14ac:dyDescent="0.2">
      <c r="C65634"/>
      <c r="M65634"/>
    </row>
    <row r="65635" spans="3:13" ht="12.75" customHeight="1" x14ac:dyDescent="0.2">
      <c r="C65635"/>
      <c r="M65635"/>
    </row>
    <row r="65636" spans="3:13" ht="12.75" customHeight="1" x14ac:dyDescent="0.2">
      <c r="C65636"/>
      <c r="M65636"/>
    </row>
    <row r="65637" spans="3:13" ht="12.75" customHeight="1" x14ac:dyDescent="0.2">
      <c r="C65637"/>
      <c r="M65637"/>
    </row>
    <row r="65638" spans="3:13" ht="12.75" customHeight="1" x14ac:dyDescent="0.2">
      <c r="C65638"/>
      <c r="M65638"/>
    </row>
    <row r="65639" spans="3:13" ht="12.75" customHeight="1" x14ac:dyDescent="0.2">
      <c r="C65639"/>
      <c r="M65639"/>
    </row>
    <row r="65640" spans="3:13" ht="12.75" customHeight="1" x14ac:dyDescent="0.2">
      <c r="C65640"/>
      <c r="M65640"/>
    </row>
    <row r="65641" spans="3:13" ht="12.75" customHeight="1" x14ac:dyDescent="0.2">
      <c r="C65641"/>
      <c r="M65641"/>
    </row>
    <row r="65642" spans="3:13" ht="12.75" customHeight="1" x14ac:dyDescent="0.2">
      <c r="C65642"/>
      <c r="M65642"/>
    </row>
    <row r="65643" spans="3:13" ht="12.75" customHeight="1" x14ac:dyDescent="0.2">
      <c r="C65643"/>
      <c r="M65643"/>
    </row>
    <row r="65644" spans="3:13" ht="12.75" customHeight="1" x14ac:dyDescent="0.2">
      <c r="C65644"/>
      <c r="M65644"/>
    </row>
    <row r="65645" spans="3:13" ht="12.75" customHeight="1" x14ac:dyDescent="0.2">
      <c r="C65645"/>
      <c r="M65645"/>
    </row>
    <row r="65646" spans="3:13" ht="12.75" customHeight="1" x14ac:dyDescent="0.2">
      <c r="C65646"/>
      <c r="M65646"/>
    </row>
    <row r="65647" spans="3:13" ht="12.75" customHeight="1" x14ac:dyDescent="0.2">
      <c r="C65647"/>
      <c r="M65647"/>
    </row>
    <row r="65648" spans="3:13" ht="12.75" customHeight="1" x14ac:dyDescent="0.2">
      <c r="C65648"/>
      <c r="M65648"/>
    </row>
    <row r="65649" spans="3:13" ht="12.75" customHeight="1" x14ac:dyDescent="0.2">
      <c r="C65649"/>
      <c r="M65649"/>
    </row>
    <row r="65650" spans="3:13" ht="12.75" customHeight="1" x14ac:dyDescent="0.2">
      <c r="C65650"/>
      <c r="M65650"/>
    </row>
    <row r="65651" spans="3:13" ht="12.75" customHeight="1" x14ac:dyDescent="0.2">
      <c r="C65651"/>
      <c r="M65651"/>
    </row>
    <row r="65652" spans="3:13" ht="12.75" customHeight="1" x14ac:dyDescent="0.2">
      <c r="C65652"/>
      <c r="M65652"/>
    </row>
    <row r="65653" spans="3:13" ht="12.75" customHeight="1" x14ac:dyDescent="0.2">
      <c r="C65653"/>
      <c r="M65653"/>
    </row>
    <row r="65654" spans="3:13" ht="12.75" customHeight="1" x14ac:dyDescent="0.2">
      <c r="C65654"/>
      <c r="M65654"/>
    </row>
    <row r="65655" spans="3:13" ht="12.75" customHeight="1" x14ac:dyDescent="0.2">
      <c r="C65655"/>
      <c r="M65655"/>
    </row>
    <row r="65656" spans="3:13" ht="12.75" customHeight="1" x14ac:dyDescent="0.2">
      <c r="C65656"/>
      <c r="M65656"/>
    </row>
    <row r="65657" spans="3:13" ht="12.75" customHeight="1" x14ac:dyDescent="0.2">
      <c r="C65657"/>
      <c r="M65657"/>
    </row>
    <row r="65658" spans="3:13" ht="12.75" customHeight="1" x14ac:dyDescent="0.2">
      <c r="C65658"/>
      <c r="M65658"/>
    </row>
    <row r="65659" spans="3:13" ht="12.75" customHeight="1" x14ac:dyDescent="0.2">
      <c r="C65659"/>
      <c r="M65659"/>
    </row>
    <row r="65660" spans="3:13" ht="12.75" customHeight="1" x14ac:dyDescent="0.2">
      <c r="C65660"/>
      <c r="M65660"/>
    </row>
    <row r="65661" spans="3:13" ht="12.75" customHeight="1" x14ac:dyDescent="0.2">
      <c r="C65661"/>
      <c r="M65661"/>
    </row>
    <row r="65662" spans="3:13" ht="12.75" customHeight="1" x14ac:dyDescent="0.2">
      <c r="C65662"/>
      <c r="M65662"/>
    </row>
    <row r="65663" spans="3:13" ht="12.75" customHeight="1" x14ac:dyDescent="0.2">
      <c r="C65663"/>
      <c r="M65663"/>
    </row>
    <row r="65664" spans="3:13" ht="12.75" customHeight="1" x14ac:dyDescent="0.2">
      <c r="C65664"/>
      <c r="M65664"/>
    </row>
    <row r="65665" spans="3:13" ht="12.75" customHeight="1" x14ac:dyDescent="0.2">
      <c r="C65665"/>
      <c r="M65665"/>
    </row>
    <row r="65666" spans="3:13" ht="12.75" customHeight="1" x14ac:dyDescent="0.2">
      <c r="C65666"/>
      <c r="M65666"/>
    </row>
    <row r="65667" spans="3:13" ht="12.75" customHeight="1" x14ac:dyDescent="0.2">
      <c r="C65667"/>
      <c r="M65667"/>
    </row>
    <row r="65668" spans="3:13" ht="12.75" customHeight="1" x14ac:dyDescent="0.2">
      <c r="C65668"/>
      <c r="M65668"/>
    </row>
    <row r="65669" spans="3:13" ht="12.75" customHeight="1" x14ac:dyDescent="0.2">
      <c r="C65669"/>
      <c r="M65669"/>
    </row>
    <row r="65670" spans="3:13" ht="12.75" customHeight="1" x14ac:dyDescent="0.2">
      <c r="C65670"/>
      <c r="M65670"/>
    </row>
    <row r="65671" spans="3:13" ht="12.75" customHeight="1" x14ac:dyDescent="0.2">
      <c r="C65671"/>
      <c r="M65671"/>
    </row>
    <row r="65672" spans="3:13" ht="12.75" customHeight="1" x14ac:dyDescent="0.2">
      <c r="C65672"/>
      <c r="M65672"/>
    </row>
    <row r="65673" spans="3:13" ht="12.75" customHeight="1" x14ac:dyDescent="0.2">
      <c r="C65673"/>
      <c r="M65673"/>
    </row>
  </sheetData>
  <sheetProtection algorithmName="SHA-512" hashValue="Uu88sViZFle5buO6tNG69aBkIV++uSCsywAUL9PYmqc3eNmMB1MqXNIWiqMG2Vh1AQqn5NswuChIdyu1hQ44KQ==" saltValue="YqgzyF3ebCZZEHAsA0aO/A==" spinCount="100000" sheet="1" objects="1" scenarios="1" autoFilter="0"/>
  <autoFilter ref="C15:C405" xr:uid="{00000000-0009-0000-0000-000005000000}"/>
  <mergeCells count="15">
    <mergeCell ref="E15:H15"/>
    <mergeCell ref="E9:F9"/>
    <mergeCell ref="G9:H9"/>
    <mergeCell ref="S9:T9"/>
    <mergeCell ref="U9:Z9"/>
    <mergeCell ref="E10:F10"/>
    <mergeCell ref="G10:H10"/>
    <mergeCell ref="S10:T10"/>
    <mergeCell ref="U10:Z10"/>
    <mergeCell ref="F6:H6"/>
    <mergeCell ref="Q6:R6"/>
    <mergeCell ref="Y6:Z6"/>
    <mergeCell ref="F7:H7"/>
    <mergeCell ref="Q7:R7"/>
    <mergeCell ref="Y7:Z7"/>
  </mergeCells>
  <phoneticPr fontId="38" type="noConversion"/>
  <conditionalFormatting sqref="D14:I14 D52:I59">
    <cfRule type="expression" dxfId="571" priority="9553" stopIfTrue="1">
      <formula>$B14=1</formula>
    </cfRule>
    <cfRule type="expression" dxfId="570" priority="9554" stopIfTrue="1">
      <formula>OR($B14=0,$B14=2,$B14=3,$B14=4)</formula>
    </cfRule>
  </conditionalFormatting>
  <conditionalFormatting sqref="M12:N405">
    <cfRule type="expression" dxfId="569" priority="9555" stopIfTrue="1">
      <formula>ACOMPANHAMENTO="BM"</formula>
    </cfRule>
    <cfRule type="expression" dxfId="568" priority="9556" stopIfTrue="1">
      <formula>OR($B12=0,$B12=2,$B12=3,$B12=4)</formula>
    </cfRule>
    <cfRule type="expression" dxfId="567" priority="9557" stopIfTrue="1">
      <formula>$B12=1</formula>
    </cfRule>
  </conditionalFormatting>
  <conditionalFormatting sqref="K12:K405">
    <cfRule type="expression" dxfId="566" priority="9558" stopIfTrue="1">
      <formula>OR(ACOMPANHAMENTO="BM",$A$12&lt;&gt;"Manual")</formula>
    </cfRule>
    <cfRule type="expression" dxfId="565" priority="9559" stopIfTrue="1">
      <formula>$B12=1</formula>
    </cfRule>
    <cfRule type="expression" dxfId="564" priority="9560" stopIfTrue="1">
      <formula>OR($B12=2,$B12=3,$B12=4,$B12=0)</formula>
    </cfRule>
  </conditionalFormatting>
  <conditionalFormatting sqref="O12:AA405">
    <cfRule type="expression" dxfId="563" priority="3144" stopIfTrue="1">
      <formula>ACOMPANHAMENTO="BM"</formula>
    </cfRule>
    <cfRule type="expression" dxfId="562" priority="9562" stopIfTrue="1">
      <formula>AND(O$12&lt;&gt;".",OR($B12=0,$B12=2,$B12=3,$B12=4,AND(O$12="",$B12&lt;&gt;"Empty"),OFFSET(O$1,0,-1)=0))</formula>
    </cfRule>
    <cfRule type="expression" dxfId="561" priority="9563" stopIfTrue="1">
      <formula>AND($B12=1,O$1=1)</formula>
    </cfRule>
  </conditionalFormatting>
  <conditionalFormatting sqref="Q15:Z15">
    <cfRule type="expression" dxfId="560" priority="9561">
      <formula>Q$11="▼"</formula>
    </cfRule>
  </conditionalFormatting>
  <conditionalFormatting sqref="O15">
    <cfRule type="expression" dxfId="559" priority="3143">
      <formula>O$11="▼"</formula>
    </cfRule>
  </conditionalFormatting>
  <conditionalFormatting sqref="D16:I24">
    <cfRule type="expression" dxfId="558" priority="89" stopIfTrue="1">
      <formula>$B16=1</formula>
    </cfRule>
    <cfRule type="expression" dxfId="557" priority="90" stopIfTrue="1">
      <formula>OR($B16=0,$B16=2,$B16=3,$B16=4)</formula>
    </cfRule>
  </conditionalFormatting>
  <conditionalFormatting sqref="D25:I33">
    <cfRule type="expression" dxfId="556" priority="87" stopIfTrue="1">
      <formula>$B25=1</formula>
    </cfRule>
    <cfRule type="expression" dxfId="555" priority="88" stopIfTrue="1">
      <formula>OR($B25=0,$B25=2,$B25=3,$B25=4)</formula>
    </cfRule>
  </conditionalFormatting>
  <conditionalFormatting sqref="D34:I42">
    <cfRule type="expression" dxfId="554" priority="85" stopIfTrue="1">
      <formula>$B34=1</formula>
    </cfRule>
    <cfRule type="expression" dxfId="553" priority="86" stopIfTrue="1">
      <formula>OR($B34=0,$B34=2,$B34=3,$B34=4)</formula>
    </cfRule>
  </conditionalFormatting>
  <conditionalFormatting sqref="D43:I51">
    <cfRule type="expression" dxfId="552" priority="83" stopIfTrue="1">
      <formula>$B43=1</formula>
    </cfRule>
    <cfRule type="expression" dxfId="551" priority="84" stopIfTrue="1">
      <formula>OR($B43=0,$B43=2,$B43=3,$B43=4)</formula>
    </cfRule>
  </conditionalFormatting>
  <conditionalFormatting sqref="D60:I68">
    <cfRule type="expression" dxfId="550" priority="79" stopIfTrue="1">
      <formula>$B60=1</formula>
    </cfRule>
    <cfRule type="expression" dxfId="549" priority="80" stopIfTrue="1">
      <formula>OR($B60=0,$B60=2,$B60=3,$B60=4)</formula>
    </cfRule>
  </conditionalFormatting>
  <conditionalFormatting sqref="D69:I77">
    <cfRule type="expression" dxfId="548" priority="77" stopIfTrue="1">
      <formula>$B69=1</formula>
    </cfRule>
    <cfRule type="expression" dxfId="547" priority="78" stopIfTrue="1">
      <formula>OR($B69=0,$B69=2,$B69=3,$B69=4)</formula>
    </cfRule>
  </conditionalFormatting>
  <conditionalFormatting sqref="D78:I86">
    <cfRule type="expression" dxfId="546" priority="75" stopIfTrue="1">
      <formula>$B78=1</formula>
    </cfRule>
    <cfRule type="expression" dxfId="545" priority="76" stopIfTrue="1">
      <formula>OR($B78=0,$B78=2,$B78=3,$B78=4)</formula>
    </cfRule>
  </conditionalFormatting>
  <conditionalFormatting sqref="D87:I95">
    <cfRule type="expression" dxfId="544" priority="73" stopIfTrue="1">
      <formula>$B87=1</formula>
    </cfRule>
    <cfRule type="expression" dxfId="543" priority="74" stopIfTrue="1">
      <formula>OR($B87=0,$B87=2,$B87=3,$B87=4)</formula>
    </cfRule>
  </conditionalFormatting>
  <conditionalFormatting sqref="D96:I104">
    <cfRule type="expression" dxfId="542" priority="71" stopIfTrue="1">
      <formula>$B96=1</formula>
    </cfRule>
    <cfRule type="expression" dxfId="541" priority="72" stopIfTrue="1">
      <formula>OR($B96=0,$B96=2,$B96=3,$B96=4)</formula>
    </cfRule>
  </conditionalFormatting>
  <conditionalFormatting sqref="D105:I113">
    <cfRule type="expression" dxfId="540" priority="69" stopIfTrue="1">
      <formula>$B105=1</formula>
    </cfRule>
    <cfRule type="expression" dxfId="539" priority="70" stopIfTrue="1">
      <formula>OR($B105=0,$B105=2,$B105=3,$B105=4)</formula>
    </cfRule>
  </conditionalFormatting>
  <conditionalFormatting sqref="D114:I122">
    <cfRule type="expression" dxfId="538" priority="67" stopIfTrue="1">
      <formula>$B114=1</formula>
    </cfRule>
    <cfRule type="expression" dxfId="537" priority="68" stopIfTrue="1">
      <formula>OR($B114=0,$B114=2,$B114=3,$B114=4)</formula>
    </cfRule>
  </conditionalFormatting>
  <conditionalFormatting sqref="D123:I131">
    <cfRule type="expression" dxfId="536" priority="65" stopIfTrue="1">
      <formula>$B123=1</formula>
    </cfRule>
    <cfRule type="expression" dxfId="535" priority="66" stopIfTrue="1">
      <formula>OR($B123=0,$B123=2,$B123=3,$B123=4)</formula>
    </cfRule>
  </conditionalFormatting>
  <conditionalFormatting sqref="D132:I140">
    <cfRule type="expression" dxfId="534" priority="63" stopIfTrue="1">
      <formula>$B132=1</formula>
    </cfRule>
    <cfRule type="expression" dxfId="533" priority="64" stopIfTrue="1">
      <formula>OR($B132=0,$B132=2,$B132=3,$B132=4)</formula>
    </cfRule>
  </conditionalFormatting>
  <conditionalFormatting sqref="D141:I149">
    <cfRule type="expression" dxfId="532" priority="61" stopIfTrue="1">
      <formula>$B141=1</formula>
    </cfRule>
    <cfRule type="expression" dxfId="531" priority="62" stopIfTrue="1">
      <formula>OR($B141=0,$B141=2,$B141=3,$B141=4)</formula>
    </cfRule>
  </conditionalFormatting>
  <conditionalFormatting sqref="D150:I158">
    <cfRule type="expression" dxfId="530" priority="59" stopIfTrue="1">
      <formula>$B150=1</formula>
    </cfRule>
    <cfRule type="expression" dxfId="529" priority="60" stopIfTrue="1">
      <formula>OR($B150=0,$B150=2,$B150=3,$B150=4)</formula>
    </cfRule>
  </conditionalFormatting>
  <conditionalFormatting sqref="D159:I167">
    <cfRule type="expression" dxfId="528" priority="57" stopIfTrue="1">
      <formula>$B159=1</formula>
    </cfRule>
    <cfRule type="expression" dxfId="527" priority="58" stopIfTrue="1">
      <formula>OR($B159=0,$B159=2,$B159=3,$B159=4)</formula>
    </cfRule>
  </conditionalFormatting>
  <conditionalFormatting sqref="D168:I176">
    <cfRule type="expression" dxfId="526" priority="55" stopIfTrue="1">
      <formula>$B168=1</formula>
    </cfRule>
    <cfRule type="expression" dxfId="525" priority="56" stopIfTrue="1">
      <formula>OR($B168=0,$B168=2,$B168=3,$B168=4)</formula>
    </cfRule>
  </conditionalFormatting>
  <conditionalFormatting sqref="D177:I185">
    <cfRule type="expression" dxfId="524" priority="53" stopIfTrue="1">
      <formula>$B177=1</formula>
    </cfRule>
    <cfRule type="expression" dxfId="523" priority="54" stopIfTrue="1">
      <formula>OR($B177=0,$B177=2,$B177=3,$B177=4)</formula>
    </cfRule>
  </conditionalFormatting>
  <conditionalFormatting sqref="D186:I194">
    <cfRule type="expression" dxfId="522" priority="51" stopIfTrue="1">
      <formula>$B186=1</formula>
    </cfRule>
    <cfRule type="expression" dxfId="521" priority="52" stopIfTrue="1">
      <formula>OR($B186=0,$B186=2,$B186=3,$B186=4)</formula>
    </cfRule>
  </conditionalFormatting>
  <conditionalFormatting sqref="D195:I203">
    <cfRule type="expression" dxfId="520" priority="49" stopIfTrue="1">
      <formula>$B195=1</formula>
    </cfRule>
    <cfRule type="expression" dxfId="519" priority="50" stopIfTrue="1">
      <formula>OR($B195=0,$B195=2,$B195=3,$B195=4)</formula>
    </cfRule>
  </conditionalFormatting>
  <conditionalFormatting sqref="D204:I212">
    <cfRule type="expression" dxfId="518" priority="47" stopIfTrue="1">
      <formula>$B204=1</formula>
    </cfRule>
    <cfRule type="expression" dxfId="517" priority="48" stopIfTrue="1">
      <formula>OR($B204=0,$B204=2,$B204=3,$B204=4)</formula>
    </cfRule>
  </conditionalFormatting>
  <conditionalFormatting sqref="D213:I221">
    <cfRule type="expression" dxfId="516" priority="45" stopIfTrue="1">
      <formula>$B213=1</formula>
    </cfRule>
    <cfRule type="expression" dxfId="515" priority="46" stopIfTrue="1">
      <formula>OR($B213=0,$B213=2,$B213=3,$B213=4)</formula>
    </cfRule>
  </conditionalFormatting>
  <conditionalFormatting sqref="D222:I230">
    <cfRule type="expression" dxfId="514" priority="43" stopIfTrue="1">
      <formula>$B222=1</formula>
    </cfRule>
    <cfRule type="expression" dxfId="513" priority="44" stopIfTrue="1">
      <formula>OR($B222=0,$B222=2,$B222=3,$B222=4)</formula>
    </cfRule>
  </conditionalFormatting>
  <conditionalFormatting sqref="D231:I239">
    <cfRule type="expression" dxfId="512" priority="41" stopIfTrue="1">
      <formula>$B231=1</formula>
    </cfRule>
    <cfRule type="expression" dxfId="511" priority="42" stopIfTrue="1">
      <formula>OR($B231=0,$B231=2,$B231=3,$B231=4)</formula>
    </cfRule>
  </conditionalFormatting>
  <conditionalFormatting sqref="D240:I248">
    <cfRule type="expression" dxfId="510" priority="39" stopIfTrue="1">
      <formula>$B240=1</formula>
    </cfRule>
    <cfRule type="expression" dxfId="509" priority="40" stopIfTrue="1">
      <formula>OR($B240=0,$B240=2,$B240=3,$B240=4)</formula>
    </cfRule>
  </conditionalFormatting>
  <conditionalFormatting sqref="D249:I252 D254:I258">
    <cfRule type="expression" dxfId="508" priority="37" stopIfTrue="1">
      <formula>$B249=1</formula>
    </cfRule>
    <cfRule type="expression" dxfId="507" priority="38" stopIfTrue="1">
      <formula>OR($B249=0,$B249=2,$B249=3,$B249=4)</formula>
    </cfRule>
  </conditionalFormatting>
  <conditionalFormatting sqref="D259:I267">
    <cfRule type="expression" dxfId="506" priority="35" stopIfTrue="1">
      <formula>$B259=1</formula>
    </cfRule>
    <cfRule type="expression" dxfId="505" priority="36" stopIfTrue="1">
      <formula>OR($B259=0,$B259=2,$B259=3,$B259=4)</formula>
    </cfRule>
  </conditionalFormatting>
  <conditionalFormatting sqref="D268:I276">
    <cfRule type="expression" dxfId="504" priority="33" stopIfTrue="1">
      <formula>$B268=1</formula>
    </cfRule>
    <cfRule type="expression" dxfId="503" priority="34" stopIfTrue="1">
      <formula>OR($B268=0,$B268=2,$B268=3,$B268=4)</formula>
    </cfRule>
  </conditionalFormatting>
  <conditionalFormatting sqref="D277:I285">
    <cfRule type="expression" dxfId="502" priority="31" stopIfTrue="1">
      <formula>$B277=1</formula>
    </cfRule>
    <cfRule type="expression" dxfId="501" priority="32" stopIfTrue="1">
      <formula>OR($B277=0,$B277=2,$B277=3,$B277=4)</formula>
    </cfRule>
  </conditionalFormatting>
  <conditionalFormatting sqref="D286:I294">
    <cfRule type="expression" dxfId="500" priority="29" stopIfTrue="1">
      <formula>$B286=1</formula>
    </cfRule>
    <cfRule type="expression" dxfId="499" priority="30" stopIfTrue="1">
      <formula>OR($B286=0,$B286=2,$B286=3,$B286=4)</formula>
    </cfRule>
  </conditionalFormatting>
  <conditionalFormatting sqref="D295:I303">
    <cfRule type="expression" dxfId="498" priority="27" stopIfTrue="1">
      <formula>$B295=1</formula>
    </cfRule>
    <cfRule type="expression" dxfId="497" priority="28" stopIfTrue="1">
      <formula>OR($B295=0,$B295=2,$B295=3,$B295=4)</formula>
    </cfRule>
  </conditionalFormatting>
  <conditionalFormatting sqref="D304:I312">
    <cfRule type="expression" dxfId="496" priority="25" stopIfTrue="1">
      <formula>$B304=1</formula>
    </cfRule>
    <cfRule type="expression" dxfId="495" priority="26" stopIfTrue="1">
      <formula>OR($B304=0,$B304=2,$B304=3,$B304=4)</formula>
    </cfRule>
  </conditionalFormatting>
  <conditionalFormatting sqref="D313:I321">
    <cfRule type="expression" dxfId="494" priority="23" stopIfTrue="1">
      <formula>$B313=1</formula>
    </cfRule>
    <cfRule type="expression" dxfId="493" priority="24" stopIfTrue="1">
      <formula>OR($B313=0,$B313=2,$B313=3,$B313=4)</formula>
    </cfRule>
  </conditionalFormatting>
  <conditionalFormatting sqref="D322:I330">
    <cfRule type="expression" dxfId="492" priority="21" stopIfTrue="1">
      <formula>$B322=1</formula>
    </cfRule>
    <cfRule type="expression" dxfId="491" priority="22" stopIfTrue="1">
      <formula>OR($B322=0,$B322=2,$B322=3,$B322=4)</formula>
    </cfRule>
  </conditionalFormatting>
  <conditionalFormatting sqref="D331:I339">
    <cfRule type="expression" dxfId="490" priority="19" stopIfTrue="1">
      <formula>$B331=1</formula>
    </cfRule>
    <cfRule type="expression" dxfId="489" priority="20" stopIfTrue="1">
      <formula>OR($B331=0,$B331=2,$B331=3,$B331=4)</formula>
    </cfRule>
  </conditionalFormatting>
  <conditionalFormatting sqref="D340:I348">
    <cfRule type="expression" dxfId="488" priority="17" stopIfTrue="1">
      <formula>$B340=1</formula>
    </cfRule>
    <cfRule type="expression" dxfId="487" priority="18" stopIfTrue="1">
      <formula>OR($B340=0,$B340=2,$B340=3,$B340=4)</formula>
    </cfRule>
  </conditionalFormatting>
  <conditionalFormatting sqref="D349:I357">
    <cfRule type="expression" dxfId="486" priority="15" stopIfTrue="1">
      <formula>$B349=1</formula>
    </cfRule>
    <cfRule type="expression" dxfId="485" priority="16" stopIfTrue="1">
      <formula>OR($B349=0,$B349=2,$B349=3,$B349=4)</formula>
    </cfRule>
  </conditionalFormatting>
  <conditionalFormatting sqref="D358:I366">
    <cfRule type="expression" dxfId="484" priority="13" stopIfTrue="1">
      <formula>$B358=1</formula>
    </cfRule>
    <cfRule type="expression" dxfId="483" priority="14" stopIfTrue="1">
      <formula>OR($B358=0,$B358=2,$B358=3,$B358=4)</formula>
    </cfRule>
  </conditionalFormatting>
  <conditionalFormatting sqref="D367:I375">
    <cfRule type="expression" dxfId="482" priority="11" stopIfTrue="1">
      <formula>$B367=1</formula>
    </cfRule>
    <cfRule type="expression" dxfId="481" priority="12" stopIfTrue="1">
      <formula>OR($B367=0,$B367=2,$B367=3,$B367=4)</formula>
    </cfRule>
  </conditionalFormatting>
  <conditionalFormatting sqref="D376:I384">
    <cfRule type="expression" dxfId="480" priority="9" stopIfTrue="1">
      <formula>$B376=1</formula>
    </cfRule>
    <cfRule type="expression" dxfId="479" priority="10" stopIfTrue="1">
      <formula>OR($B376=0,$B376=2,$B376=3,$B376=4)</formula>
    </cfRule>
  </conditionalFormatting>
  <conditionalFormatting sqref="D385:I393">
    <cfRule type="expression" dxfId="478" priority="7" stopIfTrue="1">
      <formula>$B385=1</formula>
    </cfRule>
    <cfRule type="expression" dxfId="477" priority="8" stopIfTrue="1">
      <formula>OR($B385=0,$B385=2,$B385=3,$B385=4)</formula>
    </cfRule>
  </conditionalFormatting>
  <conditionalFormatting sqref="D394:I402">
    <cfRule type="expression" dxfId="476" priority="5" stopIfTrue="1">
      <formula>$B394=1</formula>
    </cfRule>
    <cfRule type="expression" dxfId="475" priority="6" stopIfTrue="1">
      <formula>OR($B394=0,$B394=2,$B394=3,$B394=4)</formula>
    </cfRule>
  </conditionalFormatting>
  <conditionalFormatting sqref="D403:I404">
    <cfRule type="expression" dxfId="474" priority="3" stopIfTrue="1">
      <formula>$B403=1</formula>
    </cfRule>
    <cfRule type="expression" dxfId="473" priority="4" stopIfTrue="1">
      <formula>OR($B403=0,$B403=2,$B403=3,$B403=4)</formula>
    </cfRule>
  </conditionalFormatting>
  <conditionalFormatting sqref="D253:I253">
    <cfRule type="expression" dxfId="472" priority="1" stopIfTrue="1">
      <formula>$B253=1</formula>
    </cfRule>
    <cfRule type="expression" dxfId="471" priority="2" stopIfTrue="1">
      <formula>OR($B253=0,$B253=2,$B253=3,$B253=4)</formula>
    </cfRule>
  </conditionalFormatting>
  <dataValidations count="4">
    <dataValidation type="decimal" operator="greaterThan" allowBlank="1" showErrorMessage="1" error="Apenas números decimais maiores que zero." sqref="O14 Q14:Z14 Q16:Z404 O16:O404" xr:uid="{00000000-0002-0000-0500-000000000000}">
      <formula1>0</formula1>
      <formula2>0</formula2>
    </dataValidation>
    <dataValidation type="list" allowBlank="1" showErrorMessage="1" sqref="K14 K16:K404" xr:uid="{00000000-0002-0000-0500-000001000000}">
      <formula1>EVENTOS.ListaValidacao</formula1>
      <formula2>0</formula2>
    </dataValidation>
    <dataValidation allowBlank="1" showInputMessage="1" showErrorMessage="1" prompt="A quantidade é digitada nas colunas Q em diante, após preencher o nome das frentes de obra na célula Q12 em diante" sqref="H14 H16:H404" xr:uid="{00000000-0002-0000-0500-000002000000}"/>
    <dataValidation allowBlank="1" showInputMessage="1" showErrorMessage="1" prompt="A frente de obra é uma porção física da obra. Exemplos: Única; Rua A; Rua B; Trecho 01; Trecho 02; 1º Andar; 2º Andar; Copa; Banheiro" sqref="Q12" xr:uid="{00000000-0002-0000-0500-000003000000}"/>
  </dataValidations>
  <pageMargins left="0.78740157480314998" right="0.78740157480314998" top="0.78740157480314998" bottom="0.78740157480314998" header="0.59055118110236204" footer="0.59055118110236204"/>
  <pageSetup paperSize="9" scale="65" firstPageNumber="0" orientation="landscape" r:id="rId1"/>
  <headerFooter alignWithMargins="0">
    <oddHeader>&amp;C&amp;14I</oddHeader>
    <oddFooter>&amp;LPMv3.11&amp;R&amp;P / &amp;N</oddFooter>
  </headerFooter>
  <colBreaks count="1" manualBreakCount="1">
    <brk id="27"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10">
    <pageSetUpPr fitToPage="1"/>
  </sheetPr>
  <dimension ref="A1:AF79"/>
  <sheetViews>
    <sheetView showGridLines="0" zoomScaleNormal="100" zoomScaleSheetLayoutView="100" workbookViewId="0">
      <pane xSplit="3" ySplit="13" topLeftCell="D14" activePane="bottomRight" state="frozen"/>
      <selection pane="topRight" activeCell="D3" sqref="D3"/>
      <selection pane="bottomLeft" activeCell="A13" sqref="A13"/>
      <selection pane="bottomRight"/>
    </sheetView>
  </sheetViews>
  <sheetFormatPr defaultRowHeight="12.75" x14ac:dyDescent="0.2"/>
  <cols>
    <col min="1" max="1" width="3.5703125" customWidth="1"/>
    <col min="2" max="2" width="8.140625" customWidth="1"/>
    <col min="3" max="3" width="36.85546875" customWidth="1"/>
    <col min="4" max="4" width="0.85546875" customWidth="1"/>
    <col min="5" max="6" width="9.140625" hidden="1" customWidth="1"/>
    <col min="7" max="31" width="5.5703125" customWidth="1"/>
    <col min="32" max="32" width="5.5703125" hidden="1" customWidth="1"/>
  </cols>
  <sheetData>
    <row r="1" spans="1:31" hidden="1" x14ac:dyDescent="0.2">
      <c r="A1" s="7" t="e">
        <f ca="1">IF(AUTOEVENTO="Manual",IF(EVENTOS!$F1&gt;0,"F",""),IF(CRONOPLE!B1&lt;=MAX(CÁLCULO!$M$15:$M$405),"F",""))</f>
        <v>#REF!</v>
      </c>
      <c r="B1" s="248" t="e">
        <f ca="1">OFFSET(B1,-1,0)+1</f>
        <v>#REF!</v>
      </c>
      <c r="C1" s="515" t="e">
        <f ca="1">IF(AUTOEVENTO="Manual",IF($B1&gt;0,OFFSET(EVENTOS!$D$15,$B1-$B$15,0),0),IF(B1&lt;=MAX(CÁLCULO!$M$15:$M$405),VLOOKUP($B1,CÁLCULO!$M$15:$N$405,2,FALSE),0))</f>
        <v>#REF!</v>
      </c>
      <c r="D1" s="556"/>
      <c r="E1" s="249"/>
      <c r="F1" t="e">
        <f ca="1">IF($C1=0,"",CONCATENATE($B1,". ",$C1))</f>
        <v>#REF!</v>
      </c>
      <c r="G1" s="555"/>
      <c r="H1" s="555"/>
      <c r="I1" s="555"/>
      <c r="J1" s="555"/>
      <c r="K1" s="555"/>
      <c r="L1" s="555"/>
      <c r="M1" s="555"/>
      <c r="N1" s="555"/>
      <c r="O1" s="555"/>
      <c r="P1" s="555"/>
      <c r="Q1" s="555"/>
      <c r="R1" s="555"/>
      <c r="S1" s="555"/>
      <c r="T1" s="555"/>
      <c r="U1" s="555"/>
      <c r="V1" s="555"/>
      <c r="W1" s="555"/>
      <c r="X1" s="555"/>
      <c r="Y1" s="555"/>
      <c r="Z1" s="555"/>
      <c r="AA1" s="555"/>
      <c r="AB1" s="555"/>
      <c r="AC1" s="555"/>
      <c r="AD1" s="555"/>
      <c r="AE1" s="555"/>
    </row>
    <row r="2" spans="1:31" ht="30" customHeight="1" x14ac:dyDescent="0.2">
      <c r="G2" s="82" t="s">
        <v>779</v>
      </c>
      <c r="AC2" s="747" t="s">
        <v>758</v>
      </c>
      <c r="AD2" s="748"/>
      <c r="AE2" s="749"/>
    </row>
    <row r="3" spans="1:31" ht="12.75" customHeight="1" x14ac:dyDescent="0.2">
      <c r="G3" s="82"/>
      <c r="AD3" s="484"/>
      <c r="AE3" s="484"/>
    </row>
    <row r="4" spans="1:31" ht="12.75" customHeight="1" x14ac:dyDescent="0.2">
      <c r="B4" s="673" t="s">
        <v>652</v>
      </c>
      <c r="C4" s="673"/>
      <c r="D4" s="673"/>
      <c r="G4" s="714" t="s">
        <v>650</v>
      </c>
      <c r="H4" s="714"/>
      <c r="I4" s="714"/>
      <c r="J4" s="714" t="s">
        <v>708</v>
      </c>
      <c r="K4" s="714"/>
      <c r="L4" s="714"/>
      <c r="M4" s="209" t="s">
        <v>759</v>
      </c>
      <c r="N4" s="213"/>
      <c r="P4" s="187"/>
      <c r="Q4" s="187"/>
      <c r="R4" s="187"/>
      <c r="U4" s="485"/>
      <c r="V4" s="187"/>
      <c r="W4" s="187"/>
      <c r="X4" s="187"/>
      <c r="Y4" s="187"/>
      <c r="AD4" s="484"/>
      <c r="AE4" s="486"/>
    </row>
    <row r="5" spans="1:31" ht="12.75" customHeight="1" x14ac:dyDescent="0.2">
      <c r="B5" s="670" t="str">
        <f>Import.Proponente</f>
        <v>PREFEITURA MUNICIPAL DE CAÇADOR</v>
      </c>
      <c r="C5" s="670"/>
      <c r="D5" s="670"/>
      <c r="G5" s="712">
        <f>Import.CR</f>
        <v>0</v>
      </c>
      <c r="H5" s="712"/>
      <c r="I5" s="712"/>
      <c r="J5" s="712" t="str">
        <f>Import.SICONV</f>
        <v>958977</v>
      </c>
      <c r="K5" s="712"/>
      <c r="L5" s="712"/>
      <c r="M5" s="725" t="str">
        <f>Import.Apelido</f>
        <v>CMEI Sorgatto</v>
      </c>
      <c r="N5" s="726"/>
      <c r="O5" s="726"/>
      <c r="P5" s="726"/>
      <c r="Q5" s="726"/>
      <c r="R5" s="726"/>
      <c r="S5" s="726"/>
      <c r="T5" s="726"/>
      <c r="U5" s="726"/>
      <c r="V5" s="726"/>
      <c r="W5" s="726"/>
      <c r="X5" s="726"/>
      <c r="Y5" s="726"/>
      <c r="Z5" s="726"/>
      <c r="AA5" s="726"/>
      <c r="AB5" s="726"/>
      <c r="AC5" s="726"/>
      <c r="AD5" s="726"/>
      <c r="AE5" s="750"/>
    </row>
    <row r="6" spans="1:31" ht="14.25" customHeight="1" x14ac:dyDescent="0.25">
      <c r="B6" s="250" t="str" cm="1">
        <f t="array" aca="1" ref="B6" ca="1">IF(ACOMPANHAMENTO="BM","NO ACOMPANHAMENTO POR BM, UTILIZE A ABA CRONO",
  IF(MAX($B$14:$B$65)&lt;MAX(CÁLCULO!$M$15:$M$405),"ERRO: NÚMERO DE EVENTOS INSUFICIENTE, CLIQUE EM ATUALIZAR LINHAS",
  IF(ROUND(OFFSET(CRONO!$AG$99,0,-1),2)&lt;&gt;CRONO!$R$90,"ERRO: CRONOGRAMA NÃO FECHA 100%","")))</f>
        <v>NO ACOMPANHAMENTO POR BM, UTILIZE A ABA CRONO</v>
      </c>
    </row>
    <row r="7" spans="1:31" ht="15" customHeight="1" thickBot="1" x14ac:dyDescent="0.25">
      <c r="B7" s="523" t="str" cm="1">
        <f t="array" aca="1" ref="B7" ca="1">IF(AdmLocal="Automática","","1. Selecione o Título do Evento da Administração Local:")</f>
        <v>1. Selecione o Título do Evento da Administração Local:</v>
      </c>
    </row>
    <row r="8" spans="1:31" ht="13.5" thickBot="1" x14ac:dyDescent="0.25">
      <c r="A8" s="550" t="e">
        <f>MID(Import.EventoAdmLocal,1,SEARCH(".",Import.EventoAdmLocal)-1)</f>
        <v>#VALUE!</v>
      </c>
      <c r="B8" s="721"/>
      <c r="C8" s="722"/>
      <c r="D8" s="573" t="str">
        <f ca="1">IF($B$7="","",IF(AND($B$15=0,$B$8=""),"◄ Não foi indicado o Evento de Administração Local",IF(ISERROR(MATCH(Import.EventoAdmLocal,$F$15:$F$65,0)),"◄ Selecione um Título de Evento válido para a Administração Local","")))</f>
        <v>◄ Não foi indicado o Evento de Administração Local</v>
      </c>
    </row>
    <row r="9" spans="1:31" ht="3.95" customHeight="1" x14ac:dyDescent="0.2">
      <c r="A9" s="550"/>
    </row>
    <row r="10" spans="1:31" ht="15" customHeight="1" x14ac:dyDescent="0.2">
      <c r="A10" s="550" t="e">
        <f>MATCH(VALUE(A8),CÁLCULO!$M$15:$M$405,0)-2</f>
        <v>#VALUE!</v>
      </c>
      <c r="B10" s="523" t="str">
        <f ca="1">CONCATENATE(IF(AdmLocal="Automática",1,2),". Digite nas células em amarelo o número do período em que os eventos serão concluídos:")</f>
        <v>2. Digite nas células em amarelo o número do período em que os eventos serão concluídos:</v>
      </c>
    </row>
    <row r="11" spans="1:31" ht="65.25" customHeight="1" x14ac:dyDescent="0.2">
      <c r="A11" s="490" t="s">
        <v>655</v>
      </c>
      <c r="C11" s="252"/>
      <c r="E11" s="253" t="str">
        <f ca="1">IF(E$12&gt;CÁLCULO.FrentesPreenchidas,"",OFFSET(CÁLCULO!$P$12,0,E$12))</f>
        <v/>
      </c>
      <c r="G11" s="253" t="str">
        <f ca="1">IF(G$12&gt;CÁLCULO.FrentesPreenchidas,"",OFFSET(CÁLCULO!$P$12,0,G$12))</f>
        <v/>
      </c>
      <c r="H11" s="253" t="str">
        <f ca="1">IF(H$12&gt;CÁLCULO.FrentesPreenchidas,"",OFFSET(CÁLCULO!$P$12,0,H$12))</f>
        <v/>
      </c>
      <c r="I11" s="253" t="str">
        <f ca="1">IF(I$12&gt;CÁLCULO.FrentesPreenchidas,"",OFFSET(CÁLCULO!$P$12,0,I$12))</f>
        <v/>
      </c>
      <c r="J11" s="253" t="str">
        <f ca="1">IF(J$12&gt;CÁLCULO.FrentesPreenchidas,"",OFFSET(CÁLCULO!$P$12,0,J$12))</f>
        <v/>
      </c>
      <c r="K11" s="253" t="str">
        <f ca="1">IF(K$12&gt;CÁLCULO.FrentesPreenchidas,"",OFFSET(CÁLCULO!$P$12,0,K$12))</f>
        <v/>
      </c>
      <c r="L11" s="253" t="str">
        <f ca="1">IF(L$12&gt;CÁLCULO.FrentesPreenchidas,"",OFFSET(CÁLCULO!$P$12,0,L$12))</f>
        <v/>
      </c>
      <c r="M11" s="253" t="str">
        <f ca="1">IF(M$12&gt;CÁLCULO.FrentesPreenchidas,"",OFFSET(CÁLCULO!$P$12,0,M$12))</f>
        <v/>
      </c>
      <c r="N11" s="253" t="str">
        <f ca="1">IF(N$12&gt;CÁLCULO.FrentesPreenchidas,"",OFFSET(CÁLCULO!$P$12,0,N$12))</f>
        <v/>
      </c>
      <c r="O11" s="253" t="str">
        <f ca="1">IF(O$12&gt;CÁLCULO.FrentesPreenchidas,"",OFFSET(CÁLCULO!$P$12,0,O$12))</f>
        <v/>
      </c>
      <c r="P11" s="253" t="str">
        <f ca="1">IF(P$12&gt;CÁLCULO.FrentesPreenchidas,"",OFFSET(CÁLCULO!$P$12,0,P$12))</f>
        <v/>
      </c>
      <c r="Q11" s="253" t="str">
        <f ca="1">IF(Q$12&gt;CÁLCULO.FrentesPreenchidas,"",OFFSET(CÁLCULO!$P$12,0,Q$12))</f>
        <v/>
      </c>
      <c r="R11" s="253" t="str">
        <f ca="1">IF(R$12&gt;CÁLCULO.FrentesPreenchidas,"",OFFSET(CÁLCULO!$P$12,0,R$12))</f>
        <v/>
      </c>
      <c r="S11" s="253" t="str">
        <f ca="1">IF(S$12&gt;CÁLCULO.FrentesPreenchidas,"",OFFSET(CÁLCULO!$P$12,0,S$12))</f>
        <v/>
      </c>
      <c r="T11" s="253" t="str">
        <f ca="1">IF(T$12&gt;CÁLCULO.FrentesPreenchidas,"",OFFSET(CÁLCULO!$P$12,0,T$12))</f>
        <v/>
      </c>
      <c r="U11" s="253" t="str">
        <f ca="1">IF(U$12&gt;CÁLCULO.FrentesPreenchidas,"",OFFSET(CÁLCULO!$P$12,0,U$12))</f>
        <v/>
      </c>
      <c r="V11" s="253" t="str">
        <f ca="1">IF(V$12&gt;CÁLCULO.FrentesPreenchidas,"",OFFSET(CÁLCULO!$P$12,0,V$12))</f>
        <v/>
      </c>
      <c r="W11" s="253" t="str">
        <f ca="1">IF(W$12&gt;CÁLCULO.FrentesPreenchidas,"",OFFSET(CÁLCULO!$P$12,0,W$12))</f>
        <v/>
      </c>
      <c r="X11" s="253" t="str">
        <f ca="1">IF(X$12&gt;CÁLCULO.FrentesPreenchidas,"",OFFSET(CÁLCULO!$P$12,0,X$12))</f>
        <v/>
      </c>
      <c r="Y11" s="253" t="str">
        <f ca="1">IF(Y$12&gt;CÁLCULO.FrentesPreenchidas,"",OFFSET(CÁLCULO!$P$12,0,Y$12))</f>
        <v/>
      </c>
      <c r="Z11" s="253" t="str">
        <f ca="1">IF(Z$12&gt;CÁLCULO.FrentesPreenchidas,"",OFFSET(CÁLCULO!$P$12,0,Z$12))</f>
        <v/>
      </c>
      <c r="AA11" s="253" t="str">
        <f ca="1">IF(AA$12&gt;CÁLCULO.FrentesPreenchidas,"",OFFSET(CÁLCULO!$P$12,0,AA$12))</f>
        <v/>
      </c>
      <c r="AB11" s="253" t="str">
        <f ca="1">IF(AB$12&gt;CÁLCULO.FrentesPreenchidas,"",OFFSET(CÁLCULO!$P$12,0,AB$12))</f>
        <v/>
      </c>
      <c r="AC11" s="253" t="str">
        <f ca="1">IF(AC$12&gt;CÁLCULO.FrentesPreenchidas,"",OFFSET(CÁLCULO!$P$12,0,AC$12))</f>
        <v/>
      </c>
      <c r="AD11" s="253" t="str">
        <f ca="1">IF(AD$12&gt;CÁLCULO.FrentesPreenchidas,"",OFFSET(CÁLCULO!$P$12,0,AD$12))</f>
        <v/>
      </c>
      <c r="AE11" s="253" t="str">
        <f ca="1">IF(AE$12&gt;CÁLCULO.FrentesPreenchidas,"",OFFSET(CÁLCULO!$P$12,0,AE$12))</f>
        <v/>
      </c>
    </row>
    <row r="12" spans="1:31" ht="12.75" customHeight="1" x14ac:dyDescent="0.2">
      <c r="A12" s="491" t="s">
        <v>660</v>
      </c>
      <c r="B12" s="744" t="s">
        <v>761</v>
      </c>
      <c r="C12" s="744" t="s">
        <v>780</v>
      </c>
      <c r="E12" s="254">
        <f ca="1">OFFSET(E12,0,-1)+1</f>
        <v>1</v>
      </c>
      <c r="G12" s="254">
        <f ca="1">OFFSET(G12,0,-1)+1</f>
        <v>1</v>
      </c>
      <c r="H12" s="254">
        <f ca="1">OFFSET(H12,0,-1)+1</f>
        <v>2</v>
      </c>
      <c r="I12" s="254">
        <f t="shared" ref="I12:AE12" ca="1" si="0">OFFSET(I12,0,-1)+1</f>
        <v>3</v>
      </c>
      <c r="J12" s="254">
        <f t="shared" ca="1" si="0"/>
        <v>4</v>
      </c>
      <c r="K12" s="254">
        <f t="shared" ca="1" si="0"/>
        <v>5</v>
      </c>
      <c r="L12" s="254">
        <f t="shared" ca="1" si="0"/>
        <v>6</v>
      </c>
      <c r="M12" s="254">
        <f t="shared" ca="1" si="0"/>
        <v>7</v>
      </c>
      <c r="N12" s="254">
        <f t="shared" ca="1" si="0"/>
        <v>8</v>
      </c>
      <c r="O12" s="254">
        <f t="shared" ca="1" si="0"/>
        <v>9</v>
      </c>
      <c r="P12" s="254">
        <f t="shared" ca="1" si="0"/>
        <v>10</v>
      </c>
      <c r="Q12" s="254">
        <f t="shared" ca="1" si="0"/>
        <v>11</v>
      </c>
      <c r="R12" s="254">
        <f t="shared" ca="1" si="0"/>
        <v>12</v>
      </c>
      <c r="S12" s="254">
        <f t="shared" ca="1" si="0"/>
        <v>13</v>
      </c>
      <c r="T12" s="254">
        <f t="shared" ca="1" si="0"/>
        <v>14</v>
      </c>
      <c r="U12" s="254">
        <f t="shared" ca="1" si="0"/>
        <v>15</v>
      </c>
      <c r="V12" s="254">
        <f t="shared" ca="1" si="0"/>
        <v>16</v>
      </c>
      <c r="W12" s="254">
        <f t="shared" ca="1" si="0"/>
        <v>17</v>
      </c>
      <c r="X12" s="254">
        <f t="shared" ca="1" si="0"/>
        <v>18</v>
      </c>
      <c r="Y12" s="254">
        <f t="shared" ca="1" si="0"/>
        <v>19</v>
      </c>
      <c r="Z12" s="254">
        <f t="shared" ca="1" si="0"/>
        <v>20</v>
      </c>
      <c r="AA12" s="254">
        <f t="shared" ca="1" si="0"/>
        <v>21</v>
      </c>
      <c r="AB12" s="254">
        <f t="shared" ca="1" si="0"/>
        <v>22</v>
      </c>
      <c r="AC12" s="254">
        <f t="shared" ca="1" si="0"/>
        <v>23</v>
      </c>
      <c r="AD12" s="254">
        <f t="shared" ca="1" si="0"/>
        <v>24</v>
      </c>
      <c r="AE12" s="254">
        <f t="shared" ca="1" si="0"/>
        <v>25</v>
      </c>
    </row>
    <row r="13" spans="1:31" x14ac:dyDescent="0.2">
      <c r="A13" t="s">
        <v>655</v>
      </c>
      <c r="B13" s="744"/>
      <c r="C13" s="744"/>
      <c r="E13" s="255"/>
      <c r="G13" s="256"/>
      <c r="H13" s="255"/>
      <c r="I13" s="255"/>
      <c r="J13" s="255"/>
      <c r="K13" s="255"/>
      <c r="L13" s="255"/>
      <c r="M13" s="579" t="str">
        <f ca="1">IF(CRONOPLE.Erro="ERRO: CRONOGRAMA NÃO FECHA 100%","Informe abaixo o NÚMERO DO PERÍODO em que os eventos serão concluídos","")</f>
        <v/>
      </c>
      <c r="N13" s="255"/>
      <c r="O13" s="255"/>
      <c r="P13" s="255"/>
      <c r="Q13" s="255"/>
      <c r="R13" s="255"/>
      <c r="S13" s="255"/>
      <c r="T13" s="255"/>
      <c r="U13" s="255"/>
      <c r="V13" s="255"/>
      <c r="W13" s="255"/>
      <c r="X13" s="255"/>
      <c r="Y13" s="255"/>
      <c r="Z13" s="255"/>
      <c r="AA13" s="255"/>
      <c r="AB13" s="255"/>
      <c r="AC13" s="255"/>
      <c r="AD13" s="255"/>
      <c r="AE13" s="257"/>
    </row>
    <row r="14" spans="1:31" ht="5.0999999999999996" customHeight="1" x14ac:dyDescent="0.2">
      <c r="A14" s="7" t="s">
        <v>536</v>
      </c>
    </row>
    <row r="15" spans="1:31" x14ac:dyDescent="0.2">
      <c r="A15" s="7" t="str">
        <f ca="1">IF(AUTOEVENTO="Manual",IF(EVENTOS!$F15&gt;0,"F",""),IF(CRONOPLE!B15&lt;=MAX(CÁLCULO!$M$15:$M$405),"F",""))</f>
        <v>F</v>
      </c>
      <c r="B15" s="258">
        <f ca="1">EVENTOS!$C$15</f>
        <v>0</v>
      </c>
      <c r="C15" s="259" t="str">
        <f ca="1">EVENTOS!$D$15</f>
        <v/>
      </c>
      <c r="D15" s="556"/>
      <c r="E15" s="260"/>
      <c r="F15" t="str">
        <f ca="1">IF($C15="","",CONCATENATE($B15,". ",$C15))</f>
        <v/>
      </c>
      <c r="G15" s="261" t="str">
        <f ca="1">IF(AUTOEVENTO="MANUAL","A administração local será proporcional a execução dos demais eventos, independente de frentes de obra.","Para aplicação de Adm. Local é necessário definir os eventos manualmente.")</f>
        <v>Para aplicação de Adm. Local é necessário definir os eventos manualmente.</v>
      </c>
      <c r="H15" s="260"/>
      <c r="I15" s="260"/>
      <c r="J15" s="260"/>
      <c r="K15" s="260"/>
      <c r="L15" s="260"/>
      <c r="M15" s="260"/>
      <c r="N15" s="260"/>
      <c r="O15" s="260"/>
      <c r="P15" s="260"/>
      <c r="Q15" s="260"/>
      <c r="R15" s="260"/>
      <c r="S15" s="260"/>
      <c r="T15" s="260"/>
      <c r="U15" s="260"/>
      <c r="V15" s="260"/>
      <c r="W15" s="260"/>
      <c r="X15" s="260"/>
      <c r="Y15" s="260"/>
      <c r="Z15" s="260"/>
      <c r="AA15" s="260"/>
      <c r="AB15" s="260"/>
      <c r="AC15" s="260"/>
      <c r="AD15" s="260"/>
      <c r="AE15" s="262"/>
    </row>
    <row r="16" spans="1:31" x14ac:dyDescent="0.2">
      <c r="A16" s="7" t="str">
        <f ca="1">IF(AUTOEVENTO="Manual",IF(EVENTOS!$F16&gt;0,"F",""),IF(CRONOPLE!B16&lt;=MAX(CÁLCULO!$M$15:$M$405),"F",""))</f>
        <v>F</v>
      </c>
      <c r="B16" s="248">
        <f t="shared" ref="B16:B64" ca="1" si="1">OFFSET(B16,-1,0)+1</f>
        <v>1</v>
      </c>
      <c r="C16" s="515" t="str">
        <f ca="1">IF(AUTOEVENTO="Manual",IF($B16&gt;0,OFFSET(EVENTOS!$D$15,$B16-$B$15,0),0),IF(B16&lt;=MAX(CÁLCULO!$M$15:$M$405),VLOOKUP($B16,CÁLCULO!$M$15:$N$405,2,FALSE),0))</f>
        <v>ADMINISTRAÇÃO DE OBRA</v>
      </c>
      <c r="D16" s="556"/>
      <c r="E16" s="249"/>
      <c r="F16" t="str">
        <f t="shared" ref="F16:F64" ca="1" si="2">IF($C16=0,"",CONCATENATE($B16,". ",$C16))</f>
        <v>1. ADMINISTRAÇÃO DE OBRA</v>
      </c>
      <c r="G16" s="555"/>
      <c r="H16" s="555"/>
      <c r="I16" s="555"/>
      <c r="J16" s="555"/>
      <c r="K16" s="555"/>
      <c r="L16" s="555"/>
      <c r="M16" s="555"/>
      <c r="N16" s="555"/>
      <c r="O16" s="555"/>
      <c r="P16" s="555"/>
      <c r="Q16" s="555"/>
      <c r="R16" s="555"/>
      <c r="S16" s="555"/>
      <c r="T16" s="555"/>
      <c r="U16" s="555"/>
      <c r="V16" s="555"/>
      <c r="W16" s="555"/>
      <c r="X16" s="555"/>
      <c r="Y16" s="555"/>
      <c r="Z16" s="555"/>
      <c r="AA16" s="555"/>
      <c r="AB16" s="555"/>
      <c r="AC16" s="555"/>
      <c r="AD16" s="555"/>
      <c r="AE16" s="555"/>
    </row>
    <row r="17" spans="1:31" x14ac:dyDescent="0.2">
      <c r="A17" s="7" t="str">
        <f ca="1">IF(AUTOEVENTO="Manual",IF(EVENTOS!$F17&gt;0,"F",""),IF(CRONOPLE!B17&lt;=MAX(CÁLCULO!$M$15:$M$405),"F",""))</f>
        <v>F</v>
      </c>
      <c r="B17" s="248">
        <f t="shared" ca="1" si="1"/>
        <v>2</v>
      </c>
      <c r="C17" s="515" t="str">
        <f ca="1">IF(AUTOEVENTO="Manual",IF($B17&gt;0,OFFSET(EVENTOS!$D$15,$B17-$B$15,0),0),IF(B17&lt;=MAX(CÁLCULO!$M$15:$M$405),VLOOKUP($B17,CÁLCULO!$M$15:$N$405,2,FALSE),0))</f>
        <v>SERVIÇOS PRELIMINARES</v>
      </c>
      <c r="D17" s="556"/>
      <c r="E17" s="249"/>
      <c r="F17" t="str">
        <f t="shared" ca="1" si="2"/>
        <v>2. SERVIÇOS PRELIMINARES</v>
      </c>
      <c r="G17" s="555"/>
      <c r="H17" s="555"/>
      <c r="I17" s="555"/>
      <c r="J17" s="555"/>
      <c r="K17" s="555"/>
      <c r="L17" s="555"/>
      <c r="M17" s="555"/>
      <c r="N17" s="555"/>
      <c r="O17" s="555"/>
      <c r="P17" s="555"/>
      <c r="Q17" s="555"/>
      <c r="R17" s="555"/>
      <c r="S17" s="555"/>
      <c r="T17" s="555"/>
      <c r="U17" s="555"/>
      <c r="V17" s="555"/>
      <c r="W17" s="555"/>
      <c r="X17" s="555"/>
      <c r="Y17" s="555"/>
      <c r="Z17" s="555"/>
      <c r="AA17" s="555"/>
      <c r="AB17" s="555"/>
      <c r="AC17" s="555"/>
      <c r="AD17" s="555"/>
      <c r="AE17" s="555"/>
    </row>
    <row r="18" spans="1:31" x14ac:dyDescent="0.2">
      <c r="A18" s="7" t="str">
        <f ca="1">IF(AUTOEVENTO="Manual",IF(EVENTOS!$F18&gt;0,"F",""),IF(CRONOPLE!B18&lt;=MAX(CÁLCULO!$M$15:$M$405),"F",""))</f>
        <v>F</v>
      </c>
      <c r="B18" s="248">
        <f t="shared" ca="1" si="1"/>
        <v>3</v>
      </c>
      <c r="C18" s="515" t="str">
        <f ca="1">IF(AUTOEVENTO="Manual",IF($B18&gt;0,OFFSET(EVENTOS!$D$15,$B18-$B$15,0),0),IF(B18&lt;=MAX(CÁLCULO!$M$15:$M$405),VLOOKUP($B18,CÁLCULO!$M$15:$N$405,2,FALSE),0))</f>
        <v>FUNDAÇÃO</v>
      </c>
      <c r="D18" s="556"/>
      <c r="E18" s="249"/>
      <c r="F18" t="str">
        <f t="shared" ca="1" si="2"/>
        <v>3. FUNDAÇÃO</v>
      </c>
      <c r="G18" s="555"/>
      <c r="H18" s="555"/>
      <c r="I18" s="555"/>
      <c r="J18" s="555"/>
      <c r="K18" s="555"/>
      <c r="L18" s="555"/>
      <c r="M18" s="555"/>
      <c r="N18" s="555"/>
      <c r="O18" s="555"/>
      <c r="P18" s="555"/>
      <c r="Q18" s="555"/>
      <c r="R18" s="555"/>
      <c r="S18" s="555"/>
      <c r="T18" s="555"/>
      <c r="U18" s="555"/>
      <c r="V18" s="555"/>
      <c r="W18" s="555"/>
      <c r="X18" s="555"/>
      <c r="Y18" s="555"/>
      <c r="Z18" s="555"/>
      <c r="AA18" s="555"/>
      <c r="AB18" s="555"/>
      <c r="AC18" s="555"/>
      <c r="AD18" s="555"/>
      <c r="AE18" s="555"/>
    </row>
    <row r="19" spans="1:31" x14ac:dyDescent="0.2">
      <c r="A19" s="7" t="str">
        <f ca="1">IF(AUTOEVENTO="Manual",IF(EVENTOS!$F19&gt;0,"F",""),IF(CRONOPLE!B19&lt;=MAX(CÁLCULO!$M$15:$M$405),"F",""))</f>
        <v>F</v>
      </c>
      <c r="B19" s="248">
        <f t="shared" ca="1" si="1"/>
        <v>4</v>
      </c>
      <c r="C19" s="515" t="str">
        <f ca="1">IF(AUTOEVENTO="Manual",IF($B19&gt;0,OFFSET(EVENTOS!$D$15,$B19-$B$15,0),0),IF(B19&lt;=MAX(CÁLCULO!$M$15:$M$405),VLOOKUP($B19,CÁLCULO!$M$15:$N$405,2,FALSE),0))</f>
        <v>SISTEMA DE TRATAMENTO DE ESGOTO</v>
      </c>
      <c r="D19" s="556"/>
      <c r="E19" s="249"/>
      <c r="F19" t="str">
        <f t="shared" ca="1" si="2"/>
        <v>4. SISTEMA DE TRATAMENTO DE ESGOTO</v>
      </c>
      <c r="G19" s="555"/>
      <c r="H19" s="555"/>
      <c r="I19" s="555"/>
      <c r="J19" s="555"/>
      <c r="K19" s="555"/>
      <c r="L19" s="555"/>
      <c r="M19" s="555"/>
      <c r="N19" s="555"/>
      <c r="O19" s="555"/>
      <c r="P19" s="555"/>
      <c r="Q19" s="555"/>
      <c r="R19" s="555"/>
      <c r="S19" s="555"/>
      <c r="T19" s="555"/>
      <c r="U19" s="555"/>
      <c r="V19" s="555"/>
      <c r="W19" s="555"/>
      <c r="X19" s="555"/>
      <c r="Y19" s="555"/>
      <c r="Z19" s="555"/>
      <c r="AA19" s="555"/>
      <c r="AB19" s="555"/>
      <c r="AC19" s="555"/>
      <c r="AD19" s="555"/>
      <c r="AE19" s="555"/>
    </row>
    <row r="20" spans="1:31" x14ac:dyDescent="0.2">
      <c r="A20" s="7" t="str">
        <f ca="1">IF(AUTOEVENTO="Manual",IF(EVENTOS!$F20&gt;0,"F",""),IF(CRONOPLE!B20&lt;=MAX(CÁLCULO!$M$15:$M$405),"F",""))</f>
        <v>F</v>
      </c>
      <c r="B20" s="248">
        <f t="shared" ca="1" si="1"/>
        <v>5</v>
      </c>
      <c r="C20" s="515" t="str">
        <f ca="1">IF(AUTOEVENTO="Manual",IF($B20&gt;0,OFFSET(EVENTOS!$D$15,$B20-$B$15,0),0),IF(B20&lt;=MAX(CÁLCULO!$M$15:$M$405),VLOOKUP($B20,CÁLCULO!$M$15:$N$405,2,FALSE),0))</f>
        <v>ESTRUTURA METÁLICA DOS MÓDULOS</v>
      </c>
      <c r="D20" s="556"/>
      <c r="E20" s="249"/>
      <c r="F20" t="str">
        <f t="shared" ca="1" si="2"/>
        <v>5. ESTRUTURA METÁLICA DOS MÓDULOS</v>
      </c>
      <c r="G20" s="555"/>
      <c r="H20" s="555"/>
      <c r="I20" s="555"/>
      <c r="J20" s="555"/>
      <c r="K20" s="555"/>
      <c r="L20" s="555"/>
      <c r="M20" s="555"/>
      <c r="N20" s="555"/>
      <c r="O20" s="555"/>
      <c r="P20" s="555"/>
      <c r="Q20" s="555"/>
      <c r="R20" s="555"/>
      <c r="S20" s="555"/>
      <c r="T20" s="555"/>
      <c r="U20" s="555"/>
      <c r="V20" s="555"/>
      <c r="W20" s="555"/>
      <c r="X20" s="555"/>
      <c r="Y20" s="555"/>
      <c r="Z20" s="555"/>
      <c r="AA20" s="555"/>
      <c r="AB20" s="555"/>
      <c r="AC20" s="555"/>
      <c r="AD20" s="555"/>
      <c r="AE20" s="555"/>
    </row>
    <row r="21" spans="1:31" x14ac:dyDescent="0.2">
      <c r="A21" s="7" t="str">
        <f ca="1">IF(AUTOEVENTO="Manual",IF(EVENTOS!$F21&gt;0,"F",""),IF(CRONOPLE!B21&lt;=MAX(CÁLCULO!$M$15:$M$405),"F",""))</f>
        <v>F</v>
      </c>
      <c r="B21" s="248">
        <f t="shared" ca="1" si="1"/>
        <v>6</v>
      </c>
      <c r="C21" s="515" t="str">
        <f ca="1">IF(AUTOEVENTO="Manual",IF($B21&gt;0,OFFSET(EVENTOS!$D$15,$B21-$B$15,0),0),IF(B21&lt;=MAX(CÁLCULO!$M$15:$M$405),VLOOKUP($B21,CÁLCULO!$M$15:$N$405,2,FALSE),0))</f>
        <v>COBERTURA DOS MÓDULOS</v>
      </c>
      <c r="D21" s="556"/>
      <c r="E21" s="249"/>
      <c r="F21" t="str">
        <f t="shared" ca="1" si="2"/>
        <v>6. COBERTURA DOS MÓDULOS</v>
      </c>
      <c r="G21" s="555"/>
      <c r="H21" s="555"/>
      <c r="I21" s="555"/>
      <c r="J21" s="555"/>
      <c r="K21" s="555"/>
      <c r="L21" s="555"/>
      <c r="M21" s="555"/>
      <c r="N21" s="555"/>
      <c r="O21" s="555"/>
      <c r="P21" s="555"/>
      <c r="Q21" s="555"/>
      <c r="R21" s="555"/>
      <c r="S21" s="555"/>
      <c r="T21" s="555"/>
      <c r="U21" s="555"/>
      <c r="V21" s="555"/>
      <c r="W21" s="555"/>
      <c r="X21" s="555"/>
      <c r="Y21" s="555"/>
      <c r="Z21" s="555"/>
      <c r="AA21" s="555"/>
      <c r="AB21" s="555"/>
      <c r="AC21" s="555"/>
      <c r="AD21" s="555"/>
      <c r="AE21" s="555"/>
    </row>
    <row r="22" spans="1:31" x14ac:dyDescent="0.2">
      <c r="A22" s="7" t="str">
        <f ca="1">IF(AUTOEVENTO="Manual",IF(EVENTOS!$F22&gt;0,"F",""),IF(CRONOPLE!B22&lt;=MAX(CÁLCULO!$M$15:$M$405),"F",""))</f>
        <v>F</v>
      </c>
      <c r="B22" s="248">
        <f t="shared" ca="1" si="1"/>
        <v>7</v>
      </c>
      <c r="C22" s="515" t="str">
        <f ca="1">IF(AUTOEVENTO="Manual",IF($B22&gt;0,OFFSET(EVENTOS!$D$15,$B22-$B$15,0),0),IF(B22&lt;=MAX(CÁLCULO!$M$15:$M$405),VLOOKUP($B22,CÁLCULO!$M$15:$N$405,2,FALSE),0))</f>
        <v>FECHAMENTOS DOS MÓDULOS</v>
      </c>
      <c r="D22" s="556"/>
      <c r="E22" s="249"/>
      <c r="F22" t="str">
        <f t="shared" ca="1" si="2"/>
        <v>7. FECHAMENTOS DOS MÓDULOS</v>
      </c>
      <c r="G22" s="555"/>
      <c r="H22" s="555"/>
      <c r="I22" s="555"/>
      <c r="J22" s="555"/>
      <c r="K22" s="555"/>
      <c r="L22" s="555"/>
      <c r="M22" s="555"/>
      <c r="N22" s="555"/>
      <c r="O22" s="555"/>
      <c r="P22" s="555"/>
      <c r="Q22" s="555"/>
      <c r="R22" s="555"/>
      <c r="S22" s="555"/>
      <c r="T22" s="555"/>
      <c r="U22" s="555"/>
      <c r="V22" s="555"/>
      <c r="W22" s="555"/>
      <c r="X22" s="555"/>
      <c r="Y22" s="555"/>
      <c r="Z22" s="555"/>
      <c r="AA22" s="555"/>
      <c r="AB22" s="555"/>
      <c r="AC22" s="555"/>
      <c r="AD22" s="555"/>
      <c r="AE22" s="555"/>
    </row>
    <row r="23" spans="1:31" x14ac:dyDescent="0.2">
      <c r="A23" s="7" t="str">
        <f ca="1">IF(AUTOEVENTO="Manual",IF(EVENTOS!$F23&gt;0,"F",""),IF(CRONOPLE!B23&lt;=MAX(CÁLCULO!$M$15:$M$405),"F",""))</f>
        <v>F</v>
      </c>
      <c r="B23" s="248">
        <f t="shared" ca="1" si="1"/>
        <v>8</v>
      </c>
      <c r="C23" s="515" t="str">
        <f ca="1">IF(AUTOEVENTO="Manual",IF($B23&gt;0,OFFSET(EVENTOS!$D$15,$B23-$B$15,0),0),IF(B23&lt;=MAX(CÁLCULO!$M$15:$M$405),VLOOKUP($B23,CÁLCULO!$M$15:$N$405,2,FALSE),0))</f>
        <v>PINTURA DA ESTRUTURA DOS MÓDULOS</v>
      </c>
      <c r="D23" s="556"/>
      <c r="E23" s="249"/>
      <c r="F23" t="str">
        <f t="shared" ca="1" si="2"/>
        <v>8. PINTURA DA ESTRUTURA DOS MÓDULOS</v>
      </c>
      <c r="G23" s="555"/>
      <c r="H23" s="555"/>
      <c r="I23" s="555"/>
      <c r="J23" s="555"/>
      <c r="K23" s="555"/>
      <c r="L23" s="555"/>
      <c r="M23" s="555"/>
      <c r="N23" s="555"/>
      <c r="O23" s="555"/>
      <c r="P23" s="555"/>
      <c r="Q23" s="555"/>
      <c r="R23" s="555"/>
      <c r="S23" s="555"/>
      <c r="T23" s="555"/>
      <c r="U23" s="555"/>
      <c r="V23" s="555"/>
      <c r="W23" s="555"/>
      <c r="X23" s="555"/>
      <c r="Y23" s="555"/>
      <c r="Z23" s="555"/>
      <c r="AA23" s="555"/>
      <c r="AB23" s="555"/>
      <c r="AC23" s="555"/>
      <c r="AD23" s="555"/>
      <c r="AE23" s="555"/>
    </row>
    <row r="24" spans="1:31" x14ac:dyDescent="0.2">
      <c r="A24" s="7" t="str">
        <f ca="1">IF(AUTOEVENTO="Manual",IF(EVENTOS!$F24&gt;0,"F",""),IF(CRONOPLE!B24&lt;=MAX(CÁLCULO!$M$15:$M$405),"F",""))</f>
        <v>F</v>
      </c>
      <c r="B24" s="248">
        <f t="shared" ca="1" si="1"/>
        <v>9</v>
      </c>
      <c r="C24" s="515" t="str">
        <f ca="1">IF(AUTOEVENTO="Manual",IF($B24&gt;0,OFFSET(EVENTOS!$D$15,$B24-$B$15,0),0),IF(B24&lt;=MAX(CÁLCULO!$M$15:$M$405),VLOOKUP($B24,CÁLCULO!$M$15:$N$405,2,FALSE),0))</f>
        <v>INSTALAÇÕES ELÉTRICAS</v>
      </c>
      <c r="D24" s="556"/>
      <c r="E24" s="249"/>
      <c r="F24" t="str">
        <f t="shared" ca="1" si="2"/>
        <v>9. INSTALAÇÕES ELÉTRICAS</v>
      </c>
      <c r="G24" s="555"/>
      <c r="H24" s="555"/>
      <c r="I24" s="555"/>
      <c r="J24" s="555"/>
      <c r="K24" s="555"/>
      <c r="L24" s="555"/>
      <c r="M24" s="555"/>
      <c r="N24" s="555"/>
      <c r="O24" s="555"/>
      <c r="P24" s="555"/>
      <c r="Q24" s="555"/>
      <c r="R24" s="555"/>
      <c r="S24" s="555"/>
      <c r="T24" s="555"/>
      <c r="U24" s="555"/>
      <c r="V24" s="555"/>
      <c r="W24" s="555"/>
      <c r="X24" s="555"/>
      <c r="Y24" s="555"/>
      <c r="Z24" s="555"/>
      <c r="AA24" s="555"/>
      <c r="AB24" s="555"/>
      <c r="AC24" s="555"/>
      <c r="AD24" s="555"/>
      <c r="AE24" s="555"/>
    </row>
    <row r="25" spans="1:31" x14ac:dyDescent="0.2">
      <c r="A25" s="7" t="str">
        <f ca="1">IF(AUTOEVENTO="Manual",IF(EVENTOS!$F25&gt;0,"F",""),IF(CRONOPLE!B25&lt;=MAX(CÁLCULO!$M$15:$M$405),"F",""))</f>
        <v>F</v>
      </c>
      <c r="B25" s="248">
        <f t="shared" ca="1" si="1"/>
        <v>10</v>
      </c>
      <c r="C25" s="515" t="str">
        <f ca="1">IF(AUTOEVENTO="Manual",IF($B25&gt;0,OFFSET(EVENTOS!$D$15,$B25-$B$15,0),0),IF(B25&lt;=MAX(CÁLCULO!$M$15:$M$405),VLOOKUP($B25,CÁLCULO!$M$15:$N$405,2,FALSE),0))</f>
        <v>VOZ E DADOS</v>
      </c>
      <c r="D25" s="556"/>
      <c r="E25" s="249"/>
      <c r="F25" t="str">
        <f t="shared" ca="1" si="2"/>
        <v>10. VOZ E DADOS</v>
      </c>
      <c r="G25" s="555"/>
      <c r="H25" s="555"/>
      <c r="I25" s="555"/>
      <c r="J25" s="555"/>
      <c r="K25" s="555"/>
      <c r="L25" s="555"/>
      <c r="M25" s="555"/>
      <c r="N25" s="555"/>
      <c r="O25" s="555"/>
      <c r="P25" s="555"/>
      <c r="Q25" s="555"/>
      <c r="R25" s="555"/>
      <c r="S25" s="555"/>
      <c r="T25" s="555"/>
      <c r="U25" s="555"/>
      <c r="V25" s="555"/>
      <c r="W25" s="555"/>
      <c r="X25" s="555"/>
      <c r="Y25" s="555"/>
      <c r="Z25" s="555"/>
      <c r="AA25" s="555"/>
      <c r="AB25" s="555"/>
      <c r="AC25" s="555"/>
      <c r="AD25" s="555"/>
      <c r="AE25" s="555"/>
    </row>
    <row r="26" spans="1:31" x14ac:dyDescent="0.2">
      <c r="A26" s="7" t="str">
        <f ca="1">IF(AUTOEVENTO="Manual",IF(EVENTOS!$F26&gt;0,"F",""),IF(CRONOPLE!B26&lt;=MAX(CÁLCULO!$M$15:$M$405),"F",""))</f>
        <v>F</v>
      </c>
      <c r="B26" s="248">
        <f t="shared" ca="1" si="1"/>
        <v>11</v>
      </c>
      <c r="C26" s="515" t="str">
        <f ca="1">IF(AUTOEVENTO="Manual",IF($B26&gt;0,OFFSET(EVENTOS!$D$15,$B26-$B$15,0),0),IF(B26&lt;=MAX(CÁLCULO!$M$15:$M$405),VLOOKUP($B26,CÁLCULO!$M$15:$N$405,2,FALSE),0))</f>
        <v>INSTALAÇÕES HIDROSSANITÁRIAS</v>
      </c>
      <c r="D26" s="556"/>
      <c r="E26" s="249"/>
      <c r="F26" t="str">
        <f t="shared" ca="1" si="2"/>
        <v>11. INSTALAÇÕES HIDROSSANITÁRIAS</v>
      </c>
      <c r="G26" s="555"/>
      <c r="H26" s="555"/>
      <c r="I26" s="555"/>
      <c r="J26" s="555"/>
      <c r="K26" s="555"/>
      <c r="L26" s="555"/>
      <c r="M26" s="555"/>
      <c r="N26" s="555"/>
      <c r="O26" s="555"/>
      <c r="P26" s="555"/>
      <c r="Q26" s="555"/>
      <c r="R26" s="555"/>
      <c r="S26" s="555"/>
      <c r="T26" s="555"/>
      <c r="U26" s="555"/>
      <c r="V26" s="555"/>
      <c r="W26" s="555"/>
      <c r="X26" s="555"/>
      <c r="Y26" s="555"/>
      <c r="Z26" s="555"/>
      <c r="AA26" s="555"/>
      <c r="AB26" s="555"/>
      <c r="AC26" s="555"/>
      <c r="AD26" s="555"/>
      <c r="AE26" s="555"/>
    </row>
    <row r="27" spans="1:31" x14ac:dyDescent="0.2">
      <c r="A27" s="7" t="str">
        <f ca="1">IF(AUTOEVENTO="Manual",IF(EVENTOS!$F27&gt;0,"F",""),IF(CRONOPLE!B27&lt;=MAX(CÁLCULO!$M$15:$M$405),"F",""))</f>
        <v>F</v>
      </c>
      <c r="B27" s="248">
        <f t="shared" ca="1" si="1"/>
        <v>12</v>
      </c>
      <c r="C27" s="515" t="str">
        <f ca="1">IF(AUTOEVENTO="Manual",IF($B27&gt;0,OFFSET(EVENTOS!$D$15,$B27-$B$15,0),0),IF(B27&lt;=MAX(CÁLCULO!$M$15:$M$405),VLOOKUP($B27,CÁLCULO!$M$15:$N$405,2,FALSE),0))</f>
        <v>REVESTIMENTOS</v>
      </c>
      <c r="D27" s="556"/>
      <c r="E27" s="249"/>
      <c r="F27" t="str">
        <f t="shared" ca="1" si="2"/>
        <v>12. REVESTIMENTOS</v>
      </c>
      <c r="G27" s="555"/>
      <c r="H27" s="555"/>
      <c r="I27" s="555"/>
      <c r="J27" s="555"/>
      <c r="K27" s="555"/>
      <c r="L27" s="555"/>
      <c r="M27" s="555"/>
      <c r="N27" s="555"/>
      <c r="O27" s="555"/>
      <c r="P27" s="555"/>
      <c r="Q27" s="555"/>
      <c r="R27" s="555"/>
      <c r="S27" s="555"/>
      <c r="T27" s="555"/>
      <c r="U27" s="555"/>
      <c r="V27" s="555"/>
      <c r="W27" s="555"/>
      <c r="X27" s="555"/>
      <c r="Y27" s="555"/>
      <c r="Z27" s="555"/>
      <c r="AA27" s="555"/>
      <c r="AB27" s="555"/>
      <c r="AC27" s="555"/>
      <c r="AD27" s="555"/>
      <c r="AE27" s="555"/>
    </row>
    <row r="28" spans="1:31" x14ac:dyDescent="0.2">
      <c r="A28" s="7" t="str">
        <f ca="1">IF(AUTOEVENTO="Manual",IF(EVENTOS!$F28&gt;0,"F",""),IF(CRONOPLE!B28&lt;=MAX(CÁLCULO!$M$15:$M$405),"F",""))</f>
        <v>F</v>
      </c>
      <c r="B28" s="248">
        <f t="shared" ca="1" si="1"/>
        <v>13</v>
      </c>
      <c r="C28" s="515" t="str">
        <f ca="1">IF(AUTOEVENTO="Manual",IF($B28&gt;0,OFFSET(EVENTOS!$D$15,$B28-$B$15,0),0),IF(B28&lt;=MAX(CÁLCULO!$M$15:$M$405),VLOOKUP($B28,CÁLCULO!$M$15:$N$405,2,FALSE),0))</f>
        <v>LOUÇAS E ACESSÓRIOS</v>
      </c>
      <c r="D28" s="556"/>
      <c r="E28" s="249"/>
      <c r="F28" t="str">
        <f t="shared" ca="1" si="2"/>
        <v>13. LOUÇAS E ACESSÓRIOS</v>
      </c>
      <c r="G28" s="555"/>
      <c r="H28" s="555"/>
      <c r="I28" s="555"/>
      <c r="J28" s="555"/>
      <c r="K28" s="555"/>
      <c r="L28" s="555"/>
      <c r="M28" s="555"/>
      <c r="N28" s="555"/>
      <c r="O28" s="555"/>
      <c r="P28" s="555"/>
      <c r="Q28" s="555"/>
      <c r="R28" s="555"/>
      <c r="S28" s="555"/>
      <c r="T28" s="555"/>
      <c r="U28" s="555"/>
      <c r="V28" s="555"/>
      <c r="W28" s="555"/>
      <c r="X28" s="555"/>
      <c r="Y28" s="555"/>
      <c r="Z28" s="555"/>
      <c r="AA28" s="555"/>
      <c r="AB28" s="555"/>
      <c r="AC28" s="555"/>
      <c r="AD28" s="555"/>
      <c r="AE28" s="555"/>
    </row>
    <row r="29" spans="1:31" x14ac:dyDescent="0.2">
      <c r="A29" s="7" t="str">
        <f ca="1">IF(AUTOEVENTO="Manual",IF(EVENTOS!$F29&gt;0,"F",""),IF(CRONOPLE!B29&lt;=MAX(CÁLCULO!$M$15:$M$405),"F",""))</f>
        <v>F</v>
      </c>
      <c r="B29" s="248">
        <f t="shared" ca="1" si="1"/>
        <v>14</v>
      </c>
      <c r="C29" s="515" t="str">
        <f ca="1">IF(AUTOEVENTO="Manual",IF($B29&gt;0,OFFSET(EVENTOS!$D$15,$B29-$B$15,0),0),IF(B29&lt;=MAX(CÁLCULO!$M$15:$M$405),VLOOKUP($B29,CÁLCULO!$M$15:$N$405,2,FALSE),0))</f>
        <v>ESQUADRIAS E VIDROS</v>
      </c>
      <c r="D29" s="556"/>
      <c r="E29" s="249"/>
      <c r="F29" t="str">
        <f t="shared" ca="1" si="2"/>
        <v>14. ESQUADRIAS E VIDROS</v>
      </c>
      <c r="G29" s="555"/>
      <c r="H29" s="555"/>
      <c r="I29" s="555"/>
      <c r="J29" s="555"/>
      <c r="K29" s="555"/>
      <c r="L29" s="555"/>
      <c r="M29" s="555"/>
      <c r="N29" s="555"/>
      <c r="O29" s="555"/>
      <c r="P29" s="555"/>
      <c r="Q29" s="555"/>
      <c r="R29" s="555"/>
      <c r="S29" s="555"/>
      <c r="T29" s="555"/>
      <c r="U29" s="555"/>
      <c r="V29" s="555"/>
      <c r="W29" s="555"/>
      <c r="X29" s="555"/>
      <c r="Y29" s="555"/>
      <c r="Z29" s="555"/>
      <c r="AA29" s="555"/>
      <c r="AB29" s="555"/>
      <c r="AC29" s="555"/>
      <c r="AD29" s="555"/>
      <c r="AE29" s="555"/>
    </row>
    <row r="30" spans="1:31" x14ac:dyDescent="0.2">
      <c r="A30" s="7" t="str">
        <f ca="1">IF(AUTOEVENTO="Manual",IF(EVENTOS!$F30&gt;0,"F",""),IF(CRONOPLE!B30&lt;=MAX(CÁLCULO!$M$15:$M$405),"F",""))</f>
        <v>F</v>
      </c>
      <c r="B30" s="248">
        <f t="shared" ca="1" si="1"/>
        <v>15</v>
      </c>
      <c r="C30" s="515" t="str">
        <f ca="1">IF(AUTOEVENTO="Manual",IF($B30&gt;0,OFFSET(EVENTOS!$D$15,$B30-$B$15,0),0),IF(B30&lt;=MAX(CÁLCULO!$M$15:$M$405),VLOOKUP($B30,CÁLCULO!$M$15:$N$405,2,FALSE),0))</f>
        <v>INSTALAÇÕES PLUVIAIS</v>
      </c>
      <c r="D30" s="556"/>
      <c r="E30" s="249"/>
      <c r="F30" t="str">
        <f t="shared" ca="1" si="2"/>
        <v>15. INSTALAÇÕES PLUVIAIS</v>
      </c>
      <c r="G30" s="555"/>
      <c r="H30" s="555"/>
      <c r="I30" s="555"/>
      <c r="J30" s="555"/>
      <c r="K30" s="555"/>
      <c r="L30" s="555"/>
      <c r="M30" s="555"/>
      <c r="N30" s="555"/>
      <c r="O30" s="555"/>
      <c r="P30" s="555"/>
      <c r="Q30" s="555"/>
      <c r="R30" s="555"/>
      <c r="S30" s="555"/>
      <c r="T30" s="555"/>
      <c r="U30" s="555"/>
      <c r="V30" s="555"/>
      <c r="W30" s="555"/>
      <c r="X30" s="555"/>
      <c r="Y30" s="555"/>
      <c r="Z30" s="555"/>
      <c r="AA30" s="555"/>
      <c r="AB30" s="555"/>
      <c r="AC30" s="555"/>
      <c r="AD30" s="555"/>
      <c r="AE30" s="555"/>
    </row>
    <row r="31" spans="1:31" x14ac:dyDescent="0.2">
      <c r="A31" s="7" t="str">
        <f ca="1">IF(AUTOEVENTO="Manual",IF(EVENTOS!$F31&gt;0,"F",""),IF(CRONOPLE!B31&lt;=MAX(CÁLCULO!$M$15:$M$405),"F",""))</f>
        <v>F</v>
      </c>
      <c r="B31" s="248">
        <f t="shared" ca="1" si="1"/>
        <v>16</v>
      </c>
      <c r="C31" s="515" t="str">
        <f ca="1">IF(AUTOEVENTO="Manual",IF($B31&gt;0,OFFSET(EVENTOS!$D$15,$B31-$B$15,0),0),IF(B31&lt;=MAX(CÁLCULO!$M$15:$M$405),VLOOKUP($B31,CÁLCULO!$M$15:$N$405,2,FALSE),0))</f>
        <v>SISTEMAS DE PREVENÇÃO CONTRA INCÊNDIO</v>
      </c>
      <c r="D31" s="556"/>
      <c r="E31" s="249"/>
      <c r="F31" t="str">
        <f t="shared" ca="1" si="2"/>
        <v>16. SISTEMAS DE PREVENÇÃO CONTRA INCÊNDIO</v>
      </c>
      <c r="G31" s="555"/>
      <c r="H31" s="555"/>
      <c r="I31" s="555"/>
      <c r="J31" s="555"/>
      <c r="K31" s="555"/>
      <c r="L31" s="555"/>
      <c r="M31" s="555"/>
      <c r="N31" s="555"/>
      <c r="O31" s="555"/>
      <c r="P31" s="555"/>
      <c r="Q31" s="555"/>
      <c r="R31" s="555"/>
      <c r="S31" s="555"/>
      <c r="T31" s="555"/>
      <c r="U31" s="555"/>
      <c r="V31" s="555"/>
      <c r="W31" s="555"/>
      <c r="X31" s="555"/>
      <c r="Y31" s="555"/>
      <c r="Z31" s="555"/>
      <c r="AA31" s="555"/>
      <c r="AB31" s="555"/>
      <c r="AC31" s="555"/>
      <c r="AD31" s="555"/>
      <c r="AE31" s="555"/>
    </row>
    <row r="32" spans="1:31" x14ac:dyDescent="0.2">
      <c r="A32" s="7" t="str">
        <f ca="1">IF(AUTOEVENTO="Manual",IF(EVENTOS!$F32&gt;0,"F",""),IF(CRONOPLE!B32&lt;=MAX(CÁLCULO!$M$15:$M$405),"F",""))</f>
        <v>F</v>
      </c>
      <c r="B32" s="248">
        <f t="shared" ca="1" si="1"/>
        <v>17</v>
      </c>
      <c r="C32" s="515" t="str">
        <f ca="1">IF(AUTOEVENTO="Manual",IF($B32&gt;0,OFFSET(EVENTOS!$D$15,$B32-$B$15,0),0),IF(B32&lt;=MAX(CÁLCULO!$M$15:$M$405),VLOOKUP($B32,CÁLCULO!$M$15:$N$405,2,FALSE),0))</f>
        <v>CENTRAL DE GLP, ABRIGO DE LIXO E SOLÁRIOS</v>
      </c>
      <c r="D32" s="556"/>
      <c r="E32" s="249"/>
      <c r="F32" t="str">
        <f t="shared" ca="1" si="2"/>
        <v>17. CENTRAL DE GLP, ABRIGO DE LIXO E SOLÁRIOS</v>
      </c>
      <c r="G32" s="555"/>
      <c r="H32" s="555"/>
      <c r="I32" s="555"/>
      <c r="J32" s="555"/>
      <c r="K32" s="555"/>
      <c r="L32" s="555"/>
      <c r="M32" s="555"/>
      <c r="N32" s="555"/>
      <c r="O32" s="555"/>
      <c r="P32" s="555"/>
      <c r="Q32" s="555"/>
      <c r="R32" s="555"/>
      <c r="S32" s="555"/>
      <c r="T32" s="555"/>
      <c r="U32" s="555"/>
      <c r="V32" s="555"/>
      <c r="W32" s="555"/>
      <c r="X32" s="555"/>
      <c r="Y32" s="555"/>
      <c r="Z32" s="555"/>
      <c r="AA32" s="555"/>
      <c r="AB32" s="555"/>
      <c r="AC32" s="555"/>
      <c r="AD32" s="555"/>
      <c r="AE32" s="555"/>
    </row>
    <row r="33" spans="1:31" x14ac:dyDescent="0.2">
      <c r="A33" s="7" t="str">
        <f ca="1">IF(AUTOEVENTO="Manual",IF(EVENTOS!$F33&gt;0,"F",""),IF(CRONOPLE!B33&lt;=MAX(CÁLCULO!$M$15:$M$405),"F",""))</f>
        <v>F</v>
      </c>
      <c r="B33" s="248">
        <f t="shared" ca="1" si="1"/>
        <v>18</v>
      </c>
      <c r="C33" s="515" t="str">
        <f ca="1">IF(AUTOEVENTO="Manual",IF($B33&gt;0,OFFSET(EVENTOS!$D$15,$B33-$B$15,0),0),IF(B33&lt;=MAX(CÁLCULO!$M$15:$M$405),VLOOKUP($B33,CÁLCULO!$M$15:$N$405,2,FALSE),0))</f>
        <v>PISOS EXTERNOS</v>
      </c>
      <c r="D33" s="556"/>
      <c r="E33" s="249"/>
      <c r="F33" t="str">
        <f t="shared" ca="1" si="2"/>
        <v>18. PISOS EXTERNOS</v>
      </c>
      <c r="G33" s="555"/>
      <c r="H33" s="555"/>
      <c r="I33" s="555"/>
      <c r="J33" s="555"/>
      <c r="K33" s="555"/>
      <c r="L33" s="555"/>
      <c r="M33" s="555"/>
      <c r="N33" s="555"/>
      <c r="O33" s="555"/>
      <c r="P33" s="555"/>
      <c r="Q33" s="555"/>
      <c r="R33" s="555"/>
      <c r="S33" s="555"/>
      <c r="T33" s="555"/>
      <c r="U33" s="555"/>
      <c r="V33" s="555"/>
      <c r="W33" s="555"/>
      <c r="X33" s="555"/>
      <c r="Y33" s="555"/>
      <c r="Z33" s="555"/>
      <c r="AA33" s="555"/>
      <c r="AB33" s="555"/>
      <c r="AC33" s="555"/>
      <c r="AD33" s="555"/>
      <c r="AE33" s="555"/>
    </row>
    <row r="34" spans="1:31" x14ac:dyDescent="0.2">
      <c r="A34" s="7" t="str">
        <f ca="1">IF(AUTOEVENTO="Manual",IF(EVENTOS!$F34&gt;0,"F",""),IF(CRONOPLE!B34&lt;=MAX(CÁLCULO!$M$15:$M$405),"F",""))</f>
        <v>F</v>
      </c>
      <c r="B34" s="248">
        <f t="shared" ca="1" si="1"/>
        <v>19</v>
      </c>
      <c r="C34" s="515" t="str">
        <f ca="1">IF(AUTOEVENTO="Manual",IF($B34&gt;0,OFFSET(EVENTOS!$D$15,$B34-$B$15,0),0),IF(B34&lt;=MAX(CÁLCULO!$M$15:$M$405),VLOOKUP($B34,CÁLCULO!$M$15:$N$405,2,FALSE),0))</f>
        <v>FECHAMENTOS EXTERNOS</v>
      </c>
      <c r="D34" s="556"/>
      <c r="E34" s="249"/>
      <c r="F34" t="str">
        <f t="shared" ca="1" si="2"/>
        <v>19. FECHAMENTOS EXTERNOS</v>
      </c>
      <c r="G34" s="555"/>
      <c r="H34" s="555"/>
      <c r="I34" s="555"/>
      <c r="J34" s="555"/>
      <c r="K34" s="555"/>
      <c r="L34" s="555"/>
      <c r="M34" s="555"/>
      <c r="N34" s="555"/>
      <c r="O34" s="555"/>
      <c r="P34" s="555"/>
      <c r="Q34" s="555"/>
      <c r="R34" s="555"/>
      <c r="S34" s="555"/>
      <c r="T34" s="555"/>
      <c r="U34" s="555"/>
      <c r="V34" s="555"/>
      <c r="W34" s="555"/>
      <c r="X34" s="555"/>
      <c r="Y34" s="555"/>
      <c r="Z34" s="555"/>
      <c r="AA34" s="555"/>
      <c r="AB34" s="555"/>
      <c r="AC34" s="555"/>
      <c r="AD34" s="555"/>
      <c r="AE34" s="555"/>
    </row>
    <row r="35" spans="1:31" x14ac:dyDescent="0.2">
      <c r="A35" s="7" t="str">
        <f ca="1">IF(AUTOEVENTO="Manual",IF(EVENTOS!$F35&gt;0,"F",""),IF(CRONOPLE!B35&lt;=MAX(CÁLCULO!$M$15:$M$405),"F",""))</f>
        <v>F</v>
      </c>
      <c r="B35" s="248">
        <f t="shared" ca="1" si="1"/>
        <v>20</v>
      </c>
      <c r="C35" s="515" t="str">
        <f ca="1">IF(AUTOEVENTO="Manual",IF($B35&gt;0,OFFSET(EVENTOS!$D$15,$B35-$B$15,0),0),IF(B35&lt;=MAX(CÁLCULO!$M$15:$M$405),VLOOKUP($B35,CÁLCULO!$M$15:$N$405,2,FALSE),0))</f>
        <v>ACESSIBILIDADE</v>
      </c>
      <c r="D35" s="556"/>
      <c r="E35" s="249"/>
      <c r="F35" t="str">
        <f t="shared" ca="1" si="2"/>
        <v>20. ACESSIBILIDADE</v>
      </c>
      <c r="G35" s="555"/>
      <c r="H35" s="555"/>
      <c r="I35" s="555"/>
      <c r="J35" s="555"/>
      <c r="K35" s="555"/>
      <c r="L35" s="555"/>
      <c r="M35" s="555"/>
      <c r="N35" s="555"/>
      <c r="O35" s="555"/>
      <c r="P35" s="555"/>
      <c r="Q35" s="555"/>
      <c r="R35" s="555"/>
      <c r="S35" s="555"/>
      <c r="T35" s="555"/>
      <c r="U35" s="555"/>
      <c r="V35" s="555"/>
      <c r="W35" s="555"/>
      <c r="X35" s="555"/>
      <c r="Y35" s="555"/>
      <c r="Z35" s="555"/>
      <c r="AA35" s="555"/>
      <c r="AB35" s="555"/>
      <c r="AC35" s="555"/>
      <c r="AD35" s="555"/>
      <c r="AE35" s="555"/>
    </row>
    <row r="36" spans="1:31" x14ac:dyDescent="0.2">
      <c r="A36" s="7" t="str">
        <f ca="1">IF(AUTOEVENTO="Manual",IF(EVENTOS!$F36&gt;0,"F",""),IF(CRONOPLE!B36&lt;=MAX(CÁLCULO!$M$15:$M$405),"F",""))</f>
        <v>F</v>
      </c>
      <c r="B36" s="248">
        <f t="shared" ca="1" si="1"/>
        <v>21</v>
      </c>
      <c r="C36" s="515" t="str">
        <f ca="1">IF(AUTOEVENTO="Manual",IF($B36&gt;0,OFFSET(EVENTOS!$D$15,$B36-$B$15,0),0),IF(B36&lt;=MAX(CÁLCULO!$M$15:$M$405),VLOOKUP($B36,CÁLCULO!$M$15:$N$405,2,FALSE),0))</f>
        <v>SPDA</v>
      </c>
      <c r="D36" s="556"/>
      <c r="E36" s="249"/>
      <c r="F36" t="str">
        <f t="shared" ca="1" si="2"/>
        <v>21. SPDA</v>
      </c>
      <c r="G36" s="555"/>
      <c r="H36" s="555"/>
      <c r="I36" s="555"/>
      <c r="J36" s="555"/>
      <c r="K36" s="555"/>
      <c r="L36" s="555"/>
      <c r="M36" s="555"/>
      <c r="N36" s="555"/>
      <c r="O36" s="555"/>
      <c r="P36" s="555"/>
      <c r="Q36" s="555"/>
      <c r="R36" s="555"/>
      <c r="S36" s="555"/>
      <c r="T36" s="555"/>
      <c r="U36" s="555"/>
      <c r="V36" s="555"/>
      <c r="W36" s="555"/>
      <c r="X36" s="555"/>
      <c r="Y36" s="555"/>
      <c r="Z36" s="555"/>
      <c r="AA36" s="555"/>
      <c r="AB36" s="555"/>
      <c r="AC36" s="555"/>
      <c r="AD36" s="555"/>
      <c r="AE36" s="555"/>
    </row>
    <row r="37" spans="1:31" x14ac:dyDescent="0.2">
      <c r="A37" s="7" t="str">
        <f ca="1">IF(AUTOEVENTO="Manual",IF(EVENTOS!$F37&gt;0,"F",""),IF(CRONOPLE!B37&lt;=MAX(CÁLCULO!$M$15:$M$405),"F",""))</f>
        <v>F</v>
      </c>
      <c r="B37" s="248">
        <f t="shared" ca="1" si="1"/>
        <v>22</v>
      </c>
      <c r="C37" s="515" t="str">
        <f ca="1">IF(AUTOEVENTO="Manual",IF($B37&gt;0,OFFSET(EVENTOS!$D$15,$B37-$B$15,0),0),IF(B37&lt;=MAX(CÁLCULO!$M$15:$M$405),VLOOKUP($B37,CÁLCULO!$M$15:$N$405,2,FALSE),0))</f>
        <v>INSTALAÇÃO DOS MÓDULOS PRÉ-FABRICADOS NO CANTEIRO DE OBRAS</v>
      </c>
      <c r="D37" s="556"/>
      <c r="E37" s="249"/>
      <c r="F37" t="str">
        <f t="shared" ca="1" si="2"/>
        <v>22. INSTALAÇÃO DOS MÓDULOS PRÉ-FABRICADOS NO CANTEIRO DE OBRAS</v>
      </c>
      <c r="G37" s="555"/>
      <c r="H37" s="555"/>
      <c r="I37" s="555"/>
      <c r="J37" s="555"/>
      <c r="K37" s="555"/>
      <c r="L37" s="555"/>
      <c r="M37" s="555"/>
      <c r="N37" s="555"/>
      <c r="O37" s="555"/>
      <c r="P37" s="555"/>
      <c r="Q37" s="555"/>
      <c r="R37" s="555"/>
      <c r="S37" s="555"/>
      <c r="T37" s="555"/>
      <c r="U37" s="555"/>
      <c r="V37" s="555"/>
      <c r="W37" s="555"/>
      <c r="X37" s="555"/>
      <c r="Y37" s="555"/>
      <c r="Z37" s="555"/>
      <c r="AA37" s="555"/>
      <c r="AB37" s="555"/>
      <c r="AC37" s="555"/>
      <c r="AD37" s="555"/>
      <c r="AE37" s="555"/>
    </row>
    <row r="38" spans="1:31" x14ac:dyDescent="0.2">
      <c r="A38" s="7" t="str">
        <f ca="1">IF(AUTOEVENTO="Manual",IF(EVENTOS!$F38&gt;0,"F",""),IF(CRONOPLE!B38&lt;=MAX(CÁLCULO!$M$15:$M$405),"F",""))</f>
        <v>F</v>
      </c>
      <c r="B38" s="248">
        <f t="shared" ca="1" si="1"/>
        <v>23</v>
      </c>
      <c r="C38" s="515" t="str">
        <f ca="1">IF(AUTOEVENTO="Manual",IF($B38&gt;0,OFFSET(EVENTOS!$D$15,$B38-$B$15,0),0),IF(B38&lt;=MAX(CÁLCULO!$M$15:$M$405),VLOOKUP($B38,CÁLCULO!$M$15:$N$405,2,FALSE),0))</f>
        <v>SISTEMA DE REUSO DE ÁGUA</v>
      </c>
      <c r="D38" s="556"/>
      <c r="E38" s="249"/>
      <c r="F38" t="str">
        <f t="shared" ca="1" si="2"/>
        <v>23. SISTEMA DE REUSO DE ÁGUA</v>
      </c>
      <c r="G38" s="555"/>
      <c r="H38" s="555"/>
      <c r="I38" s="555"/>
      <c r="J38" s="555"/>
      <c r="K38" s="555"/>
      <c r="L38" s="555"/>
      <c r="M38" s="555"/>
      <c r="N38" s="555"/>
      <c r="O38" s="555"/>
      <c r="P38" s="555"/>
      <c r="Q38" s="555"/>
      <c r="R38" s="555"/>
      <c r="S38" s="555"/>
      <c r="T38" s="555"/>
      <c r="U38" s="555"/>
      <c r="V38" s="555"/>
      <c r="W38" s="555"/>
      <c r="X38" s="555"/>
      <c r="Y38" s="555"/>
      <c r="Z38" s="555"/>
      <c r="AA38" s="555"/>
      <c r="AB38" s="555"/>
      <c r="AC38" s="555"/>
      <c r="AD38" s="555"/>
      <c r="AE38" s="555"/>
    </row>
    <row r="39" spans="1:31" x14ac:dyDescent="0.2">
      <c r="A39" s="7" t="str">
        <f ca="1">IF(AUTOEVENTO="Manual",IF(EVENTOS!$F39&gt;0,"F",""),IF(CRONOPLE!B39&lt;=MAX(CÁLCULO!$M$15:$M$405),"F",""))</f>
        <v>F</v>
      </c>
      <c r="B39" s="248">
        <f t="shared" ca="1" si="1"/>
        <v>24</v>
      </c>
      <c r="C39" s="515" t="str">
        <f ca="1">IF(AUTOEVENTO="Manual",IF($B39&gt;0,OFFSET(EVENTOS!$D$15,$B39-$B$15,0),0),IF(B39&lt;=MAX(CÁLCULO!$M$15:$M$405),VLOOKUP($B39,CÁLCULO!$M$15:$N$405,2,FALSE),0))</f>
        <v>LIMPEZA FINAL DE OBRA</v>
      </c>
      <c r="D39" s="556"/>
      <c r="E39" s="249"/>
      <c r="F39" t="str">
        <f t="shared" ca="1" si="2"/>
        <v>24. LIMPEZA FINAL DE OBRA</v>
      </c>
      <c r="G39" s="555"/>
      <c r="H39" s="555"/>
      <c r="I39" s="555"/>
      <c r="J39" s="555"/>
      <c r="K39" s="555"/>
      <c r="L39" s="555"/>
      <c r="M39" s="555"/>
      <c r="N39" s="555"/>
      <c r="O39" s="555"/>
      <c r="P39" s="555"/>
      <c r="Q39" s="555"/>
      <c r="R39" s="555"/>
      <c r="S39" s="555"/>
      <c r="T39" s="555"/>
      <c r="U39" s="555"/>
      <c r="V39" s="555"/>
      <c r="W39" s="555"/>
      <c r="X39" s="555"/>
      <c r="Y39" s="555"/>
      <c r="Z39" s="555"/>
      <c r="AA39" s="555"/>
      <c r="AB39" s="555"/>
      <c r="AC39" s="555"/>
      <c r="AD39" s="555"/>
      <c r="AE39" s="555"/>
    </row>
    <row r="40" spans="1:31" x14ac:dyDescent="0.2">
      <c r="A40" s="7" t="str">
        <f ca="1">IF(AUTOEVENTO="Manual",IF(EVENTOS!$F40&gt;0,"F",""),IF(CRONOPLE!B40&lt;=MAX(CÁLCULO!$M$15:$M$405),"F",""))</f>
        <v/>
      </c>
      <c r="B40" s="248">
        <f t="shared" ca="1" si="1"/>
        <v>25</v>
      </c>
      <c r="C40" s="515">
        <f ca="1">IF(AUTOEVENTO="Manual",IF($B40&gt;0,OFFSET(EVENTOS!$D$15,$B40-$B$15,0),0),IF(B40&lt;=MAX(CÁLCULO!$M$15:$M$405),VLOOKUP($B40,CÁLCULO!$M$15:$N$405,2,FALSE),0))</f>
        <v>0</v>
      </c>
      <c r="D40" s="556"/>
      <c r="E40" s="249"/>
      <c r="F40" t="str">
        <f t="shared" ca="1" si="2"/>
        <v/>
      </c>
      <c r="G40" s="555"/>
      <c r="H40" s="555"/>
      <c r="I40" s="555"/>
      <c r="J40" s="555"/>
      <c r="K40" s="555"/>
      <c r="L40" s="555"/>
      <c r="M40" s="555"/>
      <c r="N40" s="555"/>
      <c r="O40" s="555"/>
      <c r="P40" s="555"/>
      <c r="Q40" s="555"/>
      <c r="R40" s="555"/>
      <c r="S40" s="555"/>
      <c r="T40" s="555"/>
      <c r="U40" s="555"/>
      <c r="V40" s="555"/>
      <c r="W40" s="555"/>
      <c r="X40" s="555"/>
      <c r="Y40" s="555"/>
      <c r="Z40" s="555"/>
      <c r="AA40" s="555"/>
      <c r="AB40" s="555"/>
      <c r="AC40" s="555"/>
      <c r="AD40" s="555"/>
      <c r="AE40" s="555"/>
    </row>
    <row r="41" spans="1:31" x14ac:dyDescent="0.2">
      <c r="A41" s="7" t="str">
        <f ca="1">IF(AUTOEVENTO="Manual",IF(EVENTOS!$F41&gt;0,"F",""),IF(CRONOPLE!B41&lt;=MAX(CÁLCULO!$M$15:$M$405),"F",""))</f>
        <v/>
      </c>
      <c r="B41" s="248">
        <f t="shared" ca="1" si="1"/>
        <v>26</v>
      </c>
      <c r="C41" s="515">
        <f ca="1">IF(AUTOEVENTO="Manual",IF($B41&gt;0,OFFSET(EVENTOS!$D$15,$B41-$B$15,0),0),IF(B41&lt;=MAX(CÁLCULO!$M$15:$M$405),VLOOKUP($B41,CÁLCULO!$M$15:$N$405,2,FALSE),0))</f>
        <v>0</v>
      </c>
      <c r="D41" s="556"/>
      <c r="E41" s="249"/>
      <c r="F41" t="str">
        <f t="shared" ca="1" si="2"/>
        <v/>
      </c>
      <c r="G41" s="555"/>
      <c r="H41" s="555"/>
      <c r="I41" s="555"/>
      <c r="J41" s="555"/>
      <c r="K41" s="555"/>
      <c r="L41" s="555"/>
      <c r="M41" s="555"/>
      <c r="N41" s="555"/>
      <c r="O41" s="555"/>
      <c r="P41" s="555"/>
      <c r="Q41" s="555"/>
      <c r="R41" s="555"/>
      <c r="S41" s="555"/>
      <c r="T41" s="555"/>
      <c r="U41" s="555"/>
      <c r="V41" s="555"/>
      <c r="W41" s="555"/>
      <c r="X41" s="555"/>
      <c r="Y41" s="555"/>
      <c r="Z41" s="555"/>
      <c r="AA41" s="555"/>
      <c r="AB41" s="555"/>
      <c r="AC41" s="555"/>
      <c r="AD41" s="555"/>
      <c r="AE41" s="555"/>
    </row>
    <row r="42" spans="1:31" x14ac:dyDescent="0.2">
      <c r="A42" s="7" t="str">
        <f ca="1">IF(AUTOEVENTO="Manual",IF(EVENTOS!$F42&gt;0,"F",""),IF(CRONOPLE!B42&lt;=MAX(CÁLCULO!$M$15:$M$405),"F",""))</f>
        <v/>
      </c>
      <c r="B42" s="248">
        <f t="shared" ca="1" si="1"/>
        <v>27</v>
      </c>
      <c r="C42" s="515">
        <f ca="1">IF(AUTOEVENTO="Manual",IF($B42&gt;0,OFFSET(EVENTOS!$D$15,$B42-$B$15,0),0),IF(B42&lt;=MAX(CÁLCULO!$M$15:$M$405),VLOOKUP($B42,CÁLCULO!$M$15:$N$405,2,FALSE),0))</f>
        <v>0</v>
      </c>
      <c r="D42" s="556"/>
      <c r="E42" s="249"/>
      <c r="F42" t="str">
        <f t="shared" ca="1" si="2"/>
        <v/>
      </c>
      <c r="G42" s="555"/>
      <c r="H42" s="555"/>
      <c r="I42" s="555"/>
      <c r="J42" s="555"/>
      <c r="K42" s="555"/>
      <c r="L42" s="555"/>
      <c r="M42" s="555"/>
      <c r="N42" s="555"/>
      <c r="O42" s="555"/>
      <c r="P42" s="555"/>
      <c r="Q42" s="555"/>
      <c r="R42" s="555"/>
      <c r="S42" s="555"/>
      <c r="T42" s="555"/>
      <c r="U42" s="555"/>
      <c r="V42" s="555"/>
      <c r="W42" s="555"/>
      <c r="X42" s="555"/>
      <c r="Y42" s="555"/>
      <c r="Z42" s="555"/>
      <c r="AA42" s="555"/>
      <c r="AB42" s="555"/>
      <c r="AC42" s="555"/>
      <c r="AD42" s="555"/>
      <c r="AE42" s="555"/>
    </row>
    <row r="43" spans="1:31" x14ac:dyDescent="0.2">
      <c r="A43" s="7" t="str">
        <f ca="1">IF(AUTOEVENTO="Manual",IF(EVENTOS!$F43&gt;0,"F",""),IF(CRONOPLE!B43&lt;=MAX(CÁLCULO!$M$15:$M$405),"F",""))</f>
        <v/>
      </c>
      <c r="B43" s="248">
        <f t="shared" ca="1" si="1"/>
        <v>28</v>
      </c>
      <c r="C43" s="515">
        <f ca="1">IF(AUTOEVENTO="Manual",IF($B43&gt;0,OFFSET(EVENTOS!$D$15,$B43-$B$15,0),0),IF(B43&lt;=MAX(CÁLCULO!$M$15:$M$405),VLOOKUP($B43,CÁLCULO!$M$15:$N$405,2,FALSE),0))</f>
        <v>0</v>
      </c>
      <c r="D43" s="556"/>
      <c r="E43" s="249"/>
      <c r="F43" t="str">
        <f t="shared" ca="1" si="2"/>
        <v/>
      </c>
      <c r="G43" s="555"/>
      <c r="H43" s="555"/>
      <c r="I43" s="555"/>
      <c r="J43" s="555"/>
      <c r="K43" s="555"/>
      <c r="L43" s="555"/>
      <c r="M43" s="555"/>
      <c r="N43" s="555"/>
      <c r="O43" s="555"/>
      <c r="P43" s="555"/>
      <c r="Q43" s="555"/>
      <c r="R43" s="555"/>
      <c r="S43" s="555"/>
      <c r="T43" s="555"/>
      <c r="U43" s="555"/>
      <c r="V43" s="555"/>
      <c r="W43" s="555"/>
      <c r="X43" s="555"/>
      <c r="Y43" s="555"/>
      <c r="Z43" s="555"/>
      <c r="AA43" s="555"/>
      <c r="AB43" s="555"/>
      <c r="AC43" s="555"/>
      <c r="AD43" s="555"/>
      <c r="AE43" s="555"/>
    </row>
    <row r="44" spans="1:31" x14ac:dyDescent="0.2">
      <c r="A44" s="7" t="str">
        <f ca="1">IF(AUTOEVENTO="Manual",IF(EVENTOS!$F44&gt;0,"F",""),IF(CRONOPLE!B44&lt;=MAX(CÁLCULO!$M$15:$M$405),"F",""))</f>
        <v/>
      </c>
      <c r="B44" s="248">
        <f t="shared" ca="1" si="1"/>
        <v>29</v>
      </c>
      <c r="C44" s="515">
        <f ca="1">IF(AUTOEVENTO="Manual",IF($B44&gt;0,OFFSET(EVENTOS!$D$15,$B44-$B$15,0),0),IF(B44&lt;=MAX(CÁLCULO!$M$15:$M$405),VLOOKUP($B44,CÁLCULO!$M$15:$N$405,2,FALSE),0))</f>
        <v>0</v>
      </c>
      <c r="D44" s="556"/>
      <c r="E44" s="249"/>
      <c r="F44" t="str">
        <f t="shared" ca="1" si="2"/>
        <v/>
      </c>
      <c r="G44" s="555"/>
      <c r="H44" s="555"/>
      <c r="I44" s="555"/>
      <c r="J44" s="555"/>
      <c r="K44" s="555"/>
      <c r="L44" s="555"/>
      <c r="M44" s="555"/>
      <c r="N44" s="555"/>
      <c r="O44" s="555"/>
      <c r="P44" s="555"/>
      <c r="Q44" s="555"/>
      <c r="R44" s="555"/>
      <c r="S44" s="555"/>
      <c r="T44" s="555"/>
      <c r="U44" s="555"/>
      <c r="V44" s="555"/>
      <c r="W44" s="555"/>
      <c r="X44" s="555"/>
      <c r="Y44" s="555"/>
      <c r="Z44" s="555"/>
      <c r="AA44" s="555"/>
      <c r="AB44" s="555"/>
      <c r="AC44" s="555"/>
      <c r="AD44" s="555"/>
      <c r="AE44" s="555"/>
    </row>
    <row r="45" spans="1:31" x14ac:dyDescent="0.2">
      <c r="A45" s="7" t="str">
        <f ca="1">IF(AUTOEVENTO="Manual",IF(EVENTOS!$F45&gt;0,"F",""),IF(CRONOPLE!B45&lt;=MAX(CÁLCULO!$M$15:$M$405),"F",""))</f>
        <v/>
      </c>
      <c r="B45" s="248">
        <f t="shared" ca="1" si="1"/>
        <v>30</v>
      </c>
      <c r="C45" s="515">
        <f ca="1">IF(AUTOEVENTO="Manual",IF($B45&gt;0,OFFSET(EVENTOS!$D$15,$B45-$B$15,0),0),IF(B45&lt;=MAX(CÁLCULO!$M$15:$M$405),VLOOKUP($B45,CÁLCULO!$M$15:$N$405,2,FALSE),0))</f>
        <v>0</v>
      </c>
      <c r="D45" s="556"/>
      <c r="E45" s="249"/>
      <c r="F45" t="str">
        <f t="shared" ca="1" si="2"/>
        <v/>
      </c>
      <c r="G45" s="555"/>
      <c r="H45" s="555"/>
      <c r="I45" s="555"/>
      <c r="J45" s="555"/>
      <c r="K45" s="555"/>
      <c r="L45" s="555"/>
      <c r="M45" s="555"/>
      <c r="N45" s="555"/>
      <c r="O45" s="555"/>
      <c r="P45" s="555"/>
      <c r="Q45" s="555"/>
      <c r="R45" s="555"/>
      <c r="S45" s="555"/>
      <c r="T45" s="555"/>
      <c r="U45" s="555"/>
      <c r="V45" s="555"/>
      <c r="W45" s="555"/>
      <c r="X45" s="555"/>
      <c r="Y45" s="555"/>
      <c r="Z45" s="555"/>
      <c r="AA45" s="555"/>
      <c r="AB45" s="555"/>
      <c r="AC45" s="555"/>
      <c r="AD45" s="555"/>
      <c r="AE45" s="555"/>
    </row>
    <row r="46" spans="1:31" x14ac:dyDescent="0.2">
      <c r="A46" s="7" t="str">
        <f ca="1">IF(AUTOEVENTO="Manual",IF(EVENTOS!$F46&gt;0,"F",""),IF(CRONOPLE!B46&lt;=MAX(CÁLCULO!$M$15:$M$405),"F",""))</f>
        <v/>
      </c>
      <c r="B46" s="248">
        <f t="shared" ca="1" si="1"/>
        <v>31</v>
      </c>
      <c r="C46" s="515">
        <f ca="1">IF(AUTOEVENTO="Manual",IF($B46&gt;0,OFFSET(EVENTOS!$D$15,$B46-$B$15,0),0),IF(B46&lt;=MAX(CÁLCULO!$M$15:$M$405),VLOOKUP($B46,CÁLCULO!$M$15:$N$405,2,FALSE),0))</f>
        <v>0</v>
      </c>
      <c r="D46" s="556"/>
      <c r="E46" s="249"/>
      <c r="F46" t="str">
        <f t="shared" ca="1" si="2"/>
        <v/>
      </c>
      <c r="G46" s="555"/>
      <c r="H46" s="555"/>
      <c r="I46" s="555"/>
      <c r="J46" s="555"/>
      <c r="K46" s="555"/>
      <c r="L46" s="555"/>
      <c r="M46" s="555"/>
      <c r="N46" s="555"/>
      <c r="O46" s="555"/>
      <c r="P46" s="555"/>
      <c r="Q46" s="555"/>
      <c r="R46" s="555"/>
      <c r="S46" s="555"/>
      <c r="T46" s="555"/>
      <c r="U46" s="555"/>
      <c r="V46" s="555"/>
      <c r="W46" s="555"/>
      <c r="X46" s="555"/>
      <c r="Y46" s="555"/>
      <c r="Z46" s="555"/>
      <c r="AA46" s="555"/>
      <c r="AB46" s="555"/>
      <c r="AC46" s="555"/>
      <c r="AD46" s="555"/>
      <c r="AE46" s="555"/>
    </row>
    <row r="47" spans="1:31" x14ac:dyDescent="0.2">
      <c r="A47" s="7" t="str">
        <f ca="1">IF(AUTOEVENTO="Manual",IF(EVENTOS!$F47&gt;0,"F",""),IF(CRONOPLE!B47&lt;=MAX(CÁLCULO!$M$15:$M$405),"F",""))</f>
        <v/>
      </c>
      <c r="B47" s="248">
        <f t="shared" ca="1" si="1"/>
        <v>32</v>
      </c>
      <c r="C47" s="515">
        <f ca="1">IF(AUTOEVENTO="Manual",IF($B47&gt;0,OFFSET(EVENTOS!$D$15,$B47-$B$15,0),0),IF(B47&lt;=MAX(CÁLCULO!$M$15:$M$405),VLOOKUP($B47,CÁLCULO!$M$15:$N$405,2,FALSE),0))</f>
        <v>0</v>
      </c>
      <c r="D47" s="556"/>
      <c r="E47" s="249"/>
      <c r="F47" t="str">
        <f t="shared" ca="1" si="2"/>
        <v/>
      </c>
      <c r="G47" s="555"/>
      <c r="H47" s="555"/>
      <c r="I47" s="555"/>
      <c r="J47" s="555"/>
      <c r="K47" s="555"/>
      <c r="L47" s="555"/>
      <c r="M47" s="555"/>
      <c r="N47" s="555"/>
      <c r="O47" s="555"/>
      <c r="P47" s="555"/>
      <c r="Q47" s="555"/>
      <c r="R47" s="555"/>
      <c r="S47" s="555"/>
      <c r="T47" s="555"/>
      <c r="U47" s="555"/>
      <c r="V47" s="555"/>
      <c r="W47" s="555"/>
      <c r="X47" s="555"/>
      <c r="Y47" s="555"/>
      <c r="Z47" s="555"/>
      <c r="AA47" s="555"/>
      <c r="AB47" s="555"/>
      <c r="AC47" s="555"/>
      <c r="AD47" s="555"/>
      <c r="AE47" s="555"/>
    </row>
    <row r="48" spans="1:31" x14ac:dyDescent="0.2">
      <c r="A48" s="7" t="str">
        <f ca="1">IF(AUTOEVENTO="Manual",IF(EVENTOS!$F48&gt;0,"F",""),IF(CRONOPLE!B48&lt;=MAX(CÁLCULO!$M$15:$M$405),"F",""))</f>
        <v/>
      </c>
      <c r="B48" s="248">
        <f t="shared" ca="1" si="1"/>
        <v>33</v>
      </c>
      <c r="C48" s="515">
        <f ca="1">IF(AUTOEVENTO="Manual",IF($B48&gt;0,OFFSET(EVENTOS!$D$15,$B48-$B$15,0),0),IF(B48&lt;=MAX(CÁLCULO!$M$15:$M$405),VLOOKUP($B48,CÁLCULO!$M$15:$N$405,2,FALSE),0))</f>
        <v>0</v>
      </c>
      <c r="D48" s="556"/>
      <c r="E48" s="249"/>
      <c r="F48" t="str">
        <f t="shared" ca="1" si="2"/>
        <v/>
      </c>
      <c r="G48" s="555"/>
      <c r="H48" s="555"/>
      <c r="I48" s="555"/>
      <c r="J48" s="555"/>
      <c r="K48" s="555"/>
      <c r="L48" s="555"/>
      <c r="M48" s="555"/>
      <c r="N48" s="555"/>
      <c r="O48" s="555"/>
      <c r="P48" s="555"/>
      <c r="Q48" s="555"/>
      <c r="R48" s="555"/>
      <c r="S48" s="555"/>
      <c r="T48" s="555"/>
      <c r="U48" s="555"/>
      <c r="V48" s="555"/>
      <c r="W48" s="555"/>
      <c r="X48" s="555"/>
      <c r="Y48" s="555"/>
      <c r="Z48" s="555"/>
      <c r="AA48" s="555"/>
      <c r="AB48" s="555"/>
      <c r="AC48" s="555"/>
      <c r="AD48" s="555"/>
      <c r="AE48" s="555"/>
    </row>
    <row r="49" spans="1:31" x14ac:dyDescent="0.2">
      <c r="A49" s="7" t="str">
        <f ca="1">IF(AUTOEVENTO="Manual",IF(EVENTOS!$F49&gt;0,"F",""),IF(CRONOPLE!B49&lt;=MAX(CÁLCULO!$M$15:$M$405),"F",""))</f>
        <v/>
      </c>
      <c r="B49" s="248">
        <f t="shared" ca="1" si="1"/>
        <v>34</v>
      </c>
      <c r="C49" s="515">
        <f ca="1">IF(AUTOEVENTO="Manual",IF($B49&gt;0,OFFSET(EVENTOS!$D$15,$B49-$B$15,0),0),IF(B49&lt;=MAX(CÁLCULO!$M$15:$M$405),VLOOKUP($B49,CÁLCULO!$M$15:$N$405,2,FALSE),0))</f>
        <v>0</v>
      </c>
      <c r="D49" s="556"/>
      <c r="E49" s="249"/>
      <c r="F49" t="str">
        <f t="shared" ca="1" si="2"/>
        <v/>
      </c>
      <c r="G49" s="555"/>
      <c r="H49" s="555"/>
      <c r="I49" s="555"/>
      <c r="J49" s="555"/>
      <c r="K49" s="555"/>
      <c r="L49" s="555"/>
      <c r="M49" s="555"/>
      <c r="N49" s="555"/>
      <c r="O49" s="555"/>
      <c r="P49" s="555"/>
      <c r="Q49" s="555"/>
      <c r="R49" s="555"/>
      <c r="S49" s="555"/>
      <c r="T49" s="555"/>
      <c r="U49" s="555"/>
      <c r="V49" s="555"/>
      <c r="W49" s="555"/>
      <c r="X49" s="555"/>
      <c r="Y49" s="555"/>
      <c r="Z49" s="555"/>
      <c r="AA49" s="555"/>
      <c r="AB49" s="555"/>
      <c r="AC49" s="555"/>
      <c r="AD49" s="555"/>
      <c r="AE49" s="555"/>
    </row>
    <row r="50" spans="1:31" x14ac:dyDescent="0.2">
      <c r="A50" s="7" t="str">
        <f ca="1">IF(AUTOEVENTO="Manual",IF(EVENTOS!$F50&gt;0,"F",""),IF(CRONOPLE!B50&lt;=MAX(CÁLCULO!$M$15:$M$405),"F",""))</f>
        <v/>
      </c>
      <c r="B50" s="248">
        <f t="shared" ca="1" si="1"/>
        <v>35</v>
      </c>
      <c r="C50" s="515">
        <f ca="1">IF(AUTOEVENTO="Manual",IF($B50&gt;0,OFFSET(EVENTOS!$D$15,$B50-$B$15,0),0),IF(B50&lt;=MAX(CÁLCULO!$M$15:$M$405),VLOOKUP($B50,CÁLCULO!$M$15:$N$405,2,FALSE),0))</f>
        <v>0</v>
      </c>
      <c r="D50" s="556"/>
      <c r="E50" s="249"/>
      <c r="F50" t="str">
        <f t="shared" ca="1" si="2"/>
        <v/>
      </c>
      <c r="G50" s="555"/>
      <c r="H50" s="555"/>
      <c r="I50" s="555"/>
      <c r="J50" s="555"/>
      <c r="K50" s="555"/>
      <c r="L50" s="555"/>
      <c r="M50" s="555"/>
      <c r="N50" s="555"/>
      <c r="O50" s="555"/>
      <c r="P50" s="555"/>
      <c r="Q50" s="555"/>
      <c r="R50" s="555"/>
      <c r="S50" s="555"/>
      <c r="T50" s="555"/>
      <c r="U50" s="555"/>
      <c r="V50" s="555"/>
      <c r="W50" s="555"/>
      <c r="X50" s="555"/>
      <c r="Y50" s="555"/>
      <c r="Z50" s="555"/>
      <c r="AA50" s="555"/>
      <c r="AB50" s="555"/>
      <c r="AC50" s="555"/>
      <c r="AD50" s="555"/>
      <c r="AE50" s="555"/>
    </row>
    <row r="51" spans="1:31" x14ac:dyDescent="0.2">
      <c r="A51" s="7" t="str">
        <f ca="1">IF(AUTOEVENTO="Manual",IF(EVENTOS!$F51&gt;0,"F",""),IF(CRONOPLE!B51&lt;=MAX(CÁLCULO!$M$15:$M$405),"F",""))</f>
        <v/>
      </c>
      <c r="B51" s="248">
        <f t="shared" ca="1" si="1"/>
        <v>36</v>
      </c>
      <c r="C51" s="515">
        <f ca="1">IF(AUTOEVENTO="Manual",IF($B51&gt;0,OFFSET(EVENTOS!$D$15,$B51-$B$15,0),0),IF(B51&lt;=MAX(CÁLCULO!$M$15:$M$405),VLOOKUP($B51,CÁLCULO!$M$15:$N$405,2,FALSE),0))</f>
        <v>0</v>
      </c>
      <c r="D51" s="556"/>
      <c r="E51" s="249"/>
      <c r="F51" t="str">
        <f t="shared" ca="1" si="2"/>
        <v/>
      </c>
      <c r="G51" s="555"/>
      <c r="H51" s="555"/>
      <c r="I51" s="555"/>
      <c r="J51" s="555"/>
      <c r="K51" s="555"/>
      <c r="L51" s="555"/>
      <c r="M51" s="555"/>
      <c r="N51" s="555"/>
      <c r="O51" s="555"/>
      <c r="P51" s="555"/>
      <c r="Q51" s="555"/>
      <c r="R51" s="555"/>
      <c r="S51" s="555"/>
      <c r="T51" s="555"/>
      <c r="U51" s="555"/>
      <c r="V51" s="555"/>
      <c r="W51" s="555"/>
      <c r="X51" s="555"/>
      <c r="Y51" s="555"/>
      <c r="Z51" s="555"/>
      <c r="AA51" s="555"/>
      <c r="AB51" s="555"/>
      <c r="AC51" s="555"/>
      <c r="AD51" s="555"/>
      <c r="AE51" s="555"/>
    </row>
    <row r="52" spans="1:31" x14ac:dyDescent="0.2">
      <c r="A52" s="7" t="str">
        <f ca="1">IF(AUTOEVENTO="Manual",IF(EVENTOS!$F52&gt;0,"F",""),IF(CRONOPLE!B52&lt;=MAX(CÁLCULO!$M$15:$M$405),"F",""))</f>
        <v/>
      </c>
      <c r="B52" s="248">
        <f t="shared" ca="1" si="1"/>
        <v>37</v>
      </c>
      <c r="C52" s="515">
        <f ca="1">IF(AUTOEVENTO="Manual",IF($B52&gt;0,OFFSET(EVENTOS!$D$15,$B52-$B$15,0),0),IF(B52&lt;=MAX(CÁLCULO!$M$15:$M$405),VLOOKUP($B52,CÁLCULO!$M$15:$N$405,2,FALSE),0))</f>
        <v>0</v>
      </c>
      <c r="D52" s="556"/>
      <c r="E52" s="249"/>
      <c r="F52" t="str">
        <f t="shared" ca="1" si="2"/>
        <v/>
      </c>
      <c r="G52" s="555"/>
      <c r="H52" s="555"/>
      <c r="I52" s="555"/>
      <c r="J52" s="555"/>
      <c r="K52" s="555"/>
      <c r="L52" s="555"/>
      <c r="M52" s="555"/>
      <c r="N52" s="555"/>
      <c r="O52" s="555"/>
      <c r="P52" s="555"/>
      <c r="Q52" s="555"/>
      <c r="R52" s="555"/>
      <c r="S52" s="555"/>
      <c r="T52" s="555"/>
      <c r="U52" s="555"/>
      <c r="V52" s="555"/>
      <c r="W52" s="555"/>
      <c r="X52" s="555"/>
      <c r="Y52" s="555"/>
      <c r="Z52" s="555"/>
      <c r="AA52" s="555"/>
      <c r="AB52" s="555"/>
      <c r="AC52" s="555"/>
      <c r="AD52" s="555"/>
      <c r="AE52" s="555"/>
    </row>
    <row r="53" spans="1:31" x14ac:dyDescent="0.2">
      <c r="A53" s="7" t="str">
        <f ca="1">IF(AUTOEVENTO="Manual",IF(EVENTOS!$F53&gt;0,"F",""),IF(CRONOPLE!B53&lt;=MAX(CÁLCULO!$M$15:$M$405),"F",""))</f>
        <v/>
      </c>
      <c r="B53" s="248">
        <f t="shared" ca="1" si="1"/>
        <v>38</v>
      </c>
      <c r="C53" s="515">
        <f ca="1">IF(AUTOEVENTO="Manual",IF($B53&gt;0,OFFSET(EVENTOS!$D$15,$B53-$B$15,0),0),IF(B53&lt;=MAX(CÁLCULO!$M$15:$M$405),VLOOKUP($B53,CÁLCULO!$M$15:$N$405,2,FALSE),0))</f>
        <v>0</v>
      </c>
      <c r="D53" s="556"/>
      <c r="E53" s="249"/>
      <c r="F53" t="str">
        <f t="shared" ca="1" si="2"/>
        <v/>
      </c>
      <c r="G53" s="555"/>
      <c r="H53" s="555"/>
      <c r="I53" s="555"/>
      <c r="J53" s="555"/>
      <c r="K53" s="555"/>
      <c r="L53" s="555"/>
      <c r="M53" s="555"/>
      <c r="N53" s="555"/>
      <c r="O53" s="555"/>
      <c r="P53" s="555"/>
      <c r="Q53" s="555"/>
      <c r="R53" s="555"/>
      <c r="S53" s="555"/>
      <c r="T53" s="555"/>
      <c r="U53" s="555"/>
      <c r="V53" s="555"/>
      <c r="W53" s="555"/>
      <c r="X53" s="555"/>
      <c r="Y53" s="555"/>
      <c r="Z53" s="555"/>
      <c r="AA53" s="555"/>
      <c r="AB53" s="555"/>
      <c r="AC53" s="555"/>
      <c r="AD53" s="555"/>
      <c r="AE53" s="555"/>
    </row>
    <row r="54" spans="1:31" x14ac:dyDescent="0.2">
      <c r="A54" s="7" t="str">
        <f ca="1">IF(AUTOEVENTO="Manual",IF(EVENTOS!$F54&gt;0,"F",""),IF(CRONOPLE!B54&lt;=MAX(CÁLCULO!$M$15:$M$405),"F",""))</f>
        <v/>
      </c>
      <c r="B54" s="248">
        <f t="shared" ca="1" si="1"/>
        <v>39</v>
      </c>
      <c r="C54" s="515">
        <f ca="1">IF(AUTOEVENTO="Manual",IF($B54&gt;0,OFFSET(EVENTOS!$D$15,$B54-$B$15,0),0),IF(B54&lt;=MAX(CÁLCULO!$M$15:$M$405),VLOOKUP($B54,CÁLCULO!$M$15:$N$405,2,FALSE),0))</f>
        <v>0</v>
      </c>
      <c r="D54" s="556"/>
      <c r="E54" s="249"/>
      <c r="F54" t="str">
        <f t="shared" ca="1" si="2"/>
        <v/>
      </c>
      <c r="G54" s="555"/>
      <c r="H54" s="555"/>
      <c r="I54" s="555"/>
      <c r="J54" s="555"/>
      <c r="K54" s="555"/>
      <c r="L54" s="555"/>
      <c r="M54" s="555"/>
      <c r="N54" s="555"/>
      <c r="O54" s="555"/>
      <c r="P54" s="555"/>
      <c r="Q54" s="555"/>
      <c r="R54" s="555"/>
      <c r="S54" s="555"/>
      <c r="T54" s="555"/>
      <c r="U54" s="555"/>
      <c r="V54" s="555"/>
      <c r="W54" s="555"/>
      <c r="X54" s="555"/>
      <c r="Y54" s="555"/>
      <c r="Z54" s="555"/>
      <c r="AA54" s="555"/>
      <c r="AB54" s="555"/>
      <c r="AC54" s="555"/>
      <c r="AD54" s="555"/>
      <c r="AE54" s="555"/>
    </row>
    <row r="55" spans="1:31" x14ac:dyDescent="0.2">
      <c r="A55" s="7" t="str">
        <f ca="1">IF(AUTOEVENTO="Manual",IF(EVENTOS!$F55&gt;0,"F",""),IF(CRONOPLE!B55&lt;=MAX(CÁLCULO!$M$15:$M$405),"F",""))</f>
        <v/>
      </c>
      <c r="B55" s="248">
        <f t="shared" ca="1" si="1"/>
        <v>40</v>
      </c>
      <c r="C55" s="515">
        <f ca="1">IF(AUTOEVENTO="Manual",IF($B55&gt;0,OFFSET(EVENTOS!$D$15,$B55-$B$15,0),0),IF(B55&lt;=MAX(CÁLCULO!$M$15:$M$405),VLOOKUP($B55,CÁLCULO!$M$15:$N$405,2,FALSE),0))</f>
        <v>0</v>
      </c>
      <c r="D55" s="556"/>
      <c r="E55" s="249"/>
      <c r="F55" t="str">
        <f t="shared" ca="1" si="2"/>
        <v/>
      </c>
      <c r="G55" s="555"/>
      <c r="H55" s="555"/>
      <c r="I55" s="555"/>
      <c r="J55" s="555"/>
      <c r="K55" s="555"/>
      <c r="L55" s="555"/>
      <c r="M55" s="555"/>
      <c r="N55" s="555"/>
      <c r="O55" s="555"/>
      <c r="P55" s="555"/>
      <c r="Q55" s="555"/>
      <c r="R55" s="555"/>
      <c r="S55" s="555"/>
      <c r="T55" s="555"/>
      <c r="U55" s="555"/>
      <c r="V55" s="555"/>
      <c r="W55" s="555"/>
      <c r="X55" s="555"/>
      <c r="Y55" s="555"/>
      <c r="Z55" s="555"/>
      <c r="AA55" s="555"/>
      <c r="AB55" s="555"/>
      <c r="AC55" s="555"/>
      <c r="AD55" s="555"/>
      <c r="AE55" s="555"/>
    </row>
    <row r="56" spans="1:31" x14ac:dyDescent="0.2">
      <c r="A56" s="7" t="str">
        <f ca="1">IF(AUTOEVENTO="Manual",IF(EVENTOS!$F56&gt;0,"F",""),IF(CRONOPLE!B56&lt;=MAX(CÁLCULO!$M$15:$M$405),"F",""))</f>
        <v/>
      </c>
      <c r="B56" s="248">
        <f t="shared" ca="1" si="1"/>
        <v>41</v>
      </c>
      <c r="C56" s="515">
        <f ca="1">IF(AUTOEVENTO="Manual",IF($B56&gt;0,OFFSET(EVENTOS!$D$15,$B56-$B$15,0),0),IF(B56&lt;=MAX(CÁLCULO!$M$15:$M$405),VLOOKUP($B56,CÁLCULO!$M$15:$N$405,2,FALSE),0))</f>
        <v>0</v>
      </c>
      <c r="D56" s="556"/>
      <c r="E56" s="249"/>
      <c r="F56" t="str">
        <f t="shared" ca="1" si="2"/>
        <v/>
      </c>
      <c r="G56" s="555"/>
      <c r="H56" s="555"/>
      <c r="I56" s="555"/>
      <c r="J56" s="555"/>
      <c r="K56" s="555"/>
      <c r="L56" s="555"/>
      <c r="M56" s="555"/>
      <c r="N56" s="555"/>
      <c r="O56" s="555"/>
      <c r="P56" s="555"/>
      <c r="Q56" s="555"/>
      <c r="R56" s="555"/>
      <c r="S56" s="555"/>
      <c r="T56" s="555"/>
      <c r="U56" s="555"/>
      <c r="V56" s="555"/>
      <c r="W56" s="555"/>
      <c r="X56" s="555"/>
      <c r="Y56" s="555"/>
      <c r="Z56" s="555"/>
      <c r="AA56" s="555"/>
      <c r="AB56" s="555"/>
      <c r="AC56" s="555"/>
      <c r="AD56" s="555"/>
      <c r="AE56" s="555"/>
    </row>
    <row r="57" spans="1:31" x14ac:dyDescent="0.2">
      <c r="A57" s="7" t="str">
        <f ca="1">IF(AUTOEVENTO="Manual",IF(EVENTOS!$F57&gt;0,"F",""),IF(CRONOPLE!B57&lt;=MAX(CÁLCULO!$M$15:$M$405),"F",""))</f>
        <v/>
      </c>
      <c r="B57" s="248">
        <f t="shared" ca="1" si="1"/>
        <v>42</v>
      </c>
      <c r="C57" s="515">
        <f ca="1">IF(AUTOEVENTO="Manual",IF($B57&gt;0,OFFSET(EVENTOS!$D$15,$B57-$B$15,0),0),IF(B57&lt;=MAX(CÁLCULO!$M$15:$M$405),VLOOKUP($B57,CÁLCULO!$M$15:$N$405,2,FALSE),0))</f>
        <v>0</v>
      </c>
      <c r="D57" s="556"/>
      <c r="E57" s="249"/>
      <c r="F57" t="str">
        <f t="shared" ca="1" si="2"/>
        <v/>
      </c>
      <c r="G57" s="555"/>
      <c r="H57" s="555"/>
      <c r="I57" s="555"/>
      <c r="J57" s="555"/>
      <c r="K57" s="555"/>
      <c r="L57" s="555"/>
      <c r="M57" s="555"/>
      <c r="N57" s="555"/>
      <c r="O57" s="555"/>
      <c r="P57" s="555"/>
      <c r="Q57" s="555"/>
      <c r="R57" s="555"/>
      <c r="S57" s="555"/>
      <c r="T57" s="555"/>
      <c r="U57" s="555"/>
      <c r="V57" s="555"/>
      <c r="W57" s="555"/>
      <c r="X57" s="555"/>
      <c r="Y57" s="555"/>
      <c r="Z57" s="555"/>
      <c r="AA57" s="555"/>
      <c r="AB57" s="555"/>
      <c r="AC57" s="555"/>
      <c r="AD57" s="555"/>
      <c r="AE57" s="555"/>
    </row>
    <row r="58" spans="1:31" x14ac:dyDescent="0.2">
      <c r="A58" s="7" t="str">
        <f ca="1">IF(AUTOEVENTO="Manual",IF(EVENTOS!$F58&gt;0,"F",""),IF(CRONOPLE!B58&lt;=MAX(CÁLCULO!$M$15:$M$405),"F",""))</f>
        <v/>
      </c>
      <c r="B58" s="248">
        <f t="shared" ca="1" si="1"/>
        <v>43</v>
      </c>
      <c r="C58" s="515">
        <f ca="1">IF(AUTOEVENTO="Manual",IF($B58&gt;0,OFFSET(EVENTOS!$D$15,$B58-$B$15,0),0),IF(B58&lt;=MAX(CÁLCULO!$M$15:$M$405),VLOOKUP($B58,CÁLCULO!$M$15:$N$405,2,FALSE),0))</f>
        <v>0</v>
      </c>
      <c r="D58" s="556"/>
      <c r="E58" s="249"/>
      <c r="F58" t="str">
        <f t="shared" ca="1" si="2"/>
        <v/>
      </c>
      <c r="G58" s="555"/>
      <c r="H58" s="555"/>
      <c r="I58" s="555"/>
      <c r="J58" s="555"/>
      <c r="K58" s="555"/>
      <c r="L58" s="555"/>
      <c r="M58" s="555"/>
      <c r="N58" s="555"/>
      <c r="O58" s="555"/>
      <c r="P58" s="555"/>
      <c r="Q58" s="555"/>
      <c r="R58" s="555"/>
      <c r="S58" s="555"/>
      <c r="T58" s="555"/>
      <c r="U58" s="555"/>
      <c r="V58" s="555"/>
      <c r="W58" s="555"/>
      <c r="X58" s="555"/>
      <c r="Y58" s="555"/>
      <c r="Z58" s="555"/>
      <c r="AA58" s="555"/>
      <c r="AB58" s="555"/>
      <c r="AC58" s="555"/>
      <c r="AD58" s="555"/>
      <c r="AE58" s="555"/>
    </row>
    <row r="59" spans="1:31" x14ac:dyDescent="0.2">
      <c r="A59" s="7" t="str">
        <f ca="1">IF(AUTOEVENTO="Manual",IF(EVENTOS!$F59&gt;0,"F",""),IF(CRONOPLE!B59&lt;=MAX(CÁLCULO!$M$15:$M$405),"F",""))</f>
        <v/>
      </c>
      <c r="B59" s="248">
        <f t="shared" ca="1" si="1"/>
        <v>44</v>
      </c>
      <c r="C59" s="515">
        <f ca="1">IF(AUTOEVENTO="Manual",IF($B59&gt;0,OFFSET(EVENTOS!$D$15,$B59-$B$15,0),0),IF(B59&lt;=MAX(CÁLCULO!$M$15:$M$405),VLOOKUP($B59,CÁLCULO!$M$15:$N$405,2,FALSE),0))</f>
        <v>0</v>
      </c>
      <c r="D59" s="556"/>
      <c r="E59" s="249"/>
      <c r="F59" t="str">
        <f t="shared" ca="1" si="2"/>
        <v/>
      </c>
      <c r="G59" s="555"/>
      <c r="H59" s="555"/>
      <c r="I59" s="555"/>
      <c r="J59" s="555"/>
      <c r="K59" s="555"/>
      <c r="L59" s="555"/>
      <c r="M59" s="555"/>
      <c r="N59" s="555"/>
      <c r="O59" s="555"/>
      <c r="P59" s="555"/>
      <c r="Q59" s="555"/>
      <c r="R59" s="555"/>
      <c r="S59" s="555"/>
      <c r="T59" s="555"/>
      <c r="U59" s="555"/>
      <c r="V59" s="555"/>
      <c r="W59" s="555"/>
      <c r="X59" s="555"/>
      <c r="Y59" s="555"/>
      <c r="Z59" s="555"/>
      <c r="AA59" s="555"/>
      <c r="AB59" s="555"/>
      <c r="AC59" s="555"/>
      <c r="AD59" s="555"/>
      <c r="AE59" s="555"/>
    </row>
    <row r="60" spans="1:31" x14ac:dyDescent="0.2">
      <c r="A60" s="7" t="str">
        <f ca="1">IF(AUTOEVENTO="Manual",IF(EVENTOS!$F60&gt;0,"F",""),IF(CRONOPLE!B60&lt;=MAX(CÁLCULO!$M$15:$M$405),"F",""))</f>
        <v/>
      </c>
      <c r="B60" s="248">
        <f t="shared" ca="1" si="1"/>
        <v>45</v>
      </c>
      <c r="C60" s="515">
        <f ca="1">IF(AUTOEVENTO="Manual",IF($B60&gt;0,OFFSET(EVENTOS!$D$15,$B60-$B$15,0),0),IF(B60&lt;=MAX(CÁLCULO!$M$15:$M$405),VLOOKUP($B60,CÁLCULO!$M$15:$N$405,2,FALSE),0))</f>
        <v>0</v>
      </c>
      <c r="D60" s="556"/>
      <c r="E60" s="249"/>
      <c r="F60" t="str">
        <f t="shared" ca="1" si="2"/>
        <v/>
      </c>
      <c r="G60" s="555"/>
      <c r="H60" s="555"/>
      <c r="I60" s="555"/>
      <c r="J60" s="555"/>
      <c r="K60" s="555"/>
      <c r="L60" s="555"/>
      <c r="M60" s="555"/>
      <c r="N60" s="555"/>
      <c r="O60" s="555"/>
      <c r="P60" s="555"/>
      <c r="Q60" s="555"/>
      <c r="R60" s="555"/>
      <c r="S60" s="555"/>
      <c r="T60" s="555"/>
      <c r="U60" s="555"/>
      <c r="V60" s="555"/>
      <c r="W60" s="555"/>
      <c r="X60" s="555"/>
      <c r="Y60" s="555"/>
      <c r="Z60" s="555"/>
      <c r="AA60" s="555"/>
      <c r="AB60" s="555"/>
      <c r="AC60" s="555"/>
      <c r="AD60" s="555"/>
      <c r="AE60" s="555"/>
    </row>
    <row r="61" spans="1:31" x14ac:dyDescent="0.2">
      <c r="A61" s="7" t="str">
        <f ca="1">IF(AUTOEVENTO="Manual",IF(EVENTOS!$F61&gt;0,"F",""),IF(CRONOPLE!B61&lt;=MAX(CÁLCULO!$M$15:$M$405),"F",""))</f>
        <v/>
      </c>
      <c r="B61" s="248">
        <f t="shared" ca="1" si="1"/>
        <v>46</v>
      </c>
      <c r="C61" s="515">
        <f ca="1">IF(AUTOEVENTO="Manual",IF($B61&gt;0,OFFSET(EVENTOS!$D$15,$B61-$B$15,0),0),IF(B61&lt;=MAX(CÁLCULO!$M$15:$M$405),VLOOKUP($B61,CÁLCULO!$M$15:$N$405,2,FALSE),0))</f>
        <v>0</v>
      </c>
      <c r="D61" s="556"/>
      <c r="E61" s="249"/>
      <c r="F61" t="str">
        <f t="shared" ca="1" si="2"/>
        <v/>
      </c>
      <c r="G61" s="555"/>
      <c r="H61" s="555"/>
      <c r="I61" s="555"/>
      <c r="J61" s="555"/>
      <c r="K61" s="555"/>
      <c r="L61" s="555"/>
      <c r="M61" s="555"/>
      <c r="N61" s="555"/>
      <c r="O61" s="555"/>
      <c r="P61" s="555"/>
      <c r="Q61" s="555"/>
      <c r="R61" s="555"/>
      <c r="S61" s="555"/>
      <c r="T61" s="555"/>
      <c r="U61" s="555"/>
      <c r="V61" s="555"/>
      <c r="W61" s="555"/>
      <c r="X61" s="555"/>
      <c r="Y61" s="555"/>
      <c r="Z61" s="555"/>
      <c r="AA61" s="555"/>
      <c r="AB61" s="555"/>
      <c r="AC61" s="555"/>
      <c r="AD61" s="555"/>
      <c r="AE61" s="555"/>
    </row>
    <row r="62" spans="1:31" x14ac:dyDescent="0.2">
      <c r="A62" s="7" t="str">
        <f ca="1">IF(AUTOEVENTO="Manual",IF(EVENTOS!$F62&gt;0,"F",""),IF(CRONOPLE!B62&lt;=MAX(CÁLCULO!$M$15:$M$405),"F",""))</f>
        <v/>
      </c>
      <c r="B62" s="248">
        <f t="shared" ca="1" si="1"/>
        <v>47</v>
      </c>
      <c r="C62" s="515">
        <f ca="1">IF(AUTOEVENTO="Manual",IF($B62&gt;0,OFFSET(EVENTOS!$D$15,$B62-$B$15,0),0),IF(B62&lt;=MAX(CÁLCULO!$M$15:$M$405),VLOOKUP($B62,CÁLCULO!$M$15:$N$405,2,FALSE),0))</f>
        <v>0</v>
      </c>
      <c r="D62" s="556"/>
      <c r="E62" s="249"/>
      <c r="F62" t="str">
        <f t="shared" ca="1" si="2"/>
        <v/>
      </c>
      <c r="G62" s="555"/>
      <c r="H62" s="555"/>
      <c r="I62" s="555"/>
      <c r="J62" s="555"/>
      <c r="K62" s="555"/>
      <c r="L62" s="555"/>
      <c r="M62" s="555"/>
      <c r="N62" s="555"/>
      <c r="O62" s="555"/>
      <c r="P62" s="555"/>
      <c r="Q62" s="555"/>
      <c r="R62" s="555"/>
      <c r="S62" s="555"/>
      <c r="T62" s="555"/>
      <c r="U62" s="555"/>
      <c r="V62" s="555"/>
      <c r="W62" s="555"/>
      <c r="X62" s="555"/>
      <c r="Y62" s="555"/>
      <c r="Z62" s="555"/>
      <c r="AA62" s="555"/>
      <c r="AB62" s="555"/>
      <c r="AC62" s="555"/>
      <c r="AD62" s="555"/>
      <c r="AE62" s="555"/>
    </row>
    <row r="63" spans="1:31" x14ac:dyDescent="0.2">
      <c r="A63" s="7" t="str">
        <f ca="1">IF(AUTOEVENTO="Manual",IF(EVENTOS!$F63&gt;0,"F",""),IF(CRONOPLE!B63&lt;=MAX(CÁLCULO!$M$15:$M$405),"F",""))</f>
        <v/>
      </c>
      <c r="B63" s="248">
        <f t="shared" ca="1" si="1"/>
        <v>48</v>
      </c>
      <c r="C63" s="515">
        <f ca="1">IF(AUTOEVENTO="Manual",IF($B63&gt;0,OFFSET(EVENTOS!$D$15,$B63-$B$15,0),0),IF(B63&lt;=MAX(CÁLCULO!$M$15:$M$405),VLOOKUP($B63,CÁLCULO!$M$15:$N$405,2,FALSE),0))</f>
        <v>0</v>
      </c>
      <c r="D63" s="556"/>
      <c r="E63" s="249"/>
      <c r="F63" t="str">
        <f t="shared" ca="1" si="2"/>
        <v/>
      </c>
      <c r="G63" s="555"/>
      <c r="H63" s="555"/>
      <c r="I63" s="555"/>
      <c r="J63" s="555"/>
      <c r="K63" s="555"/>
      <c r="L63" s="555"/>
      <c r="M63" s="555"/>
      <c r="N63" s="555"/>
      <c r="O63" s="555"/>
      <c r="P63" s="555"/>
      <c r="Q63" s="555"/>
      <c r="R63" s="555"/>
      <c r="S63" s="555"/>
      <c r="T63" s="555"/>
      <c r="U63" s="555"/>
      <c r="V63" s="555"/>
      <c r="W63" s="555"/>
      <c r="X63" s="555"/>
      <c r="Y63" s="555"/>
      <c r="Z63" s="555"/>
      <c r="AA63" s="555"/>
      <c r="AB63" s="555"/>
      <c r="AC63" s="555"/>
      <c r="AD63" s="555"/>
      <c r="AE63" s="555"/>
    </row>
    <row r="64" spans="1:31" x14ac:dyDescent="0.2">
      <c r="A64" s="7" t="str">
        <f ca="1">IF(AUTOEVENTO="Manual",IF(EVENTOS!$F64&gt;0,"F",""),IF(CRONOPLE!B64&lt;=MAX(CÁLCULO!$M$15:$M$405),"F",""))</f>
        <v/>
      </c>
      <c r="B64" s="248">
        <f t="shared" ca="1" si="1"/>
        <v>49</v>
      </c>
      <c r="C64" s="515">
        <f ca="1">IF(AUTOEVENTO="Manual",IF($B64&gt;0,OFFSET(EVENTOS!$D$15,$B64-$B$15,0),0),IF(B64&lt;=MAX(CÁLCULO!$M$15:$M$405),VLOOKUP($B64,CÁLCULO!$M$15:$N$405,2,FALSE),0))</f>
        <v>0</v>
      </c>
      <c r="D64" s="556"/>
      <c r="E64" s="249"/>
      <c r="F64" t="str">
        <f t="shared" ca="1" si="2"/>
        <v/>
      </c>
      <c r="G64" s="555"/>
      <c r="H64" s="555"/>
      <c r="I64" s="555"/>
      <c r="J64" s="555"/>
      <c r="K64" s="555"/>
      <c r="L64" s="555"/>
      <c r="M64" s="555"/>
      <c r="N64" s="555"/>
      <c r="O64" s="555"/>
      <c r="P64" s="555"/>
      <c r="Q64" s="555"/>
      <c r="R64" s="555"/>
      <c r="S64" s="555"/>
      <c r="T64" s="555"/>
      <c r="U64" s="555"/>
      <c r="V64" s="555"/>
      <c r="W64" s="555"/>
      <c r="X64" s="555"/>
      <c r="Y64" s="555"/>
      <c r="Z64" s="555"/>
      <c r="AA64" s="555"/>
      <c r="AB64" s="555"/>
      <c r="AC64" s="555"/>
      <c r="AD64" s="555"/>
      <c r="AE64" s="555"/>
    </row>
    <row r="65" spans="1:31" ht="5.0999999999999996" customHeight="1" x14ac:dyDescent="0.2">
      <c r="B65" s="632"/>
      <c r="C65" s="434"/>
      <c r="D65" s="557"/>
      <c r="E65" s="263"/>
      <c r="F65" s="263"/>
      <c r="G65" s="632"/>
      <c r="H65" s="633"/>
      <c r="I65" s="633"/>
      <c r="J65" s="633"/>
      <c r="K65" s="633"/>
      <c r="L65" s="633"/>
      <c r="M65" s="633"/>
      <c r="N65" s="633"/>
      <c r="O65" s="633"/>
      <c r="P65" s="633"/>
      <c r="Q65" s="633"/>
      <c r="R65" s="633"/>
      <c r="S65" s="633"/>
      <c r="T65" s="633"/>
      <c r="U65" s="633"/>
      <c r="V65" s="633"/>
      <c r="W65" s="633"/>
      <c r="X65" s="633"/>
      <c r="Y65" s="633"/>
      <c r="Z65" s="633"/>
      <c r="AA65" s="633"/>
      <c r="AB65" s="633"/>
      <c r="AC65" s="633"/>
      <c r="AD65" s="633"/>
      <c r="AE65" s="434"/>
    </row>
    <row r="66" spans="1:31" ht="6" customHeight="1" x14ac:dyDescent="0.2">
      <c r="A66" s="7" t="s">
        <v>536</v>
      </c>
    </row>
    <row r="67" spans="1:31" ht="15" x14ac:dyDescent="0.2">
      <c r="A67" s="7" t="s">
        <v>536</v>
      </c>
      <c r="C67" s="487" t="s">
        <v>781</v>
      </c>
      <c r="H67" s="743">
        <f>(ROW($G67)-ROW($G$67))/8*12+1</f>
        <v>1</v>
      </c>
      <c r="I67" s="743"/>
      <c r="J67" s="743">
        <f>H67+1</f>
        <v>2</v>
      </c>
      <c r="K67" s="743"/>
      <c r="L67" s="743">
        <f>J67+1</f>
        <v>3</v>
      </c>
      <c r="M67" s="743"/>
      <c r="N67" s="743">
        <f>L67+1</f>
        <v>4</v>
      </c>
      <c r="O67" s="743"/>
      <c r="P67" s="743">
        <f>N67+1</f>
        <v>5</v>
      </c>
      <c r="Q67" s="743"/>
      <c r="R67" s="743">
        <f>P67+1</f>
        <v>6</v>
      </c>
      <c r="S67" s="743"/>
      <c r="T67" s="743">
        <f>R67+1</f>
        <v>7</v>
      </c>
      <c r="U67" s="743"/>
      <c r="V67" s="743">
        <f>T67+1</f>
        <v>8</v>
      </c>
      <c r="W67" s="743"/>
      <c r="X67" s="743">
        <f>V67+1</f>
        <v>9</v>
      </c>
      <c r="Y67" s="743"/>
      <c r="Z67" s="743">
        <f>X67+1</f>
        <v>10</v>
      </c>
      <c r="AA67" s="743"/>
      <c r="AB67" s="743">
        <f>Z67+1</f>
        <v>11</v>
      </c>
      <c r="AC67" s="743"/>
      <c r="AD67" s="743">
        <f>AB67+1</f>
        <v>12</v>
      </c>
      <c r="AE67" s="743"/>
    </row>
    <row r="68" spans="1:31" ht="12.75" customHeight="1" x14ac:dyDescent="0.2">
      <c r="A68" s="7" t="s">
        <v>536</v>
      </c>
      <c r="C68" s="737" t="s">
        <v>782</v>
      </c>
      <c r="G68" s="553" t="s">
        <v>783</v>
      </c>
      <c r="H68" s="739" t="e">
        <f ca="1">OFFSET(CRONO!$T$90,0,CRONOPLE!H67)</f>
        <v>#DIV/0!</v>
      </c>
      <c r="I68" s="739"/>
      <c r="J68" s="739" t="e">
        <f ca="1">OFFSET(CRONO!$T$90,0,CRONOPLE!J67)</f>
        <v>#DIV/0!</v>
      </c>
      <c r="K68" s="739"/>
      <c r="L68" s="739" t="e">
        <f ca="1">OFFSET(CRONO!$T$90,0,CRONOPLE!L67)</f>
        <v>#DIV/0!</v>
      </c>
      <c r="M68" s="739"/>
      <c r="N68" s="739" t="e">
        <f ca="1">OFFSET(CRONO!$T$90,0,CRONOPLE!N67)</f>
        <v>#DIV/0!</v>
      </c>
      <c r="O68" s="739"/>
      <c r="P68" s="739" t="e">
        <f ca="1">OFFSET(CRONO!$T$90,0,CRONOPLE!P67)</f>
        <v>#DIV/0!</v>
      </c>
      <c r="Q68" s="739"/>
      <c r="R68" s="739" t="e">
        <f ca="1">OFFSET(CRONO!$T$90,0,CRONOPLE!R67)</f>
        <v>#DIV/0!</v>
      </c>
      <c r="S68" s="739"/>
      <c r="T68" s="739" t="e">
        <f ca="1">OFFSET(CRONO!$T$90,0,CRONOPLE!T67)</f>
        <v>#DIV/0!</v>
      </c>
      <c r="U68" s="739"/>
      <c r="V68" s="739" t="e">
        <f ca="1">OFFSET(CRONO!$T$90,0,CRONOPLE!V67)</f>
        <v>#DIV/0!</v>
      </c>
      <c r="W68" s="739"/>
      <c r="X68" s="739" t="e">
        <f ca="1">OFFSET(CRONO!$T$90,0,CRONOPLE!X67)</f>
        <v>#DIV/0!</v>
      </c>
      <c r="Y68" s="739"/>
      <c r="Z68" s="739" t="e">
        <f ca="1">OFFSET(CRONO!$T$90,0,CRONOPLE!Z67)</f>
        <v>#DIV/0!</v>
      </c>
      <c r="AA68" s="739"/>
      <c r="AB68" s="739" t="e">
        <f ca="1">OFFSET(CRONO!$T$90,0,CRONOPLE!AB67)</f>
        <v>#DIV/0!</v>
      </c>
      <c r="AC68" s="739"/>
      <c r="AD68" s="739" t="e">
        <f ca="1">OFFSET(CRONO!$T$90,0,CRONOPLE!AD67)</f>
        <v>#DIV/0!</v>
      </c>
      <c r="AE68" s="739"/>
    </row>
    <row r="69" spans="1:31" ht="12.75" customHeight="1" x14ac:dyDescent="0.2">
      <c r="A69" s="7" t="s">
        <v>536</v>
      </c>
      <c r="C69" s="738"/>
      <c r="G69" s="488" t="s">
        <v>784</v>
      </c>
      <c r="H69" s="740">
        <f ca="1">OFFSET(CRONO!$T$94,0,CRONOPLE!H67)</f>
        <v>0</v>
      </c>
      <c r="I69" s="740"/>
      <c r="J69" s="741">
        <f ca="1">OFFSET(CRONO!$T$94,0,CRONOPLE!J67)</f>
        <v>0</v>
      </c>
      <c r="K69" s="742"/>
      <c r="L69" s="741">
        <f ca="1">OFFSET(CRONO!$T$94,0,CRONOPLE!L67)</f>
        <v>0</v>
      </c>
      <c r="M69" s="742"/>
      <c r="N69" s="741">
        <f ca="1">OFFSET(CRONO!$T$94,0,CRONOPLE!N67)</f>
        <v>0</v>
      </c>
      <c r="O69" s="742"/>
      <c r="P69" s="741">
        <f ca="1">OFFSET(CRONO!$T$94,0,CRONOPLE!P67)</f>
        <v>0</v>
      </c>
      <c r="Q69" s="742"/>
      <c r="R69" s="741">
        <f ca="1">OFFSET(CRONO!$T$94,0,CRONOPLE!R67)</f>
        <v>0</v>
      </c>
      <c r="S69" s="742"/>
      <c r="T69" s="741">
        <f ca="1">OFFSET(CRONO!$T$94,0,CRONOPLE!T67)</f>
        <v>0</v>
      </c>
      <c r="U69" s="742"/>
      <c r="V69" s="741">
        <f ca="1">OFFSET(CRONO!$T$94,0,CRONOPLE!V67)</f>
        <v>0</v>
      </c>
      <c r="W69" s="742"/>
      <c r="X69" s="741">
        <f ca="1">OFFSET(CRONO!$T$94,0,CRONOPLE!X67)</f>
        <v>0</v>
      </c>
      <c r="Y69" s="742"/>
      <c r="Z69" s="741">
        <f ca="1">OFFSET(CRONO!$T$94,0,CRONOPLE!Z67)</f>
        <v>0</v>
      </c>
      <c r="AA69" s="742"/>
      <c r="AB69" s="741">
        <f ca="1">OFFSET(CRONO!$T$94,0,CRONOPLE!AB67)</f>
        <v>0</v>
      </c>
      <c r="AC69" s="742"/>
      <c r="AD69" s="741">
        <f ca="1">OFFSET(CRONO!$T$94,0,CRONOPLE!AD67)</f>
        <v>0</v>
      </c>
      <c r="AE69" s="742"/>
    </row>
    <row r="70" spans="1:31" ht="12.75" customHeight="1" x14ac:dyDescent="0.2">
      <c r="A70" s="7" t="s">
        <v>536</v>
      </c>
      <c r="C70" s="737" t="s">
        <v>785</v>
      </c>
      <c r="G70" s="553" t="s">
        <v>783</v>
      </c>
      <c r="H70" s="739" t="e">
        <f ca="1">OFFSET(CRONO!$T$95,0,CRONOPLE!H67)</f>
        <v>#DIV/0!</v>
      </c>
      <c r="I70" s="739"/>
      <c r="J70" s="731" t="e">
        <f ca="1">OFFSET(CRONO!$T$95,0,CRONOPLE!J67)</f>
        <v>#DIV/0!</v>
      </c>
      <c r="K70" s="732"/>
      <c r="L70" s="731" t="e">
        <f ca="1">OFFSET(CRONO!$T$95,0,CRONOPLE!L67)</f>
        <v>#DIV/0!</v>
      </c>
      <c r="M70" s="732"/>
      <c r="N70" s="731" t="e">
        <f ca="1">OFFSET(CRONO!$T$95,0,CRONOPLE!N67)</f>
        <v>#DIV/0!</v>
      </c>
      <c r="O70" s="732"/>
      <c r="P70" s="731" t="e">
        <f ca="1">OFFSET(CRONO!$T$95,0,CRONOPLE!P67)</f>
        <v>#DIV/0!</v>
      </c>
      <c r="Q70" s="732"/>
      <c r="R70" s="731" t="e">
        <f ca="1">OFFSET(CRONO!$T$95,0,CRONOPLE!R67)</f>
        <v>#DIV/0!</v>
      </c>
      <c r="S70" s="732"/>
      <c r="T70" s="731" t="e">
        <f ca="1">OFFSET(CRONO!$T$95,0,CRONOPLE!T67)</f>
        <v>#DIV/0!</v>
      </c>
      <c r="U70" s="732"/>
      <c r="V70" s="731" t="e">
        <f ca="1">OFFSET(CRONO!$T$95,0,CRONOPLE!V67)</f>
        <v>#DIV/0!</v>
      </c>
      <c r="W70" s="732"/>
      <c r="X70" s="731" t="e">
        <f ca="1">OFFSET(CRONO!$T$95,0,CRONOPLE!X67)</f>
        <v>#DIV/0!</v>
      </c>
      <c r="Y70" s="732"/>
      <c r="Z70" s="731" t="e">
        <f ca="1">OFFSET(CRONO!$T$95,0,CRONOPLE!Z67)</f>
        <v>#DIV/0!</v>
      </c>
      <c r="AA70" s="732"/>
      <c r="AB70" s="731" t="e">
        <f ca="1">OFFSET(CRONO!$T$95,0,CRONOPLE!AB67)</f>
        <v>#DIV/0!</v>
      </c>
      <c r="AC70" s="732"/>
      <c r="AD70" s="731" t="e">
        <f ca="1">OFFSET(CRONO!$T$95,0,CRONOPLE!AD67)</f>
        <v>#DIV/0!</v>
      </c>
      <c r="AE70" s="732"/>
    </row>
    <row r="71" spans="1:31" ht="12.75" customHeight="1" x14ac:dyDescent="0.2">
      <c r="A71" s="7" t="s">
        <v>536</v>
      </c>
      <c r="C71" s="751"/>
      <c r="G71" s="488" t="s">
        <v>784</v>
      </c>
      <c r="H71" s="746">
        <f ca="1">OFFSET(CRONO!$T$99,0,CRONOPLE!H67)</f>
        <v>0</v>
      </c>
      <c r="I71" s="746"/>
      <c r="J71" s="735">
        <f ca="1">OFFSET(CRONO!$T$99,0,CRONOPLE!J67)</f>
        <v>0</v>
      </c>
      <c r="K71" s="736"/>
      <c r="L71" s="735">
        <f ca="1">OFFSET(CRONO!$T$99,0,CRONOPLE!L67)</f>
        <v>0</v>
      </c>
      <c r="M71" s="736"/>
      <c r="N71" s="735">
        <f ca="1">OFFSET(CRONO!$T$99,0,CRONOPLE!N67)</f>
        <v>0</v>
      </c>
      <c r="O71" s="736"/>
      <c r="P71" s="735">
        <f ca="1">OFFSET(CRONO!$T$99,0,CRONOPLE!P67)</f>
        <v>0</v>
      </c>
      <c r="Q71" s="736"/>
      <c r="R71" s="735">
        <f ca="1">OFFSET(CRONO!$T$99,0,CRONOPLE!R67)</f>
        <v>0</v>
      </c>
      <c r="S71" s="736"/>
      <c r="T71" s="735">
        <f ca="1">OFFSET(CRONO!$T$99,0,CRONOPLE!T67)</f>
        <v>0</v>
      </c>
      <c r="U71" s="736"/>
      <c r="V71" s="735">
        <f ca="1">OFFSET(CRONO!$T$99,0,CRONOPLE!V67)</f>
        <v>0</v>
      </c>
      <c r="W71" s="736"/>
      <c r="X71" s="735">
        <f ca="1">OFFSET(CRONO!$T$99,0,CRONOPLE!X67)</f>
        <v>0</v>
      </c>
      <c r="Y71" s="736"/>
      <c r="Z71" s="735">
        <f ca="1">OFFSET(CRONO!$T$99,0,CRONOPLE!Z67)</f>
        <v>0</v>
      </c>
      <c r="AA71" s="736"/>
      <c r="AB71" s="735">
        <f ca="1">OFFSET(CRONO!$T$99,0,CRONOPLE!AB67)</f>
        <v>0</v>
      </c>
      <c r="AC71" s="736"/>
      <c r="AD71" s="735">
        <f ca="1">OFFSET(CRONO!$T$99,0,CRONOPLE!AD67)</f>
        <v>0</v>
      </c>
      <c r="AE71" s="736"/>
    </row>
    <row r="72" spans="1:31" ht="12.75" customHeight="1" x14ac:dyDescent="0.2">
      <c r="A72" s="7" t="s">
        <v>536</v>
      </c>
      <c r="C72" s="554" t="s">
        <v>786</v>
      </c>
      <c r="D72" s="552"/>
      <c r="G72" s="553" t="s">
        <v>783</v>
      </c>
      <c r="H72" s="739" t="str">
        <f ca="1">OFFSET(CRONO!$T$100,0,CRONOPLE!H67)</f>
        <v/>
      </c>
      <c r="I72" s="739"/>
      <c r="J72" s="733" t="str">
        <f ca="1">OFFSET(CRONO!$T$100,0,CRONOPLE!J67)</f>
        <v/>
      </c>
      <c r="K72" s="734"/>
      <c r="L72" s="733" t="str">
        <f ca="1">OFFSET(CRONO!$T$100,0,CRONOPLE!L67)</f>
        <v/>
      </c>
      <c r="M72" s="734"/>
      <c r="N72" s="733" t="str">
        <f ca="1">OFFSET(CRONO!$T$100,0,CRONOPLE!N67)</f>
        <v/>
      </c>
      <c r="O72" s="734"/>
      <c r="P72" s="733" t="str">
        <f ca="1">OFFSET(CRONO!$T$100,0,CRONOPLE!P67)</f>
        <v/>
      </c>
      <c r="Q72" s="734"/>
      <c r="R72" s="733" t="str">
        <f ca="1">OFFSET(CRONO!$T$100,0,CRONOPLE!R67)</f>
        <v/>
      </c>
      <c r="S72" s="734"/>
      <c r="T72" s="733" t="str">
        <f ca="1">OFFSET(CRONO!$T$100,0,CRONOPLE!T67)</f>
        <v/>
      </c>
      <c r="U72" s="734"/>
      <c r="V72" s="733" t="str">
        <f ca="1">OFFSET(CRONO!$T$100,0,CRONOPLE!V67)</f>
        <v/>
      </c>
      <c r="W72" s="734"/>
      <c r="X72" s="733" t="str">
        <f ca="1">OFFSET(CRONO!$T$100,0,CRONOPLE!X67)</f>
        <v/>
      </c>
      <c r="Y72" s="734"/>
      <c r="Z72" s="733" t="str">
        <f ca="1">OFFSET(CRONO!$T$100,0,CRONOPLE!Z67)</f>
        <v/>
      </c>
      <c r="AA72" s="734"/>
      <c r="AB72" s="733" t="str">
        <f ca="1">OFFSET(CRONO!$T$100,0,CRONOPLE!AB67)</f>
        <v/>
      </c>
      <c r="AC72" s="734"/>
      <c r="AD72" s="733" t="str">
        <f ca="1">OFFSET(CRONO!$T$100,0,CRONOPLE!AD67)</f>
        <v/>
      </c>
      <c r="AE72" s="734"/>
    </row>
    <row r="73" spans="1:31" ht="15" customHeight="1" x14ac:dyDescent="0.25">
      <c r="A73" s="7" t="s">
        <v>536</v>
      </c>
      <c r="C73" s="551"/>
      <c r="G73" s="586" t="str">
        <f ca="1">IF(COUNTIF(H73:AF73,"%Adm&gt;%Global")&gt;0,"Verificar proporcionalidade da Administração Local","")</f>
        <v/>
      </c>
      <c r="H73" s="536" t="str">
        <f ca="1">IF(H72="","",IF(ROUND(H72,4)&gt;ROUND(H70,4),"%Adm&gt;%Global",""))</f>
        <v/>
      </c>
      <c r="J73" s="536" t="str">
        <f t="shared" ref="J73" ca="1" si="3">IF(J72="","",IF(ROUND(J72,4)&gt;ROUND(J70,4),"%Adm&gt;%Global",""))</f>
        <v/>
      </c>
      <c r="L73" s="536" t="str">
        <f t="shared" ref="L73" ca="1" si="4">IF(L72="","",IF(ROUND(L72,4)&gt;ROUND(L70,4),"%Adm&gt;%Global",""))</f>
        <v/>
      </c>
      <c r="N73" s="536" t="str">
        <f t="shared" ref="N73" ca="1" si="5">IF(N72="","",IF(ROUND(N72,4)&gt;ROUND(N70,4),"%Adm&gt;%Global",""))</f>
        <v/>
      </c>
      <c r="P73" s="536" t="str">
        <f t="shared" ref="P73" ca="1" si="6">IF(P72="","",IF(ROUND(P72,4)&gt;ROUND(P70,4),"%Adm&gt;%Global",""))</f>
        <v/>
      </c>
      <c r="R73" s="536" t="str">
        <f t="shared" ref="R73" ca="1" si="7">IF(R72="","",IF(ROUND(R72,4)&gt;ROUND(R70,4),"%Adm&gt;%Global",""))</f>
        <v/>
      </c>
      <c r="T73" s="536" t="str">
        <f t="shared" ref="T73" ca="1" si="8">IF(T72="","",IF(ROUND(T72,4)&gt;ROUND(T70,4),"%Adm&gt;%Global",""))</f>
        <v/>
      </c>
      <c r="V73" s="536" t="str">
        <f t="shared" ref="V73" ca="1" si="9">IF(V72="","",IF(ROUND(V72,4)&gt;ROUND(V70,4),"%Adm&gt;%Global",""))</f>
        <v/>
      </c>
      <c r="X73" s="536" t="str">
        <f t="shared" ref="X73" ca="1" si="10">IF(X72="","",IF(ROUND(X72,4)&gt;ROUND(X70,4),"%Adm&gt;%Global",""))</f>
        <v/>
      </c>
      <c r="Z73" s="536" t="str">
        <f t="shared" ref="Z73" ca="1" si="11">IF(Z72="","",IF(ROUND(Z72,4)&gt;ROUND(Z70,4),"%Adm&gt;%Global",""))</f>
        <v/>
      </c>
      <c r="AB73" s="536" t="str">
        <f t="shared" ref="AB73" ca="1" si="12">IF(AB72="","",IF(ROUND(AB72,4)&gt;ROUND(AB70,4),"%Adm&gt;%Global",""))</f>
        <v/>
      </c>
      <c r="AD73" s="536" t="str">
        <f t="shared" ref="AD73" ca="1" si="13">IF(AD72="","",IF(ROUND(AD72,4)&gt;ROUND(AD70,4),"%Adm&gt;%Global",""))</f>
        <v/>
      </c>
    </row>
    <row r="74" spans="1:31" x14ac:dyDescent="0.2">
      <c r="A74" s="7" t="s">
        <v>536</v>
      </c>
    </row>
    <row r="75" spans="1:31" ht="15" x14ac:dyDescent="0.2">
      <c r="A75" s="7" t="s">
        <v>536</v>
      </c>
      <c r="B75" s="139" t="str">
        <f>Import.Município</f>
        <v>Caçador/SC</v>
      </c>
      <c r="C75" s="139"/>
      <c r="E75" s="489"/>
      <c r="F75" s="489"/>
      <c r="G75" s="489"/>
      <c r="H75" s="489"/>
      <c r="I75" s="489"/>
      <c r="J75" s="489"/>
      <c r="K75" s="489"/>
      <c r="L75" s="489"/>
      <c r="V75" s="461"/>
      <c r="W75" s="418"/>
      <c r="X75" s="418"/>
      <c r="Y75" s="418"/>
      <c r="Z75" s="418"/>
      <c r="AA75" s="418"/>
      <c r="AB75" s="418"/>
      <c r="AC75" s="418"/>
      <c r="AD75" s="418"/>
      <c r="AE75" s="418"/>
    </row>
    <row r="76" spans="1:31" x14ac:dyDescent="0.2">
      <c r="A76" s="7" t="s">
        <v>536</v>
      </c>
      <c r="B76" s="9" t="s">
        <v>694</v>
      </c>
      <c r="F76" s="186"/>
      <c r="G76" s="186"/>
      <c r="H76" s="186"/>
      <c r="I76" s="186"/>
      <c r="J76" s="186"/>
      <c r="K76" s="186"/>
      <c r="L76" s="188"/>
      <c r="V76" s="182" t="s">
        <v>697</v>
      </c>
    </row>
    <row r="77" spans="1:31" x14ac:dyDescent="0.2">
      <c r="A77" s="7" t="s">
        <v>536</v>
      </c>
      <c r="F77" s="186"/>
      <c r="G77" s="186"/>
      <c r="H77" s="186"/>
      <c r="I77" s="186"/>
      <c r="J77" s="186"/>
      <c r="K77" s="186"/>
      <c r="L77" s="188"/>
      <c r="V77" s="399" t="str">
        <f t="array" aca="1" ref="V77:V79" ca="1">OFFSET(Import.RespOrçamento,0,-1) &amp; " " &amp; Import.RespOrçamento</f>
        <v xml:space="preserve">Nome: </v>
      </c>
    </row>
    <row r="78" spans="1:31" ht="16.5" x14ac:dyDescent="0.3">
      <c r="A78" s="7" t="s">
        <v>536</v>
      </c>
      <c r="B78" s="745">
        <f>DADOS!$C$25</f>
        <v>0</v>
      </c>
      <c r="C78" s="745"/>
      <c r="F78" s="186"/>
      <c r="G78" s="186"/>
      <c r="H78" s="186"/>
      <c r="I78" s="186"/>
      <c r="J78" s="186"/>
      <c r="K78" s="186"/>
      <c r="L78" s="188"/>
      <c r="V78" s="399" t="str">
        <f ca="1"/>
        <v xml:space="preserve">CREA/CAU: </v>
      </c>
    </row>
    <row r="79" spans="1:31" x14ac:dyDescent="0.2">
      <c r="A79" s="7" t="s">
        <v>536</v>
      </c>
      <c r="B79" s="9" t="s">
        <v>695</v>
      </c>
      <c r="F79" s="186"/>
      <c r="G79" s="186"/>
      <c r="H79" s="186"/>
      <c r="I79" s="186"/>
      <c r="J79" s="186"/>
      <c r="K79" s="186"/>
      <c r="L79" s="188"/>
      <c r="V79" s="399" t="str">
        <f ca="1"/>
        <v xml:space="preserve">ART/RRT: </v>
      </c>
    </row>
  </sheetData>
  <sheetProtection algorithmName="SHA-512" hashValue="S37tprc5h6T8PtZWN4cBNSdnKrmsTH99N1APZ66aQcORVay2NHEvhv5mPJdEb/tRFR3LCnANvPgFFXLu73GegQ==" saltValue="5yHxgMAZZ8A8chDuJc1aLg==" spinCount="100000" sheet="1" objects="1" scenarios="1" autoFilter="0"/>
  <autoFilter ref="A13:A79" xr:uid="{00000000-0001-0000-0800-000000000000}"/>
  <mergeCells count="86">
    <mergeCell ref="C70:C71"/>
    <mergeCell ref="H72:I72"/>
    <mergeCell ref="J72:K72"/>
    <mergeCell ref="X70:Y70"/>
    <mergeCell ref="AB71:AC71"/>
    <mergeCell ref="Z70:AA70"/>
    <mergeCell ref="AB70:AC70"/>
    <mergeCell ref="T70:U70"/>
    <mergeCell ref="V70:W70"/>
    <mergeCell ref="AB72:AC72"/>
    <mergeCell ref="AC2:AE2"/>
    <mergeCell ref="B4:D4"/>
    <mergeCell ref="G4:I4"/>
    <mergeCell ref="J4:L4"/>
    <mergeCell ref="B5:D5"/>
    <mergeCell ref="G5:I5"/>
    <mergeCell ref="J5:L5"/>
    <mergeCell ref="M5:AE5"/>
    <mergeCell ref="B78:C78"/>
    <mergeCell ref="V71:W71"/>
    <mergeCell ref="X71:Y71"/>
    <mergeCell ref="Z71:AA71"/>
    <mergeCell ref="H70:I70"/>
    <mergeCell ref="J70:K70"/>
    <mergeCell ref="L70:M70"/>
    <mergeCell ref="N70:O70"/>
    <mergeCell ref="H71:I71"/>
    <mergeCell ref="J71:K71"/>
    <mergeCell ref="N71:O71"/>
    <mergeCell ref="P71:Q71"/>
    <mergeCell ref="R71:S71"/>
    <mergeCell ref="T71:U71"/>
    <mergeCell ref="P70:Q70"/>
    <mergeCell ref="R70:S70"/>
    <mergeCell ref="B8:C8"/>
    <mergeCell ref="AB67:AC67"/>
    <mergeCell ref="N67:O67"/>
    <mergeCell ref="P67:Q67"/>
    <mergeCell ref="B12:B13"/>
    <mergeCell ref="C12:C13"/>
    <mergeCell ref="R67:S67"/>
    <mergeCell ref="H67:I67"/>
    <mergeCell ref="J67:K67"/>
    <mergeCell ref="L67:M67"/>
    <mergeCell ref="T67:U67"/>
    <mergeCell ref="V67:W67"/>
    <mergeCell ref="T69:U69"/>
    <mergeCell ref="V69:W69"/>
    <mergeCell ref="X69:Y69"/>
    <mergeCell ref="X67:Y67"/>
    <mergeCell ref="Z67:AA67"/>
    <mergeCell ref="T68:U68"/>
    <mergeCell ref="AD67:AE67"/>
    <mergeCell ref="X68:Y68"/>
    <mergeCell ref="Z68:AA68"/>
    <mergeCell ref="V68:W68"/>
    <mergeCell ref="AB69:AC69"/>
    <mergeCell ref="AB68:AC68"/>
    <mergeCell ref="AD68:AE68"/>
    <mergeCell ref="AD69:AE69"/>
    <mergeCell ref="Z69:AA69"/>
    <mergeCell ref="L68:M68"/>
    <mergeCell ref="N68:O68"/>
    <mergeCell ref="P69:Q69"/>
    <mergeCell ref="R69:S69"/>
    <mergeCell ref="P68:Q68"/>
    <mergeCell ref="R68:S68"/>
    <mergeCell ref="L69:M69"/>
    <mergeCell ref="N69:O69"/>
    <mergeCell ref="C68:C69"/>
    <mergeCell ref="H68:I68"/>
    <mergeCell ref="J68:K68"/>
    <mergeCell ref="H69:I69"/>
    <mergeCell ref="J69:K69"/>
    <mergeCell ref="AD70:AE70"/>
    <mergeCell ref="L72:M72"/>
    <mergeCell ref="N72:O72"/>
    <mergeCell ref="P72:Q72"/>
    <mergeCell ref="AD71:AE71"/>
    <mergeCell ref="L71:M71"/>
    <mergeCell ref="AD72:AE72"/>
    <mergeCell ref="R72:S72"/>
    <mergeCell ref="T72:U72"/>
    <mergeCell ref="V72:W72"/>
    <mergeCell ref="X72:Y72"/>
    <mergeCell ref="Z72:AA72"/>
  </mergeCells>
  <phoneticPr fontId="38" type="noConversion"/>
  <conditionalFormatting sqref="E1 G1:AE1">
    <cfRule type="expression" dxfId="470" priority="612" stopIfTrue="1">
      <formula>IF(OR(E$12&gt;CÁLCULO.NúmeroDeFrentes,ACOMPANHAMENTO="BM"),TRUE,CRONOPLE.ValorDoEvento=0)</formula>
    </cfRule>
  </conditionalFormatting>
  <conditionalFormatting sqref="U4:Y4">
    <cfRule type="expression" dxfId="469" priority="502" stopIfTrue="1">
      <formula>QCI.ExisteManual</formula>
    </cfRule>
  </conditionalFormatting>
  <conditionalFormatting sqref="J67:AE67">
    <cfRule type="expression" dxfId="468" priority="501" stopIfTrue="1">
      <formula>OFFSET(J67,3,-2)=1</formula>
    </cfRule>
  </conditionalFormatting>
  <conditionalFormatting sqref="J68:AE68">
    <cfRule type="expression" dxfId="467" priority="496" stopIfTrue="1">
      <formula>OFFSET(J68,2,-2)=1</formula>
    </cfRule>
  </conditionalFormatting>
  <conditionalFormatting sqref="J69:AE69">
    <cfRule type="expression" dxfId="466" priority="495" stopIfTrue="1">
      <formula>OFFSET(J69,1,-2)=1</formula>
    </cfRule>
  </conditionalFormatting>
  <conditionalFormatting sqref="J70:AE70">
    <cfRule type="expression" dxfId="465" priority="494" stopIfTrue="1">
      <formula>OFFSET(J70,0,-2)=1</formula>
    </cfRule>
  </conditionalFormatting>
  <conditionalFormatting sqref="J71:AE71">
    <cfRule type="expression" dxfId="464" priority="493" stopIfTrue="1">
      <formula>OFFSET(J71,-1,-2)=1</formula>
    </cfRule>
  </conditionalFormatting>
  <conditionalFormatting sqref="B15:C15 E15 G15:AF15">
    <cfRule type="expression" dxfId="463" priority="317">
      <formula>$B$15=0</formula>
    </cfRule>
  </conditionalFormatting>
  <conditionalFormatting sqref="B8:C8">
    <cfRule type="expression" dxfId="462" priority="316">
      <formula>$B$7=""</formula>
    </cfRule>
  </conditionalFormatting>
  <conditionalFormatting sqref="J72:AE72">
    <cfRule type="expression" dxfId="461" priority="315">
      <formula>OFFSET(J72,-2,-2)=1</formula>
    </cfRule>
  </conditionalFormatting>
  <conditionalFormatting sqref="H72:AE72">
    <cfRule type="expression" dxfId="460" priority="314">
      <formula>ROUND(H72,4)&gt;ROUND(H70,4)</formula>
    </cfRule>
  </conditionalFormatting>
  <conditionalFormatting sqref="E16:E24 G16:AE24">
    <cfRule type="expression" dxfId="459" priority="6" stopIfTrue="1">
      <formula>IF(OR(E$12&gt;CÁLCULO.NúmeroDeFrentes,ACOMPANHAMENTO="BM"),TRUE,CRONOPLE.ValorDoEvento=0)</formula>
    </cfRule>
  </conditionalFormatting>
  <conditionalFormatting sqref="E25:E33 G25:AE33">
    <cfRule type="expression" dxfId="458" priority="5" stopIfTrue="1">
      <formula>IF(OR(E$12&gt;CÁLCULO.NúmeroDeFrentes,ACOMPANHAMENTO="BM"),TRUE,CRONOPLE.ValorDoEvento=0)</formula>
    </cfRule>
  </conditionalFormatting>
  <conditionalFormatting sqref="E34:E42 G34:AE42">
    <cfRule type="expression" dxfId="457" priority="4" stopIfTrue="1">
      <formula>IF(OR(E$12&gt;CÁLCULO.NúmeroDeFrentes,ACOMPANHAMENTO="BM"),TRUE,CRONOPLE.ValorDoEvento=0)</formula>
    </cfRule>
  </conditionalFormatting>
  <conditionalFormatting sqref="E43:E51 G43:AE51">
    <cfRule type="expression" dxfId="456" priority="3" stopIfTrue="1">
      <formula>IF(OR(E$12&gt;CÁLCULO.NúmeroDeFrentes,ACOMPANHAMENTO="BM"),TRUE,CRONOPLE.ValorDoEvento=0)</formula>
    </cfRule>
  </conditionalFormatting>
  <conditionalFormatting sqref="E52:E60 G52:AE60">
    <cfRule type="expression" dxfId="455" priority="2" stopIfTrue="1">
      <formula>IF(OR(E$12&gt;CÁLCULO.NúmeroDeFrentes,ACOMPANHAMENTO="BM"),TRUE,CRONOPLE.ValorDoEvento=0)</formula>
    </cfRule>
  </conditionalFormatting>
  <conditionalFormatting sqref="E61:E64 G61:AE64">
    <cfRule type="expression" dxfId="454" priority="1" stopIfTrue="1">
      <formula>IF(OR(E$12&gt;CÁLCULO.NúmeroDeFrentes,ACOMPANHAMENTO="BM"),TRUE,CRONOPLE.ValorDoEvento=0)</formula>
    </cfRule>
  </conditionalFormatting>
  <dataValidations count="2">
    <dataValidation type="whole" operator="greaterThan" allowBlank="1" showErrorMessage="1" sqref="U2:AA3 AC3:AC4 JY3:JY4 TU3:TU4 ADQ3:ADQ4 ANM3:ANM4 AXI3:AXI4 BHE3:BHE4 BRA3:BRA4 CAW3:CAW4 CKS3:CKS4 CUO3:CUO4 DEK3:DEK4 DOG3:DOG4 DYC3:DYC4 EHY3:EHY4 ERU3:ERU4 FBQ3:FBQ4 FLM3:FLM4 FVI3:FVI4 GFE3:GFE4 GPA3:GPA4 GYW3:GYW4 HIS3:HIS4 HSO3:HSO4 ICK3:ICK4 IMG3:IMG4 IWC3:IWC4 JFY3:JFY4 JPU3:JPU4 JZQ3:JZQ4 KJM3:KJM4 KTI3:KTI4 LDE3:LDE4 LNA3:LNA4 LWW3:LWW4 MGS3:MGS4 MQO3:MQO4 NAK3:NAK4 NKG3:NKG4 NUC3:NUC4 ODY3:ODY4 ONU3:ONU4 OXQ3:OXQ4 PHM3:PHM4 PRI3:PRI4 QBE3:QBE4 QLA3:QLA4 QUW3:QUW4 RES3:RES4 ROO3:ROO4 RYK3:RYK4 SIG3:SIG4 SSC3:SSC4 TBY3:TBY4 TLU3:TLU4 TVQ3:TVQ4 UFM3:UFM4 UPI3:UPI4 UZE3:UZE4 VJA3:VJA4 VSW3:VSW4 WCS3:WCS4 WMO3:WMO4 WWK3:WWK4 G3 JC3 SY3 ACU3 AMQ3 AWM3 BGI3 BQE3 CAA3 CJW3 CTS3 DDO3 DNK3 DXG3 EHC3 EQY3 FAU3 FKQ3 FUM3 GEI3 GOE3 GYA3 HHW3 HRS3 IBO3 ILK3 IVG3 JFC3 JOY3 JYU3 KIQ3 KSM3 LCI3 LME3 LWA3 MFW3 MPS3 MZO3 NJK3 NTG3 ODC3 OMY3 OWU3 PGQ3 PQM3 QAI3 QKE3 QUA3 RDW3 RNS3 RXO3 SHK3 SRG3 TBC3 TKY3 TUU3 UEQ3 UOM3 UYI3 VIE3 VSA3 WBW3 WLS3 WVO3 Z4:AA4 WVP2:WVZ3 WLT2:WMD3 WBX2:WCH3 VSB2:VSL3 VIF2:VIP3 UYJ2:UYT3 UON2:UOX3 UER2:UFB3 TUV2:TVF3 TKZ2:TLJ3 TBD2:TBN3 SRH2:SRR3 SHL2:SHV3 RXP2:RXZ3 RNT2:ROD3 RDX2:REH3 QUB2:QUL3 QKF2:QKP3 QAJ2:QAT3 PQN2:PQX3 PGR2:PHB3 OWV2:OXF3 OMZ2:ONJ3 ODD2:ODN3 NTH2:NTR3 NJL2:NJV3 MZP2:MZZ3 MPT2:MQD3 MFX2:MGH3 LWB2:LWL3 LMF2:LMP3 LCJ2:LCT3 KSN2:KSX3 KIR2:KJB3 JYV2:JZF3 JOZ2:JPJ3 JFD2:JFN3 IVH2:IVR3 ILL2:ILV3 IBP2:IBZ3 HRT2:HSD3 HHX2:HIH3 GYB2:GYL3 GOF2:GOP3 GEJ2:GET3 FUN2:FUX3 FKR2:FLB3 FAV2:FBF3 EQZ2:ERJ3 EHD2:EHN3 DXH2:DXR3 DNL2:DNV3 DDP2:DDZ3 CTT2:CUD3 CJX2:CKH3 CAB2:CAL3 BQF2:BQP3 BGJ2:BGT3 AWN2:AWX3 AMR2:ANB3 ACV2:ADF3 SZ2:TJ3 JD2:JN3 H2:R3 WWJ2:WWJ4 WMN2:WMN4 WCR2:WCR4 VSV2:VSV4 VIZ2:VIZ4 UZD2:UZD4 UPH2:UPH4 UFL2:UFL4 TVP2:TVP4 TLT2:TLT4 TBX2:TBX4 SSB2:SSB4 SIF2:SIF4 RYJ2:RYJ4 RON2:RON4 RER2:RER4 QUV2:QUV4 QKZ2:QKZ4 QBD2:QBD4 PRH2:PRH4 PHL2:PHL4 OXP2:OXP4 ONT2:ONT4 ODX2:ODX4 NUB2:NUB4 NKF2:NKF4 NAJ2:NAJ4 MQN2:MQN4 MGR2:MGR4 LWV2:LWV4 LMZ2:LMZ4 LDD2:LDD4 KTH2:KTH4 KJL2:KJL4 JZP2:JZP4 JPT2:JPT4 JFX2:JFX4 IWB2:IWB4 IMF2:IMF4 ICJ2:ICJ4 HSN2:HSN4 HIR2:HIR4 GYV2:GYV4 GOZ2:GOZ4 GFD2:GFD4 FVH2:FVH4 FLL2:FLL4 FBP2:FBP4 ERT2:ERT4 EHX2:EHX4 DYB2:DYB4 DOF2:DOF4 DEJ2:DEJ4 CUN2:CUN4 CKR2:CKR4 CAV2:CAV4 BQZ2:BQZ4 BHD2:BHD4 AXH2:AXH4 ANL2:ANL4 ADP2:ADP4 TT2:TT4 JX2:JX4 AB2:AB4 WVM2:WVM6 WLQ2:WLQ6 WBU2:WBU6 VRY2:VRY6 VIC2:VIC6 UYG2:UYG6 UOK2:UOK6 UEO2:UEO6 TUS2:TUS6 TKW2:TKW6 TBA2:TBA6 SRE2:SRE6 SHI2:SHI6 RXM2:RXM6 RNQ2:RNQ6 RDU2:RDU6 QTY2:QTY6 QKC2:QKC6 QAG2:QAG6 PQK2:PQK6 PGO2:PGO6 OWS2:OWS6 OMW2:OMW6 ODA2:ODA6 NTE2:NTE6 NJI2:NJI6 MZM2:MZM6 MPQ2:MPQ6 MFU2:MFU6 LVY2:LVY6 LMC2:LMC6 LCG2:LCG6 KSK2:KSK6 KIO2:KIO6 JYS2:JYS6 JOW2:JOW6 JFA2:JFA6 IVE2:IVE6 ILI2:ILI6 IBM2:IBM6 HRQ2:HRQ6 HHU2:HHU6 GXY2:GXY6 GOC2:GOC6 GEG2:GEG6 FUK2:FUK6 FKO2:FKO6 FAS2:FAS6 EQW2:EQW6 EHA2:EHA6 DXE2:DXE6 DNI2:DNI6 DDM2:DDM6 CTQ2:CTQ6 CJU2:CJU6 BZY2:BZY6 BQC2:BQC6 BGG2:BGG6 AWK2:AWK6 AMO2:AMO6 ACS2:ACS6 SW2:SW6 JA2:JA6 WWA2:WWB4 WME2:WMF4 WCI2:WCJ4 VSM2:VSN4 VIQ2:VIR4 UYU2:UYV4 UOY2:UOZ4 UFC2:UFD4 TVG2:TVH4 TLK2:TLL4 TBO2:TBP4 SRS2:SRT4 SHW2:SHX4 RYA2:RYB4 ROE2:ROF4 REI2:REJ4 QUM2:QUN4 QKQ2:QKR4 QAU2:QAV4 PQY2:PQZ4 PHC2:PHD4 OXG2:OXH4 ONK2:ONL4 ODO2:ODP4 NTS2:NTT4 NJW2:NJX4 NAA2:NAB4 MQE2:MQF4 MGI2:MGJ4 LWM2:LWN4 LMQ2:LMR4 LCU2:LCV4 KSY2:KSZ4 KJC2:KJD4 JZG2:JZH4 JPK2:JPL4 JFO2:JFP4 IVS2:IVT4 ILW2:ILX4 ICA2:ICB4 HSE2:HSF4 HII2:HIJ4 GYM2:GYN4 GOQ2:GOR4 GEU2:GEV4 FUY2:FUZ4 FLC2:FLD4 FBG2:FBH4 ERK2:ERL4 EHO2:EHP4 DXS2:DXT4 DNW2:DNX4 DEA2:DEB4 CUE2:CUF4 CKI2:CKJ4 CAM2:CAN4 BQQ2:BQR4 BGU2:BGV4 AWY2:AWZ4 ANC2:AND4 ADG2:ADH4 TK2:TL4 JO2:JP4 S2:T4 WWC2:WWI3 WMG2:WMM3 WCK2:WCQ3 VSO2:VSU3 VIS2:VIY3 UYW2:UZC3 UPA2:UPG3 UFE2:UFK3 TVI2:TVO3 TLM2:TLS3 TBQ2:TBW3 SRU2:SSA3 SHY2:SIE3 RYC2:RYI3 ROG2:ROM3 REK2:REQ3 QUO2:QUU3 QKS2:QKY3 QAW2:QBC3 PRA2:PRG3 PHE2:PHK3 OXI2:OXO3 ONM2:ONS3 ODQ2:ODW3 NTU2:NUA3 NJY2:NKE3 NAC2:NAI3 MQG2:MQM3 MGK2:MGQ3 LWO2:LWU3 LMS2:LMY3 LCW2:LDC3 KTA2:KTG3 KJE2:KJK3 JZI2:JZO3 JPM2:JPS3 JFQ2:JFW3 IVU2:IWA3 ILY2:IME3 ICC2:ICI3 HSG2:HSM3 HIK2:HIQ3 GYO2:GYU3 GOS2:GOY3 GEW2:GFC3 FVA2:FVG3 FLE2:FLK3 FBI2:FBO3 ERM2:ERS3 EHQ2:EHW3 DXU2:DYA3 DNY2:DOE3 DEC2:DEI3 CUG2:CUM3 CKK2:CKQ3 CAO2:CAU3 BQS2:BQY3 BGW2:BHC3 AXA2:AXG3 ANE2:ANK3 ADI2:ADO3 TM2:TS3 JQ2:JW3 G6:AE8 E1:E8 G1:AE1 G16:AE64 E16:E64" xr:uid="{00000000-0002-0000-0800-000000000000}">
      <formula1>0</formula1>
      <formula2>0</formula2>
    </dataValidation>
    <dataValidation type="list" allowBlank="1" showErrorMessage="1" errorTitle="Atenção" error="Selecione uma opção da lista." sqref="B8:C8" xr:uid="{F5F696FA-ECF3-46D7-85FD-9D51970D3D7F}">
      <formula1>$F$15:$F$65</formula1>
    </dataValidation>
  </dataValidations>
  <pageMargins left="0.78740157480314998" right="0.78740157480314998" top="0.78740157480314998" bottom="0.78740157480314998" header="0.59055118110236204" footer="0.59055118110236204"/>
  <pageSetup paperSize="9" scale="47" firstPageNumber="0" orientation="landscape" horizontalDpi="300" verticalDpi="300" r:id="rId1"/>
  <headerFooter alignWithMargins="0">
    <oddHeader>&amp;L_&amp;C&amp;14I</oddHeader>
    <oddFooter>&amp;LPMv3.11&amp;R&amp;P /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9"/>
  <dimension ref="A1:AG106"/>
  <sheetViews>
    <sheetView showGridLines="0" zoomScaleNormal="100" zoomScaleSheetLayoutView="90" workbookViewId="0">
      <pane xSplit="20" ySplit="13" topLeftCell="U14" activePane="bottomRight" state="frozen"/>
      <selection pane="topRight" activeCell="T4" sqref="T4"/>
      <selection pane="bottomLeft" activeCell="F14" sqref="F14"/>
      <selection pane="bottomRight"/>
    </sheetView>
  </sheetViews>
  <sheetFormatPr defaultColWidth="9.140625" defaultRowHeight="12.75" x14ac:dyDescent="0.2"/>
  <cols>
    <col min="1" max="1" width="9.140625" style="187" hidden="1" customWidth="1"/>
    <col min="2" max="4" width="9.140625" style="186" hidden="1" customWidth="1"/>
    <col min="5" max="5" width="11" style="187" hidden="1" customWidth="1"/>
    <col min="6" max="6" width="19" style="186" hidden="1" customWidth="1"/>
    <col min="7" max="7" width="3.5703125" style="187" customWidth="1"/>
    <col min="8" max="8" width="12.5703125" style="186" customWidth="1"/>
    <col min="9" max="9" width="7.140625" style="187" customWidth="1"/>
    <col min="10" max="10" width="11.5703125" style="187" customWidth="1"/>
    <col min="11" max="11" width="12" style="187" customWidth="1"/>
    <col min="12" max="12" width="11" style="187" customWidth="1"/>
    <col min="13" max="18" width="9.140625" style="186" hidden="1" customWidth="1"/>
    <col min="19" max="19" width="11.42578125" style="188" customWidth="1"/>
    <col min="20" max="20" width="9.5703125" style="188" customWidth="1"/>
    <col min="21" max="32" width="11" style="187" customWidth="1"/>
    <col min="33" max="33" width="5.5703125" style="187" hidden="1" customWidth="1"/>
    <col min="34" max="16384" width="9.140625" style="187"/>
  </cols>
  <sheetData>
    <row r="1" spans="1:33" hidden="1" x14ac:dyDescent="0.2">
      <c r="A1" s="187" t="e">
        <f ca="1">IF($M1&gt;1,_xlfn.CONCAT($I1," ",$J1),"")</f>
        <v>#REF!</v>
      </c>
      <c r="B1" s="186" t="e">
        <f ca="1">OFFSET(B1,-3,0)+1</f>
        <v>#REF!</v>
      </c>
      <c r="C1" s="186" t="e">
        <f ca="1">IF($R1&lt;&gt;2,0,IF($S1=0,1,IF(F2&gt;0,OFFSET(QCI!$M$13,SUBSTITUTE(F2,".",""),0),OFFSET(ORÇAMENTO!$AA$15,CRONO!$F1,0))/$S1))</f>
        <v>#REF!</v>
      </c>
      <c r="D1" s="186" t="e">
        <f ca="1">IF($R1&lt;&gt;2,0,IF($S1=0,1,IF(F2&gt;0,OFFSET(QCI!$N$13,SUBSTITUTE(F2,".",""),0),OFFSET(ORÇAMENTO!$AB$15,CRONO!$F1,0))/$S1))</f>
        <v>#REF!</v>
      </c>
      <c r="E1" s="189" t="e" cm="1">
        <f t="array" aca="1" ref="E1" ca="1">IF(AND($R1=2,ACOMPANHAMENTO="BM"),ROUND(E2,4),E3/$S1)</f>
        <v>#REF!</v>
      </c>
      <c r="F1" s="186" t="e">
        <f ca="1">IF(B1&lt;=ORÇAMENTO.MáximoListaCrono,MATCH(B1,ORÇAMENTO.ListaCrono,0),NA())</f>
        <v>#REF!</v>
      </c>
      <c r="G1" s="186" t="e">
        <f ca="1">IF(AND($F2&lt;&gt;-1,$S1&gt;0),"F","")</f>
        <v>#REF!</v>
      </c>
      <c r="H1" s="190" t="e" cm="1">
        <f t="array" aca="1" ref="H1" ca="1">IF(OR(S1=0,S1=""),"Linha",IF(AND(OR(ACOMPANHAMENTO="PLE",$R1&lt;&gt;2),$F2=0),"Linha",ROUND(1-SUM(U1:AG1),4)))</f>
        <v>#REF!</v>
      </c>
      <c r="I1" s="191" t="e">
        <f ca="1">IF($F2=0,OFFSET(ORÇAMENTO!O$15,$F1,0),IF($F2&lt;&gt;-1,OFFSET(QCI!$D$13,$F2,0),""))</f>
        <v>#REF!</v>
      </c>
      <c r="J1" s="192" t="e">
        <f ca="1">IF($F2=0,OFFSET(ORÇAMENTO!R$15,$F1,0),IF($F2&lt;&gt;-1,OFFSET(QCI!$G$13,$F2,0),""))</f>
        <v>#REF!</v>
      </c>
      <c r="K1" s="192"/>
      <c r="L1" s="192"/>
      <c r="M1" s="193" t="e">
        <f ca="1">IF($F2=0,OFFSET(ORÇAMENTO!C$15,$F1,0),1)</f>
        <v>#REF!</v>
      </c>
      <c r="N1" s="194" t="e">
        <f ca="1">IF($F2=-1,0,IF(N$13&lt;=$M1,IF(ISERROR(MATCH(N$13,OFFSET($M1,1,0,ROW($M$89)-ROW($M1)-1),0)),ROW($M$89)-ROW($M1)-1,MATCH(N$13,OFFSET($M1,1,0,ROW($M$89)-ROW($M1)-1),0)-1),0))</f>
        <v>#REF!</v>
      </c>
      <c r="O1" s="194" t="e">
        <f ca="1">IF($F2=-1,0,IF(O$13&lt;=$M1,IF(ISERROR(MATCH(O$13,OFFSET($M1,1,0,ROW($M$89)-ROW($M1)-1),0)),ROW($M$89)-ROW($M1)-1,MATCH(O$13,OFFSET($M1,1,0,ROW($M$89)-ROW($M1)-1),0)-1),0))</f>
        <v>#REF!</v>
      </c>
      <c r="P1" s="194" t="e">
        <f ca="1">IF($F2=-1,0,IF(P$13&lt;=$M1,IF(ISERROR(MATCH(P$13,OFFSET($M1,1,0,ROW($M$89)-ROW($M1)-1),0)),ROW($M$89)-ROW($M1)-1,MATCH(P$13,OFFSET($M1,1,0,ROW($M$89)-ROW($M1)-1),0)-1),0))</f>
        <v>#REF!</v>
      </c>
      <c r="Q1" s="194" t="e">
        <f ca="1">IF($F2=-1,0,IF(Q$13&lt;=$M1,IF(ISERROR(MATCH(Q$13,OFFSET($M1,1,0,ROW($M$89)-ROW($M1)-1),0)),ROW($M$89)-ROW($M1)-1,MATCH(Q$13,OFFSET($M1,1,0,ROW($M$89)-ROW($M1)-1),0)-1),0))</f>
        <v>#REF!</v>
      </c>
      <c r="R1" s="194" t="e">
        <f ca="1">MIN(OFFSET(M1,0,1,,M1))</f>
        <v>#REF!</v>
      </c>
      <c r="S1" s="195" t="e">
        <f ca="1">IF($F2=0,OFFSET(ORÇAMENTO!X$15,$F1,0),IF($F2&lt;&gt;-1,OFFSET(QCI!$O$13,$F2,0),""))</f>
        <v>#REF!</v>
      </c>
      <c r="T1" s="196" t="s">
        <v>787</v>
      </c>
      <c r="U1" s="189" t="e" cm="1">
        <f t="array" aca="1" ref="U1" ca="1">IF(AND($R1=2,ACOMPANHAMENTO="BM"),ROUND(U2,4),U3/$S1)</f>
        <v>#REF!</v>
      </c>
      <c r="V1" s="189" t="e" cm="1">
        <f t="array" aca="1" ref="V1" ca="1">IF(AND($R1=2,ACOMPANHAMENTO="BM"),ROUND(V2,4),V3/$S1)</f>
        <v>#REF!</v>
      </c>
      <c r="W1" s="189" t="e" cm="1">
        <f t="array" aca="1" ref="W1" ca="1">IF(AND($R1=2,ACOMPANHAMENTO="BM"),ROUND(W2,4),W3/$S1)</f>
        <v>#REF!</v>
      </c>
      <c r="X1" s="189" t="e" cm="1">
        <f t="array" aca="1" ref="X1" ca="1">IF(AND($R1=2,ACOMPANHAMENTO="BM"),ROUND(X2,4),X3/$S1)</f>
        <v>#REF!</v>
      </c>
      <c r="Y1" s="189" t="e" cm="1">
        <f t="array" aca="1" ref="Y1" ca="1">IF(AND($R1=2,ACOMPANHAMENTO="BM"),ROUND(Y2,4),Y3/$S1)</f>
        <v>#REF!</v>
      </c>
      <c r="Z1" s="189" t="e" cm="1">
        <f t="array" aca="1" ref="Z1" ca="1">IF(AND($R1=2,ACOMPANHAMENTO="BM"),ROUND(Z2,4),Z3/$S1)</f>
        <v>#REF!</v>
      </c>
      <c r="AA1" s="189" t="e" cm="1">
        <f t="array" aca="1" ref="AA1" ca="1">IF(AND($R1=2,ACOMPANHAMENTO="BM"),ROUND(AA2,4),AA3/$S1)</f>
        <v>#REF!</v>
      </c>
      <c r="AB1" s="189" t="e" cm="1">
        <f t="array" aca="1" ref="AB1" ca="1">IF(AND($R1=2,ACOMPANHAMENTO="BM"),ROUND(AB2,4),AB3/$S1)</f>
        <v>#REF!</v>
      </c>
      <c r="AC1" s="189" t="e" cm="1">
        <f t="array" aca="1" ref="AC1" ca="1">IF(AND($R1=2,ACOMPANHAMENTO="BM"),ROUND(AC2,4),AC3/$S1)</f>
        <v>#REF!</v>
      </c>
      <c r="AD1" s="189" t="e" cm="1">
        <f t="array" aca="1" ref="AD1" ca="1">IF(AND($R1=2,ACOMPANHAMENTO="BM"),ROUND(AD2,4),AD3/$S1)</f>
        <v>#REF!</v>
      </c>
      <c r="AE1" s="189" t="e" cm="1">
        <f t="array" aca="1" ref="AE1" ca="1">IF(AND($R1=2,ACOMPANHAMENTO="BM"),ROUND(AE2,4),AE3/$S1)</f>
        <v>#REF!</v>
      </c>
      <c r="AF1" s="189" t="e" cm="1">
        <f t="array" aca="1" ref="AF1" ca="1">IF(AND($R1=2,ACOMPANHAMENTO="BM"),ROUND(AF2,4),AF3/$S1)</f>
        <v>#REF!</v>
      </c>
      <c r="AG1" s="535"/>
    </row>
    <row r="2" spans="1:33" ht="12.75" hidden="1" customHeight="1" x14ac:dyDescent="0.2">
      <c r="E2" s="590"/>
      <c r="F2" s="186" t="e">
        <f ca="1">IF(ISERROR(F1),IF(1+COUNTIF($M$13:OFFSET(M1,-1,0),1)&lt;=MAX(QCI!$D$13:$D$24),1+COUNTIF($M$13:OFFSET(M1,-1,0),1),-1),0)</f>
        <v>#REF!</v>
      </c>
      <c r="G2" s="186" t="e" cm="1">
        <f t="array" aca="1" ref="G2" ca="1">IF(ACOMPANHAMENTO="BM",OFFSET(G2,-1,0),"")</f>
        <v>#REF!</v>
      </c>
      <c r="H2" s="197" t="e" cm="1">
        <f t="array" aca="1" ref="H2" ca="1">IF(OR(S1=0,S1=""),"vazia",IF(AND(OR(ACOMPANHAMENTO="PLE",$R1&lt;&gt;2),$F2=0),"calculada","--&gt;"))</f>
        <v>#REF!</v>
      </c>
      <c r="I2" s="198"/>
      <c r="J2" s="199" t="e">
        <f ca="1">IF(AND(H1&lt;&gt;0,ISNUMBER(H1)),"PREENCHA ESTA LINHA --&gt;","")</f>
        <v>#REF!</v>
      </c>
      <c r="K2" s="199"/>
      <c r="L2" s="199"/>
      <c r="M2" s="200"/>
      <c r="N2" s="200"/>
      <c r="O2" s="200"/>
      <c r="P2" s="200"/>
      <c r="Q2" s="200"/>
      <c r="R2" s="200"/>
      <c r="S2" s="201"/>
      <c r="T2" s="202"/>
      <c r="U2" s="590"/>
      <c r="V2" s="590"/>
      <c r="W2" s="590"/>
      <c r="X2" s="590"/>
      <c r="Y2" s="590"/>
      <c r="Z2" s="590"/>
      <c r="AA2" s="590"/>
      <c r="AB2" s="590"/>
      <c r="AC2" s="590"/>
      <c r="AD2" s="590"/>
      <c r="AE2" s="590"/>
      <c r="AF2" s="590"/>
      <c r="AG2" s="535"/>
    </row>
    <row r="3" spans="1:33" ht="12.75" hidden="1" customHeight="1" x14ac:dyDescent="0.2">
      <c r="D3" s="534"/>
      <c r="E3" s="203" t="e" cm="1">
        <f t="array" aca="1" ref="E3" ca="1">IF($R1=2,
         IF(AND(ACOMPANHAMENTO="PLE",ISNUMBER($F1)),
                SUMIF((OFFSET(CÁLCULO!$AM$15:$AW$15,$F1,0,OFFSET(ORÇAMENTO!$D$15,CRONO!$F1,0))),CRONO!E$12,OFFSET(CÁLCULO!$AB$15:$AL$15,$F1,0,OFFSET(ORÇAMENTO!$D$15,CRONO!$F1,0)))
                +IF(AND($F3&lt;&gt;"",$F3&lt;&gt;0),
                        SUMIF(CÁLCULO!$AM$15:$AW$405,CRONO!E$12,CÁLCULO!$AB$15:$AL$405)/(ORÇAMENTO!$X$15-_xlfn.SINGLE(CÁLCULO.TotalAdmLocal))*CRONO!$F3,
                        0),
                 E2*$S1),
          SUMIF(OFFSET($S3,1,0,$R1-2),($M1+1)&amp;"$",OFFSET(E3,1,0,$R1-2)))</f>
        <v>#REF!</v>
      </c>
      <c r="F3" s="186" t="e">
        <f ca="1">IF(OR($R1&lt;&gt;2,AUTOEVENTO&lt;&gt;"manual",$F2&gt;0),"",
        IF(Import.TipoArredondamento="Tradicional",
              SUMIF(OFFSET(CÁLCULO!$M$15,CRONO!$F1,0,OFFSET(ORÇAMENTO!$D$15,CRONO!$F1,0)),1,OFFSET(ORÇAMENTO!$X$15,CRONO!$F1,0,OFFSET(ORÇAMENTO!$D$15,CRONO!$F1,0))),
              0))</f>
        <v>#REF!</v>
      </c>
      <c r="H3" s="204"/>
      <c r="S3" s="205" t="e">
        <f ca="1">M1&amp;"$"</f>
        <v>#REF!</v>
      </c>
      <c r="T3" s="206"/>
      <c r="U3" s="203" t="e" cm="1">
        <f t="array" aca="1" ref="U3" ca="1">IF($R1=2,
         IF(AND(ACOMPANHAMENTO="PLE",ISNUMBER($F1)),
                SUMIF((OFFSET(CÁLCULO!$AM$15:$AW$15,$F1,0,OFFSET(ORÇAMENTO!$D$15,CRONO!$F1,0))),CRONO!U$12,OFFSET(CÁLCULO!$AB$15:$AL$15,$F1,0,OFFSET(ORÇAMENTO!$D$15,CRONO!$F1,0)))
                +IF(AND($F3&lt;&gt;"",$F3&lt;&gt;0),
                        SUMIF(CÁLCULO!$AM$15:$AW$405,CRONO!U$12,CÁLCULO!$AB$15:$AL$405)/(ORÇAMENTO!$X$15-_xlfn.SINGLE(CÁLCULO.TotalAdmLocal))*CRONO!$F3,
                        0),
                 U2*$S1),
          SUMIF(OFFSET($S3,1,0,$R1-2),($M1+1)&amp;"$",OFFSET(U3,1,0,$R1-2)))</f>
        <v>#REF!</v>
      </c>
      <c r="V3" s="203" t="e" cm="1">
        <f t="array" aca="1" ref="V3" ca="1">IF($R1=2,
         IF(AND(ACOMPANHAMENTO="PLE",ISNUMBER($F1)),
                SUMIF((OFFSET(CÁLCULO!$AM$15:$AW$15,$F1,0,OFFSET(ORÇAMENTO!$D$15,CRONO!$F1,0))),CRONO!V$12,OFFSET(CÁLCULO!$AB$15:$AL$15,$F1,0,OFFSET(ORÇAMENTO!$D$15,CRONO!$F1,0)))
                +IF(AND($F3&lt;&gt;"",$F3&lt;&gt;0),
                        SUMIF(CÁLCULO!$AM$15:$AW$405,CRONO!V$12,CÁLCULO!$AB$15:$AL$405)/(ORÇAMENTO!$X$15-_xlfn.SINGLE(CÁLCULO.TotalAdmLocal))*CRONO!$F3,
                        0),
                 V2*$S1),
          SUMIF(OFFSET($S3,1,0,$R1-2),($M1+1)&amp;"$",OFFSET(V3,1,0,$R1-2)))</f>
        <v>#REF!</v>
      </c>
      <c r="W3" s="203" t="e" cm="1">
        <f t="array" aca="1" ref="W3" ca="1">IF($R1=2,
         IF(AND(ACOMPANHAMENTO="PLE",ISNUMBER($F1)),
                SUMIF((OFFSET(CÁLCULO!$AM$15:$AW$15,$F1,0,OFFSET(ORÇAMENTO!$D$15,CRONO!$F1,0))),CRONO!W$12,OFFSET(CÁLCULO!$AB$15:$AL$15,$F1,0,OFFSET(ORÇAMENTO!$D$15,CRONO!$F1,0)))
                +IF(AND($F3&lt;&gt;"",$F3&lt;&gt;0),
                        SUMIF(CÁLCULO!$AM$15:$AW$405,CRONO!W$12,CÁLCULO!$AB$15:$AL$405)/(ORÇAMENTO!$X$15-_xlfn.SINGLE(CÁLCULO.TotalAdmLocal))*CRONO!$F3,
                        0),
                 W2*$S1),
          SUMIF(OFFSET($S3,1,0,$R1-2),($M1+1)&amp;"$",OFFSET(W3,1,0,$R1-2)))</f>
        <v>#REF!</v>
      </c>
      <c r="X3" s="203" t="e" cm="1">
        <f t="array" aca="1" ref="X3" ca="1">IF($R1=2,
         IF(AND(ACOMPANHAMENTO="PLE",ISNUMBER($F1)),
                SUMIF((OFFSET(CÁLCULO!$AM$15:$AW$15,$F1,0,OFFSET(ORÇAMENTO!$D$15,CRONO!$F1,0))),CRONO!X$12,OFFSET(CÁLCULO!$AB$15:$AL$15,$F1,0,OFFSET(ORÇAMENTO!$D$15,CRONO!$F1,0)))
                +IF(AND($F3&lt;&gt;"",$F3&lt;&gt;0),
                        SUMIF(CÁLCULO!$AM$15:$AW$405,CRONO!X$12,CÁLCULO!$AB$15:$AL$405)/(ORÇAMENTO!$X$15-_xlfn.SINGLE(CÁLCULO.TotalAdmLocal))*CRONO!$F3,
                        0),
                 X2*$S1),
          SUMIF(OFFSET($S3,1,0,$R1-2),($M1+1)&amp;"$",OFFSET(X3,1,0,$R1-2)))</f>
        <v>#REF!</v>
      </c>
      <c r="Y3" s="203" t="e" cm="1">
        <f t="array" aca="1" ref="Y3" ca="1">IF($R1=2,
         IF(AND(ACOMPANHAMENTO="PLE",ISNUMBER($F1)),
                SUMIF((OFFSET(CÁLCULO!$AM$15:$AW$15,$F1,0,OFFSET(ORÇAMENTO!$D$15,CRONO!$F1,0))),CRONO!Y$12,OFFSET(CÁLCULO!$AB$15:$AL$15,$F1,0,OFFSET(ORÇAMENTO!$D$15,CRONO!$F1,0)))
                +IF(AND($F3&lt;&gt;"",$F3&lt;&gt;0),
                        SUMIF(CÁLCULO!$AM$15:$AW$405,CRONO!Y$12,CÁLCULO!$AB$15:$AL$405)/(ORÇAMENTO!$X$15-_xlfn.SINGLE(CÁLCULO.TotalAdmLocal))*CRONO!$F3,
                        0),
                 Y2*$S1),
          SUMIF(OFFSET($S3,1,0,$R1-2),($M1+1)&amp;"$",OFFSET(Y3,1,0,$R1-2)))</f>
        <v>#REF!</v>
      </c>
      <c r="Z3" s="203" t="e" cm="1">
        <f t="array" aca="1" ref="Z3" ca="1">IF($R1=2,
         IF(AND(ACOMPANHAMENTO="PLE",ISNUMBER($F1)),
                SUMIF((OFFSET(CÁLCULO!$AM$15:$AW$15,$F1,0,OFFSET(ORÇAMENTO!$D$15,CRONO!$F1,0))),CRONO!Z$12,OFFSET(CÁLCULO!$AB$15:$AL$15,$F1,0,OFFSET(ORÇAMENTO!$D$15,CRONO!$F1,0)))
                +IF(AND($F3&lt;&gt;"",$F3&lt;&gt;0),
                        SUMIF(CÁLCULO!$AM$15:$AW$405,CRONO!Z$12,CÁLCULO!$AB$15:$AL$405)/(ORÇAMENTO!$X$15-_xlfn.SINGLE(CÁLCULO.TotalAdmLocal))*CRONO!$F3,
                        0),
                 Z2*$S1),
          SUMIF(OFFSET($S3,1,0,$R1-2),($M1+1)&amp;"$",OFFSET(Z3,1,0,$R1-2)))</f>
        <v>#REF!</v>
      </c>
      <c r="AA3" s="203" t="e" cm="1">
        <f t="array" aca="1" ref="AA3" ca="1">IF($R1=2,
         IF(AND(ACOMPANHAMENTO="PLE",ISNUMBER($F1)),
                SUMIF((OFFSET(CÁLCULO!$AM$15:$AW$15,$F1,0,OFFSET(ORÇAMENTO!$D$15,CRONO!$F1,0))),CRONO!AA$12,OFFSET(CÁLCULO!$AB$15:$AL$15,$F1,0,OFFSET(ORÇAMENTO!$D$15,CRONO!$F1,0)))
                +IF(AND($F3&lt;&gt;"",$F3&lt;&gt;0),
                        SUMIF(CÁLCULO!$AM$15:$AW$405,CRONO!AA$12,CÁLCULO!$AB$15:$AL$405)/(ORÇAMENTO!$X$15-_xlfn.SINGLE(CÁLCULO.TotalAdmLocal))*CRONO!$F3,
                        0),
                 AA2*$S1),
          SUMIF(OFFSET($S3,1,0,$R1-2),($M1+1)&amp;"$",OFFSET(AA3,1,0,$R1-2)))</f>
        <v>#REF!</v>
      </c>
      <c r="AB3" s="203" t="e" cm="1">
        <f t="array" aca="1" ref="AB3" ca="1">IF($R1=2,
         IF(AND(ACOMPANHAMENTO="PLE",ISNUMBER($F1)),
                SUMIF((OFFSET(CÁLCULO!$AM$15:$AW$15,$F1,0,OFFSET(ORÇAMENTO!$D$15,CRONO!$F1,0))),CRONO!AB$12,OFFSET(CÁLCULO!$AB$15:$AL$15,$F1,0,OFFSET(ORÇAMENTO!$D$15,CRONO!$F1,0)))
                +IF(AND($F3&lt;&gt;"",$F3&lt;&gt;0),
                        SUMIF(CÁLCULO!$AM$15:$AW$405,CRONO!AB$12,CÁLCULO!$AB$15:$AL$405)/(ORÇAMENTO!$X$15-_xlfn.SINGLE(CÁLCULO.TotalAdmLocal))*CRONO!$F3,
                        0),
                 AB2*$S1),
          SUMIF(OFFSET($S3,1,0,$R1-2),($M1+1)&amp;"$",OFFSET(AB3,1,0,$R1-2)))</f>
        <v>#REF!</v>
      </c>
      <c r="AC3" s="203" t="e" cm="1">
        <f t="array" aca="1" ref="AC3" ca="1">IF($R1=2,
         IF(AND(ACOMPANHAMENTO="PLE",ISNUMBER($F1)),
                SUMIF((OFFSET(CÁLCULO!$AM$15:$AW$15,$F1,0,OFFSET(ORÇAMENTO!$D$15,CRONO!$F1,0))),CRONO!AC$12,OFFSET(CÁLCULO!$AB$15:$AL$15,$F1,0,OFFSET(ORÇAMENTO!$D$15,CRONO!$F1,0)))
                +IF(AND($F3&lt;&gt;"",$F3&lt;&gt;0),
                        SUMIF(CÁLCULO!$AM$15:$AW$405,CRONO!AC$12,CÁLCULO!$AB$15:$AL$405)/(ORÇAMENTO!$X$15-_xlfn.SINGLE(CÁLCULO.TotalAdmLocal))*CRONO!$F3,
                        0),
                 AC2*$S1),
          SUMIF(OFFSET($S3,1,0,$R1-2),($M1+1)&amp;"$",OFFSET(AC3,1,0,$R1-2)))</f>
        <v>#REF!</v>
      </c>
      <c r="AD3" s="203" t="e" cm="1">
        <f t="array" aca="1" ref="AD3" ca="1">IF($R1=2,
         IF(AND(ACOMPANHAMENTO="PLE",ISNUMBER($F1)),
                SUMIF((OFFSET(CÁLCULO!$AM$15:$AW$15,$F1,0,OFFSET(ORÇAMENTO!$D$15,CRONO!$F1,0))),CRONO!AD$12,OFFSET(CÁLCULO!$AB$15:$AL$15,$F1,0,OFFSET(ORÇAMENTO!$D$15,CRONO!$F1,0)))
                +IF(AND($F3&lt;&gt;"",$F3&lt;&gt;0),
                        SUMIF(CÁLCULO!$AM$15:$AW$405,CRONO!AD$12,CÁLCULO!$AB$15:$AL$405)/(ORÇAMENTO!$X$15-_xlfn.SINGLE(CÁLCULO.TotalAdmLocal))*CRONO!$F3,
                        0),
                 AD2*$S1),
          SUMIF(OFFSET($S3,1,0,$R1-2),($M1+1)&amp;"$",OFFSET(AD3,1,0,$R1-2)))</f>
        <v>#REF!</v>
      </c>
      <c r="AE3" s="203" t="e" cm="1">
        <f t="array" aca="1" ref="AE3" ca="1">IF($R1=2,
         IF(AND(ACOMPANHAMENTO="PLE",ISNUMBER($F1)),
                SUMIF((OFFSET(CÁLCULO!$AM$15:$AW$15,$F1,0,OFFSET(ORÇAMENTO!$D$15,CRONO!$F1,0))),CRONO!AE$12,OFFSET(CÁLCULO!$AB$15:$AL$15,$F1,0,OFFSET(ORÇAMENTO!$D$15,CRONO!$F1,0)))
                +IF(AND($F3&lt;&gt;"",$F3&lt;&gt;0),
                        SUMIF(CÁLCULO!$AM$15:$AW$405,CRONO!AE$12,CÁLCULO!$AB$15:$AL$405)/(ORÇAMENTO!$X$15-_xlfn.SINGLE(CÁLCULO.TotalAdmLocal))*CRONO!$F3,
                        0),
                 AE2*$S1),
          SUMIF(OFFSET($S3,1,0,$R1-2),($M1+1)&amp;"$",OFFSET(AE3,1,0,$R1-2)))</f>
        <v>#REF!</v>
      </c>
      <c r="AF3" s="203" t="e" cm="1">
        <f t="array" aca="1" ref="AF3" ca="1">IF($R1=2,
         IF(AND(ACOMPANHAMENTO="PLE",ISNUMBER($F1)),
                SUMIF((OFFSET(CÁLCULO!$AM$15:$AW$15,$F1,0,OFFSET(ORÇAMENTO!$D$15,CRONO!$F1,0))),CRONO!AF$12,OFFSET(CÁLCULO!$AB$15:$AL$15,$F1,0,OFFSET(ORÇAMENTO!$D$15,CRONO!$F1,0)))
                +IF(AND($F3&lt;&gt;"",$F3&lt;&gt;0),
                        SUMIF(CÁLCULO!$AM$15:$AW$405,CRONO!AF$12,CÁLCULO!$AB$15:$AL$405)/(ORÇAMENTO!$X$15-_xlfn.SINGLE(CÁLCULO.TotalAdmLocal))*CRONO!$F3,
                        0),
                 AF2*$S1),
          SUMIF(OFFSET($S3,1,0,$R1-2),($M1+1)&amp;"$",OFFSET(AF3,1,0,$R1-2)))</f>
        <v>#REF!</v>
      </c>
      <c r="AG3" s="535"/>
    </row>
    <row r="4" spans="1:33" ht="15" customHeight="1" x14ac:dyDescent="0.25">
      <c r="S4" s="207" t="str">
        <f>IF(TIPOORCAMENTO="licitado","CFF - CRONOGRAMA FÍSICO-FINANCEIRO LICITADO","CFF - CRONOGRAMA FÍSICO-FINANCEIRO")</f>
        <v>CFF - CRONOGRAMA FÍSICO-FINANCEIRO</v>
      </c>
      <c r="AE4" s="671" t="s">
        <v>644</v>
      </c>
      <c r="AF4" s="671"/>
    </row>
    <row r="5" spans="1:33" ht="15" x14ac:dyDescent="0.2">
      <c r="S5" s="83" t="str">
        <f>import.recurso</f>
        <v>(SELECIONAR)</v>
      </c>
      <c r="AE5" s="672" t="s">
        <v>647</v>
      </c>
      <c r="AF5" s="672"/>
    </row>
    <row r="6" spans="1:33" ht="12.75" customHeight="1" x14ac:dyDescent="0.2"/>
    <row r="7" spans="1:33" ht="12.75" customHeight="1" x14ac:dyDescent="0.2">
      <c r="F7" s="208"/>
      <c r="H7" s="753" t="s">
        <v>788</v>
      </c>
      <c r="I7" s="209" t="s">
        <v>650</v>
      </c>
      <c r="J7" s="210"/>
      <c r="K7" s="211" t="s">
        <v>789</v>
      </c>
      <c r="L7" s="212" t="s">
        <v>790</v>
      </c>
      <c r="M7" s="187"/>
      <c r="N7" s="187"/>
      <c r="O7" s="187"/>
      <c r="T7" s="213"/>
      <c r="U7" s="209" t="s">
        <v>759</v>
      </c>
      <c r="Y7" s="210"/>
      <c r="Z7" s="209" t="str">
        <f>IF(TIPOORCAMENTO="Licitado","NOME DA EMPRESA","DESCRIÇÃO DO LOTE")</f>
        <v>DESCRIÇÃO DO LOTE</v>
      </c>
      <c r="AF7" s="214" t="str">
        <f>IF(TIPOORCAMENTO="Licitado","Nº CTEF","")</f>
        <v/>
      </c>
    </row>
    <row r="8" spans="1:33" x14ac:dyDescent="0.2">
      <c r="E8" s="186"/>
      <c r="F8" s="115"/>
      <c r="G8" s="702" t="s">
        <v>655</v>
      </c>
      <c r="H8" s="753"/>
      <c r="I8" s="752">
        <f>Import.CR</f>
        <v>0</v>
      </c>
      <c r="J8" s="752"/>
      <c r="K8" s="215" t="str">
        <f>Import.TransfereGOV</f>
        <v>958977</v>
      </c>
      <c r="L8" s="762" t="str">
        <f>Import.Proponente</f>
        <v>PREFEITURA MUNICIPAL DE CAÇADOR</v>
      </c>
      <c r="M8" s="762"/>
      <c r="N8" s="762"/>
      <c r="O8" s="762"/>
      <c r="P8" s="762"/>
      <c r="Q8" s="762"/>
      <c r="R8" s="762"/>
      <c r="S8" s="762"/>
      <c r="T8" s="762"/>
      <c r="U8" s="752" t="str">
        <f>Import.Apelido</f>
        <v>CMEI Sorgatto</v>
      </c>
      <c r="V8" s="752"/>
      <c r="W8" s="752"/>
      <c r="X8" s="752"/>
      <c r="Y8" s="752"/>
      <c r="Z8" s="754">
        <f>IF(TIPOORCAMENTO="Licitado",Import.empresa,Import.DescLote)</f>
        <v>0</v>
      </c>
      <c r="AA8" s="754"/>
      <c r="AB8" s="754"/>
      <c r="AC8" s="754"/>
      <c r="AD8" s="754"/>
      <c r="AE8" s="754"/>
      <c r="AF8" s="204" t="str">
        <f>IF(TIPOORCAMENTO="Licitado",Import.CTEF,"")</f>
        <v/>
      </c>
    </row>
    <row r="9" spans="1:33" x14ac:dyDescent="0.2">
      <c r="F9" s="115"/>
      <c r="G9" s="702"/>
      <c r="H9" s="753"/>
    </row>
    <row r="10" spans="1:33" x14ac:dyDescent="0.2">
      <c r="F10" s="186" cm="1">
        <f t="array" aca="1" ref="F10" ca="1">CRONO.LinhasNecessarias</f>
        <v>25</v>
      </c>
      <c r="G10" s="702"/>
      <c r="H10" s="216">
        <v>2</v>
      </c>
      <c r="K10" s="763" t="str" cm="1">
        <f t="array" aca="1" ref="K10" ca="1">IF(MAX($B$13:$B$89)&lt;CRONO.LinhasNecessarias,"ERRO: NÚMERO DE LINHAS DO CRONOGRAMA INSUFICIENTE. CLIQUE EM ATUALIZAR LINHAS.",IF(AND(ACOMPANHAMENTO="PLE",ROUND(OFFSET($AG$99,0,-1),2)=0),"CRONOGRAMA DEVE SER PREENCHIDO POR EVENTOS",IF(ROUND(OFFSET($AG$99,0,-1),2)&lt;&gt;$R$90,"ERRO: CRONOGRAMA NÃO FECHA 100%","")))</f>
        <v/>
      </c>
      <c r="L10" s="763"/>
      <c r="M10" s="763"/>
      <c r="N10" s="763"/>
      <c r="O10" s="763"/>
      <c r="P10" s="763"/>
      <c r="Q10" s="763"/>
      <c r="R10" s="763"/>
      <c r="S10" s="763"/>
      <c r="T10" s="763"/>
    </row>
    <row r="11" spans="1:33" ht="12.75" customHeight="1" x14ac:dyDescent="0.2">
      <c r="F11" s="186" t="e" cm="1">
        <f t="array" aca="1" ref="F11" ca="1">CRONO.ParcelaFinal</f>
        <v>#N/A</v>
      </c>
      <c r="G11" s="702"/>
      <c r="I11" s="217"/>
      <c r="J11" s="217"/>
      <c r="K11" s="763"/>
      <c r="L11" s="763"/>
      <c r="M11" s="763"/>
      <c r="N11" s="763"/>
      <c r="O11" s="763"/>
      <c r="P11" s="763"/>
      <c r="Q11" s="763"/>
      <c r="R11" s="763"/>
      <c r="S11" s="763"/>
      <c r="T11" s="763"/>
    </row>
    <row r="12" spans="1:33" ht="12.75" customHeight="1" x14ac:dyDescent="0.2">
      <c r="A12" s="187" t="s">
        <v>791</v>
      </c>
      <c r="E12" s="218">
        <f ca="1">OFFSET(E12,0,-1)+1</f>
        <v>1</v>
      </c>
      <c r="G12" s="107" t="s">
        <v>660</v>
      </c>
      <c r="H12" s="755" t="s">
        <v>792</v>
      </c>
      <c r="I12" s="756" t="s">
        <v>736</v>
      </c>
      <c r="J12" s="757" t="s">
        <v>118</v>
      </c>
      <c r="K12" s="219"/>
      <c r="L12" s="219"/>
      <c r="M12" s="220"/>
      <c r="N12" s="220"/>
      <c r="O12" s="220"/>
      <c r="P12" s="220"/>
      <c r="Q12" s="220"/>
      <c r="R12" s="220"/>
      <c r="S12" s="760" t="s">
        <v>793</v>
      </c>
      <c r="T12" s="761" t="s">
        <v>794</v>
      </c>
      <c r="U12" s="221">
        <v>1</v>
      </c>
      <c r="V12" s="218">
        <f ca="1">OFFSET(V12,0,-1)+1</f>
        <v>2</v>
      </c>
      <c r="W12" s="218">
        <f t="shared" ref="W12:AF12" ca="1" si="0">OFFSET(W12,0,-1)+1</f>
        <v>3</v>
      </c>
      <c r="X12" s="218">
        <f t="shared" ca="1" si="0"/>
        <v>4</v>
      </c>
      <c r="Y12" s="218">
        <f t="shared" ca="1" si="0"/>
        <v>5</v>
      </c>
      <c r="Z12" s="218">
        <f t="shared" ca="1" si="0"/>
        <v>6</v>
      </c>
      <c r="AA12" s="218">
        <f t="shared" ca="1" si="0"/>
        <v>7</v>
      </c>
      <c r="AB12" s="218">
        <f t="shared" ca="1" si="0"/>
        <v>8</v>
      </c>
      <c r="AC12" s="218">
        <f t="shared" ca="1" si="0"/>
        <v>9</v>
      </c>
      <c r="AD12" s="218">
        <f t="shared" ca="1" si="0"/>
        <v>10</v>
      </c>
      <c r="AE12" s="218">
        <f t="shared" ca="1" si="0"/>
        <v>11</v>
      </c>
      <c r="AF12" s="538">
        <f t="shared" ca="1" si="0"/>
        <v>12</v>
      </c>
      <c r="AG12" s="535"/>
    </row>
    <row r="13" spans="1:33" ht="24.95" customHeight="1" x14ac:dyDescent="0.2">
      <c r="B13" s="222" t="s">
        <v>795</v>
      </c>
      <c r="C13" s="222" t="s">
        <v>456</v>
      </c>
      <c r="D13" s="222" t="s">
        <v>796</v>
      </c>
      <c r="E13" s="223" t="e">
        <f ca="1">OFFSET(E13,0,-1)+41-DAY(OFFSET(E13,0,-1)+40)</f>
        <v>#VALUE!</v>
      </c>
      <c r="F13" s="222" t="s">
        <v>797</v>
      </c>
      <c r="H13" s="755"/>
      <c r="I13" s="756"/>
      <c r="J13" s="757"/>
      <c r="K13" s="224"/>
      <c r="L13" s="224"/>
      <c r="M13" s="225" t="s">
        <v>734</v>
      </c>
      <c r="N13" s="225">
        <v>1</v>
      </c>
      <c r="O13" s="225">
        <v>2</v>
      </c>
      <c r="P13" s="225">
        <v>3</v>
      </c>
      <c r="Q13" s="225">
        <v>4</v>
      </c>
      <c r="R13" s="226" t="s">
        <v>798</v>
      </c>
      <c r="S13" s="760"/>
      <c r="T13" s="761"/>
      <c r="U13" s="227">
        <v>45658</v>
      </c>
      <c r="V13" s="223">
        <f ca="1">OFFSET(V13,0,-1)+41-DAY(OFFSET(V13,0,-1)+40)</f>
        <v>45689</v>
      </c>
      <c r="W13" s="223">
        <f ca="1">OFFSET(W13,0,-1)+41-DAY(OFFSET(W13,0,-1)+40)</f>
        <v>45717</v>
      </c>
      <c r="X13" s="223">
        <f t="shared" ref="X13:AF13" ca="1" si="1">OFFSET(X13,0,-1)+41-DAY(OFFSET(X13,0,-1)+40)</f>
        <v>45748</v>
      </c>
      <c r="Y13" s="223">
        <f t="shared" ca="1" si="1"/>
        <v>45778</v>
      </c>
      <c r="Z13" s="223">
        <f t="shared" ca="1" si="1"/>
        <v>45809</v>
      </c>
      <c r="AA13" s="223">
        <f t="shared" ca="1" si="1"/>
        <v>45839</v>
      </c>
      <c r="AB13" s="223">
        <f t="shared" ca="1" si="1"/>
        <v>45870</v>
      </c>
      <c r="AC13" s="223">
        <f t="shared" ca="1" si="1"/>
        <v>45901</v>
      </c>
      <c r="AD13" s="223">
        <f t="shared" ca="1" si="1"/>
        <v>45931</v>
      </c>
      <c r="AE13" s="223">
        <f t="shared" ca="1" si="1"/>
        <v>45962</v>
      </c>
      <c r="AF13" s="539">
        <f t="shared" ca="1" si="1"/>
        <v>45992</v>
      </c>
      <c r="AG13" s="535"/>
    </row>
    <row r="14" spans="1:33" x14ac:dyDescent="0.2">
      <c r="A14" s="187" t="str">
        <f t="shared" ref="A14" ca="1" si="2">IF($M14&gt;1,_xlfn.CONCAT($I14," ",$J14),"")</f>
        <v/>
      </c>
      <c r="B14" s="186">
        <f t="shared" ref="B14" ca="1" si="3">OFFSET(B14,-3,0)+1</f>
        <v>1</v>
      </c>
      <c r="C14" s="186">
        <f ca="1">IF($R14&lt;&gt;2,0,IF($S14=0,1,IF(F15&gt;0,OFFSET(QCI!$M$13,SUBSTITUTE(F15,".",""),0),OFFSET(ORÇAMENTO!$AA$15,CRONO!$F14,0))/$S14))</f>
        <v>0</v>
      </c>
      <c r="D14" s="186">
        <f ca="1">IF($R14&lt;&gt;2,0,IF($S14=0,1,IF(F15&gt;0,OFFSET(QCI!$N$13,SUBSTITUTE(F15,".",""),0),OFFSET(ORÇAMENTO!$AB$15,CRONO!$F14,0))/$S14))</f>
        <v>0</v>
      </c>
      <c r="E14" s="189" t="e" cm="1">
        <f t="array" aca="1" ref="E14" ca="1">IF(AND($R14=2,ACOMPANHAMENTO="BM"),ROUND(E15,4),E16/$S14)</f>
        <v>#DIV/0!</v>
      </c>
      <c r="F14" s="186">
        <f ca="1">IF(B14&lt;=ORÇAMENTO.MáximoListaCrono,MATCH(B14,ORÇAMENTO.ListaCrono,0),NA())</f>
        <v>1</v>
      </c>
      <c r="G14" s="186" t="str">
        <f t="shared" ref="G14" ca="1" si="4">IF(AND($F15&lt;&gt;-1,$S14&gt;0),"F","")</f>
        <v/>
      </c>
      <c r="H14" s="190" t="str" cm="1">
        <f t="array" aca="1" ref="H14" ca="1">IF(OR(S14=0,S14=""),"Linha",IF(AND(OR(ACOMPANHAMENTO="PLE",$R14&lt;&gt;2),$F15=0),"Linha",ROUND(1-SUM(U14:AG14),4)))</f>
        <v>Linha</v>
      </c>
      <c r="I14" s="191" t="str">
        <f ca="1">IF($F15=0,OFFSET(ORÇAMENTO!O$15,$F14,0),IF($F15&lt;&gt;-1,OFFSET(QCI!$D$13,$F15,0),""))</f>
        <v>1.</v>
      </c>
      <c r="J14" s="192" t="str">
        <f ca="1">IF($F15=0,OFFSET(ORÇAMENTO!R$15,$F14,0),IF($F15&lt;&gt;-1,OFFSET(QCI!$G$13,$F15,0),""))</f>
        <v>CMEI SORGATTO</v>
      </c>
      <c r="K14" s="192"/>
      <c r="L14" s="192"/>
      <c r="M14" s="193">
        <f ca="1">IF($F15=0,OFFSET(ORÇAMENTO!C$15,$F14,0),1)</f>
        <v>1</v>
      </c>
      <c r="N14" s="194">
        <f ca="1">IF($F15=-1,0,IF(N$13&lt;=$M14,IF(ISERROR(MATCH(N$13,OFFSET($M14,1,0,ROW($M$89)-ROW($M14)-1),0)),ROW($M$89)-ROW($M14)-1,MATCH(N$13,OFFSET($M14,1,0,ROW($M$89)-ROW($M14)-1),0)-1),0))</f>
        <v>74</v>
      </c>
      <c r="O14" s="194">
        <f ca="1">IF($F15=-1,0,IF(O$13&lt;=$M14,IF(ISERROR(MATCH(O$13,OFFSET($M14,1,0,ROW($M$89)-ROW($M14)-1),0)),ROW($M$89)-ROW($M14)-1,MATCH(O$13,OFFSET($M14,1,0,ROW($M$89)-ROW($M14)-1),0)-1),0))</f>
        <v>0</v>
      </c>
      <c r="P14" s="194">
        <f ca="1">IF($F15=-1,0,IF(P$13&lt;=$M14,IF(ISERROR(MATCH(P$13,OFFSET($M14,1,0,ROW($M$89)-ROW($M14)-1),0)),ROW($M$89)-ROW($M14)-1,MATCH(P$13,OFFSET($M14,1,0,ROW($M$89)-ROW($M14)-1),0)-1),0))</f>
        <v>0</v>
      </c>
      <c r="Q14" s="194">
        <f ca="1">IF($F15=-1,0,IF(Q$13&lt;=$M14,IF(ISERROR(MATCH(Q$13,OFFSET($M14,1,0,ROW($M$89)-ROW($M14)-1),0)),ROW($M$89)-ROW($M14)-1,MATCH(Q$13,OFFSET($M14,1,0,ROW($M$89)-ROW($M14)-1),0)-1),0))</f>
        <v>0</v>
      </c>
      <c r="R14" s="194">
        <f t="shared" ref="R14" ca="1" si="5">MIN(OFFSET(M14,0,1,,M14))</f>
        <v>74</v>
      </c>
      <c r="S14" s="195">
        <f ca="1">IF($F15=0,OFFSET(ORÇAMENTO!X$15,$F14,0),IF($F15&lt;&gt;-1,OFFSET(QCI!$O$13,$F15,0),""))</f>
        <v>0</v>
      </c>
      <c r="T14" s="196" t="s">
        <v>787</v>
      </c>
      <c r="U14" s="189" t="e" cm="1">
        <f t="array" aca="1" ref="U14" ca="1">IF(AND($R14=2,ACOMPANHAMENTO="BM"),ROUND(U15,4),U16/$S14)</f>
        <v>#DIV/0!</v>
      </c>
      <c r="V14" s="189" t="e" cm="1">
        <f t="array" aca="1" ref="V14" ca="1">IF(AND($R14=2,ACOMPANHAMENTO="BM"),ROUND(V15,4),V16/$S14)</f>
        <v>#DIV/0!</v>
      </c>
      <c r="W14" s="189" t="e" cm="1">
        <f t="array" aca="1" ref="W14" ca="1">IF(AND($R14=2,ACOMPANHAMENTO="BM"),ROUND(W15,4),W16/$S14)</f>
        <v>#DIV/0!</v>
      </c>
      <c r="X14" s="189" t="e" cm="1">
        <f t="array" aca="1" ref="X14" ca="1">IF(AND($R14=2,ACOMPANHAMENTO="BM"),ROUND(X15,4),X16/$S14)</f>
        <v>#DIV/0!</v>
      </c>
      <c r="Y14" s="189" t="e" cm="1">
        <f t="array" aca="1" ref="Y14" ca="1">IF(AND($R14=2,ACOMPANHAMENTO="BM"),ROUND(Y15,4),Y16/$S14)</f>
        <v>#DIV/0!</v>
      </c>
      <c r="Z14" s="189" t="e" cm="1">
        <f t="array" aca="1" ref="Z14" ca="1">IF(AND($R14=2,ACOMPANHAMENTO="BM"),ROUND(Z15,4),Z16/$S14)</f>
        <v>#DIV/0!</v>
      </c>
      <c r="AA14" s="189" t="e" cm="1">
        <f t="array" aca="1" ref="AA14" ca="1">IF(AND($R14=2,ACOMPANHAMENTO="BM"),ROUND(AA15,4),AA16/$S14)</f>
        <v>#DIV/0!</v>
      </c>
      <c r="AB14" s="189" t="e" cm="1">
        <f t="array" aca="1" ref="AB14" ca="1">IF(AND($R14=2,ACOMPANHAMENTO="BM"),ROUND(AB15,4),AB16/$S14)</f>
        <v>#DIV/0!</v>
      </c>
      <c r="AC14" s="189" t="e" cm="1">
        <f t="array" aca="1" ref="AC14" ca="1">IF(AND($R14=2,ACOMPANHAMENTO="BM"),ROUND(AC15,4),AC16/$S14)</f>
        <v>#DIV/0!</v>
      </c>
      <c r="AD14" s="189" t="e" cm="1">
        <f t="array" aca="1" ref="AD14" ca="1">IF(AND($R14=2,ACOMPANHAMENTO="BM"),ROUND(AD15,4),AD16/$S14)</f>
        <v>#DIV/0!</v>
      </c>
      <c r="AE14" s="189" t="e" cm="1">
        <f t="array" aca="1" ref="AE14" ca="1">IF(AND($R14=2,ACOMPANHAMENTO="BM"),ROUND(AE15,4),AE16/$S14)</f>
        <v>#DIV/0!</v>
      </c>
      <c r="AF14" s="189" t="e" cm="1">
        <f t="array" aca="1" ref="AF14" ca="1">IF(AND($R14=2,ACOMPANHAMENTO="BM"),ROUND(AF15,4),AF16/$S14)</f>
        <v>#DIV/0!</v>
      </c>
      <c r="AG14" s="535"/>
    </row>
    <row r="15" spans="1:33" ht="12.75" customHeight="1" x14ac:dyDescent="0.2">
      <c r="E15" s="590"/>
      <c r="F15" s="186">
        <f ca="1">IF(ISERROR(F14),IF(1+COUNTIF($M$13:OFFSET(M14,-1,0),1)&lt;=MAX(QCI!$D$13:$D$24),1+COUNTIF($M$13:OFFSET(M14,-1,0),1),-1),0)</f>
        <v>0</v>
      </c>
      <c r="G15" s="186" t="str" cm="1">
        <f t="array" aca="1" ref="G15" ca="1">IF(ACOMPANHAMENTO="BM",OFFSET(G15,-1,0),"")</f>
        <v/>
      </c>
      <c r="H15" s="197" t="str" cm="1">
        <f t="array" aca="1" ref="H15" ca="1">IF(OR(S14=0,S14=""),"vazia",IF(AND(OR(ACOMPANHAMENTO="PLE",$R14&lt;&gt;2),$F15=0),"calculada","--&gt;"))</f>
        <v>vazia</v>
      </c>
      <c r="I15" s="198"/>
      <c r="J15" s="199" t="str">
        <f t="shared" ref="J15" ca="1" si="6">IF(AND(H14&lt;&gt;0,ISNUMBER(H14)),"PREENCHA ESTA LINHA --&gt;","")</f>
        <v/>
      </c>
      <c r="K15" s="199"/>
      <c r="L15" s="199"/>
      <c r="M15" s="200"/>
      <c r="N15" s="200"/>
      <c r="O15" s="200"/>
      <c r="P15" s="200"/>
      <c r="Q15" s="200"/>
      <c r="R15" s="200"/>
      <c r="S15" s="201"/>
      <c r="T15" s="202"/>
      <c r="U15" s="590"/>
      <c r="V15" s="590"/>
      <c r="W15" s="590"/>
      <c r="X15" s="590"/>
      <c r="Y15" s="590"/>
      <c r="Z15" s="590"/>
      <c r="AA15" s="590"/>
      <c r="AB15" s="590"/>
      <c r="AC15" s="590"/>
      <c r="AD15" s="590"/>
      <c r="AE15" s="590"/>
      <c r="AF15" s="590"/>
      <c r="AG15" s="535"/>
    </row>
    <row r="16" spans="1:33" ht="12.75" customHeight="1" x14ac:dyDescent="0.2">
      <c r="D16" s="534"/>
      <c r="E16" s="203" cm="1">
        <f t="array" aca="1" ref="E16" ca="1">IF($R14=2,
         IF(AND(ACOMPANHAMENTO="PLE",ISNUMBER($F14)),
                SUMIF((OFFSET(CÁLCULO!$AM$15:$AW$15,$F14,0,OFFSET(ORÇAMENTO!$D$15,CRONO!$F14,0))),CRONO!E$12,OFFSET(CÁLCULO!$AB$15:$AL$15,$F14,0,OFFSET(ORÇAMENTO!$D$15,CRONO!$F14,0)))
                +IF(AND($F16&lt;&gt;"",$F16&lt;&gt;0),
                        SUMIF(CÁLCULO!$AM$15:$AW$405,CRONO!E$12,CÁLCULO!$AB$15:$AL$405)/(ORÇAMENTO!$X$15-_xlfn.SINGLE(CÁLCULO.TotalAdmLocal))*CRONO!$F16,
                        0),
                 E15*$S14),
          SUMIF(OFFSET($S16,1,0,$R14-2),($M14+1)&amp;"$",OFFSET(E16,1,0,$R14-2)))</f>
        <v>0</v>
      </c>
      <c r="F16" s="186" t="str">
        <f ca="1">IF(OR($R14&lt;&gt;2,AUTOEVENTO&lt;&gt;"manual",$F15&gt;0),"",
        IF(Import.TipoArredondamento="Tradicional",
              SUMIF(OFFSET(CÁLCULO!$M$15,CRONO!$F14,0,OFFSET(ORÇAMENTO!$D$15,CRONO!$F14,0)),1,OFFSET(ORÇAMENTO!$X$15,CRONO!$F14,0,OFFSET(ORÇAMENTO!$D$15,CRONO!$F14,0))),
              0))</f>
        <v/>
      </c>
      <c r="H16" s="204"/>
      <c r="S16" s="205" t="str">
        <f t="shared" ref="S16" ca="1" si="7">M14&amp;"$"</f>
        <v>1$</v>
      </c>
      <c r="T16" s="206"/>
      <c r="U16" s="203" cm="1">
        <f t="array" aca="1" ref="U16" ca="1">IF($R14=2,
         IF(AND(ACOMPANHAMENTO="PLE",ISNUMBER($F14)),
                SUMIF((OFFSET(CÁLCULO!$AM$15:$AW$15,$F14,0,OFFSET(ORÇAMENTO!$D$15,CRONO!$F14,0))),CRONO!U$12,OFFSET(CÁLCULO!$AB$15:$AL$15,$F14,0,OFFSET(ORÇAMENTO!$D$15,CRONO!$F14,0)))
                +IF(AND($F16&lt;&gt;"",$F16&lt;&gt;0),
                        SUMIF(CÁLCULO!$AM$15:$AW$405,CRONO!U$12,CÁLCULO!$AB$15:$AL$405)/(ORÇAMENTO!$X$15-_xlfn.SINGLE(CÁLCULO.TotalAdmLocal))*CRONO!$F16,
                        0),
                 U15*$S14),
          SUMIF(OFFSET($S16,1,0,$R14-2),($M14+1)&amp;"$",OFFSET(U16,1,0,$R14-2)))</f>
        <v>0</v>
      </c>
      <c r="V16" s="203" cm="1">
        <f t="array" aca="1" ref="V16" ca="1">IF($R14=2,
         IF(AND(ACOMPANHAMENTO="PLE",ISNUMBER($F14)),
                SUMIF((OFFSET(CÁLCULO!$AM$15:$AW$15,$F14,0,OFFSET(ORÇAMENTO!$D$15,CRONO!$F14,0))),CRONO!V$12,OFFSET(CÁLCULO!$AB$15:$AL$15,$F14,0,OFFSET(ORÇAMENTO!$D$15,CRONO!$F14,0)))
                +IF(AND($F16&lt;&gt;"",$F16&lt;&gt;0),
                        SUMIF(CÁLCULO!$AM$15:$AW$405,CRONO!V$12,CÁLCULO!$AB$15:$AL$405)/(ORÇAMENTO!$X$15-_xlfn.SINGLE(CÁLCULO.TotalAdmLocal))*CRONO!$F16,
                        0),
                 V15*$S14),
          SUMIF(OFFSET($S16,1,0,$R14-2),($M14+1)&amp;"$",OFFSET(V16,1,0,$R14-2)))</f>
        <v>0</v>
      </c>
      <c r="W16" s="203" cm="1">
        <f t="array" aca="1" ref="W16" ca="1">IF($R14=2,
         IF(AND(ACOMPANHAMENTO="PLE",ISNUMBER($F14)),
                SUMIF((OFFSET(CÁLCULO!$AM$15:$AW$15,$F14,0,OFFSET(ORÇAMENTO!$D$15,CRONO!$F14,0))),CRONO!W$12,OFFSET(CÁLCULO!$AB$15:$AL$15,$F14,0,OFFSET(ORÇAMENTO!$D$15,CRONO!$F14,0)))
                +IF(AND($F16&lt;&gt;"",$F16&lt;&gt;0),
                        SUMIF(CÁLCULO!$AM$15:$AW$405,CRONO!W$12,CÁLCULO!$AB$15:$AL$405)/(ORÇAMENTO!$X$15-_xlfn.SINGLE(CÁLCULO.TotalAdmLocal))*CRONO!$F16,
                        0),
                 W15*$S14),
          SUMIF(OFFSET($S16,1,0,$R14-2),($M14+1)&amp;"$",OFFSET(W16,1,0,$R14-2)))</f>
        <v>0</v>
      </c>
      <c r="X16" s="203" cm="1">
        <f t="array" aca="1" ref="X16" ca="1">IF($R14=2,
         IF(AND(ACOMPANHAMENTO="PLE",ISNUMBER($F14)),
                SUMIF((OFFSET(CÁLCULO!$AM$15:$AW$15,$F14,0,OFFSET(ORÇAMENTO!$D$15,CRONO!$F14,0))),CRONO!X$12,OFFSET(CÁLCULO!$AB$15:$AL$15,$F14,0,OFFSET(ORÇAMENTO!$D$15,CRONO!$F14,0)))
                +IF(AND($F16&lt;&gt;"",$F16&lt;&gt;0),
                        SUMIF(CÁLCULO!$AM$15:$AW$405,CRONO!X$12,CÁLCULO!$AB$15:$AL$405)/(ORÇAMENTO!$X$15-_xlfn.SINGLE(CÁLCULO.TotalAdmLocal))*CRONO!$F16,
                        0),
                 X15*$S14),
          SUMIF(OFFSET($S16,1,0,$R14-2),($M14+1)&amp;"$",OFFSET(X16,1,0,$R14-2)))</f>
        <v>0</v>
      </c>
      <c r="Y16" s="203" cm="1">
        <f t="array" aca="1" ref="Y16" ca="1">IF($R14=2,
         IF(AND(ACOMPANHAMENTO="PLE",ISNUMBER($F14)),
                SUMIF((OFFSET(CÁLCULO!$AM$15:$AW$15,$F14,0,OFFSET(ORÇAMENTO!$D$15,CRONO!$F14,0))),CRONO!Y$12,OFFSET(CÁLCULO!$AB$15:$AL$15,$F14,0,OFFSET(ORÇAMENTO!$D$15,CRONO!$F14,0)))
                +IF(AND($F16&lt;&gt;"",$F16&lt;&gt;0),
                        SUMIF(CÁLCULO!$AM$15:$AW$405,CRONO!Y$12,CÁLCULO!$AB$15:$AL$405)/(ORÇAMENTO!$X$15-_xlfn.SINGLE(CÁLCULO.TotalAdmLocal))*CRONO!$F16,
                        0),
                 Y15*$S14),
          SUMIF(OFFSET($S16,1,0,$R14-2),($M14+1)&amp;"$",OFFSET(Y16,1,0,$R14-2)))</f>
        <v>0</v>
      </c>
      <c r="Z16" s="203" cm="1">
        <f t="array" aca="1" ref="Z16" ca="1">IF($R14=2,
         IF(AND(ACOMPANHAMENTO="PLE",ISNUMBER($F14)),
                SUMIF((OFFSET(CÁLCULO!$AM$15:$AW$15,$F14,0,OFFSET(ORÇAMENTO!$D$15,CRONO!$F14,0))),CRONO!Z$12,OFFSET(CÁLCULO!$AB$15:$AL$15,$F14,0,OFFSET(ORÇAMENTO!$D$15,CRONO!$F14,0)))
                +IF(AND($F16&lt;&gt;"",$F16&lt;&gt;0),
                        SUMIF(CÁLCULO!$AM$15:$AW$405,CRONO!Z$12,CÁLCULO!$AB$15:$AL$405)/(ORÇAMENTO!$X$15-_xlfn.SINGLE(CÁLCULO.TotalAdmLocal))*CRONO!$F16,
                        0),
                 Z15*$S14),
          SUMIF(OFFSET($S16,1,0,$R14-2),($M14+1)&amp;"$",OFFSET(Z16,1,0,$R14-2)))</f>
        <v>0</v>
      </c>
      <c r="AA16" s="203" cm="1">
        <f t="array" aca="1" ref="AA16" ca="1">IF($R14=2,
         IF(AND(ACOMPANHAMENTO="PLE",ISNUMBER($F14)),
                SUMIF((OFFSET(CÁLCULO!$AM$15:$AW$15,$F14,0,OFFSET(ORÇAMENTO!$D$15,CRONO!$F14,0))),CRONO!AA$12,OFFSET(CÁLCULO!$AB$15:$AL$15,$F14,0,OFFSET(ORÇAMENTO!$D$15,CRONO!$F14,0)))
                +IF(AND($F16&lt;&gt;"",$F16&lt;&gt;0),
                        SUMIF(CÁLCULO!$AM$15:$AW$405,CRONO!AA$12,CÁLCULO!$AB$15:$AL$405)/(ORÇAMENTO!$X$15-_xlfn.SINGLE(CÁLCULO.TotalAdmLocal))*CRONO!$F16,
                        0),
                 AA15*$S14),
          SUMIF(OFFSET($S16,1,0,$R14-2),($M14+1)&amp;"$",OFFSET(AA16,1,0,$R14-2)))</f>
        <v>0</v>
      </c>
      <c r="AB16" s="203" cm="1">
        <f t="array" aca="1" ref="AB16" ca="1">IF($R14=2,
         IF(AND(ACOMPANHAMENTO="PLE",ISNUMBER($F14)),
                SUMIF((OFFSET(CÁLCULO!$AM$15:$AW$15,$F14,0,OFFSET(ORÇAMENTO!$D$15,CRONO!$F14,0))),CRONO!AB$12,OFFSET(CÁLCULO!$AB$15:$AL$15,$F14,0,OFFSET(ORÇAMENTO!$D$15,CRONO!$F14,0)))
                +IF(AND($F16&lt;&gt;"",$F16&lt;&gt;0),
                        SUMIF(CÁLCULO!$AM$15:$AW$405,CRONO!AB$12,CÁLCULO!$AB$15:$AL$405)/(ORÇAMENTO!$X$15-_xlfn.SINGLE(CÁLCULO.TotalAdmLocal))*CRONO!$F16,
                        0),
                 AB15*$S14),
          SUMIF(OFFSET($S16,1,0,$R14-2),($M14+1)&amp;"$",OFFSET(AB16,1,0,$R14-2)))</f>
        <v>0</v>
      </c>
      <c r="AC16" s="203" cm="1">
        <f t="array" aca="1" ref="AC16" ca="1">IF($R14=2,
         IF(AND(ACOMPANHAMENTO="PLE",ISNUMBER($F14)),
                SUMIF((OFFSET(CÁLCULO!$AM$15:$AW$15,$F14,0,OFFSET(ORÇAMENTO!$D$15,CRONO!$F14,0))),CRONO!AC$12,OFFSET(CÁLCULO!$AB$15:$AL$15,$F14,0,OFFSET(ORÇAMENTO!$D$15,CRONO!$F14,0)))
                +IF(AND($F16&lt;&gt;"",$F16&lt;&gt;0),
                        SUMIF(CÁLCULO!$AM$15:$AW$405,CRONO!AC$12,CÁLCULO!$AB$15:$AL$405)/(ORÇAMENTO!$X$15-_xlfn.SINGLE(CÁLCULO.TotalAdmLocal))*CRONO!$F16,
                        0),
                 AC15*$S14),
          SUMIF(OFFSET($S16,1,0,$R14-2),($M14+1)&amp;"$",OFFSET(AC16,1,0,$R14-2)))</f>
        <v>0</v>
      </c>
      <c r="AD16" s="203" cm="1">
        <f t="array" aca="1" ref="AD16" ca="1">IF($R14=2,
         IF(AND(ACOMPANHAMENTO="PLE",ISNUMBER($F14)),
                SUMIF((OFFSET(CÁLCULO!$AM$15:$AW$15,$F14,0,OFFSET(ORÇAMENTO!$D$15,CRONO!$F14,0))),CRONO!AD$12,OFFSET(CÁLCULO!$AB$15:$AL$15,$F14,0,OFFSET(ORÇAMENTO!$D$15,CRONO!$F14,0)))
                +IF(AND($F16&lt;&gt;"",$F16&lt;&gt;0),
                        SUMIF(CÁLCULO!$AM$15:$AW$405,CRONO!AD$12,CÁLCULO!$AB$15:$AL$405)/(ORÇAMENTO!$X$15-_xlfn.SINGLE(CÁLCULO.TotalAdmLocal))*CRONO!$F16,
                        0),
                 AD15*$S14),
          SUMIF(OFFSET($S16,1,0,$R14-2),($M14+1)&amp;"$",OFFSET(AD16,1,0,$R14-2)))</f>
        <v>0</v>
      </c>
      <c r="AE16" s="203" cm="1">
        <f t="array" aca="1" ref="AE16" ca="1">IF($R14=2,
         IF(AND(ACOMPANHAMENTO="PLE",ISNUMBER($F14)),
                SUMIF((OFFSET(CÁLCULO!$AM$15:$AW$15,$F14,0,OFFSET(ORÇAMENTO!$D$15,CRONO!$F14,0))),CRONO!AE$12,OFFSET(CÁLCULO!$AB$15:$AL$15,$F14,0,OFFSET(ORÇAMENTO!$D$15,CRONO!$F14,0)))
                +IF(AND($F16&lt;&gt;"",$F16&lt;&gt;0),
                        SUMIF(CÁLCULO!$AM$15:$AW$405,CRONO!AE$12,CÁLCULO!$AB$15:$AL$405)/(ORÇAMENTO!$X$15-_xlfn.SINGLE(CÁLCULO.TotalAdmLocal))*CRONO!$F16,
                        0),
                 AE15*$S14),
          SUMIF(OFFSET($S16,1,0,$R14-2),($M14+1)&amp;"$",OFFSET(AE16,1,0,$R14-2)))</f>
        <v>0</v>
      </c>
      <c r="AF16" s="203" cm="1">
        <f t="array" aca="1" ref="AF16" ca="1">IF($R14=2,
         IF(AND(ACOMPANHAMENTO="PLE",ISNUMBER($F14)),
                SUMIF((OFFSET(CÁLCULO!$AM$15:$AW$15,$F14,0,OFFSET(ORÇAMENTO!$D$15,CRONO!$F14,0))),CRONO!AF$12,OFFSET(CÁLCULO!$AB$15:$AL$15,$F14,0,OFFSET(ORÇAMENTO!$D$15,CRONO!$F14,0)))
                +IF(AND($F16&lt;&gt;"",$F16&lt;&gt;0),
                        SUMIF(CÁLCULO!$AM$15:$AW$405,CRONO!AF$12,CÁLCULO!$AB$15:$AL$405)/(ORÇAMENTO!$X$15-_xlfn.SINGLE(CÁLCULO.TotalAdmLocal))*CRONO!$F16,
                        0),
                 AF15*$S14),
          SUMIF(OFFSET($S16,1,0,$R14-2),($M14+1)&amp;"$",OFFSET(AF16,1,0,$R14-2)))</f>
        <v>0</v>
      </c>
      <c r="AG16" s="535"/>
    </row>
    <row r="17" spans="1:33" x14ac:dyDescent="0.2">
      <c r="A17" s="187" t="e">
        <f t="shared" ref="A17" ca="1" si="8">IF($M17&gt;1,_xlfn.CONCAT($I17," ",$J17),"")</f>
        <v>#NAME?</v>
      </c>
      <c r="B17" s="186">
        <f t="shared" ref="B17" ca="1" si="9">OFFSET(B17,-3,0)+1</f>
        <v>2</v>
      </c>
      <c r="C17" s="186">
        <f ca="1">IF($R17&lt;&gt;2,0,IF($S17=0,1,IF(F18&gt;0,OFFSET(QCI!$M$13,SUBSTITUTE(F18,".",""),0),OFFSET(ORÇAMENTO!$AA$15,CRONO!$F17,0))/$S17))</f>
        <v>1</v>
      </c>
      <c r="D17" s="186">
        <f ca="1">IF($R17&lt;&gt;2,0,IF($S17=0,1,IF(F18&gt;0,OFFSET(QCI!$N$13,SUBSTITUTE(F18,".",""),0),OFFSET(ORÇAMENTO!$AB$15,CRONO!$F17,0))/$S17))</f>
        <v>1</v>
      </c>
      <c r="E17" s="189" cm="1">
        <f t="array" aca="1" ref="E17" ca="1">IF(AND($R17=2,ACOMPANHAMENTO="BM"),ROUND(E18,4),E19/$S17)</f>
        <v>0</v>
      </c>
      <c r="F17" s="186">
        <f ca="1">IF(B17&lt;=ORÇAMENTO.MáximoListaCrono,MATCH(B17,ORÇAMENTO.ListaCrono,0),NA())</f>
        <v>2</v>
      </c>
      <c r="G17" s="186" t="str">
        <f t="shared" ref="G17" ca="1" si="10">IF(AND($F18&lt;&gt;-1,$S17&gt;0),"F","")</f>
        <v/>
      </c>
      <c r="H17" s="190" t="str" cm="1">
        <f t="array" aca="1" ref="H17" ca="1">IF(OR(S17=0,S17=""),"Linha",IF(AND(OR(ACOMPANHAMENTO="PLE",$R17&lt;&gt;2),$F18=0),"Linha",ROUND(1-SUM(U17:AG17),4)))</f>
        <v>Linha</v>
      </c>
      <c r="I17" s="191" t="str">
        <f ca="1">IF($F18=0,OFFSET(ORÇAMENTO!O$15,$F17,0),IF($F18&lt;&gt;-1,OFFSET(QCI!$D$13,$F18,0),""))</f>
        <v>1.1.</v>
      </c>
      <c r="J17" s="192" t="str">
        <f ca="1">IF($F18=0,OFFSET(ORÇAMENTO!R$15,$F17,0),IF($F18&lt;&gt;-1,OFFSET(QCI!$G$13,$F18,0),""))</f>
        <v>ADMINISTRAÇÃO DE OBRA</v>
      </c>
      <c r="K17" s="192"/>
      <c r="L17" s="192"/>
      <c r="M17" s="193">
        <f ca="1">IF($F18=0,OFFSET(ORÇAMENTO!C$15,$F17,0),1)</f>
        <v>2</v>
      </c>
      <c r="N17" s="194">
        <f ca="1">IF($F18=-1,0,IF(N$13&lt;=$M17,IF(ISERROR(MATCH(N$13,OFFSET($M17,1,0,ROW($M$89)-ROW($M17)-1),0)),ROW($M$89)-ROW($M17)-1,MATCH(N$13,OFFSET($M17,1,0,ROW($M$89)-ROW($M17)-1),0)-1),0))</f>
        <v>71</v>
      </c>
      <c r="O17" s="194">
        <f ca="1">IF($F18=-1,0,IF(O$13&lt;=$M17,IF(ISERROR(MATCH(O$13,OFFSET($M17,1,0,ROW($M$89)-ROW($M17)-1),0)),ROW($M$89)-ROW($M17)-1,MATCH(O$13,OFFSET($M17,1,0,ROW($M$89)-ROW($M17)-1),0)-1),0))</f>
        <v>2</v>
      </c>
      <c r="P17" s="194">
        <f ca="1">IF($F18=-1,0,IF(P$13&lt;=$M17,IF(ISERROR(MATCH(P$13,OFFSET($M17,1,0,ROW($M$89)-ROW($M17)-1),0)),ROW($M$89)-ROW($M17)-1,MATCH(P$13,OFFSET($M17,1,0,ROW($M$89)-ROW($M17)-1),0)-1),0))</f>
        <v>0</v>
      </c>
      <c r="Q17" s="194">
        <f ca="1">IF($F18=-1,0,IF(Q$13&lt;=$M17,IF(ISERROR(MATCH(Q$13,OFFSET($M17,1,0,ROW($M$89)-ROW($M17)-1),0)),ROW($M$89)-ROW($M17)-1,MATCH(Q$13,OFFSET($M17,1,0,ROW($M$89)-ROW($M17)-1),0)-1),0))</f>
        <v>0</v>
      </c>
      <c r="R17" s="194">
        <f t="shared" ref="R17" ca="1" si="11">MIN(OFFSET(M17,0,1,,M17))</f>
        <v>2</v>
      </c>
      <c r="S17" s="195">
        <f ca="1">IF($F18=0,OFFSET(ORÇAMENTO!X$15,$F17,0),IF($F18&lt;&gt;-1,OFFSET(QCI!$O$13,$F18,0),""))</f>
        <v>0</v>
      </c>
      <c r="T17" s="196" t="s">
        <v>787</v>
      </c>
      <c r="U17" s="189" cm="1">
        <f t="array" aca="1" ref="U17" ca="1">IF(AND($R17=2,ACOMPANHAMENTO="BM"),ROUND(U18,4),U19/$S17)</f>
        <v>0.5</v>
      </c>
      <c r="V17" s="189" cm="1">
        <f t="array" aca="1" ref="V17" ca="1">IF(AND($R17=2,ACOMPANHAMENTO="BM"),ROUND(V18,4),V19/$S17)</f>
        <v>0.5</v>
      </c>
      <c r="W17" s="189" cm="1">
        <f t="array" aca="1" ref="W17" ca="1">IF(AND($R17=2,ACOMPANHAMENTO="BM"),ROUND(W18,4),W19/$S17)</f>
        <v>0</v>
      </c>
      <c r="X17" s="189" cm="1">
        <f t="array" aca="1" ref="X17" ca="1">IF(AND($R17=2,ACOMPANHAMENTO="BM"),ROUND(X18,4),X19/$S17)</f>
        <v>0</v>
      </c>
      <c r="Y17" s="189" cm="1">
        <f t="array" aca="1" ref="Y17" ca="1">IF(AND($R17=2,ACOMPANHAMENTO="BM"),ROUND(Y18,4),Y19/$S17)</f>
        <v>0</v>
      </c>
      <c r="Z17" s="189" cm="1">
        <f t="array" aca="1" ref="Z17" ca="1">IF(AND($R17=2,ACOMPANHAMENTO="BM"),ROUND(Z18,4),Z19/$S17)</f>
        <v>0</v>
      </c>
      <c r="AA17" s="189" cm="1">
        <f t="array" aca="1" ref="AA17" ca="1">IF(AND($R17=2,ACOMPANHAMENTO="BM"),ROUND(AA18,4),AA19/$S17)</f>
        <v>0</v>
      </c>
      <c r="AB17" s="189" cm="1">
        <f t="array" aca="1" ref="AB17" ca="1">IF(AND($R17=2,ACOMPANHAMENTO="BM"),ROUND(AB18,4),AB19/$S17)</f>
        <v>0</v>
      </c>
      <c r="AC17" s="189" cm="1">
        <f t="array" aca="1" ref="AC17" ca="1">IF(AND($R17=2,ACOMPANHAMENTO="BM"),ROUND(AC18,4),AC19/$S17)</f>
        <v>0</v>
      </c>
      <c r="AD17" s="189" cm="1">
        <f t="array" aca="1" ref="AD17" ca="1">IF(AND($R17=2,ACOMPANHAMENTO="BM"),ROUND(AD18,4),AD19/$S17)</f>
        <v>0</v>
      </c>
      <c r="AE17" s="189" cm="1">
        <f t="array" aca="1" ref="AE17" ca="1">IF(AND($R17=2,ACOMPANHAMENTO="BM"),ROUND(AE18,4),AE19/$S17)</f>
        <v>0</v>
      </c>
      <c r="AF17" s="189" cm="1">
        <f t="array" aca="1" ref="AF17" ca="1">IF(AND($R17=2,ACOMPANHAMENTO="BM"),ROUND(AF18,4),AF19/$S17)</f>
        <v>0</v>
      </c>
      <c r="AG17" s="535"/>
    </row>
    <row r="18" spans="1:33" ht="12.75" customHeight="1" x14ac:dyDescent="0.2">
      <c r="E18" s="590"/>
      <c r="F18" s="186">
        <f ca="1">IF(ISERROR(F17),IF(1+COUNTIF($M$13:OFFSET(M17,-1,0),1)&lt;=MAX(QCI!$D$13:$D$24),1+COUNTIF($M$13:OFFSET(M17,-1,0),1),-1),0)</f>
        <v>0</v>
      </c>
      <c r="G18" s="186" t="str" cm="1">
        <f t="array" aca="1" ref="G18" ca="1">IF(ACOMPANHAMENTO="BM",OFFSET(G18,-1,0),"")</f>
        <v/>
      </c>
      <c r="H18" s="197" t="str" cm="1">
        <f t="array" aca="1" ref="H18" ca="1">IF(OR(S17=0,S17=""),"vazia",IF(AND(OR(ACOMPANHAMENTO="PLE",$R17&lt;&gt;2),$F18=0),"calculada","--&gt;"))</f>
        <v>vazia</v>
      </c>
      <c r="I18" s="198"/>
      <c r="J18" s="199" t="str">
        <f t="shared" ref="J18" ca="1" si="12">IF(AND(H17&lt;&gt;0,ISNUMBER(H17)),"PREENCHA ESTA LINHA --&gt;","")</f>
        <v/>
      </c>
      <c r="K18" s="199"/>
      <c r="L18" s="199"/>
      <c r="M18" s="200"/>
      <c r="N18" s="200"/>
      <c r="O18" s="200"/>
      <c r="P18" s="200"/>
      <c r="Q18" s="200"/>
      <c r="R18" s="200"/>
      <c r="S18" s="201"/>
      <c r="T18" s="202"/>
      <c r="U18" s="590">
        <v>0.5</v>
      </c>
      <c r="V18" s="590">
        <v>0.5</v>
      </c>
      <c r="W18" s="590"/>
      <c r="X18" s="590"/>
      <c r="Y18" s="590"/>
      <c r="Z18" s="590"/>
      <c r="AA18" s="590"/>
      <c r="AB18" s="590"/>
      <c r="AC18" s="590"/>
      <c r="AD18" s="590"/>
      <c r="AE18" s="590"/>
      <c r="AF18" s="590"/>
      <c r="AG18" s="535"/>
    </row>
    <row r="19" spans="1:33" ht="12.75" customHeight="1" x14ac:dyDescent="0.2">
      <c r="D19" s="534"/>
      <c r="E19" s="203" cm="1">
        <f t="array" aca="1" ref="E19" ca="1">IF($R17=2,
         IF(AND(ACOMPANHAMENTO="PLE",ISNUMBER($F17)),
                SUMIF((OFFSET(CÁLCULO!$AM$15:$AW$15,$F17,0,OFFSET(ORÇAMENTO!$D$15,CRONO!$F17,0))),CRONO!E$12,OFFSET(CÁLCULO!$AB$15:$AL$15,$F17,0,OFFSET(ORÇAMENTO!$D$15,CRONO!$F17,0)))
                +IF(AND($F19&lt;&gt;"",$F19&lt;&gt;0),
                        SUMIF(CÁLCULO!$AM$15:$AW$405,CRONO!E$12,CÁLCULO!$AB$15:$AL$405)/(ORÇAMENTO!$X$15-_xlfn.SINGLE(CÁLCULO.TotalAdmLocal))*CRONO!$F19,
                        0),
                 E18*$S17),
          SUMIF(OFFSET($S19,1,0,$R17-2),($M17+1)&amp;"$",OFFSET(E19,1,0,$R17-2)))</f>
        <v>0</v>
      </c>
      <c r="F19" s="186" t="str">
        <f ca="1">IF(OR($R17&lt;&gt;2,AUTOEVENTO&lt;&gt;"manual",$F18&gt;0),"",
        IF(Import.TipoArredondamento="Tradicional",
              SUMIF(OFFSET(CÁLCULO!$M$15,CRONO!$F17,0,OFFSET(ORÇAMENTO!$D$15,CRONO!$F17,0)),1,OFFSET(ORÇAMENTO!$X$15,CRONO!$F17,0,OFFSET(ORÇAMENTO!$D$15,CRONO!$F17,0))),
              0))</f>
        <v/>
      </c>
      <c r="H19" s="204"/>
      <c r="S19" s="205" t="str">
        <f t="shared" ref="S19" ca="1" si="13">M17&amp;"$"</f>
        <v>2$</v>
      </c>
      <c r="T19" s="206"/>
      <c r="U19" s="203" cm="1">
        <f t="array" aca="1" ref="U19" ca="1">IF($R17=2,
         IF(AND(ACOMPANHAMENTO="PLE",ISNUMBER($F17)),
                SUMIF((OFFSET(CÁLCULO!$AM$15:$AW$15,$F17,0,OFFSET(ORÇAMENTO!$D$15,CRONO!$F17,0))),CRONO!U$12,OFFSET(CÁLCULO!$AB$15:$AL$15,$F17,0,OFFSET(ORÇAMENTO!$D$15,CRONO!$F17,0)))
                +IF(AND($F19&lt;&gt;"",$F19&lt;&gt;0),
                        SUMIF(CÁLCULO!$AM$15:$AW$405,CRONO!U$12,CÁLCULO!$AB$15:$AL$405)/(ORÇAMENTO!$X$15-_xlfn.SINGLE(CÁLCULO.TotalAdmLocal))*CRONO!$F19,
                        0),
                 U18*$S17),
          SUMIF(OFFSET($S19,1,0,$R17-2),($M17+1)&amp;"$",OFFSET(U19,1,0,$R17-2)))</f>
        <v>0</v>
      </c>
      <c r="V19" s="203" cm="1">
        <f t="array" aca="1" ref="V19" ca="1">IF($R17=2,
         IF(AND(ACOMPANHAMENTO="PLE",ISNUMBER($F17)),
                SUMIF((OFFSET(CÁLCULO!$AM$15:$AW$15,$F17,0,OFFSET(ORÇAMENTO!$D$15,CRONO!$F17,0))),CRONO!V$12,OFFSET(CÁLCULO!$AB$15:$AL$15,$F17,0,OFFSET(ORÇAMENTO!$D$15,CRONO!$F17,0)))
                +IF(AND($F19&lt;&gt;"",$F19&lt;&gt;0),
                        SUMIF(CÁLCULO!$AM$15:$AW$405,CRONO!V$12,CÁLCULO!$AB$15:$AL$405)/(ORÇAMENTO!$X$15-_xlfn.SINGLE(CÁLCULO.TotalAdmLocal))*CRONO!$F19,
                        0),
                 V18*$S17),
          SUMIF(OFFSET($S19,1,0,$R17-2),($M17+1)&amp;"$",OFFSET(V19,1,0,$R17-2)))</f>
        <v>0</v>
      </c>
      <c r="W19" s="203" cm="1">
        <f t="array" aca="1" ref="W19" ca="1">IF($R17=2,
         IF(AND(ACOMPANHAMENTO="PLE",ISNUMBER($F17)),
                SUMIF((OFFSET(CÁLCULO!$AM$15:$AW$15,$F17,0,OFFSET(ORÇAMENTO!$D$15,CRONO!$F17,0))),CRONO!W$12,OFFSET(CÁLCULO!$AB$15:$AL$15,$F17,0,OFFSET(ORÇAMENTO!$D$15,CRONO!$F17,0)))
                +IF(AND($F19&lt;&gt;"",$F19&lt;&gt;0),
                        SUMIF(CÁLCULO!$AM$15:$AW$405,CRONO!W$12,CÁLCULO!$AB$15:$AL$405)/(ORÇAMENTO!$X$15-_xlfn.SINGLE(CÁLCULO.TotalAdmLocal))*CRONO!$F19,
                        0),
                 W18*$S17),
          SUMIF(OFFSET($S19,1,0,$R17-2),($M17+1)&amp;"$",OFFSET(W19,1,0,$R17-2)))</f>
        <v>0</v>
      </c>
      <c r="X19" s="203" cm="1">
        <f t="array" aca="1" ref="X19" ca="1">IF($R17=2,
         IF(AND(ACOMPANHAMENTO="PLE",ISNUMBER($F17)),
                SUMIF((OFFSET(CÁLCULO!$AM$15:$AW$15,$F17,0,OFFSET(ORÇAMENTO!$D$15,CRONO!$F17,0))),CRONO!X$12,OFFSET(CÁLCULO!$AB$15:$AL$15,$F17,0,OFFSET(ORÇAMENTO!$D$15,CRONO!$F17,0)))
                +IF(AND($F19&lt;&gt;"",$F19&lt;&gt;0),
                        SUMIF(CÁLCULO!$AM$15:$AW$405,CRONO!X$12,CÁLCULO!$AB$15:$AL$405)/(ORÇAMENTO!$X$15-_xlfn.SINGLE(CÁLCULO.TotalAdmLocal))*CRONO!$F19,
                        0),
                 X18*$S17),
          SUMIF(OFFSET($S19,1,0,$R17-2),($M17+1)&amp;"$",OFFSET(X19,1,0,$R17-2)))</f>
        <v>0</v>
      </c>
      <c r="Y19" s="203" cm="1">
        <f t="array" aca="1" ref="Y19" ca="1">IF($R17=2,
         IF(AND(ACOMPANHAMENTO="PLE",ISNUMBER($F17)),
                SUMIF((OFFSET(CÁLCULO!$AM$15:$AW$15,$F17,0,OFFSET(ORÇAMENTO!$D$15,CRONO!$F17,0))),CRONO!Y$12,OFFSET(CÁLCULO!$AB$15:$AL$15,$F17,0,OFFSET(ORÇAMENTO!$D$15,CRONO!$F17,0)))
                +IF(AND($F19&lt;&gt;"",$F19&lt;&gt;0),
                        SUMIF(CÁLCULO!$AM$15:$AW$405,CRONO!Y$12,CÁLCULO!$AB$15:$AL$405)/(ORÇAMENTO!$X$15-_xlfn.SINGLE(CÁLCULO.TotalAdmLocal))*CRONO!$F19,
                        0),
                 Y18*$S17),
          SUMIF(OFFSET($S19,1,0,$R17-2),($M17+1)&amp;"$",OFFSET(Y19,1,0,$R17-2)))</f>
        <v>0</v>
      </c>
      <c r="Z19" s="203" cm="1">
        <f t="array" aca="1" ref="Z19" ca="1">IF($R17=2,
         IF(AND(ACOMPANHAMENTO="PLE",ISNUMBER($F17)),
                SUMIF((OFFSET(CÁLCULO!$AM$15:$AW$15,$F17,0,OFFSET(ORÇAMENTO!$D$15,CRONO!$F17,0))),CRONO!Z$12,OFFSET(CÁLCULO!$AB$15:$AL$15,$F17,0,OFFSET(ORÇAMENTO!$D$15,CRONO!$F17,0)))
                +IF(AND($F19&lt;&gt;"",$F19&lt;&gt;0),
                        SUMIF(CÁLCULO!$AM$15:$AW$405,CRONO!Z$12,CÁLCULO!$AB$15:$AL$405)/(ORÇAMENTO!$X$15-_xlfn.SINGLE(CÁLCULO.TotalAdmLocal))*CRONO!$F19,
                        0),
                 Z18*$S17),
          SUMIF(OFFSET($S19,1,0,$R17-2),($M17+1)&amp;"$",OFFSET(Z19,1,0,$R17-2)))</f>
        <v>0</v>
      </c>
      <c r="AA19" s="203" cm="1">
        <f t="array" aca="1" ref="AA19" ca="1">IF($R17=2,
         IF(AND(ACOMPANHAMENTO="PLE",ISNUMBER($F17)),
                SUMIF((OFFSET(CÁLCULO!$AM$15:$AW$15,$F17,0,OFFSET(ORÇAMENTO!$D$15,CRONO!$F17,0))),CRONO!AA$12,OFFSET(CÁLCULO!$AB$15:$AL$15,$F17,0,OFFSET(ORÇAMENTO!$D$15,CRONO!$F17,0)))
                +IF(AND($F19&lt;&gt;"",$F19&lt;&gt;0),
                        SUMIF(CÁLCULO!$AM$15:$AW$405,CRONO!AA$12,CÁLCULO!$AB$15:$AL$405)/(ORÇAMENTO!$X$15-_xlfn.SINGLE(CÁLCULO.TotalAdmLocal))*CRONO!$F19,
                        0),
                 AA18*$S17),
          SUMIF(OFFSET($S19,1,0,$R17-2),($M17+1)&amp;"$",OFFSET(AA19,1,0,$R17-2)))</f>
        <v>0</v>
      </c>
      <c r="AB19" s="203" cm="1">
        <f t="array" aca="1" ref="AB19" ca="1">IF($R17=2,
         IF(AND(ACOMPANHAMENTO="PLE",ISNUMBER($F17)),
                SUMIF((OFFSET(CÁLCULO!$AM$15:$AW$15,$F17,0,OFFSET(ORÇAMENTO!$D$15,CRONO!$F17,0))),CRONO!AB$12,OFFSET(CÁLCULO!$AB$15:$AL$15,$F17,0,OFFSET(ORÇAMENTO!$D$15,CRONO!$F17,0)))
                +IF(AND($F19&lt;&gt;"",$F19&lt;&gt;0),
                        SUMIF(CÁLCULO!$AM$15:$AW$405,CRONO!AB$12,CÁLCULO!$AB$15:$AL$405)/(ORÇAMENTO!$X$15-_xlfn.SINGLE(CÁLCULO.TotalAdmLocal))*CRONO!$F19,
                        0),
                 AB18*$S17),
          SUMIF(OFFSET($S19,1,0,$R17-2),($M17+1)&amp;"$",OFFSET(AB19,1,0,$R17-2)))</f>
        <v>0</v>
      </c>
      <c r="AC19" s="203" cm="1">
        <f t="array" aca="1" ref="AC19" ca="1">IF($R17=2,
         IF(AND(ACOMPANHAMENTO="PLE",ISNUMBER($F17)),
                SUMIF((OFFSET(CÁLCULO!$AM$15:$AW$15,$F17,0,OFFSET(ORÇAMENTO!$D$15,CRONO!$F17,0))),CRONO!AC$12,OFFSET(CÁLCULO!$AB$15:$AL$15,$F17,0,OFFSET(ORÇAMENTO!$D$15,CRONO!$F17,0)))
                +IF(AND($F19&lt;&gt;"",$F19&lt;&gt;0),
                        SUMIF(CÁLCULO!$AM$15:$AW$405,CRONO!AC$12,CÁLCULO!$AB$15:$AL$405)/(ORÇAMENTO!$X$15-_xlfn.SINGLE(CÁLCULO.TotalAdmLocal))*CRONO!$F19,
                        0),
                 AC18*$S17),
          SUMIF(OFFSET($S19,1,0,$R17-2),($M17+1)&amp;"$",OFFSET(AC19,1,0,$R17-2)))</f>
        <v>0</v>
      </c>
      <c r="AD19" s="203" cm="1">
        <f t="array" aca="1" ref="AD19" ca="1">IF($R17=2,
         IF(AND(ACOMPANHAMENTO="PLE",ISNUMBER($F17)),
                SUMIF((OFFSET(CÁLCULO!$AM$15:$AW$15,$F17,0,OFFSET(ORÇAMENTO!$D$15,CRONO!$F17,0))),CRONO!AD$12,OFFSET(CÁLCULO!$AB$15:$AL$15,$F17,0,OFFSET(ORÇAMENTO!$D$15,CRONO!$F17,0)))
                +IF(AND($F19&lt;&gt;"",$F19&lt;&gt;0),
                        SUMIF(CÁLCULO!$AM$15:$AW$405,CRONO!AD$12,CÁLCULO!$AB$15:$AL$405)/(ORÇAMENTO!$X$15-_xlfn.SINGLE(CÁLCULO.TotalAdmLocal))*CRONO!$F19,
                        0),
                 AD18*$S17),
          SUMIF(OFFSET($S19,1,0,$R17-2),($M17+1)&amp;"$",OFFSET(AD19,1,0,$R17-2)))</f>
        <v>0</v>
      </c>
      <c r="AE19" s="203" cm="1">
        <f t="array" aca="1" ref="AE19" ca="1">IF($R17=2,
         IF(AND(ACOMPANHAMENTO="PLE",ISNUMBER($F17)),
                SUMIF((OFFSET(CÁLCULO!$AM$15:$AW$15,$F17,0,OFFSET(ORÇAMENTO!$D$15,CRONO!$F17,0))),CRONO!AE$12,OFFSET(CÁLCULO!$AB$15:$AL$15,$F17,0,OFFSET(ORÇAMENTO!$D$15,CRONO!$F17,0)))
                +IF(AND($F19&lt;&gt;"",$F19&lt;&gt;0),
                        SUMIF(CÁLCULO!$AM$15:$AW$405,CRONO!AE$12,CÁLCULO!$AB$15:$AL$405)/(ORÇAMENTO!$X$15-_xlfn.SINGLE(CÁLCULO.TotalAdmLocal))*CRONO!$F19,
                        0),
                 AE18*$S17),
          SUMIF(OFFSET($S19,1,0,$R17-2),($M17+1)&amp;"$",OFFSET(AE19,1,0,$R17-2)))</f>
        <v>0</v>
      </c>
      <c r="AF19" s="203" cm="1">
        <f t="array" aca="1" ref="AF19" ca="1">IF($R17=2,
         IF(AND(ACOMPANHAMENTO="PLE",ISNUMBER($F17)),
                SUMIF((OFFSET(CÁLCULO!$AM$15:$AW$15,$F17,0,OFFSET(ORÇAMENTO!$D$15,CRONO!$F17,0))),CRONO!AF$12,OFFSET(CÁLCULO!$AB$15:$AL$15,$F17,0,OFFSET(ORÇAMENTO!$D$15,CRONO!$F17,0)))
                +IF(AND($F19&lt;&gt;"",$F19&lt;&gt;0),
                        SUMIF(CÁLCULO!$AM$15:$AW$405,CRONO!AF$12,CÁLCULO!$AB$15:$AL$405)/(ORÇAMENTO!$X$15-_xlfn.SINGLE(CÁLCULO.TotalAdmLocal))*CRONO!$F19,
                        0),
                 AF18*$S17),
          SUMIF(OFFSET($S19,1,0,$R17-2),($M17+1)&amp;"$",OFFSET(AF19,1,0,$R17-2)))</f>
        <v>0</v>
      </c>
      <c r="AG19" s="535"/>
    </row>
    <row r="20" spans="1:33" x14ac:dyDescent="0.2">
      <c r="A20" s="187" t="e">
        <f t="shared" ref="A20" ca="1" si="14">IF($M20&gt;1,_xlfn.CONCAT($I20," ",$J20),"")</f>
        <v>#NAME?</v>
      </c>
      <c r="B20" s="186">
        <f t="shared" ref="B20" ca="1" si="15">OFFSET(B20,-3,0)+1</f>
        <v>3</v>
      </c>
      <c r="C20" s="186">
        <f ca="1">IF($R20&lt;&gt;2,0,IF($S20=0,1,IF(F21&gt;0,OFFSET(QCI!$M$13,SUBSTITUTE(F21,".",""),0),OFFSET(ORÇAMENTO!$AA$15,CRONO!$F20,0))/$S20))</f>
        <v>1</v>
      </c>
      <c r="D20" s="186">
        <f ca="1">IF($R20&lt;&gt;2,0,IF($S20=0,1,IF(F21&gt;0,OFFSET(QCI!$N$13,SUBSTITUTE(F21,".",""),0),OFFSET(ORÇAMENTO!$AB$15,CRONO!$F20,0))/$S20))</f>
        <v>1</v>
      </c>
      <c r="E20" s="189" cm="1">
        <f t="array" aca="1" ref="E20" ca="1">IF(AND($R20=2,ACOMPANHAMENTO="BM"),ROUND(E21,4),E22/$S20)</f>
        <v>0</v>
      </c>
      <c r="F20" s="186">
        <f ca="1">IF(B20&lt;=ORÇAMENTO.MáximoListaCrono,MATCH(B20,ORÇAMENTO.ListaCrono,0),NA())</f>
        <v>6</v>
      </c>
      <c r="G20" s="186" t="str">
        <f t="shared" ref="G20" ca="1" si="16">IF(AND($F21&lt;&gt;-1,$S20&gt;0),"F","")</f>
        <v/>
      </c>
      <c r="H20" s="190" t="str" cm="1">
        <f t="array" aca="1" ref="H20" ca="1">IF(OR(S20=0,S20=""),"Linha",IF(AND(OR(ACOMPANHAMENTO="PLE",$R20&lt;&gt;2),$F21=0),"Linha",ROUND(1-SUM(U20:AG20),4)))</f>
        <v>Linha</v>
      </c>
      <c r="I20" s="191" t="str">
        <f ca="1">IF($F21=0,OFFSET(ORÇAMENTO!O$15,$F20,0),IF($F21&lt;&gt;-1,OFFSET(QCI!$D$13,$F21,0),""))</f>
        <v>1.2.</v>
      </c>
      <c r="J20" s="192" t="str">
        <f ca="1">IF($F21=0,OFFSET(ORÇAMENTO!R$15,$F20,0),IF($F21&lt;&gt;-1,OFFSET(QCI!$G$13,$F21,0),""))</f>
        <v>SERVIÇOS PRELIMINARES</v>
      </c>
      <c r="K20" s="192"/>
      <c r="L20" s="192"/>
      <c r="M20" s="193">
        <f ca="1">IF($F21=0,OFFSET(ORÇAMENTO!C$15,$F20,0),1)</f>
        <v>2</v>
      </c>
      <c r="N20" s="194">
        <f ca="1">IF($F21=-1,0,IF(N$13&lt;=$M20,IF(ISERROR(MATCH(N$13,OFFSET($M20,1,0,ROW($M$89)-ROW($M20)-1),0)),ROW($M$89)-ROW($M20)-1,MATCH(N$13,OFFSET($M20,1,0,ROW($M$89)-ROW($M20)-1),0)-1),0))</f>
        <v>68</v>
      </c>
      <c r="O20" s="194">
        <f ca="1">IF($F21=-1,0,IF(O$13&lt;=$M20,IF(ISERROR(MATCH(O$13,OFFSET($M20,1,0,ROW($M$89)-ROW($M20)-1),0)),ROW($M$89)-ROW($M20)-1,MATCH(O$13,OFFSET($M20,1,0,ROW($M$89)-ROW($M20)-1),0)-1),0))</f>
        <v>2</v>
      </c>
      <c r="P20" s="194">
        <f ca="1">IF($F21=-1,0,IF(P$13&lt;=$M20,IF(ISERROR(MATCH(P$13,OFFSET($M20,1,0,ROW($M$89)-ROW($M20)-1),0)),ROW($M$89)-ROW($M20)-1,MATCH(P$13,OFFSET($M20,1,0,ROW($M$89)-ROW($M20)-1),0)-1),0))</f>
        <v>0</v>
      </c>
      <c r="Q20" s="194">
        <f ca="1">IF($F21=-1,0,IF(Q$13&lt;=$M20,IF(ISERROR(MATCH(Q$13,OFFSET($M20,1,0,ROW($M$89)-ROW($M20)-1),0)),ROW($M$89)-ROW($M20)-1,MATCH(Q$13,OFFSET($M20,1,0,ROW($M$89)-ROW($M20)-1),0)-1),0))</f>
        <v>0</v>
      </c>
      <c r="R20" s="194">
        <f t="shared" ref="R20" ca="1" si="17">MIN(OFFSET(M20,0,1,,M20))</f>
        <v>2</v>
      </c>
      <c r="S20" s="195">
        <f ca="1">IF($F21=0,OFFSET(ORÇAMENTO!X$15,$F20,0),IF($F21&lt;&gt;-1,OFFSET(QCI!$O$13,$F21,0),""))</f>
        <v>0</v>
      </c>
      <c r="T20" s="196" t="s">
        <v>787</v>
      </c>
      <c r="U20" s="189" cm="1">
        <f t="array" aca="1" ref="U20" ca="1">IF(AND($R20=2,ACOMPANHAMENTO="BM"),ROUND(U21,4),U22/$S20)</f>
        <v>0.5</v>
      </c>
      <c r="V20" s="189" cm="1">
        <f t="array" aca="1" ref="V20" ca="1">IF(AND($R20=2,ACOMPANHAMENTO="BM"),ROUND(V21,4),V22/$S20)</f>
        <v>0.5</v>
      </c>
      <c r="W20" s="189" cm="1">
        <f t="array" aca="1" ref="W20" ca="1">IF(AND($R20=2,ACOMPANHAMENTO="BM"),ROUND(W21,4),W22/$S20)</f>
        <v>0</v>
      </c>
      <c r="X20" s="189" cm="1">
        <f t="array" aca="1" ref="X20" ca="1">IF(AND($R20=2,ACOMPANHAMENTO="BM"),ROUND(X21,4),X22/$S20)</f>
        <v>0</v>
      </c>
      <c r="Y20" s="189" cm="1">
        <f t="array" aca="1" ref="Y20" ca="1">IF(AND($R20=2,ACOMPANHAMENTO="BM"),ROUND(Y21,4),Y22/$S20)</f>
        <v>0</v>
      </c>
      <c r="Z20" s="189" cm="1">
        <f t="array" aca="1" ref="Z20" ca="1">IF(AND($R20=2,ACOMPANHAMENTO="BM"),ROUND(Z21,4),Z22/$S20)</f>
        <v>0</v>
      </c>
      <c r="AA20" s="189" cm="1">
        <f t="array" aca="1" ref="AA20" ca="1">IF(AND($R20=2,ACOMPANHAMENTO="BM"),ROUND(AA21,4),AA22/$S20)</f>
        <v>0</v>
      </c>
      <c r="AB20" s="189" cm="1">
        <f t="array" aca="1" ref="AB20" ca="1">IF(AND($R20=2,ACOMPANHAMENTO="BM"),ROUND(AB21,4),AB22/$S20)</f>
        <v>0</v>
      </c>
      <c r="AC20" s="189" cm="1">
        <f t="array" aca="1" ref="AC20" ca="1">IF(AND($R20=2,ACOMPANHAMENTO="BM"),ROUND(AC21,4),AC22/$S20)</f>
        <v>0</v>
      </c>
      <c r="AD20" s="189" cm="1">
        <f t="array" aca="1" ref="AD20" ca="1">IF(AND($R20=2,ACOMPANHAMENTO="BM"),ROUND(AD21,4),AD22/$S20)</f>
        <v>0</v>
      </c>
      <c r="AE20" s="189" cm="1">
        <f t="array" aca="1" ref="AE20" ca="1">IF(AND($R20=2,ACOMPANHAMENTO="BM"),ROUND(AE21,4),AE22/$S20)</f>
        <v>0</v>
      </c>
      <c r="AF20" s="189" cm="1">
        <f t="array" aca="1" ref="AF20" ca="1">IF(AND($R20=2,ACOMPANHAMENTO="BM"),ROUND(AF21,4),AF22/$S20)</f>
        <v>0</v>
      </c>
      <c r="AG20" s="535"/>
    </row>
    <row r="21" spans="1:33" ht="12.75" customHeight="1" x14ac:dyDescent="0.2">
      <c r="E21" s="590"/>
      <c r="F21" s="186">
        <f ca="1">IF(ISERROR(F20),IF(1+COUNTIF($M$13:OFFSET(M20,-1,0),1)&lt;=MAX(QCI!$D$13:$D$24),1+COUNTIF($M$13:OFFSET(M20,-1,0),1),-1),0)</f>
        <v>0</v>
      </c>
      <c r="G21" s="186" t="str" cm="1">
        <f t="array" aca="1" ref="G21" ca="1">IF(ACOMPANHAMENTO="BM",OFFSET(G21,-1,0),"")</f>
        <v/>
      </c>
      <c r="H21" s="197" t="str" cm="1">
        <f t="array" aca="1" ref="H21" ca="1">IF(OR(S20=0,S20=""),"vazia",IF(AND(OR(ACOMPANHAMENTO="PLE",$R20&lt;&gt;2),$F21=0),"calculada","--&gt;"))</f>
        <v>vazia</v>
      </c>
      <c r="I21" s="198"/>
      <c r="J21" s="199" t="str">
        <f t="shared" ref="J21" ca="1" si="18">IF(AND(H20&lt;&gt;0,ISNUMBER(H20)),"PREENCHA ESTA LINHA --&gt;","")</f>
        <v/>
      </c>
      <c r="K21" s="199"/>
      <c r="L21" s="199"/>
      <c r="M21" s="200"/>
      <c r="N21" s="200"/>
      <c r="O21" s="200"/>
      <c r="P21" s="200"/>
      <c r="Q21" s="200"/>
      <c r="R21" s="200"/>
      <c r="S21" s="201"/>
      <c r="T21" s="202"/>
      <c r="U21" s="590">
        <v>0.5</v>
      </c>
      <c r="V21" s="590">
        <v>0.5</v>
      </c>
      <c r="W21" s="590"/>
      <c r="X21" s="590"/>
      <c r="Y21" s="590"/>
      <c r="Z21" s="590"/>
      <c r="AA21" s="590"/>
      <c r="AB21" s="590"/>
      <c r="AC21" s="590"/>
      <c r="AD21" s="590"/>
      <c r="AE21" s="590"/>
      <c r="AF21" s="590"/>
      <c r="AG21" s="535"/>
    </row>
    <row r="22" spans="1:33" ht="12.75" customHeight="1" x14ac:dyDescent="0.2">
      <c r="D22" s="534"/>
      <c r="E22" s="203" cm="1">
        <f t="array" aca="1" ref="E22" ca="1">IF($R20=2,
         IF(AND(ACOMPANHAMENTO="PLE",ISNUMBER($F20)),
                SUMIF((OFFSET(CÁLCULO!$AM$15:$AW$15,$F20,0,OFFSET(ORÇAMENTO!$D$15,CRONO!$F20,0))),CRONO!E$12,OFFSET(CÁLCULO!$AB$15:$AL$15,$F20,0,OFFSET(ORÇAMENTO!$D$15,CRONO!$F20,0)))
                +IF(AND($F22&lt;&gt;"",$F22&lt;&gt;0),
                        SUMIF(CÁLCULO!$AM$15:$AW$405,CRONO!E$12,CÁLCULO!$AB$15:$AL$405)/(ORÇAMENTO!$X$15-_xlfn.SINGLE(CÁLCULO.TotalAdmLocal))*CRONO!$F22,
                        0),
                 E21*$S20),
          SUMIF(OFFSET($S22,1,0,$R20-2),($M20+1)&amp;"$",OFFSET(E22,1,0,$R20-2)))</f>
        <v>0</v>
      </c>
      <c r="F22" s="186" t="str">
        <f ca="1">IF(OR($R20&lt;&gt;2,AUTOEVENTO&lt;&gt;"manual",$F21&gt;0),"",
        IF(Import.TipoArredondamento="Tradicional",
              SUMIF(OFFSET(CÁLCULO!$M$15,CRONO!$F20,0,OFFSET(ORÇAMENTO!$D$15,CRONO!$F20,0)),1,OFFSET(ORÇAMENTO!$X$15,CRONO!$F20,0,OFFSET(ORÇAMENTO!$D$15,CRONO!$F20,0))),
              0))</f>
        <v/>
      </c>
      <c r="H22" s="204"/>
      <c r="S22" s="205" t="str">
        <f t="shared" ref="S22" ca="1" si="19">M20&amp;"$"</f>
        <v>2$</v>
      </c>
      <c r="T22" s="206"/>
      <c r="U22" s="203" cm="1">
        <f t="array" aca="1" ref="U22" ca="1">IF($R20=2,
         IF(AND(ACOMPANHAMENTO="PLE",ISNUMBER($F20)),
                SUMIF((OFFSET(CÁLCULO!$AM$15:$AW$15,$F20,0,OFFSET(ORÇAMENTO!$D$15,CRONO!$F20,0))),CRONO!U$12,OFFSET(CÁLCULO!$AB$15:$AL$15,$F20,0,OFFSET(ORÇAMENTO!$D$15,CRONO!$F20,0)))
                +IF(AND($F22&lt;&gt;"",$F22&lt;&gt;0),
                        SUMIF(CÁLCULO!$AM$15:$AW$405,CRONO!U$12,CÁLCULO!$AB$15:$AL$405)/(ORÇAMENTO!$X$15-_xlfn.SINGLE(CÁLCULO.TotalAdmLocal))*CRONO!$F22,
                        0),
                 U21*$S20),
          SUMIF(OFFSET($S22,1,0,$R20-2),($M20+1)&amp;"$",OFFSET(U22,1,0,$R20-2)))</f>
        <v>0</v>
      </c>
      <c r="V22" s="203" cm="1">
        <f t="array" aca="1" ref="V22" ca="1">IF($R20=2,
         IF(AND(ACOMPANHAMENTO="PLE",ISNUMBER($F20)),
                SUMIF((OFFSET(CÁLCULO!$AM$15:$AW$15,$F20,0,OFFSET(ORÇAMENTO!$D$15,CRONO!$F20,0))),CRONO!V$12,OFFSET(CÁLCULO!$AB$15:$AL$15,$F20,0,OFFSET(ORÇAMENTO!$D$15,CRONO!$F20,0)))
                +IF(AND($F22&lt;&gt;"",$F22&lt;&gt;0),
                        SUMIF(CÁLCULO!$AM$15:$AW$405,CRONO!V$12,CÁLCULO!$AB$15:$AL$405)/(ORÇAMENTO!$X$15-_xlfn.SINGLE(CÁLCULO.TotalAdmLocal))*CRONO!$F22,
                        0),
                 V21*$S20),
          SUMIF(OFFSET($S22,1,0,$R20-2),($M20+1)&amp;"$",OFFSET(V22,1,0,$R20-2)))</f>
        <v>0</v>
      </c>
      <c r="W22" s="203" cm="1">
        <f t="array" aca="1" ref="W22" ca="1">IF($R20=2,
         IF(AND(ACOMPANHAMENTO="PLE",ISNUMBER($F20)),
                SUMIF((OFFSET(CÁLCULO!$AM$15:$AW$15,$F20,0,OFFSET(ORÇAMENTO!$D$15,CRONO!$F20,0))),CRONO!W$12,OFFSET(CÁLCULO!$AB$15:$AL$15,$F20,0,OFFSET(ORÇAMENTO!$D$15,CRONO!$F20,0)))
                +IF(AND($F22&lt;&gt;"",$F22&lt;&gt;0),
                        SUMIF(CÁLCULO!$AM$15:$AW$405,CRONO!W$12,CÁLCULO!$AB$15:$AL$405)/(ORÇAMENTO!$X$15-_xlfn.SINGLE(CÁLCULO.TotalAdmLocal))*CRONO!$F22,
                        0),
                 W21*$S20),
          SUMIF(OFFSET($S22,1,0,$R20-2),($M20+1)&amp;"$",OFFSET(W22,1,0,$R20-2)))</f>
        <v>0</v>
      </c>
      <c r="X22" s="203" cm="1">
        <f t="array" aca="1" ref="X22" ca="1">IF($R20=2,
         IF(AND(ACOMPANHAMENTO="PLE",ISNUMBER($F20)),
                SUMIF((OFFSET(CÁLCULO!$AM$15:$AW$15,$F20,0,OFFSET(ORÇAMENTO!$D$15,CRONO!$F20,0))),CRONO!X$12,OFFSET(CÁLCULO!$AB$15:$AL$15,$F20,0,OFFSET(ORÇAMENTO!$D$15,CRONO!$F20,0)))
                +IF(AND($F22&lt;&gt;"",$F22&lt;&gt;0),
                        SUMIF(CÁLCULO!$AM$15:$AW$405,CRONO!X$12,CÁLCULO!$AB$15:$AL$405)/(ORÇAMENTO!$X$15-_xlfn.SINGLE(CÁLCULO.TotalAdmLocal))*CRONO!$F22,
                        0),
                 X21*$S20),
          SUMIF(OFFSET($S22,1,0,$R20-2),($M20+1)&amp;"$",OFFSET(X22,1,0,$R20-2)))</f>
        <v>0</v>
      </c>
      <c r="Y22" s="203" cm="1">
        <f t="array" aca="1" ref="Y22" ca="1">IF($R20=2,
         IF(AND(ACOMPANHAMENTO="PLE",ISNUMBER($F20)),
                SUMIF((OFFSET(CÁLCULO!$AM$15:$AW$15,$F20,0,OFFSET(ORÇAMENTO!$D$15,CRONO!$F20,0))),CRONO!Y$12,OFFSET(CÁLCULO!$AB$15:$AL$15,$F20,0,OFFSET(ORÇAMENTO!$D$15,CRONO!$F20,0)))
                +IF(AND($F22&lt;&gt;"",$F22&lt;&gt;0),
                        SUMIF(CÁLCULO!$AM$15:$AW$405,CRONO!Y$12,CÁLCULO!$AB$15:$AL$405)/(ORÇAMENTO!$X$15-_xlfn.SINGLE(CÁLCULO.TotalAdmLocal))*CRONO!$F22,
                        0),
                 Y21*$S20),
          SUMIF(OFFSET($S22,1,0,$R20-2),($M20+1)&amp;"$",OFFSET(Y22,1,0,$R20-2)))</f>
        <v>0</v>
      </c>
      <c r="Z22" s="203" cm="1">
        <f t="array" aca="1" ref="Z22" ca="1">IF($R20=2,
         IF(AND(ACOMPANHAMENTO="PLE",ISNUMBER($F20)),
                SUMIF((OFFSET(CÁLCULO!$AM$15:$AW$15,$F20,0,OFFSET(ORÇAMENTO!$D$15,CRONO!$F20,0))),CRONO!Z$12,OFFSET(CÁLCULO!$AB$15:$AL$15,$F20,0,OFFSET(ORÇAMENTO!$D$15,CRONO!$F20,0)))
                +IF(AND($F22&lt;&gt;"",$F22&lt;&gt;0),
                        SUMIF(CÁLCULO!$AM$15:$AW$405,CRONO!Z$12,CÁLCULO!$AB$15:$AL$405)/(ORÇAMENTO!$X$15-_xlfn.SINGLE(CÁLCULO.TotalAdmLocal))*CRONO!$F22,
                        0),
                 Z21*$S20),
          SUMIF(OFFSET($S22,1,0,$R20-2),($M20+1)&amp;"$",OFFSET(Z22,1,0,$R20-2)))</f>
        <v>0</v>
      </c>
      <c r="AA22" s="203" cm="1">
        <f t="array" aca="1" ref="AA22" ca="1">IF($R20=2,
         IF(AND(ACOMPANHAMENTO="PLE",ISNUMBER($F20)),
                SUMIF((OFFSET(CÁLCULO!$AM$15:$AW$15,$F20,0,OFFSET(ORÇAMENTO!$D$15,CRONO!$F20,0))),CRONO!AA$12,OFFSET(CÁLCULO!$AB$15:$AL$15,$F20,0,OFFSET(ORÇAMENTO!$D$15,CRONO!$F20,0)))
                +IF(AND($F22&lt;&gt;"",$F22&lt;&gt;0),
                        SUMIF(CÁLCULO!$AM$15:$AW$405,CRONO!AA$12,CÁLCULO!$AB$15:$AL$405)/(ORÇAMENTO!$X$15-_xlfn.SINGLE(CÁLCULO.TotalAdmLocal))*CRONO!$F22,
                        0),
                 AA21*$S20),
          SUMIF(OFFSET($S22,1,0,$R20-2),($M20+1)&amp;"$",OFFSET(AA22,1,0,$R20-2)))</f>
        <v>0</v>
      </c>
      <c r="AB22" s="203" cm="1">
        <f t="array" aca="1" ref="AB22" ca="1">IF($R20=2,
         IF(AND(ACOMPANHAMENTO="PLE",ISNUMBER($F20)),
                SUMIF((OFFSET(CÁLCULO!$AM$15:$AW$15,$F20,0,OFFSET(ORÇAMENTO!$D$15,CRONO!$F20,0))),CRONO!AB$12,OFFSET(CÁLCULO!$AB$15:$AL$15,$F20,0,OFFSET(ORÇAMENTO!$D$15,CRONO!$F20,0)))
                +IF(AND($F22&lt;&gt;"",$F22&lt;&gt;0),
                        SUMIF(CÁLCULO!$AM$15:$AW$405,CRONO!AB$12,CÁLCULO!$AB$15:$AL$405)/(ORÇAMENTO!$X$15-_xlfn.SINGLE(CÁLCULO.TotalAdmLocal))*CRONO!$F22,
                        0),
                 AB21*$S20),
          SUMIF(OFFSET($S22,1,0,$R20-2),($M20+1)&amp;"$",OFFSET(AB22,1,0,$R20-2)))</f>
        <v>0</v>
      </c>
      <c r="AC22" s="203" cm="1">
        <f t="array" aca="1" ref="AC22" ca="1">IF($R20=2,
         IF(AND(ACOMPANHAMENTO="PLE",ISNUMBER($F20)),
                SUMIF((OFFSET(CÁLCULO!$AM$15:$AW$15,$F20,0,OFFSET(ORÇAMENTO!$D$15,CRONO!$F20,0))),CRONO!AC$12,OFFSET(CÁLCULO!$AB$15:$AL$15,$F20,0,OFFSET(ORÇAMENTO!$D$15,CRONO!$F20,0)))
                +IF(AND($F22&lt;&gt;"",$F22&lt;&gt;0),
                        SUMIF(CÁLCULO!$AM$15:$AW$405,CRONO!AC$12,CÁLCULO!$AB$15:$AL$405)/(ORÇAMENTO!$X$15-_xlfn.SINGLE(CÁLCULO.TotalAdmLocal))*CRONO!$F22,
                        0),
                 AC21*$S20),
          SUMIF(OFFSET($S22,1,0,$R20-2),($M20+1)&amp;"$",OFFSET(AC22,1,0,$R20-2)))</f>
        <v>0</v>
      </c>
      <c r="AD22" s="203" cm="1">
        <f t="array" aca="1" ref="AD22" ca="1">IF($R20=2,
         IF(AND(ACOMPANHAMENTO="PLE",ISNUMBER($F20)),
                SUMIF((OFFSET(CÁLCULO!$AM$15:$AW$15,$F20,0,OFFSET(ORÇAMENTO!$D$15,CRONO!$F20,0))),CRONO!AD$12,OFFSET(CÁLCULO!$AB$15:$AL$15,$F20,0,OFFSET(ORÇAMENTO!$D$15,CRONO!$F20,0)))
                +IF(AND($F22&lt;&gt;"",$F22&lt;&gt;0),
                        SUMIF(CÁLCULO!$AM$15:$AW$405,CRONO!AD$12,CÁLCULO!$AB$15:$AL$405)/(ORÇAMENTO!$X$15-_xlfn.SINGLE(CÁLCULO.TotalAdmLocal))*CRONO!$F22,
                        0),
                 AD21*$S20),
          SUMIF(OFFSET($S22,1,0,$R20-2),($M20+1)&amp;"$",OFFSET(AD22,1,0,$R20-2)))</f>
        <v>0</v>
      </c>
      <c r="AE22" s="203" cm="1">
        <f t="array" aca="1" ref="AE22" ca="1">IF($R20=2,
         IF(AND(ACOMPANHAMENTO="PLE",ISNUMBER($F20)),
                SUMIF((OFFSET(CÁLCULO!$AM$15:$AW$15,$F20,0,OFFSET(ORÇAMENTO!$D$15,CRONO!$F20,0))),CRONO!AE$12,OFFSET(CÁLCULO!$AB$15:$AL$15,$F20,0,OFFSET(ORÇAMENTO!$D$15,CRONO!$F20,0)))
                +IF(AND($F22&lt;&gt;"",$F22&lt;&gt;0),
                        SUMIF(CÁLCULO!$AM$15:$AW$405,CRONO!AE$12,CÁLCULO!$AB$15:$AL$405)/(ORÇAMENTO!$X$15-_xlfn.SINGLE(CÁLCULO.TotalAdmLocal))*CRONO!$F22,
                        0),
                 AE21*$S20),
          SUMIF(OFFSET($S22,1,0,$R20-2),($M20+1)&amp;"$",OFFSET(AE22,1,0,$R20-2)))</f>
        <v>0</v>
      </c>
      <c r="AF22" s="203" cm="1">
        <f t="array" aca="1" ref="AF22" ca="1">IF($R20=2,
         IF(AND(ACOMPANHAMENTO="PLE",ISNUMBER($F20)),
                SUMIF((OFFSET(CÁLCULO!$AM$15:$AW$15,$F20,0,OFFSET(ORÇAMENTO!$D$15,CRONO!$F20,0))),CRONO!AF$12,OFFSET(CÁLCULO!$AB$15:$AL$15,$F20,0,OFFSET(ORÇAMENTO!$D$15,CRONO!$F20,0)))
                +IF(AND($F22&lt;&gt;"",$F22&lt;&gt;0),
                        SUMIF(CÁLCULO!$AM$15:$AW$405,CRONO!AF$12,CÁLCULO!$AB$15:$AL$405)/(ORÇAMENTO!$X$15-_xlfn.SINGLE(CÁLCULO.TotalAdmLocal))*CRONO!$F22,
                        0),
                 AF21*$S20),
          SUMIF(OFFSET($S22,1,0,$R20-2),($M20+1)&amp;"$",OFFSET(AF22,1,0,$R20-2)))</f>
        <v>0</v>
      </c>
      <c r="AG22" s="535"/>
    </row>
    <row r="23" spans="1:33" x14ac:dyDescent="0.2">
      <c r="A23" s="187" t="e">
        <f t="shared" ref="A23" ca="1" si="20">IF($M23&gt;1,_xlfn.CONCAT($I23," ",$J23),"")</f>
        <v>#NAME?</v>
      </c>
      <c r="B23" s="186">
        <f t="shared" ref="B23" ca="1" si="21">OFFSET(B23,-3,0)+1</f>
        <v>4</v>
      </c>
      <c r="C23" s="186">
        <f ca="1">IF($R23&lt;&gt;2,0,IF($S23=0,1,IF(F24&gt;0,OFFSET(QCI!$M$13,SUBSTITUTE(F24,".",""),0),OFFSET(ORÇAMENTO!$AA$15,CRONO!$F23,0))/$S23))</f>
        <v>1</v>
      </c>
      <c r="D23" s="186">
        <f ca="1">IF($R23&lt;&gt;2,0,IF($S23=0,1,IF(F24&gt;0,OFFSET(QCI!$N$13,SUBSTITUTE(F24,".",""),0),OFFSET(ORÇAMENTO!$AB$15,CRONO!$F23,0))/$S23))</f>
        <v>1</v>
      </c>
      <c r="E23" s="189" cm="1">
        <f t="array" aca="1" ref="E23" ca="1">IF(AND($R23=2,ACOMPANHAMENTO="BM"),ROUND(E24,4),E25/$S23)</f>
        <v>0</v>
      </c>
      <c r="F23" s="186">
        <f ca="1">IF(B23&lt;=ORÇAMENTO.MáximoListaCrono,MATCH(B23,ORÇAMENTO.ListaCrono,0),NA())</f>
        <v>13</v>
      </c>
      <c r="G23" s="186" t="str">
        <f t="shared" ref="G23" ca="1" si="22">IF(AND($F24&lt;&gt;-1,$S23&gt;0),"F","")</f>
        <v/>
      </c>
      <c r="H23" s="190" t="str" cm="1">
        <f t="array" aca="1" ref="H23" ca="1">IF(OR(S23=0,S23=""),"Linha",IF(AND(OR(ACOMPANHAMENTO="PLE",$R23&lt;&gt;2),$F24=0),"Linha",ROUND(1-SUM(U23:AG23),4)))</f>
        <v>Linha</v>
      </c>
      <c r="I23" s="191" t="str">
        <f ca="1">IF($F24=0,OFFSET(ORÇAMENTO!O$15,$F23,0),IF($F24&lt;&gt;-1,OFFSET(QCI!$D$13,$F24,0),""))</f>
        <v>1.3.</v>
      </c>
      <c r="J23" s="192" t="str">
        <f ca="1">IF($F24=0,OFFSET(ORÇAMENTO!R$15,$F23,0),IF($F24&lt;&gt;-1,OFFSET(QCI!$G$13,$F24,0),""))</f>
        <v>FUNDAÇÃO</v>
      </c>
      <c r="K23" s="192"/>
      <c r="L23" s="192"/>
      <c r="M23" s="193">
        <f ca="1">IF($F24=0,OFFSET(ORÇAMENTO!C$15,$F23,0),1)</f>
        <v>2</v>
      </c>
      <c r="N23" s="194">
        <f ca="1">IF($F24=-1,0,IF(N$13&lt;=$M23,IF(ISERROR(MATCH(N$13,OFFSET($M23,1,0,ROW($M$89)-ROW($M23)-1),0)),ROW($M$89)-ROW($M23)-1,MATCH(N$13,OFFSET($M23,1,0,ROW($M$89)-ROW($M23)-1),0)-1),0))</f>
        <v>65</v>
      </c>
      <c r="O23" s="194">
        <f ca="1">IF($F24=-1,0,IF(O$13&lt;=$M23,IF(ISERROR(MATCH(O$13,OFFSET($M23,1,0,ROW($M$89)-ROW($M23)-1),0)),ROW($M$89)-ROW($M23)-1,MATCH(O$13,OFFSET($M23,1,0,ROW($M$89)-ROW($M23)-1),0)-1),0))</f>
        <v>2</v>
      </c>
      <c r="P23" s="194">
        <f ca="1">IF($F24=-1,0,IF(P$13&lt;=$M23,IF(ISERROR(MATCH(P$13,OFFSET($M23,1,0,ROW($M$89)-ROW($M23)-1),0)),ROW($M$89)-ROW($M23)-1,MATCH(P$13,OFFSET($M23,1,0,ROW($M$89)-ROW($M23)-1),0)-1),0))</f>
        <v>0</v>
      </c>
      <c r="Q23" s="194">
        <f ca="1">IF($F24=-1,0,IF(Q$13&lt;=$M23,IF(ISERROR(MATCH(Q$13,OFFSET($M23,1,0,ROW($M$89)-ROW($M23)-1),0)),ROW($M$89)-ROW($M23)-1,MATCH(Q$13,OFFSET($M23,1,0,ROW($M$89)-ROW($M23)-1),0)-1),0))</f>
        <v>0</v>
      </c>
      <c r="R23" s="194">
        <f t="shared" ref="R23" ca="1" si="23">MIN(OFFSET(M23,0,1,,M23))</f>
        <v>2</v>
      </c>
      <c r="S23" s="195">
        <f ca="1">IF($F24=0,OFFSET(ORÇAMENTO!X$15,$F23,0),IF($F24&lt;&gt;-1,OFFSET(QCI!$O$13,$F24,0),""))</f>
        <v>0</v>
      </c>
      <c r="T23" s="196" t="s">
        <v>787</v>
      </c>
      <c r="U23" s="189" cm="1">
        <f t="array" aca="1" ref="U23" ca="1">IF(AND($R23=2,ACOMPANHAMENTO="BM"),ROUND(U24,4),U25/$S23)</f>
        <v>0</v>
      </c>
      <c r="V23" s="189" cm="1">
        <f t="array" aca="1" ref="V23" ca="1">IF(AND($R23=2,ACOMPANHAMENTO="BM"),ROUND(V24,4),V25/$S23)</f>
        <v>0</v>
      </c>
      <c r="W23" s="189" cm="1">
        <f t="array" aca="1" ref="W23" ca="1">IF(AND($R23=2,ACOMPANHAMENTO="BM"),ROUND(W24,4),W25/$S23)</f>
        <v>1</v>
      </c>
      <c r="X23" s="189" cm="1">
        <f t="array" aca="1" ref="X23" ca="1">IF(AND($R23=2,ACOMPANHAMENTO="BM"),ROUND(X24,4),X25/$S23)</f>
        <v>0</v>
      </c>
      <c r="Y23" s="189" cm="1">
        <f t="array" aca="1" ref="Y23" ca="1">IF(AND($R23=2,ACOMPANHAMENTO="BM"),ROUND(Y24,4),Y25/$S23)</f>
        <v>0</v>
      </c>
      <c r="Z23" s="189" cm="1">
        <f t="array" aca="1" ref="Z23" ca="1">IF(AND($R23=2,ACOMPANHAMENTO="BM"),ROUND(Z24,4),Z25/$S23)</f>
        <v>0</v>
      </c>
      <c r="AA23" s="189" cm="1">
        <f t="array" aca="1" ref="AA23" ca="1">IF(AND($R23=2,ACOMPANHAMENTO="BM"),ROUND(AA24,4),AA25/$S23)</f>
        <v>0</v>
      </c>
      <c r="AB23" s="189" cm="1">
        <f t="array" aca="1" ref="AB23" ca="1">IF(AND($R23=2,ACOMPANHAMENTO="BM"),ROUND(AB24,4),AB25/$S23)</f>
        <v>0</v>
      </c>
      <c r="AC23" s="189" cm="1">
        <f t="array" aca="1" ref="AC23" ca="1">IF(AND($R23=2,ACOMPANHAMENTO="BM"),ROUND(AC24,4),AC25/$S23)</f>
        <v>0</v>
      </c>
      <c r="AD23" s="189" cm="1">
        <f t="array" aca="1" ref="AD23" ca="1">IF(AND($R23=2,ACOMPANHAMENTO="BM"),ROUND(AD24,4),AD25/$S23)</f>
        <v>0</v>
      </c>
      <c r="AE23" s="189" cm="1">
        <f t="array" aca="1" ref="AE23" ca="1">IF(AND($R23=2,ACOMPANHAMENTO="BM"),ROUND(AE24,4),AE25/$S23)</f>
        <v>0</v>
      </c>
      <c r="AF23" s="189" cm="1">
        <f t="array" aca="1" ref="AF23" ca="1">IF(AND($R23=2,ACOMPANHAMENTO="BM"),ROUND(AF24,4),AF25/$S23)</f>
        <v>0</v>
      </c>
      <c r="AG23" s="535"/>
    </row>
    <row r="24" spans="1:33" ht="12.75" customHeight="1" x14ac:dyDescent="0.2">
      <c r="E24" s="590"/>
      <c r="F24" s="186">
        <f ca="1">IF(ISERROR(F23),IF(1+COUNTIF($M$13:OFFSET(M23,-1,0),1)&lt;=MAX(QCI!$D$13:$D$24),1+COUNTIF($M$13:OFFSET(M23,-1,0),1),-1),0)</f>
        <v>0</v>
      </c>
      <c r="G24" s="186" t="str" cm="1">
        <f t="array" aca="1" ref="G24" ca="1">IF(ACOMPANHAMENTO="BM",OFFSET(G24,-1,0),"")</f>
        <v/>
      </c>
      <c r="H24" s="197" t="str" cm="1">
        <f t="array" aca="1" ref="H24" ca="1">IF(OR(S23=0,S23=""),"vazia",IF(AND(OR(ACOMPANHAMENTO="PLE",$R23&lt;&gt;2),$F24=0),"calculada","--&gt;"))</f>
        <v>vazia</v>
      </c>
      <c r="I24" s="198"/>
      <c r="J24" s="199" t="str">
        <f t="shared" ref="J24" ca="1" si="24">IF(AND(H23&lt;&gt;0,ISNUMBER(H23)),"PREENCHA ESTA LINHA --&gt;","")</f>
        <v/>
      </c>
      <c r="K24" s="199"/>
      <c r="L24" s="199"/>
      <c r="M24" s="200"/>
      <c r="N24" s="200"/>
      <c r="O24" s="200"/>
      <c r="P24" s="200"/>
      <c r="Q24" s="200"/>
      <c r="R24" s="200"/>
      <c r="S24" s="201"/>
      <c r="T24" s="202"/>
      <c r="U24" s="590"/>
      <c r="V24" s="590"/>
      <c r="W24" s="590">
        <v>1</v>
      </c>
      <c r="X24" s="590"/>
      <c r="Y24" s="590"/>
      <c r="Z24" s="590"/>
      <c r="AA24" s="590"/>
      <c r="AB24" s="590"/>
      <c r="AC24" s="590"/>
      <c r="AD24" s="590"/>
      <c r="AE24" s="590"/>
      <c r="AF24" s="590"/>
      <c r="AG24" s="535"/>
    </row>
    <row r="25" spans="1:33" ht="12.75" customHeight="1" x14ac:dyDescent="0.2">
      <c r="D25" s="534"/>
      <c r="E25" s="203" cm="1">
        <f t="array" aca="1" ref="E25" ca="1">IF($R23=2,
         IF(AND(ACOMPANHAMENTO="PLE",ISNUMBER($F23)),
                SUMIF((OFFSET(CÁLCULO!$AM$15:$AW$15,$F23,0,OFFSET(ORÇAMENTO!$D$15,CRONO!$F23,0))),CRONO!E$12,OFFSET(CÁLCULO!$AB$15:$AL$15,$F23,0,OFFSET(ORÇAMENTO!$D$15,CRONO!$F23,0)))
                +IF(AND($F25&lt;&gt;"",$F25&lt;&gt;0),
                        SUMIF(CÁLCULO!$AM$15:$AW$405,CRONO!E$12,CÁLCULO!$AB$15:$AL$405)/(ORÇAMENTO!$X$15-_xlfn.SINGLE(CÁLCULO.TotalAdmLocal))*CRONO!$F25,
                        0),
                 E24*$S23),
          SUMIF(OFFSET($S25,1,0,$R23-2),($M23+1)&amp;"$",OFFSET(E25,1,0,$R23-2)))</f>
        <v>0</v>
      </c>
      <c r="F25" s="186" t="str">
        <f ca="1">IF(OR($R23&lt;&gt;2,AUTOEVENTO&lt;&gt;"manual",$F24&gt;0),"",
        IF(Import.TipoArredondamento="Tradicional",
              SUMIF(OFFSET(CÁLCULO!$M$15,CRONO!$F23,0,OFFSET(ORÇAMENTO!$D$15,CRONO!$F23,0)),1,OFFSET(ORÇAMENTO!$X$15,CRONO!$F23,0,OFFSET(ORÇAMENTO!$D$15,CRONO!$F23,0))),
              0))</f>
        <v/>
      </c>
      <c r="H25" s="204"/>
      <c r="S25" s="205" t="str">
        <f t="shared" ref="S25" ca="1" si="25">M23&amp;"$"</f>
        <v>2$</v>
      </c>
      <c r="T25" s="206"/>
      <c r="U25" s="203" cm="1">
        <f t="array" aca="1" ref="U25" ca="1">IF($R23=2,
         IF(AND(ACOMPANHAMENTO="PLE",ISNUMBER($F23)),
                SUMIF((OFFSET(CÁLCULO!$AM$15:$AW$15,$F23,0,OFFSET(ORÇAMENTO!$D$15,CRONO!$F23,0))),CRONO!U$12,OFFSET(CÁLCULO!$AB$15:$AL$15,$F23,0,OFFSET(ORÇAMENTO!$D$15,CRONO!$F23,0)))
                +IF(AND($F25&lt;&gt;"",$F25&lt;&gt;0),
                        SUMIF(CÁLCULO!$AM$15:$AW$405,CRONO!U$12,CÁLCULO!$AB$15:$AL$405)/(ORÇAMENTO!$X$15-_xlfn.SINGLE(CÁLCULO.TotalAdmLocal))*CRONO!$F25,
                        0),
                 U24*$S23),
          SUMIF(OFFSET($S25,1,0,$R23-2),($M23+1)&amp;"$",OFFSET(U25,1,0,$R23-2)))</f>
        <v>0</v>
      </c>
      <c r="V25" s="203" cm="1">
        <f t="array" aca="1" ref="V25" ca="1">IF($R23=2,
         IF(AND(ACOMPANHAMENTO="PLE",ISNUMBER($F23)),
                SUMIF((OFFSET(CÁLCULO!$AM$15:$AW$15,$F23,0,OFFSET(ORÇAMENTO!$D$15,CRONO!$F23,0))),CRONO!V$12,OFFSET(CÁLCULO!$AB$15:$AL$15,$F23,0,OFFSET(ORÇAMENTO!$D$15,CRONO!$F23,0)))
                +IF(AND($F25&lt;&gt;"",$F25&lt;&gt;0),
                        SUMIF(CÁLCULO!$AM$15:$AW$405,CRONO!V$12,CÁLCULO!$AB$15:$AL$405)/(ORÇAMENTO!$X$15-_xlfn.SINGLE(CÁLCULO.TotalAdmLocal))*CRONO!$F25,
                        0),
                 V24*$S23),
          SUMIF(OFFSET($S25,1,0,$R23-2),($M23+1)&amp;"$",OFFSET(V25,1,0,$R23-2)))</f>
        <v>0</v>
      </c>
      <c r="W25" s="203" cm="1">
        <f t="array" aca="1" ref="W25" ca="1">IF($R23=2,
         IF(AND(ACOMPANHAMENTO="PLE",ISNUMBER($F23)),
                SUMIF((OFFSET(CÁLCULO!$AM$15:$AW$15,$F23,0,OFFSET(ORÇAMENTO!$D$15,CRONO!$F23,0))),CRONO!W$12,OFFSET(CÁLCULO!$AB$15:$AL$15,$F23,0,OFFSET(ORÇAMENTO!$D$15,CRONO!$F23,0)))
                +IF(AND($F25&lt;&gt;"",$F25&lt;&gt;0),
                        SUMIF(CÁLCULO!$AM$15:$AW$405,CRONO!W$12,CÁLCULO!$AB$15:$AL$405)/(ORÇAMENTO!$X$15-_xlfn.SINGLE(CÁLCULO.TotalAdmLocal))*CRONO!$F25,
                        0),
                 W24*$S23),
          SUMIF(OFFSET($S25,1,0,$R23-2),($M23+1)&amp;"$",OFFSET(W25,1,0,$R23-2)))</f>
        <v>0</v>
      </c>
      <c r="X25" s="203" cm="1">
        <f t="array" aca="1" ref="X25" ca="1">IF($R23=2,
         IF(AND(ACOMPANHAMENTO="PLE",ISNUMBER($F23)),
                SUMIF((OFFSET(CÁLCULO!$AM$15:$AW$15,$F23,0,OFFSET(ORÇAMENTO!$D$15,CRONO!$F23,0))),CRONO!X$12,OFFSET(CÁLCULO!$AB$15:$AL$15,$F23,0,OFFSET(ORÇAMENTO!$D$15,CRONO!$F23,0)))
                +IF(AND($F25&lt;&gt;"",$F25&lt;&gt;0),
                        SUMIF(CÁLCULO!$AM$15:$AW$405,CRONO!X$12,CÁLCULO!$AB$15:$AL$405)/(ORÇAMENTO!$X$15-_xlfn.SINGLE(CÁLCULO.TotalAdmLocal))*CRONO!$F25,
                        0),
                 X24*$S23),
          SUMIF(OFFSET($S25,1,0,$R23-2),($M23+1)&amp;"$",OFFSET(X25,1,0,$R23-2)))</f>
        <v>0</v>
      </c>
      <c r="Y25" s="203" cm="1">
        <f t="array" aca="1" ref="Y25" ca="1">IF($R23=2,
         IF(AND(ACOMPANHAMENTO="PLE",ISNUMBER($F23)),
                SUMIF((OFFSET(CÁLCULO!$AM$15:$AW$15,$F23,0,OFFSET(ORÇAMENTO!$D$15,CRONO!$F23,0))),CRONO!Y$12,OFFSET(CÁLCULO!$AB$15:$AL$15,$F23,0,OFFSET(ORÇAMENTO!$D$15,CRONO!$F23,0)))
                +IF(AND($F25&lt;&gt;"",$F25&lt;&gt;0),
                        SUMIF(CÁLCULO!$AM$15:$AW$405,CRONO!Y$12,CÁLCULO!$AB$15:$AL$405)/(ORÇAMENTO!$X$15-_xlfn.SINGLE(CÁLCULO.TotalAdmLocal))*CRONO!$F25,
                        0),
                 Y24*$S23),
          SUMIF(OFFSET($S25,1,0,$R23-2),($M23+1)&amp;"$",OFFSET(Y25,1,0,$R23-2)))</f>
        <v>0</v>
      </c>
      <c r="Z25" s="203" cm="1">
        <f t="array" aca="1" ref="Z25" ca="1">IF($R23=2,
         IF(AND(ACOMPANHAMENTO="PLE",ISNUMBER($F23)),
                SUMIF((OFFSET(CÁLCULO!$AM$15:$AW$15,$F23,0,OFFSET(ORÇAMENTO!$D$15,CRONO!$F23,0))),CRONO!Z$12,OFFSET(CÁLCULO!$AB$15:$AL$15,$F23,0,OFFSET(ORÇAMENTO!$D$15,CRONO!$F23,0)))
                +IF(AND($F25&lt;&gt;"",$F25&lt;&gt;0),
                        SUMIF(CÁLCULO!$AM$15:$AW$405,CRONO!Z$12,CÁLCULO!$AB$15:$AL$405)/(ORÇAMENTO!$X$15-_xlfn.SINGLE(CÁLCULO.TotalAdmLocal))*CRONO!$F25,
                        0),
                 Z24*$S23),
          SUMIF(OFFSET($S25,1,0,$R23-2),($M23+1)&amp;"$",OFFSET(Z25,1,0,$R23-2)))</f>
        <v>0</v>
      </c>
      <c r="AA25" s="203" cm="1">
        <f t="array" aca="1" ref="AA25" ca="1">IF($R23=2,
         IF(AND(ACOMPANHAMENTO="PLE",ISNUMBER($F23)),
                SUMIF((OFFSET(CÁLCULO!$AM$15:$AW$15,$F23,0,OFFSET(ORÇAMENTO!$D$15,CRONO!$F23,0))),CRONO!AA$12,OFFSET(CÁLCULO!$AB$15:$AL$15,$F23,0,OFFSET(ORÇAMENTO!$D$15,CRONO!$F23,0)))
                +IF(AND($F25&lt;&gt;"",$F25&lt;&gt;0),
                        SUMIF(CÁLCULO!$AM$15:$AW$405,CRONO!AA$12,CÁLCULO!$AB$15:$AL$405)/(ORÇAMENTO!$X$15-_xlfn.SINGLE(CÁLCULO.TotalAdmLocal))*CRONO!$F25,
                        0),
                 AA24*$S23),
          SUMIF(OFFSET($S25,1,0,$R23-2),($M23+1)&amp;"$",OFFSET(AA25,1,0,$R23-2)))</f>
        <v>0</v>
      </c>
      <c r="AB25" s="203" cm="1">
        <f t="array" aca="1" ref="AB25" ca="1">IF($R23=2,
         IF(AND(ACOMPANHAMENTO="PLE",ISNUMBER($F23)),
                SUMIF((OFFSET(CÁLCULO!$AM$15:$AW$15,$F23,0,OFFSET(ORÇAMENTO!$D$15,CRONO!$F23,0))),CRONO!AB$12,OFFSET(CÁLCULO!$AB$15:$AL$15,$F23,0,OFFSET(ORÇAMENTO!$D$15,CRONO!$F23,0)))
                +IF(AND($F25&lt;&gt;"",$F25&lt;&gt;0),
                        SUMIF(CÁLCULO!$AM$15:$AW$405,CRONO!AB$12,CÁLCULO!$AB$15:$AL$405)/(ORÇAMENTO!$X$15-_xlfn.SINGLE(CÁLCULO.TotalAdmLocal))*CRONO!$F25,
                        0),
                 AB24*$S23),
          SUMIF(OFFSET($S25,1,0,$R23-2),($M23+1)&amp;"$",OFFSET(AB25,1,0,$R23-2)))</f>
        <v>0</v>
      </c>
      <c r="AC25" s="203" cm="1">
        <f t="array" aca="1" ref="AC25" ca="1">IF($R23=2,
         IF(AND(ACOMPANHAMENTO="PLE",ISNUMBER($F23)),
                SUMIF((OFFSET(CÁLCULO!$AM$15:$AW$15,$F23,0,OFFSET(ORÇAMENTO!$D$15,CRONO!$F23,0))),CRONO!AC$12,OFFSET(CÁLCULO!$AB$15:$AL$15,$F23,0,OFFSET(ORÇAMENTO!$D$15,CRONO!$F23,0)))
                +IF(AND($F25&lt;&gt;"",$F25&lt;&gt;0),
                        SUMIF(CÁLCULO!$AM$15:$AW$405,CRONO!AC$12,CÁLCULO!$AB$15:$AL$405)/(ORÇAMENTO!$X$15-_xlfn.SINGLE(CÁLCULO.TotalAdmLocal))*CRONO!$F25,
                        0),
                 AC24*$S23),
          SUMIF(OFFSET($S25,1,0,$R23-2),($M23+1)&amp;"$",OFFSET(AC25,1,0,$R23-2)))</f>
        <v>0</v>
      </c>
      <c r="AD25" s="203" cm="1">
        <f t="array" aca="1" ref="AD25" ca="1">IF($R23=2,
         IF(AND(ACOMPANHAMENTO="PLE",ISNUMBER($F23)),
                SUMIF((OFFSET(CÁLCULO!$AM$15:$AW$15,$F23,0,OFFSET(ORÇAMENTO!$D$15,CRONO!$F23,0))),CRONO!AD$12,OFFSET(CÁLCULO!$AB$15:$AL$15,$F23,0,OFFSET(ORÇAMENTO!$D$15,CRONO!$F23,0)))
                +IF(AND($F25&lt;&gt;"",$F25&lt;&gt;0),
                        SUMIF(CÁLCULO!$AM$15:$AW$405,CRONO!AD$12,CÁLCULO!$AB$15:$AL$405)/(ORÇAMENTO!$X$15-_xlfn.SINGLE(CÁLCULO.TotalAdmLocal))*CRONO!$F25,
                        0),
                 AD24*$S23),
          SUMIF(OFFSET($S25,1,0,$R23-2),($M23+1)&amp;"$",OFFSET(AD25,1,0,$R23-2)))</f>
        <v>0</v>
      </c>
      <c r="AE25" s="203" cm="1">
        <f t="array" aca="1" ref="AE25" ca="1">IF($R23=2,
         IF(AND(ACOMPANHAMENTO="PLE",ISNUMBER($F23)),
                SUMIF((OFFSET(CÁLCULO!$AM$15:$AW$15,$F23,0,OFFSET(ORÇAMENTO!$D$15,CRONO!$F23,0))),CRONO!AE$12,OFFSET(CÁLCULO!$AB$15:$AL$15,$F23,0,OFFSET(ORÇAMENTO!$D$15,CRONO!$F23,0)))
                +IF(AND($F25&lt;&gt;"",$F25&lt;&gt;0),
                        SUMIF(CÁLCULO!$AM$15:$AW$405,CRONO!AE$12,CÁLCULO!$AB$15:$AL$405)/(ORÇAMENTO!$X$15-_xlfn.SINGLE(CÁLCULO.TotalAdmLocal))*CRONO!$F25,
                        0),
                 AE24*$S23),
          SUMIF(OFFSET($S25,1,0,$R23-2),($M23+1)&amp;"$",OFFSET(AE25,1,0,$R23-2)))</f>
        <v>0</v>
      </c>
      <c r="AF25" s="203" cm="1">
        <f t="array" aca="1" ref="AF25" ca="1">IF($R23=2,
         IF(AND(ACOMPANHAMENTO="PLE",ISNUMBER($F23)),
                SUMIF((OFFSET(CÁLCULO!$AM$15:$AW$15,$F23,0,OFFSET(ORÇAMENTO!$D$15,CRONO!$F23,0))),CRONO!AF$12,OFFSET(CÁLCULO!$AB$15:$AL$15,$F23,0,OFFSET(ORÇAMENTO!$D$15,CRONO!$F23,0)))
                +IF(AND($F25&lt;&gt;"",$F25&lt;&gt;0),
                        SUMIF(CÁLCULO!$AM$15:$AW$405,CRONO!AF$12,CÁLCULO!$AB$15:$AL$405)/(ORÇAMENTO!$X$15-_xlfn.SINGLE(CÁLCULO.TotalAdmLocal))*CRONO!$F25,
                        0),
                 AF24*$S23),
          SUMIF(OFFSET($S25,1,0,$R23-2),($M23+1)&amp;"$",OFFSET(AF25,1,0,$R23-2)))</f>
        <v>0</v>
      </c>
      <c r="AG25" s="535"/>
    </row>
    <row r="26" spans="1:33" x14ac:dyDescent="0.2">
      <c r="A26" s="187" t="e">
        <f t="shared" ref="A26" ca="1" si="26">IF($M26&gt;1,_xlfn.CONCAT($I26," ",$J26),"")</f>
        <v>#NAME?</v>
      </c>
      <c r="B26" s="186">
        <f t="shared" ref="B26" ca="1" si="27">OFFSET(B26,-3,0)+1</f>
        <v>5</v>
      </c>
      <c r="C26" s="186">
        <f ca="1">IF($R26&lt;&gt;2,0,IF($S26=0,1,IF(F27&gt;0,OFFSET(QCI!$M$13,SUBSTITUTE(F27,".",""),0),OFFSET(ORÇAMENTO!$AA$15,CRONO!$F26,0))/$S26))</f>
        <v>1</v>
      </c>
      <c r="D26" s="186">
        <f ca="1">IF($R26&lt;&gt;2,0,IF($S26=0,1,IF(F27&gt;0,OFFSET(QCI!$N$13,SUBSTITUTE(F27,".",""),0),OFFSET(ORÇAMENTO!$AB$15,CRONO!$F26,0))/$S26))</f>
        <v>1</v>
      </c>
      <c r="E26" s="189" cm="1">
        <f t="array" aca="1" ref="E26" ca="1">IF(AND($R26=2,ACOMPANHAMENTO="BM"),ROUND(E27,4),E28/$S26)</f>
        <v>0</v>
      </c>
      <c r="F26" s="186">
        <f ca="1">IF(B26&lt;=ORÇAMENTO.MáximoListaCrono,MATCH(B26,ORÇAMENTO.ListaCrono,0),NA())</f>
        <v>19</v>
      </c>
      <c r="G26" s="186" t="str">
        <f t="shared" ref="G26" ca="1" si="28">IF(AND($F27&lt;&gt;-1,$S26&gt;0),"F","")</f>
        <v/>
      </c>
      <c r="H26" s="190" t="str" cm="1">
        <f t="array" aca="1" ref="H26" ca="1">IF(OR(S26=0,S26=""),"Linha",IF(AND(OR(ACOMPANHAMENTO="PLE",$R26&lt;&gt;2),$F27=0),"Linha",ROUND(1-SUM(U26:AG26),4)))</f>
        <v>Linha</v>
      </c>
      <c r="I26" s="191" t="str">
        <f ca="1">IF($F27=0,OFFSET(ORÇAMENTO!O$15,$F26,0),IF($F27&lt;&gt;-1,OFFSET(QCI!$D$13,$F27,0),""))</f>
        <v>1.4.</v>
      </c>
      <c r="J26" s="192" t="str">
        <f ca="1">IF($F27=0,OFFSET(ORÇAMENTO!R$15,$F26,0),IF($F27&lt;&gt;-1,OFFSET(QCI!$G$13,$F27,0),""))</f>
        <v>SISTEMA DE TRATAMENTO DE ESGOTO</v>
      </c>
      <c r="K26" s="192"/>
      <c r="L26" s="192"/>
      <c r="M26" s="193">
        <f ca="1">IF($F27=0,OFFSET(ORÇAMENTO!C$15,$F26,0),1)</f>
        <v>2</v>
      </c>
      <c r="N26" s="194">
        <f ca="1">IF($F27=-1,0,IF(N$13&lt;=$M26,IF(ISERROR(MATCH(N$13,OFFSET($M26,1,0,ROW($M$89)-ROW($M26)-1),0)),ROW($M$89)-ROW($M26)-1,MATCH(N$13,OFFSET($M26,1,0,ROW($M$89)-ROW($M26)-1),0)-1),0))</f>
        <v>62</v>
      </c>
      <c r="O26" s="194">
        <f ca="1">IF($F27=-1,0,IF(O$13&lt;=$M26,IF(ISERROR(MATCH(O$13,OFFSET($M26,1,0,ROW($M$89)-ROW($M26)-1),0)),ROW($M$89)-ROW($M26)-1,MATCH(O$13,OFFSET($M26,1,0,ROW($M$89)-ROW($M26)-1),0)-1),0))</f>
        <v>2</v>
      </c>
      <c r="P26" s="194">
        <f ca="1">IF($F27=-1,0,IF(P$13&lt;=$M26,IF(ISERROR(MATCH(P$13,OFFSET($M26,1,0,ROW($M$89)-ROW($M26)-1),0)),ROW($M$89)-ROW($M26)-1,MATCH(P$13,OFFSET($M26,1,0,ROW($M$89)-ROW($M26)-1),0)-1),0))</f>
        <v>0</v>
      </c>
      <c r="Q26" s="194">
        <f ca="1">IF($F27=-1,0,IF(Q$13&lt;=$M26,IF(ISERROR(MATCH(Q$13,OFFSET($M26,1,0,ROW($M$89)-ROW($M26)-1),0)),ROW($M$89)-ROW($M26)-1,MATCH(Q$13,OFFSET($M26,1,0,ROW($M$89)-ROW($M26)-1),0)-1),0))</f>
        <v>0</v>
      </c>
      <c r="R26" s="194">
        <f t="shared" ref="R26" ca="1" si="29">MIN(OFFSET(M26,0,1,,M26))</f>
        <v>2</v>
      </c>
      <c r="S26" s="195">
        <f ca="1">IF($F27=0,OFFSET(ORÇAMENTO!X$15,$F26,0),IF($F27&lt;&gt;-1,OFFSET(QCI!$O$13,$F27,0),""))</f>
        <v>0</v>
      </c>
      <c r="T26" s="196" t="s">
        <v>787</v>
      </c>
      <c r="U26" s="189" cm="1">
        <f t="array" aca="1" ref="U26" ca="1">IF(AND($R26=2,ACOMPANHAMENTO="BM"),ROUND(U27,4),U28/$S26)</f>
        <v>0</v>
      </c>
      <c r="V26" s="189" cm="1">
        <f t="array" aca="1" ref="V26" ca="1">IF(AND($R26=2,ACOMPANHAMENTO="BM"),ROUND(V27,4),V28/$S26)</f>
        <v>0</v>
      </c>
      <c r="W26" s="189" cm="1">
        <f t="array" aca="1" ref="W26" ca="1">IF(AND($R26=2,ACOMPANHAMENTO="BM"),ROUND(W27,4),W28/$S26)</f>
        <v>0</v>
      </c>
      <c r="X26" s="189" cm="1">
        <f t="array" aca="1" ref="X26" ca="1">IF(AND($R26=2,ACOMPANHAMENTO="BM"),ROUND(X27,4),X28/$S26)</f>
        <v>1</v>
      </c>
      <c r="Y26" s="189" cm="1">
        <f t="array" aca="1" ref="Y26" ca="1">IF(AND($R26=2,ACOMPANHAMENTO="BM"),ROUND(Y27,4),Y28/$S26)</f>
        <v>0</v>
      </c>
      <c r="Z26" s="189" cm="1">
        <f t="array" aca="1" ref="Z26" ca="1">IF(AND($R26=2,ACOMPANHAMENTO="BM"),ROUND(Z27,4),Z28/$S26)</f>
        <v>0</v>
      </c>
      <c r="AA26" s="189" cm="1">
        <f t="array" aca="1" ref="AA26" ca="1">IF(AND($R26=2,ACOMPANHAMENTO="BM"),ROUND(AA27,4),AA28/$S26)</f>
        <v>0</v>
      </c>
      <c r="AB26" s="189" cm="1">
        <f t="array" aca="1" ref="AB26" ca="1">IF(AND($R26=2,ACOMPANHAMENTO="BM"),ROUND(AB27,4),AB28/$S26)</f>
        <v>0</v>
      </c>
      <c r="AC26" s="189" cm="1">
        <f t="array" aca="1" ref="AC26" ca="1">IF(AND($R26=2,ACOMPANHAMENTO="BM"),ROUND(AC27,4),AC28/$S26)</f>
        <v>0</v>
      </c>
      <c r="AD26" s="189" cm="1">
        <f t="array" aca="1" ref="AD26" ca="1">IF(AND($R26=2,ACOMPANHAMENTO="BM"),ROUND(AD27,4),AD28/$S26)</f>
        <v>0</v>
      </c>
      <c r="AE26" s="189" cm="1">
        <f t="array" aca="1" ref="AE26" ca="1">IF(AND($R26=2,ACOMPANHAMENTO="BM"),ROUND(AE27,4),AE28/$S26)</f>
        <v>0</v>
      </c>
      <c r="AF26" s="189" cm="1">
        <f t="array" aca="1" ref="AF26" ca="1">IF(AND($R26=2,ACOMPANHAMENTO="BM"),ROUND(AF27,4),AF28/$S26)</f>
        <v>0</v>
      </c>
      <c r="AG26" s="535"/>
    </row>
    <row r="27" spans="1:33" ht="12.75" customHeight="1" x14ac:dyDescent="0.2">
      <c r="E27" s="590"/>
      <c r="F27" s="186">
        <f ca="1">IF(ISERROR(F26),IF(1+COUNTIF($M$13:OFFSET(M26,-1,0),1)&lt;=MAX(QCI!$D$13:$D$24),1+COUNTIF($M$13:OFFSET(M26,-1,0),1),-1),0)</f>
        <v>0</v>
      </c>
      <c r="G27" s="186" t="str" cm="1">
        <f t="array" aca="1" ref="G27" ca="1">IF(ACOMPANHAMENTO="BM",OFFSET(G27,-1,0),"")</f>
        <v/>
      </c>
      <c r="H27" s="197" t="str" cm="1">
        <f t="array" aca="1" ref="H27" ca="1">IF(OR(S26=0,S26=""),"vazia",IF(AND(OR(ACOMPANHAMENTO="PLE",$R26&lt;&gt;2),$F27=0),"calculada","--&gt;"))</f>
        <v>vazia</v>
      </c>
      <c r="I27" s="198"/>
      <c r="J27" s="199" t="str">
        <f t="shared" ref="J27" ca="1" si="30">IF(AND(H26&lt;&gt;0,ISNUMBER(H26)),"PREENCHA ESTA LINHA --&gt;","")</f>
        <v/>
      </c>
      <c r="K27" s="199"/>
      <c r="L27" s="199"/>
      <c r="M27" s="200"/>
      <c r="N27" s="200"/>
      <c r="O27" s="200"/>
      <c r="P27" s="200"/>
      <c r="Q27" s="200"/>
      <c r="R27" s="200"/>
      <c r="S27" s="201"/>
      <c r="T27" s="202"/>
      <c r="U27" s="590"/>
      <c r="V27" s="590"/>
      <c r="W27" s="590"/>
      <c r="X27" s="590">
        <v>1</v>
      </c>
      <c r="Y27" s="590"/>
      <c r="Z27" s="590"/>
      <c r="AA27" s="590"/>
      <c r="AB27" s="590"/>
      <c r="AC27" s="590"/>
      <c r="AD27" s="590"/>
      <c r="AE27" s="590"/>
      <c r="AF27" s="590"/>
      <c r="AG27" s="535"/>
    </row>
    <row r="28" spans="1:33" ht="12.75" customHeight="1" x14ac:dyDescent="0.2">
      <c r="D28" s="534"/>
      <c r="E28" s="203" cm="1">
        <f t="array" aca="1" ref="E28" ca="1">IF($R26=2,
         IF(AND(ACOMPANHAMENTO="PLE",ISNUMBER($F26)),
                SUMIF((OFFSET(CÁLCULO!$AM$15:$AW$15,$F26,0,OFFSET(ORÇAMENTO!$D$15,CRONO!$F26,0))),CRONO!E$12,OFFSET(CÁLCULO!$AB$15:$AL$15,$F26,0,OFFSET(ORÇAMENTO!$D$15,CRONO!$F26,0)))
                +IF(AND($F28&lt;&gt;"",$F28&lt;&gt;0),
                        SUMIF(CÁLCULO!$AM$15:$AW$405,CRONO!E$12,CÁLCULO!$AB$15:$AL$405)/(ORÇAMENTO!$X$15-_xlfn.SINGLE(CÁLCULO.TotalAdmLocal))*CRONO!$F28,
                        0),
                 E27*$S26),
          SUMIF(OFFSET($S28,1,0,$R26-2),($M26+1)&amp;"$",OFFSET(E28,1,0,$R26-2)))</f>
        <v>0</v>
      </c>
      <c r="F28" s="186" t="str">
        <f ca="1">IF(OR($R26&lt;&gt;2,AUTOEVENTO&lt;&gt;"manual",$F27&gt;0),"",
        IF(Import.TipoArredondamento="Tradicional",
              SUMIF(OFFSET(CÁLCULO!$M$15,CRONO!$F26,0,OFFSET(ORÇAMENTO!$D$15,CRONO!$F26,0)),1,OFFSET(ORÇAMENTO!$X$15,CRONO!$F26,0,OFFSET(ORÇAMENTO!$D$15,CRONO!$F26,0))),
              0))</f>
        <v/>
      </c>
      <c r="H28" s="204"/>
      <c r="S28" s="205" t="str">
        <f t="shared" ref="S28" ca="1" si="31">M26&amp;"$"</f>
        <v>2$</v>
      </c>
      <c r="T28" s="206"/>
      <c r="U28" s="203" cm="1">
        <f t="array" aca="1" ref="U28" ca="1">IF($R26=2,
         IF(AND(ACOMPANHAMENTO="PLE",ISNUMBER($F26)),
                SUMIF((OFFSET(CÁLCULO!$AM$15:$AW$15,$F26,0,OFFSET(ORÇAMENTO!$D$15,CRONO!$F26,0))),CRONO!U$12,OFFSET(CÁLCULO!$AB$15:$AL$15,$F26,0,OFFSET(ORÇAMENTO!$D$15,CRONO!$F26,0)))
                +IF(AND($F28&lt;&gt;"",$F28&lt;&gt;0),
                        SUMIF(CÁLCULO!$AM$15:$AW$405,CRONO!U$12,CÁLCULO!$AB$15:$AL$405)/(ORÇAMENTO!$X$15-_xlfn.SINGLE(CÁLCULO.TotalAdmLocal))*CRONO!$F28,
                        0),
                 U27*$S26),
          SUMIF(OFFSET($S28,1,0,$R26-2),($M26+1)&amp;"$",OFFSET(U28,1,0,$R26-2)))</f>
        <v>0</v>
      </c>
      <c r="V28" s="203" cm="1">
        <f t="array" aca="1" ref="V28" ca="1">IF($R26=2,
         IF(AND(ACOMPANHAMENTO="PLE",ISNUMBER($F26)),
                SUMIF((OFFSET(CÁLCULO!$AM$15:$AW$15,$F26,0,OFFSET(ORÇAMENTO!$D$15,CRONO!$F26,0))),CRONO!V$12,OFFSET(CÁLCULO!$AB$15:$AL$15,$F26,0,OFFSET(ORÇAMENTO!$D$15,CRONO!$F26,0)))
                +IF(AND($F28&lt;&gt;"",$F28&lt;&gt;0),
                        SUMIF(CÁLCULO!$AM$15:$AW$405,CRONO!V$12,CÁLCULO!$AB$15:$AL$405)/(ORÇAMENTO!$X$15-_xlfn.SINGLE(CÁLCULO.TotalAdmLocal))*CRONO!$F28,
                        0),
                 V27*$S26),
          SUMIF(OFFSET($S28,1,0,$R26-2),($M26+1)&amp;"$",OFFSET(V28,1,0,$R26-2)))</f>
        <v>0</v>
      </c>
      <c r="W28" s="203" cm="1">
        <f t="array" aca="1" ref="W28" ca="1">IF($R26=2,
         IF(AND(ACOMPANHAMENTO="PLE",ISNUMBER($F26)),
                SUMIF((OFFSET(CÁLCULO!$AM$15:$AW$15,$F26,0,OFFSET(ORÇAMENTO!$D$15,CRONO!$F26,0))),CRONO!W$12,OFFSET(CÁLCULO!$AB$15:$AL$15,$F26,0,OFFSET(ORÇAMENTO!$D$15,CRONO!$F26,0)))
                +IF(AND($F28&lt;&gt;"",$F28&lt;&gt;0),
                        SUMIF(CÁLCULO!$AM$15:$AW$405,CRONO!W$12,CÁLCULO!$AB$15:$AL$405)/(ORÇAMENTO!$X$15-_xlfn.SINGLE(CÁLCULO.TotalAdmLocal))*CRONO!$F28,
                        0),
                 W27*$S26),
          SUMIF(OFFSET($S28,1,0,$R26-2),($M26+1)&amp;"$",OFFSET(W28,1,0,$R26-2)))</f>
        <v>0</v>
      </c>
      <c r="X28" s="203" cm="1">
        <f t="array" aca="1" ref="X28" ca="1">IF($R26=2,
         IF(AND(ACOMPANHAMENTO="PLE",ISNUMBER($F26)),
                SUMIF((OFFSET(CÁLCULO!$AM$15:$AW$15,$F26,0,OFFSET(ORÇAMENTO!$D$15,CRONO!$F26,0))),CRONO!X$12,OFFSET(CÁLCULO!$AB$15:$AL$15,$F26,0,OFFSET(ORÇAMENTO!$D$15,CRONO!$F26,0)))
                +IF(AND($F28&lt;&gt;"",$F28&lt;&gt;0),
                        SUMIF(CÁLCULO!$AM$15:$AW$405,CRONO!X$12,CÁLCULO!$AB$15:$AL$405)/(ORÇAMENTO!$X$15-_xlfn.SINGLE(CÁLCULO.TotalAdmLocal))*CRONO!$F28,
                        0),
                 X27*$S26),
          SUMIF(OFFSET($S28,1,0,$R26-2),($M26+1)&amp;"$",OFFSET(X28,1,0,$R26-2)))</f>
        <v>0</v>
      </c>
      <c r="Y28" s="203" cm="1">
        <f t="array" aca="1" ref="Y28" ca="1">IF($R26=2,
         IF(AND(ACOMPANHAMENTO="PLE",ISNUMBER($F26)),
                SUMIF((OFFSET(CÁLCULO!$AM$15:$AW$15,$F26,0,OFFSET(ORÇAMENTO!$D$15,CRONO!$F26,0))),CRONO!Y$12,OFFSET(CÁLCULO!$AB$15:$AL$15,$F26,0,OFFSET(ORÇAMENTO!$D$15,CRONO!$F26,0)))
                +IF(AND($F28&lt;&gt;"",$F28&lt;&gt;0),
                        SUMIF(CÁLCULO!$AM$15:$AW$405,CRONO!Y$12,CÁLCULO!$AB$15:$AL$405)/(ORÇAMENTO!$X$15-_xlfn.SINGLE(CÁLCULO.TotalAdmLocal))*CRONO!$F28,
                        0),
                 Y27*$S26),
          SUMIF(OFFSET($S28,1,0,$R26-2),($M26+1)&amp;"$",OFFSET(Y28,1,0,$R26-2)))</f>
        <v>0</v>
      </c>
      <c r="Z28" s="203" cm="1">
        <f t="array" aca="1" ref="Z28" ca="1">IF($R26=2,
         IF(AND(ACOMPANHAMENTO="PLE",ISNUMBER($F26)),
                SUMIF((OFFSET(CÁLCULO!$AM$15:$AW$15,$F26,0,OFFSET(ORÇAMENTO!$D$15,CRONO!$F26,0))),CRONO!Z$12,OFFSET(CÁLCULO!$AB$15:$AL$15,$F26,0,OFFSET(ORÇAMENTO!$D$15,CRONO!$F26,0)))
                +IF(AND($F28&lt;&gt;"",$F28&lt;&gt;0),
                        SUMIF(CÁLCULO!$AM$15:$AW$405,CRONO!Z$12,CÁLCULO!$AB$15:$AL$405)/(ORÇAMENTO!$X$15-_xlfn.SINGLE(CÁLCULO.TotalAdmLocal))*CRONO!$F28,
                        0),
                 Z27*$S26),
          SUMIF(OFFSET($S28,1,0,$R26-2),($M26+1)&amp;"$",OFFSET(Z28,1,0,$R26-2)))</f>
        <v>0</v>
      </c>
      <c r="AA28" s="203" cm="1">
        <f t="array" aca="1" ref="AA28" ca="1">IF($R26=2,
         IF(AND(ACOMPANHAMENTO="PLE",ISNUMBER($F26)),
                SUMIF((OFFSET(CÁLCULO!$AM$15:$AW$15,$F26,0,OFFSET(ORÇAMENTO!$D$15,CRONO!$F26,0))),CRONO!AA$12,OFFSET(CÁLCULO!$AB$15:$AL$15,$F26,0,OFFSET(ORÇAMENTO!$D$15,CRONO!$F26,0)))
                +IF(AND($F28&lt;&gt;"",$F28&lt;&gt;0),
                        SUMIF(CÁLCULO!$AM$15:$AW$405,CRONO!AA$12,CÁLCULO!$AB$15:$AL$405)/(ORÇAMENTO!$X$15-_xlfn.SINGLE(CÁLCULO.TotalAdmLocal))*CRONO!$F28,
                        0),
                 AA27*$S26),
          SUMIF(OFFSET($S28,1,0,$R26-2),($M26+1)&amp;"$",OFFSET(AA28,1,0,$R26-2)))</f>
        <v>0</v>
      </c>
      <c r="AB28" s="203" cm="1">
        <f t="array" aca="1" ref="AB28" ca="1">IF($R26=2,
         IF(AND(ACOMPANHAMENTO="PLE",ISNUMBER($F26)),
                SUMIF((OFFSET(CÁLCULO!$AM$15:$AW$15,$F26,0,OFFSET(ORÇAMENTO!$D$15,CRONO!$F26,0))),CRONO!AB$12,OFFSET(CÁLCULO!$AB$15:$AL$15,$F26,0,OFFSET(ORÇAMENTO!$D$15,CRONO!$F26,0)))
                +IF(AND($F28&lt;&gt;"",$F28&lt;&gt;0),
                        SUMIF(CÁLCULO!$AM$15:$AW$405,CRONO!AB$12,CÁLCULO!$AB$15:$AL$405)/(ORÇAMENTO!$X$15-_xlfn.SINGLE(CÁLCULO.TotalAdmLocal))*CRONO!$F28,
                        0),
                 AB27*$S26),
          SUMIF(OFFSET($S28,1,0,$R26-2),($M26+1)&amp;"$",OFFSET(AB28,1,0,$R26-2)))</f>
        <v>0</v>
      </c>
      <c r="AC28" s="203" cm="1">
        <f t="array" aca="1" ref="AC28" ca="1">IF($R26=2,
         IF(AND(ACOMPANHAMENTO="PLE",ISNUMBER($F26)),
                SUMIF((OFFSET(CÁLCULO!$AM$15:$AW$15,$F26,0,OFFSET(ORÇAMENTO!$D$15,CRONO!$F26,0))),CRONO!AC$12,OFFSET(CÁLCULO!$AB$15:$AL$15,$F26,0,OFFSET(ORÇAMENTO!$D$15,CRONO!$F26,0)))
                +IF(AND($F28&lt;&gt;"",$F28&lt;&gt;0),
                        SUMIF(CÁLCULO!$AM$15:$AW$405,CRONO!AC$12,CÁLCULO!$AB$15:$AL$405)/(ORÇAMENTO!$X$15-_xlfn.SINGLE(CÁLCULO.TotalAdmLocal))*CRONO!$F28,
                        0),
                 AC27*$S26),
          SUMIF(OFFSET($S28,1,0,$R26-2),($M26+1)&amp;"$",OFFSET(AC28,1,0,$R26-2)))</f>
        <v>0</v>
      </c>
      <c r="AD28" s="203" cm="1">
        <f t="array" aca="1" ref="AD28" ca="1">IF($R26=2,
         IF(AND(ACOMPANHAMENTO="PLE",ISNUMBER($F26)),
                SUMIF((OFFSET(CÁLCULO!$AM$15:$AW$15,$F26,0,OFFSET(ORÇAMENTO!$D$15,CRONO!$F26,0))),CRONO!AD$12,OFFSET(CÁLCULO!$AB$15:$AL$15,$F26,0,OFFSET(ORÇAMENTO!$D$15,CRONO!$F26,0)))
                +IF(AND($F28&lt;&gt;"",$F28&lt;&gt;0),
                        SUMIF(CÁLCULO!$AM$15:$AW$405,CRONO!AD$12,CÁLCULO!$AB$15:$AL$405)/(ORÇAMENTO!$X$15-_xlfn.SINGLE(CÁLCULO.TotalAdmLocal))*CRONO!$F28,
                        0),
                 AD27*$S26),
          SUMIF(OFFSET($S28,1,0,$R26-2),($M26+1)&amp;"$",OFFSET(AD28,1,0,$R26-2)))</f>
        <v>0</v>
      </c>
      <c r="AE28" s="203" cm="1">
        <f t="array" aca="1" ref="AE28" ca="1">IF($R26=2,
         IF(AND(ACOMPANHAMENTO="PLE",ISNUMBER($F26)),
                SUMIF((OFFSET(CÁLCULO!$AM$15:$AW$15,$F26,0,OFFSET(ORÇAMENTO!$D$15,CRONO!$F26,0))),CRONO!AE$12,OFFSET(CÁLCULO!$AB$15:$AL$15,$F26,0,OFFSET(ORÇAMENTO!$D$15,CRONO!$F26,0)))
                +IF(AND($F28&lt;&gt;"",$F28&lt;&gt;0),
                        SUMIF(CÁLCULO!$AM$15:$AW$405,CRONO!AE$12,CÁLCULO!$AB$15:$AL$405)/(ORÇAMENTO!$X$15-_xlfn.SINGLE(CÁLCULO.TotalAdmLocal))*CRONO!$F28,
                        0),
                 AE27*$S26),
          SUMIF(OFFSET($S28,1,0,$R26-2),($M26+1)&amp;"$",OFFSET(AE28,1,0,$R26-2)))</f>
        <v>0</v>
      </c>
      <c r="AF28" s="203" cm="1">
        <f t="array" aca="1" ref="AF28" ca="1">IF($R26=2,
         IF(AND(ACOMPANHAMENTO="PLE",ISNUMBER($F26)),
                SUMIF((OFFSET(CÁLCULO!$AM$15:$AW$15,$F26,0,OFFSET(ORÇAMENTO!$D$15,CRONO!$F26,0))),CRONO!AF$12,OFFSET(CÁLCULO!$AB$15:$AL$15,$F26,0,OFFSET(ORÇAMENTO!$D$15,CRONO!$F26,0)))
                +IF(AND($F28&lt;&gt;"",$F28&lt;&gt;0),
                        SUMIF(CÁLCULO!$AM$15:$AW$405,CRONO!AF$12,CÁLCULO!$AB$15:$AL$405)/(ORÇAMENTO!$X$15-_xlfn.SINGLE(CÁLCULO.TotalAdmLocal))*CRONO!$F28,
                        0),
                 AF27*$S26),
          SUMIF(OFFSET($S28,1,0,$R26-2),($M26+1)&amp;"$",OFFSET(AF28,1,0,$R26-2)))</f>
        <v>0</v>
      </c>
      <c r="AG28" s="535"/>
    </row>
    <row r="29" spans="1:33" x14ac:dyDescent="0.2">
      <c r="A29" s="187" t="e">
        <f t="shared" ref="A29" ca="1" si="32">IF($M29&gt;1,_xlfn.CONCAT($I29," ",$J29),"")</f>
        <v>#NAME?</v>
      </c>
      <c r="B29" s="186">
        <f t="shared" ref="B29" ca="1" si="33">OFFSET(B29,-3,0)+1</f>
        <v>6</v>
      </c>
      <c r="C29" s="186">
        <f ca="1">IF($R29&lt;&gt;2,0,IF($S29=0,1,IF(F30&gt;0,OFFSET(QCI!$M$13,SUBSTITUTE(F30,".",""),0),OFFSET(ORÇAMENTO!$AA$15,CRONO!$F29,0))/$S29))</f>
        <v>1</v>
      </c>
      <c r="D29" s="186">
        <f ca="1">IF($R29&lt;&gt;2,0,IF($S29=0,1,IF(F30&gt;0,OFFSET(QCI!$N$13,SUBSTITUTE(F30,".",""),0),OFFSET(ORÇAMENTO!$AB$15,CRONO!$F29,0))/$S29))</f>
        <v>1</v>
      </c>
      <c r="E29" s="189" cm="1">
        <f t="array" aca="1" ref="E29" ca="1">IF(AND($R29=2,ACOMPANHAMENTO="BM"),ROUND(E30,4),E31/$S29)</f>
        <v>0</v>
      </c>
      <c r="F29" s="186">
        <f ca="1">IF(B29&lt;=ORÇAMENTO.MáximoListaCrono,MATCH(B29,ORÇAMENTO.ListaCrono,0),NA())</f>
        <v>22</v>
      </c>
      <c r="G29" s="186" t="str">
        <f t="shared" ref="G29" ca="1" si="34">IF(AND($F30&lt;&gt;-1,$S29&gt;0),"F","")</f>
        <v/>
      </c>
      <c r="H29" s="190" t="str" cm="1">
        <f t="array" aca="1" ref="H29" ca="1">IF(OR(S29=0,S29=""),"Linha",IF(AND(OR(ACOMPANHAMENTO="PLE",$R29&lt;&gt;2),$F30=0),"Linha",ROUND(1-SUM(U29:AG29),4)))</f>
        <v>Linha</v>
      </c>
      <c r="I29" s="191" t="str">
        <f ca="1">IF($F30=0,OFFSET(ORÇAMENTO!O$15,$F29,0),IF($F30&lt;&gt;-1,OFFSET(QCI!$D$13,$F30,0),""))</f>
        <v>1.5.</v>
      </c>
      <c r="J29" s="192" t="str">
        <f ca="1">IF($F30=0,OFFSET(ORÇAMENTO!R$15,$F29,0),IF($F30&lt;&gt;-1,OFFSET(QCI!$G$13,$F30,0),""))</f>
        <v>ESTRUTURA METÁLICA DOS MÓDULOS</v>
      </c>
      <c r="K29" s="192"/>
      <c r="L29" s="192"/>
      <c r="M29" s="193">
        <f ca="1">IF($F30=0,OFFSET(ORÇAMENTO!C$15,$F29,0),1)</f>
        <v>2</v>
      </c>
      <c r="N29" s="194">
        <f ca="1">IF($F30=-1,0,IF(N$13&lt;=$M29,IF(ISERROR(MATCH(N$13,OFFSET($M29,1,0,ROW($M$89)-ROW($M29)-1),0)),ROW($M$89)-ROW($M29)-1,MATCH(N$13,OFFSET($M29,1,0,ROW($M$89)-ROW($M29)-1),0)-1),0))</f>
        <v>59</v>
      </c>
      <c r="O29" s="194">
        <f ca="1">IF($F30=-1,0,IF(O$13&lt;=$M29,IF(ISERROR(MATCH(O$13,OFFSET($M29,1,0,ROW($M$89)-ROW($M29)-1),0)),ROW($M$89)-ROW($M29)-1,MATCH(O$13,OFFSET($M29,1,0,ROW($M$89)-ROW($M29)-1),0)-1),0))</f>
        <v>2</v>
      </c>
      <c r="P29" s="194">
        <f ca="1">IF($F30=-1,0,IF(P$13&lt;=$M29,IF(ISERROR(MATCH(P$13,OFFSET($M29,1,0,ROW($M$89)-ROW($M29)-1),0)),ROW($M$89)-ROW($M29)-1,MATCH(P$13,OFFSET($M29,1,0,ROW($M$89)-ROW($M29)-1),0)-1),0))</f>
        <v>0</v>
      </c>
      <c r="Q29" s="194">
        <f ca="1">IF($F30=-1,0,IF(Q$13&lt;=$M29,IF(ISERROR(MATCH(Q$13,OFFSET($M29,1,0,ROW($M$89)-ROW($M29)-1),0)),ROW($M$89)-ROW($M29)-1,MATCH(Q$13,OFFSET($M29,1,0,ROW($M$89)-ROW($M29)-1),0)-1),0))</f>
        <v>0</v>
      </c>
      <c r="R29" s="194">
        <f t="shared" ref="R29" ca="1" si="35">MIN(OFFSET(M29,0,1,,M29))</f>
        <v>2</v>
      </c>
      <c r="S29" s="195">
        <f ca="1">IF($F30=0,OFFSET(ORÇAMENTO!X$15,$F29,0),IF($F30&lt;&gt;-1,OFFSET(QCI!$O$13,$F30,0),""))</f>
        <v>0</v>
      </c>
      <c r="T29" s="196" t="s">
        <v>787</v>
      </c>
      <c r="U29" s="189" cm="1">
        <f t="array" aca="1" ref="U29" ca="1">IF(AND($R29=2,ACOMPANHAMENTO="BM"),ROUND(U30,4),U31/$S29)</f>
        <v>0.25</v>
      </c>
      <c r="V29" s="189" cm="1">
        <f t="array" aca="1" ref="V29" ca="1">IF(AND($R29=2,ACOMPANHAMENTO="BM"),ROUND(V30,4),V31/$S29)</f>
        <v>0.5</v>
      </c>
      <c r="W29" s="189" cm="1">
        <f t="array" aca="1" ref="W29" ca="1">IF(AND($R29=2,ACOMPANHAMENTO="BM"),ROUND(W30,4),W31/$S29)</f>
        <v>0.25</v>
      </c>
      <c r="X29" s="189" cm="1">
        <f t="array" aca="1" ref="X29" ca="1">IF(AND($R29=2,ACOMPANHAMENTO="BM"),ROUND(X30,4),X31/$S29)</f>
        <v>0</v>
      </c>
      <c r="Y29" s="189" cm="1">
        <f t="array" aca="1" ref="Y29" ca="1">IF(AND($R29=2,ACOMPANHAMENTO="BM"),ROUND(Y30,4),Y31/$S29)</f>
        <v>0</v>
      </c>
      <c r="Z29" s="189" cm="1">
        <f t="array" aca="1" ref="Z29" ca="1">IF(AND($R29=2,ACOMPANHAMENTO="BM"),ROUND(Z30,4),Z31/$S29)</f>
        <v>0</v>
      </c>
      <c r="AA29" s="189" cm="1">
        <f t="array" aca="1" ref="AA29" ca="1">IF(AND($R29=2,ACOMPANHAMENTO="BM"),ROUND(AA30,4),AA31/$S29)</f>
        <v>0</v>
      </c>
      <c r="AB29" s="189" cm="1">
        <f t="array" aca="1" ref="AB29" ca="1">IF(AND($R29=2,ACOMPANHAMENTO="BM"),ROUND(AB30,4),AB31/$S29)</f>
        <v>0</v>
      </c>
      <c r="AC29" s="189" cm="1">
        <f t="array" aca="1" ref="AC29" ca="1">IF(AND($R29=2,ACOMPANHAMENTO="BM"),ROUND(AC30,4),AC31/$S29)</f>
        <v>0</v>
      </c>
      <c r="AD29" s="189" cm="1">
        <f t="array" aca="1" ref="AD29" ca="1">IF(AND($R29=2,ACOMPANHAMENTO="BM"),ROUND(AD30,4),AD31/$S29)</f>
        <v>0</v>
      </c>
      <c r="AE29" s="189" cm="1">
        <f t="array" aca="1" ref="AE29" ca="1">IF(AND($R29=2,ACOMPANHAMENTO="BM"),ROUND(AE30,4),AE31/$S29)</f>
        <v>0</v>
      </c>
      <c r="AF29" s="189" cm="1">
        <f t="array" aca="1" ref="AF29" ca="1">IF(AND($R29=2,ACOMPANHAMENTO="BM"),ROUND(AF30,4),AF31/$S29)</f>
        <v>0</v>
      </c>
      <c r="AG29" s="535"/>
    </row>
    <row r="30" spans="1:33" ht="12.75" customHeight="1" x14ac:dyDescent="0.2">
      <c r="E30" s="590"/>
      <c r="F30" s="186">
        <f ca="1">IF(ISERROR(F29),IF(1+COUNTIF($M$13:OFFSET(M29,-1,0),1)&lt;=MAX(QCI!$D$13:$D$24),1+COUNTIF($M$13:OFFSET(M29,-1,0),1),-1),0)</f>
        <v>0</v>
      </c>
      <c r="G30" s="186" t="str" cm="1">
        <f t="array" aca="1" ref="G30" ca="1">IF(ACOMPANHAMENTO="BM",OFFSET(G30,-1,0),"")</f>
        <v/>
      </c>
      <c r="H30" s="197" t="str" cm="1">
        <f t="array" aca="1" ref="H30" ca="1">IF(OR(S29=0,S29=""),"vazia",IF(AND(OR(ACOMPANHAMENTO="PLE",$R29&lt;&gt;2),$F30=0),"calculada","--&gt;"))</f>
        <v>vazia</v>
      </c>
      <c r="I30" s="198"/>
      <c r="J30" s="199" t="str">
        <f t="shared" ref="J30" ca="1" si="36">IF(AND(H29&lt;&gt;0,ISNUMBER(H29)),"PREENCHA ESTA LINHA --&gt;","")</f>
        <v/>
      </c>
      <c r="K30" s="199"/>
      <c r="L30" s="199"/>
      <c r="M30" s="200"/>
      <c r="N30" s="200"/>
      <c r="O30" s="200"/>
      <c r="P30" s="200"/>
      <c r="Q30" s="200"/>
      <c r="R30" s="200"/>
      <c r="S30" s="201"/>
      <c r="T30" s="202"/>
      <c r="U30" s="590">
        <v>0.25</v>
      </c>
      <c r="V30" s="590">
        <v>0.5</v>
      </c>
      <c r="W30" s="590">
        <v>0.25</v>
      </c>
      <c r="X30" s="590"/>
      <c r="Y30" s="590"/>
      <c r="Z30" s="590"/>
      <c r="AA30" s="590"/>
      <c r="AB30" s="590"/>
      <c r="AC30" s="590"/>
      <c r="AD30" s="590"/>
      <c r="AE30" s="590"/>
      <c r="AF30" s="590"/>
      <c r="AG30" s="535"/>
    </row>
    <row r="31" spans="1:33" ht="12.75" customHeight="1" x14ac:dyDescent="0.2">
      <c r="D31" s="534"/>
      <c r="E31" s="203" cm="1">
        <f t="array" aca="1" ref="E31" ca="1">IF($R29=2,
         IF(AND(ACOMPANHAMENTO="PLE",ISNUMBER($F29)),
                SUMIF((OFFSET(CÁLCULO!$AM$15:$AW$15,$F29,0,OFFSET(ORÇAMENTO!$D$15,CRONO!$F29,0))),CRONO!E$12,OFFSET(CÁLCULO!$AB$15:$AL$15,$F29,0,OFFSET(ORÇAMENTO!$D$15,CRONO!$F29,0)))
                +IF(AND($F31&lt;&gt;"",$F31&lt;&gt;0),
                        SUMIF(CÁLCULO!$AM$15:$AW$405,CRONO!E$12,CÁLCULO!$AB$15:$AL$405)/(ORÇAMENTO!$X$15-_xlfn.SINGLE(CÁLCULO.TotalAdmLocal))*CRONO!$F31,
                        0),
                 E30*$S29),
          SUMIF(OFFSET($S31,1,0,$R29-2),($M29+1)&amp;"$",OFFSET(E31,1,0,$R29-2)))</f>
        <v>0</v>
      </c>
      <c r="F31" s="186" t="str">
        <f ca="1">IF(OR($R29&lt;&gt;2,AUTOEVENTO&lt;&gt;"manual",$F30&gt;0),"",
        IF(Import.TipoArredondamento="Tradicional",
              SUMIF(OFFSET(CÁLCULO!$M$15,CRONO!$F29,0,OFFSET(ORÇAMENTO!$D$15,CRONO!$F29,0)),1,OFFSET(ORÇAMENTO!$X$15,CRONO!$F29,0,OFFSET(ORÇAMENTO!$D$15,CRONO!$F29,0))),
              0))</f>
        <v/>
      </c>
      <c r="H31" s="204"/>
      <c r="S31" s="205" t="str">
        <f t="shared" ref="S31" ca="1" si="37">M29&amp;"$"</f>
        <v>2$</v>
      </c>
      <c r="T31" s="206"/>
      <c r="U31" s="203" cm="1">
        <f t="array" aca="1" ref="U31" ca="1">IF($R29=2,
         IF(AND(ACOMPANHAMENTO="PLE",ISNUMBER($F29)),
                SUMIF((OFFSET(CÁLCULO!$AM$15:$AW$15,$F29,0,OFFSET(ORÇAMENTO!$D$15,CRONO!$F29,0))),CRONO!U$12,OFFSET(CÁLCULO!$AB$15:$AL$15,$F29,0,OFFSET(ORÇAMENTO!$D$15,CRONO!$F29,0)))
                +IF(AND($F31&lt;&gt;"",$F31&lt;&gt;0),
                        SUMIF(CÁLCULO!$AM$15:$AW$405,CRONO!U$12,CÁLCULO!$AB$15:$AL$405)/(ORÇAMENTO!$X$15-_xlfn.SINGLE(CÁLCULO.TotalAdmLocal))*CRONO!$F31,
                        0),
                 U30*$S29),
          SUMIF(OFFSET($S31,1,0,$R29-2),($M29+1)&amp;"$",OFFSET(U31,1,0,$R29-2)))</f>
        <v>0</v>
      </c>
      <c r="V31" s="203" cm="1">
        <f t="array" aca="1" ref="V31" ca="1">IF($R29=2,
         IF(AND(ACOMPANHAMENTO="PLE",ISNUMBER($F29)),
                SUMIF((OFFSET(CÁLCULO!$AM$15:$AW$15,$F29,0,OFFSET(ORÇAMENTO!$D$15,CRONO!$F29,0))),CRONO!V$12,OFFSET(CÁLCULO!$AB$15:$AL$15,$F29,0,OFFSET(ORÇAMENTO!$D$15,CRONO!$F29,0)))
                +IF(AND($F31&lt;&gt;"",$F31&lt;&gt;0),
                        SUMIF(CÁLCULO!$AM$15:$AW$405,CRONO!V$12,CÁLCULO!$AB$15:$AL$405)/(ORÇAMENTO!$X$15-_xlfn.SINGLE(CÁLCULO.TotalAdmLocal))*CRONO!$F31,
                        0),
                 V30*$S29),
          SUMIF(OFFSET($S31,1,0,$R29-2),($M29+1)&amp;"$",OFFSET(V31,1,0,$R29-2)))</f>
        <v>0</v>
      </c>
      <c r="W31" s="203" cm="1">
        <f t="array" aca="1" ref="W31" ca="1">IF($R29=2,
         IF(AND(ACOMPANHAMENTO="PLE",ISNUMBER($F29)),
                SUMIF((OFFSET(CÁLCULO!$AM$15:$AW$15,$F29,0,OFFSET(ORÇAMENTO!$D$15,CRONO!$F29,0))),CRONO!W$12,OFFSET(CÁLCULO!$AB$15:$AL$15,$F29,0,OFFSET(ORÇAMENTO!$D$15,CRONO!$F29,0)))
                +IF(AND($F31&lt;&gt;"",$F31&lt;&gt;0),
                        SUMIF(CÁLCULO!$AM$15:$AW$405,CRONO!W$12,CÁLCULO!$AB$15:$AL$405)/(ORÇAMENTO!$X$15-_xlfn.SINGLE(CÁLCULO.TotalAdmLocal))*CRONO!$F31,
                        0),
                 W30*$S29),
          SUMIF(OFFSET($S31,1,0,$R29-2),($M29+1)&amp;"$",OFFSET(W31,1,0,$R29-2)))</f>
        <v>0</v>
      </c>
      <c r="X31" s="203" cm="1">
        <f t="array" aca="1" ref="X31" ca="1">IF($R29=2,
         IF(AND(ACOMPANHAMENTO="PLE",ISNUMBER($F29)),
                SUMIF((OFFSET(CÁLCULO!$AM$15:$AW$15,$F29,0,OFFSET(ORÇAMENTO!$D$15,CRONO!$F29,0))),CRONO!X$12,OFFSET(CÁLCULO!$AB$15:$AL$15,$F29,0,OFFSET(ORÇAMENTO!$D$15,CRONO!$F29,0)))
                +IF(AND($F31&lt;&gt;"",$F31&lt;&gt;0),
                        SUMIF(CÁLCULO!$AM$15:$AW$405,CRONO!X$12,CÁLCULO!$AB$15:$AL$405)/(ORÇAMENTO!$X$15-_xlfn.SINGLE(CÁLCULO.TotalAdmLocal))*CRONO!$F31,
                        0),
                 X30*$S29),
          SUMIF(OFFSET($S31,1,0,$R29-2),($M29+1)&amp;"$",OFFSET(X31,1,0,$R29-2)))</f>
        <v>0</v>
      </c>
      <c r="Y31" s="203" cm="1">
        <f t="array" aca="1" ref="Y31" ca="1">IF($R29=2,
         IF(AND(ACOMPANHAMENTO="PLE",ISNUMBER($F29)),
                SUMIF((OFFSET(CÁLCULO!$AM$15:$AW$15,$F29,0,OFFSET(ORÇAMENTO!$D$15,CRONO!$F29,0))),CRONO!Y$12,OFFSET(CÁLCULO!$AB$15:$AL$15,$F29,0,OFFSET(ORÇAMENTO!$D$15,CRONO!$F29,0)))
                +IF(AND($F31&lt;&gt;"",$F31&lt;&gt;0),
                        SUMIF(CÁLCULO!$AM$15:$AW$405,CRONO!Y$12,CÁLCULO!$AB$15:$AL$405)/(ORÇAMENTO!$X$15-_xlfn.SINGLE(CÁLCULO.TotalAdmLocal))*CRONO!$F31,
                        0),
                 Y30*$S29),
          SUMIF(OFFSET($S31,1,0,$R29-2),($M29+1)&amp;"$",OFFSET(Y31,1,0,$R29-2)))</f>
        <v>0</v>
      </c>
      <c r="Z31" s="203" cm="1">
        <f t="array" aca="1" ref="Z31" ca="1">IF($R29=2,
         IF(AND(ACOMPANHAMENTO="PLE",ISNUMBER($F29)),
                SUMIF((OFFSET(CÁLCULO!$AM$15:$AW$15,$F29,0,OFFSET(ORÇAMENTO!$D$15,CRONO!$F29,0))),CRONO!Z$12,OFFSET(CÁLCULO!$AB$15:$AL$15,$F29,0,OFFSET(ORÇAMENTO!$D$15,CRONO!$F29,0)))
                +IF(AND($F31&lt;&gt;"",$F31&lt;&gt;0),
                        SUMIF(CÁLCULO!$AM$15:$AW$405,CRONO!Z$12,CÁLCULO!$AB$15:$AL$405)/(ORÇAMENTO!$X$15-_xlfn.SINGLE(CÁLCULO.TotalAdmLocal))*CRONO!$F31,
                        0),
                 Z30*$S29),
          SUMIF(OFFSET($S31,1,0,$R29-2),($M29+1)&amp;"$",OFFSET(Z31,1,0,$R29-2)))</f>
        <v>0</v>
      </c>
      <c r="AA31" s="203" cm="1">
        <f t="array" aca="1" ref="AA31" ca="1">IF($R29=2,
         IF(AND(ACOMPANHAMENTO="PLE",ISNUMBER($F29)),
                SUMIF((OFFSET(CÁLCULO!$AM$15:$AW$15,$F29,0,OFFSET(ORÇAMENTO!$D$15,CRONO!$F29,0))),CRONO!AA$12,OFFSET(CÁLCULO!$AB$15:$AL$15,$F29,0,OFFSET(ORÇAMENTO!$D$15,CRONO!$F29,0)))
                +IF(AND($F31&lt;&gt;"",$F31&lt;&gt;0),
                        SUMIF(CÁLCULO!$AM$15:$AW$405,CRONO!AA$12,CÁLCULO!$AB$15:$AL$405)/(ORÇAMENTO!$X$15-_xlfn.SINGLE(CÁLCULO.TotalAdmLocal))*CRONO!$F31,
                        0),
                 AA30*$S29),
          SUMIF(OFFSET($S31,1,0,$R29-2),($M29+1)&amp;"$",OFFSET(AA31,1,0,$R29-2)))</f>
        <v>0</v>
      </c>
      <c r="AB31" s="203" cm="1">
        <f t="array" aca="1" ref="AB31" ca="1">IF($R29=2,
         IF(AND(ACOMPANHAMENTO="PLE",ISNUMBER($F29)),
                SUMIF((OFFSET(CÁLCULO!$AM$15:$AW$15,$F29,0,OFFSET(ORÇAMENTO!$D$15,CRONO!$F29,0))),CRONO!AB$12,OFFSET(CÁLCULO!$AB$15:$AL$15,$F29,0,OFFSET(ORÇAMENTO!$D$15,CRONO!$F29,0)))
                +IF(AND($F31&lt;&gt;"",$F31&lt;&gt;0),
                        SUMIF(CÁLCULO!$AM$15:$AW$405,CRONO!AB$12,CÁLCULO!$AB$15:$AL$405)/(ORÇAMENTO!$X$15-_xlfn.SINGLE(CÁLCULO.TotalAdmLocal))*CRONO!$F31,
                        0),
                 AB30*$S29),
          SUMIF(OFFSET($S31,1,0,$R29-2),($M29+1)&amp;"$",OFFSET(AB31,1,0,$R29-2)))</f>
        <v>0</v>
      </c>
      <c r="AC31" s="203" cm="1">
        <f t="array" aca="1" ref="AC31" ca="1">IF($R29=2,
         IF(AND(ACOMPANHAMENTO="PLE",ISNUMBER($F29)),
                SUMIF((OFFSET(CÁLCULO!$AM$15:$AW$15,$F29,0,OFFSET(ORÇAMENTO!$D$15,CRONO!$F29,0))),CRONO!AC$12,OFFSET(CÁLCULO!$AB$15:$AL$15,$F29,0,OFFSET(ORÇAMENTO!$D$15,CRONO!$F29,0)))
                +IF(AND($F31&lt;&gt;"",$F31&lt;&gt;0),
                        SUMIF(CÁLCULO!$AM$15:$AW$405,CRONO!AC$12,CÁLCULO!$AB$15:$AL$405)/(ORÇAMENTO!$X$15-_xlfn.SINGLE(CÁLCULO.TotalAdmLocal))*CRONO!$F31,
                        0),
                 AC30*$S29),
          SUMIF(OFFSET($S31,1,0,$R29-2),($M29+1)&amp;"$",OFFSET(AC31,1,0,$R29-2)))</f>
        <v>0</v>
      </c>
      <c r="AD31" s="203" cm="1">
        <f t="array" aca="1" ref="AD31" ca="1">IF($R29=2,
         IF(AND(ACOMPANHAMENTO="PLE",ISNUMBER($F29)),
                SUMIF((OFFSET(CÁLCULO!$AM$15:$AW$15,$F29,0,OFFSET(ORÇAMENTO!$D$15,CRONO!$F29,0))),CRONO!AD$12,OFFSET(CÁLCULO!$AB$15:$AL$15,$F29,0,OFFSET(ORÇAMENTO!$D$15,CRONO!$F29,0)))
                +IF(AND($F31&lt;&gt;"",$F31&lt;&gt;0),
                        SUMIF(CÁLCULO!$AM$15:$AW$405,CRONO!AD$12,CÁLCULO!$AB$15:$AL$405)/(ORÇAMENTO!$X$15-_xlfn.SINGLE(CÁLCULO.TotalAdmLocal))*CRONO!$F31,
                        0),
                 AD30*$S29),
          SUMIF(OFFSET($S31,1,0,$R29-2),($M29+1)&amp;"$",OFFSET(AD31,1,0,$R29-2)))</f>
        <v>0</v>
      </c>
      <c r="AE31" s="203" cm="1">
        <f t="array" aca="1" ref="AE31" ca="1">IF($R29=2,
         IF(AND(ACOMPANHAMENTO="PLE",ISNUMBER($F29)),
                SUMIF((OFFSET(CÁLCULO!$AM$15:$AW$15,$F29,0,OFFSET(ORÇAMENTO!$D$15,CRONO!$F29,0))),CRONO!AE$12,OFFSET(CÁLCULO!$AB$15:$AL$15,$F29,0,OFFSET(ORÇAMENTO!$D$15,CRONO!$F29,0)))
                +IF(AND($F31&lt;&gt;"",$F31&lt;&gt;0),
                        SUMIF(CÁLCULO!$AM$15:$AW$405,CRONO!AE$12,CÁLCULO!$AB$15:$AL$405)/(ORÇAMENTO!$X$15-_xlfn.SINGLE(CÁLCULO.TotalAdmLocal))*CRONO!$F31,
                        0),
                 AE30*$S29),
          SUMIF(OFFSET($S31,1,0,$R29-2),($M29+1)&amp;"$",OFFSET(AE31,1,0,$R29-2)))</f>
        <v>0</v>
      </c>
      <c r="AF31" s="203" cm="1">
        <f t="array" aca="1" ref="AF31" ca="1">IF($R29=2,
         IF(AND(ACOMPANHAMENTO="PLE",ISNUMBER($F29)),
                SUMIF((OFFSET(CÁLCULO!$AM$15:$AW$15,$F29,0,OFFSET(ORÇAMENTO!$D$15,CRONO!$F29,0))),CRONO!AF$12,OFFSET(CÁLCULO!$AB$15:$AL$15,$F29,0,OFFSET(ORÇAMENTO!$D$15,CRONO!$F29,0)))
                +IF(AND($F31&lt;&gt;"",$F31&lt;&gt;0),
                        SUMIF(CÁLCULO!$AM$15:$AW$405,CRONO!AF$12,CÁLCULO!$AB$15:$AL$405)/(ORÇAMENTO!$X$15-_xlfn.SINGLE(CÁLCULO.TotalAdmLocal))*CRONO!$F31,
                        0),
                 AF30*$S29),
          SUMIF(OFFSET($S31,1,0,$R29-2),($M29+1)&amp;"$",OFFSET(AF31,1,0,$R29-2)))</f>
        <v>0</v>
      </c>
      <c r="AG31" s="535"/>
    </row>
    <row r="32" spans="1:33" x14ac:dyDescent="0.2">
      <c r="A32" s="187" t="e">
        <f t="shared" ref="A32" ca="1" si="38">IF($M32&gt;1,_xlfn.CONCAT($I32," ",$J32),"")</f>
        <v>#NAME?</v>
      </c>
      <c r="B32" s="186">
        <f t="shared" ref="B32" ca="1" si="39">OFFSET(B32,-3,0)+1</f>
        <v>7</v>
      </c>
      <c r="C32" s="186">
        <f ca="1">IF($R32&lt;&gt;2,0,IF($S32=0,1,IF(F33&gt;0,OFFSET(QCI!$M$13,SUBSTITUTE(F33,".",""),0),OFFSET(ORÇAMENTO!$AA$15,CRONO!$F32,0))/$S32))</f>
        <v>1</v>
      </c>
      <c r="D32" s="186">
        <f ca="1">IF($R32&lt;&gt;2,0,IF($S32=0,1,IF(F33&gt;0,OFFSET(QCI!$N$13,SUBSTITUTE(F33,".",""),0),OFFSET(ORÇAMENTO!$AB$15,CRONO!$F32,0))/$S32))</f>
        <v>1</v>
      </c>
      <c r="E32" s="189" cm="1">
        <f t="array" aca="1" ref="E32" ca="1">IF(AND($R32=2,ACOMPANHAMENTO="BM"),ROUND(E33,4),E34/$S32)</f>
        <v>0</v>
      </c>
      <c r="F32" s="186">
        <f ca="1">IF(B32&lt;=ORÇAMENTO.MáximoListaCrono,MATCH(B32,ORÇAMENTO.ListaCrono,0),NA())</f>
        <v>26</v>
      </c>
      <c r="G32" s="186" t="str">
        <f t="shared" ref="G32" ca="1" si="40">IF(AND($F33&lt;&gt;-1,$S32&gt;0),"F","")</f>
        <v/>
      </c>
      <c r="H32" s="190" t="str" cm="1">
        <f t="array" aca="1" ref="H32" ca="1">IF(OR(S32=0,S32=""),"Linha",IF(AND(OR(ACOMPANHAMENTO="PLE",$R32&lt;&gt;2),$F33=0),"Linha",ROUND(1-SUM(U32:AG32),4)))</f>
        <v>Linha</v>
      </c>
      <c r="I32" s="191" t="str">
        <f ca="1">IF($F33=0,OFFSET(ORÇAMENTO!O$15,$F32,0),IF($F33&lt;&gt;-1,OFFSET(QCI!$D$13,$F33,0),""))</f>
        <v>1.6.</v>
      </c>
      <c r="J32" s="192" t="str">
        <f ca="1">IF($F33=0,OFFSET(ORÇAMENTO!R$15,$F32,0),IF($F33&lt;&gt;-1,OFFSET(QCI!$G$13,$F33,0),""))</f>
        <v>COBERTURA DOS MÓDULOS</v>
      </c>
      <c r="K32" s="192"/>
      <c r="L32" s="192"/>
      <c r="M32" s="193">
        <f ca="1">IF($F33=0,OFFSET(ORÇAMENTO!C$15,$F32,0),1)</f>
        <v>2</v>
      </c>
      <c r="N32" s="194">
        <f ca="1">IF($F33=-1,0,IF(N$13&lt;=$M32,IF(ISERROR(MATCH(N$13,OFFSET($M32,1,0,ROW($M$89)-ROW($M32)-1),0)),ROW($M$89)-ROW($M32)-1,MATCH(N$13,OFFSET($M32,1,0,ROW($M$89)-ROW($M32)-1),0)-1),0))</f>
        <v>56</v>
      </c>
      <c r="O32" s="194">
        <f ca="1">IF($F33=-1,0,IF(O$13&lt;=$M32,IF(ISERROR(MATCH(O$13,OFFSET($M32,1,0,ROW($M$89)-ROW($M32)-1),0)),ROW($M$89)-ROW($M32)-1,MATCH(O$13,OFFSET($M32,1,0,ROW($M$89)-ROW($M32)-1),0)-1),0))</f>
        <v>2</v>
      </c>
      <c r="P32" s="194">
        <f ca="1">IF($F33=-1,0,IF(P$13&lt;=$M32,IF(ISERROR(MATCH(P$13,OFFSET($M32,1,0,ROW($M$89)-ROW($M32)-1),0)),ROW($M$89)-ROW($M32)-1,MATCH(P$13,OFFSET($M32,1,0,ROW($M$89)-ROW($M32)-1),0)-1),0))</f>
        <v>0</v>
      </c>
      <c r="Q32" s="194">
        <f ca="1">IF($F33=-1,0,IF(Q$13&lt;=$M32,IF(ISERROR(MATCH(Q$13,OFFSET($M32,1,0,ROW($M$89)-ROW($M32)-1),0)),ROW($M$89)-ROW($M32)-1,MATCH(Q$13,OFFSET($M32,1,0,ROW($M$89)-ROW($M32)-1),0)-1),0))</f>
        <v>0</v>
      </c>
      <c r="R32" s="194">
        <f t="shared" ref="R32" ca="1" si="41">MIN(OFFSET(M32,0,1,,M32))</f>
        <v>2</v>
      </c>
      <c r="S32" s="195">
        <f ca="1">IF($F33=0,OFFSET(ORÇAMENTO!X$15,$F32,0),IF($F33&lt;&gt;-1,OFFSET(QCI!$O$13,$F33,0),""))</f>
        <v>0</v>
      </c>
      <c r="T32" s="196" t="s">
        <v>787</v>
      </c>
      <c r="U32" s="189" cm="1">
        <f t="array" aca="1" ref="U32" ca="1">IF(AND($R32=2,ACOMPANHAMENTO="BM"),ROUND(U33,4),U34/$S32)</f>
        <v>0.25</v>
      </c>
      <c r="V32" s="189" cm="1">
        <f t="array" aca="1" ref="V32" ca="1">IF(AND($R32=2,ACOMPANHAMENTO="BM"),ROUND(V33,4),V34/$S32)</f>
        <v>0.5</v>
      </c>
      <c r="W32" s="189" cm="1">
        <f t="array" aca="1" ref="W32" ca="1">IF(AND($R32=2,ACOMPANHAMENTO="BM"),ROUND(W33,4),W34/$S32)</f>
        <v>0.25</v>
      </c>
      <c r="X32" s="189" cm="1">
        <f t="array" aca="1" ref="X32" ca="1">IF(AND($R32=2,ACOMPANHAMENTO="BM"),ROUND(X33,4),X34/$S32)</f>
        <v>0</v>
      </c>
      <c r="Y32" s="189" cm="1">
        <f t="array" aca="1" ref="Y32" ca="1">IF(AND($R32=2,ACOMPANHAMENTO="BM"),ROUND(Y33,4),Y34/$S32)</f>
        <v>0</v>
      </c>
      <c r="Z32" s="189" cm="1">
        <f t="array" aca="1" ref="Z32" ca="1">IF(AND($R32=2,ACOMPANHAMENTO="BM"),ROUND(Z33,4),Z34/$S32)</f>
        <v>0</v>
      </c>
      <c r="AA32" s="189" cm="1">
        <f t="array" aca="1" ref="AA32" ca="1">IF(AND($R32=2,ACOMPANHAMENTO="BM"),ROUND(AA33,4),AA34/$S32)</f>
        <v>0</v>
      </c>
      <c r="AB32" s="189" cm="1">
        <f t="array" aca="1" ref="AB32" ca="1">IF(AND($R32=2,ACOMPANHAMENTO="BM"),ROUND(AB33,4),AB34/$S32)</f>
        <v>0</v>
      </c>
      <c r="AC32" s="189" cm="1">
        <f t="array" aca="1" ref="AC32" ca="1">IF(AND($R32=2,ACOMPANHAMENTO="BM"),ROUND(AC33,4),AC34/$S32)</f>
        <v>0</v>
      </c>
      <c r="AD32" s="189" cm="1">
        <f t="array" aca="1" ref="AD32" ca="1">IF(AND($R32=2,ACOMPANHAMENTO="BM"),ROUND(AD33,4),AD34/$S32)</f>
        <v>0</v>
      </c>
      <c r="AE32" s="189" cm="1">
        <f t="array" aca="1" ref="AE32" ca="1">IF(AND($R32=2,ACOMPANHAMENTO="BM"),ROUND(AE33,4),AE34/$S32)</f>
        <v>0</v>
      </c>
      <c r="AF32" s="189" cm="1">
        <f t="array" aca="1" ref="AF32" ca="1">IF(AND($R32=2,ACOMPANHAMENTO="BM"),ROUND(AF33,4),AF34/$S32)</f>
        <v>0</v>
      </c>
      <c r="AG32" s="535"/>
    </row>
    <row r="33" spans="1:33" ht="12.75" customHeight="1" x14ac:dyDescent="0.2">
      <c r="E33" s="590"/>
      <c r="F33" s="186">
        <f ca="1">IF(ISERROR(F32),IF(1+COUNTIF($M$13:OFFSET(M32,-1,0),1)&lt;=MAX(QCI!$D$13:$D$24),1+COUNTIF($M$13:OFFSET(M32,-1,0),1),-1),0)</f>
        <v>0</v>
      </c>
      <c r="G33" s="186" t="str" cm="1">
        <f t="array" aca="1" ref="G33" ca="1">IF(ACOMPANHAMENTO="BM",OFFSET(G33,-1,0),"")</f>
        <v/>
      </c>
      <c r="H33" s="197" t="str" cm="1">
        <f t="array" aca="1" ref="H33" ca="1">IF(OR(S32=0,S32=""),"vazia",IF(AND(OR(ACOMPANHAMENTO="PLE",$R32&lt;&gt;2),$F33=0),"calculada","--&gt;"))</f>
        <v>vazia</v>
      </c>
      <c r="I33" s="198"/>
      <c r="J33" s="199" t="str">
        <f t="shared" ref="J33" ca="1" si="42">IF(AND(H32&lt;&gt;0,ISNUMBER(H32)),"PREENCHA ESTA LINHA --&gt;","")</f>
        <v/>
      </c>
      <c r="K33" s="199"/>
      <c r="L33" s="199"/>
      <c r="M33" s="200"/>
      <c r="N33" s="200"/>
      <c r="O33" s="200"/>
      <c r="P33" s="200"/>
      <c r="Q33" s="200"/>
      <c r="R33" s="200"/>
      <c r="S33" s="201"/>
      <c r="T33" s="202"/>
      <c r="U33" s="590">
        <v>0.25</v>
      </c>
      <c r="V33" s="590">
        <v>0.5</v>
      </c>
      <c r="W33" s="590">
        <v>0.25</v>
      </c>
      <c r="X33" s="590"/>
      <c r="Y33" s="590"/>
      <c r="Z33" s="590"/>
      <c r="AA33" s="590"/>
      <c r="AB33" s="590"/>
      <c r="AC33" s="590"/>
      <c r="AD33" s="590"/>
      <c r="AE33" s="590"/>
      <c r="AF33" s="590"/>
      <c r="AG33" s="535"/>
    </row>
    <row r="34" spans="1:33" ht="12.75" customHeight="1" x14ac:dyDescent="0.2">
      <c r="D34" s="534"/>
      <c r="E34" s="203" cm="1">
        <f t="array" aca="1" ref="E34" ca="1">IF($R32=2,
         IF(AND(ACOMPANHAMENTO="PLE",ISNUMBER($F32)),
                SUMIF((OFFSET(CÁLCULO!$AM$15:$AW$15,$F32,0,OFFSET(ORÇAMENTO!$D$15,CRONO!$F32,0))),CRONO!E$12,OFFSET(CÁLCULO!$AB$15:$AL$15,$F32,0,OFFSET(ORÇAMENTO!$D$15,CRONO!$F32,0)))
                +IF(AND($F34&lt;&gt;"",$F34&lt;&gt;0),
                        SUMIF(CÁLCULO!$AM$15:$AW$405,CRONO!E$12,CÁLCULO!$AB$15:$AL$405)/(ORÇAMENTO!$X$15-_xlfn.SINGLE(CÁLCULO.TotalAdmLocal))*CRONO!$F34,
                        0),
                 E33*$S32),
          SUMIF(OFFSET($S34,1,0,$R32-2),($M32+1)&amp;"$",OFFSET(E34,1,0,$R32-2)))</f>
        <v>0</v>
      </c>
      <c r="F34" s="186" t="str">
        <f ca="1">IF(OR($R32&lt;&gt;2,AUTOEVENTO&lt;&gt;"manual",$F33&gt;0),"",
        IF(Import.TipoArredondamento="Tradicional",
              SUMIF(OFFSET(CÁLCULO!$M$15,CRONO!$F32,0,OFFSET(ORÇAMENTO!$D$15,CRONO!$F32,0)),1,OFFSET(ORÇAMENTO!$X$15,CRONO!$F32,0,OFFSET(ORÇAMENTO!$D$15,CRONO!$F32,0))),
              0))</f>
        <v/>
      </c>
      <c r="H34" s="204"/>
      <c r="S34" s="205" t="str">
        <f t="shared" ref="S34" ca="1" si="43">M32&amp;"$"</f>
        <v>2$</v>
      </c>
      <c r="T34" s="206"/>
      <c r="U34" s="203" cm="1">
        <f t="array" aca="1" ref="U34" ca="1">IF($R32=2,
         IF(AND(ACOMPANHAMENTO="PLE",ISNUMBER($F32)),
                SUMIF((OFFSET(CÁLCULO!$AM$15:$AW$15,$F32,0,OFFSET(ORÇAMENTO!$D$15,CRONO!$F32,0))),CRONO!U$12,OFFSET(CÁLCULO!$AB$15:$AL$15,$F32,0,OFFSET(ORÇAMENTO!$D$15,CRONO!$F32,0)))
                +IF(AND($F34&lt;&gt;"",$F34&lt;&gt;0),
                        SUMIF(CÁLCULO!$AM$15:$AW$405,CRONO!U$12,CÁLCULO!$AB$15:$AL$405)/(ORÇAMENTO!$X$15-_xlfn.SINGLE(CÁLCULO.TotalAdmLocal))*CRONO!$F34,
                        0),
                 U33*$S32),
          SUMIF(OFFSET($S34,1,0,$R32-2),($M32+1)&amp;"$",OFFSET(U34,1,0,$R32-2)))</f>
        <v>0</v>
      </c>
      <c r="V34" s="203" cm="1">
        <f t="array" aca="1" ref="V34" ca="1">IF($R32=2,
         IF(AND(ACOMPANHAMENTO="PLE",ISNUMBER($F32)),
                SUMIF((OFFSET(CÁLCULO!$AM$15:$AW$15,$F32,0,OFFSET(ORÇAMENTO!$D$15,CRONO!$F32,0))),CRONO!V$12,OFFSET(CÁLCULO!$AB$15:$AL$15,$F32,0,OFFSET(ORÇAMENTO!$D$15,CRONO!$F32,0)))
                +IF(AND($F34&lt;&gt;"",$F34&lt;&gt;0),
                        SUMIF(CÁLCULO!$AM$15:$AW$405,CRONO!V$12,CÁLCULO!$AB$15:$AL$405)/(ORÇAMENTO!$X$15-_xlfn.SINGLE(CÁLCULO.TotalAdmLocal))*CRONO!$F34,
                        0),
                 V33*$S32),
          SUMIF(OFFSET($S34,1,0,$R32-2),($M32+1)&amp;"$",OFFSET(V34,1,0,$R32-2)))</f>
        <v>0</v>
      </c>
      <c r="W34" s="203" cm="1">
        <f t="array" aca="1" ref="W34" ca="1">IF($R32=2,
         IF(AND(ACOMPANHAMENTO="PLE",ISNUMBER($F32)),
                SUMIF((OFFSET(CÁLCULO!$AM$15:$AW$15,$F32,0,OFFSET(ORÇAMENTO!$D$15,CRONO!$F32,0))),CRONO!W$12,OFFSET(CÁLCULO!$AB$15:$AL$15,$F32,0,OFFSET(ORÇAMENTO!$D$15,CRONO!$F32,0)))
                +IF(AND($F34&lt;&gt;"",$F34&lt;&gt;0),
                        SUMIF(CÁLCULO!$AM$15:$AW$405,CRONO!W$12,CÁLCULO!$AB$15:$AL$405)/(ORÇAMENTO!$X$15-_xlfn.SINGLE(CÁLCULO.TotalAdmLocal))*CRONO!$F34,
                        0),
                 W33*$S32),
          SUMIF(OFFSET($S34,1,0,$R32-2),($M32+1)&amp;"$",OFFSET(W34,1,0,$R32-2)))</f>
        <v>0</v>
      </c>
      <c r="X34" s="203" cm="1">
        <f t="array" aca="1" ref="X34" ca="1">IF($R32=2,
         IF(AND(ACOMPANHAMENTO="PLE",ISNUMBER($F32)),
                SUMIF((OFFSET(CÁLCULO!$AM$15:$AW$15,$F32,0,OFFSET(ORÇAMENTO!$D$15,CRONO!$F32,0))),CRONO!X$12,OFFSET(CÁLCULO!$AB$15:$AL$15,$F32,0,OFFSET(ORÇAMENTO!$D$15,CRONO!$F32,0)))
                +IF(AND($F34&lt;&gt;"",$F34&lt;&gt;0),
                        SUMIF(CÁLCULO!$AM$15:$AW$405,CRONO!X$12,CÁLCULO!$AB$15:$AL$405)/(ORÇAMENTO!$X$15-_xlfn.SINGLE(CÁLCULO.TotalAdmLocal))*CRONO!$F34,
                        0),
                 X33*$S32),
          SUMIF(OFFSET($S34,1,0,$R32-2),($M32+1)&amp;"$",OFFSET(X34,1,0,$R32-2)))</f>
        <v>0</v>
      </c>
      <c r="Y34" s="203" cm="1">
        <f t="array" aca="1" ref="Y34" ca="1">IF($R32=2,
         IF(AND(ACOMPANHAMENTO="PLE",ISNUMBER($F32)),
                SUMIF((OFFSET(CÁLCULO!$AM$15:$AW$15,$F32,0,OFFSET(ORÇAMENTO!$D$15,CRONO!$F32,0))),CRONO!Y$12,OFFSET(CÁLCULO!$AB$15:$AL$15,$F32,0,OFFSET(ORÇAMENTO!$D$15,CRONO!$F32,0)))
                +IF(AND($F34&lt;&gt;"",$F34&lt;&gt;0),
                        SUMIF(CÁLCULO!$AM$15:$AW$405,CRONO!Y$12,CÁLCULO!$AB$15:$AL$405)/(ORÇAMENTO!$X$15-_xlfn.SINGLE(CÁLCULO.TotalAdmLocal))*CRONO!$F34,
                        0),
                 Y33*$S32),
          SUMIF(OFFSET($S34,1,0,$R32-2),($M32+1)&amp;"$",OFFSET(Y34,1,0,$R32-2)))</f>
        <v>0</v>
      </c>
      <c r="Z34" s="203" cm="1">
        <f t="array" aca="1" ref="Z34" ca="1">IF($R32=2,
         IF(AND(ACOMPANHAMENTO="PLE",ISNUMBER($F32)),
                SUMIF((OFFSET(CÁLCULO!$AM$15:$AW$15,$F32,0,OFFSET(ORÇAMENTO!$D$15,CRONO!$F32,0))),CRONO!Z$12,OFFSET(CÁLCULO!$AB$15:$AL$15,$F32,0,OFFSET(ORÇAMENTO!$D$15,CRONO!$F32,0)))
                +IF(AND($F34&lt;&gt;"",$F34&lt;&gt;0),
                        SUMIF(CÁLCULO!$AM$15:$AW$405,CRONO!Z$12,CÁLCULO!$AB$15:$AL$405)/(ORÇAMENTO!$X$15-_xlfn.SINGLE(CÁLCULO.TotalAdmLocal))*CRONO!$F34,
                        0),
                 Z33*$S32),
          SUMIF(OFFSET($S34,1,0,$R32-2),($M32+1)&amp;"$",OFFSET(Z34,1,0,$R32-2)))</f>
        <v>0</v>
      </c>
      <c r="AA34" s="203" cm="1">
        <f t="array" aca="1" ref="AA34" ca="1">IF($R32=2,
         IF(AND(ACOMPANHAMENTO="PLE",ISNUMBER($F32)),
                SUMIF((OFFSET(CÁLCULO!$AM$15:$AW$15,$F32,0,OFFSET(ORÇAMENTO!$D$15,CRONO!$F32,0))),CRONO!AA$12,OFFSET(CÁLCULO!$AB$15:$AL$15,$F32,0,OFFSET(ORÇAMENTO!$D$15,CRONO!$F32,0)))
                +IF(AND($F34&lt;&gt;"",$F34&lt;&gt;0),
                        SUMIF(CÁLCULO!$AM$15:$AW$405,CRONO!AA$12,CÁLCULO!$AB$15:$AL$405)/(ORÇAMENTO!$X$15-_xlfn.SINGLE(CÁLCULO.TotalAdmLocal))*CRONO!$F34,
                        0),
                 AA33*$S32),
          SUMIF(OFFSET($S34,1,0,$R32-2),($M32+1)&amp;"$",OFFSET(AA34,1,0,$R32-2)))</f>
        <v>0</v>
      </c>
      <c r="AB34" s="203" cm="1">
        <f t="array" aca="1" ref="AB34" ca="1">IF($R32=2,
         IF(AND(ACOMPANHAMENTO="PLE",ISNUMBER($F32)),
                SUMIF((OFFSET(CÁLCULO!$AM$15:$AW$15,$F32,0,OFFSET(ORÇAMENTO!$D$15,CRONO!$F32,0))),CRONO!AB$12,OFFSET(CÁLCULO!$AB$15:$AL$15,$F32,0,OFFSET(ORÇAMENTO!$D$15,CRONO!$F32,0)))
                +IF(AND($F34&lt;&gt;"",$F34&lt;&gt;0),
                        SUMIF(CÁLCULO!$AM$15:$AW$405,CRONO!AB$12,CÁLCULO!$AB$15:$AL$405)/(ORÇAMENTO!$X$15-_xlfn.SINGLE(CÁLCULO.TotalAdmLocal))*CRONO!$F34,
                        0),
                 AB33*$S32),
          SUMIF(OFFSET($S34,1,0,$R32-2),($M32+1)&amp;"$",OFFSET(AB34,1,0,$R32-2)))</f>
        <v>0</v>
      </c>
      <c r="AC34" s="203" cm="1">
        <f t="array" aca="1" ref="AC34" ca="1">IF($R32=2,
         IF(AND(ACOMPANHAMENTO="PLE",ISNUMBER($F32)),
                SUMIF((OFFSET(CÁLCULO!$AM$15:$AW$15,$F32,0,OFFSET(ORÇAMENTO!$D$15,CRONO!$F32,0))),CRONO!AC$12,OFFSET(CÁLCULO!$AB$15:$AL$15,$F32,0,OFFSET(ORÇAMENTO!$D$15,CRONO!$F32,0)))
                +IF(AND($F34&lt;&gt;"",$F34&lt;&gt;0),
                        SUMIF(CÁLCULO!$AM$15:$AW$405,CRONO!AC$12,CÁLCULO!$AB$15:$AL$405)/(ORÇAMENTO!$X$15-_xlfn.SINGLE(CÁLCULO.TotalAdmLocal))*CRONO!$F34,
                        0),
                 AC33*$S32),
          SUMIF(OFFSET($S34,1,0,$R32-2),($M32+1)&amp;"$",OFFSET(AC34,1,0,$R32-2)))</f>
        <v>0</v>
      </c>
      <c r="AD34" s="203" cm="1">
        <f t="array" aca="1" ref="AD34" ca="1">IF($R32=2,
         IF(AND(ACOMPANHAMENTO="PLE",ISNUMBER($F32)),
                SUMIF((OFFSET(CÁLCULO!$AM$15:$AW$15,$F32,0,OFFSET(ORÇAMENTO!$D$15,CRONO!$F32,0))),CRONO!AD$12,OFFSET(CÁLCULO!$AB$15:$AL$15,$F32,0,OFFSET(ORÇAMENTO!$D$15,CRONO!$F32,0)))
                +IF(AND($F34&lt;&gt;"",$F34&lt;&gt;0),
                        SUMIF(CÁLCULO!$AM$15:$AW$405,CRONO!AD$12,CÁLCULO!$AB$15:$AL$405)/(ORÇAMENTO!$X$15-_xlfn.SINGLE(CÁLCULO.TotalAdmLocal))*CRONO!$F34,
                        0),
                 AD33*$S32),
          SUMIF(OFFSET($S34,1,0,$R32-2),($M32+1)&amp;"$",OFFSET(AD34,1,0,$R32-2)))</f>
        <v>0</v>
      </c>
      <c r="AE34" s="203" cm="1">
        <f t="array" aca="1" ref="AE34" ca="1">IF($R32=2,
         IF(AND(ACOMPANHAMENTO="PLE",ISNUMBER($F32)),
                SUMIF((OFFSET(CÁLCULO!$AM$15:$AW$15,$F32,0,OFFSET(ORÇAMENTO!$D$15,CRONO!$F32,0))),CRONO!AE$12,OFFSET(CÁLCULO!$AB$15:$AL$15,$F32,0,OFFSET(ORÇAMENTO!$D$15,CRONO!$F32,0)))
                +IF(AND($F34&lt;&gt;"",$F34&lt;&gt;0),
                        SUMIF(CÁLCULO!$AM$15:$AW$405,CRONO!AE$12,CÁLCULO!$AB$15:$AL$405)/(ORÇAMENTO!$X$15-_xlfn.SINGLE(CÁLCULO.TotalAdmLocal))*CRONO!$F34,
                        0),
                 AE33*$S32),
          SUMIF(OFFSET($S34,1,0,$R32-2),($M32+1)&amp;"$",OFFSET(AE34,1,0,$R32-2)))</f>
        <v>0</v>
      </c>
      <c r="AF34" s="203" cm="1">
        <f t="array" aca="1" ref="AF34" ca="1">IF($R32=2,
         IF(AND(ACOMPANHAMENTO="PLE",ISNUMBER($F32)),
                SUMIF((OFFSET(CÁLCULO!$AM$15:$AW$15,$F32,0,OFFSET(ORÇAMENTO!$D$15,CRONO!$F32,0))),CRONO!AF$12,OFFSET(CÁLCULO!$AB$15:$AL$15,$F32,0,OFFSET(ORÇAMENTO!$D$15,CRONO!$F32,0)))
                +IF(AND($F34&lt;&gt;"",$F34&lt;&gt;0),
                        SUMIF(CÁLCULO!$AM$15:$AW$405,CRONO!AF$12,CÁLCULO!$AB$15:$AL$405)/(ORÇAMENTO!$X$15-_xlfn.SINGLE(CÁLCULO.TotalAdmLocal))*CRONO!$F34,
                        0),
                 AF33*$S32),
          SUMIF(OFFSET($S34,1,0,$R32-2),($M32+1)&amp;"$",OFFSET(AF34,1,0,$R32-2)))</f>
        <v>0</v>
      </c>
      <c r="AG34" s="535"/>
    </row>
    <row r="35" spans="1:33" x14ac:dyDescent="0.2">
      <c r="A35" s="187" t="e">
        <f t="shared" ref="A35" ca="1" si="44">IF($M35&gt;1,_xlfn.CONCAT($I35," ",$J35),"")</f>
        <v>#NAME?</v>
      </c>
      <c r="B35" s="186">
        <f t="shared" ref="B35" ca="1" si="45">OFFSET(B35,-3,0)+1</f>
        <v>8</v>
      </c>
      <c r="C35" s="186">
        <f ca="1">IF($R35&lt;&gt;2,0,IF($S35=0,1,IF(F36&gt;0,OFFSET(QCI!$M$13,SUBSTITUTE(F36,".",""),0),OFFSET(ORÇAMENTO!$AA$15,CRONO!$F35,0))/$S35))</f>
        <v>1</v>
      </c>
      <c r="D35" s="186">
        <f ca="1">IF($R35&lt;&gt;2,0,IF($S35=0,1,IF(F36&gt;0,OFFSET(QCI!$N$13,SUBSTITUTE(F36,".",""),0),OFFSET(ORÇAMENTO!$AB$15,CRONO!$F35,0))/$S35))</f>
        <v>1</v>
      </c>
      <c r="E35" s="189" cm="1">
        <f t="array" aca="1" ref="E35" ca="1">IF(AND($R35=2,ACOMPANHAMENTO="BM"),ROUND(E36,4),E37/$S35)</f>
        <v>0</v>
      </c>
      <c r="F35" s="186">
        <f ca="1">IF(B35&lt;=ORÇAMENTO.MáximoListaCrono,MATCH(B35,ORÇAMENTO.ListaCrono,0),NA())</f>
        <v>32</v>
      </c>
      <c r="G35" s="186" t="str">
        <f t="shared" ref="G35" ca="1" si="46">IF(AND($F36&lt;&gt;-1,$S35&gt;0),"F","")</f>
        <v/>
      </c>
      <c r="H35" s="190" t="str" cm="1">
        <f t="array" aca="1" ref="H35" ca="1">IF(OR(S35=0,S35=""),"Linha",IF(AND(OR(ACOMPANHAMENTO="PLE",$R35&lt;&gt;2),$F36=0),"Linha",ROUND(1-SUM(U35:AG35),4)))</f>
        <v>Linha</v>
      </c>
      <c r="I35" s="191" t="str">
        <f ca="1">IF($F36=0,OFFSET(ORÇAMENTO!O$15,$F35,0),IF($F36&lt;&gt;-1,OFFSET(QCI!$D$13,$F36,0),""))</f>
        <v>1.7.</v>
      </c>
      <c r="J35" s="192" t="str">
        <f ca="1">IF($F36=0,OFFSET(ORÇAMENTO!R$15,$F35,0),IF($F36&lt;&gt;-1,OFFSET(QCI!$G$13,$F36,0),""))</f>
        <v>FECHAMENTOS DOS MÓDULOS</v>
      </c>
      <c r="K35" s="192"/>
      <c r="L35" s="192"/>
      <c r="M35" s="193">
        <f ca="1">IF($F36=0,OFFSET(ORÇAMENTO!C$15,$F35,0),1)</f>
        <v>2</v>
      </c>
      <c r="N35" s="194">
        <f ca="1">IF($F36=-1,0,IF(N$13&lt;=$M35,IF(ISERROR(MATCH(N$13,OFFSET($M35,1,0,ROW($M$89)-ROW($M35)-1),0)),ROW($M$89)-ROW($M35)-1,MATCH(N$13,OFFSET($M35,1,0,ROW($M$89)-ROW($M35)-1),0)-1),0))</f>
        <v>53</v>
      </c>
      <c r="O35" s="194">
        <f ca="1">IF($F36=-1,0,IF(O$13&lt;=$M35,IF(ISERROR(MATCH(O$13,OFFSET($M35,1,0,ROW($M$89)-ROW($M35)-1),0)),ROW($M$89)-ROW($M35)-1,MATCH(O$13,OFFSET($M35,1,0,ROW($M$89)-ROW($M35)-1),0)-1),0))</f>
        <v>2</v>
      </c>
      <c r="P35" s="194">
        <f ca="1">IF($F36=-1,0,IF(P$13&lt;=$M35,IF(ISERROR(MATCH(P$13,OFFSET($M35,1,0,ROW($M$89)-ROW($M35)-1),0)),ROW($M$89)-ROW($M35)-1,MATCH(P$13,OFFSET($M35,1,0,ROW($M$89)-ROW($M35)-1),0)-1),0))</f>
        <v>0</v>
      </c>
      <c r="Q35" s="194">
        <f ca="1">IF($F36=-1,0,IF(Q$13&lt;=$M35,IF(ISERROR(MATCH(Q$13,OFFSET($M35,1,0,ROW($M$89)-ROW($M35)-1),0)),ROW($M$89)-ROW($M35)-1,MATCH(Q$13,OFFSET($M35,1,0,ROW($M$89)-ROW($M35)-1),0)-1),0))</f>
        <v>0</v>
      </c>
      <c r="R35" s="194">
        <f t="shared" ref="R35" ca="1" si="47">MIN(OFFSET(M35,0,1,,M35))</f>
        <v>2</v>
      </c>
      <c r="S35" s="195">
        <f ca="1">IF($F36=0,OFFSET(ORÇAMENTO!X$15,$F35,0),IF($F36&lt;&gt;-1,OFFSET(QCI!$O$13,$F36,0),""))</f>
        <v>0</v>
      </c>
      <c r="T35" s="196" t="s">
        <v>787</v>
      </c>
      <c r="U35" s="189" cm="1">
        <f t="array" aca="1" ref="U35" ca="1">IF(AND($R35=2,ACOMPANHAMENTO="BM"),ROUND(U36,4),U37/$S35)</f>
        <v>0.25</v>
      </c>
      <c r="V35" s="189" cm="1">
        <f t="array" aca="1" ref="V35" ca="1">IF(AND($R35=2,ACOMPANHAMENTO="BM"),ROUND(V36,4),V37/$S35)</f>
        <v>0.5</v>
      </c>
      <c r="W35" s="189" cm="1">
        <f t="array" aca="1" ref="W35" ca="1">IF(AND($R35=2,ACOMPANHAMENTO="BM"),ROUND(W36,4),W37/$S35)</f>
        <v>0.25</v>
      </c>
      <c r="X35" s="189" cm="1">
        <f t="array" aca="1" ref="X35" ca="1">IF(AND($R35=2,ACOMPANHAMENTO="BM"),ROUND(X36,4),X37/$S35)</f>
        <v>0</v>
      </c>
      <c r="Y35" s="189" cm="1">
        <f t="array" aca="1" ref="Y35" ca="1">IF(AND($R35=2,ACOMPANHAMENTO="BM"),ROUND(Y36,4),Y37/$S35)</f>
        <v>0</v>
      </c>
      <c r="Z35" s="189" cm="1">
        <f t="array" aca="1" ref="Z35" ca="1">IF(AND($R35=2,ACOMPANHAMENTO="BM"),ROUND(Z36,4),Z37/$S35)</f>
        <v>0</v>
      </c>
      <c r="AA35" s="189" cm="1">
        <f t="array" aca="1" ref="AA35" ca="1">IF(AND($R35=2,ACOMPANHAMENTO="BM"),ROUND(AA36,4),AA37/$S35)</f>
        <v>0</v>
      </c>
      <c r="AB35" s="189" cm="1">
        <f t="array" aca="1" ref="AB35" ca="1">IF(AND($R35=2,ACOMPANHAMENTO="BM"),ROUND(AB36,4),AB37/$S35)</f>
        <v>0</v>
      </c>
      <c r="AC35" s="189" cm="1">
        <f t="array" aca="1" ref="AC35" ca="1">IF(AND($R35=2,ACOMPANHAMENTO="BM"),ROUND(AC36,4),AC37/$S35)</f>
        <v>0</v>
      </c>
      <c r="AD35" s="189" cm="1">
        <f t="array" aca="1" ref="AD35" ca="1">IF(AND($R35=2,ACOMPANHAMENTO="BM"),ROUND(AD36,4),AD37/$S35)</f>
        <v>0</v>
      </c>
      <c r="AE35" s="189" cm="1">
        <f t="array" aca="1" ref="AE35" ca="1">IF(AND($R35=2,ACOMPANHAMENTO="BM"),ROUND(AE36,4),AE37/$S35)</f>
        <v>0</v>
      </c>
      <c r="AF35" s="189" cm="1">
        <f t="array" aca="1" ref="AF35" ca="1">IF(AND($R35=2,ACOMPANHAMENTO="BM"),ROUND(AF36,4),AF37/$S35)</f>
        <v>0</v>
      </c>
      <c r="AG35" s="535"/>
    </row>
    <row r="36" spans="1:33" ht="12.75" customHeight="1" x14ac:dyDescent="0.2">
      <c r="E36" s="590"/>
      <c r="F36" s="186">
        <f ca="1">IF(ISERROR(F35),IF(1+COUNTIF($M$13:OFFSET(M35,-1,0),1)&lt;=MAX(QCI!$D$13:$D$24),1+COUNTIF($M$13:OFFSET(M35,-1,0),1),-1),0)</f>
        <v>0</v>
      </c>
      <c r="G36" s="186" t="str" cm="1">
        <f t="array" aca="1" ref="G36" ca="1">IF(ACOMPANHAMENTO="BM",OFFSET(G36,-1,0),"")</f>
        <v/>
      </c>
      <c r="H36" s="197" t="str" cm="1">
        <f t="array" aca="1" ref="H36" ca="1">IF(OR(S35=0,S35=""),"vazia",IF(AND(OR(ACOMPANHAMENTO="PLE",$R35&lt;&gt;2),$F36=0),"calculada","--&gt;"))</f>
        <v>vazia</v>
      </c>
      <c r="I36" s="198"/>
      <c r="J36" s="199" t="str">
        <f t="shared" ref="J36" ca="1" si="48">IF(AND(H35&lt;&gt;0,ISNUMBER(H35)),"PREENCHA ESTA LINHA --&gt;","")</f>
        <v/>
      </c>
      <c r="K36" s="199"/>
      <c r="L36" s="199"/>
      <c r="M36" s="200"/>
      <c r="N36" s="200"/>
      <c r="O36" s="200"/>
      <c r="P36" s="200"/>
      <c r="Q36" s="200"/>
      <c r="R36" s="200"/>
      <c r="S36" s="201"/>
      <c r="T36" s="202"/>
      <c r="U36" s="590">
        <v>0.25</v>
      </c>
      <c r="V36" s="590">
        <v>0.5</v>
      </c>
      <c r="W36" s="590">
        <v>0.25</v>
      </c>
      <c r="X36" s="590"/>
      <c r="Y36" s="590"/>
      <c r="Z36" s="590"/>
      <c r="AA36" s="590"/>
      <c r="AB36" s="590"/>
      <c r="AC36" s="590"/>
      <c r="AD36" s="590"/>
      <c r="AE36" s="590"/>
      <c r="AF36" s="590"/>
      <c r="AG36" s="535"/>
    </row>
    <row r="37" spans="1:33" ht="12.75" customHeight="1" x14ac:dyDescent="0.2">
      <c r="D37" s="534"/>
      <c r="E37" s="203" cm="1">
        <f t="array" aca="1" ref="E37" ca="1">IF($R35=2,
         IF(AND(ACOMPANHAMENTO="PLE",ISNUMBER($F35)),
                SUMIF((OFFSET(CÁLCULO!$AM$15:$AW$15,$F35,0,OFFSET(ORÇAMENTO!$D$15,CRONO!$F35,0))),CRONO!E$12,OFFSET(CÁLCULO!$AB$15:$AL$15,$F35,0,OFFSET(ORÇAMENTO!$D$15,CRONO!$F35,0)))
                +IF(AND($F37&lt;&gt;"",$F37&lt;&gt;0),
                        SUMIF(CÁLCULO!$AM$15:$AW$405,CRONO!E$12,CÁLCULO!$AB$15:$AL$405)/(ORÇAMENTO!$X$15-_xlfn.SINGLE(CÁLCULO.TotalAdmLocal))*CRONO!$F37,
                        0),
                 E36*$S35),
          SUMIF(OFFSET($S37,1,0,$R35-2),($M35+1)&amp;"$",OFFSET(E37,1,0,$R35-2)))</f>
        <v>0</v>
      </c>
      <c r="F37" s="186" t="str">
        <f ca="1">IF(OR($R35&lt;&gt;2,AUTOEVENTO&lt;&gt;"manual",$F36&gt;0),"",
        IF(Import.TipoArredondamento="Tradicional",
              SUMIF(OFFSET(CÁLCULO!$M$15,CRONO!$F35,0,OFFSET(ORÇAMENTO!$D$15,CRONO!$F35,0)),1,OFFSET(ORÇAMENTO!$X$15,CRONO!$F35,0,OFFSET(ORÇAMENTO!$D$15,CRONO!$F35,0))),
              0))</f>
        <v/>
      </c>
      <c r="H37" s="204"/>
      <c r="S37" s="205" t="str">
        <f t="shared" ref="S37" ca="1" si="49">M35&amp;"$"</f>
        <v>2$</v>
      </c>
      <c r="T37" s="206"/>
      <c r="U37" s="203" cm="1">
        <f t="array" aca="1" ref="U37" ca="1">IF($R35=2,
         IF(AND(ACOMPANHAMENTO="PLE",ISNUMBER($F35)),
                SUMIF((OFFSET(CÁLCULO!$AM$15:$AW$15,$F35,0,OFFSET(ORÇAMENTO!$D$15,CRONO!$F35,0))),CRONO!U$12,OFFSET(CÁLCULO!$AB$15:$AL$15,$F35,0,OFFSET(ORÇAMENTO!$D$15,CRONO!$F35,0)))
                +IF(AND($F37&lt;&gt;"",$F37&lt;&gt;0),
                        SUMIF(CÁLCULO!$AM$15:$AW$405,CRONO!U$12,CÁLCULO!$AB$15:$AL$405)/(ORÇAMENTO!$X$15-_xlfn.SINGLE(CÁLCULO.TotalAdmLocal))*CRONO!$F37,
                        0),
                 U36*$S35),
          SUMIF(OFFSET($S37,1,0,$R35-2),($M35+1)&amp;"$",OFFSET(U37,1,0,$R35-2)))</f>
        <v>0</v>
      </c>
      <c r="V37" s="203" cm="1">
        <f t="array" aca="1" ref="V37" ca="1">IF($R35=2,
         IF(AND(ACOMPANHAMENTO="PLE",ISNUMBER($F35)),
                SUMIF((OFFSET(CÁLCULO!$AM$15:$AW$15,$F35,0,OFFSET(ORÇAMENTO!$D$15,CRONO!$F35,0))),CRONO!V$12,OFFSET(CÁLCULO!$AB$15:$AL$15,$F35,0,OFFSET(ORÇAMENTO!$D$15,CRONO!$F35,0)))
                +IF(AND($F37&lt;&gt;"",$F37&lt;&gt;0),
                        SUMIF(CÁLCULO!$AM$15:$AW$405,CRONO!V$12,CÁLCULO!$AB$15:$AL$405)/(ORÇAMENTO!$X$15-_xlfn.SINGLE(CÁLCULO.TotalAdmLocal))*CRONO!$F37,
                        0),
                 V36*$S35),
          SUMIF(OFFSET($S37,1,0,$R35-2),($M35+1)&amp;"$",OFFSET(V37,1,0,$R35-2)))</f>
        <v>0</v>
      </c>
      <c r="W37" s="203" cm="1">
        <f t="array" aca="1" ref="W37" ca="1">IF($R35=2,
         IF(AND(ACOMPANHAMENTO="PLE",ISNUMBER($F35)),
                SUMIF((OFFSET(CÁLCULO!$AM$15:$AW$15,$F35,0,OFFSET(ORÇAMENTO!$D$15,CRONO!$F35,0))),CRONO!W$12,OFFSET(CÁLCULO!$AB$15:$AL$15,$F35,0,OFFSET(ORÇAMENTO!$D$15,CRONO!$F35,0)))
                +IF(AND($F37&lt;&gt;"",$F37&lt;&gt;0),
                        SUMIF(CÁLCULO!$AM$15:$AW$405,CRONO!W$12,CÁLCULO!$AB$15:$AL$405)/(ORÇAMENTO!$X$15-_xlfn.SINGLE(CÁLCULO.TotalAdmLocal))*CRONO!$F37,
                        0),
                 W36*$S35),
          SUMIF(OFFSET($S37,1,0,$R35-2),($M35+1)&amp;"$",OFFSET(W37,1,0,$R35-2)))</f>
        <v>0</v>
      </c>
      <c r="X37" s="203" cm="1">
        <f t="array" aca="1" ref="X37" ca="1">IF($R35=2,
         IF(AND(ACOMPANHAMENTO="PLE",ISNUMBER($F35)),
                SUMIF((OFFSET(CÁLCULO!$AM$15:$AW$15,$F35,0,OFFSET(ORÇAMENTO!$D$15,CRONO!$F35,0))),CRONO!X$12,OFFSET(CÁLCULO!$AB$15:$AL$15,$F35,0,OFFSET(ORÇAMENTO!$D$15,CRONO!$F35,0)))
                +IF(AND($F37&lt;&gt;"",$F37&lt;&gt;0),
                        SUMIF(CÁLCULO!$AM$15:$AW$405,CRONO!X$12,CÁLCULO!$AB$15:$AL$405)/(ORÇAMENTO!$X$15-_xlfn.SINGLE(CÁLCULO.TotalAdmLocal))*CRONO!$F37,
                        0),
                 X36*$S35),
          SUMIF(OFFSET($S37,1,0,$R35-2),($M35+1)&amp;"$",OFFSET(X37,1,0,$R35-2)))</f>
        <v>0</v>
      </c>
      <c r="Y37" s="203" cm="1">
        <f t="array" aca="1" ref="Y37" ca="1">IF($R35=2,
         IF(AND(ACOMPANHAMENTO="PLE",ISNUMBER($F35)),
                SUMIF((OFFSET(CÁLCULO!$AM$15:$AW$15,$F35,0,OFFSET(ORÇAMENTO!$D$15,CRONO!$F35,0))),CRONO!Y$12,OFFSET(CÁLCULO!$AB$15:$AL$15,$F35,0,OFFSET(ORÇAMENTO!$D$15,CRONO!$F35,0)))
                +IF(AND($F37&lt;&gt;"",$F37&lt;&gt;0),
                        SUMIF(CÁLCULO!$AM$15:$AW$405,CRONO!Y$12,CÁLCULO!$AB$15:$AL$405)/(ORÇAMENTO!$X$15-_xlfn.SINGLE(CÁLCULO.TotalAdmLocal))*CRONO!$F37,
                        0),
                 Y36*$S35),
          SUMIF(OFFSET($S37,1,0,$R35-2),($M35+1)&amp;"$",OFFSET(Y37,1,0,$R35-2)))</f>
        <v>0</v>
      </c>
      <c r="Z37" s="203" cm="1">
        <f t="array" aca="1" ref="Z37" ca="1">IF($R35=2,
         IF(AND(ACOMPANHAMENTO="PLE",ISNUMBER($F35)),
                SUMIF((OFFSET(CÁLCULO!$AM$15:$AW$15,$F35,0,OFFSET(ORÇAMENTO!$D$15,CRONO!$F35,0))),CRONO!Z$12,OFFSET(CÁLCULO!$AB$15:$AL$15,$F35,0,OFFSET(ORÇAMENTO!$D$15,CRONO!$F35,0)))
                +IF(AND($F37&lt;&gt;"",$F37&lt;&gt;0),
                        SUMIF(CÁLCULO!$AM$15:$AW$405,CRONO!Z$12,CÁLCULO!$AB$15:$AL$405)/(ORÇAMENTO!$X$15-_xlfn.SINGLE(CÁLCULO.TotalAdmLocal))*CRONO!$F37,
                        0),
                 Z36*$S35),
          SUMIF(OFFSET($S37,1,0,$R35-2),($M35+1)&amp;"$",OFFSET(Z37,1,0,$R35-2)))</f>
        <v>0</v>
      </c>
      <c r="AA37" s="203" cm="1">
        <f t="array" aca="1" ref="AA37" ca="1">IF($R35=2,
         IF(AND(ACOMPANHAMENTO="PLE",ISNUMBER($F35)),
                SUMIF((OFFSET(CÁLCULO!$AM$15:$AW$15,$F35,0,OFFSET(ORÇAMENTO!$D$15,CRONO!$F35,0))),CRONO!AA$12,OFFSET(CÁLCULO!$AB$15:$AL$15,$F35,0,OFFSET(ORÇAMENTO!$D$15,CRONO!$F35,0)))
                +IF(AND($F37&lt;&gt;"",$F37&lt;&gt;0),
                        SUMIF(CÁLCULO!$AM$15:$AW$405,CRONO!AA$12,CÁLCULO!$AB$15:$AL$405)/(ORÇAMENTO!$X$15-_xlfn.SINGLE(CÁLCULO.TotalAdmLocal))*CRONO!$F37,
                        0),
                 AA36*$S35),
          SUMIF(OFFSET($S37,1,0,$R35-2),($M35+1)&amp;"$",OFFSET(AA37,1,0,$R35-2)))</f>
        <v>0</v>
      </c>
      <c r="AB37" s="203" cm="1">
        <f t="array" aca="1" ref="AB37" ca="1">IF($R35=2,
         IF(AND(ACOMPANHAMENTO="PLE",ISNUMBER($F35)),
                SUMIF((OFFSET(CÁLCULO!$AM$15:$AW$15,$F35,0,OFFSET(ORÇAMENTO!$D$15,CRONO!$F35,0))),CRONO!AB$12,OFFSET(CÁLCULO!$AB$15:$AL$15,$F35,0,OFFSET(ORÇAMENTO!$D$15,CRONO!$F35,0)))
                +IF(AND($F37&lt;&gt;"",$F37&lt;&gt;0),
                        SUMIF(CÁLCULO!$AM$15:$AW$405,CRONO!AB$12,CÁLCULO!$AB$15:$AL$405)/(ORÇAMENTO!$X$15-_xlfn.SINGLE(CÁLCULO.TotalAdmLocal))*CRONO!$F37,
                        0),
                 AB36*$S35),
          SUMIF(OFFSET($S37,1,0,$R35-2),($M35+1)&amp;"$",OFFSET(AB37,1,0,$R35-2)))</f>
        <v>0</v>
      </c>
      <c r="AC37" s="203" cm="1">
        <f t="array" aca="1" ref="AC37" ca="1">IF($R35=2,
         IF(AND(ACOMPANHAMENTO="PLE",ISNUMBER($F35)),
                SUMIF((OFFSET(CÁLCULO!$AM$15:$AW$15,$F35,0,OFFSET(ORÇAMENTO!$D$15,CRONO!$F35,0))),CRONO!AC$12,OFFSET(CÁLCULO!$AB$15:$AL$15,$F35,0,OFFSET(ORÇAMENTO!$D$15,CRONO!$F35,0)))
                +IF(AND($F37&lt;&gt;"",$F37&lt;&gt;0),
                        SUMIF(CÁLCULO!$AM$15:$AW$405,CRONO!AC$12,CÁLCULO!$AB$15:$AL$405)/(ORÇAMENTO!$X$15-_xlfn.SINGLE(CÁLCULO.TotalAdmLocal))*CRONO!$F37,
                        0),
                 AC36*$S35),
          SUMIF(OFFSET($S37,1,0,$R35-2),($M35+1)&amp;"$",OFFSET(AC37,1,0,$R35-2)))</f>
        <v>0</v>
      </c>
      <c r="AD37" s="203" cm="1">
        <f t="array" aca="1" ref="AD37" ca="1">IF($R35=2,
         IF(AND(ACOMPANHAMENTO="PLE",ISNUMBER($F35)),
                SUMIF((OFFSET(CÁLCULO!$AM$15:$AW$15,$F35,0,OFFSET(ORÇAMENTO!$D$15,CRONO!$F35,0))),CRONO!AD$12,OFFSET(CÁLCULO!$AB$15:$AL$15,$F35,0,OFFSET(ORÇAMENTO!$D$15,CRONO!$F35,0)))
                +IF(AND($F37&lt;&gt;"",$F37&lt;&gt;0),
                        SUMIF(CÁLCULO!$AM$15:$AW$405,CRONO!AD$12,CÁLCULO!$AB$15:$AL$405)/(ORÇAMENTO!$X$15-_xlfn.SINGLE(CÁLCULO.TotalAdmLocal))*CRONO!$F37,
                        0),
                 AD36*$S35),
          SUMIF(OFFSET($S37,1,0,$R35-2),($M35+1)&amp;"$",OFFSET(AD37,1,0,$R35-2)))</f>
        <v>0</v>
      </c>
      <c r="AE37" s="203" cm="1">
        <f t="array" aca="1" ref="AE37" ca="1">IF($R35=2,
         IF(AND(ACOMPANHAMENTO="PLE",ISNUMBER($F35)),
                SUMIF((OFFSET(CÁLCULO!$AM$15:$AW$15,$F35,0,OFFSET(ORÇAMENTO!$D$15,CRONO!$F35,0))),CRONO!AE$12,OFFSET(CÁLCULO!$AB$15:$AL$15,$F35,0,OFFSET(ORÇAMENTO!$D$15,CRONO!$F35,0)))
                +IF(AND($F37&lt;&gt;"",$F37&lt;&gt;0),
                        SUMIF(CÁLCULO!$AM$15:$AW$405,CRONO!AE$12,CÁLCULO!$AB$15:$AL$405)/(ORÇAMENTO!$X$15-_xlfn.SINGLE(CÁLCULO.TotalAdmLocal))*CRONO!$F37,
                        0),
                 AE36*$S35),
          SUMIF(OFFSET($S37,1,0,$R35-2),($M35+1)&amp;"$",OFFSET(AE37,1,0,$R35-2)))</f>
        <v>0</v>
      </c>
      <c r="AF37" s="203" cm="1">
        <f t="array" aca="1" ref="AF37" ca="1">IF($R35=2,
         IF(AND(ACOMPANHAMENTO="PLE",ISNUMBER($F35)),
                SUMIF((OFFSET(CÁLCULO!$AM$15:$AW$15,$F35,0,OFFSET(ORÇAMENTO!$D$15,CRONO!$F35,0))),CRONO!AF$12,OFFSET(CÁLCULO!$AB$15:$AL$15,$F35,0,OFFSET(ORÇAMENTO!$D$15,CRONO!$F35,0)))
                +IF(AND($F37&lt;&gt;"",$F37&lt;&gt;0),
                        SUMIF(CÁLCULO!$AM$15:$AW$405,CRONO!AF$12,CÁLCULO!$AB$15:$AL$405)/(ORÇAMENTO!$X$15-_xlfn.SINGLE(CÁLCULO.TotalAdmLocal))*CRONO!$F37,
                        0),
                 AF36*$S35),
          SUMIF(OFFSET($S37,1,0,$R35-2),($M35+1)&amp;"$",OFFSET(AF37,1,0,$R35-2)))</f>
        <v>0</v>
      </c>
      <c r="AG37" s="535"/>
    </row>
    <row r="38" spans="1:33" x14ac:dyDescent="0.2">
      <c r="A38" s="187" t="e">
        <f t="shared" ref="A38" ca="1" si="50">IF($M38&gt;1,_xlfn.CONCAT($I38," ",$J38),"")</f>
        <v>#NAME?</v>
      </c>
      <c r="B38" s="186">
        <f t="shared" ref="B38" ca="1" si="51">OFFSET(B38,-3,0)+1</f>
        <v>9</v>
      </c>
      <c r="C38" s="186">
        <f ca="1">IF($R38&lt;&gt;2,0,IF($S38=0,1,IF(F39&gt;0,OFFSET(QCI!$M$13,SUBSTITUTE(F39,".",""),0),OFFSET(ORÇAMENTO!$AA$15,CRONO!$F38,0))/$S38))</f>
        <v>1</v>
      </c>
      <c r="D38" s="186">
        <f ca="1">IF($R38&lt;&gt;2,0,IF($S38=0,1,IF(F39&gt;0,OFFSET(QCI!$N$13,SUBSTITUTE(F39,".",""),0),OFFSET(ORÇAMENTO!$AB$15,CRONO!$F38,0))/$S38))</f>
        <v>1</v>
      </c>
      <c r="E38" s="189" cm="1">
        <f t="array" aca="1" ref="E38" ca="1">IF(AND($R38=2,ACOMPANHAMENTO="BM"),ROUND(E39,4),E40/$S38)</f>
        <v>0</v>
      </c>
      <c r="F38" s="186">
        <f ca="1">IF(B38&lt;=ORÇAMENTO.MáximoListaCrono,MATCH(B38,ORÇAMENTO.ListaCrono,0),NA())</f>
        <v>37</v>
      </c>
      <c r="G38" s="186" t="str">
        <f t="shared" ref="G38" ca="1" si="52">IF(AND($F39&lt;&gt;-1,$S38&gt;0),"F","")</f>
        <v/>
      </c>
      <c r="H38" s="190" t="str" cm="1">
        <f t="array" aca="1" ref="H38" ca="1">IF(OR(S38=0,S38=""),"Linha",IF(AND(OR(ACOMPANHAMENTO="PLE",$R38&lt;&gt;2),$F39=0),"Linha",ROUND(1-SUM(U38:AG38),4)))</f>
        <v>Linha</v>
      </c>
      <c r="I38" s="191" t="str">
        <f ca="1">IF($F39=0,OFFSET(ORÇAMENTO!O$15,$F38,0),IF($F39&lt;&gt;-1,OFFSET(QCI!$D$13,$F39,0),""))</f>
        <v>1.8.</v>
      </c>
      <c r="J38" s="192" t="str">
        <f ca="1">IF($F39=0,OFFSET(ORÇAMENTO!R$15,$F38,0),IF($F39&lt;&gt;-1,OFFSET(QCI!$G$13,$F39,0),""))</f>
        <v>PINTURA DA ESTRUTURA DOS MÓDULOS</v>
      </c>
      <c r="K38" s="192"/>
      <c r="L38" s="192"/>
      <c r="M38" s="193">
        <f ca="1">IF($F39=0,OFFSET(ORÇAMENTO!C$15,$F38,0),1)</f>
        <v>2</v>
      </c>
      <c r="N38" s="194">
        <f ca="1">IF($F39=-1,0,IF(N$13&lt;=$M38,IF(ISERROR(MATCH(N$13,OFFSET($M38,1,0,ROW($M$89)-ROW($M38)-1),0)),ROW($M$89)-ROW($M38)-1,MATCH(N$13,OFFSET($M38,1,0,ROW($M$89)-ROW($M38)-1),0)-1),0))</f>
        <v>50</v>
      </c>
      <c r="O38" s="194">
        <f ca="1">IF($F39=-1,0,IF(O$13&lt;=$M38,IF(ISERROR(MATCH(O$13,OFFSET($M38,1,0,ROW($M$89)-ROW($M38)-1),0)),ROW($M$89)-ROW($M38)-1,MATCH(O$13,OFFSET($M38,1,0,ROW($M$89)-ROW($M38)-1),0)-1),0))</f>
        <v>2</v>
      </c>
      <c r="P38" s="194">
        <f ca="1">IF($F39=-1,0,IF(P$13&lt;=$M38,IF(ISERROR(MATCH(P$13,OFFSET($M38,1,0,ROW($M$89)-ROW($M38)-1),0)),ROW($M$89)-ROW($M38)-1,MATCH(P$13,OFFSET($M38,1,0,ROW($M$89)-ROW($M38)-1),0)-1),0))</f>
        <v>0</v>
      </c>
      <c r="Q38" s="194">
        <f ca="1">IF($F39=-1,0,IF(Q$13&lt;=$M38,IF(ISERROR(MATCH(Q$13,OFFSET($M38,1,0,ROW($M$89)-ROW($M38)-1),0)),ROW($M$89)-ROW($M38)-1,MATCH(Q$13,OFFSET($M38,1,0,ROW($M$89)-ROW($M38)-1),0)-1),0))</f>
        <v>0</v>
      </c>
      <c r="R38" s="194">
        <f t="shared" ref="R38" ca="1" si="53">MIN(OFFSET(M38,0,1,,M38))</f>
        <v>2</v>
      </c>
      <c r="S38" s="195">
        <f ca="1">IF($F39=0,OFFSET(ORÇAMENTO!X$15,$F38,0),IF($F39&lt;&gt;-1,OFFSET(QCI!$O$13,$F39,0),""))</f>
        <v>0</v>
      </c>
      <c r="T38" s="196" t="s">
        <v>787</v>
      </c>
      <c r="U38" s="189" cm="1">
        <f t="array" aca="1" ref="U38" ca="1">IF(AND($R38=2,ACOMPANHAMENTO="BM"),ROUND(U39,4),U40/$S38)</f>
        <v>0.25</v>
      </c>
      <c r="V38" s="189" cm="1">
        <f t="array" aca="1" ref="V38" ca="1">IF(AND($R38=2,ACOMPANHAMENTO="BM"),ROUND(V39,4),V40/$S38)</f>
        <v>0.5</v>
      </c>
      <c r="W38" s="189" cm="1">
        <f t="array" aca="1" ref="W38" ca="1">IF(AND($R38=2,ACOMPANHAMENTO="BM"),ROUND(W39,4),W40/$S38)</f>
        <v>0.25</v>
      </c>
      <c r="X38" s="189" cm="1">
        <f t="array" aca="1" ref="X38" ca="1">IF(AND($R38=2,ACOMPANHAMENTO="BM"),ROUND(X39,4),X40/$S38)</f>
        <v>0</v>
      </c>
      <c r="Y38" s="189" cm="1">
        <f t="array" aca="1" ref="Y38" ca="1">IF(AND($R38=2,ACOMPANHAMENTO="BM"),ROUND(Y39,4),Y40/$S38)</f>
        <v>0</v>
      </c>
      <c r="Z38" s="189" cm="1">
        <f t="array" aca="1" ref="Z38" ca="1">IF(AND($R38=2,ACOMPANHAMENTO="BM"),ROUND(Z39,4),Z40/$S38)</f>
        <v>0</v>
      </c>
      <c r="AA38" s="189" cm="1">
        <f t="array" aca="1" ref="AA38" ca="1">IF(AND($R38=2,ACOMPANHAMENTO="BM"),ROUND(AA39,4),AA40/$S38)</f>
        <v>0</v>
      </c>
      <c r="AB38" s="189" cm="1">
        <f t="array" aca="1" ref="AB38" ca="1">IF(AND($R38=2,ACOMPANHAMENTO="BM"),ROUND(AB39,4),AB40/$S38)</f>
        <v>0</v>
      </c>
      <c r="AC38" s="189" cm="1">
        <f t="array" aca="1" ref="AC38" ca="1">IF(AND($R38=2,ACOMPANHAMENTO="BM"),ROUND(AC39,4),AC40/$S38)</f>
        <v>0</v>
      </c>
      <c r="AD38" s="189" cm="1">
        <f t="array" aca="1" ref="AD38" ca="1">IF(AND($R38=2,ACOMPANHAMENTO="BM"),ROUND(AD39,4),AD40/$S38)</f>
        <v>0</v>
      </c>
      <c r="AE38" s="189" cm="1">
        <f t="array" aca="1" ref="AE38" ca="1">IF(AND($R38=2,ACOMPANHAMENTO="BM"),ROUND(AE39,4),AE40/$S38)</f>
        <v>0</v>
      </c>
      <c r="AF38" s="189" cm="1">
        <f t="array" aca="1" ref="AF38" ca="1">IF(AND($R38=2,ACOMPANHAMENTO="BM"),ROUND(AF39,4),AF40/$S38)</f>
        <v>0</v>
      </c>
      <c r="AG38" s="535"/>
    </row>
    <row r="39" spans="1:33" ht="12.75" customHeight="1" x14ac:dyDescent="0.2">
      <c r="E39" s="590"/>
      <c r="F39" s="186">
        <f ca="1">IF(ISERROR(F38),IF(1+COUNTIF($M$13:OFFSET(M38,-1,0),1)&lt;=MAX(QCI!$D$13:$D$24),1+COUNTIF($M$13:OFFSET(M38,-1,0),1),-1),0)</f>
        <v>0</v>
      </c>
      <c r="G39" s="186" t="str" cm="1">
        <f t="array" aca="1" ref="G39" ca="1">IF(ACOMPANHAMENTO="BM",OFFSET(G39,-1,0),"")</f>
        <v/>
      </c>
      <c r="H39" s="197" t="str" cm="1">
        <f t="array" aca="1" ref="H39" ca="1">IF(OR(S38=0,S38=""),"vazia",IF(AND(OR(ACOMPANHAMENTO="PLE",$R38&lt;&gt;2),$F39=0),"calculada","--&gt;"))</f>
        <v>vazia</v>
      </c>
      <c r="I39" s="198"/>
      <c r="J39" s="199" t="str">
        <f t="shared" ref="J39" ca="1" si="54">IF(AND(H38&lt;&gt;0,ISNUMBER(H38)),"PREENCHA ESTA LINHA --&gt;","")</f>
        <v/>
      </c>
      <c r="K39" s="199"/>
      <c r="L39" s="199"/>
      <c r="M39" s="200"/>
      <c r="N39" s="200"/>
      <c r="O39" s="200"/>
      <c r="P39" s="200"/>
      <c r="Q39" s="200"/>
      <c r="R39" s="200"/>
      <c r="S39" s="201"/>
      <c r="T39" s="202"/>
      <c r="U39" s="590">
        <v>0.25</v>
      </c>
      <c r="V39" s="590">
        <v>0.5</v>
      </c>
      <c r="W39" s="590">
        <v>0.25</v>
      </c>
      <c r="X39" s="590"/>
      <c r="Y39" s="590"/>
      <c r="Z39" s="590"/>
      <c r="AA39" s="590"/>
      <c r="AB39" s="590"/>
      <c r="AC39" s="590"/>
      <c r="AD39" s="590"/>
      <c r="AE39" s="590"/>
      <c r="AF39" s="590"/>
      <c r="AG39" s="535"/>
    </row>
    <row r="40" spans="1:33" ht="12.75" customHeight="1" x14ac:dyDescent="0.2">
      <c r="D40" s="534"/>
      <c r="E40" s="203" cm="1">
        <f t="array" aca="1" ref="E40" ca="1">IF($R38=2,
         IF(AND(ACOMPANHAMENTO="PLE",ISNUMBER($F38)),
                SUMIF((OFFSET(CÁLCULO!$AM$15:$AW$15,$F38,0,OFFSET(ORÇAMENTO!$D$15,CRONO!$F38,0))),CRONO!E$12,OFFSET(CÁLCULO!$AB$15:$AL$15,$F38,0,OFFSET(ORÇAMENTO!$D$15,CRONO!$F38,0)))
                +IF(AND($F40&lt;&gt;"",$F40&lt;&gt;0),
                        SUMIF(CÁLCULO!$AM$15:$AW$405,CRONO!E$12,CÁLCULO!$AB$15:$AL$405)/(ORÇAMENTO!$X$15-_xlfn.SINGLE(CÁLCULO.TotalAdmLocal))*CRONO!$F40,
                        0),
                 E39*$S38),
          SUMIF(OFFSET($S40,1,0,$R38-2),($M38+1)&amp;"$",OFFSET(E40,1,0,$R38-2)))</f>
        <v>0</v>
      </c>
      <c r="F40" s="186" t="str">
        <f ca="1">IF(OR($R38&lt;&gt;2,AUTOEVENTO&lt;&gt;"manual",$F39&gt;0),"",
        IF(Import.TipoArredondamento="Tradicional",
              SUMIF(OFFSET(CÁLCULO!$M$15,CRONO!$F38,0,OFFSET(ORÇAMENTO!$D$15,CRONO!$F38,0)),1,OFFSET(ORÇAMENTO!$X$15,CRONO!$F38,0,OFFSET(ORÇAMENTO!$D$15,CRONO!$F38,0))),
              0))</f>
        <v/>
      </c>
      <c r="H40" s="204"/>
      <c r="S40" s="205" t="str">
        <f t="shared" ref="S40" ca="1" si="55">M38&amp;"$"</f>
        <v>2$</v>
      </c>
      <c r="T40" s="206"/>
      <c r="U40" s="203" cm="1">
        <f t="array" aca="1" ref="U40" ca="1">IF($R38=2,
         IF(AND(ACOMPANHAMENTO="PLE",ISNUMBER($F38)),
                SUMIF((OFFSET(CÁLCULO!$AM$15:$AW$15,$F38,0,OFFSET(ORÇAMENTO!$D$15,CRONO!$F38,0))),CRONO!U$12,OFFSET(CÁLCULO!$AB$15:$AL$15,$F38,0,OFFSET(ORÇAMENTO!$D$15,CRONO!$F38,0)))
                +IF(AND($F40&lt;&gt;"",$F40&lt;&gt;0),
                        SUMIF(CÁLCULO!$AM$15:$AW$405,CRONO!U$12,CÁLCULO!$AB$15:$AL$405)/(ORÇAMENTO!$X$15-_xlfn.SINGLE(CÁLCULO.TotalAdmLocal))*CRONO!$F40,
                        0),
                 U39*$S38),
          SUMIF(OFFSET($S40,1,0,$R38-2),($M38+1)&amp;"$",OFFSET(U40,1,0,$R38-2)))</f>
        <v>0</v>
      </c>
      <c r="V40" s="203" cm="1">
        <f t="array" aca="1" ref="V40" ca="1">IF($R38=2,
         IF(AND(ACOMPANHAMENTO="PLE",ISNUMBER($F38)),
                SUMIF((OFFSET(CÁLCULO!$AM$15:$AW$15,$F38,0,OFFSET(ORÇAMENTO!$D$15,CRONO!$F38,0))),CRONO!V$12,OFFSET(CÁLCULO!$AB$15:$AL$15,$F38,0,OFFSET(ORÇAMENTO!$D$15,CRONO!$F38,0)))
                +IF(AND($F40&lt;&gt;"",$F40&lt;&gt;0),
                        SUMIF(CÁLCULO!$AM$15:$AW$405,CRONO!V$12,CÁLCULO!$AB$15:$AL$405)/(ORÇAMENTO!$X$15-_xlfn.SINGLE(CÁLCULO.TotalAdmLocal))*CRONO!$F40,
                        0),
                 V39*$S38),
          SUMIF(OFFSET($S40,1,0,$R38-2),($M38+1)&amp;"$",OFFSET(V40,1,0,$R38-2)))</f>
        <v>0</v>
      </c>
      <c r="W40" s="203" cm="1">
        <f t="array" aca="1" ref="W40" ca="1">IF($R38=2,
         IF(AND(ACOMPANHAMENTO="PLE",ISNUMBER($F38)),
                SUMIF((OFFSET(CÁLCULO!$AM$15:$AW$15,$F38,0,OFFSET(ORÇAMENTO!$D$15,CRONO!$F38,0))),CRONO!W$12,OFFSET(CÁLCULO!$AB$15:$AL$15,$F38,0,OFFSET(ORÇAMENTO!$D$15,CRONO!$F38,0)))
                +IF(AND($F40&lt;&gt;"",$F40&lt;&gt;0),
                        SUMIF(CÁLCULO!$AM$15:$AW$405,CRONO!W$12,CÁLCULO!$AB$15:$AL$405)/(ORÇAMENTO!$X$15-_xlfn.SINGLE(CÁLCULO.TotalAdmLocal))*CRONO!$F40,
                        0),
                 W39*$S38),
          SUMIF(OFFSET($S40,1,0,$R38-2),($M38+1)&amp;"$",OFFSET(W40,1,0,$R38-2)))</f>
        <v>0</v>
      </c>
      <c r="X40" s="203" cm="1">
        <f t="array" aca="1" ref="X40" ca="1">IF($R38=2,
         IF(AND(ACOMPANHAMENTO="PLE",ISNUMBER($F38)),
                SUMIF((OFFSET(CÁLCULO!$AM$15:$AW$15,$F38,0,OFFSET(ORÇAMENTO!$D$15,CRONO!$F38,0))),CRONO!X$12,OFFSET(CÁLCULO!$AB$15:$AL$15,$F38,0,OFFSET(ORÇAMENTO!$D$15,CRONO!$F38,0)))
                +IF(AND($F40&lt;&gt;"",$F40&lt;&gt;0),
                        SUMIF(CÁLCULO!$AM$15:$AW$405,CRONO!X$12,CÁLCULO!$AB$15:$AL$405)/(ORÇAMENTO!$X$15-_xlfn.SINGLE(CÁLCULO.TotalAdmLocal))*CRONO!$F40,
                        0),
                 X39*$S38),
          SUMIF(OFFSET($S40,1,0,$R38-2),($M38+1)&amp;"$",OFFSET(X40,1,0,$R38-2)))</f>
        <v>0</v>
      </c>
      <c r="Y40" s="203" cm="1">
        <f t="array" aca="1" ref="Y40" ca="1">IF($R38=2,
         IF(AND(ACOMPANHAMENTO="PLE",ISNUMBER($F38)),
                SUMIF((OFFSET(CÁLCULO!$AM$15:$AW$15,$F38,0,OFFSET(ORÇAMENTO!$D$15,CRONO!$F38,0))),CRONO!Y$12,OFFSET(CÁLCULO!$AB$15:$AL$15,$F38,0,OFFSET(ORÇAMENTO!$D$15,CRONO!$F38,0)))
                +IF(AND($F40&lt;&gt;"",$F40&lt;&gt;0),
                        SUMIF(CÁLCULO!$AM$15:$AW$405,CRONO!Y$12,CÁLCULO!$AB$15:$AL$405)/(ORÇAMENTO!$X$15-_xlfn.SINGLE(CÁLCULO.TotalAdmLocal))*CRONO!$F40,
                        0),
                 Y39*$S38),
          SUMIF(OFFSET($S40,1,0,$R38-2),($M38+1)&amp;"$",OFFSET(Y40,1,0,$R38-2)))</f>
        <v>0</v>
      </c>
      <c r="Z40" s="203" cm="1">
        <f t="array" aca="1" ref="Z40" ca="1">IF($R38=2,
         IF(AND(ACOMPANHAMENTO="PLE",ISNUMBER($F38)),
                SUMIF((OFFSET(CÁLCULO!$AM$15:$AW$15,$F38,0,OFFSET(ORÇAMENTO!$D$15,CRONO!$F38,0))),CRONO!Z$12,OFFSET(CÁLCULO!$AB$15:$AL$15,$F38,0,OFFSET(ORÇAMENTO!$D$15,CRONO!$F38,0)))
                +IF(AND($F40&lt;&gt;"",$F40&lt;&gt;0),
                        SUMIF(CÁLCULO!$AM$15:$AW$405,CRONO!Z$12,CÁLCULO!$AB$15:$AL$405)/(ORÇAMENTO!$X$15-_xlfn.SINGLE(CÁLCULO.TotalAdmLocal))*CRONO!$F40,
                        0),
                 Z39*$S38),
          SUMIF(OFFSET($S40,1,0,$R38-2),($M38+1)&amp;"$",OFFSET(Z40,1,0,$R38-2)))</f>
        <v>0</v>
      </c>
      <c r="AA40" s="203" cm="1">
        <f t="array" aca="1" ref="AA40" ca="1">IF($R38=2,
         IF(AND(ACOMPANHAMENTO="PLE",ISNUMBER($F38)),
                SUMIF((OFFSET(CÁLCULO!$AM$15:$AW$15,$F38,0,OFFSET(ORÇAMENTO!$D$15,CRONO!$F38,0))),CRONO!AA$12,OFFSET(CÁLCULO!$AB$15:$AL$15,$F38,0,OFFSET(ORÇAMENTO!$D$15,CRONO!$F38,0)))
                +IF(AND($F40&lt;&gt;"",$F40&lt;&gt;0),
                        SUMIF(CÁLCULO!$AM$15:$AW$405,CRONO!AA$12,CÁLCULO!$AB$15:$AL$405)/(ORÇAMENTO!$X$15-_xlfn.SINGLE(CÁLCULO.TotalAdmLocal))*CRONO!$F40,
                        0),
                 AA39*$S38),
          SUMIF(OFFSET($S40,1,0,$R38-2),($M38+1)&amp;"$",OFFSET(AA40,1,0,$R38-2)))</f>
        <v>0</v>
      </c>
      <c r="AB40" s="203" cm="1">
        <f t="array" aca="1" ref="AB40" ca="1">IF($R38=2,
         IF(AND(ACOMPANHAMENTO="PLE",ISNUMBER($F38)),
                SUMIF((OFFSET(CÁLCULO!$AM$15:$AW$15,$F38,0,OFFSET(ORÇAMENTO!$D$15,CRONO!$F38,0))),CRONO!AB$12,OFFSET(CÁLCULO!$AB$15:$AL$15,$F38,0,OFFSET(ORÇAMENTO!$D$15,CRONO!$F38,0)))
                +IF(AND($F40&lt;&gt;"",$F40&lt;&gt;0),
                        SUMIF(CÁLCULO!$AM$15:$AW$405,CRONO!AB$12,CÁLCULO!$AB$15:$AL$405)/(ORÇAMENTO!$X$15-_xlfn.SINGLE(CÁLCULO.TotalAdmLocal))*CRONO!$F40,
                        0),
                 AB39*$S38),
          SUMIF(OFFSET($S40,1,0,$R38-2),($M38+1)&amp;"$",OFFSET(AB40,1,0,$R38-2)))</f>
        <v>0</v>
      </c>
      <c r="AC40" s="203" cm="1">
        <f t="array" aca="1" ref="AC40" ca="1">IF($R38=2,
         IF(AND(ACOMPANHAMENTO="PLE",ISNUMBER($F38)),
                SUMIF((OFFSET(CÁLCULO!$AM$15:$AW$15,$F38,0,OFFSET(ORÇAMENTO!$D$15,CRONO!$F38,0))),CRONO!AC$12,OFFSET(CÁLCULO!$AB$15:$AL$15,$F38,0,OFFSET(ORÇAMENTO!$D$15,CRONO!$F38,0)))
                +IF(AND($F40&lt;&gt;"",$F40&lt;&gt;0),
                        SUMIF(CÁLCULO!$AM$15:$AW$405,CRONO!AC$12,CÁLCULO!$AB$15:$AL$405)/(ORÇAMENTO!$X$15-_xlfn.SINGLE(CÁLCULO.TotalAdmLocal))*CRONO!$F40,
                        0),
                 AC39*$S38),
          SUMIF(OFFSET($S40,1,0,$R38-2),($M38+1)&amp;"$",OFFSET(AC40,1,0,$R38-2)))</f>
        <v>0</v>
      </c>
      <c r="AD40" s="203" cm="1">
        <f t="array" aca="1" ref="AD40" ca="1">IF($R38=2,
         IF(AND(ACOMPANHAMENTO="PLE",ISNUMBER($F38)),
                SUMIF((OFFSET(CÁLCULO!$AM$15:$AW$15,$F38,0,OFFSET(ORÇAMENTO!$D$15,CRONO!$F38,0))),CRONO!AD$12,OFFSET(CÁLCULO!$AB$15:$AL$15,$F38,0,OFFSET(ORÇAMENTO!$D$15,CRONO!$F38,0)))
                +IF(AND($F40&lt;&gt;"",$F40&lt;&gt;0),
                        SUMIF(CÁLCULO!$AM$15:$AW$405,CRONO!AD$12,CÁLCULO!$AB$15:$AL$405)/(ORÇAMENTO!$X$15-_xlfn.SINGLE(CÁLCULO.TotalAdmLocal))*CRONO!$F40,
                        0),
                 AD39*$S38),
          SUMIF(OFFSET($S40,1,0,$R38-2),($M38+1)&amp;"$",OFFSET(AD40,1,0,$R38-2)))</f>
        <v>0</v>
      </c>
      <c r="AE40" s="203" cm="1">
        <f t="array" aca="1" ref="AE40" ca="1">IF($R38=2,
         IF(AND(ACOMPANHAMENTO="PLE",ISNUMBER($F38)),
                SUMIF((OFFSET(CÁLCULO!$AM$15:$AW$15,$F38,0,OFFSET(ORÇAMENTO!$D$15,CRONO!$F38,0))),CRONO!AE$12,OFFSET(CÁLCULO!$AB$15:$AL$15,$F38,0,OFFSET(ORÇAMENTO!$D$15,CRONO!$F38,0)))
                +IF(AND($F40&lt;&gt;"",$F40&lt;&gt;0),
                        SUMIF(CÁLCULO!$AM$15:$AW$405,CRONO!AE$12,CÁLCULO!$AB$15:$AL$405)/(ORÇAMENTO!$X$15-_xlfn.SINGLE(CÁLCULO.TotalAdmLocal))*CRONO!$F40,
                        0),
                 AE39*$S38),
          SUMIF(OFFSET($S40,1,0,$R38-2),($M38+1)&amp;"$",OFFSET(AE40,1,0,$R38-2)))</f>
        <v>0</v>
      </c>
      <c r="AF40" s="203" cm="1">
        <f t="array" aca="1" ref="AF40" ca="1">IF($R38=2,
         IF(AND(ACOMPANHAMENTO="PLE",ISNUMBER($F38)),
                SUMIF((OFFSET(CÁLCULO!$AM$15:$AW$15,$F38,0,OFFSET(ORÇAMENTO!$D$15,CRONO!$F38,0))),CRONO!AF$12,OFFSET(CÁLCULO!$AB$15:$AL$15,$F38,0,OFFSET(ORÇAMENTO!$D$15,CRONO!$F38,0)))
                +IF(AND($F40&lt;&gt;"",$F40&lt;&gt;0),
                        SUMIF(CÁLCULO!$AM$15:$AW$405,CRONO!AF$12,CÁLCULO!$AB$15:$AL$405)/(ORÇAMENTO!$X$15-_xlfn.SINGLE(CÁLCULO.TotalAdmLocal))*CRONO!$F40,
                        0),
                 AF39*$S38),
          SUMIF(OFFSET($S40,1,0,$R38-2),($M38+1)&amp;"$",OFFSET(AF40,1,0,$R38-2)))</f>
        <v>0</v>
      </c>
      <c r="AG40" s="535"/>
    </row>
    <row r="41" spans="1:33" x14ac:dyDescent="0.2">
      <c r="A41" s="187" t="e">
        <f t="shared" ref="A41" ca="1" si="56">IF($M41&gt;1,_xlfn.CONCAT($I41," ",$J41),"")</f>
        <v>#NAME?</v>
      </c>
      <c r="B41" s="186">
        <f t="shared" ref="B41" ca="1" si="57">OFFSET(B41,-3,0)+1</f>
        <v>10</v>
      </c>
      <c r="C41" s="186">
        <f ca="1">IF($R41&lt;&gt;2,0,IF($S41=0,1,IF(F42&gt;0,OFFSET(QCI!$M$13,SUBSTITUTE(F42,".",""),0),OFFSET(ORÇAMENTO!$AA$15,CRONO!$F41,0))/$S41))</f>
        <v>1</v>
      </c>
      <c r="D41" s="186">
        <f ca="1">IF($R41&lt;&gt;2,0,IF($S41=0,1,IF(F42&gt;0,OFFSET(QCI!$N$13,SUBSTITUTE(F42,".",""),0),OFFSET(ORÇAMENTO!$AB$15,CRONO!$F41,0))/$S41))</f>
        <v>1</v>
      </c>
      <c r="E41" s="189" cm="1">
        <f t="array" aca="1" ref="E41" ca="1">IF(AND($R41=2,ACOMPANHAMENTO="BM"),ROUND(E42,4),E43/$S41)</f>
        <v>0</v>
      </c>
      <c r="F41" s="186">
        <f ca="1">IF(B41&lt;=ORÇAMENTO.MáximoListaCrono,MATCH(B41,ORÇAMENTO.ListaCrono,0),NA())</f>
        <v>39</v>
      </c>
      <c r="G41" s="186" t="str">
        <f t="shared" ref="G41" ca="1" si="58">IF(AND($F42&lt;&gt;-1,$S41&gt;0),"F","")</f>
        <v/>
      </c>
      <c r="H41" s="190" t="str" cm="1">
        <f t="array" aca="1" ref="H41" ca="1">IF(OR(S41=0,S41=""),"Linha",IF(AND(OR(ACOMPANHAMENTO="PLE",$R41&lt;&gt;2),$F42=0),"Linha",ROUND(1-SUM(U41:AG41),4)))</f>
        <v>Linha</v>
      </c>
      <c r="I41" s="191" t="str">
        <f ca="1">IF($F42=0,OFFSET(ORÇAMENTO!O$15,$F41,0),IF($F42&lt;&gt;-1,OFFSET(QCI!$D$13,$F42,0),""))</f>
        <v>1.9.</v>
      </c>
      <c r="J41" s="192" t="str">
        <f ca="1">IF($F42=0,OFFSET(ORÇAMENTO!R$15,$F41,0),IF($F42&lt;&gt;-1,OFFSET(QCI!$G$13,$F42,0),""))</f>
        <v>INSTALAÇÕES ELÉTRICAS</v>
      </c>
      <c r="K41" s="192"/>
      <c r="L41" s="192"/>
      <c r="M41" s="193">
        <f ca="1">IF($F42=0,OFFSET(ORÇAMENTO!C$15,$F41,0),1)</f>
        <v>2</v>
      </c>
      <c r="N41" s="194">
        <f ca="1">IF($F42=-1,0,IF(N$13&lt;=$M41,IF(ISERROR(MATCH(N$13,OFFSET($M41,1,0,ROW($M$89)-ROW($M41)-1),0)),ROW($M$89)-ROW($M41)-1,MATCH(N$13,OFFSET($M41,1,0,ROW($M$89)-ROW($M41)-1),0)-1),0))</f>
        <v>47</v>
      </c>
      <c r="O41" s="194">
        <f ca="1">IF($F42=-1,0,IF(O$13&lt;=$M41,IF(ISERROR(MATCH(O$13,OFFSET($M41,1,0,ROW($M$89)-ROW($M41)-1),0)),ROW($M$89)-ROW($M41)-1,MATCH(O$13,OFFSET($M41,1,0,ROW($M$89)-ROW($M41)-1),0)-1),0))</f>
        <v>2</v>
      </c>
      <c r="P41" s="194">
        <f ca="1">IF($F42=-1,0,IF(P$13&lt;=$M41,IF(ISERROR(MATCH(P$13,OFFSET($M41,1,0,ROW($M$89)-ROW($M41)-1),0)),ROW($M$89)-ROW($M41)-1,MATCH(P$13,OFFSET($M41,1,0,ROW($M$89)-ROW($M41)-1),0)-1),0))</f>
        <v>0</v>
      </c>
      <c r="Q41" s="194">
        <f ca="1">IF($F42=-1,0,IF(Q$13&lt;=$M41,IF(ISERROR(MATCH(Q$13,OFFSET($M41,1,0,ROW($M$89)-ROW($M41)-1),0)),ROW($M$89)-ROW($M41)-1,MATCH(Q$13,OFFSET($M41,1,0,ROW($M$89)-ROW($M41)-1),0)-1),0))</f>
        <v>0</v>
      </c>
      <c r="R41" s="194">
        <f t="shared" ref="R41" ca="1" si="59">MIN(OFFSET(M41,0,1,,M41))</f>
        <v>2</v>
      </c>
      <c r="S41" s="195">
        <f ca="1">IF($F42=0,OFFSET(ORÇAMENTO!X$15,$F41,0),IF($F42&lt;&gt;-1,OFFSET(QCI!$O$13,$F42,0),""))</f>
        <v>0</v>
      </c>
      <c r="T41" s="196" t="s">
        <v>787</v>
      </c>
      <c r="U41" s="189" cm="1">
        <f t="array" aca="1" ref="U41" ca="1">IF(AND($R41=2,ACOMPANHAMENTO="BM"),ROUND(U42,4),U43/$S41)</f>
        <v>0</v>
      </c>
      <c r="V41" s="189" cm="1">
        <f t="array" aca="1" ref="V41" ca="1">IF(AND($R41=2,ACOMPANHAMENTO="BM"),ROUND(V42,4),V43/$S41)</f>
        <v>0.25</v>
      </c>
      <c r="W41" s="189" cm="1">
        <f t="array" aca="1" ref="W41" ca="1">IF(AND($R41=2,ACOMPANHAMENTO="BM"),ROUND(W42,4),W43/$S41)</f>
        <v>0.25</v>
      </c>
      <c r="X41" s="189" cm="1">
        <f t="array" aca="1" ref="X41" ca="1">IF(AND($R41=2,ACOMPANHAMENTO="BM"),ROUND(X42,4),X43/$S41)</f>
        <v>0.5</v>
      </c>
      <c r="Y41" s="189" cm="1">
        <f t="array" aca="1" ref="Y41" ca="1">IF(AND($R41=2,ACOMPANHAMENTO="BM"),ROUND(Y42,4),Y43/$S41)</f>
        <v>0</v>
      </c>
      <c r="Z41" s="189" cm="1">
        <f t="array" aca="1" ref="Z41" ca="1">IF(AND($R41=2,ACOMPANHAMENTO="BM"),ROUND(Z42,4),Z43/$S41)</f>
        <v>0</v>
      </c>
      <c r="AA41" s="189" cm="1">
        <f t="array" aca="1" ref="AA41" ca="1">IF(AND($R41=2,ACOMPANHAMENTO="BM"),ROUND(AA42,4),AA43/$S41)</f>
        <v>0</v>
      </c>
      <c r="AB41" s="189" cm="1">
        <f t="array" aca="1" ref="AB41" ca="1">IF(AND($R41=2,ACOMPANHAMENTO="BM"),ROUND(AB42,4),AB43/$S41)</f>
        <v>0</v>
      </c>
      <c r="AC41" s="189" cm="1">
        <f t="array" aca="1" ref="AC41" ca="1">IF(AND($R41=2,ACOMPANHAMENTO="BM"),ROUND(AC42,4),AC43/$S41)</f>
        <v>0</v>
      </c>
      <c r="AD41" s="189" cm="1">
        <f t="array" aca="1" ref="AD41" ca="1">IF(AND($R41=2,ACOMPANHAMENTO="BM"),ROUND(AD42,4),AD43/$S41)</f>
        <v>0</v>
      </c>
      <c r="AE41" s="189" cm="1">
        <f t="array" aca="1" ref="AE41" ca="1">IF(AND($R41=2,ACOMPANHAMENTO="BM"),ROUND(AE42,4),AE43/$S41)</f>
        <v>0</v>
      </c>
      <c r="AF41" s="189" cm="1">
        <f t="array" aca="1" ref="AF41" ca="1">IF(AND($R41=2,ACOMPANHAMENTO="BM"),ROUND(AF42,4),AF43/$S41)</f>
        <v>0</v>
      </c>
      <c r="AG41" s="535"/>
    </row>
    <row r="42" spans="1:33" ht="12.75" customHeight="1" x14ac:dyDescent="0.2">
      <c r="E42" s="590"/>
      <c r="F42" s="186">
        <f ca="1">IF(ISERROR(F41),IF(1+COUNTIF($M$13:OFFSET(M41,-1,0),1)&lt;=MAX(QCI!$D$13:$D$24),1+COUNTIF($M$13:OFFSET(M41,-1,0),1),-1),0)</f>
        <v>0</v>
      </c>
      <c r="G42" s="186" t="str" cm="1">
        <f t="array" aca="1" ref="G42" ca="1">IF(ACOMPANHAMENTO="BM",OFFSET(G42,-1,0),"")</f>
        <v/>
      </c>
      <c r="H42" s="197" t="str" cm="1">
        <f t="array" aca="1" ref="H42" ca="1">IF(OR(S41=0,S41=""),"vazia",IF(AND(OR(ACOMPANHAMENTO="PLE",$R41&lt;&gt;2),$F42=0),"calculada","--&gt;"))</f>
        <v>vazia</v>
      </c>
      <c r="I42" s="198"/>
      <c r="J42" s="199" t="str">
        <f t="shared" ref="J42" ca="1" si="60">IF(AND(H41&lt;&gt;0,ISNUMBER(H41)),"PREENCHA ESTA LINHA --&gt;","")</f>
        <v/>
      </c>
      <c r="K42" s="199"/>
      <c r="L42" s="199"/>
      <c r="M42" s="200"/>
      <c r="N42" s="200"/>
      <c r="O42" s="200"/>
      <c r="P42" s="200"/>
      <c r="Q42" s="200"/>
      <c r="R42" s="200"/>
      <c r="S42" s="201"/>
      <c r="T42" s="202"/>
      <c r="U42" s="590"/>
      <c r="V42" s="590">
        <v>0.25</v>
      </c>
      <c r="W42" s="590">
        <v>0.25</v>
      </c>
      <c r="X42" s="590">
        <v>0.5</v>
      </c>
      <c r="Y42" s="590"/>
      <c r="Z42" s="590"/>
      <c r="AA42" s="590"/>
      <c r="AB42" s="590"/>
      <c r="AC42" s="590"/>
      <c r="AD42" s="590"/>
      <c r="AE42" s="590"/>
      <c r="AF42" s="590"/>
      <c r="AG42" s="535"/>
    </row>
    <row r="43" spans="1:33" ht="12.75" customHeight="1" x14ac:dyDescent="0.2">
      <c r="D43" s="534"/>
      <c r="E43" s="203" cm="1">
        <f t="array" aca="1" ref="E43" ca="1">IF($R41=2,
         IF(AND(ACOMPANHAMENTO="PLE",ISNUMBER($F41)),
                SUMIF((OFFSET(CÁLCULO!$AM$15:$AW$15,$F41,0,OFFSET(ORÇAMENTO!$D$15,CRONO!$F41,0))),CRONO!E$12,OFFSET(CÁLCULO!$AB$15:$AL$15,$F41,0,OFFSET(ORÇAMENTO!$D$15,CRONO!$F41,0)))
                +IF(AND($F43&lt;&gt;"",$F43&lt;&gt;0),
                        SUMIF(CÁLCULO!$AM$15:$AW$405,CRONO!E$12,CÁLCULO!$AB$15:$AL$405)/(ORÇAMENTO!$X$15-_xlfn.SINGLE(CÁLCULO.TotalAdmLocal))*CRONO!$F43,
                        0),
                 E42*$S41),
          SUMIF(OFFSET($S43,1,0,$R41-2),($M41+1)&amp;"$",OFFSET(E43,1,0,$R41-2)))</f>
        <v>0</v>
      </c>
      <c r="F43" s="186" t="str">
        <f ca="1">IF(OR($R41&lt;&gt;2,AUTOEVENTO&lt;&gt;"manual",$F42&gt;0),"",
        IF(Import.TipoArredondamento="Tradicional",
              SUMIF(OFFSET(CÁLCULO!$M$15,CRONO!$F41,0,OFFSET(ORÇAMENTO!$D$15,CRONO!$F41,0)),1,OFFSET(ORÇAMENTO!$X$15,CRONO!$F41,0,OFFSET(ORÇAMENTO!$D$15,CRONO!$F41,0))),
              0))</f>
        <v/>
      </c>
      <c r="H43" s="204"/>
      <c r="S43" s="205" t="str">
        <f t="shared" ref="S43" ca="1" si="61">M41&amp;"$"</f>
        <v>2$</v>
      </c>
      <c r="T43" s="206"/>
      <c r="U43" s="203" cm="1">
        <f t="array" aca="1" ref="U43" ca="1">IF($R41=2,
         IF(AND(ACOMPANHAMENTO="PLE",ISNUMBER($F41)),
                SUMIF((OFFSET(CÁLCULO!$AM$15:$AW$15,$F41,0,OFFSET(ORÇAMENTO!$D$15,CRONO!$F41,0))),CRONO!U$12,OFFSET(CÁLCULO!$AB$15:$AL$15,$F41,0,OFFSET(ORÇAMENTO!$D$15,CRONO!$F41,0)))
                +IF(AND($F43&lt;&gt;"",$F43&lt;&gt;0),
                        SUMIF(CÁLCULO!$AM$15:$AW$405,CRONO!U$12,CÁLCULO!$AB$15:$AL$405)/(ORÇAMENTO!$X$15-_xlfn.SINGLE(CÁLCULO.TotalAdmLocal))*CRONO!$F43,
                        0),
                 U42*$S41),
          SUMIF(OFFSET($S43,1,0,$R41-2),($M41+1)&amp;"$",OFFSET(U43,1,0,$R41-2)))</f>
        <v>0</v>
      </c>
      <c r="V43" s="203" cm="1">
        <f t="array" aca="1" ref="V43" ca="1">IF($R41=2,
         IF(AND(ACOMPANHAMENTO="PLE",ISNUMBER($F41)),
                SUMIF((OFFSET(CÁLCULO!$AM$15:$AW$15,$F41,0,OFFSET(ORÇAMENTO!$D$15,CRONO!$F41,0))),CRONO!V$12,OFFSET(CÁLCULO!$AB$15:$AL$15,$F41,0,OFFSET(ORÇAMENTO!$D$15,CRONO!$F41,0)))
                +IF(AND($F43&lt;&gt;"",$F43&lt;&gt;0),
                        SUMIF(CÁLCULO!$AM$15:$AW$405,CRONO!V$12,CÁLCULO!$AB$15:$AL$405)/(ORÇAMENTO!$X$15-_xlfn.SINGLE(CÁLCULO.TotalAdmLocal))*CRONO!$F43,
                        0),
                 V42*$S41),
          SUMIF(OFFSET($S43,1,0,$R41-2),($M41+1)&amp;"$",OFFSET(V43,1,0,$R41-2)))</f>
        <v>0</v>
      </c>
      <c r="W43" s="203" cm="1">
        <f t="array" aca="1" ref="W43" ca="1">IF($R41=2,
         IF(AND(ACOMPANHAMENTO="PLE",ISNUMBER($F41)),
                SUMIF((OFFSET(CÁLCULO!$AM$15:$AW$15,$F41,0,OFFSET(ORÇAMENTO!$D$15,CRONO!$F41,0))),CRONO!W$12,OFFSET(CÁLCULO!$AB$15:$AL$15,$F41,0,OFFSET(ORÇAMENTO!$D$15,CRONO!$F41,0)))
                +IF(AND($F43&lt;&gt;"",$F43&lt;&gt;0),
                        SUMIF(CÁLCULO!$AM$15:$AW$405,CRONO!W$12,CÁLCULO!$AB$15:$AL$405)/(ORÇAMENTO!$X$15-_xlfn.SINGLE(CÁLCULO.TotalAdmLocal))*CRONO!$F43,
                        0),
                 W42*$S41),
          SUMIF(OFFSET($S43,1,0,$R41-2),($M41+1)&amp;"$",OFFSET(W43,1,0,$R41-2)))</f>
        <v>0</v>
      </c>
      <c r="X43" s="203" cm="1">
        <f t="array" aca="1" ref="X43" ca="1">IF($R41=2,
         IF(AND(ACOMPANHAMENTO="PLE",ISNUMBER($F41)),
                SUMIF((OFFSET(CÁLCULO!$AM$15:$AW$15,$F41,0,OFFSET(ORÇAMENTO!$D$15,CRONO!$F41,0))),CRONO!X$12,OFFSET(CÁLCULO!$AB$15:$AL$15,$F41,0,OFFSET(ORÇAMENTO!$D$15,CRONO!$F41,0)))
                +IF(AND($F43&lt;&gt;"",$F43&lt;&gt;0),
                        SUMIF(CÁLCULO!$AM$15:$AW$405,CRONO!X$12,CÁLCULO!$AB$15:$AL$405)/(ORÇAMENTO!$X$15-_xlfn.SINGLE(CÁLCULO.TotalAdmLocal))*CRONO!$F43,
                        0),
                 X42*$S41),
          SUMIF(OFFSET($S43,1,0,$R41-2),($M41+1)&amp;"$",OFFSET(X43,1,0,$R41-2)))</f>
        <v>0</v>
      </c>
      <c r="Y43" s="203" cm="1">
        <f t="array" aca="1" ref="Y43" ca="1">IF($R41=2,
         IF(AND(ACOMPANHAMENTO="PLE",ISNUMBER($F41)),
                SUMIF((OFFSET(CÁLCULO!$AM$15:$AW$15,$F41,0,OFFSET(ORÇAMENTO!$D$15,CRONO!$F41,0))),CRONO!Y$12,OFFSET(CÁLCULO!$AB$15:$AL$15,$F41,0,OFFSET(ORÇAMENTO!$D$15,CRONO!$F41,0)))
                +IF(AND($F43&lt;&gt;"",$F43&lt;&gt;0),
                        SUMIF(CÁLCULO!$AM$15:$AW$405,CRONO!Y$12,CÁLCULO!$AB$15:$AL$405)/(ORÇAMENTO!$X$15-_xlfn.SINGLE(CÁLCULO.TotalAdmLocal))*CRONO!$F43,
                        0),
                 Y42*$S41),
          SUMIF(OFFSET($S43,1,0,$R41-2),($M41+1)&amp;"$",OFFSET(Y43,1,0,$R41-2)))</f>
        <v>0</v>
      </c>
      <c r="Z43" s="203" cm="1">
        <f t="array" aca="1" ref="Z43" ca="1">IF($R41=2,
         IF(AND(ACOMPANHAMENTO="PLE",ISNUMBER($F41)),
                SUMIF((OFFSET(CÁLCULO!$AM$15:$AW$15,$F41,0,OFFSET(ORÇAMENTO!$D$15,CRONO!$F41,0))),CRONO!Z$12,OFFSET(CÁLCULO!$AB$15:$AL$15,$F41,0,OFFSET(ORÇAMENTO!$D$15,CRONO!$F41,0)))
                +IF(AND($F43&lt;&gt;"",$F43&lt;&gt;0),
                        SUMIF(CÁLCULO!$AM$15:$AW$405,CRONO!Z$12,CÁLCULO!$AB$15:$AL$405)/(ORÇAMENTO!$X$15-_xlfn.SINGLE(CÁLCULO.TotalAdmLocal))*CRONO!$F43,
                        0),
                 Z42*$S41),
          SUMIF(OFFSET($S43,1,0,$R41-2),($M41+1)&amp;"$",OFFSET(Z43,1,0,$R41-2)))</f>
        <v>0</v>
      </c>
      <c r="AA43" s="203" cm="1">
        <f t="array" aca="1" ref="AA43" ca="1">IF($R41=2,
         IF(AND(ACOMPANHAMENTO="PLE",ISNUMBER($F41)),
                SUMIF((OFFSET(CÁLCULO!$AM$15:$AW$15,$F41,0,OFFSET(ORÇAMENTO!$D$15,CRONO!$F41,0))),CRONO!AA$12,OFFSET(CÁLCULO!$AB$15:$AL$15,$F41,0,OFFSET(ORÇAMENTO!$D$15,CRONO!$F41,0)))
                +IF(AND($F43&lt;&gt;"",$F43&lt;&gt;0),
                        SUMIF(CÁLCULO!$AM$15:$AW$405,CRONO!AA$12,CÁLCULO!$AB$15:$AL$405)/(ORÇAMENTO!$X$15-_xlfn.SINGLE(CÁLCULO.TotalAdmLocal))*CRONO!$F43,
                        0),
                 AA42*$S41),
          SUMIF(OFFSET($S43,1,0,$R41-2),($M41+1)&amp;"$",OFFSET(AA43,1,0,$R41-2)))</f>
        <v>0</v>
      </c>
      <c r="AB43" s="203" cm="1">
        <f t="array" aca="1" ref="AB43" ca="1">IF($R41=2,
         IF(AND(ACOMPANHAMENTO="PLE",ISNUMBER($F41)),
                SUMIF((OFFSET(CÁLCULO!$AM$15:$AW$15,$F41,0,OFFSET(ORÇAMENTO!$D$15,CRONO!$F41,0))),CRONO!AB$12,OFFSET(CÁLCULO!$AB$15:$AL$15,$F41,0,OFFSET(ORÇAMENTO!$D$15,CRONO!$F41,0)))
                +IF(AND($F43&lt;&gt;"",$F43&lt;&gt;0),
                        SUMIF(CÁLCULO!$AM$15:$AW$405,CRONO!AB$12,CÁLCULO!$AB$15:$AL$405)/(ORÇAMENTO!$X$15-_xlfn.SINGLE(CÁLCULO.TotalAdmLocal))*CRONO!$F43,
                        0),
                 AB42*$S41),
          SUMIF(OFFSET($S43,1,0,$R41-2),($M41+1)&amp;"$",OFFSET(AB43,1,0,$R41-2)))</f>
        <v>0</v>
      </c>
      <c r="AC43" s="203" cm="1">
        <f t="array" aca="1" ref="AC43" ca="1">IF($R41=2,
         IF(AND(ACOMPANHAMENTO="PLE",ISNUMBER($F41)),
                SUMIF((OFFSET(CÁLCULO!$AM$15:$AW$15,$F41,0,OFFSET(ORÇAMENTO!$D$15,CRONO!$F41,0))),CRONO!AC$12,OFFSET(CÁLCULO!$AB$15:$AL$15,$F41,0,OFFSET(ORÇAMENTO!$D$15,CRONO!$F41,0)))
                +IF(AND($F43&lt;&gt;"",$F43&lt;&gt;0),
                        SUMIF(CÁLCULO!$AM$15:$AW$405,CRONO!AC$12,CÁLCULO!$AB$15:$AL$405)/(ORÇAMENTO!$X$15-_xlfn.SINGLE(CÁLCULO.TotalAdmLocal))*CRONO!$F43,
                        0),
                 AC42*$S41),
          SUMIF(OFFSET($S43,1,0,$R41-2),($M41+1)&amp;"$",OFFSET(AC43,1,0,$R41-2)))</f>
        <v>0</v>
      </c>
      <c r="AD43" s="203" cm="1">
        <f t="array" aca="1" ref="AD43" ca="1">IF($R41=2,
         IF(AND(ACOMPANHAMENTO="PLE",ISNUMBER($F41)),
                SUMIF((OFFSET(CÁLCULO!$AM$15:$AW$15,$F41,0,OFFSET(ORÇAMENTO!$D$15,CRONO!$F41,0))),CRONO!AD$12,OFFSET(CÁLCULO!$AB$15:$AL$15,$F41,0,OFFSET(ORÇAMENTO!$D$15,CRONO!$F41,0)))
                +IF(AND($F43&lt;&gt;"",$F43&lt;&gt;0),
                        SUMIF(CÁLCULO!$AM$15:$AW$405,CRONO!AD$12,CÁLCULO!$AB$15:$AL$405)/(ORÇAMENTO!$X$15-_xlfn.SINGLE(CÁLCULO.TotalAdmLocal))*CRONO!$F43,
                        0),
                 AD42*$S41),
          SUMIF(OFFSET($S43,1,0,$R41-2),($M41+1)&amp;"$",OFFSET(AD43,1,0,$R41-2)))</f>
        <v>0</v>
      </c>
      <c r="AE43" s="203" cm="1">
        <f t="array" aca="1" ref="AE43" ca="1">IF($R41=2,
         IF(AND(ACOMPANHAMENTO="PLE",ISNUMBER($F41)),
                SUMIF((OFFSET(CÁLCULO!$AM$15:$AW$15,$F41,0,OFFSET(ORÇAMENTO!$D$15,CRONO!$F41,0))),CRONO!AE$12,OFFSET(CÁLCULO!$AB$15:$AL$15,$F41,0,OFFSET(ORÇAMENTO!$D$15,CRONO!$F41,0)))
                +IF(AND($F43&lt;&gt;"",$F43&lt;&gt;0),
                        SUMIF(CÁLCULO!$AM$15:$AW$405,CRONO!AE$12,CÁLCULO!$AB$15:$AL$405)/(ORÇAMENTO!$X$15-_xlfn.SINGLE(CÁLCULO.TotalAdmLocal))*CRONO!$F43,
                        0),
                 AE42*$S41),
          SUMIF(OFFSET($S43,1,0,$R41-2),($M41+1)&amp;"$",OFFSET(AE43,1,0,$R41-2)))</f>
        <v>0</v>
      </c>
      <c r="AF43" s="203" cm="1">
        <f t="array" aca="1" ref="AF43" ca="1">IF($R41=2,
         IF(AND(ACOMPANHAMENTO="PLE",ISNUMBER($F41)),
                SUMIF((OFFSET(CÁLCULO!$AM$15:$AW$15,$F41,0,OFFSET(ORÇAMENTO!$D$15,CRONO!$F41,0))),CRONO!AF$12,OFFSET(CÁLCULO!$AB$15:$AL$15,$F41,0,OFFSET(ORÇAMENTO!$D$15,CRONO!$F41,0)))
                +IF(AND($F43&lt;&gt;"",$F43&lt;&gt;0),
                        SUMIF(CÁLCULO!$AM$15:$AW$405,CRONO!AF$12,CÁLCULO!$AB$15:$AL$405)/(ORÇAMENTO!$X$15-_xlfn.SINGLE(CÁLCULO.TotalAdmLocal))*CRONO!$F43,
                        0),
                 AF42*$S41),
          SUMIF(OFFSET($S43,1,0,$R41-2),($M41+1)&amp;"$",OFFSET(AF43,1,0,$R41-2)))</f>
        <v>0</v>
      </c>
      <c r="AG43" s="535"/>
    </row>
    <row r="44" spans="1:33" x14ac:dyDescent="0.2">
      <c r="A44" s="187" t="e">
        <f t="shared" ref="A44" ca="1" si="62">IF($M44&gt;1,_xlfn.CONCAT($I44," ",$J44),"")</f>
        <v>#NAME?</v>
      </c>
      <c r="B44" s="186">
        <f t="shared" ref="B44" ca="1" si="63">OFFSET(B44,-3,0)+1</f>
        <v>11</v>
      </c>
      <c r="C44" s="186">
        <f ca="1">IF($R44&lt;&gt;2,0,IF($S44=0,1,IF(F45&gt;0,OFFSET(QCI!$M$13,SUBSTITUTE(F45,".",""),0),OFFSET(ORÇAMENTO!$AA$15,CRONO!$F44,0))/$S44))</f>
        <v>1</v>
      </c>
      <c r="D44" s="186">
        <f ca="1">IF($R44&lt;&gt;2,0,IF($S44=0,1,IF(F45&gt;0,OFFSET(QCI!$N$13,SUBSTITUTE(F45,".",""),0),OFFSET(ORÇAMENTO!$AB$15,CRONO!$F44,0))/$S44))</f>
        <v>1</v>
      </c>
      <c r="E44" s="189" cm="1">
        <f t="array" aca="1" ref="E44" ca="1">IF(AND($R44=2,ACOMPANHAMENTO="BM"),ROUND(E45,4),E46/$S44)</f>
        <v>0</v>
      </c>
      <c r="F44" s="186">
        <f ca="1">IF(B44&lt;=ORÇAMENTO.MáximoListaCrono,MATCH(B44,ORÇAMENTO.ListaCrono,0),NA())</f>
        <v>100</v>
      </c>
      <c r="G44" s="186" t="str">
        <f t="shared" ref="G44" ca="1" si="64">IF(AND($F45&lt;&gt;-1,$S44&gt;0),"F","")</f>
        <v/>
      </c>
      <c r="H44" s="190" t="str" cm="1">
        <f t="array" aca="1" ref="H44" ca="1">IF(OR(S44=0,S44=""),"Linha",IF(AND(OR(ACOMPANHAMENTO="PLE",$R44&lt;&gt;2),$F45=0),"Linha",ROUND(1-SUM(U44:AG44),4)))</f>
        <v>Linha</v>
      </c>
      <c r="I44" s="191" t="str">
        <f ca="1">IF($F45=0,OFFSET(ORÇAMENTO!O$15,$F44,0),IF($F45&lt;&gt;-1,OFFSET(QCI!$D$13,$F45,0),""))</f>
        <v>1.10.</v>
      </c>
      <c r="J44" s="192" t="str">
        <f ca="1">IF($F45=0,OFFSET(ORÇAMENTO!R$15,$F44,0),IF($F45&lt;&gt;-1,OFFSET(QCI!$G$13,$F45,0),""))</f>
        <v>VOZ E DADOS</v>
      </c>
      <c r="K44" s="192"/>
      <c r="L44" s="192"/>
      <c r="M44" s="193">
        <f ca="1">IF($F45=0,OFFSET(ORÇAMENTO!C$15,$F44,0),1)</f>
        <v>2</v>
      </c>
      <c r="N44" s="194">
        <f ca="1">IF($F45=-1,0,IF(N$13&lt;=$M44,IF(ISERROR(MATCH(N$13,OFFSET($M44,1,0,ROW($M$89)-ROW($M44)-1),0)),ROW($M$89)-ROW($M44)-1,MATCH(N$13,OFFSET($M44,1,0,ROW($M$89)-ROW($M44)-1),0)-1),0))</f>
        <v>44</v>
      </c>
      <c r="O44" s="194">
        <f ca="1">IF($F45=-1,0,IF(O$13&lt;=$M44,IF(ISERROR(MATCH(O$13,OFFSET($M44,1,0,ROW($M$89)-ROW($M44)-1),0)),ROW($M$89)-ROW($M44)-1,MATCH(O$13,OFFSET($M44,1,0,ROW($M$89)-ROW($M44)-1),0)-1),0))</f>
        <v>2</v>
      </c>
      <c r="P44" s="194">
        <f ca="1">IF($F45=-1,0,IF(P$13&lt;=$M44,IF(ISERROR(MATCH(P$13,OFFSET($M44,1,0,ROW($M$89)-ROW($M44)-1),0)),ROW($M$89)-ROW($M44)-1,MATCH(P$13,OFFSET($M44,1,0,ROW($M$89)-ROW($M44)-1),0)-1),0))</f>
        <v>0</v>
      </c>
      <c r="Q44" s="194">
        <f ca="1">IF($F45=-1,0,IF(Q$13&lt;=$M44,IF(ISERROR(MATCH(Q$13,OFFSET($M44,1,0,ROW($M$89)-ROW($M44)-1),0)),ROW($M$89)-ROW($M44)-1,MATCH(Q$13,OFFSET($M44,1,0,ROW($M$89)-ROW($M44)-1),0)-1),0))</f>
        <v>0</v>
      </c>
      <c r="R44" s="194">
        <f t="shared" ref="R44" ca="1" si="65">MIN(OFFSET(M44,0,1,,M44))</f>
        <v>2</v>
      </c>
      <c r="S44" s="195">
        <f ca="1">IF($F45=0,OFFSET(ORÇAMENTO!X$15,$F44,0),IF($F45&lt;&gt;-1,OFFSET(QCI!$O$13,$F45,0),""))</f>
        <v>0</v>
      </c>
      <c r="T44" s="196" t="s">
        <v>787</v>
      </c>
      <c r="U44" s="189" cm="1">
        <f t="array" aca="1" ref="U44" ca="1">IF(AND($R44=2,ACOMPANHAMENTO="BM"),ROUND(U45,4),U46/$S44)</f>
        <v>0</v>
      </c>
      <c r="V44" s="189" cm="1">
        <f t="array" aca="1" ref="V44" ca="1">IF(AND($R44=2,ACOMPANHAMENTO="BM"),ROUND(V45,4),V46/$S44)</f>
        <v>0.25</v>
      </c>
      <c r="W44" s="189" cm="1">
        <f t="array" aca="1" ref="W44" ca="1">IF(AND($R44=2,ACOMPANHAMENTO="BM"),ROUND(W45,4),W46/$S44)</f>
        <v>0.25</v>
      </c>
      <c r="X44" s="189" cm="1">
        <f t="array" aca="1" ref="X44" ca="1">IF(AND($R44=2,ACOMPANHAMENTO="BM"),ROUND(X45,4),X46/$S44)</f>
        <v>0.5</v>
      </c>
      <c r="Y44" s="189" cm="1">
        <f t="array" aca="1" ref="Y44" ca="1">IF(AND($R44=2,ACOMPANHAMENTO="BM"),ROUND(Y45,4),Y46/$S44)</f>
        <v>0</v>
      </c>
      <c r="Z44" s="189" cm="1">
        <f t="array" aca="1" ref="Z44" ca="1">IF(AND($R44=2,ACOMPANHAMENTO="BM"),ROUND(Z45,4),Z46/$S44)</f>
        <v>0</v>
      </c>
      <c r="AA44" s="189" cm="1">
        <f t="array" aca="1" ref="AA44" ca="1">IF(AND($R44=2,ACOMPANHAMENTO="BM"),ROUND(AA45,4),AA46/$S44)</f>
        <v>0</v>
      </c>
      <c r="AB44" s="189" cm="1">
        <f t="array" aca="1" ref="AB44" ca="1">IF(AND($R44=2,ACOMPANHAMENTO="BM"),ROUND(AB45,4),AB46/$S44)</f>
        <v>0</v>
      </c>
      <c r="AC44" s="189" cm="1">
        <f t="array" aca="1" ref="AC44" ca="1">IF(AND($R44=2,ACOMPANHAMENTO="BM"),ROUND(AC45,4),AC46/$S44)</f>
        <v>0</v>
      </c>
      <c r="AD44" s="189" cm="1">
        <f t="array" aca="1" ref="AD44" ca="1">IF(AND($R44=2,ACOMPANHAMENTO="BM"),ROUND(AD45,4),AD46/$S44)</f>
        <v>0</v>
      </c>
      <c r="AE44" s="189" cm="1">
        <f t="array" aca="1" ref="AE44" ca="1">IF(AND($R44=2,ACOMPANHAMENTO="BM"),ROUND(AE45,4),AE46/$S44)</f>
        <v>0</v>
      </c>
      <c r="AF44" s="189" cm="1">
        <f t="array" aca="1" ref="AF44" ca="1">IF(AND($R44=2,ACOMPANHAMENTO="BM"),ROUND(AF45,4),AF46/$S44)</f>
        <v>0</v>
      </c>
      <c r="AG44" s="535"/>
    </row>
    <row r="45" spans="1:33" ht="12.75" customHeight="1" x14ac:dyDescent="0.2">
      <c r="E45" s="590"/>
      <c r="F45" s="186">
        <f ca="1">IF(ISERROR(F44),IF(1+COUNTIF($M$13:OFFSET(M44,-1,0),1)&lt;=MAX(QCI!$D$13:$D$24),1+COUNTIF($M$13:OFFSET(M44,-1,0),1),-1),0)</f>
        <v>0</v>
      </c>
      <c r="G45" s="186" t="str" cm="1">
        <f t="array" aca="1" ref="G45" ca="1">IF(ACOMPANHAMENTO="BM",OFFSET(G45,-1,0),"")</f>
        <v/>
      </c>
      <c r="H45" s="197" t="str" cm="1">
        <f t="array" aca="1" ref="H45" ca="1">IF(OR(S44=0,S44=""),"vazia",IF(AND(OR(ACOMPANHAMENTO="PLE",$R44&lt;&gt;2),$F45=0),"calculada","--&gt;"))</f>
        <v>vazia</v>
      </c>
      <c r="I45" s="198"/>
      <c r="J45" s="199" t="str">
        <f t="shared" ref="J45" ca="1" si="66">IF(AND(H44&lt;&gt;0,ISNUMBER(H44)),"PREENCHA ESTA LINHA --&gt;","")</f>
        <v/>
      </c>
      <c r="K45" s="199"/>
      <c r="L45" s="199"/>
      <c r="M45" s="200"/>
      <c r="N45" s="200"/>
      <c r="O45" s="200"/>
      <c r="P45" s="200"/>
      <c r="Q45" s="200"/>
      <c r="R45" s="200"/>
      <c r="S45" s="201"/>
      <c r="T45" s="202"/>
      <c r="U45" s="590"/>
      <c r="V45" s="590">
        <v>0.25</v>
      </c>
      <c r="W45" s="590">
        <v>0.25</v>
      </c>
      <c r="X45" s="590">
        <v>0.5</v>
      </c>
      <c r="Y45" s="590"/>
      <c r="Z45" s="590"/>
      <c r="AA45" s="590"/>
      <c r="AB45" s="590"/>
      <c r="AC45" s="590"/>
      <c r="AD45" s="590"/>
      <c r="AE45" s="590"/>
      <c r="AF45" s="590"/>
      <c r="AG45" s="535"/>
    </row>
    <row r="46" spans="1:33" ht="12.75" customHeight="1" x14ac:dyDescent="0.2">
      <c r="D46" s="534"/>
      <c r="E46" s="203" cm="1">
        <f t="array" aca="1" ref="E46" ca="1">IF($R44=2,
         IF(AND(ACOMPANHAMENTO="PLE",ISNUMBER($F44)),
                SUMIF((OFFSET(CÁLCULO!$AM$15:$AW$15,$F44,0,OFFSET(ORÇAMENTO!$D$15,CRONO!$F44,0))),CRONO!E$12,OFFSET(CÁLCULO!$AB$15:$AL$15,$F44,0,OFFSET(ORÇAMENTO!$D$15,CRONO!$F44,0)))
                +IF(AND($F46&lt;&gt;"",$F46&lt;&gt;0),
                        SUMIF(CÁLCULO!$AM$15:$AW$405,CRONO!E$12,CÁLCULO!$AB$15:$AL$405)/(ORÇAMENTO!$X$15-_xlfn.SINGLE(CÁLCULO.TotalAdmLocal))*CRONO!$F46,
                        0),
                 E45*$S44),
          SUMIF(OFFSET($S46,1,0,$R44-2),($M44+1)&amp;"$",OFFSET(E46,1,0,$R44-2)))</f>
        <v>0</v>
      </c>
      <c r="F46" s="186" t="str">
        <f ca="1">IF(OR($R44&lt;&gt;2,AUTOEVENTO&lt;&gt;"manual",$F45&gt;0),"",
        IF(Import.TipoArredondamento="Tradicional",
              SUMIF(OFFSET(CÁLCULO!$M$15,CRONO!$F44,0,OFFSET(ORÇAMENTO!$D$15,CRONO!$F44,0)),1,OFFSET(ORÇAMENTO!$X$15,CRONO!$F44,0,OFFSET(ORÇAMENTO!$D$15,CRONO!$F44,0))),
              0))</f>
        <v/>
      </c>
      <c r="H46" s="204"/>
      <c r="S46" s="205" t="str">
        <f t="shared" ref="S46" ca="1" si="67">M44&amp;"$"</f>
        <v>2$</v>
      </c>
      <c r="T46" s="206"/>
      <c r="U46" s="203" cm="1">
        <f t="array" aca="1" ref="U46" ca="1">IF($R44=2,
         IF(AND(ACOMPANHAMENTO="PLE",ISNUMBER($F44)),
                SUMIF((OFFSET(CÁLCULO!$AM$15:$AW$15,$F44,0,OFFSET(ORÇAMENTO!$D$15,CRONO!$F44,0))),CRONO!U$12,OFFSET(CÁLCULO!$AB$15:$AL$15,$F44,0,OFFSET(ORÇAMENTO!$D$15,CRONO!$F44,0)))
                +IF(AND($F46&lt;&gt;"",$F46&lt;&gt;0),
                        SUMIF(CÁLCULO!$AM$15:$AW$405,CRONO!U$12,CÁLCULO!$AB$15:$AL$405)/(ORÇAMENTO!$X$15-_xlfn.SINGLE(CÁLCULO.TotalAdmLocal))*CRONO!$F46,
                        0),
                 U45*$S44),
          SUMIF(OFFSET($S46,1,0,$R44-2),($M44+1)&amp;"$",OFFSET(U46,1,0,$R44-2)))</f>
        <v>0</v>
      </c>
      <c r="V46" s="203" cm="1">
        <f t="array" aca="1" ref="V46" ca="1">IF($R44=2,
         IF(AND(ACOMPANHAMENTO="PLE",ISNUMBER($F44)),
                SUMIF((OFFSET(CÁLCULO!$AM$15:$AW$15,$F44,0,OFFSET(ORÇAMENTO!$D$15,CRONO!$F44,0))),CRONO!V$12,OFFSET(CÁLCULO!$AB$15:$AL$15,$F44,0,OFFSET(ORÇAMENTO!$D$15,CRONO!$F44,0)))
                +IF(AND($F46&lt;&gt;"",$F46&lt;&gt;0),
                        SUMIF(CÁLCULO!$AM$15:$AW$405,CRONO!V$12,CÁLCULO!$AB$15:$AL$405)/(ORÇAMENTO!$X$15-_xlfn.SINGLE(CÁLCULO.TotalAdmLocal))*CRONO!$F46,
                        0),
                 V45*$S44),
          SUMIF(OFFSET($S46,1,0,$R44-2),($M44+1)&amp;"$",OFFSET(V46,1,0,$R44-2)))</f>
        <v>0</v>
      </c>
      <c r="W46" s="203" cm="1">
        <f t="array" aca="1" ref="W46" ca="1">IF($R44=2,
         IF(AND(ACOMPANHAMENTO="PLE",ISNUMBER($F44)),
                SUMIF((OFFSET(CÁLCULO!$AM$15:$AW$15,$F44,0,OFFSET(ORÇAMENTO!$D$15,CRONO!$F44,0))),CRONO!W$12,OFFSET(CÁLCULO!$AB$15:$AL$15,$F44,0,OFFSET(ORÇAMENTO!$D$15,CRONO!$F44,0)))
                +IF(AND($F46&lt;&gt;"",$F46&lt;&gt;0),
                        SUMIF(CÁLCULO!$AM$15:$AW$405,CRONO!W$12,CÁLCULO!$AB$15:$AL$405)/(ORÇAMENTO!$X$15-_xlfn.SINGLE(CÁLCULO.TotalAdmLocal))*CRONO!$F46,
                        0),
                 W45*$S44),
          SUMIF(OFFSET($S46,1,0,$R44-2),($M44+1)&amp;"$",OFFSET(W46,1,0,$R44-2)))</f>
        <v>0</v>
      </c>
      <c r="X46" s="203" cm="1">
        <f t="array" aca="1" ref="X46" ca="1">IF($R44=2,
         IF(AND(ACOMPANHAMENTO="PLE",ISNUMBER($F44)),
                SUMIF((OFFSET(CÁLCULO!$AM$15:$AW$15,$F44,0,OFFSET(ORÇAMENTO!$D$15,CRONO!$F44,0))),CRONO!X$12,OFFSET(CÁLCULO!$AB$15:$AL$15,$F44,0,OFFSET(ORÇAMENTO!$D$15,CRONO!$F44,0)))
                +IF(AND($F46&lt;&gt;"",$F46&lt;&gt;0),
                        SUMIF(CÁLCULO!$AM$15:$AW$405,CRONO!X$12,CÁLCULO!$AB$15:$AL$405)/(ORÇAMENTO!$X$15-_xlfn.SINGLE(CÁLCULO.TotalAdmLocal))*CRONO!$F46,
                        0),
                 X45*$S44),
          SUMIF(OFFSET($S46,1,0,$R44-2),($M44+1)&amp;"$",OFFSET(X46,1,0,$R44-2)))</f>
        <v>0</v>
      </c>
      <c r="Y46" s="203" cm="1">
        <f t="array" aca="1" ref="Y46" ca="1">IF($R44=2,
         IF(AND(ACOMPANHAMENTO="PLE",ISNUMBER($F44)),
                SUMIF((OFFSET(CÁLCULO!$AM$15:$AW$15,$F44,0,OFFSET(ORÇAMENTO!$D$15,CRONO!$F44,0))),CRONO!Y$12,OFFSET(CÁLCULO!$AB$15:$AL$15,$F44,0,OFFSET(ORÇAMENTO!$D$15,CRONO!$F44,0)))
                +IF(AND($F46&lt;&gt;"",$F46&lt;&gt;0),
                        SUMIF(CÁLCULO!$AM$15:$AW$405,CRONO!Y$12,CÁLCULO!$AB$15:$AL$405)/(ORÇAMENTO!$X$15-_xlfn.SINGLE(CÁLCULO.TotalAdmLocal))*CRONO!$F46,
                        0),
                 Y45*$S44),
          SUMIF(OFFSET($S46,1,0,$R44-2),($M44+1)&amp;"$",OFFSET(Y46,1,0,$R44-2)))</f>
        <v>0</v>
      </c>
      <c r="Z46" s="203" cm="1">
        <f t="array" aca="1" ref="Z46" ca="1">IF($R44=2,
         IF(AND(ACOMPANHAMENTO="PLE",ISNUMBER($F44)),
                SUMIF((OFFSET(CÁLCULO!$AM$15:$AW$15,$F44,0,OFFSET(ORÇAMENTO!$D$15,CRONO!$F44,0))),CRONO!Z$12,OFFSET(CÁLCULO!$AB$15:$AL$15,$F44,0,OFFSET(ORÇAMENTO!$D$15,CRONO!$F44,0)))
                +IF(AND($F46&lt;&gt;"",$F46&lt;&gt;0),
                        SUMIF(CÁLCULO!$AM$15:$AW$405,CRONO!Z$12,CÁLCULO!$AB$15:$AL$405)/(ORÇAMENTO!$X$15-_xlfn.SINGLE(CÁLCULO.TotalAdmLocal))*CRONO!$F46,
                        0),
                 Z45*$S44),
          SUMIF(OFFSET($S46,1,0,$R44-2),($M44+1)&amp;"$",OFFSET(Z46,1,0,$R44-2)))</f>
        <v>0</v>
      </c>
      <c r="AA46" s="203" cm="1">
        <f t="array" aca="1" ref="AA46" ca="1">IF($R44=2,
         IF(AND(ACOMPANHAMENTO="PLE",ISNUMBER($F44)),
                SUMIF((OFFSET(CÁLCULO!$AM$15:$AW$15,$F44,0,OFFSET(ORÇAMENTO!$D$15,CRONO!$F44,0))),CRONO!AA$12,OFFSET(CÁLCULO!$AB$15:$AL$15,$F44,0,OFFSET(ORÇAMENTO!$D$15,CRONO!$F44,0)))
                +IF(AND($F46&lt;&gt;"",$F46&lt;&gt;0),
                        SUMIF(CÁLCULO!$AM$15:$AW$405,CRONO!AA$12,CÁLCULO!$AB$15:$AL$405)/(ORÇAMENTO!$X$15-_xlfn.SINGLE(CÁLCULO.TotalAdmLocal))*CRONO!$F46,
                        0),
                 AA45*$S44),
          SUMIF(OFFSET($S46,1,0,$R44-2),($M44+1)&amp;"$",OFFSET(AA46,1,0,$R44-2)))</f>
        <v>0</v>
      </c>
      <c r="AB46" s="203" cm="1">
        <f t="array" aca="1" ref="AB46" ca="1">IF($R44=2,
         IF(AND(ACOMPANHAMENTO="PLE",ISNUMBER($F44)),
                SUMIF((OFFSET(CÁLCULO!$AM$15:$AW$15,$F44,0,OFFSET(ORÇAMENTO!$D$15,CRONO!$F44,0))),CRONO!AB$12,OFFSET(CÁLCULO!$AB$15:$AL$15,$F44,0,OFFSET(ORÇAMENTO!$D$15,CRONO!$F44,0)))
                +IF(AND($F46&lt;&gt;"",$F46&lt;&gt;0),
                        SUMIF(CÁLCULO!$AM$15:$AW$405,CRONO!AB$12,CÁLCULO!$AB$15:$AL$405)/(ORÇAMENTO!$X$15-_xlfn.SINGLE(CÁLCULO.TotalAdmLocal))*CRONO!$F46,
                        0),
                 AB45*$S44),
          SUMIF(OFFSET($S46,1,0,$R44-2),($M44+1)&amp;"$",OFFSET(AB46,1,0,$R44-2)))</f>
        <v>0</v>
      </c>
      <c r="AC46" s="203" cm="1">
        <f t="array" aca="1" ref="AC46" ca="1">IF($R44=2,
         IF(AND(ACOMPANHAMENTO="PLE",ISNUMBER($F44)),
                SUMIF((OFFSET(CÁLCULO!$AM$15:$AW$15,$F44,0,OFFSET(ORÇAMENTO!$D$15,CRONO!$F44,0))),CRONO!AC$12,OFFSET(CÁLCULO!$AB$15:$AL$15,$F44,0,OFFSET(ORÇAMENTO!$D$15,CRONO!$F44,0)))
                +IF(AND($F46&lt;&gt;"",$F46&lt;&gt;0),
                        SUMIF(CÁLCULO!$AM$15:$AW$405,CRONO!AC$12,CÁLCULO!$AB$15:$AL$405)/(ORÇAMENTO!$X$15-_xlfn.SINGLE(CÁLCULO.TotalAdmLocal))*CRONO!$F46,
                        0),
                 AC45*$S44),
          SUMIF(OFFSET($S46,1,0,$R44-2),($M44+1)&amp;"$",OFFSET(AC46,1,0,$R44-2)))</f>
        <v>0</v>
      </c>
      <c r="AD46" s="203" cm="1">
        <f t="array" aca="1" ref="AD46" ca="1">IF($R44=2,
         IF(AND(ACOMPANHAMENTO="PLE",ISNUMBER($F44)),
                SUMIF((OFFSET(CÁLCULO!$AM$15:$AW$15,$F44,0,OFFSET(ORÇAMENTO!$D$15,CRONO!$F44,0))),CRONO!AD$12,OFFSET(CÁLCULO!$AB$15:$AL$15,$F44,0,OFFSET(ORÇAMENTO!$D$15,CRONO!$F44,0)))
                +IF(AND($F46&lt;&gt;"",$F46&lt;&gt;0),
                        SUMIF(CÁLCULO!$AM$15:$AW$405,CRONO!AD$12,CÁLCULO!$AB$15:$AL$405)/(ORÇAMENTO!$X$15-_xlfn.SINGLE(CÁLCULO.TotalAdmLocal))*CRONO!$F46,
                        0),
                 AD45*$S44),
          SUMIF(OFFSET($S46,1,0,$R44-2),($M44+1)&amp;"$",OFFSET(AD46,1,0,$R44-2)))</f>
        <v>0</v>
      </c>
      <c r="AE46" s="203" cm="1">
        <f t="array" aca="1" ref="AE46" ca="1">IF($R44=2,
         IF(AND(ACOMPANHAMENTO="PLE",ISNUMBER($F44)),
                SUMIF((OFFSET(CÁLCULO!$AM$15:$AW$15,$F44,0,OFFSET(ORÇAMENTO!$D$15,CRONO!$F44,0))),CRONO!AE$12,OFFSET(CÁLCULO!$AB$15:$AL$15,$F44,0,OFFSET(ORÇAMENTO!$D$15,CRONO!$F44,0)))
                +IF(AND($F46&lt;&gt;"",$F46&lt;&gt;0),
                        SUMIF(CÁLCULO!$AM$15:$AW$405,CRONO!AE$12,CÁLCULO!$AB$15:$AL$405)/(ORÇAMENTO!$X$15-_xlfn.SINGLE(CÁLCULO.TotalAdmLocal))*CRONO!$F46,
                        0),
                 AE45*$S44),
          SUMIF(OFFSET($S46,1,0,$R44-2),($M44+1)&amp;"$",OFFSET(AE46,1,0,$R44-2)))</f>
        <v>0</v>
      </c>
      <c r="AF46" s="203" cm="1">
        <f t="array" aca="1" ref="AF46" ca="1">IF($R44=2,
         IF(AND(ACOMPANHAMENTO="PLE",ISNUMBER($F44)),
                SUMIF((OFFSET(CÁLCULO!$AM$15:$AW$15,$F44,0,OFFSET(ORÇAMENTO!$D$15,CRONO!$F44,0))),CRONO!AF$12,OFFSET(CÁLCULO!$AB$15:$AL$15,$F44,0,OFFSET(ORÇAMENTO!$D$15,CRONO!$F44,0)))
                +IF(AND($F46&lt;&gt;"",$F46&lt;&gt;0),
                        SUMIF(CÁLCULO!$AM$15:$AW$405,CRONO!AF$12,CÁLCULO!$AB$15:$AL$405)/(ORÇAMENTO!$X$15-_xlfn.SINGLE(CÁLCULO.TotalAdmLocal))*CRONO!$F46,
                        0),
                 AF45*$S44),
          SUMIF(OFFSET($S46,1,0,$R44-2),($M44+1)&amp;"$",OFFSET(AF46,1,0,$R44-2)))</f>
        <v>0</v>
      </c>
      <c r="AG46" s="535"/>
    </row>
    <row r="47" spans="1:33" x14ac:dyDescent="0.2">
      <c r="A47" s="187" t="e">
        <f t="shared" ref="A47" ca="1" si="68">IF($M47&gt;1,_xlfn.CONCAT($I47," ",$J47),"")</f>
        <v>#NAME?</v>
      </c>
      <c r="B47" s="186">
        <f t="shared" ref="B47" ca="1" si="69">OFFSET(B47,-3,0)+1</f>
        <v>12</v>
      </c>
      <c r="C47" s="186">
        <f ca="1">IF($R47&lt;&gt;2,0,IF($S47=0,1,IF(F48&gt;0,OFFSET(QCI!$M$13,SUBSTITUTE(F48,".",""),0),OFFSET(ORÇAMENTO!$AA$15,CRONO!$F47,0))/$S47))</f>
        <v>1</v>
      </c>
      <c r="D47" s="186">
        <f ca="1">IF($R47&lt;&gt;2,0,IF($S47=0,1,IF(F48&gt;0,OFFSET(QCI!$N$13,SUBSTITUTE(F48,".",""),0),OFFSET(ORÇAMENTO!$AB$15,CRONO!$F47,0))/$S47))</f>
        <v>1</v>
      </c>
      <c r="E47" s="189" cm="1">
        <f t="array" aca="1" ref="E47" ca="1">IF(AND($R47=2,ACOMPANHAMENTO="BM"),ROUND(E48,4),E49/$S47)</f>
        <v>0</v>
      </c>
      <c r="F47" s="186">
        <f ca="1">IF(B47&lt;=ORÇAMENTO.MáximoListaCrono,MATCH(B47,ORÇAMENTO.ListaCrono,0),NA())</f>
        <v>114</v>
      </c>
      <c r="G47" s="186" t="str">
        <f t="shared" ref="G47" ca="1" si="70">IF(AND($F48&lt;&gt;-1,$S47&gt;0),"F","")</f>
        <v/>
      </c>
      <c r="H47" s="190" t="str" cm="1">
        <f t="array" aca="1" ref="H47" ca="1">IF(OR(S47=0,S47=""),"Linha",IF(AND(OR(ACOMPANHAMENTO="PLE",$R47&lt;&gt;2),$F48=0),"Linha",ROUND(1-SUM(U47:AG47),4)))</f>
        <v>Linha</v>
      </c>
      <c r="I47" s="191" t="str">
        <f ca="1">IF($F48=0,OFFSET(ORÇAMENTO!O$15,$F47,0),IF($F48&lt;&gt;-1,OFFSET(QCI!$D$13,$F48,0),""))</f>
        <v>1.11.</v>
      </c>
      <c r="J47" s="192" t="str">
        <f ca="1">IF($F48=0,OFFSET(ORÇAMENTO!R$15,$F47,0),IF($F48&lt;&gt;-1,OFFSET(QCI!$G$13,$F48,0),""))</f>
        <v>INSTALAÇÕES HIDROSSANITÁRIAS</v>
      </c>
      <c r="K47" s="192"/>
      <c r="L47" s="192"/>
      <c r="M47" s="193">
        <f ca="1">IF($F48=0,OFFSET(ORÇAMENTO!C$15,$F47,0),1)</f>
        <v>2</v>
      </c>
      <c r="N47" s="194">
        <f ca="1">IF($F48=-1,0,IF(N$13&lt;=$M47,IF(ISERROR(MATCH(N$13,OFFSET($M47,1,0,ROW($M$89)-ROW($M47)-1),0)),ROW($M$89)-ROW($M47)-1,MATCH(N$13,OFFSET($M47,1,0,ROW($M$89)-ROW($M47)-1),0)-1),0))</f>
        <v>41</v>
      </c>
      <c r="O47" s="194">
        <f ca="1">IF($F48=-1,0,IF(O$13&lt;=$M47,IF(ISERROR(MATCH(O$13,OFFSET($M47,1,0,ROW($M$89)-ROW($M47)-1),0)),ROW($M$89)-ROW($M47)-1,MATCH(O$13,OFFSET($M47,1,0,ROW($M$89)-ROW($M47)-1),0)-1),0))</f>
        <v>2</v>
      </c>
      <c r="P47" s="194">
        <f ca="1">IF($F48=-1,0,IF(P$13&lt;=$M47,IF(ISERROR(MATCH(P$13,OFFSET($M47,1,0,ROW($M$89)-ROW($M47)-1),0)),ROW($M$89)-ROW($M47)-1,MATCH(P$13,OFFSET($M47,1,0,ROW($M$89)-ROW($M47)-1),0)-1),0))</f>
        <v>0</v>
      </c>
      <c r="Q47" s="194">
        <f ca="1">IF($F48=-1,0,IF(Q$13&lt;=$M47,IF(ISERROR(MATCH(Q$13,OFFSET($M47,1,0,ROW($M$89)-ROW($M47)-1),0)),ROW($M$89)-ROW($M47)-1,MATCH(Q$13,OFFSET($M47,1,0,ROW($M$89)-ROW($M47)-1),0)-1),0))</f>
        <v>0</v>
      </c>
      <c r="R47" s="194">
        <f t="shared" ref="R47" ca="1" si="71">MIN(OFFSET(M47,0,1,,M47))</f>
        <v>2</v>
      </c>
      <c r="S47" s="195">
        <f ca="1">IF($F48=0,OFFSET(ORÇAMENTO!X$15,$F47,0),IF($F48&lt;&gt;-1,OFFSET(QCI!$O$13,$F48,0),""))</f>
        <v>0</v>
      </c>
      <c r="T47" s="196" t="s">
        <v>787</v>
      </c>
      <c r="U47" s="189" cm="1">
        <f t="array" aca="1" ref="U47" ca="1">IF(AND($R47=2,ACOMPANHAMENTO="BM"),ROUND(U48,4),U49/$S47)</f>
        <v>0</v>
      </c>
      <c r="V47" s="189" cm="1">
        <f t="array" aca="1" ref="V47" ca="1">IF(AND($R47=2,ACOMPANHAMENTO="BM"),ROUND(V48,4),V49/$S47)</f>
        <v>0</v>
      </c>
      <c r="W47" s="189" cm="1">
        <f t="array" aca="1" ref="W47" ca="1">IF(AND($R47=2,ACOMPANHAMENTO="BM"),ROUND(W48,4),W49/$S47)</f>
        <v>0</v>
      </c>
      <c r="X47" s="189" cm="1">
        <f t="array" aca="1" ref="X47" ca="1">IF(AND($R47=2,ACOMPANHAMENTO="BM"),ROUND(X48,4),X49/$S47)</f>
        <v>0.25</v>
      </c>
      <c r="Y47" s="189" cm="1">
        <f t="array" aca="1" ref="Y47" ca="1">IF(AND($R47=2,ACOMPANHAMENTO="BM"),ROUND(Y48,4),Y49/$S47)</f>
        <v>0.75</v>
      </c>
      <c r="Z47" s="189" cm="1">
        <f t="array" aca="1" ref="Z47" ca="1">IF(AND($R47=2,ACOMPANHAMENTO="BM"),ROUND(Z48,4),Z49/$S47)</f>
        <v>0</v>
      </c>
      <c r="AA47" s="189" cm="1">
        <f t="array" aca="1" ref="AA47" ca="1">IF(AND($R47=2,ACOMPANHAMENTO="BM"),ROUND(AA48,4),AA49/$S47)</f>
        <v>0</v>
      </c>
      <c r="AB47" s="189" cm="1">
        <f t="array" aca="1" ref="AB47" ca="1">IF(AND($R47=2,ACOMPANHAMENTO="BM"),ROUND(AB48,4),AB49/$S47)</f>
        <v>0</v>
      </c>
      <c r="AC47" s="189" cm="1">
        <f t="array" aca="1" ref="AC47" ca="1">IF(AND($R47=2,ACOMPANHAMENTO="BM"),ROUND(AC48,4),AC49/$S47)</f>
        <v>0</v>
      </c>
      <c r="AD47" s="189" cm="1">
        <f t="array" aca="1" ref="AD47" ca="1">IF(AND($R47=2,ACOMPANHAMENTO="BM"),ROUND(AD48,4),AD49/$S47)</f>
        <v>0</v>
      </c>
      <c r="AE47" s="189" cm="1">
        <f t="array" aca="1" ref="AE47" ca="1">IF(AND($R47=2,ACOMPANHAMENTO="BM"),ROUND(AE48,4),AE49/$S47)</f>
        <v>0</v>
      </c>
      <c r="AF47" s="189" cm="1">
        <f t="array" aca="1" ref="AF47" ca="1">IF(AND($R47=2,ACOMPANHAMENTO="BM"),ROUND(AF48,4),AF49/$S47)</f>
        <v>0</v>
      </c>
      <c r="AG47" s="535"/>
    </row>
    <row r="48" spans="1:33" ht="12.75" customHeight="1" x14ac:dyDescent="0.2">
      <c r="E48" s="590"/>
      <c r="F48" s="186">
        <f ca="1">IF(ISERROR(F47),IF(1+COUNTIF($M$13:OFFSET(M47,-1,0),1)&lt;=MAX(QCI!$D$13:$D$24),1+COUNTIF($M$13:OFFSET(M47,-1,0),1),-1),0)</f>
        <v>0</v>
      </c>
      <c r="G48" s="186" t="str" cm="1">
        <f t="array" aca="1" ref="G48" ca="1">IF(ACOMPANHAMENTO="BM",OFFSET(G48,-1,0),"")</f>
        <v/>
      </c>
      <c r="H48" s="197" t="str" cm="1">
        <f t="array" aca="1" ref="H48" ca="1">IF(OR(S47=0,S47=""),"vazia",IF(AND(OR(ACOMPANHAMENTO="PLE",$R47&lt;&gt;2),$F48=0),"calculada","--&gt;"))</f>
        <v>vazia</v>
      </c>
      <c r="I48" s="198"/>
      <c r="J48" s="199" t="str">
        <f t="shared" ref="J48" ca="1" si="72">IF(AND(H47&lt;&gt;0,ISNUMBER(H47)),"PREENCHA ESTA LINHA --&gt;","")</f>
        <v/>
      </c>
      <c r="K48" s="199"/>
      <c r="L48" s="199"/>
      <c r="M48" s="200"/>
      <c r="N48" s="200"/>
      <c r="O48" s="200"/>
      <c r="P48" s="200"/>
      <c r="Q48" s="200"/>
      <c r="R48" s="200"/>
      <c r="S48" s="201"/>
      <c r="T48" s="202"/>
      <c r="U48" s="590"/>
      <c r="V48" s="590"/>
      <c r="W48" s="590"/>
      <c r="X48" s="590">
        <v>0.25</v>
      </c>
      <c r="Y48" s="590">
        <v>0.75</v>
      </c>
      <c r="Z48" s="590"/>
      <c r="AA48" s="590"/>
      <c r="AB48" s="590"/>
      <c r="AC48" s="590"/>
      <c r="AD48" s="590"/>
      <c r="AE48" s="590"/>
      <c r="AF48" s="590"/>
      <c r="AG48" s="535"/>
    </row>
    <row r="49" spans="1:33" ht="12.75" customHeight="1" x14ac:dyDescent="0.2">
      <c r="D49" s="534"/>
      <c r="E49" s="203" cm="1">
        <f t="array" aca="1" ref="E49" ca="1">IF($R47=2,
         IF(AND(ACOMPANHAMENTO="PLE",ISNUMBER($F47)),
                SUMIF((OFFSET(CÁLCULO!$AM$15:$AW$15,$F47,0,OFFSET(ORÇAMENTO!$D$15,CRONO!$F47,0))),CRONO!E$12,OFFSET(CÁLCULO!$AB$15:$AL$15,$F47,0,OFFSET(ORÇAMENTO!$D$15,CRONO!$F47,0)))
                +IF(AND($F49&lt;&gt;"",$F49&lt;&gt;0),
                        SUMIF(CÁLCULO!$AM$15:$AW$405,CRONO!E$12,CÁLCULO!$AB$15:$AL$405)/(ORÇAMENTO!$X$15-_xlfn.SINGLE(CÁLCULO.TotalAdmLocal))*CRONO!$F49,
                        0),
                 E48*$S47),
          SUMIF(OFFSET($S49,1,0,$R47-2),($M47+1)&amp;"$",OFFSET(E49,1,0,$R47-2)))</f>
        <v>0</v>
      </c>
      <c r="F49" s="186" t="str">
        <f ca="1">IF(OR($R47&lt;&gt;2,AUTOEVENTO&lt;&gt;"manual",$F48&gt;0),"",
        IF(Import.TipoArredondamento="Tradicional",
              SUMIF(OFFSET(CÁLCULO!$M$15,CRONO!$F47,0,OFFSET(ORÇAMENTO!$D$15,CRONO!$F47,0)),1,OFFSET(ORÇAMENTO!$X$15,CRONO!$F47,0,OFFSET(ORÇAMENTO!$D$15,CRONO!$F47,0))),
              0))</f>
        <v/>
      </c>
      <c r="H49" s="204"/>
      <c r="S49" s="205" t="str">
        <f t="shared" ref="S49" ca="1" si="73">M47&amp;"$"</f>
        <v>2$</v>
      </c>
      <c r="T49" s="206"/>
      <c r="U49" s="203" cm="1">
        <f t="array" aca="1" ref="U49" ca="1">IF($R47=2,
         IF(AND(ACOMPANHAMENTO="PLE",ISNUMBER($F47)),
                SUMIF((OFFSET(CÁLCULO!$AM$15:$AW$15,$F47,0,OFFSET(ORÇAMENTO!$D$15,CRONO!$F47,0))),CRONO!U$12,OFFSET(CÁLCULO!$AB$15:$AL$15,$F47,0,OFFSET(ORÇAMENTO!$D$15,CRONO!$F47,0)))
                +IF(AND($F49&lt;&gt;"",$F49&lt;&gt;0),
                        SUMIF(CÁLCULO!$AM$15:$AW$405,CRONO!U$12,CÁLCULO!$AB$15:$AL$405)/(ORÇAMENTO!$X$15-_xlfn.SINGLE(CÁLCULO.TotalAdmLocal))*CRONO!$F49,
                        0),
                 U48*$S47),
          SUMIF(OFFSET($S49,1,0,$R47-2),($M47+1)&amp;"$",OFFSET(U49,1,0,$R47-2)))</f>
        <v>0</v>
      </c>
      <c r="V49" s="203" cm="1">
        <f t="array" aca="1" ref="V49" ca="1">IF($R47=2,
         IF(AND(ACOMPANHAMENTO="PLE",ISNUMBER($F47)),
                SUMIF((OFFSET(CÁLCULO!$AM$15:$AW$15,$F47,0,OFFSET(ORÇAMENTO!$D$15,CRONO!$F47,0))),CRONO!V$12,OFFSET(CÁLCULO!$AB$15:$AL$15,$F47,0,OFFSET(ORÇAMENTO!$D$15,CRONO!$F47,0)))
                +IF(AND($F49&lt;&gt;"",$F49&lt;&gt;0),
                        SUMIF(CÁLCULO!$AM$15:$AW$405,CRONO!V$12,CÁLCULO!$AB$15:$AL$405)/(ORÇAMENTO!$X$15-_xlfn.SINGLE(CÁLCULO.TotalAdmLocal))*CRONO!$F49,
                        0),
                 V48*$S47),
          SUMIF(OFFSET($S49,1,0,$R47-2),($M47+1)&amp;"$",OFFSET(V49,1,0,$R47-2)))</f>
        <v>0</v>
      </c>
      <c r="W49" s="203" cm="1">
        <f t="array" aca="1" ref="W49" ca="1">IF($R47=2,
         IF(AND(ACOMPANHAMENTO="PLE",ISNUMBER($F47)),
                SUMIF((OFFSET(CÁLCULO!$AM$15:$AW$15,$F47,0,OFFSET(ORÇAMENTO!$D$15,CRONO!$F47,0))),CRONO!W$12,OFFSET(CÁLCULO!$AB$15:$AL$15,$F47,0,OFFSET(ORÇAMENTO!$D$15,CRONO!$F47,0)))
                +IF(AND($F49&lt;&gt;"",$F49&lt;&gt;0),
                        SUMIF(CÁLCULO!$AM$15:$AW$405,CRONO!W$12,CÁLCULO!$AB$15:$AL$405)/(ORÇAMENTO!$X$15-_xlfn.SINGLE(CÁLCULO.TotalAdmLocal))*CRONO!$F49,
                        0),
                 W48*$S47),
          SUMIF(OFFSET($S49,1,0,$R47-2),($M47+1)&amp;"$",OFFSET(W49,1,0,$R47-2)))</f>
        <v>0</v>
      </c>
      <c r="X49" s="203" cm="1">
        <f t="array" aca="1" ref="X49" ca="1">IF($R47=2,
         IF(AND(ACOMPANHAMENTO="PLE",ISNUMBER($F47)),
                SUMIF((OFFSET(CÁLCULO!$AM$15:$AW$15,$F47,0,OFFSET(ORÇAMENTO!$D$15,CRONO!$F47,0))),CRONO!X$12,OFFSET(CÁLCULO!$AB$15:$AL$15,$F47,0,OFFSET(ORÇAMENTO!$D$15,CRONO!$F47,0)))
                +IF(AND($F49&lt;&gt;"",$F49&lt;&gt;0),
                        SUMIF(CÁLCULO!$AM$15:$AW$405,CRONO!X$12,CÁLCULO!$AB$15:$AL$405)/(ORÇAMENTO!$X$15-_xlfn.SINGLE(CÁLCULO.TotalAdmLocal))*CRONO!$F49,
                        0),
                 X48*$S47),
          SUMIF(OFFSET($S49,1,0,$R47-2),($M47+1)&amp;"$",OFFSET(X49,1,0,$R47-2)))</f>
        <v>0</v>
      </c>
      <c r="Y49" s="203" cm="1">
        <f t="array" aca="1" ref="Y49" ca="1">IF($R47=2,
         IF(AND(ACOMPANHAMENTO="PLE",ISNUMBER($F47)),
                SUMIF((OFFSET(CÁLCULO!$AM$15:$AW$15,$F47,0,OFFSET(ORÇAMENTO!$D$15,CRONO!$F47,0))),CRONO!Y$12,OFFSET(CÁLCULO!$AB$15:$AL$15,$F47,0,OFFSET(ORÇAMENTO!$D$15,CRONO!$F47,0)))
                +IF(AND($F49&lt;&gt;"",$F49&lt;&gt;0),
                        SUMIF(CÁLCULO!$AM$15:$AW$405,CRONO!Y$12,CÁLCULO!$AB$15:$AL$405)/(ORÇAMENTO!$X$15-_xlfn.SINGLE(CÁLCULO.TotalAdmLocal))*CRONO!$F49,
                        0),
                 Y48*$S47),
          SUMIF(OFFSET($S49,1,0,$R47-2),($M47+1)&amp;"$",OFFSET(Y49,1,0,$R47-2)))</f>
        <v>0</v>
      </c>
      <c r="Z49" s="203" cm="1">
        <f t="array" aca="1" ref="Z49" ca="1">IF($R47=2,
         IF(AND(ACOMPANHAMENTO="PLE",ISNUMBER($F47)),
                SUMIF((OFFSET(CÁLCULO!$AM$15:$AW$15,$F47,0,OFFSET(ORÇAMENTO!$D$15,CRONO!$F47,0))),CRONO!Z$12,OFFSET(CÁLCULO!$AB$15:$AL$15,$F47,0,OFFSET(ORÇAMENTO!$D$15,CRONO!$F47,0)))
                +IF(AND($F49&lt;&gt;"",$F49&lt;&gt;0),
                        SUMIF(CÁLCULO!$AM$15:$AW$405,CRONO!Z$12,CÁLCULO!$AB$15:$AL$405)/(ORÇAMENTO!$X$15-_xlfn.SINGLE(CÁLCULO.TotalAdmLocal))*CRONO!$F49,
                        0),
                 Z48*$S47),
          SUMIF(OFFSET($S49,1,0,$R47-2),($M47+1)&amp;"$",OFFSET(Z49,1,0,$R47-2)))</f>
        <v>0</v>
      </c>
      <c r="AA49" s="203" cm="1">
        <f t="array" aca="1" ref="AA49" ca="1">IF($R47=2,
         IF(AND(ACOMPANHAMENTO="PLE",ISNUMBER($F47)),
                SUMIF((OFFSET(CÁLCULO!$AM$15:$AW$15,$F47,0,OFFSET(ORÇAMENTO!$D$15,CRONO!$F47,0))),CRONO!AA$12,OFFSET(CÁLCULO!$AB$15:$AL$15,$F47,0,OFFSET(ORÇAMENTO!$D$15,CRONO!$F47,0)))
                +IF(AND($F49&lt;&gt;"",$F49&lt;&gt;0),
                        SUMIF(CÁLCULO!$AM$15:$AW$405,CRONO!AA$12,CÁLCULO!$AB$15:$AL$405)/(ORÇAMENTO!$X$15-_xlfn.SINGLE(CÁLCULO.TotalAdmLocal))*CRONO!$F49,
                        0),
                 AA48*$S47),
          SUMIF(OFFSET($S49,1,0,$R47-2),($M47+1)&amp;"$",OFFSET(AA49,1,0,$R47-2)))</f>
        <v>0</v>
      </c>
      <c r="AB49" s="203" cm="1">
        <f t="array" aca="1" ref="AB49" ca="1">IF($R47=2,
         IF(AND(ACOMPANHAMENTO="PLE",ISNUMBER($F47)),
                SUMIF((OFFSET(CÁLCULO!$AM$15:$AW$15,$F47,0,OFFSET(ORÇAMENTO!$D$15,CRONO!$F47,0))),CRONO!AB$12,OFFSET(CÁLCULO!$AB$15:$AL$15,$F47,0,OFFSET(ORÇAMENTO!$D$15,CRONO!$F47,0)))
                +IF(AND($F49&lt;&gt;"",$F49&lt;&gt;0),
                        SUMIF(CÁLCULO!$AM$15:$AW$405,CRONO!AB$12,CÁLCULO!$AB$15:$AL$405)/(ORÇAMENTO!$X$15-_xlfn.SINGLE(CÁLCULO.TotalAdmLocal))*CRONO!$F49,
                        0),
                 AB48*$S47),
          SUMIF(OFFSET($S49,1,0,$R47-2),($M47+1)&amp;"$",OFFSET(AB49,1,0,$R47-2)))</f>
        <v>0</v>
      </c>
      <c r="AC49" s="203" cm="1">
        <f t="array" aca="1" ref="AC49" ca="1">IF($R47=2,
         IF(AND(ACOMPANHAMENTO="PLE",ISNUMBER($F47)),
                SUMIF((OFFSET(CÁLCULO!$AM$15:$AW$15,$F47,0,OFFSET(ORÇAMENTO!$D$15,CRONO!$F47,0))),CRONO!AC$12,OFFSET(CÁLCULO!$AB$15:$AL$15,$F47,0,OFFSET(ORÇAMENTO!$D$15,CRONO!$F47,0)))
                +IF(AND($F49&lt;&gt;"",$F49&lt;&gt;0),
                        SUMIF(CÁLCULO!$AM$15:$AW$405,CRONO!AC$12,CÁLCULO!$AB$15:$AL$405)/(ORÇAMENTO!$X$15-_xlfn.SINGLE(CÁLCULO.TotalAdmLocal))*CRONO!$F49,
                        0),
                 AC48*$S47),
          SUMIF(OFFSET($S49,1,0,$R47-2),($M47+1)&amp;"$",OFFSET(AC49,1,0,$R47-2)))</f>
        <v>0</v>
      </c>
      <c r="AD49" s="203" cm="1">
        <f t="array" aca="1" ref="AD49" ca="1">IF($R47=2,
         IF(AND(ACOMPANHAMENTO="PLE",ISNUMBER($F47)),
                SUMIF((OFFSET(CÁLCULO!$AM$15:$AW$15,$F47,0,OFFSET(ORÇAMENTO!$D$15,CRONO!$F47,0))),CRONO!AD$12,OFFSET(CÁLCULO!$AB$15:$AL$15,$F47,0,OFFSET(ORÇAMENTO!$D$15,CRONO!$F47,0)))
                +IF(AND($F49&lt;&gt;"",$F49&lt;&gt;0),
                        SUMIF(CÁLCULO!$AM$15:$AW$405,CRONO!AD$12,CÁLCULO!$AB$15:$AL$405)/(ORÇAMENTO!$X$15-_xlfn.SINGLE(CÁLCULO.TotalAdmLocal))*CRONO!$F49,
                        0),
                 AD48*$S47),
          SUMIF(OFFSET($S49,1,0,$R47-2),($M47+1)&amp;"$",OFFSET(AD49,1,0,$R47-2)))</f>
        <v>0</v>
      </c>
      <c r="AE49" s="203" cm="1">
        <f t="array" aca="1" ref="AE49" ca="1">IF($R47=2,
         IF(AND(ACOMPANHAMENTO="PLE",ISNUMBER($F47)),
                SUMIF((OFFSET(CÁLCULO!$AM$15:$AW$15,$F47,0,OFFSET(ORÇAMENTO!$D$15,CRONO!$F47,0))),CRONO!AE$12,OFFSET(CÁLCULO!$AB$15:$AL$15,$F47,0,OFFSET(ORÇAMENTO!$D$15,CRONO!$F47,0)))
                +IF(AND($F49&lt;&gt;"",$F49&lt;&gt;0),
                        SUMIF(CÁLCULO!$AM$15:$AW$405,CRONO!AE$12,CÁLCULO!$AB$15:$AL$405)/(ORÇAMENTO!$X$15-_xlfn.SINGLE(CÁLCULO.TotalAdmLocal))*CRONO!$F49,
                        0),
                 AE48*$S47),
          SUMIF(OFFSET($S49,1,0,$R47-2),($M47+1)&amp;"$",OFFSET(AE49,1,0,$R47-2)))</f>
        <v>0</v>
      </c>
      <c r="AF49" s="203" cm="1">
        <f t="array" aca="1" ref="AF49" ca="1">IF($R47=2,
         IF(AND(ACOMPANHAMENTO="PLE",ISNUMBER($F47)),
                SUMIF((OFFSET(CÁLCULO!$AM$15:$AW$15,$F47,0,OFFSET(ORÇAMENTO!$D$15,CRONO!$F47,0))),CRONO!AF$12,OFFSET(CÁLCULO!$AB$15:$AL$15,$F47,0,OFFSET(ORÇAMENTO!$D$15,CRONO!$F47,0)))
                +IF(AND($F49&lt;&gt;"",$F49&lt;&gt;0),
                        SUMIF(CÁLCULO!$AM$15:$AW$405,CRONO!AF$12,CÁLCULO!$AB$15:$AL$405)/(ORÇAMENTO!$X$15-_xlfn.SINGLE(CÁLCULO.TotalAdmLocal))*CRONO!$F49,
                        0),
                 AF48*$S47),
          SUMIF(OFFSET($S49,1,0,$R47-2),($M47+1)&amp;"$",OFFSET(AF49,1,0,$R47-2)))</f>
        <v>0</v>
      </c>
      <c r="AG49" s="535"/>
    </row>
    <row r="50" spans="1:33" x14ac:dyDescent="0.2">
      <c r="A50" s="187" t="e">
        <f t="shared" ref="A50" ca="1" si="74">IF($M50&gt;1,_xlfn.CONCAT($I50," ",$J50),"")</f>
        <v>#NAME?</v>
      </c>
      <c r="B50" s="186">
        <f t="shared" ref="B50" ca="1" si="75">OFFSET(B50,-3,0)+1</f>
        <v>13</v>
      </c>
      <c r="C50" s="186">
        <f ca="1">IF($R50&lt;&gt;2,0,IF($S50=0,1,IF(F51&gt;0,OFFSET(QCI!$M$13,SUBSTITUTE(F51,".",""),0),OFFSET(ORÇAMENTO!$AA$15,CRONO!$F50,0))/$S50))</f>
        <v>1</v>
      </c>
      <c r="D50" s="186">
        <f ca="1">IF($R50&lt;&gt;2,0,IF($S50=0,1,IF(F51&gt;0,OFFSET(QCI!$N$13,SUBSTITUTE(F51,".",""),0),OFFSET(ORÇAMENTO!$AB$15,CRONO!$F50,0))/$S50))</f>
        <v>1</v>
      </c>
      <c r="E50" s="189" cm="1">
        <f t="array" aca="1" ref="E50" ca="1">IF(AND($R50=2,ACOMPANHAMENTO="BM"),ROUND(E51,4),E52/$S50)</f>
        <v>0</v>
      </c>
      <c r="F50" s="186">
        <f ca="1">IF(B50&lt;=ORÇAMENTO.MáximoListaCrono,MATCH(B50,ORÇAMENTO.ListaCrono,0),NA())</f>
        <v>203</v>
      </c>
      <c r="G50" s="186" t="str">
        <f t="shared" ref="G50" ca="1" si="76">IF(AND($F51&lt;&gt;-1,$S50&gt;0),"F","")</f>
        <v/>
      </c>
      <c r="H50" s="190" t="str" cm="1">
        <f t="array" aca="1" ref="H50" ca="1">IF(OR(S50=0,S50=""),"Linha",IF(AND(OR(ACOMPANHAMENTO="PLE",$R50&lt;&gt;2),$F51=0),"Linha",ROUND(1-SUM(U50:AG50),4)))</f>
        <v>Linha</v>
      </c>
      <c r="I50" s="191" t="str">
        <f ca="1">IF($F51=0,OFFSET(ORÇAMENTO!O$15,$F50,0),IF($F51&lt;&gt;-1,OFFSET(QCI!$D$13,$F51,0),""))</f>
        <v>1.12.</v>
      </c>
      <c r="J50" s="192" t="str">
        <f ca="1">IF($F51=0,OFFSET(ORÇAMENTO!R$15,$F50,0),IF($F51&lt;&gt;-1,OFFSET(QCI!$G$13,$F51,0),""))</f>
        <v>REVESTIMENTOS</v>
      </c>
      <c r="K50" s="192"/>
      <c r="L50" s="192"/>
      <c r="M50" s="193">
        <f ca="1">IF($F51=0,OFFSET(ORÇAMENTO!C$15,$F50,0),1)</f>
        <v>2</v>
      </c>
      <c r="N50" s="194">
        <f ca="1">IF($F51=-1,0,IF(N$13&lt;=$M50,IF(ISERROR(MATCH(N$13,OFFSET($M50,1,0,ROW($M$89)-ROW($M50)-1),0)),ROW($M$89)-ROW($M50)-1,MATCH(N$13,OFFSET($M50,1,0,ROW($M$89)-ROW($M50)-1),0)-1),0))</f>
        <v>38</v>
      </c>
      <c r="O50" s="194">
        <f ca="1">IF($F51=-1,0,IF(O$13&lt;=$M50,IF(ISERROR(MATCH(O$13,OFFSET($M50,1,0,ROW($M$89)-ROW($M50)-1),0)),ROW($M$89)-ROW($M50)-1,MATCH(O$13,OFFSET($M50,1,0,ROW($M$89)-ROW($M50)-1),0)-1),0))</f>
        <v>2</v>
      </c>
      <c r="P50" s="194">
        <f ca="1">IF($F51=-1,0,IF(P$13&lt;=$M50,IF(ISERROR(MATCH(P$13,OFFSET($M50,1,0,ROW($M$89)-ROW($M50)-1),0)),ROW($M$89)-ROW($M50)-1,MATCH(P$13,OFFSET($M50,1,0,ROW($M$89)-ROW($M50)-1),0)-1),0))</f>
        <v>0</v>
      </c>
      <c r="Q50" s="194">
        <f ca="1">IF($F51=-1,0,IF(Q$13&lt;=$M50,IF(ISERROR(MATCH(Q$13,OFFSET($M50,1,0,ROW($M$89)-ROW($M50)-1),0)),ROW($M$89)-ROW($M50)-1,MATCH(Q$13,OFFSET($M50,1,0,ROW($M$89)-ROW($M50)-1),0)-1),0))</f>
        <v>0</v>
      </c>
      <c r="R50" s="194">
        <f t="shared" ref="R50" ca="1" si="77">MIN(OFFSET(M50,0,1,,M50))</f>
        <v>2</v>
      </c>
      <c r="S50" s="195">
        <f ca="1">IF($F51=0,OFFSET(ORÇAMENTO!X$15,$F50,0),IF($F51&lt;&gt;-1,OFFSET(QCI!$O$13,$F51,0),""))</f>
        <v>0</v>
      </c>
      <c r="T50" s="196" t="s">
        <v>787</v>
      </c>
      <c r="U50" s="189" cm="1">
        <f t="array" aca="1" ref="U50" ca="1">IF(AND($R50=2,ACOMPANHAMENTO="BM"),ROUND(U51,4),U52/$S50)</f>
        <v>0</v>
      </c>
      <c r="V50" s="189" cm="1">
        <f t="array" aca="1" ref="V50" ca="1">IF(AND($R50=2,ACOMPANHAMENTO="BM"),ROUND(V51,4),V52/$S50)</f>
        <v>0</v>
      </c>
      <c r="W50" s="189" cm="1">
        <f t="array" aca="1" ref="W50" ca="1">IF(AND($R50=2,ACOMPANHAMENTO="BM"),ROUND(W51,4),W52/$S50)</f>
        <v>0.2</v>
      </c>
      <c r="X50" s="189" cm="1">
        <f t="array" aca="1" ref="X50" ca="1">IF(AND($R50=2,ACOMPANHAMENTO="BM"),ROUND(X51,4),X52/$S50)</f>
        <v>0.25</v>
      </c>
      <c r="Y50" s="189" cm="1">
        <f t="array" aca="1" ref="Y50" ca="1">IF(AND($R50=2,ACOMPANHAMENTO="BM"),ROUND(Y51,4),Y52/$S50)</f>
        <v>0.55000000000000004</v>
      </c>
      <c r="Z50" s="189" cm="1">
        <f t="array" aca="1" ref="Z50" ca="1">IF(AND($R50=2,ACOMPANHAMENTO="BM"),ROUND(Z51,4),Z52/$S50)</f>
        <v>0</v>
      </c>
      <c r="AA50" s="189" cm="1">
        <f t="array" aca="1" ref="AA50" ca="1">IF(AND($R50=2,ACOMPANHAMENTO="BM"),ROUND(AA51,4),AA52/$S50)</f>
        <v>0</v>
      </c>
      <c r="AB50" s="189" cm="1">
        <f t="array" aca="1" ref="AB50" ca="1">IF(AND($R50=2,ACOMPANHAMENTO="BM"),ROUND(AB51,4),AB52/$S50)</f>
        <v>0</v>
      </c>
      <c r="AC50" s="189" cm="1">
        <f t="array" aca="1" ref="AC50" ca="1">IF(AND($R50=2,ACOMPANHAMENTO="BM"),ROUND(AC51,4),AC52/$S50)</f>
        <v>0</v>
      </c>
      <c r="AD50" s="189" cm="1">
        <f t="array" aca="1" ref="AD50" ca="1">IF(AND($R50=2,ACOMPANHAMENTO="BM"),ROUND(AD51,4),AD52/$S50)</f>
        <v>0</v>
      </c>
      <c r="AE50" s="189" cm="1">
        <f t="array" aca="1" ref="AE50" ca="1">IF(AND($R50=2,ACOMPANHAMENTO="BM"),ROUND(AE51,4),AE52/$S50)</f>
        <v>0</v>
      </c>
      <c r="AF50" s="189" cm="1">
        <f t="array" aca="1" ref="AF50" ca="1">IF(AND($R50=2,ACOMPANHAMENTO="BM"),ROUND(AF51,4),AF52/$S50)</f>
        <v>0</v>
      </c>
      <c r="AG50" s="535"/>
    </row>
    <row r="51" spans="1:33" ht="12.75" customHeight="1" x14ac:dyDescent="0.2">
      <c r="E51" s="590"/>
      <c r="F51" s="186">
        <f ca="1">IF(ISERROR(F50),IF(1+COUNTIF($M$13:OFFSET(M50,-1,0),1)&lt;=MAX(QCI!$D$13:$D$24),1+COUNTIF($M$13:OFFSET(M50,-1,0),1),-1),0)</f>
        <v>0</v>
      </c>
      <c r="G51" s="186" t="str" cm="1">
        <f t="array" aca="1" ref="G51" ca="1">IF(ACOMPANHAMENTO="BM",OFFSET(G51,-1,0),"")</f>
        <v/>
      </c>
      <c r="H51" s="197" t="str" cm="1">
        <f t="array" aca="1" ref="H51" ca="1">IF(OR(S50=0,S50=""),"vazia",IF(AND(OR(ACOMPANHAMENTO="PLE",$R50&lt;&gt;2),$F51=0),"calculada","--&gt;"))</f>
        <v>vazia</v>
      </c>
      <c r="I51" s="198"/>
      <c r="J51" s="199" t="str">
        <f t="shared" ref="J51" ca="1" si="78">IF(AND(H50&lt;&gt;0,ISNUMBER(H50)),"PREENCHA ESTA LINHA --&gt;","")</f>
        <v/>
      </c>
      <c r="K51" s="199"/>
      <c r="L51" s="199"/>
      <c r="M51" s="200"/>
      <c r="N51" s="200"/>
      <c r="O51" s="200"/>
      <c r="P51" s="200"/>
      <c r="Q51" s="200"/>
      <c r="R51" s="200"/>
      <c r="S51" s="201"/>
      <c r="T51" s="202"/>
      <c r="U51" s="590"/>
      <c r="V51" s="590"/>
      <c r="W51" s="590">
        <v>0.2</v>
      </c>
      <c r="X51" s="590">
        <v>0.25</v>
      </c>
      <c r="Y51" s="590">
        <v>0.55000000000000004</v>
      </c>
      <c r="Z51" s="590"/>
      <c r="AA51" s="590"/>
      <c r="AB51" s="590"/>
      <c r="AC51" s="590"/>
      <c r="AD51" s="590"/>
      <c r="AE51" s="590"/>
      <c r="AF51" s="590"/>
      <c r="AG51" s="535"/>
    </row>
    <row r="52" spans="1:33" ht="12.75" customHeight="1" x14ac:dyDescent="0.2">
      <c r="D52" s="534"/>
      <c r="E52" s="203" cm="1">
        <f t="array" aca="1" ref="E52" ca="1">IF($R50=2,
         IF(AND(ACOMPANHAMENTO="PLE",ISNUMBER($F50)),
                SUMIF((OFFSET(CÁLCULO!$AM$15:$AW$15,$F50,0,OFFSET(ORÇAMENTO!$D$15,CRONO!$F50,0))),CRONO!E$12,OFFSET(CÁLCULO!$AB$15:$AL$15,$F50,0,OFFSET(ORÇAMENTO!$D$15,CRONO!$F50,0)))
                +IF(AND($F52&lt;&gt;"",$F52&lt;&gt;0),
                        SUMIF(CÁLCULO!$AM$15:$AW$405,CRONO!E$12,CÁLCULO!$AB$15:$AL$405)/(ORÇAMENTO!$X$15-_xlfn.SINGLE(CÁLCULO.TotalAdmLocal))*CRONO!$F52,
                        0),
                 E51*$S50),
          SUMIF(OFFSET($S52,1,0,$R50-2),($M50+1)&amp;"$",OFFSET(E52,1,0,$R50-2)))</f>
        <v>0</v>
      </c>
      <c r="F52" s="186" t="str">
        <f ca="1">IF(OR($R50&lt;&gt;2,AUTOEVENTO&lt;&gt;"manual",$F51&gt;0),"",
        IF(Import.TipoArredondamento="Tradicional",
              SUMIF(OFFSET(CÁLCULO!$M$15,CRONO!$F50,0,OFFSET(ORÇAMENTO!$D$15,CRONO!$F50,0)),1,OFFSET(ORÇAMENTO!$X$15,CRONO!$F50,0,OFFSET(ORÇAMENTO!$D$15,CRONO!$F50,0))),
              0))</f>
        <v/>
      </c>
      <c r="H52" s="204"/>
      <c r="S52" s="205" t="str">
        <f t="shared" ref="S52" ca="1" si="79">M50&amp;"$"</f>
        <v>2$</v>
      </c>
      <c r="T52" s="206"/>
      <c r="U52" s="203" cm="1">
        <f t="array" aca="1" ref="U52" ca="1">IF($R50=2,
         IF(AND(ACOMPANHAMENTO="PLE",ISNUMBER($F50)),
                SUMIF((OFFSET(CÁLCULO!$AM$15:$AW$15,$F50,0,OFFSET(ORÇAMENTO!$D$15,CRONO!$F50,0))),CRONO!U$12,OFFSET(CÁLCULO!$AB$15:$AL$15,$F50,0,OFFSET(ORÇAMENTO!$D$15,CRONO!$F50,0)))
                +IF(AND($F52&lt;&gt;"",$F52&lt;&gt;0),
                        SUMIF(CÁLCULO!$AM$15:$AW$405,CRONO!U$12,CÁLCULO!$AB$15:$AL$405)/(ORÇAMENTO!$X$15-_xlfn.SINGLE(CÁLCULO.TotalAdmLocal))*CRONO!$F52,
                        0),
                 U51*$S50),
          SUMIF(OFFSET($S52,1,0,$R50-2),($M50+1)&amp;"$",OFFSET(U52,1,0,$R50-2)))</f>
        <v>0</v>
      </c>
      <c r="V52" s="203" cm="1">
        <f t="array" aca="1" ref="V52" ca="1">IF($R50=2,
         IF(AND(ACOMPANHAMENTO="PLE",ISNUMBER($F50)),
                SUMIF((OFFSET(CÁLCULO!$AM$15:$AW$15,$F50,0,OFFSET(ORÇAMENTO!$D$15,CRONO!$F50,0))),CRONO!V$12,OFFSET(CÁLCULO!$AB$15:$AL$15,$F50,0,OFFSET(ORÇAMENTO!$D$15,CRONO!$F50,0)))
                +IF(AND($F52&lt;&gt;"",$F52&lt;&gt;0),
                        SUMIF(CÁLCULO!$AM$15:$AW$405,CRONO!V$12,CÁLCULO!$AB$15:$AL$405)/(ORÇAMENTO!$X$15-_xlfn.SINGLE(CÁLCULO.TotalAdmLocal))*CRONO!$F52,
                        0),
                 V51*$S50),
          SUMIF(OFFSET($S52,1,0,$R50-2),($M50+1)&amp;"$",OFFSET(V52,1,0,$R50-2)))</f>
        <v>0</v>
      </c>
      <c r="W52" s="203" cm="1">
        <f t="array" aca="1" ref="W52" ca="1">IF($R50=2,
         IF(AND(ACOMPANHAMENTO="PLE",ISNUMBER($F50)),
                SUMIF((OFFSET(CÁLCULO!$AM$15:$AW$15,$F50,0,OFFSET(ORÇAMENTO!$D$15,CRONO!$F50,0))),CRONO!W$12,OFFSET(CÁLCULO!$AB$15:$AL$15,$F50,0,OFFSET(ORÇAMENTO!$D$15,CRONO!$F50,0)))
                +IF(AND($F52&lt;&gt;"",$F52&lt;&gt;0),
                        SUMIF(CÁLCULO!$AM$15:$AW$405,CRONO!W$12,CÁLCULO!$AB$15:$AL$405)/(ORÇAMENTO!$X$15-_xlfn.SINGLE(CÁLCULO.TotalAdmLocal))*CRONO!$F52,
                        0),
                 W51*$S50),
          SUMIF(OFFSET($S52,1,0,$R50-2),($M50+1)&amp;"$",OFFSET(W52,1,0,$R50-2)))</f>
        <v>0</v>
      </c>
      <c r="X52" s="203" cm="1">
        <f t="array" aca="1" ref="X52" ca="1">IF($R50=2,
         IF(AND(ACOMPANHAMENTO="PLE",ISNUMBER($F50)),
                SUMIF((OFFSET(CÁLCULO!$AM$15:$AW$15,$F50,0,OFFSET(ORÇAMENTO!$D$15,CRONO!$F50,0))),CRONO!X$12,OFFSET(CÁLCULO!$AB$15:$AL$15,$F50,0,OFFSET(ORÇAMENTO!$D$15,CRONO!$F50,0)))
                +IF(AND($F52&lt;&gt;"",$F52&lt;&gt;0),
                        SUMIF(CÁLCULO!$AM$15:$AW$405,CRONO!X$12,CÁLCULO!$AB$15:$AL$405)/(ORÇAMENTO!$X$15-_xlfn.SINGLE(CÁLCULO.TotalAdmLocal))*CRONO!$F52,
                        0),
                 X51*$S50),
          SUMIF(OFFSET($S52,1,0,$R50-2),($M50+1)&amp;"$",OFFSET(X52,1,0,$R50-2)))</f>
        <v>0</v>
      </c>
      <c r="Y52" s="203" cm="1">
        <f t="array" aca="1" ref="Y52" ca="1">IF($R50=2,
         IF(AND(ACOMPANHAMENTO="PLE",ISNUMBER($F50)),
                SUMIF((OFFSET(CÁLCULO!$AM$15:$AW$15,$F50,0,OFFSET(ORÇAMENTO!$D$15,CRONO!$F50,0))),CRONO!Y$12,OFFSET(CÁLCULO!$AB$15:$AL$15,$F50,0,OFFSET(ORÇAMENTO!$D$15,CRONO!$F50,0)))
                +IF(AND($F52&lt;&gt;"",$F52&lt;&gt;0),
                        SUMIF(CÁLCULO!$AM$15:$AW$405,CRONO!Y$12,CÁLCULO!$AB$15:$AL$405)/(ORÇAMENTO!$X$15-_xlfn.SINGLE(CÁLCULO.TotalAdmLocal))*CRONO!$F52,
                        0),
                 Y51*$S50),
          SUMIF(OFFSET($S52,1,0,$R50-2),($M50+1)&amp;"$",OFFSET(Y52,1,0,$R50-2)))</f>
        <v>0</v>
      </c>
      <c r="Z52" s="203" cm="1">
        <f t="array" aca="1" ref="Z52" ca="1">IF($R50=2,
         IF(AND(ACOMPANHAMENTO="PLE",ISNUMBER($F50)),
                SUMIF((OFFSET(CÁLCULO!$AM$15:$AW$15,$F50,0,OFFSET(ORÇAMENTO!$D$15,CRONO!$F50,0))),CRONO!Z$12,OFFSET(CÁLCULO!$AB$15:$AL$15,$F50,0,OFFSET(ORÇAMENTO!$D$15,CRONO!$F50,0)))
                +IF(AND($F52&lt;&gt;"",$F52&lt;&gt;0),
                        SUMIF(CÁLCULO!$AM$15:$AW$405,CRONO!Z$12,CÁLCULO!$AB$15:$AL$405)/(ORÇAMENTO!$X$15-_xlfn.SINGLE(CÁLCULO.TotalAdmLocal))*CRONO!$F52,
                        0),
                 Z51*$S50),
          SUMIF(OFFSET($S52,1,0,$R50-2),($M50+1)&amp;"$",OFFSET(Z52,1,0,$R50-2)))</f>
        <v>0</v>
      </c>
      <c r="AA52" s="203" cm="1">
        <f t="array" aca="1" ref="AA52" ca="1">IF($R50=2,
         IF(AND(ACOMPANHAMENTO="PLE",ISNUMBER($F50)),
                SUMIF((OFFSET(CÁLCULO!$AM$15:$AW$15,$F50,0,OFFSET(ORÇAMENTO!$D$15,CRONO!$F50,0))),CRONO!AA$12,OFFSET(CÁLCULO!$AB$15:$AL$15,$F50,0,OFFSET(ORÇAMENTO!$D$15,CRONO!$F50,0)))
                +IF(AND($F52&lt;&gt;"",$F52&lt;&gt;0),
                        SUMIF(CÁLCULO!$AM$15:$AW$405,CRONO!AA$12,CÁLCULO!$AB$15:$AL$405)/(ORÇAMENTO!$X$15-_xlfn.SINGLE(CÁLCULO.TotalAdmLocal))*CRONO!$F52,
                        0),
                 AA51*$S50),
          SUMIF(OFFSET($S52,1,0,$R50-2),($M50+1)&amp;"$",OFFSET(AA52,1,0,$R50-2)))</f>
        <v>0</v>
      </c>
      <c r="AB52" s="203" cm="1">
        <f t="array" aca="1" ref="AB52" ca="1">IF($R50=2,
         IF(AND(ACOMPANHAMENTO="PLE",ISNUMBER($F50)),
                SUMIF((OFFSET(CÁLCULO!$AM$15:$AW$15,$F50,0,OFFSET(ORÇAMENTO!$D$15,CRONO!$F50,0))),CRONO!AB$12,OFFSET(CÁLCULO!$AB$15:$AL$15,$F50,0,OFFSET(ORÇAMENTO!$D$15,CRONO!$F50,0)))
                +IF(AND($F52&lt;&gt;"",$F52&lt;&gt;0),
                        SUMIF(CÁLCULO!$AM$15:$AW$405,CRONO!AB$12,CÁLCULO!$AB$15:$AL$405)/(ORÇAMENTO!$X$15-_xlfn.SINGLE(CÁLCULO.TotalAdmLocal))*CRONO!$F52,
                        0),
                 AB51*$S50),
          SUMIF(OFFSET($S52,1,0,$R50-2),($M50+1)&amp;"$",OFFSET(AB52,1,0,$R50-2)))</f>
        <v>0</v>
      </c>
      <c r="AC52" s="203" cm="1">
        <f t="array" aca="1" ref="AC52" ca="1">IF($R50=2,
         IF(AND(ACOMPANHAMENTO="PLE",ISNUMBER($F50)),
                SUMIF((OFFSET(CÁLCULO!$AM$15:$AW$15,$F50,0,OFFSET(ORÇAMENTO!$D$15,CRONO!$F50,0))),CRONO!AC$12,OFFSET(CÁLCULO!$AB$15:$AL$15,$F50,0,OFFSET(ORÇAMENTO!$D$15,CRONO!$F50,0)))
                +IF(AND($F52&lt;&gt;"",$F52&lt;&gt;0),
                        SUMIF(CÁLCULO!$AM$15:$AW$405,CRONO!AC$12,CÁLCULO!$AB$15:$AL$405)/(ORÇAMENTO!$X$15-_xlfn.SINGLE(CÁLCULO.TotalAdmLocal))*CRONO!$F52,
                        0),
                 AC51*$S50),
          SUMIF(OFFSET($S52,1,0,$R50-2),($M50+1)&amp;"$",OFFSET(AC52,1,0,$R50-2)))</f>
        <v>0</v>
      </c>
      <c r="AD52" s="203" cm="1">
        <f t="array" aca="1" ref="AD52" ca="1">IF($R50=2,
         IF(AND(ACOMPANHAMENTO="PLE",ISNUMBER($F50)),
                SUMIF((OFFSET(CÁLCULO!$AM$15:$AW$15,$F50,0,OFFSET(ORÇAMENTO!$D$15,CRONO!$F50,0))),CRONO!AD$12,OFFSET(CÁLCULO!$AB$15:$AL$15,$F50,0,OFFSET(ORÇAMENTO!$D$15,CRONO!$F50,0)))
                +IF(AND($F52&lt;&gt;"",$F52&lt;&gt;0),
                        SUMIF(CÁLCULO!$AM$15:$AW$405,CRONO!AD$12,CÁLCULO!$AB$15:$AL$405)/(ORÇAMENTO!$X$15-_xlfn.SINGLE(CÁLCULO.TotalAdmLocal))*CRONO!$F52,
                        0),
                 AD51*$S50),
          SUMIF(OFFSET($S52,1,0,$R50-2),($M50+1)&amp;"$",OFFSET(AD52,1,0,$R50-2)))</f>
        <v>0</v>
      </c>
      <c r="AE52" s="203" cm="1">
        <f t="array" aca="1" ref="AE52" ca="1">IF($R50=2,
         IF(AND(ACOMPANHAMENTO="PLE",ISNUMBER($F50)),
                SUMIF((OFFSET(CÁLCULO!$AM$15:$AW$15,$F50,0,OFFSET(ORÇAMENTO!$D$15,CRONO!$F50,0))),CRONO!AE$12,OFFSET(CÁLCULO!$AB$15:$AL$15,$F50,0,OFFSET(ORÇAMENTO!$D$15,CRONO!$F50,0)))
                +IF(AND($F52&lt;&gt;"",$F52&lt;&gt;0),
                        SUMIF(CÁLCULO!$AM$15:$AW$405,CRONO!AE$12,CÁLCULO!$AB$15:$AL$405)/(ORÇAMENTO!$X$15-_xlfn.SINGLE(CÁLCULO.TotalAdmLocal))*CRONO!$F52,
                        0),
                 AE51*$S50),
          SUMIF(OFFSET($S52,1,0,$R50-2),($M50+1)&amp;"$",OFFSET(AE52,1,0,$R50-2)))</f>
        <v>0</v>
      </c>
      <c r="AF52" s="203" cm="1">
        <f t="array" aca="1" ref="AF52" ca="1">IF($R50=2,
         IF(AND(ACOMPANHAMENTO="PLE",ISNUMBER($F50)),
                SUMIF((OFFSET(CÁLCULO!$AM$15:$AW$15,$F50,0,OFFSET(ORÇAMENTO!$D$15,CRONO!$F50,0))),CRONO!AF$12,OFFSET(CÁLCULO!$AB$15:$AL$15,$F50,0,OFFSET(ORÇAMENTO!$D$15,CRONO!$F50,0)))
                +IF(AND($F52&lt;&gt;"",$F52&lt;&gt;0),
                        SUMIF(CÁLCULO!$AM$15:$AW$405,CRONO!AF$12,CÁLCULO!$AB$15:$AL$405)/(ORÇAMENTO!$X$15-_xlfn.SINGLE(CÁLCULO.TotalAdmLocal))*CRONO!$F52,
                        0),
                 AF51*$S50),
          SUMIF(OFFSET($S52,1,0,$R50-2),($M50+1)&amp;"$",OFFSET(AF52,1,0,$R50-2)))</f>
        <v>0</v>
      </c>
      <c r="AG52" s="535"/>
    </row>
    <row r="53" spans="1:33" x14ac:dyDescent="0.2">
      <c r="A53" s="187" t="e">
        <f t="shared" ref="A53" ca="1" si="80">IF($M53&gt;1,_xlfn.CONCAT($I53," ",$J53),"")</f>
        <v>#NAME?</v>
      </c>
      <c r="B53" s="186">
        <f t="shared" ref="B53" ca="1" si="81">OFFSET(B53,-3,0)+1</f>
        <v>14</v>
      </c>
      <c r="C53" s="186">
        <f ca="1">IF($R53&lt;&gt;2,0,IF($S53=0,1,IF(F54&gt;0,OFFSET(QCI!$M$13,SUBSTITUTE(F54,".",""),0),OFFSET(ORÇAMENTO!$AA$15,CRONO!$F53,0))/$S53))</f>
        <v>1</v>
      </c>
      <c r="D53" s="186">
        <f ca="1">IF($R53&lt;&gt;2,0,IF($S53=0,1,IF(F54&gt;0,OFFSET(QCI!$N$13,SUBSTITUTE(F54,".",""),0),OFFSET(ORÇAMENTO!$AB$15,CRONO!$F53,0))/$S53))</f>
        <v>1</v>
      </c>
      <c r="E53" s="189" cm="1">
        <f t="array" aca="1" ref="E53" ca="1">IF(AND($R53=2,ACOMPANHAMENTO="BM"),ROUND(E54,4),E55/$S53)</f>
        <v>0</v>
      </c>
      <c r="F53" s="186">
        <f ca="1">IF(B53&lt;=ORÇAMENTO.MáximoListaCrono,MATCH(B53,ORÇAMENTO.ListaCrono,0),NA())</f>
        <v>210</v>
      </c>
      <c r="G53" s="186" t="str">
        <f t="shared" ref="G53" ca="1" si="82">IF(AND($F54&lt;&gt;-1,$S53&gt;0),"F","")</f>
        <v/>
      </c>
      <c r="H53" s="190" t="str" cm="1">
        <f t="array" aca="1" ref="H53" ca="1">IF(OR(S53=0,S53=""),"Linha",IF(AND(OR(ACOMPANHAMENTO="PLE",$R53&lt;&gt;2),$F54=0),"Linha",ROUND(1-SUM(U53:AG53),4)))</f>
        <v>Linha</v>
      </c>
      <c r="I53" s="191" t="str">
        <f ca="1">IF($F54=0,OFFSET(ORÇAMENTO!O$15,$F53,0),IF($F54&lt;&gt;-1,OFFSET(QCI!$D$13,$F54,0),""))</f>
        <v>1.13.</v>
      </c>
      <c r="J53" s="192" t="str">
        <f ca="1">IF($F54=0,OFFSET(ORÇAMENTO!R$15,$F53,0),IF($F54&lt;&gt;-1,OFFSET(QCI!$G$13,$F54,0),""))</f>
        <v>LOUÇAS E ACESSÓRIOS</v>
      </c>
      <c r="K53" s="192"/>
      <c r="L53" s="192"/>
      <c r="M53" s="193">
        <f ca="1">IF($F54=0,OFFSET(ORÇAMENTO!C$15,$F53,0),1)</f>
        <v>2</v>
      </c>
      <c r="N53" s="194">
        <f ca="1">IF($F54=-1,0,IF(N$13&lt;=$M53,IF(ISERROR(MATCH(N$13,OFFSET($M53,1,0,ROW($M$89)-ROW($M53)-1),0)),ROW($M$89)-ROW($M53)-1,MATCH(N$13,OFFSET($M53,1,0,ROW($M$89)-ROW($M53)-1),0)-1),0))</f>
        <v>35</v>
      </c>
      <c r="O53" s="194">
        <f ca="1">IF($F54=-1,0,IF(O$13&lt;=$M53,IF(ISERROR(MATCH(O$13,OFFSET($M53,1,0,ROW($M$89)-ROW($M53)-1),0)),ROW($M$89)-ROW($M53)-1,MATCH(O$13,OFFSET($M53,1,0,ROW($M$89)-ROW($M53)-1),0)-1),0))</f>
        <v>2</v>
      </c>
      <c r="P53" s="194">
        <f ca="1">IF($F54=-1,0,IF(P$13&lt;=$M53,IF(ISERROR(MATCH(P$13,OFFSET($M53,1,0,ROW($M$89)-ROW($M53)-1),0)),ROW($M$89)-ROW($M53)-1,MATCH(P$13,OFFSET($M53,1,0,ROW($M$89)-ROW($M53)-1),0)-1),0))</f>
        <v>0</v>
      </c>
      <c r="Q53" s="194">
        <f ca="1">IF($F54=-1,0,IF(Q$13&lt;=$M53,IF(ISERROR(MATCH(Q$13,OFFSET($M53,1,0,ROW($M$89)-ROW($M53)-1),0)),ROW($M$89)-ROW($M53)-1,MATCH(Q$13,OFFSET($M53,1,0,ROW($M$89)-ROW($M53)-1),0)-1),0))</f>
        <v>0</v>
      </c>
      <c r="R53" s="194">
        <f t="shared" ref="R53" ca="1" si="83">MIN(OFFSET(M53,0,1,,M53))</f>
        <v>2</v>
      </c>
      <c r="S53" s="195">
        <f ca="1">IF($F54=0,OFFSET(ORÇAMENTO!X$15,$F53,0),IF($F54&lt;&gt;-1,OFFSET(QCI!$O$13,$F54,0),""))</f>
        <v>0</v>
      </c>
      <c r="T53" s="196" t="s">
        <v>787</v>
      </c>
      <c r="U53" s="189" cm="1">
        <f t="array" aca="1" ref="U53" ca="1">IF(AND($R53=2,ACOMPANHAMENTO="BM"),ROUND(U54,4),U55/$S53)</f>
        <v>0</v>
      </c>
      <c r="V53" s="189" cm="1">
        <f t="array" aca="1" ref="V53" ca="1">IF(AND($R53=2,ACOMPANHAMENTO="BM"),ROUND(V54,4),V55/$S53)</f>
        <v>0</v>
      </c>
      <c r="W53" s="189" cm="1">
        <f t="array" aca="1" ref="W53" ca="1">IF(AND($R53=2,ACOMPANHAMENTO="BM"),ROUND(W54,4),W55/$S53)</f>
        <v>0.5</v>
      </c>
      <c r="X53" s="189" cm="1">
        <f t="array" aca="1" ref="X53" ca="1">IF(AND($R53=2,ACOMPANHAMENTO="BM"),ROUND(X54,4),X55/$S53)</f>
        <v>0.2</v>
      </c>
      <c r="Y53" s="189" cm="1">
        <f t="array" aca="1" ref="Y53" ca="1">IF(AND($R53=2,ACOMPANHAMENTO="BM"),ROUND(Y54,4),Y55/$S53)</f>
        <v>0.3</v>
      </c>
      <c r="Z53" s="189" cm="1">
        <f t="array" aca="1" ref="Z53" ca="1">IF(AND($R53=2,ACOMPANHAMENTO="BM"),ROUND(Z54,4),Z55/$S53)</f>
        <v>0</v>
      </c>
      <c r="AA53" s="189" cm="1">
        <f t="array" aca="1" ref="AA53" ca="1">IF(AND($R53=2,ACOMPANHAMENTO="BM"),ROUND(AA54,4),AA55/$S53)</f>
        <v>0</v>
      </c>
      <c r="AB53" s="189" cm="1">
        <f t="array" aca="1" ref="AB53" ca="1">IF(AND($R53=2,ACOMPANHAMENTO="BM"),ROUND(AB54,4),AB55/$S53)</f>
        <v>0</v>
      </c>
      <c r="AC53" s="189" cm="1">
        <f t="array" aca="1" ref="AC53" ca="1">IF(AND($R53=2,ACOMPANHAMENTO="BM"),ROUND(AC54,4),AC55/$S53)</f>
        <v>0</v>
      </c>
      <c r="AD53" s="189" cm="1">
        <f t="array" aca="1" ref="AD53" ca="1">IF(AND($R53=2,ACOMPANHAMENTO="BM"),ROUND(AD54,4),AD55/$S53)</f>
        <v>0</v>
      </c>
      <c r="AE53" s="189" cm="1">
        <f t="array" aca="1" ref="AE53" ca="1">IF(AND($R53=2,ACOMPANHAMENTO="BM"),ROUND(AE54,4),AE55/$S53)</f>
        <v>0</v>
      </c>
      <c r="AF53" s="189" cm="1">
        <f t="array" aca="1" ref="AF53" ca="1">IF(AND($R53=2,ACOMPANHAMENTO="BM"),ROUND(AF54,4),AF55/$S53)</f>
        <v>0</v>
      </c>
      <c r="AG53" s="535"/>
    </row>
    <row r="54" spans="1:33" ht="12.75" customHeight="1" x14ac:dyDescent="0.2">
      <c r="E54" s="590"/>
      <c r="F54" s="186">
        <f ca="1">IF(ISERROR(F53),IF(1+COUNTIF($M$13:OFFSET(M53,-1,0),1)&lt;=MAX(QCI!$D$13:$D$24),1+COUNTIF($M$13:OFFSET(M53,-1,0),1),-1),0)</f>
        <v>0</v>
      </c>
      <c r="G54" s="186" t="str" cm="1">
        <f t="array" aca="1" ref="G54" ca="1">IF(ACOMPANHAMENTO="BM",OFFSET(G54,-1,0),"")</f>
        <v/>
      </c>
      <c r="H54" s="197" t="str" cm="1">
        <f t="array" aca="1" ref="H54" ca="1">IF(OR(S53=0,S53=""),"vazia",IF(AND(OR(ACOMPANHAMENTO="PLE",$R53&lt;&gt;2),$F54=0),"calculada","--&gt;"))</f>
        <v>vazia</v>
      </c>
      <c r="I54" s="198"/>
      <c r="J54" s="199" t="str">
        <f t="shared" ref="J54" ca="1" si="84">IF(AND(H53&lt;&gt;0,ISNUMBER(H53)),"PREENCHA ESTA LINHA --&gt;","")</f>
        <v/>
      </c>
      <c r="K54" s="199"/>
      <c r="L54" s="199"/>
      <c r="M54" s="200"/>
      <c r="N54" s="200"/>
      <c r="O54" s="200"/>
      <c r="P54" s="200"/>
      <c r="Q54" s="200"/>
      <c r="R54" s="200"/>
      <c r="S54" s="201"/>
      <c r="T54" s="202"/>
      <c r="U54" s="590"/>
      <c r="V54" s="590"/>
      <c r="W54" s="590">
        <v>0.5</v>
      </c>
      <c r="X54" s="590">
        <v>0.2</v>
      </c>
      <c r="Y54" s="590">
        <v>0.3</v>
      </c>
      <c r="Z54" s="590"/>
      <c r="AA54" s="590"/>
      <c r="AB54" s="590"/>
      <c r="AC54" s="590"/>
      <c r="AD54" s="590"/>
      <c r="AE54" s="590"/>
      <c r="AF54" s="590"/>
      <c r="AG54" s="535"/>
    </row>
    <row r="55" spans="1:33" ht="12.75" customHeight="1" x14ac:dyDescent="0.2">
      <c r="D55" s="534"/>
      <c r="E55" s="203" cm="1">
        <f t="array" aca="1" ref="E55" ca="1">IF($R53=2,
         IF(AND(ACOMPANHAMENTO="PLE",ISNUMBER($F53)),
                SUMIF((OFFSET(CÁLCULO!$AM$15:$AW$15,$F53,0,OFFSET(ORÇAMENTO!$D$15,CRONO!$F53,0))),CRONO!E$12,OFFSET(CÁLCULO!$AB$15:$AL$15,$F53,0,OFFSET(ORÇAMENTO!$D$15,CRONO!$F53,0)))
                +IF(AND($F55&lt;&gt;"",$F55&lt;&gt;0),
                        SUMIF(CÁLCULO!$AM$15:$AW$405,CRONO!E$12,CÁLCULO!$AB$15:$AL$405)/(ORÇAMENTO!$X$15-_xlfn.SINGLE(CÁLCULO.TotalAdmLocal))*CRONO!$F55,
                        0),
                 E54*$S53),
          SUMIF(OFFSET($S55,1,0,$R53-2),($M53+1)&amp;"$",OFFSET(E55,1,0,$R53-2)))</f>
        <v>0</v>
      </c>
      <c r="F55" s="186" t="str">
        <f ca="1">IF(OR($R53&lt;&gt;2,AUTOEVENTO&lt;&gt;"manual",$F54&gt;0),"",
        IF(Import.TipoArredondamento="Tradicional",
              SUMIF(OFFSET(CÁLCULO!$M$15,CRONO!$F53,0,OFFSET(ORÇAMENTO!$D$15,CRONO!$F53,0)),1,OFFSET(ORÇAMENTO!$X$15,CRONO!$F53,0,OFFSET(ORÇAMENTO!$D$15,CRONO!$F53,0))),
              0))</f>
        <v/>
      </c>
      <c r="H55" s="204"/>
      <c r="S55" s="205" t="str">
        <f t="shared" ref="S55" ca="1" si="85">M53&amp;"$"</f>
        <v>2$</v>
      </c>
      <c r="T55" s="206"/>
      <c r="U55" s="203" cm="1">
        <f t="array" aca="1" ref="U55" ca="1">IF($R53=2,
         IF(AND(ACOMPANHAMENTO="PLE",ISNUMBER($F53)),
                SUMIF((OFFSET(CÁLCULO!$AM$15:$AW$15,$F53,0,OFFSET(ORÇAMENTO!$D$15,CRONO!$F53,0))),CRONO!U$12,OFFSET(CÁLCULO!$AB$15:$AL$15,$F53,0,OFFSET(ORÇAMENTO!$D$15,CRONO!$F53,0)))
                +IF(AND($F55&lt;&gt;"",$F55&lt;&gt;0),
                        SUMIF(CÁLCULO!$AM$15:$AW$405,CRONO!U$12,CÁLCULO!$AB$15:$AL$405)/(ORÇAMENTO!$X$15-_xlfn.SINGLE(CÁLCULO.TotalAdmLocal))*CRONO!$F55,
                        0),
                 U54*$S53),
          SUMIF(OFFSET($S55,1,0,$R53-2),($M53+1)&amp;"$",OFFSET(U55,1,0,$R53-2)))</f>
        <v>0</v>
      </c>
      <c r="V55" s="203" cm="1">
        <f t="array" aca="1" ref="V55" ca="1">IF($R53=2,
         IF(AND(ACOMPANHAMENTO="PLE",ISNUMBER($F53)),
                SUMIF((OFFSET(CÁLCULO!$AM$15:$AW$15,$F53,0,OFFSET(ORÇAMENTO!$D$15,CRONO!$F53,0))),CRONO!V$12,OFFSET(CÁLCULO!$AB$15:$AL$15,$F53,0,OFFSET(ORÇAMENTO!$D$15,CRONO!$F53,0)))
                +IF(AND($F55&lt;&gt;"",$F55&lt;&gt;0),
                        SUMIF(CÁLCULO!$AM$15:$AW$405,CRONO!V$12,CÁLCULO!$AB$15:$AL$405)/(ORÇAMENTO!$X$15-_xlfn.SINGLE(CÁLCULO.TotalAdmLocal))*CRONO!$F55,
                        0),
                 V54*$S53),
          SUMIF(OFFSET($S55,1,0,$R53-2),($M53+1)&amp;"$",OFFSET(V55,1,0,$R53-2)))</f>
        <v>0</v>
      </c>
      <c r="W55" s="203" cm="1">
        <f t="array" aca="1" ref="W55" ca="1">IF($R53=2,
         IF(AND(ACOMPANHAMENTO="PLE",ISNUMBER($F53)),
                SUMIF((OFFSET(CÁLCULO!$AM$15:$AW$15,$F53,0,OFFSET(ORÇAMENTO!$D$15,CRONO!$F53,0))),CRONO!W$12,OFFSET(CÁLCULO!$AB$15:$AL$15,$F53,0,OFFSET(ORÇAMENTO!$D$15,CRONO!$F53,0)))
                +IF(AND($F55&lt;&gt;"",$F55&lt;&gt;0),
                        SUMIF(CÁLCULO!$AM$15:$AW$405,CRONO!W$12,CÁLCULO!$AB$15:$AL$405)/(ORÇAMENTO!$X$15-_xlfn.SINGLE(CÁLCULO.TotalAdmLocal))*CRONO!$F55,
                        0),
                 W54*$S53),
          SUMIF(OFFSET($S55,1,0,$R53-2),($M53+1)&amp;"$",OFFSET(W55,1,0,$R53-2)))</f>
        <v>0</v>
      </c>
      <c r="X55" s="203" cm="1">
        <f t="array" aca="1" ref="X55" ca="1">IF($R53=2,
         IF(AND(ACOMPANHAMENTO="PLE",ISNUMBER($F53)),
                SUMIF((OFFSET(CÁLCULO!$AM$15:$AW$15,$F53,0,OFFSET(ORÇAMENTO!$D$15,CRONO!$F53,0))),CRONO!X$12,OFFSET(CÁLCULO!$AB$15:$AL$15,$F53,0,OFFSET(ORÇAMENTO!$D$15,CRONO!$F53,0)))
                +IF(AND($F55&lt;&gt;"",$F55&lt;&gt;0),
                        SUMIF(CÁLCULO!$AM$15:$AW$405,CRONO!X$12,CÁLCULO!$AB$15:$AL$405)/(ORÇAMENTO!$X$15-_xlfn.SINGLE(CÁLCULO.TotalAdmLocal))*CRONO!$F55,
                        0),
                 X54*$S53),
          SUMIF(OFFSET($S55,1,0,$R53-2),($M53+1)&amp;"$",OFFSET(X55,1,0,$R53-2)))</f>
        <v>0</v>
      </c>
      <c r="Y55" s="203" cm="1">
        <f t="array" aca="1" ref="Y55" ca="1">IF($R53=2,
         IF(AND(ACOMPANHAMENTO="PLE",ISNUMBER($F53)),
                SUMIF((OFFSET(CÁLCULO!$AM$15:$AW$15,$F53,0,OFFSET(ORÇAMENTO!$D$15,CRONO!$F53,0))),CRONO!Y$12,OFFSET(CÁLCULO!$AB$15:$AL$15,$F53,0,OFFSET(ORÇAMENTO!$D$15,CRONO!$F53,0)))
                +IF(AND($F55&lt;&gt;"",$F55&lt;&gt;0),
                        SUMIF(CÁLCULO!$AM$15:$AW$405,CRONO!Y$12,CÁLCULO!$AB$15:$AL$405)/(ORÇAMENTO!$X$15-_xlfn.SINGLE(CÁLCULO.TotalAdmLocal))*CRONO!$F55,
                        0),
                 Y54*$S53),
          SUMIF(OFFSET($S55,1,0,$R53-2),($M53+1)&amp;"$",OFFSET(Y55,1,0,$R53-2)))</f>
        <v>0</v>
      </c>
      <c r="Z55" s="203" cm="1">
        <f t="array" aca="1" ref="Z55" ca="1">IF($R53=2,
         IF(AND(ACOMPANHAMENTO="PLE",ISNUMBER($F53)),
                SUMIF((OFFSET(CÁLCULO!$AM$15:$AW$15,$F53,0,OFFSET(ORÇAMENTO!$D$15,CRONO!$F53,0))),CRONO!Z$12,OFFSET(CÁLCULO!$AB$15:$AL$15,$F53,0,OFFSET(ORÇAMENTO!$D$15,CRONO!$F53,0)))
                +IF(AND($F55&lt;&gt;"",$F55&lt;&gt;0),
                        SUMIF(CÁLCULO!$AM$15:$AW$405,CRONO!Z$12,CÁLCULO!$AB$15:$AL$405)/(ORÇAMENTO!$X$15-_xlfn.SINGLE(CÁLCULO.TotalAdmLocal))*CRONO!$F55,
                        0),
                 Z54*$S53),
          SUMIF(OFFSET($S55,1,0,$R53-2),($M53+1)&amp;"$",OFFSET(Z55,1,0,$R53-2)))</f>
        <v>0</v>
      </c>
      <c r="AA55" s="203" cm="1">
        <f t="array" aca="1" ref="AA55" ca="1">IF($R53=2,
         IF(AND(ACOMPANHAMENTO="PLE",ISNUMBER($F53)),
                SUMIF((OFFSET(CÁLCULO!$AM$15:$AW$15,$F53,0,OFFSET(ORÇAMENTO!$D$15,CRONO!$F53,0))),CRONO!AA$12,OFFSET(CÁLCULO!$AB$15:$AL$15,$F53,0,OFFSET(ORÇAMENTO!$D$15,CRONO!$F53,0)))
                +IF(AND($F55&lt;&gt;"",$F55&lt;&gt;0),
                        SUMIF(CÁLCULO!$AM$15:$AW$405,CRONO!AA$12,CÁLCULO!$AB$15:$AL$405)/(ORÇAMENTO!$X$15-_xlfn.SINGLE(CÁLCULO.TotalAdmLocal))*CRONO!$F55,
                        0),
                 AA54*$S53),
          SUMIF(OFFSET($S55,1,0,$R53-2),($M53+1)&amp;"$",OFFSET(AA55,1,0,$R53-2)))</f>
        <v>0</v>
      </c>
      <c r="AB55" s="203" cm="1">
        <f t="array" aca="1" ref="AB55" ca="1">IF($R53=2,
         IF(AND(ACOMPANHAMENTO="PLE",ISNUMBER($F53)),
                SUMIF((OFFSET(CÁLCULO!$AM$15:$AW$15,$F53,0,OFFSET(ORÇAMENTO!$D$15,CRONO!$F53,0))),CRONO!AB$12,OFFSET(CÁLCULO!$AB$15:$AL$15,$F53,0,OFFSET(ORÇAMENTO!$D$15,CRONO!$F53,0)))
                +IF(AND($F55&lt;&gt;"",$F55&lt;&gt;0),
                        SUMIF(CÁLCULO!$AM$15:$AW$405,CRONO!AB$12,CÁLCULO!$AB$15:$AL$405)/(ORÇAMENTO!$X$15-_xlfn.SINGLE(CÁLCULO.TotalAdmLocal))*CRONO!$F55,
                        0),
                 AB54*$S53),
          SUMIF(OFFSET($S55,1,0,$R53-2),($M53+1)&amp;"$",OFFSET(AB55,1,0,$R53-2)))</f>
        <v>0</v>
      </c>
      <c r="AC55" s="203" cm="1">
        <f t="array" aca="1" ref="AC55" ca="1">IF($R53=2,
         IF(AND(ACOMPANHAMENTO="PLE",ISNUMBER($F53)),
                SUMIF((OFFSET(CÁLCULO!$AM$15:$AW$15,$F53,0,OFFSET(ORÇAMENTO!$D$15,CRONO!$F53,0))),CRONO!AC$12,OFFSET(CÁLCULO!$AB$15:$AL$15,$F53,0,OFFSET(ORÇAMENTO!$D$15,CRONO!$F53,0)))
                +IF(AND($F55&lt;&gt;"",$F55&lt;&gt;0),
                        SUMIF(CÁLCULO!$AM$15:$AW$405,CRONO!AC$12,CÁLCULO!$AB$15:$AL$405)/(ORÇAMENTO!$X$15-_xlfn.SINGLE(CÁLCULO.TotalAdmLocal))*CRONO!$F55,
                        0),
                 AC54*$S53),
          SUMIF(OFFSET($S55,1,0,$R53-2),($M53+1)&amp;"$",OFFSET(AC55,1,0,$R53-2)))</f>
        <v>0</v>
      </c>
      <c r="AD55" s="203" cm="1">
        <f t="array" aca="1" ref="AD55" ca="1">IF($R53=2,
         IF(AND(ACOMPANHAMENTO="PLE",ISNUMBER($F53)),
                SUMIF((OFFSET(CÁLCULO!$AM$15:$AW$15,$F53,0,OFFSET(ORÇAMENTO!$D$15,CRONO!$F53,0))),CRONO!AD$12,OFFSET(CÁLCULO!$AB$15:$AL$15,$F53,0,OFFSET(ORÇAMENTO!$D$15,CRONO!$F53,0)))
                +IF(AND($F55&lt;&gt;"",$F55&lt;&gt;0),
                        SUMIF(CÁLCULO!$AM$15:$AW$405,CRONO!AD$12,CÁLCULO!$AB$15:$AL$405)/(ORÇAMENTO!$X$15-_xlfn.SINGLE(CÁLCULO.TotalAdmLocal))*CRONO!$F55,
                        0),
                 AD54*$S53),
          SUMIF(OFFSET($S55,1,0,$R53-2),($M53+1)&amp;"$",OFFSET(AD55,1,0,$R53-2)))</f>
        <v>0</v>
      </c>
      <c r="AE55" s="203" cm="1">
        <f t="array" aca="1" ref="AE55" ca="1">IF($R53=2,
         IF(AND(ACOMPANHAMENTO="PLE",ISNUMBER($F53)),
                SUMIF((OFFSET(CÁLCULO!$AM$15:$AW$15,$F53,0,OFFSET(ORÇAMENTO!$D$15,CRONO!$F53,0))),CRONO!AE$12,OFFSET(CÁLCULO!$AB$15:$AL$15,$F53,0,OFFSET(ORÇAMENTO!$D$15,CRONO!$F53,0)))
                +IF(AND($F55&lt;&gt;"",$F55&lt;&gt;0),
                        SUMIF(CÁLCULO!$AM$15:$AW$405,CRONO!AE$12,CÁLCULO!$AB$15:$AL$405)/(ORÇAMENTO!$X$15-_xlfn.SINGLE(CÁLCULO.TotalAdmLocal))*CRONO!$F55,
                        0),
                 AE54*$S53),
          SUMIF(OFFSET($S55,1,0,$R53-2),($M53+1)&amp;"$",OFFSET(AE55,1,0,$R53-2)))</f>
        <v>0</v>
      </c>
      <c r="AF55" s="203" cm="1">
        <f t="array" aca="1" ref="AF55" ca="1">IF($R53=2,
         IF(AND(ACOMPANHAMENTO="PLE",ISNUMBER($F53)),
                SUMIF((OFFSET(CÁLCULO!$AM$15:$AW$15,$F53,0,OFFSET(ORÇAMENTO!$D$15,CRONO!$F53,0))),CRONO!AF$12,OFFSET(CÁLCULO!$AB$15:$AL$15,$F53,0,OFFSET(ORÇAMENTO!$D$15,CRONO!$F53,0)))
                +IF(AND($F55&lt;&gt;"",$F55&lt;&gt;0),
                        SUMIF(CÁLCULO!$AM$15:$AW$405,CRONO!AF$12,CÁLCULO!$AB$15:$AL$405)/(ORÇAMENTO!$X$15-_xlfn.SINGLE(CÁLCULO.TotalAdmLocal))*CRONO!$F55,
                        0),
                 AF54*$S53),
          SUMIF(OFFSET($S55,1,0,$R53-2),($M53+1)&amp;"$",OFFSET(AF55,1,0,$R53-2)))</f>
        <v>0</v>
      </c>
      <c r="AG55" s="535"/>
    </row>
    <row r="56" spans="1:33" x14ac:dyDescent="0.2">
      <c r="A56" s="187" t="e">
        <f t="shared" ref="A56" ca="1" si="86">IF($M56&gt;1,_xlfn.CONCAT($I56," ",$J56),"")</f>
        <v>#NAME?</v>
      </c>
      <c r="B56" s="186">
        <f t="shared" ref="B56" ca="1" si="87">OFFSET(B56,-3,0)+1</f>
        <v>15</v>
      </c>
      <c r="C56" s="186">
        <f ca="1">IF($R56&lt;&gt;2,0,IF($S56=0,1,IF(F57&gt;0,OFFSET(QCI!$M$13,SUBSTITUTE(F57,".",""),0),OFFSET(ORÇAMENTO!$AA$15,CRONO!$F56,0))/$S56))</f>
        <v>1</v>
      </c>
      <c r="D56" s="186">
        <f ca="1">IF($R56&lt;&gt;2,0,IF($S56=0,1,IF(F57&gt;0,OFFSET(QCI!$N$13,SUBSTITUTE(F57,".",""),0),OFFSET(ORÇAMENTO!$AB$15,CRONO!$F56,0))/$S56))</f>
        <v>1</v>
      </c>
      <c r="E56" s="189" cm="1">
        <f t="array" aca="1" ref="E56" ca="1">IF(AND($R56=2,ACOMPANHAMENTO="BM"),ROUND(E57,4),E58/$S56)</f>
        <v>0</v>
      </c>
      <c r="F56" s="186">
        <f ca="1">IF(B56&lt;=ORÇAMENTO.MáximoListaCrono,MATCH(B56,ORÇAMENTO.ListaCrono,0),NA())</f>
        <v>232</v>
      </c>
      <c r="G56" s="186" t="str">
        <f t="shared" ref="G56" ca="1" si="88">IF(AND($F57&lt;&gt;-1,$S56&gt;0),"F","")</f>
        <v/>
      </c>
      <c r="H56" s="190" t="str" cm="1">
        <f t="array" aca="1" ref="H56" ca="1">IF(OR(S56=0,S56=""),"Linha",IF(AND(OR(ACOMPANHAMENTO="PLE",$R56&lt;&gt;2),$F57=0),"Linha",ROUND(1-SUM(U56:AG56),4)))</f>
        <v>Linha</v>
      </c>
      <c r="I56" s="191" t="str">
        <f ca="1">IF($F57=0,OFFSET(ORÇAMENTO!O$15,$F56,0),IF($F57&lt;&gt;-1,OFFSET(QCI!$D$13,$F57,0),""))</f>
        <v>1.14.</v>
      </c>
      <c r="J56" s="192" t="str">
        <f ca="1">IF($F57=0,OFFSET(ORÇAMENTO!R$15,$F56,0),IF($F57&lt;&gt;-1,OFFSET(QCI!$G$13,$F57,0),""))</f>
        <v>ESQUADRIAS E VIDROS</v>
      </c>
      <c r="K56" s="192"/>
      <c r="L56" s="192"/>
      <c r="M56" s="193">
        <f ca="1">IF($F57=0,OFFSET(ORÇAMENTO!C$15,$F56,0),1)</f>
        <v>2</v>
      </c>
      <c r="N56" s="194">
        <f ca="1">IF($F57=-1,0,IF(N$13&lt;=$M56,IF(ISERROR(MATCH(N$13,OFFSET($M56,1,0,ROW($M$89)-ROW($M56)-1),0)),ROW($M$89)-ROW($M56)-1,MATCH(N$13,OFFSET($M56,1,0,ROW($M$89)-ROW($M56)-1),0)-1),0))</f>
        <v>32</v>
      </c>
      <c r="O56" s="194">
        <f ca="1">IF($F57=-1,0,IF(O$13&lt;=$M56,IF(ISERROR(MATCH(O$13,OFFSET($M56,1,0,ROW($M$89)-ROW($M56)-1),0)),ROW($M$89)-ROW($M56)-1,MATCH(O$13,OFFSET($M56,1,0,ROW($M$89)-ROW($M56)-1),0)-1),0))</f>
        <v>2</v>
      </c>
      <c r="P56" s="194">
        <f ca="1">IF($F57=-1,0,IF(P$13&lt;=$M56,IF(ISERROR(MATCH(P$13,OFFSET($M56,1,0,ROW($M$89)-ROW($M56)-1),0)),ROW($M$89)-ROW($M56)-1,MATCH(P$13,OFFSET($M56,1,0,ROW($M$89)-ROW($M56)-1),0)-1),0))</f>
        <v>0</v>
      </c>
      <c r="Q56" s="194">
        <f ca="1">IF($F57=-1,0,IF(Q$13&lt;=$M56,IF(ISERROR(MATCH(Q$13,OFFSET($M56,1,0,ROW($M$89)-ROW($M56)-1),0)),ROW($M$89)-ROW($M56)-1,MATCH(Q$13,OFFSET($M56,1,0,ROW($M$89)-ROW($M56)-1),0)-1),0))</f>
        <v>0</v>
      </c>
      <c r="R56" s="194">
        <f t="shared" ref="R56" ca="1" si="89">MIN(OFFSET(M56,0,1,,M56))</f>
        <v>2</v>
      </c>
      <c r="S56" s="195">
        <f ca="1">IF($F57=0,OFFSET(ORÇAMENTO!X$15,$F56,0),IF($F57&lt;&gt;-1,OFFSET(QCI!$O$13,$F57,0),""))</f>
        <v>0</v>
      </c>
      <c r="T56" s="196" t="s">
        <v>787</v>
      </c>
      <c r="U56" s="189" cm="1">
        <f t="array" aca="1" ref="U56" ca="1">IF(AND($R56=2,ACOMPANHAMENTO="BM"),ROUND(U57,4),U58/$S56)</f>
        <v>0</v>
      </c>
      <c r="V56" s="189" cm="1">
        <f t="array" aca="1" ref="V56" ca="1">IF(AND($R56=2,ACOMPANHAMENTO="BM"),ROUND(V57,4),V58/$S56)</f>
        <v>0</v>
      </c>
      <c r="W56" s="189" cm="1">
        <f t="array" aca="1" ref="W56" ca="1">IF(AND($R56=2,ACOMPANHAMENTO="BM"),ROUND(W57,4),W58/$S56)</f>
        <v>0.5</v>
      </c>
      <c r="X56" s="189" cm="1">
        <f t="array" aca="1" ref="X56" ca="1">IF(AND($R56=2,ACOMPANHAMENTO="BM"),ROUND(X57,4),X58/$S56)</f>
        <v>0.5</v>
      </c>
      <c r="Y56" s="189" cm="1">
        <f t="array" aca="1" ref="Y56" ca="1">IF(AND($R56=2,ACOMPANHAMENTO="BM"),ROUND(Y57,4),Y58/$S56)</f>
        <v>0</v>
      </c>
      <c r="Z56" s="189" cm="1">
        <f t="array" aca="1" ref="Z56" ca="1">IF(AND($R56=2,ACOMPANHAMENTO="BM"),ROUND(Z57,4),Z58/$S56)</f>
        <v>0</v>
      </c>
      <c r="AA56" s="189" cm="1">
        <f t="array" aca="1" ref="AA56" ca="1">IF(AND($R56=2,ACOMPANHAMENTO="BM"),ROUND(AA57,4),AA58/$S56)</f>
        <v>0</v>
      </c>
      <c r="AB56" s="189" cm="1">
        <f t="array" aca="1" ref="AB56" ca="1">IF(AND($R56=2,ACOMPANHAMENTO="BM"),ROUND(AB57,4),AB58/$S56)</f>
        <v>0</v>
      </c>
      <c r="AC56" s="189" cm="1">
        <f t="array" aca="1" ref="AC56" ca="1">IF(AND($R56=2,ACOMPANHAMENTO="BM"),ROUND(AC57,4),AC58/$S56)</f>
        <v>0</v>
      </c>
      <c r="AD56" s="189" cm="1">
        <f t="array" aca="1" ref="AD56" ca="1">IF(AND($R56=2,ACOMPANHAMENTO="BM"),ROUND(AD57,4),AD58/$S56)</f>
        <v>0</v>
      </c>
      <c r="AE56" s="189" cm="1">
        <f t="array" aca="1" ref="AE56" ca="1">IF(AND($R56=2,ACOMPANHAMENTO="BM"),ROUND(AE57,4),AE58/$S56)</f>
        <v>0</v>
      </c>
      <c r="AF56" s="189" cm="1">
        <f t="array" aca="1" ref="AF56" ca="1">IF(AND($R56=2,ACOMPANHAMENTO="BM"),ROUND(AF57,4),AF58/$S56)</f>
        <v>0</v>
      </c>
      <c r="AG56" s="535"/>
    </row>
    <row r="57" spans="1:33" ht="12.75" customHeight="1" x14ac:dyDescent="0.2">
      <c r="E57" s="590"/>
      <c r="F57" s="186">
        <f ca="1">IF(ISERROR(F56),IF(1+COUNTIF($M$13:OFFSET(M56,-1,0),1)&lt;=MAX(QCI!$D$13:$D$24),1+COUNTIF($M$13:OFFSET(M56,-1,0),1),-1),0)</f>
        <v>0</v>
      </c>
      <c r="G57" s="186" t="str" cm="1">
        <f t="array" aca="1" ref="G57" ca="1">IF(ACOMPANHAMENTO="BM",OFFSET(G57,-1,0),"")</f>
        <v/>
      </c>
      <c r="H57" s="197" t="str" cm="1">
        <f t="array" aca="1" ref="H57" ca="1">IF(OR(S56=0,S56=""),"vazia",IF(AND(OR(ACOMPANHAMENTO="PLE",$R56&lt;&gt;2),$F57=0),"calculada","--&gt;"))</f>
        <v>vazia</v>
      </c>
      <c r="I57" s="198"/>
      <c r="J57" s="199" t="str">
        <f t="shared" ref="J57" ca="1" si="90">IF(AND(H56&lt;&gt;0,ISNUMBER(H56)),"PREENCHA ESTA LINHA --&gt;","")</f>
        <v/>
      </c>
      <c r="K57" s="199"/>
      <c r="L57" s="199"/>
      <c r="M57" s="200"/>
      <c r="N57" s="200"/>
      <c r="O57" s="200"/>
      <c r="P57" s="200"/>
      <c r="Q57" s="200"/>
      <c r="R57" s="200"/>
      <c r="S57" s="201"/>
      <c r="T57" s="202"/>
      <c r="U57" s="590"/>
      <c r="V57" s="590"/>
      <c r="W57" s="590">
        <v>0.5</v>
      </c>
      <c r="X57" s="590">
        <v>0.5</v>
      </c>
      <c r="Y57" s="590"/>
      <c r="Z57" s="590"/>
      <c r="AA57" s="590"/>
      <c r="AB57" s="590"/>
      <c r="AC57" s="590"/>
      <c r="AD57" s="590"/>
      <c r="AE57" s="590"/>
      <c r="AF57" s="590"/>
      <c r="AG57" s="535"/>
    </row>
    <row r="58" spans="1:33" ht="12.75" customHeight="1" x14ac:dyDescent="0.2">
      <c r="D58" s="534"/>
      <c r="E58" s="203" cm="1">
        <f t="array" aca="1" ref="E58" ca="1">IF($R56=2,
         IF(AND(ACOMPANHAMENTO="PLE",ISNUMBER($F56)),
                SUMIF((OFFSET(CÁLCULO!$AM$15:$AW$15,$F56,0,OFFSET(ORÇAMENTO!$D$15,CRONO!$F56,0))),CRONO!E$12,OFFSET(CÁLCULO!$AB$15:$AL$15,$F56,0,OFFSET(ORÇAMENTO!$D$15,CRONO!$F56,0)))
                +IF(AND($F58&lt;&gt;"",$F58&lt;&gt;0),
                        SUMIF(CÁLCULO!$AM$15:$AW$405,CRONO!E$12,CÁLCULO!$AB$15:$AL$405)/(ORÇAMENTO!$X$15-_xlfn.SINGLE(CÁLCULO.TotalAdmLocal))*CRONO!$F58,
                        0),
                 E57*$S56),
          SUMIF(OFFSET($S58,1,0,$R56-2),($M56+1)&amp;"$",OFFSET(E58,1,0,$R56-2)))</f>
        <v>0</v>
      </c>
      <c r="F58" s="186" t="str">
        <f ca="1">IF(OR($R56&lt;&gt;2,AUTOEVENTO&lt;&gt;"manual",$F57&gt;0),"",
        IF(Import.TipoArredondamento="Tradicional",
              SUMIF(OFFSET(CÁLCULO!$M$15,CRONO!$F56,0,OFFSET(ORÇAMENTO!$D$15,CRONO!$F56,0)),1,OFFSET(ORÇAMENTO!$X$15,CRONO!$F56,0,OFFSET(ORÇAMENTO!$D$15,CRONO!$F56,0))),
              0))</f>
        <v/>
      </c>
      <c r="H58" s="204"/>
      <c r="S58" s="205" t="str">
        <f t="shared" ref="S58" ca="1" si="91">M56&amp;"$"</f>
        <v>2$</v>
      </c>
      <c r="T58" s="206"/>
      <c r="U58" s="203" cm="1">
        <f t="array" aca="1" ref="U58" ca="1">IF($R56=2,
         IF(AND(ACOMPANHAMENTO="PLE",ISNUMBER($F56)),
                SUMIF((OFFSET(CÁLCULO!$AM$15:$AW$15,$F56,0,OFFSET(ORÇAMENTO!$D$15,CRONO!$F56,0))),CRONO!U$12,OFFSET(CÁLCULO!$AB$15:$AL$15,$F56,0,OFFSET(ORÇAMENTO!$D$15,CRONO!$F56,0)))
                +IF(AND($F58&lt;&gt;"",$F58&lt;&gt;0),
                        SUMIF(CÁLCULO!$AM$15:$AW$405,CRONO!U$12,CÁLCULO!$AB$15:$AL$405)/(ORÇAMENTO!$X$15-_xlfn.SINGLE(CÁLCULO.TotalAdmLocal))*CRONO!$F58,
                        0),
                 U57*$S56),
          SUMIF(OFFSET($S58,1,0,$R56-2),($M56+1)&amp;"$",OFFSET(U58,1,0,$R56-2)))</f>
        <v>0</v>
      </c>
      <c r="V58" s="203" cm="1">
        <f t="array" aca="1" ref="V58" ca="1">IF($R56=2,
         IF(AND(ACOMPANHAMENTO="PLE",ISNUMBER($F56)),
                SUMIF((OFFSET(CÁLCULO!$AM$15:$AW$15,$F56,0,OFFSET(ORÇAMENTO!$D$15,CRONO!$F56,0))),CRONO!V$12,OFFSET(CÁLCULO!$AB$15:$AL$15,$F56,0,OFFSET(ORÇAMENTO!$D$15,CRONO!$F56,0)))
                +IF(AND($F58&lt;&gt;"",$F58&lt;&gt;0),
                        SUMIF(CÁLCULO!$AM$15:$AW$405,CRONO!V$12,CÁLCULO!$AB$15:$AL$405)/(ORÇAMENTO!$X$15-_xlfn.SINGLE(CÁLCULO.TotalAdmLocal))*CRONO!$F58,
                        0),
                 V57*$S56),
          SUMIF(OFFSET($S58,1,0,$R56-2),($M56+1)&amp;"$",OFFSET(V58,1,0,$R56-2)))</f>
        <v>0</v>
      </c>
      <c r="W58" s="203" cm="1">
        <f t="array" aca="1" ref="W58" ca="1">IF($R56=2,
         IF(AND(ACOMPANHAMENTO="PLE",ISNUMBER($F56)),
                SUMIF((OFFSET(CÁLCULO!$AM$15:$AW$15,$F56,0,OFFSET(ORÇAMENTO!$D$15,CRONO!$F56,0))),CRONO!W$12,OFFSET(CÁLCULO!$AB$15:$AL$15,$F56,0,OFFSET(ORÇAMENTO!$D$15,CRONO!$F56,0)))
                +IF(AND($F58&lt;&gt;"",$F58&lt;&gt;0),
                        SUMIF(CÁLCULO!$AM$15:$AW$405,CRONO!W$12,CÁLCULO!$AB$15:$AL$405)/(ORÇAMENTO!$X$15-_xlfn.SINGLE(CÁLCULO.TotalAdmLocal))*CRONO!$F58,
                        0),
                 W57*$S56),
          SUMIF(OFFSET($S58,1,0,$R56-2),($M56+1)&amp;"$",OFFSET(W58,1,0,$R56-2)))</f>
        <v>0</v>
      </c>
      <c r="X58" s="203" cm="1">
        <f t="array" aca="1" ref="X58" ca="1">IF($R56=2,
         IF(AND(ACOMPANHAMENTO="PLE",ISNUMBER($F56)),
                SUMIF((OFFSET(CÁLCULO!$AM$15:$AW$15,$F56,0,OFFSET(ORÇAMENTO!$D$15,CRONO!$F56,0))),CRONO!X$12,OFFSET(CÁLCULO!$AB$15:$AL$15,$F56,0,OFFSET(ORÇAMENTO!$D$15,CRONO!$F56,0)))
                +IF(AND($F58&lt;&gt;"",$F58&lt;&gt;0),
                        SUMIF(CÁLCULO!$AM$15:$AW$405,CRONO!X$12,CÁLCULO!$AB$15:$AL$405)/(ORÇAMENTO!$X$15-_xlfn.SINGLE(CÁLCULO.TotalAdmLocal))*CRONO!$F58,
                        0),
                 X57*$S56),
          SUMIF(OFFSET($S58,1,0,$R56-2),($M56+1)&amp;"$",OFFSET(X58,1,0,$R56-2)))</f>
        <v>0</v>
      </c>
      <c r="Y58" s="203" cm="1">
        <f t="array" aca="1" ref="Y58" ca="1">IF($R56=2,
         IF(AND(ACOMPANHAMENTO="PLE",ISNUMBER($F56)),
                SUMIF((OFFSET(CÁLCULO!$AM$15:$AW$15,$F56,0,OFFSET(ORÇAMENTO!$D$15,CRONO!$F56,0))),CRONO!Y$12,OFFSET(CÁLCULO!$AB$15:$AL$15,$F56,0,OFFSET(ORÇAMENTO!$D$15,CRONO!$F56,0)))
                +IF(AND($F58&lt;&gt;"",$F58&lt;&gt;0),
                        SUMIF(CÁLCULO!$AM$15:$AW$405,CRONO!Y$12,CÁLCULO!$AB$15:$AL$405)/(ORÇAMENTO!$X$15-_xlfn.SINGLE(CÁLCULO.TotalAdmLocal))*CRONO!$F58,
                        0),
                 Y57*$S56),
          SUMIF(OFFSET($S58,1,0,$R56-2),($M56+1)&amp;"$",OFFSET(Y58,1,0,$R56-2)))</f>
        <v>0</v>
      </c>
      <c r="Z58" s="203" cm="1">
        <f t="array" aca="1" ref="Z58" ca="1">IF($R56=2,
         IF(AND(ACOMPANHAMENTO="PLE",ISNUMBER($F56)),
                SUMIF((OFFSET(CÁLCULO!$AM$15:$AW$15,$F56,0,OFFSET(ORÇAMENTO!$D$15,CRONO!$F56,0))),CRONO!Z$12,OFFSET(CÁLCULO!$AB$15:$AL$15,$F56,0,OFFSET(ORÇAMENTO!$D$15,CRONO!$F56,0)))
                +IF(AND($F58&lt;&gt;"",$F58&lt;&gt;0),
                        SUMIF(CÁLCULO!$AM$15:$AW$405,CRONO!Z$12,CÁLCULO!$AB$15:$AL$405)/(ORÇAMENTO!$X$15-_xlfn.SINGLE(CÁLCULO.TotalAdmLocal))*CRONO!$F58,
                        0),
                 Z57*$S56),
          SUMIF(OFFSET($S58,1,0,$R56-2),($M56+1)&amp;"$",OFFSET(Z58,1,0,$R56-2)))</f>
        <v>0</v>
      </c>
      <c r="AA58" s="203" cm="1">
        <f t="array" aca="1" ref="AA58" ca="1">IF($R56=2,
         IF(AND(ACOMPANHAMENTO="PLE",ISNUMBER($F56)),
                SUMIF((OFFSET(CÁLCULO!$AM$15:$AW$15,$F56,0,OFFSET(ORÇAMENTO!$D$15,CRONO!$F56,0))),CRONO!AA$12,OFFSET(CÁLCULO!$AB$15:$AL$15,$F56,0,OFFSET(ORÇAMENTO!$D$15,CRONO!$F56,0)))
                +IF(AND($F58&lt;&gt;"",$F58&lt;&gt;0),
                        SUMIF(CÁLCULO!$AM$15:$AW$405,CRONO!AA$12,CÁLCULO!$AB$15:$AL$405)/(ORÇAMENTO!$X$15-_xlfn.SINGLE(CÁLCULO.TotalAdmLocal))*CRONO!$F58,
                        0),
                 AA57*$S56),
          SUMIF(OFFSET($S58,1,0,$R56-2),($M56+1)&amp;"$",OFFSET(AA58,1,0,$R56-2)))</f>
        <v>0</v>
      </c>
      <c r="AB58" s="203" cm="1">
        <f t="array" aca="1" ref="AB58" ca="1">IF($R56=2,
         IF(AND(ACOMPANHAMENTO="PLE",ISNUMBER($F56)),
                SUMIF((OFFSET(CÁLCULO!$AM$15:$AW$15,$F56,0,OFFSET(ORÇAMENTO!$D$15,CRONO!$F56,0))),CRONO!AB$12,OFFSET(CÁLCULO!$AB$15:$AL$15,$F56,0,OFFSET(ORÇAMENTO!$D$15,CRONO!$F56,0)))
                +IF(AND($F58&lt;&gt;"",$F58&lt;&gt;0),
                        SUMIF(CÁLCULO!$AM$15:$AW$405,CRONO!AB$12,CÁLCULO!$AB$15:$AL$405)/(ORÇAMENTO!$X$15-_xlfn.SINGLE(CÁLCULO.TotalAdmLocal))*CRONO!$F58,
                        0),
                 AB57*$S56),
          SUMIF(OFFSET($S58,1,0,$R56-2),($M56+1)&amp;"$",OFFSET(AB58,1,0,$R56-2)))</f>
        <v>0</v>
      </c>
      <c r="AC58" s="203" cm="1">
        <f t="array" aca="1" ref="AC58" ca="1">IF($R56=2,
         IF(AND(ACOMPANHAMENTO="PLE",ISNUMBER($F56)),
                SUMIF((OFFSET(CÁLCULO!$AM$15:$AW$15,$F56,0,OFFSET(ORÇAMENTO!$D$15,CRONO!$F56,0))),CRONO!AC$12,OFFSET(CÁLCULO!$AB$15:$AL$15,$F56,0,OFFSET(ORÇAMENTO!$D$15,CRONO!$F56,0)))
                +IF(AND($F58&lt;&gt;"",$F58&lt;&gt;0),
                        SUMIF(CÁLCULO!$AM$15:$AW$405,CRONO!AC$12,CÁLCULO!$AB$15:$AL$405)/(ORÇAMENTO!$X$15-_xlfn.SINGLE(CÁLCULO.TotalAdmLocal))*CRONO!$F58,
                        0),
                 AC57*$S56),
          SUMIF(OFFSET($S58,1,0,$R56-2),($M56+1)&amp;"$",OFFSET(AC58,1,0,$R56-2)))</f>
        <v>0</v>
      </c>
      <c r="AD58" s="203" cm="1">
        <f t="array" aca="1" ref="AD58" ca="1">IF($R56=2,
         IF(AND(ACOMPANHAMENTO="PLE",ISNUMBER($F56)),
                SUMIF((OFFSET(CÁLCULO!$AM$15:$AW$15,$F56,0,OFFSET(ORÇAMENTO!$D$15,CRONO!$F56,0))),CRONO!AD$12,OFFSET(CÁLCULO!$AB$15:$AL$15,$F56,0,OFFSET(ORÇAMENTO!$D$15,CRONO!$F56,0)))
                +IF(AND($F58&lt;&gt;"",$F58&lt;&gt;0),
                        SUMIF(CÁLCULO!$AM$15:$AW$405,CRONO!AD$12,CÁLCULO!$AB$15:$AL$405)/(ORÇAMENTO!$X$15-_xlfn.SINGLE(CÁLCULO.TotalAdmLocal))*CRONO!$F58,
                        0),
                 AD57*$S56),
          SUMIF(OFFSET($S58,1,0,$R56-2),($M56+1)&amp;"$",OFFSET(AD58,1,0,$R56-2)))</f>
        <v>0</v>
      </c>
      <c r="AE58" s="203" cm="1">
        <f t="array" aca="1" ref="AE58" ca="1">IF($R56=2,
         IF(AND(ACOMPANHAMENTO="PLE",ISNUMBER($F56)),
                SUMIF((OFFSET(CÁLCULO!$AM$15:$AW$15,$F56,0,OFFSET(ORÇAMENTO!$D$15,CRONO!$F56,0))),CRONO!AE$12,OFFSET(CÁLCULO!$AB$15:$AL$15,$F56,0,OFFSET(ORÇAMENTO!$D$15,CRONO!$F56,0)))
                +IF(AND($F58&lt;&gt;"",$F58&lt;&gt;0),
                        SUMIF(CÁLCULO!$AM$15:$AW$405,CRONO!AE$12,CÁLCULO!$AB$15:$AL$405)/(ORÇAMENTO!$X$15-_xlfn.SINGLE(CÁLCULO.TotalAdmLocal))*CRONO!$F58,
                        0),
                 AE57*$S56),
          SUMIF(OFFSET($S58,1,0,$R56-2),($M56+1)&amp;"$",OFFSET(AE58,1,0,$R56-2)))</f>
        <v>0</v>
      </c>
      <c r="AF58" s="203" cm="1">
        <f t="array" aca="1" ref="AF58" ca="1">IF($R56=2,
         IF(AND(ACOMPANHAMENTO="PLE",ISNUMBER($F56)),
                SUMIF((OFFSET(CÁLCULO!$AM$15:$AW$15,$F56,0,OFFSET(ORÇAMENTO!$D$15,CRONO!$F56,0))),CRONO!AF$12,OFFSET(CÁLCULO!$AB$15:$AL$15,$F56,0,OFFSET(ORÇAMENTO!$D$15,CRONO!$F56,0)))
                +IF(AND($F58&lt;&gt;"",$F58&lt;&gt;0),
                        SUMIF(CÁLCULO!$AM$15:$AW$405,CRONO!AF$12,CÁLCULO!$AB$15:$AL$405)/(ORÇAMENTO!$X$15-_xlfn.SINGLE(CÁLCULO.TotalAdmLocal))*CRONO!$F58,
                        0),
                 AF57*$S56),
          SUMIF(OFFSET($S58,1,0,$R56-2),($M56+1)&amp;"$",OFFSET(AF58,1,0,$R56-2)))</f>
        <v>0</v>
      </c>
      <c r="AG58" s="535"/>
    </row>
    <row r="59" spans="1:33" x14ac:dyDescent="0.2">
      <c r="A59" s="187" t="e">
        <f t="shared" ref="A59" ca="1" si="92">IF($M59&gt;1,_xlfn.CONCAT($I59," ",$J59),"")</f>
        <v>#NAME?</v>
      </c>
      <c r="B59" s="186">
        <f t="shared" ref="B59" ca="1" si="93">OFFSET(B59,-3,0)+1</f>
        <v>16</v>
      </c>
      <c r="C59" s="186">
        <f ca="1">IF($R59&lt;&gt;2,0,IF($S59=0,1,IF(F60&gt;0,OFFSET(QCI!$M$13,SUBSTITUTE(F60,".",""),0),OFFSET(ORÇAMENTO!$AA$15,CRONO!$F59,0))/$S59))</f>
        <v>1</v>
      </c>
      <c r="D59" s="186">
        <f ca="1">IF($R59&lt;&gt;2,0,IF($S59=0,1,IF(F60&gt;0,OFFSET(QCI!$N$13,SUBSTITUTE(F60,".",""),0),OFFSET(ORÇAMENTO!$AB$15,CRONO!$F59,0))/$S59))</f>
        <v>1</v>
      </c>
      <c r="E59" s="189" cm="1">
        <f t="array" aca="1" ref="E59" ca="1">IF(AND($R59=2,ACOMPANHAMENTO="BM"),ROUND(E60,4),E61/$S59)</f>
        <v>0</v>
      </c>
      <c r="F59" s="186">
        <f ca="1">IF(B59&lt;=ORÇAMENTO.MáximoListaCrono,MATCH(B59,ORÇAMENTO.ListaCrono,0),NA())</f>
        <v>239</v>
      </c>
      <c r="G59" s="186" t="str">
        <f t="shared" ref="G59" ca="1" si="94">IF(AND($F60&lt;&gt;-1,$S59&gt;0),"F","")</f>
        <v/>
      </c>
      <c r="H59" s="190" t="str" cm="1">
        <f t="array" aca="1" ref="H59" ca="1">IF(OR(S59=0,S59=""),"Linha",IF(AND(OR(ACOMPANHAMENTO="PLE",$R59&lt;&gt;2),$F60=0),"Linha",ROUND(1-SUM(U59:AG59),4)))</f>
        <v>Linha</v>
      </c>
      <c r="I59" s="191" t="str">
        <f ca="1">IF($F60=0,OFFSET(ORÇAMENTO!O$15,$F59,0),IF($F60&lt;&gt;-1,OFFSET(QCI!$D$13,$F60,0),""))</f>
        <v>1.15.</v>
      </c>
      <c r="J59" s="192" t="str">
        <f ca="1">IF($F60=0,OFFSET(ORÇAMENTO!R$15,$F59,0),IF($F60&lt;&gt;-1,OFFSET(QCI!$G$13,$F60,0),""))</f>
        <v>INSTALAÇÕES PLUVIAIS</v>
      </c>
      <c r="K59" s="192"/>
      <c r="L59" s="192"/>
      <c r="M59" s="193">
        <f ca="1">IF($F60=0,OFFSET(ORÇAMENTO!C$15,$F59,0),1)</f>
        <v>2</v>
      </c>
      <c r="N59" s="194">
        <f ca="1">IF($F60=-1,0,IF(N$13&lt;=$M59,IF(ISERROR(MATCH(N$13,OFFSET($M59,1,0,ROW($M$89)-ROW($M59)-1),0)),ROW($M$89)-ROW($M59)-1,MATCH(N$13,OFFSET($M59,1,0,ROW($M$89)-ROW($M59)-1),0)-1),0))</f>
        <v>29</v>
      </c>
      <c r="O59" s="194">
        <f ca="1">IF($F60=-1,0,IF(O$13&lt;=$M59,IF(ISERROR(MATCH(O$13,OFFSET($M59,1,0,ROW($M$89)-ROW($M59)-1),0)),ROW($M$89)-ROW($M59)-1,MATCH(O$13,OFFSET($M59,1,0,ROW($M$89)-ROW($M59)-1),0)-1),0))</f>
        <v>2</v>
      </c>
      <c r="P59" s="194">
        <f ca="1">IF($F60=-1,0,IF(P$13&lt;=$M59,IF(ISERROR(MATCH(P$13,OFFSET($M59,1,0,ROW($M$89)-ROW($M59)-1),0)),ROW($M$89)-ROW($M59)-1,MATCH(P$13,OFFSET($M59,1,0,ROW($M$89)-ROW($M59)-1),0)-1),0))</f>
        <v>0</v>
      </c>
      <c r="Q59" s="194">
        <f ca="1">IF($F60=-1,0,IF(Q$13&lt;=$M59,IF(ISERROR(MATCH(Q$13,OFFSET($M59,1,0,ROW($M$89)-ROW($M59)-1),0)),ROW($M$89)-ROW($M59)-1,MATCH(Q$13,OFFSET($M59,1,0,ROW($M$89)-ROW($M59)-1),0)-1),0))</f>
        <v>0</v>
      </c>
      <c r="R59" s="194">
        <f t="shared" ref="R59" ca="1" si="95">MIN(OFFSET(M59,0,1,,M59))</f>
        <v>2</v>
      </c>
      <c r="S59" s="195">
        <f ca="1">IF($F60=0,OFFSET(ORÇAMENTO!X$15,$F59,0),IF($F60&lt;&gt;-1,OFFSET(QCI!$O$13,$F60,0),""))</f>
        <v>0</v>
      </c>
      <c r="T59" s="196" t="s">
        <v>787</v>
      </c>
      <c r="U59" s="189" cm="1">
        <f t="array" aca="1" ref="U59" ca="1">IF(AND($R59=2,ACOMPANHAMENTO="BM"),ROUND(U60,4),U61/$S59)</f>
        <v>0</v>
      </c>
      <c r="V59" s="189" cm="1">
        <f t="array" aca="1" ref="V59" ca="1">IF(AND($R59=2,ACOMPANHAMENTO="BM"),ROUND(V60,4),V61/$S59)</f>
        <v>0.1</v>
      </c>
      <c r="W59" s="189" cm="1">
        <f t="array" aca="1" ref="W59" ca="1">IF(AND($R59=2,ACOMPANHAMENTO="BM"),ROUND(W60,4),W61/$S59)</f>
        <v>0.5</v>
      </c>
      <c r="X59" s="189" cm="1">
        <f t="array" aca="1" ref="X59" ca="1">IF(AND($R59=2,ACOMPANHAMENTO="BM"),ROUND(X60,4),X61/$S59)</f>
        <v>0.2</v>
      </c>
      <c r="Y59" s="189" cm="1">
        <f t="array" aca="1" ref="Y59" ca="1">IF(AND($R59=2,ACOMPANHAMENTO="BM"),ROUND(Y60,4),Y61/$S59)</f>
        <v>0.1</v>
      </c>
      <c r="Z59" s="189" cm="1">
        <f t="array" aca="1" ref="Z59" ca="1">IF(AND($R59=2,ACOMPANHAMENTO="BM"),ROUND(Z60,4),Z61/$S59)</f>
        <v>0.1</v>
      </c>
      <c r="AA59" s="189" cm="1">
        <f t="array" aca="1" ref="AA59" ca="1">IF(AND($R59=2,ACOMPANHAMENTO="BM"),ROUND(AA60,4),AA61/$S59)</f>
        <v>0</v>
      </c>
      <c r="AB59" s="189" cm="1">
        <f t="array" aca="1" ref="AB59" ca="1">IF(AND($R59=2,ACOMPANHAMENTO="BM"),ROUND(AB60,4),AB61/$S59)</f>
        <v>0</v>
      </c>
      <c r="AC59" s="189" cm="1">
        <f t="array" aca="1" ref="AC59" ca="1">IF(AND($R59=2,ACOMPANHAMENTO="BM"),ROUND(AC60,4),AC61/$S59)</f>
        <v>0</v>
      </c>
      <c r="AD59" s="189" cm="1">
        <f t="array" aca="1" ref="AD59" ca="1">IF(AND($R59=2,ACOMPANHAMENTO="BM"),ROUND(AD60,4),AD61/$S59)</f>
        <v>0</v>
      </c>
      <c r="AE59" s="189" cm="1">
        <f t="array" aca="1" ref="AE59" ca="1">IF(AND($R59=2,ACOMPANHAMENTO="BM"),ROUND(AE60,4),AE61/$S59)</f>
        <v>0</v>
      </c>
      <c r="AF59" s="189" cm="1">
        <f t="array" aca="1" ref="AF59" ca="1">IF(AND($R59=2,ACOMPANHAMENTO="BM"),ROUND(AF60,4),AF61/$S59)</f>
        <v>0</v>
      </c>
      <c r="AG59" s="535"/>
    </row>
    <row r="60" spans="1:33" ht="12.75" customHeight="1" x14ac:dyDescent="0.2">
      <c r="E60" s="590"/>
      <c r="F60" s="186">
        <f ca="1">IF(ISERROR(F59),IF(1+COUNTIF($M$13:OFFSET(M59,-1,0),1)&lt;=MAX(QCI!$D$13:$D$24),1+COUNTIF($M$13:OFFSET(M59,-1,0),1),-1),0)</f>
        <v>0</v>
      </c>
      <c r="G60" s="186" t="str" cm="1">
        <f t="array" aca="1" ref="G60" ca="1">IF(ACOMPANHAMENTO="BM",OFFSET(G60,-1,0),"")</f>
        <v/>
      </c>
      <c r="H60" s="197" t="str" cm="1">
        <f t="array" aca="1" ref="H60" ca="1">IF(OR(S59=0,S59=""),"vazia",IF(AND(OR(ACOMPANHAMENTO="PLE",$R59&lt;&gt;2),$F60=0),"calculada","--&gt;"))</f>
        <v>vazia</v>
      </c>
      <c r="I60" s="198"/>
      <c r="J60" s="199" t="str">
        <f t="shared" ref="J60" ca="1" si="96">IF(AND(H59&lt;&gt;0,ISNUMBER(H59)),"PREENCHA ESTA LINHA --&gt;","")</f>
        <v/>
      </c>
      <c r="K60" s="199"/>
      <c r="L60" s="199"/>
      <c r="M60" s="200"/>
      <c r="N60" s="200"/>
      <c r="O60" s="200"/>
      <c r="P60" s="200"/>
      <c r="Q60" s="200"/>
      <c r="R60" s="200"/>
      <c r="S60" s="201"/>
      <c r="T60" s="202"/>
      <c r="U60" s="590"/>
      <c r="V60" s="590">
        <v>0.1</v>
      </c>
      <c r="W60" s="590">
        <v>0.5</v>
      </c>
      <c r="X60" s="590">
        <v>0.2</v>
      </c>
      <c r="Y60" s="590">
        <v>0.1</v>
      </c>
      <c r="Z60" s="590">
        <v>0.1</v>
      </c>
      <c r="AA60" s="590"/>
      <c r="AB60" s="590"/>
      <c r="AC60" s="590"/>
      <c r="AD60" s="590"/>
      <c r="AE60" s="590"/>
      <c r="AF60" s="590"/>
      <c r="AG60" s="535"/>
    </row>
    <row r="61" spans="1:33" ht="12.75" customHeight="1" x14ac:dyDescent="0.2">
      <c r="D61" s="534"/>
      <c r="E61" s="203" cm="1">
        <f t="array" aca="1" ref="E61" ca="1">IF($R59=2,
         IF(AND(ACOMPANHAMENTO="PLE",ISNUMBER($F59)),
                SUMIF((OFFSET(CÁLCULO!$AM$15:$AW$15,$F59,0,OFFSET(ORÇAMENTO!$D$15,CRONO!$F59,0))),CRONO!E$12,OFFSET(CÁLCULO!$AB$15:$AL$15,$F59,0,OFFSET(ORÇAMENTO!$D$15,CRONO!$F59,0)))
                +IF(AND($F61&lt;&gt;"",$F61&lt;&gt;0),
                        SUMIF(CÁLCULO!$AM$15:$AW$405,CRONO!E$12,CÁLCULO!$AB$15:$AL$405)/(ORÇAMENTO!$X$15-_xlfn.SINGLE(CÁLCULO.TotalAdmLocal))*CRONO!$F61,
                        0),
                 E60*$S59),
          SUMIF(OFFSET($S61,1,0,$R59-2),($M59+1)&amp;"$",OFFSET(E61,1,0,$R59-2)))</f>
        <v>0</v>
      </c>
      <c r="F61" s="186" t="str">
        <f ca="1">IF(OR($R59&lt;&gt;2,AUTOEVENTO&lt;&gt;"manual",$F60&gt;0),"",
        IF(Import.TipoArredondamento="Tradicional",
              SUMIF(OFFSET(CÁLCULO!$M$15,CRONO!$F59,0,OFFSET(ORÇAMENTO!$D$15,CRONO!$F59,0)),1,OFFSET(ORÇAMENTO!$X$15,CRONO!$F59,0,OFFSET(ORÇAMENTO!$D$15,CRONO!$F59,0))),
              0))</f>
        <v/>
      </c>
      <c r="H61" s="204"/>
      <c r="S61" s="205" t="str">
        <f t="shared" ref="S61" ca="1" si="97">M59&amp;"$"</f>
        <v>2$</v>
      </c>
      <c r="T61" s="206"/>
      <c r="U61" s="203" cm="1">
        <f t="array" aca="1" ref="U61" ca="1">IF($R59=2,
         IF(AND(ACOMPANHAMENTO="PLE",ISNUMBER($F59)),
                SUMIF((OFFSET(CÁLCULO!$AM$15:$AW$15,$F59,0,OFFSET(ORÇAMENTO!$D$15,CRONO!$F59,0))),CRONO!U$12,OFFSET(CÁLCULO!$AB$15:$AL$15,$F59,0,OFFSET(ORÇAMENTO!$D$15,CRONO!$F59,0)))
                +IF(AND($F61&lt;&gt;"",$F61&lt;&gt;0),
                        SUMIF(CÁLCULO!$AM$15:$AW$405,CRONO!U$12,CÁLCULO!$AB$15:$AL$405)/(ORÇAMENTO!$X$15-_xlfn.SINGLE(CÁLCULO.TotalAdmLocal))*CRONO!$F61,
                        0),
                 U60*$S59),
          SUMIF(OFFSET($S61,1,0,$R59-2),($M59+1)&amp;"$",OFFSET(U61,1,0,$R59-2)))</f>
        <v>0</v>
      </c>
      <c r="V61" s="203" cm="1">
        <f t="array" aca="1" ref="V61" ca="1">IF($R59=2,
         IF(AND(ACOMPANHAMENTO="PLE",ISNUMBER($F59)),
                SUMIF((OFFSET(CÁLCULO!$AM$15:$AW$15,$F59,0,OFFSET(ORÇAMENTO!$D$15,CRONO!$F59,0))),CRONO!V$12,OFFSET(CÁLCULO!$AB$15:$AL$15,$F59,0,OFFSET(ORÇAMENTO!$D$15,CRONO!$F59,0)))
                +IF(AND($F61&lt;&gt;"",$F61&lt;&gt;0),
                        SUMIF(CÁLCULO!$AM$15:$AW$405,CRONO!V$12,CÁLCULO!$AB$15:$AL$405)/(ORÇAMENTO!$X$15-_xlfn.SINGLE(CÁLCULO.TotalAdmLocal))*CRONO!$F61,
                        0),
                 V60*$S59),
          SUMIF(OFFSET($S61,1,0,$R59-2),($M59+1)&amp;"$",OFFSET(V61,1,0,$R59-2)))</f>
        <v>0</v>
      </c>
      <c r="W61" s="203" cm="1">
        <f t="array" aca="1" ref="W61" ca="1">IF($R59=2,
         IF(AND(ACOMPANHAMENTO="PLE",ISNUMBER($F59)),
                SUMIF((OFFSET(CÁLCULO!$AM$15:$AW$15,$F59,0,OFFSET(ORÇAMENTO!$D$15,CRONO!$F59,0))),CRONO!W$12,OFFSET(CÁLCULO!$AB$15:$AL$15,$F59,0,OFFSET(ORÇAMENTO!$D$15,CRONO!$F59,0)))
                +IF(AND($F61&lt;&gt;"",$F61&lt;&gt;0),
                        SUMIF(CÁLCULO!$AM$15:$AW$405,CRONO!W$12,CÁLCULO!$AB$15:$AL$405)/(ORÇAMENTO!$X$15-_xlfn.SINGLE(CÁLCULO.TotalAdmLocal))*CRONO!$F61,
                        0),
                 W60*$S59),
          SUMIF(OFFSET($S61,1,0,$R59-2),($M59+1)&amp;"$",OFFSET(W61,1,0,$R59-2)))</f>
        <v>0</v>
      </c>
      <c r="X61" s="203" cm="1">
        <f t="array" aca="1" ref="X61" ca="1">IF($R59=2,
         IF(AND(ACOMPANHAMENTO="PLE",ISNUMBER($F59)),
                SUMIF((OFFSET(CÁLCULO!$AM$15:$AW$15,$F59,0,OFFSET(ORÇAMENTO!$D$15,CRONO!$F59,0))),CRONO!X$12,OFFSET(CÁLCULO!$AB$15:$AL$15,$F59,0,OFFSET(ORÇAMENTO!$D$15,CRONO!$F59,0)))
                +IF(AND($F61&lt;&gt;"",$F61&lt;&gt;0),
                        SUMIF(CÁLCULO!$AM$15:$AW$405,CRONO!X$12,CÁLCULO!$AB$15:$AL$405)/(ORÇAMENTO!$X$15-_xlfn.SINGLE(CÁLCULO.TotalAdmLocal))*CRONO!$F61,
                        0),
                 X60*$S59),
          SUMIF(OFFSET($S61,1,0,$R59-2),($M59+1)&amp;"$",OFFSET(X61,1,0,$R59-2)))</f>
        <v>0</v>
      </c>
      <c r="Y61" s="203" cm="1">
        <f t="array" aca="1" ref="Y61" ca="1">IF($R59=2,
         IF(AND(ACOMPANHAMENTO="PLE",ISNUMBER($F59)),
                SUMIF((OFFSET(CÁLCULO!$AM$15:$AW$15,$F59,0,OFFSET(ORÇAMENTO!$D$15,CRONO!$F59,0))),CRONO!Y$12,OFFSET(CÁLCULO!$AB$15:$AL$15,$F59,0,OFFSET(ORÇAMENTO!$D$15,CRONO!$F59,0)))
                +IF(AND($F61&lt;&gt;"",$F61&lt;&gt;0),
                        SUMIF(CÁLCULO!$AM$15:$AW$405,CRONO!Y$12,CÁLCULO!$AB$15:$AL$405)/(ORÇAMENTO!$X$15-_xlfn.SINGLE(CÁLCULO.TotalAdmLocal))*CRONO!$F61,
                        0),
                 Y60*$S59),
          SUMIF(OFFSET($S61,1,0,$R59-2),($M59+1)&amp;"$",OFFSET(Y61,1,0,$R59-2)))</f>
        <v>0</v>
      </c>
      <c r="Z61" s="203" cm="1">
        <f t="array" aca="1" ref="Z61" ca="1">IF($R59=2,
         IF(AND(ACOMPANHAMENTO="PLE",ISNUMBER($F59)),
                SUMIF((OFFSET(CÁLCULO!$AM$15:$AW$15,$F59,0,OFFSET(ORÇAMENTO!$D$15,CRONO!$F59,0))),CRONO!Z$12,OFFSET(CÁLCULO!$AB$15:$AL$15,$F59,0,OFFSET(ORÇAMENTO!$D$15,CRONO!$F59,0)))
                +IF(AND($F61&lt;&gt;"",$F61&lt;&gt;0),
                        SUMIF(CÁLCULO!$AM$15:$AW$405,CRONO!Z$12,CÁLCULO!$AB$15:$AL$405)/(ORÇAMENTO!$X$15-_xlfn.SINGLE(CÁLCULO.TotalAdmLocal))*CRONO!$F61,
                        0),
                 Z60*$S59),
          SUMIF(OFFSET($S61,1,0,$R59-2),($M59+1)&amp;"$",OFFSET(Z61,1,0,$R59-2)))</f>
        <v>0</v>
      </c>
      <c r="AA61" s="203" cm="1">
        <f t="array" aca="1" ref="AA61" ca="1">IF($R59=2,
         IF(AND(ACOMPANHAMENTO="PLE",ISNUMBER($F59)),
                SUMIF((OFFSET(CÁLCULO!$AM$15:$AW$15,$F59,0,OFFSET(ORÇAMENTO!$D$15,CRONO!$F59,0))),CRONO!AA$12,OFFSET(CÁLCULO!$AB$15:$AL$15,$F59,0,OFFSET(ORÇAMENTO!$D$15,CRONO!$F59,0)))
                +IF(AND($F61&lt;&gt;"",$F61&lt;&gt;0),
                        SUMIF(CÁLCULO!$AM$15:$AW$405,CRONO!AA$12,CÁLCULO!$AB$15:$AL$405)/(ORÇAMENTO!$X$15-_xlfn.SINGLE(CÁLCULO.TotalAdmLocal))*CRONO!$F61,
                        0),
                 AA60*$S59),
          SUMIF(OFFSET($S61,1,0,$R59-2),($M59+1)&amp;"$",OFFSET(AA61,1,0,$R59-2)))</f>
        <v>0</v>
      </c>
      <c r="AB61" s="203" cm="1">
        <f t="array" aca="1" ref="AB61" ca="1">IF($R59=2,
         IF(AND(ACOMPANHAMENTO="PLE",ISNUMBER($F59)),
                SUMIF((OFFSET(CÁLCULO!$AM$15:$AW$15,$F59,0,OFFSET(ORÇAMENTO!$D$15,CRONO!$F59,0))),CRONO!AB$12,OFFSET(CÁLCULO!$AB$15:$AL$15,$F59,0,OFFSET(ORÇAMENTO!$D$15,CRONO!$F59,0)))
                +IF(AND($F61&lt;&gt;"",$F61&lt;&gt;0),
                        SUMIF(CÁLCULO!$AM$15:$AW$405,CRONO!AB$12,CÁLCULO!$AB$15:$AL$405)/(ORÇAMENTO!$X$15-_xlfn.SINGLE(CÁLCULO.TotalAdmLocal))*CRONO!$F61,
                        0),
                 AB60*$S59),
          SUMIF(OFFSET($S61,1,0,$R59-2),($M59+1)&amp;"$",OFFSET(AB61,1,0,$R59-2)))</f>
        <v>0</v>
      </c>
      <c r="AC61" s="203" cm="1">
        <f t="array" aca="1" ref="AC61" ca="1">IF($R59=2,
         IF(AND(ACOMPANHAMENTO="PLE",ISNUMBER($F59)),
                SUMIF((OFFSET(CÁLCULO!$AM$15:$AW$15,$F59,0,OFFSET(ORÇAMENTO!$D$15,CRONO!$F59,0))),CRONO!AC$12,OFFSET(CÁLCULO!$AB$15:$AL$15,$F59,0,OFFSET(ORÇAMENTO!$D$15,CRONO!$F59,0)))
                +IF(AND($F61&lt;&gt;"",$F61&lt;&gt;0),
                        SUMIF(CÁLCULO!$AM$15:$AW$405,CRONO!AC$12,CÁLCULO!$AB$15:$AL$405)/(ORÇAMENTO!$X$15-_xlfn.SINGLE(CÁLCULO.TotalAdmLocal))*CRONO!$F61,
                        0),
                 AC60*$S59),
          SUMIF(OFFSET($S61,1,0,$R59-2),($M59+1)&amp;"$",OFFSET(AC61,1,0,$R59-2)))</f>
        <v>0</v>
      </c>
      <c r="AD61" s="203" cm="1">
        <f t="array" aca="1" ref="AD61" ca="1">IF($R59=2,
         IF(AND(ACOMPANHAMENTO="PLE",ISNUMBER($F59)),
                SUMIF((OFFSET(CÁLCULO!$AM$15:$AW$15,$F59,0,OFFSET(ORÇAMENTO!$D$15,CRONO!$F59,0))),CRONO!AD$12,OFFSET(CÁLCULO!$AB$15:$AL$15,$F59,0,OFFSET(ORÇAMENTO!$D$15,CRONO!$F59,0)))
                +IF(AND($F61&lt;&gt;"",$F61&lt;&gt;0),
                        SUMIF(CÁLCULO!$AM$15:$AW$405,CRONO!AD$12,CÁLCULO!$AB$15:$AL$405)/(ORÇAMENTO!$X$15-_xlfn.SINGLE(CÁLCULO.TotalAdmLocal))*CRONO!$F61,
                        0),
                 AD60*$S59),
          SUMIF(OFFSET($S61,1,0,$R59-2),($M59+1)&amp;"$",OFFSET(AD61,1,0,$R59-2)))</f>
        <v>0</v>
      </c>
      <c r="AE61" s="203" cm="1">
        <f t="array" aca="1" ref="AE61" ca="1">IF($R59=2,
         IF(AND(ACOMPANHAMENTO="PLE",ISNUMBER($F59)),
                SUMIF((OFFSET(CÁLCULO!$AM$15:$AW$15,$F59,0,OFFSET(ORÇAMENTO!$D$15,CRONO!$F59,0))),CRONO!AE$12,OFFSET(CÁLCULO!$AB$15:$AL$15,$F59,0,OFFSET(ORÇAMENTO!$D$15,CRONO!$F59,0)))
                +IF(AND($F61&lt;&gt;"",$F61&lt;&gt;0),
                        SUMIF(CÁLCULO!$AM$15:$AW$405,CRONO!AE$12,CÁLCULO!$AB$15:$AL$405)/(ORÇAMENTO!$X$15-_xlfn.SINGLE(CÁLCULO.TotalAdmLocal))*CRONO!$F61,
                        0),
                 AE60*$S59),
          SUMIF(OFFSET($S61,1,0,$R59-2),($M59+1)&amp;"$",OFFSET(AE61,1,0,$R59-2)))</f>
        <v>0</v>
      </c>
      <c r="AF61" s="203" cm="1">
        <f t="array" aca="1" ref="AF61" ca="1">IF($R59=2,
         IF(AND(ACOMPANHAMENTO="PLE",ISNUMBER($F59)),
                SUMIF((OFFSET(CÁLCULO!$AM$15:$AW$15,$F59,0,OFFSET(ORÇAMENTO!$D$15,CRONO!$F59,0))),CRONO!AF$12,OFFSET(CÁLCULO!$AB$15:$AL$15,$F59,0,OFFSET(ORÇAMENTO!$D$15,CRONO!$F59,0)))
                +IF(AND($F61&lt;&gt;"",$F61&lt;&gt;0),
                        SUMIF(CÁLCULO!$AM$15:$AW$405,CRONO!AF$12,CÁLCULO!$AB$15:$AL$405)/(ORÇAMENTO!$X$15-_xlfn.SINGLE(CÁLCULO.TotalAdmLocal))*CRONO!$F61,
                        0),
                 AF60*$S59),
          SUMIF(OFFSET($S61,1,0,$R59-2),($M59+1)&amp;"$",OFFSET(AF61,1,0,$R59-2)))</f>
        <v>0</v>
      </c>
      <c r="AG61" s="535"/>
    </row>
    <row r="62" spans="1:33" x14ac:dyDescent="0.2">
      <c r="A62" s="187" t="e">
        <f t="shared" ref="A62" ca="1" si="98">IF($M62&gt;1,_xlfn.CONCAT($I62," ",$J62),"")</f>
        <v>#NAME?</v>
      </c>
      <c r="B62" s="186">
        <f t="shared" ref="B62" ca="1" si="99">OFFSET(B62,-3,0)+1</f>
        <v>17</v>
      </c>
      <c r="C62" s="186">
        <f ca="1">IF($R62&lt;&gt;2,0,IF($S62=0,1,IF(F63&gt;0,OFFSET(QCI!$M$13,SUBSTITUTE(F63,".",""),0),OFFSET(ORÇAMENTO!$AA$15,CRONO!$F62,0))/$S62))</f>
        <v>1</v>
      </c>
      <c r="D62" s="186">
        <f ca="1">IF($R62&lt;&gt;2,0,IF($S62=0,1,IF(F63&gt;0,OFFSET(QCI!$N$13,SUBSTITUTE(F63,".",""),0),OFFSET(ORÇAMENTO!$AB$15,CRONO!$F62,0))/$S62))</f>
        <v>1</v>
      </c>
      <c r="E62" s="189" cm="1">
        <f t="array" aca="1" ref="E62" ca="1">IF(AND($R62=2,ACOMPANHAMENTO="BM"),ROUND(E63,4),E64/$S62)</f>
        <v>0</v>
      </c>
      <c r="F62" s="186">
        <f ca="1">IF(B62&lt;=ORÇAMENTO.MáximoListaCrono,MATCH(B62,ORÇAMENTO.ListaCrono,0),NA())</f>
        <v>253</v>
      </c>
      <c r="G62" s="186" t="str">
        <f t="shared" ref="G62" ca="1" si="100">IF(AND($F63&lt;&gt;-1,$S62&gt;0),"F","")</f>
        <v/>
      </c>
      <c r="H62" s="190" t="str" cm="1">
        <f t="array" aca="1" ref="H62" ca="1">IF(OR(S62=0,S62=""),"Linha",IF(AND(OR(ACOMPANHAMENTO="PLE",$R62&lt;&gt;2),$F63=0),"Linha",ROUND(1-SUM(U62:AG62),4)))</f>
        <v>Linha</v>
      </c>
      <c r="I62" s="191" t="str">
        <f ca="1">IF($F63=0,OFFSET(ORÇAMENTO!O$15,$F62,0),IF($F63&lt;&gt;-1,OFFSET(QCI!$D$13,$F63,0),""))</f>
        <v>1.16.</v>
      </c>
      <c r="J62" s="192" t="str">
        <f ca="1">IF($F63=0,OFFSET(ORÇAMENTO!R$15,$F62,0),IF($F63&lt;&gt;-1,OFFSET(QCI!$G$13,$F63,0),""))</f>
        <v>SISTEMAS DE PREVENÇÃO CONTRA INCÊNDIO</v>
      </c>
      <c r="K62" s="192"/>
      <c r="L62" s="192"/>
      <c r="M62" s="193">
        <f ca="1">IF($F63=0,OFFSET(ORÇAMENTO!C$15,$F62,0),1)</f>
        <v>2</v>
      </c>
      <c r="N62" s="194">
        <f ca="1">IF($F63=-1,0,IF(N$13&lt;=$M62,IF(ISERROR(MATCH(N$13,OFFSET($M62,1,0,ROW($M$89)-ROW($M62)-1),0)),ROW($M$89)-ROW($M62)-1,MATCH(N$13,OFFSET($M62,1,0,ROW($M$89)-ROW($M62)-1),0)-1),0))</f>
        <v>26</v>
      </c>
      <c r="O62" s="194">
        <f ca="1">IF($F63=-1,0,IF(O$13&lt;=$M62,IF(ISERROR(MATCH(O$13,OFFSET($M62,1,0,ROW($M$89)-ROW($M62)-1),0)),ROW($M$89)-ROW($M62)-1,MATCH(O$13,OFFSET($M62,1,0,ROW($M$89)-ROW($M62)-1),0)-1),0))</f>
        <v>2</v>
      </c>
      <c r="P62" s="194">
        <f ca="1">IF($F63=-1,0,IF(P$13&lt;=$M62,IF(ISERROR(MATCH(P$13,OFFSET($M62,1,0,ROW($M$89)-ROW($M62)-1),0)),ROW($M$89)-ROW($M62)-1,MATCH(P$13,OFFSET($M62,1,0,ROW($M$89)-ROW($M62)-1),0)-1),0))</f>
        <v>0</v>
      </c>
      <c r="Q62" s="194">
        <f ca="1">IF($F63=-1,0,IF(Q$13&lt;=$M62,IF(ISERROR(MATCH(Q$13,OFFSET($M62,1,0,ROW($M$89)-ROW($M62)-1),0)),ROW($M$89)-ROW($M62)-1,MATCH(Q$13,OFFSET($M62,1,0,ROW($M$89)-ROW($M62)-1),0)-1),0))</f>
        <v>0</v>
      </c>
      <c r="R62" s="194">
        <f t="shared" ref="R62" ca="1" si="101">MIN(OFFSET(M62,0,1,,M62))</f>
        <v>2</v>
      </c>
      <c r="S62" s="195">
        <f ca="1">IF($F63=0,OFFSET(ORÇAMENTO!X$15,$F62,0),IF($F63&lt;&gt;-1,OFFSET(QCI!$O$13,$F63,0),""))</f>
        <v>0</v>
      </c>
      <c r="T62" s="196" t="s">
        <v>787</v>
      </c>
      <c r="U62" s="189" cm="1">
        <f t="array" aca="1" ref="U62" ca="1">IF(AND($R62=2,ACOMPANHAMENTO="BM"),ROUND(U63,4),U64/$S62)</f>
        <v>0</v>
      </c>
      <c r="V62" s="189" cm="1">
        <f t="array" aca="1" ref="V62" ca="1">IF(AND($R62=2,ACOMPANHAMENTO="BM"),ROUND(V63,4),V64/$S62)</f>
        <v>0.1</v>
      </c>
      <c r="W62" s="189" cm="1">
        <f t="array" aca="1" ref="W62" ca="1">IF(AND($R62=2,ACOMPANHAMENTO="BM"),ROUND(W63,4),W64/$S62)</f>
        <v>0.1</v>
      </c>
      <c r="X62" s="189" cm="1">
        <f t="array" aca="1" ref="X62" ca="1">IF(AND($R62=2,ACOMPANHAMENTO="BM"),ROUND(X63,4),X64/$S62)</f>
        <v>0</v>
      </c>
      <c r="Y62" s="189" cm="1">
        <f t="array" aca="1" ref="Y62" ca="1">IF(AND($R62=2,ACOMPANHAMENTO="BM"),ROUND(Y63,4),Y64/$S62)</f>
        <v>0.8</v>
      </c>
      <c r="Z62" s="189" cm="1">
        <f t="array" aca="1" ref="Z62" ca="1">IF(AND($R62=2,ACOMPANHAMENTO="BM"),ROUND(Z63,4),Z64/$S62)</f>
        <v>0</v>
      </c>
      <c r="AA62" s="189" cm="1">
        <f t="array" aca="1" ref="AA62" ca="1">IF(AND($R62=2,ACOMPANHAMENTO="BM"),ROUND(AA63,4),AA64/$S62)</f>
        <v>0</v>
      </c>
      <c r="AB62" s="189" cm="1">
        <f t="array" aca="1" ref="AB62" ca="1">IF(AND($R62=2,ACOMPANHAMENTO="BM"),ROUND(AB63,4),AB64/$S62)</f>
        <v>0</v>
      </c>
      <c r="AC62" s="189" cm="1">
        <f t="array" aca="1" ref="AC62" ca="1">IF(AND($R62=2,ACOMPANHAMENTO="BM"),ROUND(AC63,4),AC64/$S62)</f>
        <v>0</v>
      </c>
      <c r="AD62" s="189" cm="1">
        <f t="array" aca="1" ref="AD62" ca="1">IF(AND($R62=2,ACOMPANHAMENTO="BM"),ROUND(AD63,4),AD64/$S62)</f>
        <v>0</v>
      </c>
      <c r="AE62" s="189" cm="1">
        <f t="array" aca="1" ref="AE62" ca="1">IF(AND($R62=2,ACOMPANHAMENTO="BM"),ROUND(AE63,4),AE64/$S62)</f>
        <v>0</v>
      </c>
      <c r="AF62" s="189" cm="1">
        <f t="array" aca="1" ref="AF62" ca="1">IF(AND($R62=2,ACOMPANHAMENTO="BM"),ROUND(AF63,4),AF64/$S62)</f>
        <v>0</v>
      </c>
      <c r="AG62" s="535"/>
    </row>
    <row r="63" spans="1:33" ht="12.75" customHeight="1" x14ac:dyDescent="0.2">
      <c r="E63" s="590"/>
      <c r="F63" s="186">
        <f ca="1">IF(ISERROR(F62),IF(1+COUNTIF($M$13:OFFSET(M62,-1,0),1)&lt;=MAX(QCI!$D$13:$D$24),1+COUNTIF($M$13:OFFSET(M62,-1,0),1),-1),0)</f>
        <v>0</v>
      </c>
      <c r="G63" s="186" t="str" cm="1">
        <f t="array" aca="1" ref="G63" ca="1">IF(ACOMPANHAMENTO="BM",OFFSET(G63,-1,0),"")</f>
        <v/>
      </c>
      <c r="H63" s="197" t="str" cm="1">
        <f t="array" aca="1" ref="H63" ca="1">IF(OR(S62=0,S62=""),"vazia",IF(AND(OR(ACOMPANHAMENTO="PLE",$R62&lt;&gt;2),$F63=0),"calculada","--&gt;"))</f>
        <v>vazia</v>
      </c>
      <c r="I63" s="198"/>
      <c r="J63" s="199" t="str">
        <f t="shared" ref="J63" ca="1" si="102">IF(AND(H62&lt;&gt;0,ISNUMBER(H62)),"PREENCHA ESTA LINHA --&gt;","")</f>
        <v/>
      </c>
      <c r="K63" s="199"/>
      <c r="L63" s="199"/>
      <c r="M63" s="200"/>
      <c r="N63" s="200"/>
      <c r="O63" s="200"/>
      <c r="P63" s="200"/>
      <c r="Q63" s="200"/>
      <c r="R63" s="200"/>
      <c r="S63" s="201"/>
      <c r="T63" s="202"/>
      <c r="U63" s="590"/>
      <c r="V63" s="590">
        <v>0.1</v>
      </c>
      <c r="W63" s="590">
        <v>0.1</v>
      </c>
      <c r="X63" s="590"/>
      <c r="Y63" s="590">
        <v>0.8</v>
      </c>
      <c r="Z63" s="590"/>
      <c r="AA63" s="590"/>
      <c r="AB63" s="590"/>
      <c r="AC63" s="590"/>
      <c r="AD63" s="590"/>
      <c r="AE63" s="590"/>
      <c r="AF63" s="590"/>
      <c r="AG63" s="535"/>
    </row>
    <row r="64" spans="1:33" ht="12.75" customHeight="1" x14ac:dyDescent="0.2">
      <c r="D64" s="534"/>
      <c r="E64" s="203" cm="1">
        <f t="array" aca="1" ref="E64" ca="1">IF($R62=2,
         IF(AND(ACOMPANHAMENTO="PLE",ISNUMBER($F62)),
                SUMIF((OFFSET(CÁLCULO!$AM$15:$AW$15,$F62,0,OFFSET(ORÇAMENTO!$D$15,CRONO!$F62,0))),CRONO!E$12,OFFSET(CÁLCULO!$AB$15:$AL$15,$F62,0,OFFSET(ORÇAMENTO!$D$15,CRONO!$F62,0)))
                +IF(AND($F64&lt;&gt;"",$F64&lt;&gt;0),
                        SUMIF(CÁLCULO!$AM$15:$AW$405,CRONO!E$12,CÁLCULO!$AB$15:$AL$405)/(ORÇAMENTO!$X$15-_xlfn.SINGLE(CÁLCULO.TotalAdmLocal))*CRONO!$F64,
                        0),
                 E63*$S62),
          SUMIF(OFFSET($S64,1,0,$R62-2),($M62+1)&amp;"$",OFFSET(E64,1,0,$R62-2)))</f>
        <v>0</v>
      </c>
      <c r="F64" s="186" t="str">
        <f ca="1">IF(OR($R62&lt;&gt;2,AUTOEVENTO&lt;&gt;"manual",$F63&gt;0),"",
        IF(Import.TipoArredondamento="Tradicional",
              SUMIF(OFFSET(CÁLCULO!$M$15,CRONO!$F62,0,OFFSET(ORÇAMENTO!$D$15,CRONO!$F62,0)),1,OFFSET(ORÇAMENTO!$X$15,CRONO!$F62,0,OFFSET(ORÇAMENTO!$D$15,CRONO!$F62,0))),
              0))</f>
        <v/>
      </c>
      <c r="H64" s="204"/>
      <c r="S64" s="205" t="str">
        <f t="shared" ref="S64" ca="1" si="103">M62&amp;"$"</f>
        <v>2$</v>
      </c>
      <c r="T64" s="206"/>
      <c r="U64" s="203" cm="1">
        <f t="array" aca="1" ref="U64" ca="1">IF($R62=2,
         IF(AND(ACOMPANHAMENTO="PLE",ISNUMBER($F62)),
                SUMIF((OFFSET(CÁLCULO!$AM$15:$AW$15,$F62,0,OFFSET(ORÇAMENTO!$D$15,CRONO!$F62,0))),CRONO!U$12,OFFSET(CÁLCULO!$AB$15:$AL$15,$F62,0,OFFSET(ORÇAMENTO!$D$15,CRONO!$F62,0)))
                +IF(AND($F64&lt;&gt;"",$F64&lt;&gt;0),
                        SUMIF(CÁLCULO!$AM$15:$AW$405,CRONO!U$12,CÁLCULO!$AB$15:$AL$405)/(ORÇAMENTO!$X$15-_xlfn.SINGLE(CÁLCULO.TotalAdmLocal))*CRONO!$F64,
                        0),
                 U63*$S62),
          SUMIF(OFFSET($S64,1,0,$R62-2),($M62+1)&amp;"$",OFFSET(U64,1,0,$R62-2)))</f>
        <v>0</v>
      </c>
      <c r="V64" s="203" cm="1">
        <f t="array" aca="1" ref="V64" ca="1">IF($R62=2,
         IF(AND(ACOMPANHAMENTO="PLE",ISNUMBER($F62)),
                SUMIF((OFFSET(CÁLCULO!$AM$15:$AW$15,$F62,0,OFFSET(ORÇAMENTO!$D$15,CRONO!$F62,0))),CRONO!V$12,OFFSET(CÁLCULO!$AB$15:$AL$15,$F62,0,OFFSET(ORÇAMENTO!$D$15,CRONO!$F62,0)))
                +IF(AND($F64&lt;&gt;"",$F64&lt;&gt;0),
                        SUMIF(CÁLCULO!$AM$15:$AW$405,CRONO!V$12,CÁLCULO!$AB$15:$AL$405)/(ORÇAMENTO!$X$15-_xlfn.SINGLE(CÁLCULO.TotalAdmLocal))*CRONO!$F64,
                        0),
                 V63*$S62),
          SUMIF(OFFSET($S64,1,0,$R62-2),($M62+1)&amp;"$",OFFSET(V64,1,0,$R62-2)))</f>
        <v>0</v>
      </c>
      <c r="W64" s="203" cm="1">
        <f t="array" aca="1" ref="W64" ca="1">IF($R62=2,
         IF(AND(ACOMPANHAMENTO="PLE",ISNUMBER($F62)),
                SUMIF((OFFSET(CÁLCULO!$AM$15:$AW$15,$F62,0,OFFSET(ORÇAMENTO!$D$15,CRONO!$F62,0))),CRONO!W$12,OFFSET(CÁLCULO!$AB$15:$AL$15,$F62,0,OFFSET(ORÇAMENTO!$D$15,CRONO!$F62,0)))
                +IF(AND($F64&lt;&gt;"",$F64&lt;&gt;0),
                        SUMIF(CÁLCULO!$AM$15:$AW$405,CRONO!W$12,CÁLCULO!$AB$15:$AL$405)/(ORÇAMENTO!$X$15-_xlfn.SINGLE(CÁLCULO.TotalAdmLocal))*CRONO!$F64,
                        0),
                 W63*$S62),
          SUMIF(OFFSET($S64,1,0,$R62-2),($M62+1)&amp;"$",OFFSET(W64,1,0,$R62-2)))</f>
        <v>0</v>
      </c>
      <c r="X64" s="203" cm="1">
        <f t="array" aca="1" ref="X64" ca="1">IF($R62=2,
         IF(AND(ACOMPANHAMENTO="PLE",ISNUMBER($F62)),
                SUMIF((OFFSET(CÁLCULO!$AM$15:$AW$15,$F62,0,OFFSET(ORÇAMENTO!$D$15,CRONO!$F62,0))),CRONO!X$12,OFFSET(CÁLCULO!$AB$15:$AL$15,$F62,0,OFFSET(ORÇAMENTO!$D$15,CRONO!$F62,0)))
                +IF(AND($F64&lt;&gt;"",$F64&lt;&gt;0),
                        SUMIF(CÁLCULO!$AM$15:$AW$405,CRONO!X$12,CÁLCULO!$AB$15:$AL$405)/(ORÇAMENTO!$X$15-_xlfn.SINGLE(CÁLCULO.TotalAdmLocal))*CRONO!$F64,
                        0),
                 X63*$S62),
          SUMIF(OFFSET($S64,1,0,$R62-2),($M62+1)&amp;"$",OFFSET(X64,1,0,$R62-2)))</f>
        <v>0</v>
      </c>
      <c r="Y64" s="203" cm="1">
        <f t="array" aca="1" ref="Y64" ca="1">IF($R62=2,
         IF(AND(ACOMPANHAMENTO="PLE",ISNUMBER($F62)),
                SUMIF((OFFSET(CÁLCULO!$AM$15:$AW$15,$F62,0,OFFSET(ORÇAMENTO!$D$15,CRONO!$F62,0))),CRONO!Y$12,OFFSET(CÁLCULO!$AB$15:$AL$15,$F62,0,OFFSET(ORÇAMENTO!$D$15,CRONO!$F62,0)))
                +IF(AND($F64&lt;&gt;"",$F64&lt;&gt;0),
                        SUMIF(CÁLCULO!$AM$15:$AW$405,CRONO!Y$12,CÁLCULO!$AB$15:$AL$405)/(ORÇAMENTO!$X$15-_xlfn.SINGLE(CÁLCULO.TotalAdmLocal))*CRONO!$F64,
                        0),
                 Y63*$S62),
          SUMIF(OFFSET($S64,1,0,$R62-2),($M62+1)&amp;"$",OFFSET(Y64,1,0,$R62-2)))</f>
        <v>0</v>
      </c>
      <c r="Z64" s="203" cm="1">
        <f t="array" aca="1" ref="Z64" ca="1">IF($R62=2,
         IF(AND(ACOMPANHAMENTO="PLE",ISNUMBER($F62)),
                SUMIF((OFFSET(CÁLCULO!$AM$15:$AW$15,$F62,0,OFFSET(ORÇAMENTO!$D$15,CRONO!$F62,0))),CRONO!Z$12,OFFSET(CÁLCULO!$AB$15:$AL$15,$F62,0,OFFSET(ORÇAMENTO!$D$15,CRONO!$F62,0)))
                +IF(AND($F64&lt;&gt;"",$F64&lt;&gt;0),
                        SUMIF(CÁLCULO!$AM$15:$AW$405,CRONO!Z$12,CÁLCULO!$AB$15:$AL$405)/(ORÇAMENTO!$X$15-_xlfn.SINGLE(CÁLCULO.TotalAdmLocal))*CRONO!$F64,
                        0),
                 Z63*$S62),
          SUMIF(OFFSET($S64,1,0,$R62-2),($M62+1)&amp;"$",OFFSET(Z64,1,0,$R62-2)))</f>
        <v>0</v>
      </c>
      <c r="AA64" s="203" cm="1">
        <f t="array" aca="1" ref="AA64" ca="1">IF($R62=2,
         IF(AND(ACOMPANHAMENTO="PLE",ISNUMBER($F62)),
                SUMIF((OFFSET(CÁLCULO!$AM$15:$AW$15,$F62,0,OFFSET(ORÇAMENTO!$D$15,CRONO!$F62,0))),CRONO!AA$12,OFFSET(CÁLCULO!$AB$15:$AL$15,$F62,0,OFFSET(ORÇAMENTO!$D$15,CRONO!$F62,0)))
                +IF(AND($F64&lt;&gt;"",$F64&lt;&gt;0),
                        SUMIF(CÁLCULO!$AM$15:$AW$405,CRONO!AA$12,CÁLCULO!$AB$15:$AL$405)/(ORÇAMENTO!$X$15-_xlfn.SINGLE(CÁLCULO.TotalAdmLocal))*CRONO!$F64,
                        0),
                 AA63*$S62),
          SUMIF(OFFSET($S64,1,0,$R62-2),($M62+1)&amp;"$",OFFSET(AA64,1,0,$R62-2)))</f>
        <v>0</v>
      </c>
      <c r="AB64" s="203" cm="1">
        <f t="array" aca="1" ref="AB64" ca="1">IF($R62=2,
         IF(AND(ACOMPANHAMENTO="PLE",ISNUMBER($F62)),
                SUMIF((OFFSET(CÁLCULO!$AM$15:$AW$15,$F62,0,OFFSET(ORÇAMENTO!$D$15,CRONO!$F62,0))),CRONO!AB$12,OFFSET(CÁLCULO!$AB$15:$AL$15,$F62,0,OFFSET(ORÇAMENTO!$D$15,CRONO!$F62,0)))
                +IF(AND($F64&lt;&gt;"",$F64&lt;&gt;0),
                        SUMIF(CÁLCULO!$AM$15:$AW$405,CRONO!AB$12,CÁLCULO!$AB$15:$AL$405)/(ORÇAMENTO!$X$15-_xlfn.SINGLE(CÁLCULO.TotalAdmLocal))*CRONO!$F64,
                        0),
                 AB63*$S62),
          SUMIF(OFFSET($S64,1,0,$R62-2),($M62+1)&amp;"$",OFFSET(AB64,1,0,$R62-2)))</f>
        <v>0</v>
      </c>
      <c r="AC64" s="203" cm="1">
        <f t="array" aca="1" ref="AC64" ca="1">IF($R62=2,
         IF(AND(ACOMPANHAMENTO="PLE",ISNUMBER($F62)),
                SUMIF((OFFSET(CÁLCULO!$AM$15:$AW$15,$F62,0,OFFSET(ORÇAMENTO!$D$15,CRONO!$F62,0))),CRONO!AC$12,OFFSET(CÁLCULO!$AB$15:$AL$15,$F62,0,OFFSET(ORÇAMENTO!$D$15,CRONO!$F62,0)))
                +IF(AND($F64&lt;&gt;"",$F64&lt;&gt;0),
                        SUMIF(CÁLCULO!$AM$15:$AW$405,CRONO!AC$12,CÁLCULO!$AB$15:$AL$405)/(ORÇAMENTO!$X$15-_xlfn.SINGLE(CÁLCULO.TotalAdmLocal))*CRONO!$F64,
                        0),
                 AC63*$S62),
          SUMIF(OFFSET($S64,1,0,$R62-2),($M62+1)&amp;"$",OFFSET(AC64,1,0,$R62-2)))</f>
        <v>0</v>
      </c>
      <c r="AD64" s="203" cm="1">
        <f t="array" aca="1" ref="AD64" ca="1">IF($R62=2,
         IF(AND(ACOMPANHAMENTO="PLE",ISNUMBER($F62)),
                SUMIF((OFFSET(CÁLCULO!$AM$15:$AW$15,$F62,0,OFFSET(ORÇAMENTO!$D$15,CRONO!$F62,0))),CRONO!AD$12,OFFSET(CÁLCULO!$AB$15:$AL$15,$F62,0,OFFSET(ORÇAMENTO!$D$15,CRONO!$F62,0)))
                +IF(AND($F64&lt;&gt;"",$F64&lt;&gt;0),
                        SUMIF(CÁLCULO!$AM$15:$AW$405,CRONO!AD$12,CÁLCULO!$AB$15:$AL$405)/(ORÇAMENTO!$X$15-_xlfn.SINGLE(CÁLCULO.TotalAdmLocal))*CRONO!$F64,
                        0),
                 AD63*$S62),
          SUMIF(OFFSET($S64,1,0,$R62-2),($M62+1)&amp;"$",OFFSET(AD64,1,0,$R62-2)))</f>
        <v>0</v>
      </c>
      <c r="AE64" s="203" cm="1">
        <f t="array" aca="1" ref="AE64" ca="1">IF($R62=2,
         IF(AND(ACOMPANHAMENTO="PLE",ISNUMBER($F62)),
                SUMIF((OFFSET(CÁLCULO!$AM$15:$AW$15,$F62,0,OFFSET(ORÇAMENTO!$D$15,CRONO!$F62,0))),CRONO!AE$12,OFFSET(CÁLCULO!$AB$15:$AL$15,$F62,0,OFFSET(ORÇAMENTO!$D$15,CRONO!$F62,0)))
                +IF(AND($F64&lt;&gt;"",$F64&lt;&gt;0),
                        SUMIF(CÁLCULO!$AM$15:$AW$405,CRONO!AE$12,CÁLCULO!$AB$15:$AL$405)/(ORÇAMENTO!$X$15-_xlfn.SINGLE(CÁLCULO.TotalAdmLocal))*CRONO!$F64,
                        0),
                 AE63*$S62),
          SUMIF(OFFSET($S64,1,0,$R62-2),($M62+1)&amp;"$",OFFSET(AE64,1,0,$R62-2)))</f>
        <v>0</v>
      </c>
      <c r="AF64" s="203" cm="1">
        <f t="array" aca="1" ref="AF64" ca="1">IF($R62=2,
         IF(AND(ACOMPANHAMENTO="PLE",ISNUMBER($F62)),
                SUMIF((OFFSET(CÁLCULO!$AM$15:$AW$15,$F62,0,OFFSET(ORÇAMENTO!$D$15,CRONO!$F62,0))),CRONO!AF$12,OFFSET(CÁLCULO!$AB$15:$AL$15,$F62,0,OFFSET(ORÇAMENTO!$D$15,CRONO!$F62,0)))
                +IF(AND($F64&lt;&gt;"",$F64&lt;&gt;0),
                        SUMIF(CÁLCULO!$AM$15:$AW$405,CRONO!AF$12,CÁLCULO!$AB$15:$AL$405)/(ORÇAMENTO!$X$15-_xlfn.SINGLE(CÁLCULO.TotalAdmLocal))*CRONO!$F64,
                        0),
                 AF63*$S62),
          SUMIF(OFFSET($S64,1,0,$R62-2),($M62+1)&amp;"$",OFFSET(AF64,1,0,$R62-2)))</f>
        <v>0</v>
      </c>
      <c r="AG64" s="535"/>
    </row>
    <row r="65" spans="1:33" x14ac:dyDescent="0.2">
      <c r="A65" s="187" t="e">
        <f t="shared" ref="A65" ca="1" si="104">IF($M65&gt;1,_xlfn.CONCAT($I65," ",$J65),"")</f>
        <v>#NAME?</v>
      </c>
      <c r="B65" s="186">
        <f t="shared" ref="B65" ca="1" si="105">OFFSET(B65,-3,0)+1</f>
        <v>18</v>
      </c>
      <c r="C65" s="186">
        <f ca="1">IF($R65&lt;&gt;2,0,IF($S65=0,1,IF(F66&gt;0,OFFSET(QCI!$M$13,SUBSTITUTE(F66,".",""),0),OFFSET(ORÇAMENTO!$AA$15,CRONO!$F65,0))/$S65))</f>
        <v>1</v>
      </c>
      <c r="D65" s="186">
        <f ca="1">IF($R65&lt;&gt;2,0,IF($S65=0,1,IF(F66&gt;0,OFFSET(QCI!$N$13,SUBSTITUTE(F66,".",""),0),OFFSET(ORÇAMENTO!$AB$15,CRONO!$F65,0))/$S65))</f>
        <v>1</v>
      </c>
      <c r="E65" s="189" cm="1">
        <f t="array" aca="1" ref="E65" ca="1">IF(AND($R65=2,ACOMPANHAMENTO="BM"),ROUND(E66,4),E67/$S65)</f>
        <v>0</v>
      </c>
      <c r="F65" s="186">
        <f ca="1">IF(B65&lt;=ORÇAMENTO.MáximoListaCrono,MATCH(B65,ORÇAMENTO.ListaCrono,0),NA())</f>
        <v>310</v>
      </c>
      <c r="G65" s="186" t="str">
        <f t="shared" ref="G65" ca="1" si="106">IF(AND($F66&lt;&gt;-1,$S65&gt;0),"F","")</f>
        <v/>
      </c>
      <c r="H65" s="190" t="str" cm="1">
        <f t="array" aca="1" ref="H65" ca="1">IF(OR(S65=0,S65=""),"Linha",IF(AND(OR(ACOMPANHAMENTO="PLE",$R65&lt;&gt;2),$F66=0),"Linha",ROUND(1-SUM(U65:AG65),4)))</f>
        <v>Linha</v>
      </c>
      <c r="I65" s="191" t="str">
        <f ca="1">IF($F66=0,OFFSET(ORÇAMENTO!O$15,$F65,0),IF($F66&lt;&gt;-1,OFFSET(QCI!$D$13,$F66,0),""))</f>
        <v>1.17.</v>
      </c>
      <c r="J65" s="192" t="str">
        <f ca="1">IF($F66=0,OFFSET(ORÇAMENTO!R$15,$F65,0),IF($F66&lt;&gt;-1,OFFSET(QCI!$G$13,$F66,0),""))</f>
        <v>CENTRAL DE GLP, ABRIGO DE LIXO E SOLÁRIOS</v>
      </c>
      <c r="K65" s="192"/>
      <c r="L65" s="192"/>
      <c r="M65" s="193">
        <f ca="1">IF($F66=0,OFFSET(ORÇAMENTO!C$15,$F65,0),1)</f>
        <v>2</v>
      </c>
      <c r="N65" s="194">
        <f ca="1">IF($F66=-1,0,IF(N$13&lt;=$M65,IF(ISERROR(MATCH(N$13,OFFSET($M65,1,0,ROW($M$89)-ROW($M65)-1),0)),ROW($M$89)-ROW($M65)-1,MATCH(N$13,OFFSET($M65,1,0,ROW($M$89)-ROW($M65)-1),0)-1),0))</f>
        <v>23</v>
      </c>
      <c r="O65" s="194">
        <f ca="1">IF($F66=-1,0,IF(O$13&lt;=$M65,IF(ISERROR(MATCH(O$13,OFFSET($M65,1,0,ROW($M$89)-ROW($M65)-1),0)),ROW($M$89)-ROW($M65)-1,MATCH(O$13,OFFSET($M65,1,0,ROW($M$89)-ROW($M65)-1),0)-1),0))</f>
        <v>2</v>
      </c>
      <c r="P65" s="194">
        <f ca="1">IF($F66=-1,0,IF(P$13&lt;=$M65,IF(ISERROR(MATCH(P$13,OFFSET($M65,1,0,ROW($M$89)-ROW($M65)-1),0)),ROW($M$89)-ROW($M65)-1,MATCH(P$13,OFFSET($M65,1,0,ROW($M$89)-ROW($M65)-1),0)-1),0))</f>
        <v>0</v>
      </c>
      <c r="Q65" s="194">
        <f ca="1">IF($F66=-1,0,IF(Q$13&lt;=$M65,IF(ISERROR(MATCH(Q$13,OFFSET($M65,1,0,ROW($M$89)-ROW($M65)-1),0)),ROW($M$89)-ROW($M65)-1,MATCH(Q$13,OFFSET($M65,1,0,ROW($M$89)-ROW($M65)-1),0)-1),0))</f>
        <v>0</v>
      </c>
      <c r="R65" s="194">
        <f t="shared" ref="R65" ca="1" si="107">MIN(OFFSET(M65,0,1,,M65))</f>
        <v>2</v>
      </c>
      <c r="S65" s="195">
        <f ca="1">IF($F66=0,OFFSET(ORÇAMENTO!X$15,$F65,0),IF($F66&lt;&gt;-1,OFFSET(QCI!$O$13,$F66,0),""))</f>
        <v>0</v>
      </c>
      <c r="T65" s="196" t="s">
        <v>787</v>
      </c>
      <c r="U65" s="189" cm="1">
        <f t="array" aca="1" ref="U65" ca="1">IF(AND($R65=2,ACOMPANHAMENTO="BM"),ROUND(U66,4),U67/$S65)</f>
        <v>0</v>
      </c>
      <c r="V65" s="189" cm="1">
        <f t="array" aca="1" ref="V65" ca="1">IF(AND($R65=2,ACOMPANHAMENTO="BM"),ROUND(V66,4),V67/$S65)</f>
        <v>0</v>
      </c>
      <c r="W65" s="189" cm="1">
        <f t="array" aca="1" ref="W65" ca="1">IF(AND($R65=2,ACOMPANHAMENTO="BM"),ROUND(W66,4),W67/$S65)</f>
        <v>0.2</v>
      </c>
      <c r="X65" s="189" cm="1">
        <f t="array" aca="1" ref="X65" ca="1">IF(AND($R65=2,ACOMPANHAMENTO="BM"),ROUND(X66,4),X67/$S65)</f>
        <v>0.3</v>
      </c>
      <c r="Y65" s="189" cm="1">
        <f t="array" aca="1" ref="Y65" ca="1">IF(AND($R65=2,ACOMPANHAMENTO="BM"),ROUND(Y66,4),Y67/$S65)</f>
        <v>0.3</v>
      </c>
      <c r="Z65" s="189" cm="1">
        <f t="array" aca="1" ref="Z65" ca="1">IF(AND($R65=2,ACOMPANHAMENTO="BM"),ROUND(Z66,4),Z67/$S65)</f>
        <v>0.2</v>
      </c>
      <c r="AA65" s="189" cm="1">
        <f t="array" aca="1" ref="AA65" ca="1">IF(AND($R65=2,ACOMPANHAMENTO="BM"),ROUND(AA66,4),AA67/$S65)</f>
        <v>0</v>
      </c>
      <c r="AB65" s="189" cm="1">
        <f t="array" aca="1" ref="AB65" ca="1">IF(AND($R65=2,ACOMPANHAMENTO="BM"),ROUND(AB66,4),AB67/$S65)</f>
        <v>0</v>
      </c>
      <c r="AC65" s="189" cm="1">
        <f t="array" aca="1" ref="AC65" ca="1">IF(AND($R65=2,ACOMPANHAMENTO="BM"),ROUND(AC66,4),AC67/$S65)</f>
        <v>0</v>
      </c>
      <c r="AD65" s="189" cm="1">
        <f t="array" aca="1" ref="AD65" ca="1">IF(AND($R65=2,ACOMPANHAMENTO="BM"),ROUND(AD66,4),AD67/$S65)</f>
        <v>0</v>
      </c>
      <c r="AE65" s="189" cm="1">
        <f t="array" aca="1" ref="AE65" ca="1">IF(AND($R65=2,ACOMPANHAMENTO="BM"),ROUND(AE66,4),AE67/$S65)</f>
        <v>0</v>
      </c>
      <c r="AF65" s="189" cm="1">
        <f t="array" aca="1" ref="AF65" ca="1">IF(AND($R65=2,ACOMPANHAMENTO="BM"),ROUND(AF66,4),AF67/$S65)</f>
        <v>0</v>
      </c>
      <c r="AG65" s="535"/>
    </row>
    <row r="66" spans="1:33" ht="12.75" customHeight="1" x14ac:dyDescent="0.2">
      <c r="E66" s="590"/>
      <c r="F66" s="186">
        <f ca="1">IF(ISERROR(F65),IF(1+COUNTIF($M$13:OFFSET(M65,-1,0),1)&lt;=MAX(QCI!$D$13:$D$24),1+COUNTIF($M$13:OFFSET(M65,-1,0),1),-1),0)</f>
        <v>0</v>
      </c>
      <c r="G66" s="186" t="str" cm="1">
        <f t="array" aca="1" ref="G66" ca="1">IF(ACOMPANHAMENTO="BM",OFFSET(G66,-1,0),"")</f>
        <v/>
      </c>
      <c r="H66" s="197" t="str" cm="1">
        <f t="array" aca="1" ref="H66" ca="1">IF(OR(S65=0,S65=""),"vazia",IF(AND(OR(ACOMPANHAMENTO="PLE",$R65&lt;&gt;2),$F66=0),"calculada","--&gt;"))</f>
        <v>vazia</v>
      </c>
      <c r="I66" s="198"/>
      <c r="J66" s="199" t="str">
        <f t="shared" ref="J66" ca="1" si="108">IF(AND(H65&lt;&gt;0,ISNUMBER(H65)),"PREENCHA ESTA LINHA --&gt;","")</f>
        <v/>
      </c>
      <c r="K66" s="199"/>
      <c r="L66" s="199"/>
      <c r="M66" s="200"/>
      <c r="N66" s="200"/>
      <c r="O66" s="200"/>
      <c r="P66" s="200"/>
      <c r="Q66" s="200"/>
      <c r="R66" s="200"/>
      <c r="S66" s="201"/>
      <c r="T66" s="202"/>
      <c r="U66" s="590"/>
      <c r="V66" s="590"/>
      <c r="W66" s="590">
        <v>0.2</v>
      </c>
      <c r="X66" s="590">
        <v>0.3</v>
      </c>
      <c r="Y66" s="590">
        <v>0.3</v>
      </c>
      <c r="Z66" s="590">
        <v>0.2</v>
      </c>
      <c r="AA66" s="590"/>
      <c r="AB66" s="590"/>
      <c r="AC66" s="590"/>
      <c r="AD66" s="590"/>
      <c r="AE66" s="590"/>
      <c r="AF66" s="590"/>
      <c r="AG66" s="535"/>
    </row>
    <row r="67" spans="1:33" ht="12.75" customHeight="1" x14ac:dyDescent="0.2">
      <c r="D67" s="534"/>
      <c r="E67" s="203" cm="1">
        <f t="array" aca="1" ref="E67" ca="1">IF($R65=2,
         IF(AND(ACOMPANHAMENTO="PLE",ISNUMBER($F65)),
                SUMIF((OFFSET(CÁLCULO!$AM$15:$AW$15,$F65,0,OFFSET(ORÇAMENTO!$D$15,CRONO!$F65,0))),CRONO!E$12,OFFSET(CÁLCULO!$AB$15:$AL$15,$F65,0,OFFSET(ORÇAMENTO!$D$15,CRONO!$F65,0)))
                +IF(AND($F67&lt;&gt;"",$F67&lt;&gt;0),
                        SUMIF(CÁLCULO!$AM$15:$AW$405,CRONO!E$12,CÁLCULO!$AB$15:$AL$405)/(ORÇAMENTO!$X$15-_xlfn.SINGLE(CÁLCULO.TotalAdmLocal))*CRONO!$F67,
                        0),
                 E66*$S65),
          SUMIF(OFFSET($S67,1,0,$R65-2),($M65+1)&amp;"$",OFFSET(E67,1,0,$R65-2)))</f>
        <v>0</v>
      </c>
      <c r="F67" s="186" t="str">
        <f ca="1">IF(OR($R65&lt;&gt;2,AUTOEVENTO&lt;&gt;"manual",$F66&gt;0),"",
        IF(Import.TipoArredondamento="Tradicional",
              SUMIF(OFFSET(CÁLCULO!$M$15,CRONO!$F65,0,OFFSET(ORÇAMENTO!$D$15,CRONO!$F65,0)),1,OFFSET(ORÇAMENTO!$X$15,CRONO!$F65,0,OFFSET(ORÇAMENTO!$D$15,CRONO!$F65,0))),
              0))</f>
        <v/>
      </c>
      <c r="H67" s="204"/>
      <c r="S67" s="205" t="str">
        <f t="shared" ref="S67" ca="1" si="109">M65&amp;"$"</f>
        <v>2$</v>
      </c>
      <c r="T67" s="206"/>
      <c r="U67" s="203" cm="1">
        <f t="array" aca="1" ref="U67" ca="1">IF($R65=2,
         IF(AND(ACOMPANHAMENTO="PLE",ISNUMBER($F65)),
                SUMIF((OFFSET(CÁLCULO!$AM$15:$AW$15,$F65,0,OFFSET(ORÇAMENTO!$D$15,CRONO!$F65,0))),CRONO!U$12,OFFSET(CÁLCULO!$AB$15:$AL$15,$F65,0,OFFSET(ORÇAMENTO!$D$15,CRONO!$F65,0)))
                +IF(AND($F67&lt;&gt;"",$F67&lt;&gt;0),
                        SUMIF(CÁLCULO!$AM$15:$AW$405,CRONO!U$12,CÁLCULO!$AB$15:$AL$405)/(ORÇAMENTO!$X$15-_xlfn.SINGLE(CÁLCULO.TotalAdmLocal))*CRONO!$F67,
                        0),
                 U66*$S65),
          SUMIF(OFFSET($S67,1,0,$R65-2),($M65+1)&amp;"$",OFFSET(U67,1,0,$R65-2)))</f>
        <v>0</v>
      </c>
      <c r="V67" s="203" cm="1">
        <f t="array" aca="1" ref="V67" ca="1">IF($R65=2,
         IF(AND(ACOMPANHAMENTO="PLE",ISNUMBER($F65)),
                SUMIF((OFFSET(CÁLCULO!$AM$15:$AW$15,$F65,0,OFFSET(ORÇAMENTO!$D$15,CRONO!$F65,0))),CRONO!V$12,OFFSET(CÁLCULO!$AB$15:$AL$15,$F65,0,OFFSET(ORÇAMENTO!$D$15,CRONO!$F65,0)))
                +IF(AND($F67&lt;&gt;"",$F67&lt;&gt;0),
                        SUMIF(CÁLCULO!$AM$15:$AW$405,CRONO!V$12,CÁLCULO!$AB$15:$AL$405)/(ORÇAMENTO!$X$15-_xlfn.SINGLE(CÁLCULO.TotalAdmLocal))*CRONO!$F67,
                        0),
                 V66*$S65),
          SUMIF(OFFSET($S67,1,0,$R65-2),($M65+1)&amp;"$",OFFSET(V67,1,0,$R65-2)))</f>
        <v>0</v>
      </c>
      <c r="W67" s="203" cm="1">
        <f t="array" aca="1" ref="W67" ca="1">IF($R65=2,
         IF(AND(ACOMPANHAMENTO="PLE",ISNUMBER($F65)),
                SUMIF((OFFSET(CÁLCULO!$AM$15:$AW$15,$F65,0,OFFSET(ORÇAMENTO!$D$15,CRONO!$F65,0))),CRONO!W$12,OFFSET(CÁLCULO!$AB$15:$AL$15,$F65,0,OFFSET(ORÇAMENTO!$D$15,CRONO!$F65,0)))
                +IF(AND($F67&lt;&gt;"",$F67&lt;&gt;0),
                        SUMIF(CÁLCULO!$AM$15:$AW$405,CRONO!W$12,CÁLCULO!$AB$15:$AL$405)/(ORÇAMENTO!$X$15-_xlfn.SINGLE(CÁLCULO.TotalAdmLocal))*CRONO!$F67,
                        0),
                 W66*$S65),
          SUMIF(OFFSET($S67,1,0,$R65-2),($M65+1)&amp;"$",OFFSET(W67,1,0,$R65-2)))</f>
        <v>0</v>
      </c>
      <c r="X67" s="203" cm="1">
        <f t="array" aca="1" ref="X67" ca="1">IF($R65=2,
         IF(AND(ACOMPANHAMENTO="PLE",ISNUMBER($F65)),
                SUMIF((OFFSET(CÁLCULO!$AM$15:$AW$15,$F65,0,OFFSET(ORÇAMENTO!$D$15,CRONO!$F65,0))),CRONO!X$12,OFFSET(CÁLCULO!$AB$15:$AL$15,$F65,0,OFFSET(ORÇAMENTO!$D$15,CRONO!$F65,0)))
                +IF(AND($F67&lt;&gt;"",$F67&lt;&gt;0),
                        SUMIF(CÁLCULO!$AM$15:$AW$405,CRONO!X$12,CÁLCULO!$AB$15:$AL$405)/(ORÇAMENTO!$X$15-_xlfn.SINGLE(CÁLCULO.TotalAdmLocal))*CRONO!$F67,
                        0),
                 X66*$S65),
          SUMIF(OFFSET($S67,1,0,$R65-2),($M65+1)&amp;"$",OFFSET(X67,1,0,$R65-2)))</f>
        <v>0</v>
      </c>
      <c r="Y67" s="203" cm="1">
        <f t="array" aca="1" ref="Y67" ca="1">IF($R65=2,
         IF(AND(ACOMPANHAMENTO="PLE",ISNUMBER($F65)),
                SUMIF((OFFSET(CÁLCULO!$AM$15:$AW$15,$F65,0,OFFSET(ORÇAMENTO!$D$15,CRONO!$F65,0))),CRONO!Y$12,OFFSET(CÁLCULO!$AB$15:$AL$15,$F65,0,OFFSET(ORÇAMENTO!$D$15,CRONO!$F65,0)))
                +IF(AND($F67&lt;&gt;"",$F67&lt;&gt;0),
                        SUMIF(CÁLCULO!$AM$15:$AW$405,CRONO!Y$12,CÁLCULO!$AB$15:$AL$405)/(ORÇAMENTO!$X$15-_xlfn.SINGLE(CÁLCULO.TotalAdmLocal))*CRONO!$F67,
                        0),
                 Y66*$S65),
          SUMIF(OFFSET($S67,1,0,$R65-2),($M65+1)&amp;"$",OFFSET(Y67,1,0,$R65-2)))</f>
        <v>0</v>
      </c>
      <c r="Z67" s="203" cm="1">
        <f t="array" aca="1" ref="Z67" ca="1">IF($R65=2,
         IF(AND(ACOMPANHAMENTO="PLE",ISNUMBER($F65)),
                SUMIF((OFFSET(CÁLCULO!$AM$15:$AW$15,$F65,0,OFFSET(ORÇAMENTO!$D$15,CRONO!$F65,0))),CRONO!Z$12,OFFSET(CÁLCULO!$AB$15:$AL$15,$F65,0,OFFSET(ORÇAMENTO!$D$15,CRONO!$F65,0)))
                +IF(AND($F67&lt;&gt;"",$F67&lt;&gt;0),
                        SUMIF(CÁLCULO!$AM$15:$AW$405,CRONO!Z$12,CÁLCULO!$AB$15:$AL$405)/(ORÇAMENTO!$X$15-_xlfn.SINGLE(CÁLCULO.TotalAdmLocal))*CRONO!$F67,
                        0),
                 Z66*$S65),
          SUMIF(OFFSET($S67,1,0,$R65-2),($M65+1)&amp;"$",OFFSET(Z67,1,0,$R65-2)))</f>
        <v>0</v>
      </c>
      <c r="AA67" s="203" cm="1">
        <f t="array" aca="1" ref="AA67" ca="1">IF($R65=2,
         IF(AND(ACOMPANHAMENTO="PLE",ISNUMBER($F65)),
                SUMIF((OFFSET(CÁLCULO!$AM$15:$AW$15,$F65,0,OFFSET(ORÇAMENTO!$D$15,CRONO!$F65,0))),CRONO!AA$12,OFFSET(CÁLCULO!$AB$15:$AL$15,$F65,0,OFFSET(ORÇAMENTO!$D$15,CRONO!$F65,0)))
                +IF(AND($F67&lt;&gt;"",$F67&lt;&gt;0),
                        SUMIF(CÁLCULO!$AM$15:$AW$405,CRONO!AA$12,CÁLCULO!$AB$15:$AL$405)/(ORÇAMENTO!$X$15-_xlfn.SINGLE(CÁLCULO.TotalAdmLocal))*CRONO!$F67,
                        0),
                 AA66*$S65),
          SUMIF(OFFSET($S67,1,0,$R65-2),($M65+1)&amp;"$",OFFSET(AA67,1,0,$R65-2)))</f>
        <v>0</v>
      </c>
      <c r="AB67" s="203" cm="1">
        <f t="array" aca="1" ref="AB67" ca="1">IF($R65=2,
         IF(AND(ACOMPANHAMENTO="PLE",ISNUMBER($F65)),
                SUMIF((OFFSET(CÁLCULO!$AM$15:$AW$15,$F65,0,OFFSET(ORÇAMENTO!$D$15,CRONO!$F65,0))),CRONO!AB$12,OFFSET(CÁLCULO!$AB$15:$AL$15,$F65,0,OFFSET(ORÇAMENTO!$D$15,CRONO!$F65,0)))
                +IF(AND($F67&lt;&gt;"",$F67&lt;&gt;0),
                        SUMIF(CÁLCULO!$AM$15:$AW$405,CRONO!AB$12,CÁLCULO!$AB$15:$AL$405)/(ORÇAMENTO!$X$15-_xlfn.SINGLE(CÁLCULO.TotalAdmLocal))*CRONO!$F67,
                        0),
                 AB66*$S65),
          SUMIF(OFFSET($S67,1,0,$R65-2),($M65+1)&amp;"$",OFFSET(AB67,1,0,$R65-2)))</f>
        <v>0</v>
      </c>
      <c r="AC67" s="203" cm="1">
        <f t="array" aca="1" ref="AC67" ca="1">IF($R65=2,
         IF(AND(ACOMPANHAMENTO="PLE",ISNUMBER($F65)),
                SUMIF((OFFSET(CÁLCULO!$AM$15:$AW$15,$F65,0,OFFSET(ORÇAMENTO!$D$15,CRONO!$F65,0))),CRONO!AC$12,OFFSET(CÁLCULO!$AB$15:$AL$15,$F65,0,OFFSET(ORÇAMENTO!$D$15,CRONO!$F65,0)))
                +IF(AND($F67&lt;&gt;"",$F67&lt;&gt;0),
                        SUMIF(CÁLCULO!$AM$15:$AW$405,CRONO!AC$12,CÁLCULO!$AB$15:$AL$405)/(ORÇAMENTO!$X$15-_xlfn.SINGLE(CÁLCULO.TotalAdmLocal))*CRONO!$F67,
                        0),
                 AC66*$S65),
          SUMIF(OFFSET($S67,1,0,$R65-2),($M65+1)&amp;"$",OFFSET(AC67,1,0,$R65-2)))</f>
        <v>0</v>
      </c>
      <c r="AD67" s="203" cm="1">
        <f t="array" aca="1" ref="AD67" ca="1">IF($R65=2,
         IF(AND(ACOMPANHAMENTO="PLE",ISNUMBER($F65)),
                SUMIF((OFFSET(CÁLCULO!$AM$15:$AW$15,$F65,0,OFFSET(ORÇAMENTO!$D$15,CRONO!$F65,0))),CRONO!AD$12,OFFSET(CÁLCULO!$AB$15:$AL$15,$F65,0,OFFSET(ORÇAMENTO!$D$15,CRONO!$F65,0)))
                +IF(AND($F67&lt;&gt;"",$F67&lt;&gt;0),
                        SUMIF(CÁLCULO!$AM$15:$AW$405,CRONO!AD$12,CÁLCULO!$AB$15:$AL$405)/(ORÇAMENTO!$X$15-_xlfn.SINGLE(CÁLCULO.TotalAdmLocal))*CRONO!$F67,
                        0),
                 AD66*$S65),
          SUMIF(OFFSET($S67,1,0,$R65-2),($M65+1)&amp;"$",OFFSET(AD67,1,0,$R65-2)))</f>
        <v>0</v>
      </c>
      <c r="AE67" s="203" cm="1">
        <f t="array" aca="1" ref="AE67" ca="1">IF($R65=2,
         IF(AND(ACOMPANHAMENTO="PLE",ISNUMBER($F65)),
                SUMIF((OFFSET(CÁLCULO!$AM$15:$AW$15,$F65,0,OFFSET(ORÇAMENTO!$D$15,CRONO!$F65,0))),CRONO!AE$12,OFFSET(CÁLCULO!$AB$15:$AL$15,$F65,0,OFFSET(ORÇAMENTO!$D$15,CRONO!$F65,0)))
                +IF(AND($F67&lt;&gt;"",$F67&lt;&gt;0),
                        SUMIF(CÁLCULO!$AM$15:$AW$405,CRONO!AE$12,CÁLCULO!$AB$15:$AL$405)/(ORÇAMENTO!$X$15-_xlfn.SINGLE(CÁLCULO.TotalAdmLocal))*CRONO!$F67,
                        0),
                 AE66*$S65),
          SUMIF(OFFSET($S67,1,0,$R65-2),($M65+1)&amp;"$",OFFSET(AE67,1,0,$R65-2)))</f>
        <v>0</v>
      </c>
      <c r="AF67" s="203" cm="1">
        <f t="array" aca="1" ref="AF67" ca="1">IF($R65=2,
         IF(AND(ACOMPANHAMENTO="PLE",ISNUMBER($F65)),
                SUMIF((OFFSET(CÁLCULO!$AM$15:$AW$15,$F65,0,OFFSET(ORÇAMENTO!$D$15,CRONO!$F65,0))),CRONO!AF$12,OFFSET(CÁLCULO!$AB$15:$AL$15,$F65,0,OFFSET(ORÇAMENTO!$D$15,CRONO!$F65,0)))
                +IF(AND($F67&lt;&gt;"",$F67&lt;&gt;0),
                        SUMIF(CÁLCULO!$AM$15:$AW$405,CRONO!AF$12,CÁLCULO!$AB$15:$AL$405)/(ORÇAMENTO!$X$15-_xlfn.SINGLE(CÁLCULO.TotalAdmLocal))*CRONO!$F67,
                        0),
                 AF66*$S65),
          SUMIF(OFFSET($S67,1,0,$R65-2),($M65+1)&amp;"$",OFFSET(AF67,1,0,$R65-2)))</f>
        <v>0</v>
      </c>
      <c r="AG67" s="535"/>
    </row>
    <row r="68" spans="1:33" x14ac:dyDescent="0.2">
      <c r="A68" s="187" t="e">
        <f t="shared" ref="A68" ca="1" si="110">IF($M68&gt;1,_xlfn.CONCAT($I68," ",$J68),"")</f>
        <v>#NAME?</v>
      </c>
      <c r="B68" s="186">
        <f t="shared" ref="B68" ca="1" si="111">OFFSET(B68,-3,0)+1</f>
        <v>19</v>
      </c>
      <c r="C68" s="186">
        <f ca="1">IF($R68&lt;&gt;2,0,IF($S68=0,1,IF(F69&gt;0,OFFSET(QCI!$M$13,SUBSTITUTE(F69,".",""),0),OFFSET(ORÇAMENTO!$AA$15,CRONO!$F68,0))/$S68))</f>
        <v>1</v>
      </c>
      <c r="D68" s="186">
        <f ca="1">IF($R68&lt;&gt;2,0,IF($S68=0,1,IF(F69&gt;0,OFFSET(QCI!$N$13,SUBSTITUTE(F69,".",""),0),OFFSET(ORÇAMENTO!$AB$15,CRONO!$F68,0))/$S68))</f>
        <v>1</v>
      </c>
      <c r="E68" s="189" cm="1">
        <f t="array" aca="1" ref="E68" ca="1">IF(AND($R68=2,ACOMPANHAMENTO="BM"),ROUND(E69,4),E70/$S68)</f>
        <v>0</v>
      </c>
      <c r="F68" s="186">
        <f ca="1">IF(B68&lt;=ORÇAMENTO.MáximoListaCrono,MATCH(B68,ORÇAMENTO.ListaCrono,0),NA())</f>
        <v>327</v>
      </c>
      <c r="G68" s="186" t="str">
        <f t="shared" ref="G68" ca="1" si="112">IF(AND($F69&lt;&gt;-1,$S68&gt;0),"F","")</f>
        <v/>
      </c>
      <c r="H68" s="190" t="str" cm="1">
        <f t="array" aca="1" ref="H68" ca="1">IF(OR(S68=0,S68=""),"Linha",IF(AND(OR(ACOMPANHAMENTO="PLE",$R68&lt;&gt;2),$F69=0),"Linha",ROUND(1-SUM(U68:AG68),4)))</f>
        <v>Linha</v>
      </c>
      <c r="I68" s="191" t="str">
        <f ca="1">IF($F69=0,OFFSET(ORÇAMENTO!O$15,$F68,0),IF($F69&lt;&gt;-1,OFFSET(QCI!$D$13,$F69,0),""))</f>
        <v>1.18.</v>
      </c>
      <c r="J68" s="192" t="str">
        <f ca="1">IF($F69=0,OFFSET(ORÇAMENTO!R$15,$F68,0),IF($F69&lt;&gt;-1,OFFSET(QCI!$G$13,$F69,0),""))</f>
        <v>PISOS EXTERNOS</v>
      </c>
      <c r="K68" s="192"/>
      <c r="L68" s="192"/>
      <c r="M68" s="193">
        <f ca="1">IF($F69=0,OFFSET(ORÇAMENTO!C$15,$F68,0),1)</f>
        <v>2</v>
      </c>
      <c r="N68" s="194">
        <f ca="1">IF($F69=-1,0,IF(N$13&lt;=$M68,IF(ISERROR(MATCH(N$13,OFFSET($M68,1,0,ROW($M$89)-ROW($M68)-1),0)),ROW($M$89)-ROW($M68)-1,MATCH(N$13,OFFSET($M68,1,0,ROW($M$89)-ROW($M68)-1),0)-1),0))</f>
        <v>20</v>
      </c>
      <c r="O68" s="194">
        <f ca="1">IF($F69=-1,0,IF(O$13&lt;=$M68,IF(ISERROR(MATCH(O$13,OFFSET($M68,1,0,ROW($M$89)-ROW($M68)-1),0)),ROW($M$89)-ROW($M68)-1,MATCH(O$13,OFFSET($M68,1,0,ROW($M$89)-ROW($M68)-1),0)-1),0))</f>
        <v>2</v>
      </c>
      <c r="P68" s="194">
        <f ca="1">IF($F69=-1,0,IF(P$13&lt;=$M68,IF(ISERROR(MATCH(P$13,OFFSET($M68,1,0,ROW($M$89)-ROW($M68)-1),0)),ROW($M$89)-ROW($M68)-1,MATCH(P$13,OFFSET($M68,1,0,ROW($M$89)-ROW($M68)-1),0)-1),0))</f>
        <v>0</v>
      </c>
      <c r="Q68" s="194">
        <f ca="1">IF($F69=-1,0,IF(Q$13&lt;=$M68,IF(ISERROR(MATCH(Q$13,OFFSET($M68,1,0,ROW($M$89)-ROW($M68)-1),0)),ROW($M$89)-ROW($M68)-1,MATCH(Q$13,OFFSET($M68,1,0,ROW($M$89)-ROW($M68)-1),0)-1),0))</f>
        <v>0</v>
      </c>
      <c r="R68" s="194">
        <f t="shared" ref="R68" ca="1" si="113">MIN(OFFSET(M68,0,1,,M68))</f>
        <v>2</v>
      </c>
      <c r="S68" s="195">
        <f ca="1">IF($F69=0,OFFSET(ORÇAMENTO!X$15,$F68,0),IF($F69&lt;&gt;-1,OFFSET(QCI!$O$13,$F69,0),""))</f>
        <v>0</v>
      </c>
      <c r="T68" s="196" t="s">
        <v>787</v>
      </c>
      <c r="U68" s="189" cm="1">
        <f t="array" aca="1" ref="U68" ca="1">IF(AND($R68=2,ACOMPANHAMENTO="BM"),ROUND(U69,4),U70/$S68)</f>
        <v>0</v>
      </c>
      <c r="V68" s="189" cm="1">
        <f t="array" aca="1" ref="V68" ca="1">IF(AND($R68=2,ACOMPANHAMENTO="BM"),ROUND(V69,4),V70/$S68)</f>
        <v>0</v>
      </c>
      <c r="W68" s="189" cm="1">
        <f t="array" aca="1" ref="W68" ca="1">IF(AND($R68=2,ACOMPANHAMENTO="BM"),ROUND(W69,4),W70/$S68)</f>
        <v>0</v>
      </c>
      <c r="X68" s="189" cm="1">
        <f t="array" aca="1" ref="X68" ca="1">IF(AND($R68=2,ACOMPANHAMENTO="BM"),ROUND(X69,4),X70/$S68)</f>
        <v>0.25</v>
      </c>
      <c r="Y68" s="189" cm="1">
        <f t="array" aca="1" ref="Y68" ca="1">IF(AND($R68=2,ACOMPANHAMENTO="BM"),ROUND(Y69,4),Y70/$S68)</f>
        <v>0.25</v>
      </c>
      <c r="Z68" s="189" cm="1">
        <f t="array" aca="1" ref="Z68" ca="1">IF(AND($R68=2,ACOMPANHAMENTO="BM"),ROUND(Z69,4),Z70/$S68)</f>
        <v>0.5</v>
      </c>
      <c r="AA68" s="189" cm="1">
        <f t="array" aca="1" ref="AA68" ca="1">IF(AND($R68=2,ACOMPANHAMENTO="BM"),ROUND(AA69,4),AA70/$S68)</f>
        <v>0</v>
      </c>
      <c r="AB68" s="189" cm="1">
        <f t="array" aca="1" ref="AB68" ca="1">IF(AND($R68=2,ACOMPANHAMENTO="BM"),ROUND(AB69,4),AB70/$S68)</f>
        <v>0</v>
      </c>
      <c r="AC68" s="189" cm="1">
        <f t="array" aca="1" ref="AC68" ca="1">IF(AND($R68=2,ACOMPANHAMENTO="BM"),ROUND(AC69,4),AC70/$S68)</f>
        <v>0</v>
      </c>
      <c r="AD68" s="189" cm="1">
        <f t="array" aca="1" ref="AD68" ca="1">IF(AND($R68=2,ACOMPANHAMENTO="BM"),ROUND(AD69,4),AD70/$S68)</f>
        <v>0</v>
      </c>
      <c r="AE68" s="189" cm="1">
        <f t="array" aca="1" ref="AE68" ca="1">IF(AND($R68=2,ACOMPANHAMENTO="BM"),ROUND(AE69,4),AE70/$S68)</f>
        <v>0</v>
      </c>
      <c r="AF68" s="189" cm="1">
        <f t="array" aca="1" ref="AF68" ca="1">IF(AND($R68=2,ACOMPANHAMENTO="BM"),ROUND(AF69,4),AF70/$S68)</f>
        <v>0</v>
      </c>
      <c r="AG68" s="535"/>
    </row>
    <row r="69" spans="1:33" ht="12.75" customHeight="1" x14ac:dyDescent="0.2">
      <c r="E69" s="590"/>
      <c r="F69" s="186">
        <f ca="1">IF(ISERROR(F68),IF(1+COUNTIF($M$13:OFFSET(M68,-1,0),1)&lt;=MAX(QCI!$D$13:$D$24),1+COUNTIF($M$13:OFFSET(M68,-1,0),1),-1),0)</f>
        <v>0</v>
      </c>
      <c r="G69" s="186" t="str" cm="1">
        <f t="array" aca="1" ref="G69" ca="1">IF(ACOMPANHAMENTO="BM",OFFSET(G69,-1,0),"")</f>
        <v/>
      </c>
      <c r="H69" s="197" t="str" cm="1">
        <f t="array" aca="1" ref="H69" ca="1">IF(OR(S68=0,S68=""),"vazia",IF(AND(OR(ACOMPANHAMENTO="PLE",$R68&lt;&gt;2),$F69=0),"calculada","--&gt;"))</f>
        <v>vazia</v>
      </c>
      <c r="I69" s="198"/>
      <c r="J69" s="199" t="str">
        <f t="shared" ref="J69" ca="1" si="114">IF(AND(H68&lt;&gt;0,ISNUMBER(H68)),"PREENCHA ESTA LINHA --&gt;","")</f>
        <v/>
      </c>
      <c r="K69" s="199"/>
      <c r="L69" s="199"/>
      <c r="M69" s="200"/>
      <c r="N69" s="200"/>
      <c r="O69" s="200"/>
      <c r="P69" s="200"/>
      <c r="Q69" s="200"/>
      <c r="R69" s="200"/>
      <c r="S69" s="201"/>
      <c r="T69" s="202"/>
      <c r="U69" s="590"/>
      <c r="V69" s="590"/>
      <c r="W69" s="590"/>
      <c r="X69" s="590">
        <v>0.25</v>
      </c>
      <c r="Y69" s="590">
        <v>0.25</v>
      </c>
      <c r="Z69" s="590">
        <v>0.5</v>
      </c>
      <c r="AA69" s="590"/>
      <c r="AB69" s="590"/>
      <c r="AC69" s="590"/>
      <c r="AD69" s="590"/>
      <c r="AE69" s="590"/>
      <c r="AF69" s="590"/>
      <c r="AG69" s="535"/>
    </row>
    <row r="70" spans="1:33" ht="12.75" customHeight="1" x14ac:dyDescent="0.2">
      <c r="D70" s="534"/>
      <c r="E70" s="203" cm="1">
        <f t="array" aca="1" ref="E70" ca="1">IF($R68=2,
         IF(AND(ACOMPANHAMENTO="PLE",ISNUMBER($F68)),
                SUMIF((OFFSET(CÁLCULO!$AM$15:$AW$15,$F68,0,OFFSET(ORÇAMENTO!$D$15,CRONO!$F68,0))),CRONO!E$12,OFFSET(CÁLCULO!$AB$15:$AL$15,$F68,0,OFFSET(ORÇAMENTO!$D$15,CRONO!$F68,0)))
                +IF(AND($F70&lt;&gt;"",$F70&lt;&gt;0),
                        SUMIF(CÁLCULO!$AM$15:$AW$405,CRONO!E$12,CÁLCULO!$AB$15:$AL$405)/(ORÇAMENTO!$X$15-_xlfn.SINGLE(CÁLCULO.TotalAdmLocal))*CRONO!$F70,
                        0),
                 E69*$S68),
          SUMIF(OFFSET($S70,1,0,$R68-2),($M68+1)&amp;"$",OFFSET(E70,1,0,$R68-2)))</f>
        <v>0</v>
      </c>
      <c r="F70" s="186" t="str">
        <f ca="1">IF(OR($R68&lt;&gt;2,AUTOEVENTO&lt;&gt;"manual",$F69&gt;0),"",
        IF(Import.TipoArredondamento="Tradicional",
              SUMIF(OFFSET(CÁLCULO!$M$15,CRONO!$F68,0,OFFSET(ORÇAMENTO!$D$15,CRONO!$F68,0)),1,OFFSET(ORÇAMENTO!$X$15,CRONO!$F68,0,OFFSET(ORÇAMENTO!$D$15,CRONO!$F68,0))),
              0))</f>
        <v/>
      </c>
      <c r="H70" s="204"/>
      <c r="S70" s="205" t="str">
        <f t="shared" ref="S70" ca="1" si="115">M68&amp;"$"</f>
        <v>2$</v>
      </c>
      <c r="T70" s="206"/>
      <c r="U70" s="203" cm="1">
        <f t="array" aca="1" ref="U70" ca="1">IF($R68=2,
         IF(AND(ACOMPANHAMENTO="PLE",ISNUMBER($F68)),
                SUMIF((OFFSET(CÁLCULO!$AM$15:$AW$15,$F68,0,OFFSET(ORÇAMENTO!$D$15,CRONO!$F68,0))),CRONO!U$12,OFFSET(CÁLCULO!$AB$15:$AL$15,$F68,0,OFFSET(ORÇAMENTO!$D$15,CRONO!$F68,0)))
                +IF(AND($F70&lt;&gt;"",$F70&lt;&gt;0),
                        SUMIF(CÁLCULO!$AM$15:$AW$405,CRONO!U$12,CÁLCULO!$AB$15:$AL$405)/(ORÇAMENTO!$X$15-_xlfn.SINGLE(CÁLCULO.TotalAdmLocal))*CRONO!$F70,
                        0),
                 U69*$S68),
          SUMIF(OFFSET($S70,1,0,$R68-2),($M68+1)&amp;"$",OFFSET(U70,1,0,$R68-2)))</f>
        <v>0</v>
      </c>
      <c r="V70" s="203" cm="1">
        <f t="array" aca="1" ref="V70" ca="1">IF($R68=2,
         IF(AND(ACOMPANHAMENTO="PLE",ISNUMBER($F68)),
                SUMIF((OFFSET(CÁLCULO!$AM$15:$AW$15,$F68,0,OFFSET(ORÇAMENTO!$D$15,CRONO!$F68,0))),CRONO!V$12,OFFSET(CÁLCULO!$AB$15:$AL$15,$F68,0,OFFSET(ORÇAMENTO!$D$15,CRONO!$F68,0)))
                +IF(AND($F70&lt;&gt;"",$F70&lt;&gt;0),
                        SUMIF(CÁLCULO!$AM$15:$AW$405,CRONO!V$12,CÁLCULO!$AB$15:$AL$405)/(ORÇAMENTO!$X$15-_xlfn.SINGLE(CÁLCULO.TotalAdmLocal))*CRONO!$F70,
                        0),
                 V69*$S68),
          SUMIF(OFFSET($S70,1,0,$R68-2),($M68+1)&amp;"$",OFFSET(V70,1,0,$R68-2)))</f>
        <v>0</v>
      </c>
      <c r="W70" s="203" cm="1">
        <f t="array" aca="1" ref="W70" ca="1">IF($R68=2,
         IF(AND(ACOMPANHAMENTO="PLE",ISNUMBER($F68)),
                SUMIF((OFFSET(CÁLCULO!$AM$15:$AW$15,$F68,0,OFFSET(ORÇAMENTO!$D$15,CRONO!$F68,0))),CRONO!W$12,OFFSET(CÁLCULO!$AB$15:$AL$15,$F68,0,OFFSET(ORÇAMENTO!$D$15,CRONO!$F68,0)))
                +IF(AND($F70&lt;&gt;"",$F70&lt;&gt;0),
                        SUMIF(CÁLCULO!$AM$15:$AW$405,CRONO!W$12,CÁLCULO!$AB$15:$AL$405)/(ORÇAMENTO!$X$15-_xlfn.SINGLE(CÁLCULO.TotalAdmLocal))*CRONO!$F70,
                        0),
                 W69*$S68),
          SUMIF(OFFSET($S70,1,0,$R68-2),($M68+1)&amp;"$",OFFSET(W70,1,0,$R68-2)))</f>
        <v>0</v>
      </c>
      <c r="X70" s="203" cm="1">
        <f t="array" aca="1" ref="X70" ca="1">IF($R68=2,
         IF(AND(ACOMPANHAMENTO="PLE",ISNUMBER($F68)),
                SUMIF((OFFSET(CÁLCULO!$AM$15:$AW$15,$F68,0,OFFSET(ORÇAMENTO!$D$15,CRONO!$F68,0))),CRONO!X$12,OFFSET(CÁLCULO!$AB$15:$AL$15,$F68,0,OFFSET(ORÇAMENTO!$D$15,CRONO!$F68,0)))
                +IF(AND($F70&lt;&gt;"",$F70&lt;&gt;0),
                        SUMIF(CÁLCULO!$AM$15:$AW$405,CRONO!X$12,CÁLCULO!$AB$15:$AL$405)/(ORÇAMENTO!$X$15-_xlfn.SINGLE(CÁLCULO.TotalAdmLocal))*CRONO!$F70,
                        0),
                 X69*$S68),
          SUMIF(OFFSET($S70,1,0,$R68-2),($M68+1)&amp;"$",OFFSET(X70,1,0,$R68-2)))</f>
        <v>0</v>
      </c>
      <c r="Y70" s="203" cm="1">
        <f t="array" aca="1" ref="Y70" ca="1">IF($R68=2,
         IF(AND(ACOMPANHAMENTO="PLE",ISNUMBER($F68)),
                SUMIF((OFFSET(CÁLCULO!$AM$15:$AW$15,$F68,0,OFFSET(ORÇAMENTO!$D$15,CRONO!$F68,0))),CRONO!Y$12,OFFSET(CÁLCULO!$AB$15:$AL$15,$F68,0,OFFSET(ORÇAMENTO!$D$15,CRONO!$F68,0)))
                +IF(AND($F70&lt;&gt;"",$F70&lt;&gt;0),
                        SUMIF(CÁLCULO!$AM$15:$AW$405,CRONO!Y$12,CÁLCULO!$AB$15:$AL$405)/(ORÇAMENTO!$X$15-_xlfn.SINGLE(CÁLCULO.TotalAdmLocal))*CRONO!$F70,
                        0),
                 Y69*$S68),
          SUMIF(OFFSET($S70,1,0,$R68-2),($M68+1)&amp;"$",OFFSET(Y70,1,0,$R68-2)))</f>
        <v>0</v>
      </c>
      <c r="Z70" s="203" cm="1">
        <f t="array" aca="1" ref="Z70" ca="1">IF($R68=2,
         IF(AND(ACOMPANHAMENTO="PLE",ISNUMBER($F68)),
                SUMIF((OFFSET(CÁLCULO!$AM$15:$AW$15,$F68,0,OFFSET(ORÇAMENTO!$D$15,CRONO!$F68,0))),CRONO!Z$12,OFFSET(CÁLCULO!$AB$15:$AL$15,$F68,0,OFFSET(ORÇAMENTO!$D$15,CRONO!$F68,0)))
                +IF(AND($F70&lt;&gt;"",$F70&lt;&gt;0),
                        SUMIF(CÁLCULO!$AM$15:$AW$405,CRONO!Z$12,CÁLCULO!$AB$15:$AL$405)/(ORÇAMENTO!$X$15-_xlfn.SINGLE(CÁLCULO.TotalAdmLocal))*CRONO!$F70,
                        0),
                 Z69*$S68),
          SUMIF(OFFSET($S70,1,0,$R68-2),($M68+1)&amp;"$",OFFSET(Z70,1,0,$R68-2)))</f>
        <v>0</v>
      </c>
      <c r="AA70" s="203" cm="1">
        <f t="array" aca="1" ref="AA70" ca="1">IF($R68=2,
         IF(AND(ACOMPANHAMENTO="PLE",ISNUMBER($F68)),
                SUMIF((OFFSET(CÁLCULO!$AM$15:$AW$15,$F68,0,OFFSET(ORÇAMENTO!$D$15,CRONO!$F68,0))),CRONO!AA$12,OFFSET(CÁLCULO!$AB$15:$AL$15,$F68,0,OFFSET(ORÇAMENTO!$D$15,CRONO!$F68,0)))
                +IF(AND($F70&lt;&gt;"",$F70&lt;&gt;0),
                        SUMIF(CÁLCULO!$AM$15:$AW$405,CRONO!AA$12,CÁLCULO!$AB$15:$AL$405)/(ORÇAMENTO!$X$15-_xlfn.SINGLE(CÁLCULO.TotalAdmLocal))*CRONO!$F70,
                        0),
                 AA69*$S68),
          SUMIF(OFFSET($S70,1,0,$R68-2),($M68+1)&amp;"$",OFFSET(AA70,1,0,$R68-2)))</f>
        <v>0</v>
      </c>
      <c r="AB70" s="203" cm="1">
        <f t="array" aca="1" ref="AB70" ca="1">IF($R68=2,
         IF(AND(ACOMPANHAMENTO="PLE",ISNUMBER($F68)),
                SUMIF((OFFSET(CÁLCULO!$AM$15:$AW$15,$F68,0,OFFSET(ORÇAMENTO!$D$15,CRONO!$F68,0))),CRONO!AB$12,OFFSET(CÁLCULO!$AB$15:$AL$15,$F68,0,OFFSET(ORÇAMENTO!$D$15,CRONO!$F68,0)))
                +IF(AND($F70&lt;&gt;"",$F70&lt;&gt;0),
                        SUMIF(CÁLCULO!$AM$15:$AW$405,CRONO!AB$12,CÁLCULO!$AB$15:$AL$405)/(ORÇAMENTO!$X$15-_xlfn.SINGLE(CÁLCULO.TotalAdmLocal))*CRONO!$F70,
                        0),
                 AB69*$S68),
          SUMIF(OFFSET($S70,1,0,$R68-2),($M68+1)&amp;"$",OFFSET(AB70,1,0,$R68-2)))</f>
        <v>0</v>
      </c>
      <c r="AC70" s="203" cm="1">
        <f t="array" aca="1" ref="AC70" ca="1">IF($R68=2,
         IF(AND(ACOMPANHAMENTO="PLE",ISNUMBER($F68)),
                SUMIF((OFFSET(CÁLCULO!$AM$15:$AW$15,$F68,0,OFFSET(ORÇAMENTO!$D$15,CRONO!$F68,0))),CRONO!AC$12,OFFSET(CÁLCULO!$AB$15:$AL$15,$F68,0,OFFSET(ORÇAMENTO!$D$15,CRONO!$F68,0)))
                +IF(AND($F70&lt;&gt;"",$F70&lt;&gt;0),
                        SUMIF(CÁLCULO!$AM$15:$AW$405,CRONO!AC$12,CÁLCULO!$AB$15:$AL$405)/(ORÇAMENTO!$X$15-_xlfn.SINGLE(CÁLCULO.TotalAdmLocal))*CRONO!$F70,
                        0),
                 AC69*$S68),
          SUMIF(OFFSET($S70,1,0,$R68-2),($M68+1)&amp;"$",OFFSET(AC70,1,0,$R68-2)))</f>
        <v>0</v>
      </c>
      <c r="AD70" s="203" cm="1">
        <f t="array" aca="1" ref="AD70" ca="1">IF($R68=2,
         IF(AND(ACOMPANHAMENTO="PLE",ISNUMBER($F68)),
                SUMIF((OFFSET(CÁLCULO!$AM$15:$AW$15,$F68,0,OFFSET(ORÇAMENTO!$D$15,CRONO!$F68,0))),CRONO!AD$12,OFFSET(CÁLCULO!$AB$15:$AL$15,$F68,0,OFFSET(ORÇAMENTO!$D$15,CRONO!$F68,0)))
                +IF(AND($F70&lt;&gt;"",$F70&lt;&gt;0),
                        SUMIF(CÁLCULO!$AM$15:$AW$405,CRONO!AD$12,CÁLCULO!$AB$15:$AL$405)/(ORÇAMENTO!$X$15-_xlfn.SINGLE(CÁLCULO.TotalAdmLocal))*CRONO!$F70,
                        0),
                 AD69*$S68),
          SUMIF(OFFSET($S70,1,0,$R68-2),($M68+1)&amp;"$",OFFSET(AD70,1,0,$R68-2)))</f>
        <v>0</v>
      </c>
      <c r="AE70" s="203" cm="1">
        <f t="array" aca="1" ref="AE70" ca="1">IF($R68=2,
         IF(AND(ACOMPANHAMENTO="PLE",ISNUMBER($F68)),
                SUMIF((OFFSET(CÁLCULO!$AM$15:$AW$15,$F68,0,OFFSET(ORÇAMENTO!$D$15,CRONO!$F68,0))),CRONO!AE$12,OFFSET(CÁLCULO!$AB$15:$AL$15,$F68,0,OFFSET(ORÇAMENTO!$D$15,CRONO!$F68,0)))
                +IF(AND($F70&lt;&gt;"",$F70&lt;&gt;0),
                        SUMIF(CÁLCULO!$AM$15:$AW$405,CRONO!AE$12,CÁLCULO!$AB$15:$AL$405)/(ORÇAMENTO!$X$15-_xlfn.SINGLE(CÁLCULO.TotalAdmLocal))*CRONO!$F70,
                        0),
                 AE69*$S68),
          SUMIF(OFFSET($S70,1,0,$R68-2),($M68+1)&amp;"$",OFFSET(AE70,1,0,$R68-2)))</f>
        <v>0</v>
      </c>
      <c r="AF70" s="203" cm="1">
        <f t="array" aca="1" ref="AF70" ca="1">IF($R68=2,
         IF(AND(ACOMPANHAMENTO="PLE",ISNUMBER($F68)),
                SUMIF((OFFSET(CÁLCULO!$AM$15:$AW$15,$F68,0,OFFSET(ORÇAMENTO!$D$15,CRONO!$F68,0))),CRONO!AF$12,OFFSET(CÁLCULO!$AB$15:$AL$15,$F68,0,OFFSET(ORÇAMENTO!$D$15,CRONO!$F68,0)))
                +IF(AND($F70&lt;&gt;"",$F70&lt;&gt;0),
                        SUMIF(CÁLCULO!$AM$15:$AW$405,CRONO!AF$12,CÁLCULO!$AB$15:$AL$405)/(ORÇAMENTO!$X$15-_xlfn.SINGLE(CÁLCULO.TotalAdmLocal))*CRONO!$F70,
                        0),
                 AF69*$S68),
          SUMIF(OFFSET($S70,1,0,$R68-2),($M68+1)&amp;"$",OFFSET(AF70,1,0,$R68-2)))</f>
        <v>0</v>
      </c>
      <c r="AG70" s="535"/>
    </row>
    <row r="71" spans="1:33" x14ac:dyDescent="0.2">
      <c r="A71" s="187" t="e">
        <f t="shared" ref="A71" ca="1" si="116">IF($M71&gt;1,_xlfn.CONCAT($I71," ",$J71),"")</f>
        <v>#NAME?</v>
      </c>
      <c r="B71" s="186">
        <f t="shared" ref="B71" ca="1" si="117">OFFSET(B71,-3,0)+1</f>
        <v>20</v>
      </c>
      <c r="C71" s="186">
        <f ca="1">IF($R71&lt;&gt;2,0,IF($S71=0,1,IF(F72&gt;0,OFFSET(QCI!$M$13,SUBSTITUTE(F72,".",""),0),OFFSET(ORÇAMENTO!$AA$15,CRONO!$F71,0))/$S71))</f>
        <v>1</v>
      </c>
      <c r="D71" s="186">
        <f ca="1">IF($R71&lt;&gt;2,0,IF($S71=0,1,IF(F72&gt;0,OFFSET(QCI!$N$13,SUBSTITUTE(F72,".",""),0),OFFSET(ORÇAMENTO!$AB$15,CRONO!$F71,0))/$S71))</f>
        <v>1</v>
      </c>
      <c r="E71" s="189" cm="1">
        <f t="array" aca="1" ref="E71" ca="1">IF(AND($R71=2,ACOMPANHAMENTO="BM"),ROUND(E72,4),E73/$S71)</f>
        <v>0</v>
      </c>
      <c r="F71" s="186">
        <f ca="1">IF(B71&lt;=ORÇAMENTO.MáximoListaCrono,MATCH(B71,ORÇAMENTO.ListaCrono,0),NA())</f>
        <v>331</v>
      </c>
      <c r="G71" s="186" t="str">
        <f t="shared" ref="G71" ca="1" si="118">IF(AND($F72&lt;&gt;-1,$S71&gt;0),"F","")</f>
        <v/>
      </c>
      <c r="H71" s="190" t="str" cm="1">
        <f t="array" aca="1" ref="H71" ca="1">IF(OR(S71=0,S71=""),"Linha",IF(AND(OR(ACOMPANHAMENTO="PLE",$R71&lt;&gt;2),$F72=0),"Linha",ROUND(1-SUM(U71:AG71),4)))</f>
        <v>Linha</v>
      </c>
      <c r="I71" s="191" t="str">
        <f ca="1">IF($F72=0,OFFSET(ORÇAMENTO!O$15,$F71,0),IF($F72&lt;&gt;-1,OFFSET(QCI!$D$13,$F72,0),""))</f>
        <v>1.19.</v>
      </c>
      <c r="J71" s="192" t="str">
        <f ca="1">IF($F72=0,OFFSET(ORÇAMENTO!R$15,$F71,0),IF($F72&lt;&gt;-1,OFFSET(QCI!$G$13,$F72,0),""))</f>
        <v>FECHAMENTOS EXTERNOS</v>
      </c>
      <c r="K71" s="192"/>
      <c r="L71" s="192"/>
      <c r="M71" s="193">
        <f ca="1">IF($F72=0,OFFSET(ORÇAMENTO!C$15,$F71,0),1)</f>
        <v>2</v>
      </c>
      <c r="N71" s="194">
        <f ca="1">IF($F72=-1,0,IF(N$13&lt;=$M71,IF(ISERROR(MATCH(N$13,OFFSET($M71,1,0,ROW($M$89)-ROW($M71)-1),0)),ROW($M$89)-ROW($M71)-1,MATCH(N$13,OFFSET($M71,1,0,ROW($M$89)-ROW($M71)-1),0)-1),0))</f>
        <v>17</v>
      </c>
      <c r="O71" s="194">
        <f ca="1">IF($F72=-1,0,IF(O$13&lt;=$M71,IF(ISERROR(MATCH(O$13,OFFSET($M71,1,0,ROW($M$89)-ROW($M71)-1),0)),ROW($M$89)-ROW($M71)-1,MATCH(O$13,OFFSET($M71,1,0,ROW($M$89)-ROW($M71)-1),0)-1),0))</f>
        <v>2</v>
      </c>
      <c r="P71" s="194">
        <f ca="1">IF($F72=-1,0,IF(P$13&lt;=$M71,IF(ISERROR(MATCH(P$13,OFFSET($M71,1,0,ROW($M$89)-ROW($M71)-1),0)),ROW($M$89)-ROW($M71)-1,MATCH(P$13,OFFSET($M71,1,0,ROW($M$89)-ROW($M71)-1),0)-1),0))</f>
        <v>0</v>
      </c>
      <c r="Q71" s="194">
        <f ca="1">IF($F72=-1,0,IF(Q$13&lt;=$M71,IF(ISERROR(MATCH(Q$13,OFFSET($M71,1,0,ROW($M$89)-ROW($M71)-1),0)),ROW($M$89)-ROW($M71)-1,MATCH(Q$13,OFFSET($M71,1,0,ROW($M$89)-ROW($M71)-1),0)-1),0))</f>
        <v>0</v>
      </c>
      <c r="R71" s="194">
        <f t="shared" ref="R71" ca="1" si="119">MIN(OFFSET(M71,0,1,,M71))</f>
        <v>2</v>
      </c>
      <c r="S71" s="195">
        <f ca="1">IF($F72=0,OFFSET(ORÇAMENTO!X$15,$F71,0),IF($F72&lt;&gt;-1,OFFSET(QCI!$O$13,$F72,0),""))</f>
        <v>0</v>
      </c>
      <c r="T71" s="196" t="s">
        <v>787</v>
      </c>
      <c r="U71" s="189" cm="1">
        <f t="array" aca="1" ref="U71" ca="1">IF(AND($R71=2,ACOMPANHAMENTO="BM"),ROUND(U72,4),U73/$S71)</f>
        <v>0</v>
      </c>
      <c r="V71" s="189" cm="1">
        <f t="array" aca="1" ref="V71" ca="1">IF(AND($R71=2,ACOMPANHAMENTO="BM"),ROUND(V72,4),V73/$S71)</f>
        <v>0</v>
      </c>
      <c r="W71" s="189" cm="1">
        <f t="array" aca="1" ref="W71" ca="1">IF(AND($R71=2,ACOMPANHAMENTO="BM"),ROUND(W72,4),W73/$S71)</f>
        <v>0</v>
      </c>
      <c r="X71" s="189" cm="1">
        <f t="array" aca="1" ref="X71" ca="1">IF(AND($R71=2,ACOMPANHAMENTO="BM"),ROUND(X72,4),X73/$S71)</f>
        <v>0</v>
      </c>
      <c r="Y71" s="189" cm="1">
        <f t="array" aca="1" ref="Y71" ca="1">IF(AND($R71=2,ACOMPANHAMENTO="BM"),ROUND(Y72,4),Y73/$S71)</f>
        <v>0.3</v>
      </c>
      <c r="Z71" s="189" cm="1">
        <f t="array" aca="1" ref="Z71" ca="1">IF(AND($R71=2,ACOMPANHAMENTO="BM"),ROUND(Z72,4),Z73/$S71)</f>
        <v>0.7</v>
      </c>
      <c r="AA71" s="189" cm="1">
        <f t="array" aca="1" ref="AA71" ca="1">IF(AND($R71=2,ACOMPANHAMENTO="BM"),ROUND(AA72,4),AA73/$S71)</f>
        <v>0</v>
      </c>
      <c r="AB71" s="189" cm="1">
        <f t="array" aca="1" ref="AB71" ca="1">IF(AND($R71=2,ACOMPANHAMENTO="BM"),ROUND(AB72,4),AB73/$S71)</f>
        <v>0</v>
      </c>
      <c r="AC71" s="189" cm="1">
        <f t="array" aca="1" ref="AC71" ca="1">IF(AND($R71=2,ACOMPANHAMENTO="BM"),ROUND(AC72,4),AC73/$S71)</f>
        <v>0</v>
      </c>
      <c r="AD71" s="189" cm="1">
        <f t="array" aca="1" ref="AD71" ca="1">IF(AND($R71=2,ACOMPANHAMENTO="BM"),ROUND(AD72,4),AD73/$S71)</f>
        <v>0</v>
      </c>
      <c r="AE71" s="189" cm="1">
        <f t="array" aca="1" ref="AE71" ca="1">IF(AND($R71=2,ACOMPANHAMENTO="BM"),ROUND(AE72,4),AE73/$S71)</f>
        <v>0</v>
      </c>
      <c r="AF71" s="189" cm="1">
        <f t="array" aca="1" ref="AF71" ca="1">IF(AND($R71=2,ACOMPANHAMENTO="BM"),ROUND(AF72,4),AF73/$S71)</f>
        <v>0</v>
      </c>
      <c r="AG71" s="535"/>
    </row>
    <row r="72" spans="1:33" ht="12.75" customHeight="1" x14ac:dyDescent="0.2">
      <c r="E72" s="590"/>
      <c r="F72" s="186">
        <f ca="1">IF(ISERROR(F71),IF(1+COUNTIF($M$13:OFFSET(M71,-1,0),1)&lt;=MAX(QCI!$D$13:$D$24),1+COUNTIF($M$13:OFFSET(M71,-1,0),1),-1),0)</f>
        <v>0</v>
      </c>
      <c r="G72" s="186" t="str" cm="1">
        <f t="array" aca="1" ref="G72" ca="1">IF(ACOMPANHAMENTO="BM",OFFSET(G72,-1,0),"")</f>
        <v/>
      </c>
      <c r="H72" s="197" t="str" cm="1">
        <f t="array" aca="1" ref="H72" ca="1">IF(OR(S71=0,S71=""),"vazia",IF(AND(OR(ACOMPANHAMENTO="PLE",$R71&lt;&gt;2),$F72=0),"calculada","--&gt;"))</f>
        <v>vazia</v>
      </c>
      <c r="I72" s="198"/>
      <c r="J72" s="199" t="str">
        <f t="shared" ref="J72" ca="1" si="120">IF(AND(H71&lt;&gt;0,ISNUMBER(H71)),"PREENCHA ESTA LINHA --&gt;","")</f>
        <v/>
      </c>
      <c r="K72" s="199"/>
      <c r="L72" s="199"/>
      <c r="M72" s="200"/>
      <c r="N72" s="200"/>
      <c r="O72" s="200"/>
      <c r="P72" s="200"/>
      <c r="Q72" s="200"/>
      <c r="R72" s="200"/>
      <c r="S72" s="201"/>
      <c r="T72" s="202"/>
      <c r="U72" s="590"/>
      <c r="V72" s="590"/>
      <c r="W72" s="590"/>
      <c r="X72" s="590"/>
      <c r="Y72" s="590">
        <v>0.3</v>
      </c>
      <c r="Z72" s="590">
        <v>0.7</v>
      </c>
      <c r="AA72" s="590"/>
      <c r="AB72" s="590"/>
      <c r="AC72" s="590"/>
      <c r="AD72" s="590"/>
      <c r="AE72" s="590"/>
      <c r="AF72" s="590"/>
      <c r="AG72" s="535"/>
    </row>
    <row r="73" spans="1:33" ht="12.75" customHeight="1" x14ac:dyDescent="0.2">
      <c r="D73" s="534"/>
      <c r="E73" s="203" cm="1">
        <f t="array" aca="1" ref="E73" ca="1">IF($R71=2,
         IF(AND(ACOMPANHAMENTO="PLE",ISNUMBER($F71)),
                SUMIF((OFFSET(CÁLCULO!$AM$15:$AW$15,$F71,0,OFFSET(ORÇAMENTO!$D$15,CRONO!$F71,0))),CRONO!E$12,OFFSET(CÁLCULO!$AB$15:$AL$15,$F71,0,OFFSET(ORÇAMENTO!$D$15,CRONO!$F71,0)))
                +IF(AND($F73&lt;&gt;"",$F73&lt;&gt;0),
                        SUMIF(CÁLCULO!$AM$15:$AW$405,CRONO!E$12,CÁLCULO!$AB$15:$AL$405)/(ORÇAMENTO!$X$15-_xlfn.SINGLE(CÁLCULO.TotalAdmLocal))*CRONO!$F73,
                        0),
                 E72*$S71),
          SUMIF(OFFSET($S73,1,0,$R71-2),($M71+1)&amp;"$",OFFSET(E73,1,0,$R71-2)))</f>
        <v>0</v>
      </c>
      <c r="F73" s="186" t="str">
        <f ca="1">IF(OR($R71&lt;&gt;2,AUTOEVENTO&lt;&gt;"manual",$F72&gt;0),"",
        IF(Import.TipoArredondamento="Tradicional",
              SUMIF(OFFSET(CÁLCULO!$M$15,CRONO!$F71,0,OFFSET(ORÇAMENTO!$D$15,CRONO!$F71,0)),1,OFFSET(ORÇAMENTO!$X$15,CRONO!$F71,0,OFFSET(ORÇAMENTO!$D$15,CRONO!$F71,0))),
              0))</f>
        <v/>
      </c>
      <c r="H73" s="204"/>
      <c r="S73" s="205" t="str">
        <f t="shared" ref="S73" ca="1" si="121">M71&amp;"$"</f>
        <v>2$</v>
      </c>
      <c r="T73" s="206"/>
      <c r="U73" s="203" cm="1">
        <f t="array" aca="1" ref="U73" ca="1">IF($R71=2,
         IF(AND(ACOMPANHAMENTO="PLE",ISNUMBER($F71)),
                SUMIF((OFFSET(CÁLCULO!$AM$15:$AW$15,$F71,0,OFFSET(ORÇAMENTO!$D$15,CRONO!$F71,0))),CRONO!U$12,OFFSET(CÁLCULO!$AB$15:$AL$15,$F71,0,OFFSET(ORÇAMENTO!$D$15,CRONO!$F71,0)))
                +IF(AND($F73&lt;&gt;"",$F73&lt;&gt;0),
                        SUMIF(CÁLCULO!$AM$15:$AW$405,CRONO!U$12,CÁLCULO!$AB$15:$AL$405)/(ORÇAMENTO!$X$15-_xlfn.SINGLE(CÁLCULO.TotalAdmLocal))*CRONO!$F73,
                        0),
                 U72*$S71),
          SUMIF(OFFSET($S73,1,0,$R71-2),($M71+1)&amp;"$",OFFSET(U73,1,0,$R71-2)))</f>
        <v>0</v>
      </c>
      <c r="V73" s="203" cm="1">
        <f t="array" aca="1" ref="V73" ca="1">IF($R71=2,
         IF(AND(ACOMPANHAMENTO="PLE",ISNUMBER($F71)),
                SUMIF((OFFSET(CÁLCULO!$AM$15:$AW$15,$F71,0,OFFSET(ORÇAMENTO!$D$15,CRONO!$F71,0))),CRONO!V$12,OFFSET(CÁLCULO!$AB$15:$AL$15,$F71,0,OFFSET(ORÇAMENTO!$D$15,CRONO!$F71,0)))
                +IF(AND($F73&lt;&gt;"",$F73&lt;&gt;0),
                        SUMIF(CÁLCULO!$AM$15:$AW$405,CRONO!V$12,CÁLCULO!$AB$15:$AL$405)/(ORÇAMENTO!$X$15-_xlfn.SINGLE(CÁLCULO.TotalAdmLocal))*CRONO!$F73,
                        0),
                 V72*$S71),
          SUMIF(OFFSET($S73,1,0,$R71-2),($M71+1)&amp;"$",OFFSET(V73,1,0,$R71-2)))</f>
        <v>0</v>
      </c>
      <c r="W73" s="203" cm="1">
        <f t="array" aca="1" ref="W73" ca="1">IF($R71=2,
         IF(AND(ACOMPANHAMENTO="PLE",ISNUMBER($F71)),
                SUMIF((OFFSET(CÁLCULO!$AM$15:$AW$15,$F71,0,OFFSET(ORÇAMENTO!$D$15,CRONO!$F71,0))),CRONO!W$12,OFFSET(CÁLCULO!$AB$15:$AL$15,$F71,0,OFFSET(ORÇAMENTO!$D$15,CRONO!$F71,0)))
                +IF(AND($F73&lt;&gt;"",$F73&lt;&gt;0),
                        SUMIF(CÁLCULO!$AM$15:$AW$405,CRONO!W$12,CÁLCULO!$AB$15:$AL$405)/(ORÇAMENTO!$X$15-_xlfn.SINGLE(CÁLCULO.TotalAdmLocal))*CRONO!$F73,
                        0),
                 W72*$S71),
          SUMIF(OFFSET($S73,1,0,$R71-2),($M71+1)&amp;"$",OFFSET(W73,1,0,$R71-2)))</f>
        <v>0</v>
      </c>
      <c r="X73" s="203" cm="1">
        <f t="array" aca="1" ref="X73" ca="1">IF($R71=2,
         IF(AND(ACOMPANHAMENTO="PLE",ISNUMBER($F71)),
                SUMIF((OFFSET(CÁLCULO!$AM$15:$AW$15,$F71,0,OFFSET(ORÇAMENTO!$D$15,CRONO!$F71,0))),CRONO!X$12,OFFSET(CÁLCULO!$AB$15:$AL$15,$F71,0,OFFSET(ORÇAMENTO!$D$15,CRONO!$F71,0)))
                +IF(AND($F73&lt;&gt;"",$F73&lt;&gt;0),
                        SUMIF(CÁLCULO!$AM$15:$AW$405,CRONO!X$12,CÁLCULO!$AB$15:$AL$405)/(ORÇAMENTO!$X$15-_xlfn.SINGLE(CÁLCULO.TotalAdmLocal))*CRONO!$F73,
                        0),
                 X72*$S71),
          SUMIF(OFFSET($S73,1,0,$R71-2),($M71+1)&amp;"$",OFFSET(X73,1,0,$R71-2)))</f>
        <v>0</v>
      </c>
      <c r="Y73" s="203" cm="1">
        <f t="array" aca="1" ref="Y73" ca="1">IF($R71=2,
         IF(AND(ACOMPANHAMENTO="PLE",ISNUMBER($F71)),
                SUMIF((OFFSET(CÁLCULO!$AM$15:$AW$15,$F71,0,OFFSET(ORÇAMENTO!$D$15,CRONO!$F71,0))),CRONO!Y$12,OFFSET(CÁLCULO!$AB$15:$AL$15,$F71,0,OFFSET(ORÇAMENTO!$D$15,CRONO!$F71,0)))
                +IF(AND($F73&lt;&gt;"",$F73&lt;&gt;0),
                        SUMIF(CÁLCULO!$AM$15:$AW$405,CRONO!Y$12,CÁLCULO!$AB$15:$AL$405)/(ORÇAMENTO!$X$15-_xlfn.SINGLE(CÁLCULO.TotalAdmLocal))*CRONO!$F73,
                        0),
                 Y72*$S71),
          SUMIF(OFFSET($S73,1,0,$R71-2),($M71+1)&amp;"$",OFFSET(Y73,1,0,$R71-2)))</f>
        <v>0</v>
      </c>
      <c r="Z73" s="203" cm="1">
        <f t="array" aca="1" ref="Z73" ca="1">IF($R71=2,
         IF(AND(ACOMPANHAMENTO="PLE",ISNUMBER($F71)),
                SUMIF((OFFSET(CÁLCULO!$AM$15:$AW$15,$F71,0,OFFSET(ORÇAMENTO!$D$15,CRONO!$F71,0))),CRONO!Z$12,OFFSET(CÁLCULO!$AB$15:$AL$15,$F71,0,OFFSET(ORÇAMENTO!$D$15,CRONO!$F71,0)))
                +IF(AND($F73&lt;&gt;"",$F73&lt;&gt;0),
                        SUMIF(CÁLCULO!$AM$15:$AW$405,CRONO!Z$12,CÁLCULO!$AB$15:$AL$405)/(ORÇAMENTO!$X$15-_xlfn.SINGLE(CÁLCULO.TotalAdmLocal))*CRONO!$F73,
                        0),
                 Z72*$S71),
          SUMIF(OFFSET($S73,1,0,$R71-2),($M71+1)&amp;"$",OFFSET(Z73,1,0,$R71-2)))</f>
        <v>0</v>
      </c>
      <c r="AA73" s="203" cm="1">
        <f t="array" aca="1" ref="AA73" ca="1">IF($R71=2,
         IF(AND(ACOMPANHAMENTO="PLE",ISNUMBER($F71)),
                SUMIF((OFFSET(CÁLCULO!$AM$15:$AW$15,$F71,0,OFFSET(ORÇAMENTO!$D$15,CRONO!$F71,0))),CRONO!AA$12,OFFSET(CÁLCULO!$AB$15:$AL$15,$F71,0,OFFSET(ORÇAMENTO!$D$15,CRONO!$F71,0)))
                +IF(AND($F73&lt;&gt;"",$F73&lt;&gt;0),
                        SUMIF(CÁLCULO!$AM$15:$AW$405,CRONO!AA$12,CÁLCULO!$AB$15:$AL$405)/(ORÇAMENTO!$X$15-_xlfn.SINGLE(CÁLCULO.TotalAdmLocal))*CRONO!$F73,
                        0),
                 AA72*$S71),
          SUMIF(OFFSET($S73,1,0,$R71-2),($M71+1)&amp;"$",OFFSET(AA73,1,0,$R71-2)))</f>
        <v>0</v>
      </c>
      <c r="AB73" s="203" cm="1">
        <f t="array" aca="1" ref="AB73" ca="1">IF($R71=2,
         IF(AND(ACOMPANHAMENTO="PLE",ISNUMBER($F71)),
                SUMIF((OFFSET(CÁLCULO!$AM$15:$AW$15,$F71,0,OFFSET(ORÇAMENTO!$D$15,CRONO!$F71,0))),CRONO!AB$12,OFFSET(CÁLCULO!$AB$15:$AL$15,$F71,0,OFFSET(ORÇAMENTO!$D$15,CRONO!$F71,0)))
                +IF(AND($F73&lt;&gt;"",$F73&lt;&gt;0),
                        SUMIF(CÁLCULO!$AM$15:$AW$405,CRONO!AB$12,CÁLCULO!$AB$15:$AL$405)/(ORÇAMENTO!$X$15-_xlfn.SINGLE(CÁLCULO.TotalAdmLocal))*CRONO!$F73,
                        0),
                 AB72*$S71),
          SUMIF(OFFSET($S73,1,0,$R71-2),($M71+1)&amp;"$",OFFSET(AB73,1,0,$R71-2)))</f>
        <v>0</v>
      </c>
      <c r="AC73" s="203" cm="1">
        <f t="array" aca="1" ref="AC73" ca="1">IF($R71=2,
         IF(AND(ACOMPANHAMENTO="PLE",ISNUMBER($F71)),
                SUMIF((OFFSET(CÁLCULO!$AM$15:$AW$15,$F71,0,OFFSET(ORÇAMENTO!$D$15,CRONO!$F71,0))),CRONO!AC$12,OFFSET(CÁLCULO!$AB$15:$AL$15,$F71,0,OFFSET(ORÇAMENTO!$D$15,CRONO!$F71,0)))
                +IF(AND($F73&lt;&gt;"",$F73&lt;&gt;0),
                        SUMIF(CÁLCULO!$AM$15:$AW$405,CRONO!AC$12,CÁLCULO!$AB$15:$AL$405)/(ORÇAMENTO!$X$15-_xlfn.SINGLE(CÁLCULO.TotalAdmLocal))*CRONO!$F73,
                        0),
                 AC72*$S71),
          SUMIF(OFFSET($S73,1,0,$R71-2),($M71+1)&amp;"$",OFFSET(AC73,1,0,$R71-2)))</f>
        <v>0</v>
      </c>
      <c r="AD73" s="203" cm="1">
        <f t="array" aca="1" ref="AD73" ca="1">IF($R71=2,
         IF(AND(ACOMPANHAMENTO="PLE",ISNUMBER($F71)),
                SUMIF((OFFSET(CÁLCULO!$AM$15:$AW$15,$F71,0,OFFSET(ORÇAMENTO!$D$15,CRONO!$F71,0))),CRONO!AD$12,OFFSET(CÁLCULO!$AB$15:$AL$15,$F71,0,OFFSET(ORÇAMENTO!$D$15,CRONO!$F71,0)))
                +IF(AND($F73&lt;&gt;"",$F73&lt;&gt;0),
                        SUMIF(CÁLCULO!$AM$15:$AW$405,CRONO!AD$12,CÁLCULO!$AB$15:$AL$405)/(ORÇAMENTO!$X$15-_xlfn.SINGLE(CÁLCULO.TotalAdmLocal))*CRONO!$F73,
                        0),
                 AD72*$S71),
          SUMIF(OFFSET($S73,1,0,$R71-2),($M71+1)&amp;"$",OFFSET(AD73,1,0,$R71-2)))</f>
        <v>0</v>
      </c>
      <c r="AE73" s="203" cm="1">
        <f t="array" aca="1" ref="AE73" ca="1">IF($R71=2,
         IF(AND(ACOMPANHAMENTO="PLE",ISNUMBER($F71)),
                SUMIF((OFFSET(CÁLCULO!$AM$15:$AW$15,$F71,0,OFFSET(ORÇAMENTO!$D$15,CRONO!$F71,0))),CRONO!AE$12,OFFSET(CÁLCULO!$AB$15:$AL$15,$F71,0,OFFSET(ORÇAMENTO!$D$15,CRONO!$F71,0)))
                +IF(AND($F73&lt;&gt;"",$F73&lt;&gt;0),
                        SUMIF(CÁLCULO!$AM$15:$AW$405,CRONO!AE$12,CÁLCULO!$AB$15:$AL$405)/(ORÇAMENTO!$X$15-_xlfn.SINGLE(CÁLCULO.TotalAdmLocal))*CRONO!$F73,
                        0),
                 AE72*$S71),
          SUMIF(OFFSET($S73,1,0,$R71-2),($M71+1)&amp;"$",OFFSET(AE73,1,0,$R71-2)))</f>
        <v>0</v>
      </c>
      <c r="AF73" s="203" cm="1">
        <f t="array" aca="1" ref="AF73" ca="1">IF($R71=2,
         IF(AND(ACOMPANHAMENTO="PLE",ISNUMBER($F71)),
                SUMIF((OFFSET(CÁLCULO!$AM$15:$AW$15,$F71,0,OFFSET(ORÇAMENTO!$D$15,CRONO!$F71,0))),CRONO!AF$12,OFFSET(CÁLCULO!$AB$15:$AL$15,$F71,0,OFFSET(ORÇAMENTO!$D$15,CRONO!$F71,0)))
                +IF(AND($F73&lt;&gt;"",$F73&lt;&gt;0),
                        SUMIF(CÁLCULO!$AM$15:$AW$405,CRONO!AF$12,CÁLCULO!$AB$15:$AL$405)/(ORÇAMENTO!$X$15-_xlfn.SINGLE(CÁLCULO.TotalAdmLocal))*CRONO!$F73,
                        0),
                 AF72*$S71),
          SUMIF(OFFSET($S73,1,0,$R71-2),($M71+1)&amp;"$",OFFSET(AF73,1,0,$R71-2)))</f>
        <v>0</v>
      </c>
      <c r="AG73" s="535"/>
    </row>
    <row r="74" spans="1:33" x14ac:dyDescent="0.2">
      <c r="A74" s="187" t="e">
        <f t="shared" ref="A74" ca="1" si="122">IF($M74&gt;1,_xlfn.CONCAT($I74," ",$J74),"")</f>
        <v>#NAME?</v>
      </c>
      <c r="B74" s="186">
        <f t="shared" ref="B74" ca="1" si="123">OFFSET(B74,-3,0)+1</f>
        <v>21</v>
      </c>
      <c r="C74" s="186">
        <f ca="1">IF($R74&lt;&gt;2,0,IF($S74=0,1,IF(F75&gt;0,OFFSET(QCI!$M$13,SUBSTITUTE(F75,".",""),0),OFFSET(ORÇAMENTO!$AA$15,CRONO!$F74,0))/$S74))</f>
        <v>1</v>
      </c>
      <c r="D74" s="186">
        <f ca="1">IF($R74&lt;&gt;2,0,IF($S74=0,1,IF(F75&gt;0,OFFSET(QCI!$N$13,SUBSTITUTE(F75,".",""),0),OFFSET(ORÇAMENTO!$AB$15,CRONO!$F74,0))/$S74))</f>
        <v>1</v>
      </c>
      <c r="E74" s="189" cm="1">
        <f t="array" aca="1" ref="E74" ca="1">IF(AND($R74=2,ACOMPANHAMENTO="BM"),ROUND(E75,4),E76/$S74)</f>
        <v>0</v>
      </c>
      <c r="F74" s="186">
        <f ca="1">IF(B74&lt;=ORÇAMENTO.MáximoListaCrono,MATCH(B74,ORÇAMENTO.ListaCrono,0),NA())</f>
        <v>355</v>
      </c>
      <c r="G74" s="186" t="str">
        <f t="shared" ref="G74" ca="1" si="124">IF(AND($F75&lt;&gt;-1,$S74&gt;0),"F","")</f>
        <v/>
      </c>
      <c r="H74" s="190" t="str" cm="1">
        <f t="array" aca="1" ref="H74" ca="1">IF(OR(S74=0,S74=""),"Linha",IF(AND(OR(ACOMPANHAMENTO="PLE",$R74&lt;&gt;2),$F75=0),"Linha",ROUND(1-SUM(U74:AG74),4)))</f>
        <v>Linha</v>
      </c>
      <c r="I74" s="191" t="str">
        <f ca="1">IF($F75=0,OFFSET(ORÇAMENTO!O$15,$F74,0),IF($F75&lt;&gt;-1,OFFSET(QCI!$D$13,$F75,0),""))</f>
        <v>1.20.</v>
      </c>
      <c r="J74" s="192" t="str">
        <f ca="1">IF($F75=0,OFFSET(ORÇAMENTO!R$15,$F74,0),IF($F75&lt;&gt;-1,OFFSET(QCI!$G$13,$F75,0),""))</f>
        <v>ACESSIBILIDADE</v>
      </c>
      <c r="K74" s="192"/>
      <c r="L74" s="192"/>
      <c r="M74" s="193">
        <f ca="1">IF($F75=0,OFFSET(ORÇAMENTO!C$15,$F74,0),1)</f>
        <v>2</v>
      </c>
      <c r="N74" s="194">
        <f ca="1">IF($F75=-1,0,IF(N$13&lt;=$M74,IF(ISERROR(MATCH(N$13,OFFSET($M74,1,0,ROW($M$89)-ROW($M74)-1),0)),ROW($M$89)-ROW($M74)-1,MATCH(N$13,OFFSET($M74,1,0,ROW($M$89)-ROW($M74)-1),0)-1),0))</f>
        <v>14</v>
      </c>
      <c r="O74" s="194">
        <f ca="1">IF($F75=-1,0,IF(O$13&lt;=$M74,IF(ISERROR(MATCH(O$13,OFFSET($M74,1,0,ROW($M$89)-ROW($M74)-1),0)),ROW($M$89)-ROW($M74)-1,MATCH(O$13,OFFSET($M74,1,0,ROW($M$89)-ROW($M74)-1),0)-1),0))</f>
        <v>2</v>
      </c>
      <c r="P74" s="194">
        <f ca="1">IF($F75=-1,0,IF(P$13&lt;=$M74,IF(ISERROR(MATCH(P$13,OFFSET($M74,1,0,ROW($M$89)-ROW($M74)-1),0)),ROW($M$89)-ROW($M74)-1,MATCH(P$13,OFFSET($M74,1,0,ROW($M$89)-ROW($M74)-1),0)-1),0))</f>
        <v>0</v>
      </c>
      <c r="Q74" s="194">
        <f ca="1">IF($F75=-1,0,IF(Q$13&lt;=$M74,IF(ISERROR(MATCH(Q$13,OFFSET($M74,1,0,ROW($M$89)-ROW($M74)-1),0)),ROW($M$89)-ROW($M74)-1,MATCH(Q$13,OFFSET($M74,1,0,ROW($M$89)-ROW($M74)-1),0)-1),0))</f>
        <v>0</v>
      </c>
      <c r="R74" s="194">
        <f t="shared" ref="R74" ca="1" si="125">MIN(OFFSET(M74,0,1,,M74))</f>
        <v>2</v>
      </c>
      <c r="S74" s="195">
        <f ca="1">IF($F75=0,OFFSET(ORÇAMENTO!X$15,$F74,0),IF($F75&lt;&gt;-1,OFFSET(QCI!$O$13,$F75,0),""))</f>
        <v>0</v>
      </c>
      <c r="T74" s="196" t="s">
        <v>787</v>
      </c>
      <c r="U74" s="189" cm="1">
        <f t="array" aca="1" ref="U74" ca="1">IF(AND($R74=2,ACOMPANHAMENTO="BM"),ROUND(U75,4),U76/$S74)</f>
        <v>0</v>
      </c>
      <c r="V74" s="189" cm="1">
        <f t="array" aca="1" ref="V74" ca="1">IF(AND($R74=2,ACOMPANHAMENTO="BM"),ROUND(V75,4),V76/$S74)</f>
        <v>0</v>
      </c>
      <c r="W74" s="189" cm="1">
        <f t="array" aca="1" ref="W74" ca="1">IF(AND($R74=2,ACOMPANHAMENTO="BM"),ROUND(W75,4),W76/$S74)</f>
        <v>0</v>
      </c>
      <c r="X74" s="189" cm="1">
        <f t="array" aca="1" ref="X74" ca="1">IF(AND($R74=2,ACOMPANHAMENTO="BM"),ROUND(X75,4),X76/$S74)</f>
        <v>0</v>
      </c>
      <c r="Y74" s="189" cm="1">
        <f t="array" aca="1" ref="Y74" ca="1">IF(AND($R74=2,ACOMPANHAMENTO="BM"),ROUND(Y75,4),Y76/$S74)</f>
        <v>0</v>
      </c>
      <c r="Z74" s="189" cm="1">
        <f t="array" aca="1" ref="Z74" ca="1">IF(AND($R74=2,ACOMPANHAMENTO="BM"),ROUND(Z75,4),Z76/$S74)</f>
        <v>1</v>
      </c>
      <c r="AA74" s="189" cm="1">
        <f t="array" aca="1" ref="AA74" ca="1">IF(AND($R74=2,ACOMPANHAMENTO="BM"),ROUND(AA75,4),AA76/$S74)</f>
        <v>0</v>
      </c>
      <c r="AB74" s="189" cm="1">
        <f t="array" aca="1" ref="AB74" ca="1">IF(AND($R74=2,ACOMPANHAMENTO="BM"),ROUND(AB75,4),AB76/$S74)</f>
        <v>0</v>
      </c>
      <c r="AC74" s="189" cm="1">
        <f t="array" aca="1" ref="AC74" ca="1">IF(AND($R74=2,ACOMPANHAMENTO="BM"),ROUND(AC75,4),AC76/$S74)</f>
        <v>0</v>
      </c>
      <c r="AD74" s="189" cm="1">
        <f t="array" aca="1" ref="AD74" ca="1">IF(AND($R74=2,ACOMPANHAMENTO="BM"),ROUND(AD75,4),AD76/$S74)</f>
        <v>0</v>
      </c>
      <c r="AE74" s="189" cm="1">
        <f t="array" aca="1" ref="AE74" ca="1">IF(AND($R74=2,ACOMPANHAMENTO="BM"),ROUND(AE75,4),AE76/$S74)</f>
        <v>0</v>
      </c>
      <c r="AF74" s="189" cm="1">
        <f t="array" aca="1" ref="AF74" ca="1">IF(AND($R74=2,ACOMPANHAMENTO="BM"),ROUND(AF75,4),AF76/$S74)</f>
        <v>0</v>
      </c>
      <c r="AG74" s="535"/>
    </row>
    <row r="75" spans="1:33" ht="12.75" customHeight="1" x14ac:dyDescent="0.2">
      <c r="E75" s="590"/>
      <c r="F75" s="186">
        <f ca="1">IF(ISERROR(F74),IF(1+COUNTIF($M$13:OFFSET(M74,-1,0),1)&lt;=MAX(QCI!$D$13:$D$24),1+COUNTIF($M$13:OFFSET(M74,-1,0),1),-1),0)</f>
        <v>0</v>
      </c>
      <c r="G75" s="186" t="str" cm="1">
        <f t="array" aca="1" ref="G75" ca="1">IF(ACOMPANHAMENTO="BM",OFFSET(G75,-1,0),"")</f>
        <v/>
      </c>
      <c r="H75" s="197" t="str" cm="1">
        <f t="array" aca="1" ref="H75" ca="1">IF(OR(S74=0,S74=""),"vazia",IF(AND(OR(ACOMPANHAMENTO="PLE",$R74&lt;&gt;2),$F75=0),"calculada","--&gt;"))</f>
        <v>vazia</v>
      </c>
      <c r="I75" s="198"/>
      <c r="J75" s="199" t="str">
        <f t="shared" ref="J75" ca="1" si="126">IF(AND(H74&lt;&gt;0,ISNUMBER(H74)),"PREENCHA ESTA LINHA --&gt;","")</f>
        <v/>
      </c>
      <c r="K75" s="199"/>
      <c r="L75" s="199"/>
      <c r="M75" s="200"/>
      <c r="N75" s="200"/>
      <c r="O75" s="200"/>
      <c r="P75" s="200"/>
      <c r="Q75" s="200"/>
      <c r="R75" s="200"/>
      <c r="S75" s="201"/>
      <c r="T75" s="202"/>
      <c r="U75" s="590"/>
      <c r="V75" s="590"/>
      <c r="W75" s="590"/>
      <c r="X75" s="590"/>
      <c r="Y75" s="590"/>
      <c r="Z75" s="590">
        <v>1</v>
      </c>
      <c r="AA75" s="590"/>
      <c r="AB75" s="590"/>
      <c r="AC75" s="590"/>
      <c r="AD75" s="590"/>
      <c r="AE75" s="590"/>
      <c r="AF75" s="590"/>
      <c r="AG75" s="535"/>
    </row>
    <row r="76" spans="1:33" ht="12.75" customHeight="1" x14ac:dyDescent="0.2">
      <c r="D76" s="534"/>
      <c r="E76" s="203" cm="1">
        <f t="array" aca="1" ref="E76" ca="1">IF($R74=2,
         IF(AND(ACOMPANHAMENTO="PLE",ISNUMBER($F74)),
                SUMIF((OFFSET(CÁLCULO!$AM$15:$AW$15,$F74,0,OFFSET(ORÇAMENTO!$D$15,CRONO!$F74,0))),CRONO!E$12,OFFSET(CÁLCULO!$AB$15:$AL$15,$F74,0,OFFSET(ORÇAMENTO!$D$15,CRONO!$F74,0)))
                +IF(AND($F76&lt;&gt;"",$F76&lt;&gt;0),
                        SUMIF(CÁLCULO!$AM$15:$AW$405,CRONO!E$12,CÁLCULO!$AB$15:$AL$405)/(ORÇAMENTO!$X$15-_xlfn.SINGLE(CÁLCULO.TotalAdmLocal))*CRONO!$F76,
                        0),
                 E75*$S74),
          SUMIF(OFFSET($S76,1,0,$R74-2),($M74+1)&amp;"$",OFFSET(E76,1,0,$R74-2)))</f>
        <v>0</v>
      </c>
      <c r="F76" s="186" t="str">
        <f ca="1">IF(OR($R74&lt;&gt;2,AUTOEVENTO&lt;&gt;"manual",$F75&gt;0),"",
        IF(Import.TipoArredondamento="Tradicional",
              SUMIF(OFFSET(CÁLCULO!$M$15,CRONO!$F74,0,OFFSET(ORÇAMENTO!$D$15,CRONO!$F74,0)),1,OFFSET(ORÇAMENTO!$X$15,CRONO!$F74,0,OFFSET(ORÇAMENTO!$D$15,CRONO!$F74,0))),
              0))</f>
        <v/>
      </c>
      <c r="H76" s="204"/>
      <c r="S76" s="205" t="str">
        <f t="shared" ref="S76" ca="1" si="127">M74&amp;"$"</f>
        <v>2$</v>
      </c>
      <c r="T76" s="206"/>
      <c r="U76" s="203" cm="1">
        <f t="array" aca="1" ref="U76" ca="1">IF($R74=2,
         IF(AND(ACOMPANHAMENTO="PLE",ISNUMBER($F74)),
                SUMIF((OFFSET(CÁLCULO!$AM$15:$AW$15,$F74,0,OFFSET(ORÇAMENTO!$D$15,CRONO!$F74,0))),CRONO!U$12,OFFSET(CÁLCULO!$AB$15:$AL$15,$F74,0,OFFSET(ORÇAMENTO!$D$15,CRONO!$F74,0)))
                +IF(AND($F76&lt;&gt;"",$F76&lt;&gt;0),
                        SUMIF(CÁLCULO!$AM$15:$AW$405,CRONO!U$12,CÁLCULO!$AB$15:$AL$405)/(ORÇAMENTO!$X$15-_xlfn.SINGLE(CÁLCULO.TotalAdmLocal))*CRONO!$F76,
                        0),
                 U75*$S74),
          SUMIF(OFFSET($S76,1,0,$R74-2),($M74+1)&amp;"$",OFFSET(U76,1,0,$R74-2)))</f>
        <v>0</v>
      </c>
      <c r="V76" s="203" cm="1">
        <f t="array" aca="1" ref="V76" ca="1">IF($R74=2,
         IF(AND(ACOMPANHAMENTO="PLE",ISNUMBER($F74)),
                SUMIF((OFFSET(CÁLCULO!$AM$15:$AW$15,$F74,0,OFFSET(ORÇAMENTO!$D$15,CRONO!$F74,0))),CRONO!V$12,OFFSET(CÁLCULO!$AB$15:$AL$15,$F74,0,OFFSET(ORÇAMENTO!$D$15,CRONO!$F74,0)))
                +IF(AND($F76&lt;&gt;"",$F76&lt;&gt;0),
                        SUMIF(CÁLCULO!$AM$15:$AW$405,CRONO!V$12,CÁLCULO!$AB$15:$AL$405)/(ORÇAMENTO!$X$15-_xlfn.SINGLE(CÁLCULO.TotalAdmLocal))*CRONO!$F76,
                        0),
                 V75*$S74),
          SUMIF(OFFSET($S76,1,0,$R74-2),($M74+1)&amp;"$",OFFSET(V76,1,0,$R74-2)))</f>
        <v>0</v>
      </c>
      <c r="W76" s="203" cm="1">
        <f t="array" aca="1" ref="W76" ca="1">IF($R74=2,
         IF(AND(ACOMPANHAMENTO="PLE",ISNUMBER($F74)),
                SUMIF((OFFSET(CÁLCULO!$AM$15:$AW$15,$F74,0,OFFSET(ORÇAMENTO!$D$15,CRONO!$F74,0))),CRONO!W$12,OFFSET(CÁLCULO!$AB$15:$AL$15,$F74,0,OFFSET(ORÇAMENTO!$D$15,CRONO!$F74,0)))
                +IF(AND($F76&lt;&gt;"",$F76&lt;&gt;0),
                        SUMIF(CÁLCULO!$AM$15:$AW$405,CRONO!W$12,CÁLCULO!$AB$15:$AL$405)/(ORÇAMENTO!$X$15-_xlfn.SINGLE(CÁLCULO.TotalAdmLocal))*CRONO!$F76,
                        0),
                 W75*$S74),
          SUMIF(OFFSET($S76,1,0,$R74-2),($M74+1)&amp;"$",OFFSET(W76,1,0,$R74-2)))</f>
        <v>0</v>
      </c>
      <c r="X76" s="203" cm="1">
        <f t="array" aca="1" ref="X76" ca="1">IF($R74=2,
         IF(AND(ACOMPANHAMENTO="PLE",ISNUMBER($F74)),
                SUMIF((OFFSET(CÁLCULO!$AM$15:$AW$15,$F74,0,OFFSET(ORÇAMENTO!$D$15,CRONO!$F74,0))),CRONO!X$12,OFFSET(CÁLCULO!$AB$15:$AL$15,$F74,0,OFFSET(ORÇAMENTO!$D$15,CRONO!$F74,0)))
                +IF(AND($F76&lt;&gt;"",$F76&lt;&gt;0),
                        SUMIF(CÁLCULO!$AM$15:$AW$405,CRONO!X$12,CÁLCULO!$AB$15:$AL$405)/(ORÇAMENTO!$X$15-_xlfn.SINGLE(CÁLCULO.TotalAdmLocal))*CRONO!$F76,
                        0),
                 X75*$S74),
          SUMIF(OFFSET($S76,1,0,$R74-2),($M74+1)&amp;"$",OFFSET(X76,1,0,$R74-2)))</f>
        <v>0</v>
      </c>
      <c r="Y76" s="203" cm="1">
        <f t="array" aca="1" ref="Y76" ca="1">IF($R74=2,
         IF(AND(ACOMPANHAMENTO="PLE",ISNUMBER($F74)),
                SUMIF((OFFSET(CÁLCULO!$AM$15:$AW$15,$F74,0,OFFSET(ORÇAMENTO!$D$15,CRONO!$F74,0))),CRONO!Y$12,OFFSET(CÁLCULO!$AB$15:$AL$15,$F74,0,OFFSET(ORÇAMENTO!$D$15,CRONO!$F74,0)))
                +IF(AND($F76&lt;&gt;"",$F76&lt;&gt;0),
                        SUMIF(CÁLCULO!$AM$15:$AW$405,CRONO!Y$12,CÁLCULO!$AB$15:$AL$405)/(ORÇAMENTO!$X$15-_xlfn.SINGLE(CÁLCULO.TotalAdmLocal))*CRONO!$F76,
                        0),
                 Y75*$S74),
          SUMIF(OFFSET($S76,1,0,$R74-2),($M74+1)&amp;"$",OFFSET(Y76,1,0,$R74-2)))</f>
        <v>0</v>
      </c>
      <c r="Z76" s="203" cm="1">
        <f t="array" aca="1" ref="Z76" ca="1">IF($R74=2,
         IF(AND(ACOMPANHAMENTO="PLE",ISNUMBER($F74)),
                SUMIF((OFFSET(CÁLCULO!$AM$15:$AW$15,$F74,0,OFFSET(ORÇAMENTO!$D$15,CRONO!$F74,0))),CRONO!Z$12,OFFSET(CÁLCULO!$AB$15:$AL$15,$F74,0,OFFSET(ORÇAMENTO!$D$15,CRONO!$F74,0)))
                +IF(AND($F76&lt;&gt;"",$F76&lt;&gt;0),
                        SUMIF(CÁLCULO!$AM$15:$AW$405,CRONO!Z$12,CÁLCULO!$AB$15:$AL$405)/(ORÇAMENTO!$X$15-_xlfn.SINGLE(CÁLCULO.TotalAdmLocal))*CRONO!$F76,
                        0),
                 Z75*$S74),
          SUMIF(OFFSET($S76,1,0,$R74-2),($M74+1)&amp;"$",OFFSET(Z76,1,0,$R74-2)))</f>
        <v>0</v>
      </c>
      <c r="AA76" s="203" cm="1">
        <f t="array" aca="1" ref="AA76" ca="1">IF($R74=2,
         IF(AND(ACOMPANHAMENTO="PLE",ISNUMBER($F74)),
                SUMIF((OFFSET(CÁLCULO!$AM$15:$AW$15,$F74,0,OFFSET(ORÇAMENTO!$D$15,CRONO!$F74,0))),CRONO!AA$12,OFFSET(CÁLCULO!$AB$15:$AL$15,$F74,0,OFFSET(ORÇAMENTO!$D$15,CRONO!$F74,0)))
                +IF(AND($F76&lt;&gt;"",$F76&lt;&gt;0),
                        SUMIF(CÁLCULO!$AM$15:$AW$405,CRONO!AA$12,CÁLCULO!$AB$15:$AL$405)/(ORÇAMENTO!$X$15-_xlfn.SINGLE(CÁLCULO.TotalAdmLocal))*CRONO!$F76,
                        0),
                 AA75*$S74),
          SUMIF(OFFSET($S76,1,0,$R74-2),($M74+1)&amp;"$",OFFSET(AA76,1,0,$R74-2)))</f>
        <v>0</v>
      </c>
      <c r="AB76" s="203" cm="1">
        <f t="array" aca="1" ref="AB76" ca="1">IF($R74=2,
         IF(AND(ACOMPANHAMENTO="PLE",ISNUMBER($F74)),
                SUMIF((OFFSET(CÁLCULO!$AM$15:$AW$15,$F74,0,OFFSET(ORÇAMENTO!$D$15,CRONO!$F74,0))),CRONO!AB$12,OFFSET(CÁLCULO!$AB$15:$AL$15,$F74,0,OFFSET(ORÇAMENTO!$D$15,CRONO!$F74,0)))
                +IF(AND($F76&lt;&gt;"",$F76&lt;&gt;0),
                        SUMIF(CÁLCULO!$AM$15:$AW$405,CRONO!AB$12,CÁLCULO!$AB$15:$AL$405)/(ORÇAMENTO!$X$15-_xlfn.SINGLE(CÁLCULO.TotalAdmLocal))*CRONO!$F76,
                        0),
                 AB75*$S74),
          SUMIF(OFFSET($S76,1,0,$R74-2),($M74+1)&amp;"$",OFFSET(AB76,1,0,$R74-2)))</f>
        <v>0</v>
      </c>
      <c r="AC76" s="203" cm="1">
        <f t="array" aca="1" ref="AC76" ca="1">IF($R74=2,
         IF(AND(ACOMPANHAMENTO="PLE",ISNUMBER($F74)),
                SUMIF((OFFSET(CÁLCULO!$AM$15:$AW$15,$F74,0,OFFSET(ORÇAMENTO!$D$15,CRONO!$F74,0))),CRONO!AC$12,OFFSET(CÁLCULO!$AB$15:$AL$15,$F74,0,OFFSET(ORÇAMENTO!$D$15,CRONO!$F74,0)))
                +IF(AND($F76&lt;&gt;"",$F76&lt;&gt;0),
                        SUMIF(CÁLCULO!$AM$15:$AW$405,CRONO!AC$12,CÁLCULO!$AB$15:$AL$405)/(ORÇAMENTO!$X$15-_xlfn.SINGLE(CÁLCULO.TotalAdmLocal))*CRONO!$F76,
                        0),
                 AC75*$S74),
          SUMIF(OFFSET($S76,1,0,$R74-2),($M74+1)&amp;"$",OFFSET(AC76,1,0,$R74-2)))</f>
        <v>0</v>
      </c>
      <c r="AD76" s="203" cm="1">
        <f t="array" aca="1" ref="AD76" ca="1">IF($R74=2,
         IF(AND(ACOMPANHAMENTO="PLE",ISNUMBER($F74)),
                SUMIF((OFFSET(CÁLCULO!$AM$15:$AW$15,$F74,0,OFFSET(ORÇAMENTO!$D$15,CRONO!$F74,0))),CRONO!AD$12,OFFSET(CÁLCULO!$AB$15:$AL$15,$F74,0,OFFSET(ORÇAMENTO!$D$15,CRONO!$F74,0)))
                +IF(AND($F76&lt;&gt;"",$F76&lt;&gt;0),
                        SUMIF(CÁLCULO!$AM$15:$AW$405,CRONO!AD$12,CÁLCULO!$AB$15:$AL$405)/(ORÇAMENTO!$X$15-_xlfn.SINGLE(CÁLCULO.TotalAdmLocal))*CRONO!$F76,
                        0),
                 AD75*$S74),
          SUMIF(OFFSET($S76,1,0,$R74-2),($M74+1)&amp;"$",OFFSET(AD76,1,0,$R74-2)))</f>
        <v>0</v>
      </c>
      <c r="AE76" s="203" cm="1">
        <f t="array" aca="1" ref="AE76" ca="1">IF($R74=2,
         IF(AND(ACOMPANHAMENTO="PLE",ISNUMBER($F74)),
                SUMIF((OFFSET(CÁLCULO!$AM$15:$AW$15,$F74,0,OFFSET(ORÇAMENTO!$D$15,CRONO!$F74,0))),CRONO!AE$12,OFFSET(CÁLCULO!$AB$15:$AL$15,$F74,0,OFFSET(ORÇAMENTO!$D$15,CRONO!$F74,0)))
                +IF(AND($F76&lt;&gt;"",$F76&lt;&gt;0),
                        SUMIF(CÁLCULO!$AM$15:$AW$405,CRONO!AE$12,CÁLCULO!$AB$15:$AL$405)/(ORÇAMENTO!$X$15-_xlfn.SINGLE(CÁLCULO.TotalAdmLocal))*CRONO!$F76,
                        0),
                 AE75*$S74),
          SUMIF(OFFSET($S76,1,0,$R74-2),($M74+1)&amp;"$",OFFSET(AE76,1,0,$R74-2)))</f>
        <v>0</v>
      </c>
      <c r="AF76" s="203" cm="1">
        <f t="array" aca="1" ref="AF76" ca="1">IF($R74=2,
         IF(AND(ACOMPANHAMENTO="PLE",ISNUMBER($F74)),
                SUMIF((OFFSET(CÁLCULO!$AM$15:$AW$15,$F74,0,OFFSET(ORÇAMENTO!$D$15,CRONO!$F74,0))),CRONO!AF$12,OFFSET(CÁLCULO!$AB$15:$AL$15,$F74,0,OFFSET(ORÇAMENTO!$D$15,CRONO!$F74,0)))
                +IF(AND($F76&lt;&gt;"",$F76&lt;&gt;0),
                        SUMIF(CÁLCULO!$AM$15:$AW$405,CRONO!AF$12,CÁLCULO!$AB$15:$AL$405)/(ORÇAMENTO!$X$15-_xlfn.SINGLE(CÁLCULO.TotalAdmLocal))*CRONO!$F76,
                        0),
                 AF75*$S74),
          SUMIF(OFFSET($S76,1,0,$R74-2),($M74+1)&amp;"$",OFFSET(AF76,1,0,$R74-2)))</f>
        <v>0</v>
      </c>
      <c r="AG76" s="535"/>
    </row>
    <row r="77" spans="1:33" x14ac:dyDescent="0.2">
      <c r="A77" s="187" t="e">
        <f t="shared" ref="A77" ca="1" si="128">IF($M77&gt;1,_xlfn.CONCAT($I77," ",$J77),"")</f>
        <v>#NAME?</v>
      </c>
      <c r="B77" s="186">
        <f t="shared" ref="B77" ca="1" si="129">OFFSET(B77,-3,0)+1</f>
        <v>22</v>
      </c>
      <c r="C77" s="186">
        <f ca="1">IF($R77&lt;&gt;2,0,IF($S77=0,1,IF(F78&gt;0,OFFSET(QCI!$M$13,SUBSTITUTE(F78,".",""),0),OFFSET(ORÇAMENTO!$AA$15,CRONO!$F77,0))/$S77))</f>
        <v>1</v>
      </c>
      <c r="D77" s="186">
        <f ca="1">IF($R77&lt;&gt;2,0,IF($S77=0,1,IF(F78&gt;0,OFFSET(QCI!$N$13,SUBSTITUTE(F78,".",""),0),OFFSET(ORÇAMENTO!$AB$15,CRONO!$F77,0))/$S77))</f>
        <v>1</v>
      </c>
      <c r="E77" s="189" cm="1">
        <f t="array" aca="1" ref="E77" ca="1">IF(AND($R77=2,ACOMPANHAMENTO="BM"),ROUND(E78,4),E79/$S77)</f>
        <v>0</v>
      </c>
      <c r="F77" s="186">
        <f ca="1">IF(B77&lt;=ORÇAMENTO.MáximoListaCrono,MATCH(B77,ORÇAMENTO.ListaCrono,0),NA())</f>
        <v>365</v>
      </c>
      <c r="G77" s="186" t="str">
        <f t="shared" ref="G77" ca="1" si="130">IF(AND($F78&lt;&gt;-1,$S77&gt;0),"F","")</f>
        <v/>
      </c>
      <c r="H77" s="190" t="str" cm="1">
        <f t="array" aca="1" ref="H77" ca="1">IF(OR(S77=0,S77=""),"Linha",IF(AND(OR(ACOMPANHAMENTO="PLE",$R77&lt;&gt;2),$F78=0),"Linha",ROUND(1-SUM(U77:AG77),4)))</f>
        <v>Linha</v>
      </c>
      <c r="I77" s="191" t="str">
        <f ca="1">IF($F78=0,OFFSET(ORÇAMENTO!O$15,$F77,0),IF($F78&lt;&gt;-1,OFFSET(QCI!$D$13,$F78,0),""))</f>
        <v>1.21.</v>
      </c>
      <c r="J77" s="192" t="str">
        <f ca="1">IF($F78=0,OFFSET(ORÇAMENTO!R$15,$F77,0),IF($F78&lt;&gt;-1,OFFSET(QCI!$G$13,$F78,0),""))</f>
        <v>SPDA</v>
      </c>
      <c r="K77" s="192"/>
      <c r="L77" s="192"/>
      <c r="M77" s="193">
        <f ca="1">IF($F78=0,OFFSET(ORÇAMENTO!C$15,$F77,0),1)</f>
        <v>2</v>
      </c>
      <c r="N77" s="194">
        <f ca="1">IF($F78=-1,0,IF(N$13&lt;=$M77,IF(ISERROR(MATCH(N$13,OFFSET($M77,1,0,ROW($M$89)-ROW($M77)-1),0)),ROW($M$89)-ROW($M77)-1,MATCH(N$13,OFFSET($M77,1,0,ROW($M$89)-ROW($M77)-1),0)-1),0))</f>
        <v>11</v>
      </c>
      <c r="O77" s="194">
        <f ca="1">IF($F78=-1,0,IF(O$13&lt;=$M77,IF(ISERROR(MATCH(O$13,OFFSET($M77,1,0,ROW($M$89)-ROW($M77)-1),0)),ROW($M$89)-ROW($M77)-1,MATCH(O$13,OFFSET($M77,1,0,ROW($M$89)-ROW($M77)-1),0)-1),0))</f>
        <v>2</v>
      </c>
      <c r="P77" s="194">
        <f ca="1">IF($F78=-1,0,IF(P$13&lt;=$M77,IF(ISERROR(MATCH(P$13,OFFSET($M77,1,0,ROW($M$89)-ROW($M77)-1),0)),ROW($M$89)-ROW($M77)-1,MATCH(P$13,OFFSET($M77,1,0,ROW($M$89)-ROW($M77)-1),0)-1),0))</f>
        <v>0</v>
      </c>
      <c r="Q77" s="194">
        <f ca="1">IF($F78=-1,0,IF(Q$13&lt;=$M77,IF(ISERROR(MATCH(Q$13,OFFSET($M77,1,0,ROW($M$89)-ROW($M77)-1),0)),ROW($M$89)-ROW($M77)-1,MATCH(Q$13,OFFSET($M77,1,0,ROW($M$89)-ROW($M77)-1),0)-1),0))</f>
        <v>0</v>
      </c>
      <c r="R77" s="194">
        <f t="shared" ref="R77" ca="1" si="131">MIN(OFFSET(M77,0,1,,M77))</f>
        <v>2</v>
      </c>
      <c r="S77" s="195">
        <f ca="1">IF($F78=0,OFFSET(ORÇAMENTO!X$15,$F77,0),IF($F78&lt;&gt;-1,OFFSET(QCI!$O$13,$F78,0),""))</f>
        <v>0</v>
      </c>
      <c r="T77" s="196" t="s">
        <v>787</v>
      </c>
      <c r="U77" s="189" cm="1">
        <f t="array" aca="1" ref="U77" ca="1">IF(AND($R77=2,ACOMPANHAMENTO="BM"),ROUND(U78,4),U79/$S77)</f>
        <v>0</v>
      </c>
      <c r="V77" s="189" cm="1">
        <f t="array" aca="1" ref="V77" ca="1">IF(AND($R77=2,ACOMPANHAMENTO="BM"),ROUND(V78,4),V79/$S77)</f>
        <v>0</v>
      </c>
      <c r="W77" s="189" cm="1">
        <f t="array" aca="1" ref="W77" ca="1">IF(AND($R77=2,ACOMPANHAMENTO="BM"),ROUND(W78,4),W79/$S77)</f>
        <v>0</v>
      </c>
      <c r="X77" s="189" cm="1">
        <f t="array" aca="1" ref="X77" ca="1">IF(AND($R77=2,ACOMPANHAMENTO="BM"),ROUND(X78,4),X79/$S77)</f>
        <v>0</v>
      </c>
      <c r="Y77" s="189" cm="1">
        <f t="array" aca="1" ref="Y77" ca="1">IF(AND($R77=2,ACOMPANHAMENTO="BM"),ROUND(Y78,4),Y79/$S77)</f>
        <v>0</v>
      </c>
      <c r="Z77" s="189" cm="1">
        <f t="array" aca="1" ref="Z77" ca="1">IF(AND($R77=2,ACOMPANHAMENTO="BM"),ROUND(Z78,4),Z79/$S77)</f>
        <v>1</v>
      </c>
      <c r="AA77" s="189" cm="1">
        <f t="array" aca="1" ref="AA77" ca="1">IF(AND($R77=2,ACOMPANHAMENTO="BM"),ROUND(AA78,4),AA79/$S77)</f>
        <v>0</v>
      </c>
      <c r="AB77" s="189" cm="1">
        <f t="array" aca="1" ref="AB77" ca="1">IF(AND($R77=2,ACOMPANHAMENTO="BM"),ROUND(AB78,4),AB79/$S77)</f>
        <v>0</v>
      </c>
      <c r="AC77" s="189" cm="1">
        <f t="array" aca="1" ref="AC77" ca="1">IF(AND($R77=2,ACOMPANHAMENTO="BM"),ROUND(AC78,4),AC79/$S77)</f>
        <v>0</v>
      </c>
      <c r="AD77" s="189" cm="1">
        <f t="array" aca="1" ref="AD77" ca="1">IF(AND($R77=2,ACOMPANHAMENTO="BM"),ROUND(AD78,4),AD79/$S77)</f>
        <v>0</v>
      </c>
      <c r="AE77" s="189" cm="1">
        <f t="array" aca="1" ref="AE77" ca="1">IF(AND($R77=2,ACOMPANHAMENTO="BM"),ROUND(AE78,4),AE79/$S77)</f>
        <v>0</v>
      </c>
      <c r="AF77" s="189" cm="1">
        <f t="array" aca="1" ref="AF77" ca="1">IF(AND($R77=2,ACOMPANHAMENTO="BM"),ROUND(AF78,4),AF79/$S77)</f>
        <v>0</v>
      </c>
      <c r="AG77" s="535"/>
    </row>
    <row r="78" spans="1:33" ht="12.75" customHeight="1" x14ac:dyDescent="0.2">
      <c r="E78" s="590"/>
      <c r="F78" s="186">
        <f ca="1">IF(ISERROR(F77),IF(1+COUNTIF($M$13:OFFSET(M77,-1,0),1)&lt;=MAX(QCI!$D$13:$D$24),1+COUNTIF($M$13:OFFSET(M77,-1,0),1),-1),0)</f>
        <v>0</v>
      </c>
      <c r="G78" s="186" t="str" cm="1">
        <f t="array" aca="1" ref="G78" ca="1">IF(ACOMPANHAMENTO="BM",OFFSET(G78,-1,0),"")</f>
        <v/>
      </c>
      <c r="H78" s="197" t="str" cm="1">
        <f t="array" aca="1" ref="H78" ca="1">IF(OR(S77=0,S77=""),"vazia",IF(AND(OR(ACOMPANHAMENTO="PLE",$R77&lt;&gt;2),$F78=0),"calculada","--&gt;"))</f>
        <v>vazia</v>
      </c>
      <c r="I78" s="198"/>
      <c r="J78" s="199" t="str">
        <f t="shared" ref="J78" ca="1" si="132">IF(AND(H77&lt;&gt;0,ISNUMBER(H77)),"PREENCHA ESTA LINHA --&gt;","")</f>
        <v/>
      </c>
      <c r="K78" s="199"/>
      <c r="L78" s="199"/>
      <c r="M78" s="200"/>
      <c r="N78" s="200"/>
      <c r="O78" s="200"/>
      <c r="P78" s="200"/>
      <c r="Q78" s="200"/>
      <c r="R78" s="200"/>
      <c r="S78" s="201"/>
      <c r="T78" s="202"/>
      <c r="U78" s="590"/>
      <c r="V78" s="590"/>
      <c r="W78" s="590"/>
      <c r="X78" s="590"/>
      <c r="Y78" s="590"/>
      <c r="Z78" s="590">
        <v>1</v>
      </c>
      <c r="AA78" s="590"/>
      <c r="AB78" s="590"/>
      <c r="AC78" s="590"/>
      <c r="AD78" s="590"/>
      <c r="AE78" s="590"/>
      <c r="AF78" s="590"/>
      <c r="AG78" s="535"/>
    </row>
    <row r="79" spans="1:33" ht="12.75" customHeight="1" x14ac:dyDescent="0.2">
      <c r="D79" s="534"/>
      <c r="E79" s="203" cm="1">
        <f t="array" aca="1" ref="E79" ca="1">IF($R77=2,
         IF(AND(ACOMPANHAMENTO="PLE",ISNUMBER($F77)),
                SUMIF((OFFSET(CÁLCULO!$AM$15:$AW$15,$F77,0,OFFSET(ORÇAMENTO!$D$15,CRONO!$F77,0))),CRONO!E$12,OFFSET(CÁLCULO!$AB$15:$AL$15,$F77,0,OFFSET(ORÇAMENTO!$D$15,CRONO!$F77,0)))
                +IF(AND($F79&lt;&gt;"",$F79&lt;&gt;0),
                        SUMIF(CÁLCULO!$AM$15:$AW$405,CRONO!E$12,CÁLCULO!$AB$15:$AL$405)/(ORÇAMENTO!$X$15-_xlfn.SINGLE(CÁLCULO.TotalAdmLocal))*CRONO!$F79,
                        0),
                 E78*$S77),
          SUMIF(OFFSET($S79,1,0,$R77-2),($M77+1)&amp;"$",OFFSET(E79,1,0,$R77-2)))</f>
        <v>0</v>
      </c>
      <c r="F79" s="186" t="str">
        <f ca="1">IF(OR($R77&lt;&gt;2,AUTOEVENTO&lt;&gt;"manual",$F78&gt;0),"",
        IF(Import.TipoArredondamento="Tradicional",
              SUMIF(OFFSET(CÁLCULO!$M$15,CRONO!$F77,0,OFFSET(ORÇAMENTO!$D$15,CRONO!$F77,0)),1,OFFSET(ORÇAMENTO!$X$15,CRONO!$F77,0,OFFSET(ORÇAMENTO!$D$15,CRONO!$F77,0))),
              0))</f>
        <v/>
      </c>
      <c r="H79" s="204"/>
      <c r="S79" s="205" t="str">
        <f t="shared" ref="S79" ca="1" si="133">M77&amp;"$"</f>
        <v>2$</v>
      </c>
      <c r="T79" s="206"/>
      <c r="U79" s="203" cm="1">
        <f t="array" aca="1" ref="U79" ca="1">IF($R77=2,
         IF(AND(ACOMPANHAMENTO="PLE",ISNUMBER($F77)),
                SUMIF((OFFSET(CÁLCULO!$AM$15:$AW$15,$F77,0,OFFSET(ORÇAMENTO!$D$15,CRONO!$F77,0))),CRONO!U$12,OFFSET(CÁLCULO!$AB$15:$AL$15,$F77,0,OFFSET(ORÇAMENTO!$D$15,CRONO!$F77,0)))
                +IF(AND($F79&lt;&gt;"",$F79&lt;&gt;0),
                        SUMIF(CÁLCULO!$AM$15:$AW$405,CRONO!U$12,CÁLCULO!$AB$15:$AL$405)/(ORÇAMENTO!$X$15-_xlfn.SINGLE(CÁLCULO.TotalAdmLocal))*CRONO!$F79,
                        0),
                 U78*$S77),
          SUMIF(OFFSET($S79,1,0,$R77-2),($M77+1)&amp;"$",OFFSET(U79,1,0,$R77-2)))</f>
        <v>0</v>
      </c>
      <c r="V79" s="203" cm="1">
        <f t="array" aca="1" ref="V79" ca="1">IF($R77=2,
         IF(AND(ACOMPANHAMENTO="PLE",ISNUMBER($F77)),
                SUMIF((OFFSET(CÁLCULO!$AM$15:$AW$15,$F77,0,OFFSET(ORÇAMENTO!$D$15,CRONO!$F77,0))),CRONO!V$12,OFFSET(CÁLCULO!$AB$15:$AL$15,$F77,0,OFFSET(ORÇAMENTO!$D$15,CRONO!$F77,0)))
                +IF(AND($F79&lt;&gt;"",$F79&lt;&gt;0),
                        SUMIF(CÁLCULO!$AM$15:$AW$405,CRONO!V$12,CÁLCULO!$AB$15:$AL$405)/(ORÇAMENTO!$X$15-_xlfn.SINGLE(CÁLCULO.TotalAdmLocal))*CRONO!$F79,
                        0),
                 V78*$S77),
          SUMIF(OFFSET($S79,1,0,$R77-2),($M77+1)&amp;"$",OFFSET(V79,1,0,$R77-2)))</f>
        <v>0</v>
      </c>
      <c r="W79" s="203" cm="1">
        <f t="array" aca="1" ref="W79" ca="1">IF($R77=2,
         IF(AND(ACOMPANHAMENTO="PLE",ISNUMBER($F77)),
                SUMIF((OFFSET(CÁLCULO!$AM$15:$AW$15,$F77,0,OFFSET(ORÇAMENTO!$D$15,CRONO!$F77,0))),CRONO!W$12,OFFSET(CÁLCULO!$AB$15:$AL$15,$F77,0,OFFSET(ORÇAMENTO!$D$15,CRONO!$F77,0)))
                +IF(AND($F79&lt;&gt;"",$F79&lt;&gt;0),
                        SUMIF(CÁLCULO!$AM$15:$AW$405,CRONO!W$12,CÁLCULO!$AB$15:$AL$405)/(ORÇAMENTO!$X$15-_xlfn.SINGLE(CÁLCULO.TotalAdmLocal))*CRONO!$F79,
                        0),
                 W78*$S77),
          SUMIF(OFFSET($S79,1,0,$R77-2),($M77+1)&amp;"$",OFFSET(W79,1,0,$R77-2)))</f>
        <v>0</v>
      </c>
      <c r="X79" s="203" cm="1">
        <f t="array" aca="1" ref="X79" ca="1">IF($R77=2,
         IF(AND(ACOMPANHAMENTO="PLE",ISNUMBER($F77)),
                SUMIF((OFFSET(CÁLCULO!$AM$15:$AW$15,$F77,0,OFFSET(ORÇAMENTO!$D$15,CRONO!$F77,0))),CRONO!X$12,OFFSET(CÁLCULO!$AB$15:$AL$15,$F77,0,OFFSET(ORÇAMENTO!$D$15,CRONO!$F77,0)))
                +IF(AND($F79&lt;&gt;"",$F79&lt;&gt;0),
                        SUMIF(CÁLCULO!$AM$15:$AW$405,CRONO!X$12,CÁLCULO!$AB$15:$AL$405)/(ORÇAMENTO!$X$15-_xlfn.SINGLE(CÁLCULO.TotalAdmLocal))*CRONO!$F79,
                        0),
                 X78*$S77),
          SUMIF(OFFSET($S79,1,0,$R77-2),($M77+1)&amp;"$",OFFSET(X79,1,0,$R77-2)))</f>
        <v>0</v>
      </c>
      <c r="Y79" s="203" cm="1">
        <f t="array" aca="1" ref="Y79" ca="1">IF($R77=2,
         IF(AND(ACOMPANHAMENTO="PLE",ISNUMBER($F77)),
                SUMIF((OFFSET(CÁLCULO!$AM$15:$AW$15,$F77,0,OFFSET(ORÇAMENTO!$D$15,CRONO!$F77,0))),CRONO!Y$12,OFFSET(CÁLCULO!$AB$15:$AL$15,$F77,0,OFFSET(ORÇAMENTO!$D$15,CRONO!$F77,0)))
                +IF(AND($F79&lt;&gt;"",$F79&lt;&gt;0),
                        SUMIF(CÁLCULO!$AM$15:$AW$405,CRONO!Y$12,CÁLCULO!$AB$15:$AL$405)/(ORÇAMENTO!$X$15-_xlfn.SINGLE(CÁLCULO.TotalAdmLocal))*CRONO!$F79,
                        0),
                 Y78*$S77),
          SUMIF(OFFSET($S79,1,0,$R77-2),($M77+1)&amp;"$",OFFSET(Y79,1,0,$R77-2)))</f>
        <v>0</v>
      </c>
      <c r="Z79" s="203" cm="1">
        <f t="array" aca="1" ref="Z79" ca="1">IF($R77=2,
         IF(AND(ACOMPANHAMENTO="PLE",ISNUMBER($F77)),
                SUMIF((OFFSET(CÁLCULO!$AM$15:$AW$15,$F77,0,OFFSET(ORÇAMENTO!$D$15,CRONO!$F77,0))),CRONO!Z$12,OFFSET(CÁLCULO!$AB$15:$AL$15,$F77,0,OFFSET(ORÇAMENTO!$D$15,CRONO!$F77,0)))
                +IF(AND($F79&lt;&gt;"",$F79&lt;&gt;0),
                        SUMIF(CÁLCULO!$AM$15:$AW$405,CRONO!Z$12,CÁLCULO!$AB$15:$AL$405)/(ORÇAMENTO!$X$15-_xlfn.SINGLE(CÁLCULO.TotalAdmLocal))*CRONO!$F79,
                        0),
                 Z78*$S77),
          SUMIF(OFFSET($S79,1,0,$R77-2),($M77+1)&amp;"$",OFFSET(Z79,1,0,$R77-2)))</f>
        <v>0</v>
      </c>
      <c r="AA79" s="203" cm="1">
        <f t="array" aca="1" ref="AA79" ca="1">IF($R77=2,
         IF(AND(ACOMPANHAMENTO="PLE",ISNUMBER($F77)),
                SUMIF((OFFSET(CÁLCULO!$AM$15:$AW$15,$F77,0,OFFSET(ORÇAMENTO!$D$15,CRONO!$F77,0))),CRONO!AA$12,OFFSET(CÁLCULO!$AB$15:$AL$15,$F77,0,OFFSET(ORÇAMENTO!$D$15,CRONO!$F77,0)))
                +IF(AND($F79&lt;&gt;"",$F79&lt;&gt;0),
                        SUMIF(CÁLCULO!$AM$15:$AW$405,CRONO!AA$12,CÁLCULO!$AB$15:$AL$405)/(ORÇAMENTO!$X$15-_xlfn.SINGLE(CÁLCULO.TotalAdmLocal))*CRONO!$F79,
                        0),
                 AA78*$S77),
          SUMIF(OFFSET($S79,1,0,$R77-2),($M77+1)&amp;"$",OFFSET(AA79,1,0,$R77-2)))</f>
        <v>0</v>
      </c>
      <c r="AB79" s="203" cm="1">
        <f t="array" aca="1" ref="AB79" ca="1">IF($R77=2,
         IF(AND(ACOMPANHAMENTO="PLE",ISNUMBER($F77)),
                SUMIF((OFFSET(CÁLCULO!$AM$15:$AW$15,$F77,0,OFFSET(ORÇAMENTO!$D$15,CRONO!$F77,0))),CRONO!AB$12,OFFSET(CÁLCULO!$AB$15:$AL$15,$F77,0,OFFSET(ORÇAMENTO!$D$15,CRONO!$F77,0)))
                +IF(AND($F79&lt;&gt;"",$F79&lt;&gt;0),
                        SUMIF(CÁLCULO!$AM$15:$AW$405,CRONO!AB$12,CÁLCULO!$AB$15:$AL$405)/(ORÇAMENTO!$X$15-_xlfn.SINGLE(CÁLCULO.TotalAdmLocal))*CRONO!$F79,
                        0),
                 AB78*$S77),
          SUMIF(OFFSET($S79,1,0,$R77-2),($M77+1)&amp;"$",OFFSET(AB79,1,0,$R77-2)))</f>
        <v>0</v>
      </c>
      <c r="AC79" s="203" cm="1">
        <f t="array" aca="1" ref="AC79" ca="1">IF($R77=2,
         IF(AND(ACOMPANHAMENTO="PLE",ISNUMBER($F77)),
                SUMIF((OFFSET(CÁLCULO!$AM$15:$AW$15,$F77,0,OFFSET(ORÇAMENTO!$D$15,CRONO!$F77,0))),CRONO!AC$12,OFFSET(CÁLCULO!$AB$15:$AL$15,$F77,0,OFFSET(ORÇAMENTO!$D$15,CRONO!$F77,0)))
                +IF(AND($F79&lt;&gt;"",$F79&lt;&gt;0),
                        SUMIF(CÁLCULO!$AM$15:$AW$405,CRONO!AC$12,CÁLCULO!$AB$15:$AL$405)/(ORÇAMENTO!$X$15-_xlfn.SINGLE(CÁLCULO.TotalAdmLocal))*CRONO!$F79,
                        0),
                 AC78*$S77),
          SUMIF(OFFSET($S79,1,0,$R77-2),($M77+1)&amp;"$",OFFSET(AC79,1,0,$R77-2)))</f>
        <v>0</v>
      </c>
      <c r="AD79" s="203" cm="1">
        <f t="array" aca="1" ref="AD79" ca="1">IF($R77=2,
         IF(AND(ACOMPANHAMENTO="PLE",ISNUMBER($F77)),
                SUMIF((OFFSET(CÁLCULO!$AM$15:$AW$15,$F77,0,OFFSET(ORÇAMENTO!$D$15,CRONO!$F77,0))),CRONO!AD$12,OFFSET(CÁLCULO!$AB$15:$AL$15,$F77,0,OFFSET(ORÇAMENTO!$D$15,CRONO!$F77,0)))
                +IF(AND($F79&lt;&gt;"",$F79&lt;&gt;0),
                        SUMIF(CÁLCULO!$AM$15:$AW$405,CRONO!AD$12,CÁLCULO!$AB$15:$AL$405)/(ORÇAMENTO!$X$15-_xlfn.SINGLE(CÁLCULO.TotalAdmLocal))*CRONO!$F79,
                        0),
                 AD78*$S77),
          SUMIF(OFFSET($S79,1,0,$R77-2),($M77+1)&amp;"$",OFFSET(AD79,1,0,$R77-2)))</f>
        <v>0</v>
      </c>
      <c r="AE79" s="203" cm="1">
        <f t="array" aca="1" ref="AE79" ca="1">IF($R77=2,
         IF(AND(ACOMPANHAMENTO="PLE",ISNUMBER($F77)),
                SUMIF((OFFSET(CÁLCULO!$AM$15:$AW$15,$F77,0,OFFSET(ORÇAMENTO!$D$15,CRONO!$F77,0))),CRONO!AE$12,OFFSET(CÁLCULO!$AB$15:$AL$15,$F77,0,OFFSET(ORÇAMENTO!$D$15,CRONO!$F77,0)))
                +IF(AND($F79&lt;&gt;"",$F79&lt;&gt;0),
                        SUMIF(CÁLCULO!$AM$15:$AW$405,CRONO!AE$12,CÁLCULO!$AB$15:$AL$405)/(ORÇAMENTO!$X$15-_xlfn.SINGLE(CÁLCULO.TotalAdmLocal))*CRONO!$F79,
                        0),
                 AE78*$S77),
          SUMIF(OFFSET($S79,1,0,$R77-2),($M77+1)&amp;"$",OFFSET(AE79,1,0,$R77-2)))</f>
        <v>0</v>
      </c>
      <c r="AF79" s="203" cm="1">
        <f t="array" aca="1" ref="AF79" ca="1">IF($R77=2,
         IF(AND(ACOMPANHAMENTO="PLE",ISNUMBER($F77)),
                SUMIF((OFFSET(CÁLCULO!$AM$15:$AW$15,$F77,0,OFFSET(ORÇAMENTO!$D$15,CRONO!$F77,0))),CRONO!AF$12,OFFSET(CÁLCULO!$AB$15:$AL$15,$F77,0,OFFSET(ORÇAMENTO!$D$15,CRONO!$F77,0)))
                +IF(AND($F79&lt;&gt;"",$F79&lt;&gt;0),
                        SUMIF(CÁLCULO!$AM$15:$AW$405,CRONO!AF$12,CÁLCULO!$AB$15:$AL$405)/(ORÇAMENTO!$X$15-_xlfn.SINGLE(CÁLCULO.TotalAdmLocal))*CRONO!$F79,
                        0),
                 AF78*$S77),
          SUMIF(OFFSET($S79,1,0,$R77-2),($M77+1)&amp;"$",OFFSET(AF79,1,0,$R77-2)))</f>
        <v>0</v>
      </c>
      <c r="AG79" s="535"/>
    </row>
    <row r="80" spans="1:33" x14ac:dyDescent="0.2">
      <c r="A80" s="187" t="e">
        <f t="shared" ref="A80" ca="1" si="134">IF($M80&gt;1,_xlfn.CONCAT($I80," ",$J80),"")</f>
        <v>#NAME?</v>
      </c>
      <c r="B80" s="186">
        <f t="shared" ref="B80" ca="1" si="135">OFFSET(B80,-3,0)+1</f>
        <v>23</v>
      </c>
      <c r="C80" s="186">
        <f ca="1">IF($R80&lt;&gt;2,0,IF($S80=0,1,IF(F81&gt;0,OFFSET(QCI!$M$13,SUBSTITUTE(F81,".",""),0),OFFSET(ORÇAMENTO!$AA$15,CRONO!$F80,0))/$S80))</f>
        <v>1</v>
      </c>
      <c r="D80" s="186">
        <f ca="1">IF($R80&lt;&gt;2,0,IF($S80=0,1,IF(F81&gt;0,OFFSET(QCI!$N$13,SUBSTITUTE(F81,".",""),0),OFFSET(ORÇAMENTO!$AB$15,CRONO!$F80,0))/$S80))</f>
        <v>1</v>
      </c>
      <c r="E80" s="189" cm="1">
        <f t="array" aca="1" ref="E80" ca="1">IF(AND($R80=2,ACOMPANHAMENTO="BM"),ROUND(E81,4),E82/$S80)</f>
        <v>0</v>
      </c>
      <c r="F80" s="186">
        <f ca="1">IF(B80&lt;=ORÇAMENTO.MáximoListaCrono,MATCH(B80,ORÇAMENTO.ListaCrono,0),NA())</f>
        <v>377</v>
      </c>
      <c r="G80" s="186" t="str">
        <f t="shared" ref="G80" ca="1" si="136">IF(AND($F81&lt;&gt;-1,$S80&gt;0),"F","")</f>
        <v/>
      </c>
      <c r="H80" s="190" t="str" cm="1">
        <f t="array" aca="1" ref="H80" ca="1">IF(OR(S80=0,S80=""),"Linha",IF(AND(OR(ACOMPANHAMENTO="PLE",$R80&lt;&gt;2),$F81=0),"Linha",ROUND(1-SUM(U80:AG80),4)))</f>
        <v>Linha</v>
      </c>
      <c r="I80" s="191" t="str">
        <f ca="1">IF($F81=0,OFFSET(ORÇAMENTO!O$15,$F80,0),IF($F81&lt;&gt;-1,OFFSET(QCI!$D$13,$F81,0),""))</f>
        <v>1.22.</v>
      </c>
      <c r="J80" s="192" t="str">
        <f ca="1">IF($F81=0,OFFSET(ORÇAMENTO!R$15,$F80,0),IF($F81&lt;&gt;-1,OFFSET(QCI!$G$13,$F81,0),""))</f>
        <v>INSTALAÇÃO DOS MÓDULOS PRÉ-FABRICADOS NO CANTEIRO DE OBRAS</v>
      </c>
      <c r="K80" s="192"/>
      <c r="L80" s="192"/>
      <c r="M80" s="193">
        <f ca="1">IF($F81=0,OFFSET(ORÇAMENTO!C$15,$F80,0),1)</f>
        <v>2</v>
      </c>
      <c r="N80" s="194">
        <f ca="1">IF($F81=-1,0,IF(N$13&lt;=$M80,IF(ISERROR(MATCH(N$13,OFFSET($M80,1,0,ROW($M$89)-ROW($M80)-1),0)),ROW($M$89)-ROW($M80)-1,MATCH(N$13,OFFSET($M80,1,0,ROW($M$89)-ROW($M80)-1),0)-1),0))</f>
        <v>8</v>
      </c>
      <c r="O80" s="194">
        <f ca="1">IF($F81=-1,0,IF(O$13&lt;=$M80,IF(ISERROR(MATCH(O$13,OFFSET($M80,1,0,ROW($M$89)-ROW($M80)-1),0)),ROW($M$89)-ROW($M80)-1,MATCH(O$13,OFFSET($M80,1,0,ROW($M$89)-ROW($M80)-1),0)-1),0))</f>
        <v>2</v>
      </c>
      <c r="P80" s="194">
        <f ca="1">IF($F81=-1,0,IF(P$13&lt;=$M80,IF(ISERROR(MATCH(P$13,OFFSET($M80,1,0,ROW($M$89)-ROW($M80)-1),0)),ROW($M$89)-ROW($M80)-1,MATCH(P$13,OFFSET($M80,1,0,ROW($M$89)-ROW($M80)-1),0)-1),0))</f>
        <v>0</v>
      </c>
      <c r="Q80" s="194">
        <f ca="1">IF($F81=-1,0,IF(Q$13&lt;=$M80,IF(ISERROR(MATCH(Q$13,OFFSET($M80,1,0,ROW($M$89)-ROW($M80)-1),0)),ROW($M$89)-ROW($M80)-1,MATCH(Q$13,OFFSET($M80,1,0,ROW($M$89)-ROW($M80)-1),0)-1),0))</f>
        <v>0</v>
      </c>
      <c r="R80" s="194">
        <f t="shared" ref="R80" ca="1" si="137">MIN(OFFSET(M80,0,1,,M80))</f>
        <v>2</v>
      </c>
      <c r="S80" s="195">
        <f ca="1">IF($F81=0,OFFSET(ORÇAMENTO!X$15,$F80,0),IF($F81&lt;&gt;-1,OFFSET(QCI!$O$13,$F81,0),""))</f>
        <v>0</v>
      </c>
      <c r="T80" s="196" t="s">
        <v>787</v>
      </c>
      <c r="U80" s="189" cm="1">
        <f t="array" aca="1" ref="U80" ca="1">IF(AND($R80=2,ACOMPANHAMENTO="BM"),ROUND(U81,4),U82/$S80)</f>
        <v>0</v>
      </c>
      <c r="V80" s="189" cm="1">
        <f t="array" aca="1" ref="V80" ca="1">IF(AND($R80=2,ACOMPANHAMENTO="BM"),ROUND(V81,4),V82/$S80)</f>
        <v>0</v>
      </c>
      <c r="W80" s="189" cm="1">
        <f t="array" aca="1" ref="W80" ca="1">IF(AND($R80=2,ACOMPANHAMENTO="BM"),ROUND(W81,4),W82/$S80)</f>
        <v>0.2</v>
      </c>
      <c r="X80" s="189" cm="1">
        <f t="array" aca="1" ref="X80" ca="1">IF(AND($R80=2,ACOMPANHAMENTO="BM"),ROUND(X81,4),X82/$S80)</f>
        <v>0.3</v>
      </c>
      <c r="Y80" s="189" cm="1">
        <f t="array" aca="1" ref="Y80" ca="1">IF(AND($R80=2,ACOMPANHAMENTO="BM"),ROUND(Y81,4),Y82/$S80)</f>
        <v>0.3</v>
      </c>
      <c r="Z80" s="189" cm="1">
        <f t="array" aca="1" ref="Z80" ca="1">IF(AND($R80=2,ACOMPANHAMENTO="BM"),ROUND(Z81,4),Z82/$S80)</f>
        <v>0.2</v>
      </c>
      <c r="AA80" s="189" cm="1">
        <f t="array" aca="1" ref="AA80" ca="1">IF(AND($R80=2,ACOMPANHAMENTO="BM"),ROUND(AA81,4),AA82/$S80)</f>
        <v>0</v>
      </c>
      <c r="AB80" s="189" cm="1">
        <f t="array" aca="1" ref="AB80" ca="1">IF(AND($R80=2,ACOMPANHAMENTO="BM"),ROUND(AB81,4),AB82/$S80)</f>
        <v>0</v>
      </c>
      <c r="AC80" s="189" cm="1">
        <f t="array" aca="1" ref="AC80" ca="1">IF(AND($R80=2,ACOMPANHAMENTO="BM"),ROUND(AC81,4),AC82/$S80)</f>
        <v>0</v>
      </c>
      <c r="AD80" s="189" cm="1">
        <f t="array" aca="1" ref="AD80" ca="1">IF(AND($R80=2,ACOMPANHAMENTO="BM"),ROUND(AD81,4),AD82/$S80)</f>
        <v>0</v>
      </c>
      <c r="AE80" s="189" cm="1">
        <f t="array" aca="1" ref="AE80" ca="1">IF(AND($R80=2,ACOMPANHAMENTO="BM"),ROUND(AE81,4),AE82/$S80)</f>
        <v>0</v>
      </c>
      <c r="AF80" s="189" cm="1">
        <f t="array" aca="1" ref="AF80" ca="1">IF(AND($R80=2,ACOMPANHAMENTO="BM"),ROUND(AF81,4),AF82/$S80)</f>
        <v>0</v>
      </c>
      <c r="AG80" s="535"/>
    </row>
    <row r="81" spans="1:33" ht="12.75" customHeight="1" x14ac:dyDescent="0.2">
      <c r="E81" s="590"/>
      <c r="F81" s="186">
        <f ca="1">IF(ISERROR(F80),IF(1+COUNTIF($M$13:OFFSET(M80,-1,0),1)&lt;=MAX(QCI!$D$13:$D$24),1+COUNTIF($M$13:OFFSET(M80,-1,0),1),-1),0)</f>
        <v>0</v>
      </c>
      <c r="G81" s="186" t="str" cm="1">
        <f t="array" aca="1" ref="G81" ca="1">IF(ACOMPANHAMENTO="BM",OFFSET(G81,-1,0),"")</f>
        <v/>
      </c>
      <c r="H81" s="197" t="str" cm="1">
        <f t="array" aca="1" ref="H81" ca="1">IF(OR(S80=0,S80=""),"vazia",IF(AND(OR(ACOMPANHAMENTO="PLE",$R80&lt;&gt;2),$F81=0),"calculada","--&gt;"))</f>
        <v>vazia</v>
      </c>
      <c r="I81" s="198"/>
      <c r="J81" s="199" t="str">
        <f t="shared" ref="J81" ca="1" si="138">IF(AND(H80&lt;&gt;0,ISNUMBER(H80)),"PREENCHA ESTA LINHA --&gt;","")</f>
        <v/>
      </c>
      <c r="K81" s="199"/>
      <c r="L81" s="199"/>
      <c r="M81" s="200"/>
      <c r="N81" s="200"/>
      <c r="O81" s="200"/>
      <c r="P81" s="200"/>
      <c r="Q81" s="200"/>
      <c r="R81" s="200"/>
      <c r="S81" s="201"/>
      <c r="T81" s="202"/>
      <c r="U81" s="590"/>
      <c r="V81" s="590"/>
      <c r="W81" s="590">
        <v>0.2</v>
      </c>
      <c r="X81" s="590">
        <v>0.3</v>
      </c>
      <c r="Y81" s="590">
        <v>0.3</v>
      </c>
      <c r="Z81" s="590">
        <v>0.2</v>
      </c>
      <c r="AA81" s="590"/>
      <c r="AB81" s="590"/>
      <c r="AC81" s="590"/>
      <c r="AD81" s="590"/>
      <c r="AE81" s="590"/>
      <c r="AF81" s="590"/>
      <c r="AG81" s="535"/>
    </row>
    <row r="82" spans="1:33" ht="12.75" customHeight="1" x14ac:dyDescent="0.2">
      <c r="D82" s="534"/>
      <c r="E82" s="203" cm="1">
        <f t="array" aca="1" ref="E82" ca="1">IF($R80=2,
         IF(AND(ACOMPANHAMENTO="PLE",ISNUMBER($F80)),
                SUMIF((OFFSET(CÁLCULO!$AM$15:$AW$15,$F80,0,OFFSET(ORÇAMENTO!$D$15,CRONO!$F80,0))),CRONO!E$12,OFFSET(CÁLCULO!$AB$15:$AL$15,$F80,0,OFFSET(ORÇAMENTO!$D$15,CRONO!$F80,0)))
                +IF(AND($F82&lt;&gt;"",$F82&lt;&gt;0),
                        SUMIF(CÁLCULO!$AM$15:$AW$405,CRONO!E$12,CÁLCULO!$AB$15:$AL$405)/(ORÇAMENTO!$X$15-_xlfn.SINGLE(CÁLCULO.TotalAdmLocal))*CRONO!$F82,
                        0),
                 E81*$S80),
          SUMIF(OFFSET($S82,1,0,$R80-2),($M80+1)&amp;"$",OFFSET(E82,1,0,$R80-2)))</f>
        <v>0</v>
      </c>
      <c r="F82" s="186" t="str">
        <f ca="1">IF(OR($R80&lt;&gt;2,AUTOEVENTO&lt;&gt;"manual",$F81&gt;0),"",
        IF(Import.TipoArredondamento="Tradicional",
              SUMIF(OFFSET(CÁLCULO!$M$15,CRONO!$F80,0,OFFSET(ORÇAMENTO!$D$15,CRONO!$F80,0)),1,OFFSET(ORÇAMENTO!$X$15,CRONO!$F80,0,OFFSET(ORÇAMENTO!$D$15,CRONO!$F80,0))),
              0))</f>
        <v/>
      </c>
      <c r="H82" s="204"/>
      <c r="S82" s="205" t="str">
        <f t="shared" ref="S82" ca="1" si="139">M80&amp;"$"</f>
        <v>2$</v>
      </c>
      <c r="T82" s="206"/>
      <c r="U82" s="203" cm="1">
        <f t="array" aca="1" ref="U82" ca="1">IF($R80=2,
         IF(AND(ACOMPANHAMENTO="PLE",ISNUMBER($F80)),
                SUMIF((OFFSET(CÁLCULO!$AM$15:$AW$15,$F80,0,OFFSET(ORÇAMENTO!$D$15,CRONO!$F80,0))),CRONO!U$12,OFFSET(CÁLCULO!$AB$15:$AL$15,$F80,0,OFFSET(ORÇAMENTO!$D$15,CRONO!$F80,0)))
                +IF(AND($F82&lt;&gt;"",$F82&lt;&gt;0),
                        SUMIF(CÁLCULO!$AM$15:$AW$405,CRONO!U$12,CÁLCULO!$AB$15:$AL$405)/(ORÇAMENTO!$X$15-_xlfn.SINGLE(CÁLCULO.TotalAdmLocal))*CRONO!$F82,
                        0),
                 U81*$S80),
          SUMIF(OFFSET($S82,1,0,$R80-2),($M80+1)&amp;"$",OFFSET(U82,1,0,$R80-2)))</f>
        <v>0</v>
      </c>
      <c r="V82" s="203" cm="1">
        <f t="array" aca="1" ref="V82" ca="1">IF($R80=2,
         IF(AND(ACOMPANHAMENTO="PLE",ISNUMBER($F80)),
                SUMIF((OFFSET(CÁLCULO!$AM$15:$AW$15,$F80,0,OFFSET(ORÇAMENTO!$D$15,CRONO!$F80,0))),CRONO!V$12,OFFSET(CÁLCULO!$AB$15:$AL$15,$F80,0,OFFSET(ORÇAMENTO!$D$15,CRONO!$F80,0)))
                +IF(AND($F82&lt;&gt;"",$F82&lt;&gt;0),
                        SUMIF(CÁLCULO!$AM$15:$AW$405,CRONO!V$12,CÁLCULO!$AB$15:$AL$405)/(ORÇAMENTO!$X$15-_xlfn.SINGLE(CÁLCULO.TotalAdmLocal))*CRONO!$F82,
                        0),
                 V81*$S80),
          SUMIF(OFFSET($S82,1,0,$R80-2),($M80+1)&amp;"$",OFFSET(V82,1,0,$R80-2)))</f>
        <v>0</v>
      </c>
      <c r="W82" s="203" cm="1">
        <f t="array" aca="1" ref="W82" ca="1">IF($R80=2,
         IF(AND(ACOMPANHAMENTO="PLE",ISNUMBER($F80)),
                SUMIF((OFFSET(CÁLCULO!$AM$15:$AW$15,$F80,0,OFFSET(ORÇAMENTO!$D$15,CRONO!$F80,0))),CRONO!W$12,OFFSET(CÁLCULO!$AB$15:$AL$15,$F80,0,OFFSET(ORÇAMENTO!$D$15,CRONO!$F80,0)))
                +IF(AND($F82&lt;&gt;"",$F82&lt;&gt;0),
                        SUMIF(CÁLCULO!$AM$15:$AW$405,CRONO!W$12,CÁLCULO!$AB$15:$AL$405)/(ORÇAMENTO!$X$15-_xlfn.SINGLE(CÁLCULO.TotalAdmLocal))*CRONO!$F82,
                        0),
                 W81*$S80),
          SUMIF(OFFSET($S82,1,0,$R80-2),($M80+1)&amp;"$",OFFSET(W82,1,0,$R80-2)))</f>
        <v>0</v>
      </c>
      <c r="X82" s="203" cm="1">
        <f t="array" aca="1" ref="X82" ca="1">IF($R80=2,
         IF(AND(ACOMPANHAMENTO="PLE",ISNUMBER($F80)),
                SUMIF((OFFSET(CÁLCULO!$AM$15:$AW$15,$F80,0,OFFSET(ORÇAMENTO!$D$15,CRONO!$F80,0))),CRONO!X$12,OFFSET(CÁLCULO!$AB$15:$AL$15,$F80,0,OFFSET(ORÇAMENTO!$D$15,CRONO!$F80,0)))
                +IF(AND($F82&lt;&gt;"",$F82&lt;&gt;0),
                        SUMIF(CÁLCULO!$AM$15:$AW$405,CRONO!X$12,CÁLCULO!$AB$15:$AL$405)/(ORÇAMENTO!$X$15-_xlfn.SINGLE(CÁLCULO.TotalAdmLocal))*CRONO!$F82,
                        0),
                 X81*$S80),
          SUMIF(OFFSET($S82,1,0,$R80-2),($M80+1)&amp;"$",OFFSET(X82,1,0,$R80-2)))</f>
        <v>0</v>
      </c>
      <c r="Y82" s="203" cm="1">
        <f t="array" aca="1" ref="Y82" ca="1">IF($R80=2,
         IF(AND(ACOMPANHAMENTO="PLE",ISNUMBER($F80)),
                SUMIF((OFFSET(CÁLCULO!$AM$15:$AW$15,$F80,0,OFFSET(ORÇAMENTO!$D$15,CRONO!$F80,0))),CRONO!Y$12,OFFSET(CÁLCULO!$AB$15:$AL$15,$F80,0,OFFSET(ORÇAMENTO!$D$15,CRONO!$F80,0)))
                +IF(AND($F82&lt;&gt;"",$F82&lt;&gt;0),
                        SUMIF(CÁLCULO!$AM$15:$AW$405,CRONO!Y$12,CÁLCULO!$AB$15:$AL$405)/(ORÇAMENTO!$X$15-_xlfn.SINGLE(CÁLCULO.TotalAdmLocal))*CRONO!$F82,
                        0),
                 Y81*$S80),
          SUMIF(OFFSET($S82,1,0,$R80-2),($M80+1)&amp;"$",OFFSET(Y82,1,0,$R80-2)))</f>
        <v>0</v>
      </c>
      <c r="Z82" s="203" cm="1">
        <f t="array" aca="1" ref="Z82" ca="1">IF($R80=2,
         IF(AND(ACOMPANHAMENTO="PLE",ISNUMBER($F80)),
                SUMIF((OFFSET(CÁLCULO!$AM$15:$AW$15,$F80,0,OFFSET(ORÇAMENTO!$D$15,CRONO!$F80,0))),CRONO!Z$12,OFFSET(CÁLCULO!$AB$15:$AL$15,$F80,0,OFFSET(ORÇAMENTO!$D$15,CRONO!$F80,0)))
                +IF(AND($F82&lt;&gt;"",$F82&lt;&gt;0),
                        SUMIF(CÁLCULO!$AM$15:$AW$405,CRONO!Z$12,CÁLCULO!$AB$15:$AL$405)/(ORÇAMENTO!$X$15-_xlfn.SINGLE(CÁLCULO.TotalAdmLocal))*CRONO!$F82,
                        0),
                 Z81*$S80),
          SUMIF(OFFSET($S82,1,0,$R80-2),($M80+1)&amp;"$",OFFSET(Z82,1,0,$R80-2)))</f>
        <v>0</v>
      </c>
      <c r="AA82" s="203" cm="1">
        <f t="array" aca="1" ref="AA82" ca="1">IF($R80=2,
         IF(AND(ACOMPANHAMENTO="PLE",ISNUMBER($F80)),
                SUMIF((OFFSET(CÁLCULO!$AM$15:$AW$15,$F80,0,OFFSET(ORÇAMENTO!$D$15,CRONO!$F80,0))),CRONO!AA$12,OFFSET(CÁLCULO!$AB$15:$AL$15,$F80,0,OFFSET(ORÇAMENTO!$D$15,CRONO!$F80,0)))
                +IF(AND($F82&lt;&gt;"",$F82&lt;&gt;0),
                        SUMIF(CÁLCULO!$AM$15:$AW$405,CRONO!AA$12,CÁLCULO!$AB$15:$AL$405)/(ORÇAMENTO!$X$15-_xlfn.SINGLE(CÁLCULO.TotalAdmLocal))*CRONO!$F82,
                        0),
                 AA81*$S80),
          SUMIF(OFFSET($S82,1,0,$R80-2),($M80+1)&amp;"$",OFFSET(AA82,1,0,$R80-2)))</f>
        <v>0</v>
      </c>
      <c r="AB82" s="203" cm="1">
        <f t="array" aca="1" ref="AB82" ca="1">IF($R80=2,
         IF(AND(ACOMPANHAMENTO="PLE",ISNUMBER($F80)),
                SUMIF((OFFSET(CÁLCULO!$AM$15:$AW$15,$F80,0,OFFSET(ORÇAMENTO!$D$15,CRONO!$F80,0))),CRONO!AB$12,OFFSET(CÁLCULO!$AB$15:$AL$15,$F80,0,OFFSET(ORÇAMENTO!$D$15,CRONO!$F80,0)))
                +IF(AND($F82&lt;&gt;"",$F82&lt;&gt;0),
                        SUMIF(CÁLCULO!$AM$15:$AW$405,CRONO!AB$12,CÁLCULO!$AB$15:$AL$405)/(ORÇAMENTO!$X$15-_xlfn.SINGLE(CÁLCULO.TotalAdmLocal))*CRONO!$F82,
                        0),
                 AB81*$S80),
          SUMIF(OFFSET($S82,1,0,$R80-2),($M80+1)&amp;"$",OFFSET(AB82,1,0,$R80-2)))</f>
        <v>0</v>
      </c>
      <c r="AC82" s="203" cm="1">
        <f t="array" aca="1" ref="AC82" ca="1">IF($R80=2,
         IF(AND(ACOMPANHAMENTO="PLE",ISNUMBER($F80)),
                SUMIF((OFFSET(CÁLCULO!$AM$15:$AW$15,$F80,0,OFFSET(ORÇAMENTO!$D$15,CRONO!$F80,0))),CRONO!AC$12,OFFSET(CÁLCULO!$AB$15:$AL$15,$F80,0,OFFSET(ORÇAMENTO!$D$15,CRONO!$F80,0)))
                +IF(AND($F82&lt;&gt;"",$F82&lt;&gt;0),
                        SUMIF(CÁLCULO!$AM$15:$AW$405,CRONO!AC$12,CÁLCULO!$AB$15:$AL$405)/(ORÇAMENTO!$X$15-_xlfn.SINGLE(CÁLCULO.TotalAdmLocal))*CRONO!$F82,
                        0),
                 AC81*$S80),
          SUMIF(OFFSET($S82,1,0,$R80-2),($M80+1)&amp;"$",OFFSET(AC82,1,0,$R80-2)))</f>
        <v>0</v>
      </c>
      <c r="AD82" s="203" cm="1">
        <f t="array" aca="1" ref="AD82" ca="1">IF($R80=2,
         IF(AND(ACOMPANHAMENTO="PLE",ISNUMBER($F80)),
                SUMIF((OFFSET(CÁLCULO!$AM$15:$AW$15,$F80,0,OFFSET(ORÇAMENTO!$D$15,CRONO!$F80,0))),CRONO!AD$12,OFFSET(CÁLCULO!$AB$15:$AL$15,$F80,0,OFFSET(ORÇAMENTO!$D$15,CRONO!$F80,0)))
                +IF(AND($F82&lt;&gt;"",$F82&lt;&gt;0),
                        SUMIF(CÁLCULO!$AM$15:$AW$405,CRONO!AD$12,CÁLCULO!$AB$15:$AL$405)/(ORÇAMENTO!$X$15-_xlfn.SINGLE(CÁLCULO.TotalAdmLocal))*CRONO!$F82,
                        0),
                 AD81*$S80),
          SUMIF(OFFSET($S82,1,0,$R80-2),($M80+1)&amp;"$",OFFSET(AD82,1,0,$R80-2)))</f>
        <v>0</v>
      </c>
      <c r="AE82" s="203" cm="1">
        <f t="array" aca="1" ref="AE82" ca="1">IF($R80=2,
         IF(AND(ACOMPANHAMENTO="PLE",ISNUMBER($F80)),
                SUMIF((OFFSET(CÁLCULO!$AM$15:$AW$15,$F80,0,OFFSET(ORÇAMENTO!$D$15,CRONO!$F80,0))),CRONO!AE$12,OFFSET(CÁLCULO!$AB$15:$AL$15,$F80,0,OFFSET(ORÇAMENTO!$D$15,CRONO!$F80,0)))
                +IF(AND($F82&lt;&gt;"",$F82&lt;&gt;0),
                        SUMIF(CÁLCULO!$AM$15:$AW$405,CRONO!AE$12,CÁLCULO!$AB$15:$AL$405)/(ORÇAMENTO!$X$15-_xlfn.SINGLE(CÁLCULO.TotalAdmLocal))*CRONO!$F82,
                        0),
                 AE81*$S80),
          SUMIF(OFFSET($S82,1,0,$R80-2),($M80+1)&amp;"$",OFFSET(AE82,1,0,$R80-2)))</f>
        <v>0</v>
      </c>
      <c r="AF82" s="203" cm="1">
        <f t="array" aca="1" ref="AF82" ca="1">IF($R80=2,
         IF(AND(ACOMPANHAMENTO="PLE",ISNUMBER($F80)),
                SUMIF((OFFSET(CÁLCULO!$AM$15:$AW$15,$F80,0,OFFSET(ORÇAMENTO!$D$15,CRONO!$F80,0))),CRONO!AF$12,OFFSET(CÁLCULO!$AB$15:$AL$15,$F80,0,OFFSET(ORÇAMENTO!$D$15,CRONO!$F80,0)))
                +IF(AND($F82&lt;&gt;"",$F82&lt;&gt;0),
                        SUMIF(CÁLCULO!$AM$15:$AW$405,CRONO!AF$12,CÁLCULO!$AB$15:$AL$405)/(ORÇAMENTO!$X$15-_xlfn.SINGLE(CÁLCULO.TotalAdmLocal))*CRONO!$F82,
                        0),
                 AF81*$S80),
          SUMIF(OFFSET($S82,1,0,$R80-2),($M80+1)&amp;"$",OFFSET(AF82,1,0,$R80-2)))</f>
        <v>0</v>
      </c>
      <c r="AG82" s="535"/>
    </row>
    <row r="83" spans="1:33" x14ac:dyDescent="0.2">
      <c r="A83" s="187" t="e">
        <f t="shared" ref="A83" ca="1" si="140">IF($M83&gt;1,_xlfn.CONCAT($I83," ",$J83),"")</f>
        <v>#NAME?</v>
      </c>
      <c r="B83" s="186">
        <f t="shared" ref="B83" ca="1" si="141">OFFSET(B83,-3,0)+1</f>
        <v>24</v>
      </c>
      <c r="C83" s="186">
        <f ca="1">IF($R83&lt;&gt;2,0,IF($S83=0,1,IF(F84&gt;0,OFFSET(QCI!$M$13,SUBSTITUTE(F84,".",""),0),OFFSET(ORÇAMENTO!$AA$15,CRONO!$F83,0))/$S83))</f>
        <v>1</v>
      </c>
      <c r="D83" s="186">
        <f ca="1">IF($R83&lt;&gt;2,0,IF($S83=0,1,IF(F84&gt;0,OFFSET(QCI!$N$13,SUBSTITUTE(F84,".",""),0),OFFSET(ORÇAMENTO!$AB$15,CRONO!$F83,0))/$S83))</f>
        <v>1</v>
      </c>
      <c r="E83" s="189" cm="1">
        <f t="array" aca="1" ref="E83" ca="1">IF(AND($R83=2,ACOMPANHAMENTO="BM"),ROUND(E84,4),E85/$S83)</f>
        <v>0</v>
      </c>
      <c r="F83" s="186">
        <f ca="1">IF(B83&lt;=ORÇAMENTO.MáximoListaCrono,MATCH(B83,ORÇAMENTO.ListaCrono,0),NA())</f>
        <v>385</v>
      </c>
      <c r="G83" s="186" t="str">
        <f t="shared" ref="G83" ca="1" si="142">IF(AND($F84&lt;&gt;-1,$S83&gt;0),"F","")</f>
        <v/>
      </c>
      <c r="H83" s="190" t="str" cm="1">
        <f t="array" aca="1" ref="H83" ca="1">IF(OR(S83=0,S83=""),"Linha",IF(AND(OR(ACOMPANHAMENTO="PLE",$R83&lt;&gt;2),$F84=0),"Linha",ROUND(1-SUM(U83:AG83),4)))</f>
        <v>Linha</v>
      </c>
      <c r="I83" s="191" t="str">
        <f ca="1">IF($F84=0,OFFSET(ORÇAMENTO!O$15,$F83,0),IF($F84&lt;&gt;-1,OFFSET(QCI!$D$13,$F84,0),""))</f>
        <v>1.23.</v>
      </c>
      <c r="J83" s="192" t="str">
        <f ca="1">IF($F84=0,OFFSET(ORÇAMENTO!R$15,$F83,0),IF($F84&lt;&gt;-1,OFFSET(QCI!$G$13,$F84,0),""))</f>
        <v>SISTEMA DE REUSO DE ÁGUA</v>
      </c>
      <c r="K83" s="192"/>
      <c r="L83" s="192"/>
      <c r="M83" s="193">
        <f ca="1">IF($F84=0,OFFSET(ORÇAMENTO!C$15,$F83,0),1)</f>
        <v>2</v>
      </c>
      <c r="N83" s="194">
        <f ca="1">IF($F84=-1,0,IF(N$13&lt;=$M83,IF(ISERROR(MATCH(N$13,OFFSET($M83,1,0,ROW($M$89)-ROW($M83)-1),0)),ROW($M$89)-ROW($M83)-1,MATCH(N$13,OFFSET($M83,1,0,ROW($M$89)-ROW($M83)-1),0)-1),0))</f>
        <v>5</v>
      </c>
      <c r="O83" s="194">
        <f ca="1">IF($F84=-1,0,IF(O$13&lt;=$M83,IF(ISERROR(MATCH(O$13,OFFSET($M83,1,0,ROW($M$89)-ROW($M83)-1),0)),ROW($M$89)-ROW($M83)-1,MATCH(O$13,OFFSET($M83,1,0,ROW($M$89)-ROW($M83)-1),0)-1),0))</f>
        <v>2</v>
      </c>
      <c r="P83" s="194">
        <f ca="1">IF($F84=-1,0,IF(P$13&lt;=$M83,IF(ISERROR(MATCH(P$13,OFFSET($M83,1,0,ROW($M$89)-ROW($M83)-1),0)),ROW($M$89)-ROW($M83)-1,MATCH(P$13,OFFSET($M83,1,0,ROW($M$89)-ROW($M83)-1),0)-1),0))</f>
        <v>0</v>
      </c>
      <c r="Q83" s="194">
        <f ca="1">IF($F84=-1,0,IF(Q$13&lt;=$M83,IF(ISERROR(MATCH(Q$13,OFFSET($M83,1,0,ROW($M$89)-ROW($M83)-1),0)),ROW($M$89)-ROW($M83)-1,MATCH(Q$13,OFFSET($M83,1,0,ROW($M$89)-ROW($M83)-1),0)-1),0))</f>
        <v>0</v>
      </c>
      <c r="R83" s="194">
        <f t="shared" ref="R83" ca="1" si="143">MIN(OFFSET(M83,0,1,,M83))</f>
        <v>2</v>
      </c>
      <c r="S83" s="195">
        <f ca="1">IF($F84=0,OFFSET(ORÇAMENTO!X$15,$F83,0),IF($F84&lt;&gt;-1,OFFSET(QCI!$O$13,$F84,0),""))</f>
        <v>0</v>
      </c>
      <c r="T83" s="196" t="s">
        <v>787</v>
      </c>
      <c r="U83" s="189" cm="1">
        <f t="array" aca="1" ref="U83" ca="1">IF(AND($R83=2,ACOMPANHAMENTO="BM"),ROUND(U84,4),U85/$S83)</f>
        <v>0</v>
      </c>
      <c r="V83" s="189" cm="1">
        <f t="array" aca="1" ref="V83" ca="1">IF(AND($R83=2,ACOMPANHAMENTO="BM"),ROUND(V84,4),V85/$S83)</f>
        <v>0</v>
      </c>
      <c r="W83" s="189" cm="1">
        <f t="array" aca="1" ref="W83" ca="1">IF(AND($R83=2,ACOMPANHAMENTO="BM"),ROUND(W84,4),W85/$S83)</f>
        <v>0</v>
      </c>
      <c r="X83" s="189" cm="1">
        <f t="array" aca="1" ref="X83" ca="1">IF(AND($R83=2,ACOMPANHAMENTO="BM"),ROUND(X84,4),X85/$S83)</f>
        <v>0</v>
      </c>
      <c r="Y83" s="189" cm="1">
        <f t="array" aca="1" ref="Y83" ca="1">IF(AND($R83=2,ACOMPANHAMENTO="BM"),ROUND(Y84,4),Y85/$S83)</f>
        <v>0</v>
      </c>
      <c r="Z83" s="189" cm="1">
        <f t="array" aca="1" ref="Z83" ca="1">IF(AND($R83=2,ACOMPANHAMENTO="BM"),ROUND(Z84,4),Z85/$S83)</f>
        <v>1</v>
      </c>
      <c r="AA83" s="189" cm="1">
        <f t="array" aca="1" ref="AA83" ca="1">IF(AND($R83=2,ACOMPANHAMENTO="BM"),ROUND(AA84,4),AA85/$S83)</f>
        <v>0</v>
      </c>
      <c r="AB83" s="189" cm="1">
        <f t="array" aca="1" ref="AB83" ca="1">IF(AND($R83=2,ACOMPANHAMENTO="BM"),ROUND(AB84,4),AB85/$S83)</f>
        <v>0</v>
      </c>
      <c r="AC83" s="189" cm="1">
        <f t="array" aca="1" ref="AC83" ca="1">IF(AND($R83=2,ACOMPANHAMENTO="BM"),ROUND(AC84,4),AC85/$S83)</f>
        <v>0</v>
      </c>
      <c r="AD83" s="189" cm="1">
        <f t="array" aca="1" ref="AD83" ca="1">IF(AND($R83=2,ACOMPANHAMENTO="BM"),ROUND(AD84,4),AD85/$S83)</f>
        <v>0</v>
      </c>
      <c r="AE83" s="189" cm="1">
        <f t="array" aca="1" ref="AE83" ca="1">IF(AND($R83=2,ACOMPANHAMENTO="BM"),ROUND(AE84,4),AE85/$S83)</f>
        <v>0</v>
      </c>
      <c r="AF83" s="189" cm="1">
        <f t="array" aca="1" ref="AF83" ca="1">IF(AND($R83=2,ACOMPANHAMENTO="BM"),ROUND(AF84,4),AF85/$S83)</f>
        <v>0</v>
      </c>
      <c r="AG83" s="535"/>
    </row>
    <row r="84" spans="1:33" ht="12.75" customHeight="1" x14ac:dyDescent="0.2">
      <c r="E84" s="590"/>
      <c r="F84" s="186">
        <f ca="1">IF(ISERROR(F83),IF(1+COUNTIF($M$13:OFFSET(M83,-1,0),1)&lt;=MAX(QCI!$D$13:$D$24),1+COUNTIF($M$13:OFFSET(M83,-1,0),1),-1),0)</f>
        <v>0</v>
      </c>
      <c r="G84" s="186" t="str" cm="1">
        <f t="array" aca="1" ref="G84" ca="1">IF(ACOMPANHAMENTO="BM",OFFSET(G84,-1,0),"")</f>
        <v/>
      </c>
      <c r="H84" s="197" t="str" cm="1">
        <f t="array" aca="1" ref="H84" ca="1">IF(OR(S83=0,S83=""),"vazia",IF(AND(OR(ACOMPANHAMENTO="PLE",$R83&lt;&gt;2),$F84=0),"calculada","--&gt;"))</f>
        <v>vazia</v>
      </c>
      <c r="I84" s="198"/>
      <c r="J84" s="199" t="str">
        <f t="shared" ref="J84" ca="1" si="144">IF(AND(H83&lt;&gt;0,ISNUMBER(H83)),"PREENCHA ESTA LINHA --&gt;","")</f>
        <v/>
      </c>
      <c r="K84" s="199"/>
      <c r="L84" s="199"/>
      <c r="M84" s="200"/>
      <c r="N84" s="200"/>
      <c r="O84" s="200"/>
      <c r="P84" s="200"/>
      <c r="Q84" s="200"/>
      <c r="R84" s="200"/>
      <c r="S84" s="201"/>
      <c r="T84" s="202"/>
      <c r="U84" s="590"/>
      <c r="V84" s="590"/>
      <c r="W84" s="590"/>
      <c r="X84" s="590"/>
      <c r="Y84" s="590"/>
      <c r="Z84" s="590">
        <v>1</v>
      </c>
      <c r="AA84" s="590"/>
      <c r="AB84" s="590"/>
      <c r="AC84" s="590"/>
      <c r="AD84" s="590"/>
      <c r="AE84" s="590"/>
      <c r="AF84" s="590"/>
      <c r="AG84" s="535"/>
    </row>
    <row r="85" spans="1:33" ht="12.75" customHeight="1" x14ac:dyDescent="0.2">
      <c r="D85" s="534"/>
      <c r="E85" s="203" cm="1">
        <f t="array" aca="1" ref="E85" ca="1">IF($R83=2,
         IF(AND(ACOMPANHAMENTO="PLE",ISNUMBER($F83)),
                SUMIF((OFFSET(CÁLCULO!$AM$15:$AW$15,$F83,0,OFFSET(ORÇAMENTO!$D$15,CRONO!$F83,0))),CRONO!E$12,OFFSET(CÁLCULO!$AB$15:$AL$15,$F83,0,OFFSET(ORÇAMENTO!$D$15,CRONO!$F83,0)))
                +IF(AND($F85&lt;&gt;"",$F85&lt;&gt;0),
                        SUMIF(CÁLCULO!$AM$15:$AW$405,CRONO!E$12,CÁLCULO!$AB$15:$AL$405)/(ORÇAMENTO!$X$15-_xlfn.SINGLE(CÁLCULO.TotalAdmLocal))*CRONO!$F85,
                        0),
                 E84*$S83),
          SUMIF(OFFSET($S85,1,0,$R83-2),($M83+1)&amp;"$",OFFSET(E85,1,0,$R83-2)))</f>
        <v>0</v>
      </c>
      <c r="F85" s="186" t="str">
        <f ca="1">IF(OR($R83&lt;&gt;2,AUTOEVENTO&lt;&gt;"manual",$F84&gt;0),"",
        IF(Import.TipoArredondamento="Tradicional",
              SUMIF(OFFSET(CÁLCULO!$M$15,CRONO!$F83,0,OFFSET(ORÇAMENTO!$D$15,CRONO!$F83,0)),1,OFFSET(ORÇAMENTO!$X$15,CRONO!$F83,0,OFFSET(ORÇAMENTO!$D$15,CRONO!$F83,0))),
              0))</f>
        <v/>
      </c>
      <c r="H85" s="204"/>
      <c r="S85" s="205" t="str">
        <f t="shared" ref="S85" ca="1" si="145">M83&amp;"$"</f>
        <v>2$</v>
      </c>
      <c r="T85" s="206"/>
      <c r="U85" s="203" cm="1">
        <f t="array" aca="1" ref="U85" ca="1">IF($R83=2,
         IF(AND(ACOMPANHAMENTO="PLE",ISNUMBER($F83)),
                SUMIF((OFFSET(CÁLCULO!$AM$15:$AW$15,$F83,0,OFFSET(ORÇAMENTO!$D$15,CRONO!$F83,0))),CRONO!U$12,OFFSET(CÁLCULO!$AB$15:$AL$15,$F83,0,OFFSET(ORÇAMENTO!$D$15,CRONO!$F83,0)))
                +IF(AND($F85&lt;&gt;"",$F85&lt;&gt;0),
                        SUMIF(CÁLCULO!$AM$15:$AW$405,CRONO!U$12,CÁLCULO!$AB$15:$AL$405)/(ORÇAMENTO!$X$15-_xlfn.SINGLE(CÁLCULO.TotalAdmLocal))*CRONO!$F85,
                        0),
                 U84*$S83),
          SUMIF(OFFSET($S85,1,0,$R83-2),($M83+1)&amp;"$",OFFSET(U85,1,0,$R83-2)))</f>
        <v>0</v>
      </c>
      <c r="V85" s="203" cm="1">
        <f t="array" aca="1" ref="V85" ca="1">IF($R83=2,
         IF(AND(ACOMPANHAMENTO="PLE",ISNUMBER($F83)),
                SUMIF((OFFSET(CÁLCULO!$AM$15:$AW$15,$F83,0,OFFSET(ORÇAMENTO!$D$15,CRONO!$F83,0))),CRONO!V$12,OFFSET(CÁLCULO!$AB$15:$AL$15,$F83,0,OFFSET(ORÇAMENTO!$D$15,CRONO!$F83,0)))
                +IF(AND($F85&lt;&gt;"",$F85&lt;&gt;0),
                        SUMIF(CÁLCULO!$AM$15:$AW$405,CRONO!V$12,CÁLCULO!$AB$15:$AL$405)/(ORÇAMENTO!$X$15-_xlfn.SINGLE(CÁLCULO.TotalAdmLocal))*CRONO!$F85,
                        0),
                 V84*$S83),
          SUMIF(OFFSET($S85,1,0,$R83-2),($M83+1)&amp;"$",OFFSET(V85,1,0,$R83-2)))</f>
        <v>0</v>
      </c>
      <c r="W85" s="203" cm="1">
        <f t="array" aca="1" ref="W85" ca="1">IF($R83=2,
         IF(AND(ACOMPANHAMENTO="PLE",ISNUMBER($F83)),
                SUMIF((OFFSET(CÁLCULO!$AM$15:$AW$15,$F83,0,OFFSET(ORÇAMENTO!$D$15,CRONO!$F83,0))),CRONO!W$12,OFFSET(CÁLCULO!$AB$15:$AL$15,$F83,0,OFFSET(ORÇAMENTO!$D$15,CRONO!$F83,0)))
                +IF(AND($F85&lt;&gt;"",$F85&lt;&gt;0),
                        SUMIF(CÁLCULO!$AM$15:$AW$405,CRONO!W$12,CÁLCULO!$AB$15:$AL$405)/(ORÇAMENTO!$X$15-_xlfn.SINGLE(CÁLCULO.TotalAdmLocal))*CRONO!$F85,
                        0),
                 W84*$S83),
          SUMIF(OFFSET($S85,1,0,$R83-2),($M83+1)&amp;"$",OFFSET(W85,1,0,$R83-2)))</f>
        <v>0</v>
      </c>
      <c r="X85" s="203" cm="1">
        <f t="array" aca="1" ref="X85" ca="1">IF($R83=2,
         IF(AND(ACOMPANHAMENTO="PLE",ISNUMBER($F83)),
                SUMIF((OFFSET(CÁLCULO!$AM$15:$AW$15,$F83,0,OFFSET(ORÇAMENTO!$D$15,CRONO!$F83,0))),CRONO!X$12,OFFSET(CÁLCULO!$AB$15:$AL$15,$F83,0,OFFSET(ORÇAMENTO!$D$15,CRONO!$F83,0)))
                +IF(AND($F85&lt;&gt;"",$F85&lt;&gt;0),
                        SUMIF(CÁLCULO!$AM$15:$AW$405,CRONO!X$12,CÁLCULO!$AB$15:$AL$405)/(ORÇAMENTO!$X$15-_xlfn.SINGLE(CÁLCULO.TotalAdmLocal))*CRONO!$F85,
                        0),
                 X84*$S83),
          SUMIF(OFFSET($S85,1,0,$R83-2),($M83+1)&amp;"$",OFFSET(X85,1,0,$R83-2)))</f>
        <v>0</v>
      </c>
      <c r="Y85" s="203" cm="1">
        <f t="array" aca="1" ref="Y85" ca="1">IF($R83=2,
         IF(AND(ACOMPANHAMENTO="PLE",ISNUMBER($F83)),
                SUMIF((OFFSET(CÁLCULO!$AM$15:$AW$15,$F83,0,OFFSET(ORÇAMENTO!$D$15,CRONO!$F83,0))),CRONO!Y$12,OFFSET(CÁLCULO!$AB$15:$AL$15,$F83,0,OFFSET(ORÇAMENTO!$D$15,CRONO!$F83,0)))
                +IF(AND($F85&lt;&gt;"",$F85&lt;&gt;0),
                        SUMIF(CÁLCULO!$AM$15:$AW$405,CRONO!Y$12,CÁLCULO!$AB$15:$AL$405)/(ORÇAMENTO!$X$15-_xlfn.SINGLE(CÁLCULO.TotalAdmLocal))*CRONO!$F85,
                        0),
                 Y84*$S83),
          SUMIF(OFFSET($S85,1,0,$R83-2),($M83+1)&amp;"$",OFFSET(Y85,1,0,$R83-2)))</f>
        <v>0</v>
      </c>
      <c r="Z85" s="203" cm="1">
        <f t="array" aca="1" ref="Z85" ca="1">IF($R83=2,
         IF(AND(ACOMPANHAMENTO="PLE",ISNUMBER($F83)),
                SUMIF((OFFSET(CÁLCULO!$AM$15:$AW$15,$F83,0,OFFSET(ORÇAMENTO!$D$15,CRONO!$F83,0))),CRONO!Z$12,OFFSET(CÁLCULO!$AB$15:$AL$15,$F83,0,OFFSET(ORÇAMENTO!$D$15,CRONO!$F83,0)))
                +IF(AND($F85&lt;&gt;"",$F85&lt;&gt;0),
                        SUMIF(CÁLCULO!$AM$15:$AW$405,CRONO!Z$12,CÁLCULO!$AB$15:$AL$405)/(ORÇAMENTO!$X$15-_xlfn.SINGLE(CÁLCULO.TotalAdmLocal))*CRONO!$F85,
                        0),
                 Z84*$S83),
          SUMIF(OFFSET($S85,1,0,$R83-2),($M83+1)&amp;"$",OFFSET(Z85,1,0,$R83-2)))</f>
        <v>0</v>
      </c>
      <c r="AA85" s="203" cm="1">
        <f t="array" aca="1" ref="AA85" ca="1">IF($R83=2,
         IF(AND(ACOMPANHAMENTO="PLE",ISNUMBER($F83)),
                SUMIF((OFFSET(CÁLCULO!$AM$15:$AW$15,$F83,0,OFFSET(ORÇAMENTO!$D$15,CRONO!$F83,0))),CRONO!AA$12,OFFSET(CÁLCULO!$AB$15:$AL$15,$F83,0,OFFSET(ORÇAMENTO!$D$15,CRONO!$F83,0)))
                +IF(AND($F85&lt;&gt;"",$F85&lt;&gt;0),
                        SUMIF(CÁLCULO!$AM$15:$AW$405,CRONO!AA$12,CÁLCULO!$AB$15:$AL$405)/(ORÇAMENTO!$X$15-_xlfn.SINGLE(CÁLCULO.TotalAdmLocal))*CRONO!$F85,
                        0),
                 AA84*$S83),
          SUMIF(OFFSET($S85,1,0,$R83-2),($M83+1)&amp;"$",OFFSET(AA85,1,0,$R83-2)))</f>
        <v>0</v>
      </c>
      <c r="AB85" s="203" cm="1">
        <f t="array" aca="1" ref="AB85" ca="1">IF($R83=2,
         IF(AND(ACOMPANHAMENTO="PLE",ISNUMBER($F83)),
                SUMIF((OFFSET(CÁLCULO!$AM$15:$AW$15,$F83,0,OFFSET(ORÇAMENTO!$D$15,CRONO!$F83,0))),CRONO!AB$12,OFFSET(CÁLCULO!$AB$15:$AL$15,$F83,0,OFFSET(ORÇAMENTO!$D$15,CRONO!$F83,0)))
                +IF(AND($F85&lt;&gt;"",$F85&lt;&gt;0),
                        SUMIF(CÁLCULO!$AM$15:$AW$405,CRONO!AB$12,CÁLCULO!$AB$15:$AL$405)/(ORÇAMENTO!$X$15-_xlfn.SINGLE(CÁLCULO.TotalAdmLocal))*CRONO!$F85,
                        0),
                 AB84*$S83),
          SUMIF(OFFSET($S85,1,0,$R83-2),($M83+1)&amp;"$",OFFSET(AB85,1,0,$R83-2)))</f>
        <v>0</v>
      </c>
      <c r="AC85" s="203" cm="1">
        <f t="array" aca="1" ref="AC85" ca="1">IF($R83=2,
         IF(AND(ACOMPANHAMENTO="PLE",ISNUMBER($F83)),
                SUMIF((OFFSET(CÁLCULO!$AM$15:$AW$15,$F83,0,OFFSET(ORÇAMENTO!$D$15,CRONO!$F83,0))),CRONO!AC$12,OFFSET(CÁLCULO!$AB$15:$AL$15,$F83,0,OFFSET(ORÇAMENTO!$D$15,CRONO!$F83,0)))
                +IF(AND($F85&lt;&gt;"",$F85&lt;&gt;0),
                        SUMIF(CÁLCULO!$AM$15:$AW$405,CRONO!AC$12,CÁLCULO!$AB$15:$AL$405)/(ORÇAMENTO!$X$15-_xlfn.SINGLE(CÁLCULO.TotalAdmLocal))*CRONO!$F85,
                        0),
                 AC84*$S83),
          SUMIF(OFFSET($S85,1,0,$R83-2),($M83+1)&amp;"$",OFFSET(AC85,1,0,$R83-2)))</f>
        <v>0</v>
      </c>
      <c r="AD85" s="203" cm="1">
        <f t="array" aca="1" ref="AD85" ca="1">IF($R83=2,
         IF(AND(ACOMPANHAMENTO="PLE",ISNUMBER($F83)),
                SUMIF((OFFSET(CÁLCULO!$AM$15:$AW$15,$F83,0,OFFSET(ORÇAMENTO!$D$15,CRONO!$F83,0))),CRONO!AD$12,OFFSET(CÁLCULO!$AB$15:$AL$15,$F83,0,OFFSET(ORÇAMENTO!$D$15,CRONO!$F83,0)))
                +IF(AND($F85&lt;&gt;"",$F85&lt;&gt;0),
                        SUMIF(CÁLCULO!$AM$15:$AW$405,CRONO!AD$12,CÁLCULO!$AB$15:$AL$405)/(ORÇAMENTO!$X$15-_xlfn.SINGLE(CÁLCULO.TotalAdmLocal))*CRONO!$F85,
                        0),
                 AD84*$S83),
          SUMIF(OFFSET($S85,1,0,$R83-2),($M83+1)&amp;"$",OFFSET(AD85,1,0,$R83-2)))</f>
        <v>0</v>
      </c>
      <c r="AE85" s="203" cm="1">
        <f t="array" aca="1" ref="AE85" ca="1">IF($R83=2,
         IF(AND(ACOMPANHAMENTO="PLE",ISNUMBER($F83)),
                SUMIF((OFFSET(CÁLCULO!$AM$15:$AW$15,$F83,0,OFFSET(ORÇAMENTO!$D$15,CRONO!$F83,0))),CRONO!AE$12,OFFSET(CÁLCULO!$AB$15:$AL$15,$F83,0,OFFSET(ORÇAMENTO!$D$15,CRONO!$F83,0)))
                +IF(AND($F85&lt;&gt;"",$F85&lt;&gt;0),
                        SUMIF(CÁLCULO!$AM$15:$AW$405,CRONO!AE$12,CÁLCULO!$AB$15:$AL$405)/(ORÇAMENTO!$X$15-_xlfn.SINGLE(CÁLCULO.TotalAdmLocal))*CRONO!$F85,
                        0),
                 AE84*$S83),
          SUMIF(OFFSET($S85,1,0,$R83-2),($M83+1)&amp;"$",OFFSET(AE85,1,0,$R83-2)))</f>
        <v>0</v>
      </c>
      <c r="AF85" s="203" cm="1">
        <f t="array" aca="1" ref="AF85" ca="1">IF($R83=2,
         IF(AND(ACOMPANHAMENTO="PLE",ISNUMBER($F83)),
                SUMIF((OFFSET(CÁLCULO!$AM$15:$AW$15,$F83,0,OFFSET(ORÇAMENTO!$D$15,CRONO!$F83,0))),CRONO!AF$12,OFFSET(CÁLCULO!$AB$15:$AL$15,$F83,0,OFFSET(ORÇAMENTO!$D$15,CRONO!$F83,0)))
                +IF(AND($F85&lt;&gt;"",$F85&lt;&gt;0),
                        SUMIF(CÁLCULO!$AM$15:$AW$405,CRONO!AF$12,CÁLCULO!$AB$15:$AL$405)/(ORÇAMENTO!$X$15-_xlfn.SINGLE(CÁLCULO.TotalAdmLocal))*CRONO!$F85,
                        0),
                 AF84*$S83),
          SUMIF(OFFSET($S85,1,0,$R83-2),($M83+1)&amp;"$",OFFSET(AF85,1,0,$R83-2)))</f>
        <v>0</v>
      </c>
      <c r="AG85" s="535"/>
    </row>
    <row r="86" spans="1:33" x14ac:dyDescent="0.2">
      <c r="A86" s="187" t="e">
        <f ca="1">IF($M86&gt;1,_xlfn.CONCAT($I86," ",$J86),"")</f>
        <v>#NAME?</v>
      </c>
      <c r="B86" s="186">
        <f ca="1">OFFSET(B86,-3,0)+1</f>
        <v>25</v>
      </c>
      <c r="C86" s="186">
        <f ca="1">IF($R86&lt;&gt;2,0,IF($S86=0,1,IF(F87&gt;0,OFFSET(QCI!$M$13,SUBSTITUTE(F87,".",""),0),OFFSET(ORÇAMENTO!$AA$15,CRONO!$F86,0))/$S86))</f>
        <v>1</v>
      </c>
      <c r="D86" s="186">
        <f ca="1">IF($R86&lt;&gt;2,0,IF($S86=0,1,IF(F87&gt;0,OFFSET(QCI!$N$13,SUBSTITUTE(F87,".",""),0),OFFSET(ORÇAMENTO!$AB$15,CRONO!$F86,0))/$S86))</f>
        <v>1</v>
      </c>
      <c r="E86" s="189" cm="1">
        <f t="array" aca="1" ref="E86" ca="1">IF(AND($R86=2,ACOMPANHAMENTO="BM"),ROUND(E87,4),E88/$S86)</f>
        <v>0</v>
      </c>
      <c r="F86" s="186">
        <f ca="1">IF(B86&lt;=ORÇAMENTO.MáximoListaCrono,MATCH(B86,ORÇAMENTO.ListaCrono,0),NA())</f>
        <v>388</v>
      </c>
      <c r="G86" s="186" t="str">
        <f ca="1">IF(AND($F87&lt;&gt;-1,$S86&gt;0),"F","")</f>
        <v/>
      </c>
      <c r="H86" s="190" t="str" cm="1">
        <f t="array" aca="1" ref="H86" ca="1">IF(OR(S86=0,S86=""),"Linha",IF(AND(OR(ACOMPANHAMENTO="PLE",$R86&lt;&gt;2),$F87=0),"Linha",ROUND(1-SUM(U86:AG86),4)))</f>
        <v>Linha</v>
      </c>
      <c r="I86" s="191" t="str">
        <f ca="1">IF($F87=0,OFFSET(ORÇAMENTO!O$15,$F86,0),IF($F87&lt;&gt;-1,OFFSET(QCI!$D$13,$F87,0),""))</f>
        <v>1.24.</v>
      </c>
      <c r="J86" s="192" t="str">
        <f ca="1">IF($F87=0,OFFSET(ORÇAMENTO!R$15,$F86,0),IF($F87&lt;&gt;-1,OFFSET(QCI!$G$13,$F87,0),""))</f>
        <v>LIMPEZA FINAL DE OBRA</v>
      </c>
      <c r="K86" s="192"/>
      <c r="L86" s="192"/>
      <c r="M86" s="193">
        <f ca="1">IF($F87=0,OFFSET(ORÇAMENTO!C$15,$F86,0),1)</f>
        <v>2</v>
      </c>
      <c r="N86" s="194">
        <f ca="1">IF($F87=-1,0,IF(N$13&lt;=$M86,IF(ISERROR(MATCH(N$13,OFFSET($M86,1,0,ROW($M$89)-ROW($M86)-1),0)),ROW($M$89)-ROW($M86)-1,MATCH(N$13,OFFSET($M86,1,0,ROW($M$89)-ROW($M86)-1),0)-1),0))</f>
        <v>2</v>
      </c>
      <c r="O86" s="194">
        <f ca="1">IF($F87=-1,0,IF(O$13&lt;=$M86,IF(ISERROR(MATCH(O$13,OFFSET($M86,1,0,ROW($M$89)-ROW($M86)-1),0)),ROW($M$89)-ROW($M86)-1,MATCH(O$13,OFFSET($M86,1,0,ROW($M$89)-ROW($M86)-1),0)-1),0))</f>
        <v>2</v>
      </c>
      <c r="P86" s="194">
        <f ca="1">IF($F87=-1,0,IF(P$13&lt;=$M86,IF(ISERROR(MATCH(P$13,OFFSET($M86,1,0,ROW($M$89)-ROW($M86)-1),0)),ROW($M$89)-ROW($M86)-1,MATCH(P$13,OFFSET($M86,1,0,ROW($M$89)-ROW($M86)-1),0)-1),0))</f>
        <v>0</v>
      </c>
      <c r="Q86" s="194">
        <f ca="1">IF($F87=-1,0,IF(Q$13&lt;=$M86,IF(ISERROR(MATCH(Q$13,OFFSET($M86,1,0,ROW($M$89)-ROW($M86)-1),0)),ROW($M$89)-ROW($M86)-1,MATCH(Q$13,OFFSET($M86,1,0,ROW($M$89)-ROW($M86)-1),0)-1),0))</f>
        <v>0</v>
      </c>
      <c r="R86" s="194">
        <f ca="1">MIN(OFFSET(M86,0,1,,M86))</f>
        <v>2</v>
      </c>
      <c r="S86" s="195">
        <f ca="1">IF($F87=0,OFFSET(ORÇAMENTO!X$15,$F86,0),IF($F87&lt;&gt;-1,OFFSET(QCI!$O$13,$F87,0),""))</f>
        <v>0</v>
      </c>
      <c r="T86" s="196" t="s">
        <v>787</v>
      </c>
      <c r="U86" s="189" cm="1">
        <f t="array" aca="1" ref="U86" ca="1">IF(AND($R86=2,ACOMPANHAMENTO="BM"),ROUND(U87,4),U88/$S86)</f>
        <v>0</v>
      </c>
      <c r="V86" s="189" cm="1">
        <f t="array" aca="1" ref="V86" ca="1">IF(AND($R86=2,ACOMPANHAMENTO="BM"),ROUND(V87,4),V88/$S86)</f>
        <v>0</v>
      </c>
      <c r="W86" s="189" cm="1">
        <f t="array" aca="1" ref="W86" ca="1">IF(AND($R86=2,ACOMPANHAMENTO="BM"),ROUND(W87,4),W88/$S86)</f>
        <v>0</v>
      </c>
      <c r="X86" s="189" cm="1">
        <f t="array" aca="1" ref="X86" ca="1">IF(AND($R86=2,ACOMPANHAMENTO="BM"),ROUND(X87,4),X88/$S86)</f>
        <v>0.2</v>
      </c>
      <c r="Y86" s="189" cm="1">
        <f t="array" aca="1" ref="Y86" ca="1">IF(AND($R86=2,ACOMPANHAMENTO="BM"),ROUND(Y87,4),Y88/$S86)</f>
        <v>0.3</v>
      </c>
      <c r="Z86" s="189" cm="1">
        <f t="array" aca="1" ref="Z86" ca="1">IF(AND($R86=2,ACOMPANHAMENTO="BM"),ROUND(Z87,4),Z88/$S86)</f>
        <v>0.5</v>
      </c>
      <c r="AA86" s="189" cm="1">
        <f t="array" aca="1" ref="AA86" ca="1">IF(AND($R86=2,ACOMPANHAMENTO="BM"),ROUND(AA87,4),AA88/$S86)</f>
        <v>0</v>
      </c>
      <c r="AB86" s="189" cm="1">
        <f t="array" aca="1" ref="AB86" ca="1">IF(AND($R86=2,ACOMPANHAMENTO="BM"),ROUND(AB87,4),AB88/$S86)</f>
        <v>0</v>
      </c>
      <c r="AC86" s="189" cm="1">
        <f t="array" aca="1" ref="AC86" ca="1">IF(AND($R86=2,ACOMPANHAMENTO="BM"),ROUND(AC87,4),AC88/$S86)</f>
        <v>0</v>
      </c>
      <c r="AD86" s="189" cm="1">
        <f t="array" aca="1" ref="AD86" ca="1">IF(AND($R86=2,ACOMPANHAMENTO="BM"),ROUND(AD87,4),AD88/$S86)</f>
        <v>0</v>
      </c>
      <c r="AE86" s="189" cm="1">
        <f t="array" aca="1" ref="AE86" ca="1">IF(AND($R86=2,ACOMPANHAMENTO="BM"),ROUND(AE87,4),AE88/$S86)</f>
        <v>0</v>
      </c>
      <c r="AF86" s="189" cm="1">
        <f t="array" aca="1" ref="AF86" ca="1">IF(AND($R86=2,ACOMPANHAMENTO="BM"),ROUND(AF87,4),AF88/$S86)</f>
        <v>0</v>
      </c>
      <c r="AG86" s="535"/>
    </row>
    <row r="87" spans="1:33" ht="12.75" customHeight="1" x14ac:dyDescent="0.2">
      <c r="E87" s="590"/>
      <c r="F87" s="186">
        <f ca="1">IF(ISERROR(F86),IF(1+COUNTIF($M$13:OFFSET(M86,-1,0),1)&lt;=MAX(QCI!$D$13:$D$24),1+COUNTIF($M$13:OFFSET(M86,-1,0),1),-1),0)</f>
        <v>0</v>
      </c>
      <c r="G87" s="186" t="str" cm="1">
        <f t="array" aca="1" ref="G87" ca="1">IF(ACOMPANHAMENTO="BM",OFFSET(G87,-1,0),"")</f>
        <v/>
      </c>
      <c r="H87" s="197" t="str" cm="1">
        <f t="array" aca="1" ref="H87" ca="1">IF(OR(S86=0,S86=""),"vazia",IF(AND(OR(ACOMPANHAMENTO="PLE",$R86&lt;&gt;2),$F87=0),"calculada","--&gt;"))</f>
        <v>vazia</v>
      </c>
      <c r="I87" s="198"/>
      <c r="J87" s="199" t="str">
        <f ca="1">IF(AND(H86&lt;&gt;0,ISNUMBER(H86)),"PREENCHA ESTA LINHA --&gt;","")</f>
        <v/>
      </c>
      <c r="K87" s="199"/>
      <c r="L87" s="199"/>
      <c r="M87" s="200"/>
      <c r="N87" s="200"/>
      <c r="O87" s="200"/>
      <c r="P87" s="200"/>
      <c r="Q87" s="200"/>
      <c r="R87" s="200"/>
      <c r="S87" s="201"/>
      <c r="T87" s="202"/>
      <c r="U87" s="590"/>
      <c r="V87" s="590"/>
      <c r="W87" s="590"/>
      <c r="X87" s="590">
        <v>0.2</v>
      </c>
      <c r="Y87" s="590">
        <v>0.3</v>
      </c>
      <c r="Z87" s="590">
        <v>0.5</v>
      </c>
      <c r="AA87" s="590"/>
      <c r="AB87" s="590"/>
      <c r="AC87" s="590"/>
      <c r="AD87" s="590"/>
      <c r="AE87" s="590"/>
      <c r="AF87" s="590"/>
      <c r="AG87" s="535"/>
    </row>
    <row r="88" spans="1:33" ht="12.75" customHeight="1" x14ac:dyDescent="0.2">
      <c r="D88" s="534"/>
      <c r="E88" s="203" cm="1">
        <f t="array" aca="1" ref="E88" ca="1">IF($R86=2,
         IF(AND(ACOMPANHAMENTO="PLE",ISNUMBER($F86)),
                SUMIF((OFFSET(CÁLCULO!$AM$15:$AW$15,$F86,0,OFFSET(ORÇAMENTO!$D$15,CRONO!$F86,0))),CRONO!E$12,OFFSET(CÁLCULO!$AB$15:$AL$15,$F86,0,OFFSET(ORÇAMENTO!$D$15,CRONO!$F86,0)))
                +IF(AND($F88&lt;&gt;"",$F88&lt;&gt;0),
                        SUMIF(CÁLCULO!$AM$15:$AW$405,CRONO!E$12,CÁLCULO!$AB$15:$AL$405)/(ORÇAMENTO!$X$15-_xlfn.SINGLE(CÁLCULO.TotalAdmLocal))*CRONO!$F88,
                        0),
                 E87*$S86),
          SUMIF(OFFSET($S88,1,0,$R86-2),($M86+1)&amp;"$",OFFSET(E88,1,0,$R86-2)))</f>
        <v>0</v>
      </c>
      <c r="F88" s="186" t="str">
        <f ca="1">IF(OR($R86&lt;&gt;2,AUTOEVENTO&lt;&gt;"manual",$F87&gt;0),"",
        IF(Import.TipoArredondamento="Tradicional",
              SUMIF(OFFSET(CÁLCULO!$M$15,CRONO!$F86,0,OFFSET(ORÇAMENTO!$D$15,CRONO!$F86,0)),1,OFFSET(ORÇAMENTO!$X$15,CRONO!$F86,0,OFFSET(ORÇAMENTO!$D$15,CRONO!$F86,0))),
              0))</f>
        <v/>
      </c>
      <c r="H88" s="204"/>
      <c r="S88" s="205" t="str">
        <f ca="1">M86&amp;"$"</f>
        <v>2$</v>
      </c>
      <c r="T88" s="206"/>
      <c r="U88" s="203" cm="1">
        <f t="array" aca="1" ref="U88" ca="1">IF($R86=2,
         IF(AND(ACOMPANHAMENTO="PLE",ISNUMBER($F86)),
                SUMIF((OFFSET(CÁLCULO!$AM$15:$AW$15,$F86,0,OFFSET(ORÇAMENTO!$D$15,CRONO!$F86,0))),CRONO!U$12,OFFSET(CÁLCULO!$AB$15:$AL$15,$F86,0,OFFSET(ORÇAMENTO!$D$15,CRONO!$F86,0)))
                +IF(AND($F88&lt;&gt;"",$F88&lt;&gt;0),
                        SUMIF(CÁLCULO!$AM$15:$AW$405,CRONO!U$12,CÁLCULO!$AB$15:$AL$405)/(ORÇAMENTO!$X$15-_xlfn.SINGLE(CÁLCULO.TotalAdmLocal))*CRONO!$F88,
                        0),
                 U87*$S86),
          SUMIF(OFFSET($S88,1,0,$R86-2),($M86+1)&amp;"$",OFFSET(U88,1,0,$R86-2)))</f>
        <v>0</v>
      </c>
      <c r="V88" s="203" cm="1">
        <f t="array" aca="1" ref="V88" ca="1">IF($R86=2,
         IF(AND(ACOMPANHAMENTO="PLE",ISNUMBER($F86)),
                SUMIF((OFFSET(CÁLCULO!$AM$15:$AW$15,$F86,0,OFFSET(ORÇAMENTO!$D$15,CRONO!$F86,0))),CRONO!V$12,OFFSET(CÁLCULO!$AB$15:$AL$15,$F86,0,OFFSET(ORÇAMENTO!$D$15,CRONO!$F86,0)))
                +IF(AND($F88&lt;&gt;"",$F88&lt;&gt;0),
                        SUMIF(CÁLCULO!$AM$15:$AW$405,CRONO!V$12,CÁLCULO!$AB$15:$AL$405)/(ORÇAMENTO!$X$15-_xlfn.SINGLE(CÁLCULO.TotalAdmLocal))*CRONO!$F88,
                        0),
                 V87*$S86),
          SUMIF(OFFSET($S88,1,0,$R86-2),($M86+1)&amp;"$",OFFSET(V88,1,0,$R86-2)))</f>
        <v>0</v>
      </c>
      <c r="W88" s="203" cm="1">
        <f t="array" aca="1" ref="W88" ca="1">IF($R86=2,
         IF(AND(ACOMPANHAMENTO="PLE",ISNUMBER($F86)),
                SUMIF((OFFSET(CÁLCULO!$AM$15:$AW$15,$F86,0,OFFSET(ORÇAMENTO!$D$15,CRONO!$F86,0))),CRONO!W$12,OFFSET(CÁLCULO!$AB$15:$AL$15,$F86,0,OFFSET(ORÇAMENTO!$D$15,CRONO!$F86,0)))
                +IF(AND($F88&lt;&gt;"",$F88&lt;&gt;0),
                        SUMIF(CÁLCULO!$AM$15:$AW$405,CRONO!W$12,CÁLCULO!$AB$15:$AL$405)/(ORÇAMENTO!$X$15-_xlfn.SINGLE(CÁLCULO.TotalAdmLocal))*CRONO!$F88,
                        0),
                 W87*$S86),
          SUMIF(OFFSET($S88,1,0,$R86-2),($M86+1)&amp;"$",OFFSET(W88,1,0,$R86-2)))</f>
        <v>0</v>
      </c>
      <c r="X88" s="203" cm="1">
        <f t="array" aca="1" ref="X88" ca="1">IF($R86=2,
         IF(AND(ACOMPANHAMENTO="PLE",ISNUMBER($F86)),
                SUMIF((OFFSET(CÁLCULO!$AM$15:$AW$15,$F86,0,OFFSET(ORÇAMENTO!$D$15,CRONO!$F86,0))),CRONO!X$12,OFFSET(CÁLCULO!$AB$15:$AL$15,$F86,0,OFFSET(ORÇAMENTO!$D$15,CRONO!$F86,0)))
                +IF(AND($F88&lt;&gt;"",$F88&lt;&gt;0),
                        SUMIF(CÁLCULO!$AM$15:$AW$405,CRONO!X$12,CÁLCULO!$AB$15:$AL$405)/(ORÇAMENTO!$X$15-_xlfn.SINGLE(CÁLCULO.TotalAdmLocal))*CRONO!$F88,
                        0),
                 X87*$S86),
          SUMIF(OFFSET($S88,1,0,$R86-2),($M86+1)&amp;"$",OFFSET(X88,1,0,$R86-2)))</f>
        <v>0</v>
      </c>
      <c r="Y88" s="203" cm="1">
        <f t="array" aca="1" ref="Y88" ca="1">IF($R86=2,
         IF(AND(ACOMPANHAMENTO="PLE",ISNUMBER($F86)),
                SUMIF((OFFSET(CÁLCULO!$AM$15:$AW$15,$F86,0,OFFSET(ORÇAMENTO!$D$15,CRONO!$F86,0))),CRONO!Y$12,OFFSET(CÁLCULO!$AB$15:$AL$15,$F86,0,OFFSET(ORÇAMENTO!$D$15,CRONO!$F86,0)))
                +IF(AND($F88&lt;&gt;"",$F88&lt;&gt;0),
                        SUMIF(CÁLCULO!$AM$15:$AW$405,CRONO!Y$12,CÁLCULO!$AB$15:$AL$405)/(ORÇAMENTO!$X$15-_xlfn.SINGLE(CÁLCULO.TotalAdmLocal))*CRONO!$F88,
                        0),
                 Y87*$S86),
          SUMIF(OFFSET($S88,1,0,$R86-2),($M86+1)&amp;"$",OFFSET(Y88,1,0,$R86-2)))</f>
        <v>0</v>
      </c>
      <c r="Z88" s="203" cm="1">
        <f t="array" aca="1" ref="Z88" ca="1">IF($R86=2,
         IF(AND(ACOMPANHAMENTO="PLE",ISNUMBER($F86)),
                SUMIF((OFFSET(CÁLCULO!$AM$15:$AW$15,$F86,0,OFFSET(ORÇAMENTO!$D$15,CRONO!$F86,0))),CRONO!Z$12,OFFSET(CÁLCULO!$AB$15:$AL$15,$F86,0,OFFSET(ORÇAMENTO!$D$15,CRONO!$F86,0)))
                +IF(AND($F88&lt;&gt;"",$F88&lt;&gt;0),
                        SUMIF(CÁLCULO!$AM$15:$AW$405,CRONO!Z$12,CÁLCULO!$AB$15:$AL$405)/(ORÇAMENTO!$X$15-_xlfn.SINGLE(CÁLCULO.TotalAdmLocal))*CRONO!$F88,
                        0),
                 Z87*$S86),
          SUMIF(OFFSET($S88,1,0,$R86-2),($M86+1)&amp;"$",OFFSET(Z88,1,0,$R86-2)))</f>
        <v>0</v>
      </c>
      <c r="AA88" s="203" cm="1">
        <f t="array" aca="1" ref="AA88" ca="1">IF($R86=2,
         IF(AND(ACOMPANHAMENTO="PLE",ISNUMBER($F86)),
                SUMIF((OFFSET(CÁLCULO!$AM$15:$AW$15,$F86,0,OFFSET(ORÇAMENTO!$D$15,CRONO!$F86,0))),CRONO!AA$12,OFFSET(CÁLCULO!$AB$15:$AL$15,$F86,0,OFFSET(ORÇAMENTO!$D$15,CRONO!$F86,0)))
                +IF(AND($F88&lt;&gt;"",$F88&lt;&gt;0),
                        SUMIF(CÁLCULO!$AM$15:$AW$405,CRONO!AA$12,CÁLCULO!$AB$15:$AL$405)/(ORÇAMENTO!$X$15-_xlfn.SINGLE(CÁLCULO.TotalAdmLocal))*CRONO!$F88,
                        0),
                 AA87*$S86),
          SUMIF(OFFSET($S88,1,0,$R86-2),($M86+1)&amp;"$",OFFSET(AA88,1,0,$R86-2)))</f>
        <v>0</v>
      </c>
      <c r="AB88" s="203" cm="1">
        <f t="array" aca="1" ref="AB88" ca="1">IF($R86=2,
         IF(AND(ACOMPANHAMENTO="PLE",ISNUMBER($F86)),
                SUMIF((OFFSET(CÁLCULO!$AM$15:$AW$15,$F86,0,OFFSET(ORÇAMENTO!$D$15,CRONO!$F86,0))),CRONO!AB$12,OFFSET(CÁLCULO!$AB$15:$AL$15,$F86,0,OFFSET(ORÇAMENTO!$D$15,CRONO!$F86,0)))
                +IF(AND($F88&lt;&gt;"",$F88&lt;&gt;0),
                        SUMIF(CÁLCULO!$AM$15:$AW$405,CRONO!AB$12,CÁLCULO!$AB$15:$AL$405)/(ORÇAMENTO!$X$15-_xlfn.SINGLE(CÁLCULO.TotalAdmLocal))*CRONO!$F88,
                        0),
                 AB87*$S86),
          SUMIF(OFFSET($S88,1,0,$R86-2),($M86+1)&amp;"$",OFFSET(AB88,1,0,$R86-2)))</f>
        <v>0</v>
      </c>
      <c r="AC88" s="203" cm="1">
        <f t="array" aca="1" ref="AC88" ca="1">IF($R86=2,
         IF(AND(ACOMPANHAMENTO="PLE",ISNUMBER($F86)),
                SUMIF((OFFSET(CÁLCULO!$AM$15:$AW$15,$F86,0,OFFSET(ORÇAMENTO!$D$15,CRONO!$F86,0))),CRONO!AC$12,OFFSET(CÁLCULO!$AB$15:$AL$15,$F86,0,OFFSET(ORÇAMENTO!$D$15,CRONO!$F86,0)))
                +IF(AND($F88&lt;&gt;"",$F88&lt;&gt;0),
                        SUMIF(CÁLCULO!$AM$15:$AW$405,CRONO!AC$12,CÁLCULO!$AB$15:$AL$405)/(ORÇAMENTO!$X$15-_xlfn.SINGLE(CÁLCULO.TotalAdmLocal))*CRONO!$F88,
                        0),
                 AC87*$S86),
          SUMIF(OFFSET($S88,1,0,$R86-2),($M86+1)&amp;"$",OFFSET(AC88,1,0,$R86-2)))</f>
        <v>0</v>
      </c>
      <c r="AD88" s="203" cm="1">
        <f t="array" aca="1" ref="AD88" ca="1">IF($R86=2,
         IF(AND(ACOMPANHAMENTO="PLE",ISNUMBER($F86)),
                SUMIF((OFFSET(CÁLCULO!$AM$15:$AW$15,$F86,0,OFFSET(ORÇAMENTO!$D$15,CRONO!$F86,0))),CRONO!AD$12,OFFSET(CÁLCULO!$AB$15:$AL$15,$F86,0,OFFSET(ORÇAMENTO!$D$15,CRONO!$F86,0)))
                +IF(AND($F88&lt;&gt;"",$F88&lt;&gt;0),
                        SUMIF(CÁLCULO!$AM$15:$AW$405,CRONO!AD$12,CÁLCULO!$AB$15:$AL$405)/(ORÇAMENTO!$X$15-_xlfn.SINGLE(CÁLCULO.TotalAdmLocal))*CRONO!$F88,
                        0),
                 AD87*$S86),
          SUMIF(OFFSET($S88,1,0,$R86-2),($M86+1)&amp;"$",OFFSET(AD88,1,0,$R86-2)))</f>
        <v>0</v>
      </c>
      <c r="AE88" s="203" cm="1">
        <f t="array" aca="1" ref="AE88" ca="1">IF($R86=2,
         IF(AND(ACOMPANHAMENTO="PLE",ISNUMBER($F86)),
                SUMIF((OFFSET(CÁLCULO!$AM$15:$AW$15,$F86,0,OFFSET(ORÇAMENTO!$D$15,CRONO!$F86,0))),CRONO!AE$12,OFFSET(CÁLCULO!$AB$15:$AL$15,$F86,0,OFFSET(ORÇAMENTO!$D$15,CRONO!$F86,0)))
                +IF(AND($F88&lt;&gt;"",$F88&lt;&gt;0),
                        SUMIF(CÁLCULO!$AM$15:$AW$405,CRONO!AE$12,CÁLCULO!$AB$15:$AL$405)/(ORÇAMENTO!$X$15-_xlfn.SINGLE(CÁLCULO.TotalAdmLocal))*CRONO!$F88,
                        0),
                 AE87*$S86),
          SUMIF(OFFSET($S88,1,0,$R86-2),($M86+1)&amp;"$",OFFSET(AE88,1,0,$R86-2)))</f>
        <v>0</v>
      </c>
      <c r="AF88" s="203" cm="1">
        <f t="array" aca="1" ref="AF88" ca="1">IF($R86=2,
         IF(AND(ACOMPANHAMENTO="PLE",ISNUMBER($F86)),
                SUMIF((OFFSET(CÁLCULO!$AM$15:$AW$15,$F86,0,OFFSET(ORÇAMENTO!$D$15,CRONO!$F86,0))),CRONO!AF$12,OFFSET(CÁLCULO!$AB$15:$AL$15,$F86,0,OFFSET(ORÇAMENTO!$D$15,CRONO!$F86,0)))
                +IF(AND($F88&lt;&gt;"",$F88&lt;&gt;0),
                        SUMIF(CÁLCULO!$AM$15:$AW$405,CRONO!AF$12,CÁLCULO!$AB$15:$AL$405)/(ORÇAMENTO!$X$15-_xlfn.SINGLE(CÁLCULO.TotalAdmLocal))*CRONO!$F88,
                        0),
                 AF87*$S86),
          SUMIF(OFFSET($S88,1,0,$R86-2),($M86+1)&amp;"$",OFFSET(AF88,1,0,$R86-2)))</f>
        <v>0</v>
      </c>
      <c r="AG88" s="535"/>
    </row>
    <row r="89" spans="1:33" ht="5.0999999999999996" customHeight="1" x14ac:dyDescent="0.2">
      <c r="E89" s="634"/>
      <c r="G89" s="186" t="s">
        <v>536</v>
      </c>
      <c r="H89" s="433"/>
      <c r="I89" s="635"/>
      <c r="J89" s="636"/>
      <c r="K89" s="636"/>
      <c r="L89" s="636"/>
      <c r="M89" s="637" t="s">
        <v>799</v>
      </c>
      <c r="N89" s="637"/>
      <c r="O89" s="637"/>
      <c r="P89" s="637"/>
      <c r="Q89" s="637"/>
      <c r="R89" s="637"/>
      <c r="S89" s="638"/>
      <c r="T89" s="638"/>
      <c r="U89" s="636"/>
      <c r="V89" s="636"/>
      <c r="W89" s="636"/>
      <c r="X89" s="636"/>
      <c r="Y89" s="636"/>
      <c r="Z89" s="636"/>
      <c r="AA89" s="636"/>
      <c r="AB89" s="636"/>
      <c r="AC89" s="636"/>
      <c r="AD89" s="636"/>
      <c r="AE89" s="636"/>
      <c r="AF89" s="636"/>
      <c r="AG89" s="535"/>
    </row>
    <row r="90" spans="1:33" ht="12.75" customHeight="1" x14ac:dyDescent="0.2">
      <c r="E90" s="529" t="e">
        <f ca="1">E94/$R$90</f>
        <v>#DIV/0!</v>
      </c>
      <c r="G90" s="186" t="s">
        <v>536</v>
      </c>
      <c r="I90" s="764" t="str">
        <f ca="1">"Total:    R$ "&amp;TEXT(R90,"#.##0,00")</f>
        <v>Total:    R$ 0,00</v>
      </c>
      <c r="J90" s="764"/>
      <c r="K90" s="764"/>
      <c r="L90" s="228"/>
      <c r="R90" s="229">
        <f ca="1">SUMIF(M12:M89,1,S12:S89)</f>
        <v>0</v>
      </c>
      <c r="S90" s="230"/>
      <c r="T90" s="231" t="s">
        <v>800</v>
      </c>
      <c r="U90" s="529" t="e">
        <f t="shared" ref="U90:AF90" ca="1" si="146">ROUND(U94,2)/$R$90</f>
        <v>#DIV/0!</v>
      </c>
      <c r="V90" s="529" t="e">
        <f t="shared" ca="1" si="146"/>
        <v>#DIV/0!</v>
      </c>
      <c r="W90" s="529" t="e">
        <f t="shared" ca="1" si="146"/>
        <v>#DIV/0!</v>
      </c>
      <c r="X90" s="529" t="e">
        <f t="shared" ca="1" si="146"/>
        <v>#DIV/0!</v>
      </c>
      <c r="Y90" s="529" t="e">
        <f t="shared" ca="1" si="146"/>
        <v>#DIV/0!</v>
      </c>
      <c r="Z90" s="529" t="e">
        <f t="shared" ca="1" si="146"/>
        <v>#DIV/0!</v>
      </c>
      <c r="AA90" s="529" t="e">
        <f t="shared" ca="1" si="146"/>
        <v>#DIV/0!</v>
      </c>
      <c r="AB90" s="529" t="e">
        <f t="shared" ca="1" si="146"/>
        <v>#DIV/0!</v>
      </c>
      <c r="AC90" s="529" t="e">
        <f t="shared" ca="1" si="146"/>
        <v>#DIV/0!</v>
      </c>
      <c r="AD90" s="529" t="e">
        <f t="shared" ca="1" si="146"/>
        <v>#DIV/0!</v>
      </c>
      <c r="AE90" s="529" t="e">
        <f t="shared" ca="1" si="146"/>
        <v>#DIV/0!</v>
      </c>
      <c r="AF90" s="540" t="e">
        <f t="shared" ca="1" si="146"/>
        <v>#DIV/0!</v>
      </c>
      <c r="AG90" s="535"/>
    </row>
    <row r="91" spans="1:33" ht="15" customHeight="1" x14ac:dyDescent="0.2">
      <c r="E91" s="232">
        <f ca="1">IF(E$12=1,ROUND(E96,2),ROUND(E96,2)-ROUND(D96,2))</f>
        <v>0</v>
      </c>
      <c r="G91" s="186" t="s">
        <v>536</v>
      </c>
      <c r="I91" s="764"/>
      <c r="J91" s="764"/>
      <c r="K91" s="764"/>
      <c r="L91" s="233"/>
      <c r="R91" s="229"/>
      <c r="S91" s="234"/>
      <c r="T91" s="235" t="str">
        <f>IF(import.recurso="FGTS","Financiamento:","Repasse:")</f>
        <v>Repasse:</v>
      </c>
      <c r="U91" s="232">
        <f t="shared" ref="U91:AF91" ca="1" si="147">IF(U$12=1,ROUND(U96,2),ROUND(U96,2)-ROUND(T96,2))</f>
        <v>0</v>
      </c>
      <c r="V91" s="232">
        <f t="shared" ca="1" si="147"/>
        <v>0</v>
      </c>
      <c r="W91" s="232">
        <f t="shared" ca="1" si="147"/>
        <v>0</v>
      </c>
      <c r="X91" s="232">
        <f t="shared" ca="1" si="147"/>
        <v>0</v>
      </c>
      <c r="Y91" s="232">
        <f t="shared" ca="1" si="147"/>
        <v>0</v>
      </c>
      <c r="Z91" s="232">
        <f t="shared" ca="1" si="147"/>
        <v>0</v>
      </c>
      <c r="AA91" s="232">
        <f t="shared" ca="1" si="147"/>
        <v>0</v>
      </c>
      <c r="AB91" s="232">
        <f t="shared" ca="1" si="147"/>
        <v>0</v>
      </c>
      <c r="AC91" s="232">
        <f t="shared" ca="1" si="147"/>
        <v>0</v>
      </c>
      <c r="AD91" s="232">
        <f t="shared" ca="1" si="147"/>
        <v>0</v>
      </c>
      <c r="AE91" s="232">
        <f t="shared" ca="1" si="147"/>
        <v>0</v>
      </c>
      <c r="AF91" s="232">
        <f t="shared" ca="1" si="147"/>
        <v>0</v>
      </c>
      <c r="AG91" s="535"/>
    </row>
    <row r="92" spans="1:33" ht="12.75" customHeight="1" x14ac:dyDescent="0.2">
      <c r="E92" s="530">
        <f ca="1">IF(E$12=1,ROUND(E97,2),ROUND(E97,2)-ROUND(D97,2))</f>
        <v>0</v>
      </c>
      <c r="G92" s="186" t="s">
        <v>536</v>
      </c>
      <c r="I92" s="236"/>
      <c r="L92" s="237" t="s">
        <v>801</v>
      </c>
      <c r="R92" s="229"/>
      <c r="S92" s="238"/>
      <c r="T92" s="239" t="s">
        <v>802</v>
      </c>
      <c r="U92" s="530">
        <f t="shared" ref="U92:AF92" ca="1" si="148">IF(U$12=1,ROUND(U97,2),ROUND(U97,2)-ROUND(T97,2))</f>
        <v>0</v>
      </c>
      <c r="V92" s="530">
        <f t="shared" ca="1" si="148"/>
        <v>0</v>
      </c>
      <c r="W92" s="530">
        <f t="shared" ca="1" si="148"/>
        <v>0</v>
      </c>
      <c r="X92" s="530">
        <f t="shared" ca="1" si="148"/>
        <v>0</v>
      </c>
      <c r="Y92" s="530">
        <f t="shared" ca="1" si="148"/>
        <v>0</v>
      </c>
      <c r="Z92" s="530">
        <f t="shared" ca="1" si="148"/>
        <v>0</v>
      </c>
      <c r="AA92" s="530">
        <f t="shared" ca="1" si="148"/>
        <v>0</v>
      </c>
      <c r="AB92" s="530">
        <f t="shared" ca="1" si="148"/>
        <v>0</v>
      </c>
      <c r="AC92" s="530">
        <f t="shared" ca="1" si="148"/>
        <v>0</v>
      </c>
      <c r="AD92" s="530">
        <f t="shared" ca="1" si="148"/>
        <v>0</v>
      </c>
      <c r="AE92" s="530">
        <f t="shared" ca="1" si="148"/>
        <v>0</v>
      </c>
      <c r="AF92" s="530">
        <f t="shared" ca="1" si="148"/>
        <v>0</v>
      </c>
      <c r="AG92" s="535"/>
    </row>
    <row r="93" spans="1:33" x14ac:dyDescent="0.2">
      <c r="E93" s="240">
        <f ca="1">IF(E$12=1,ROUND(E98,2),ROUND(E98,2)-ROUND(D98,2))</f>
        <v>0</v>
      </c>
      <c r="G93" s="186" t="s">
        <v>536</v>
      </c>
      <c r="I93" s="236"/>
      <c r="L93" s="237"/>
      <c r="R93" s="229"/>
      <c r="S93" s="241"/>
      <c r="T93" s="242" t="s">
        <v>803</v>
      </c>
      <c r="U93" s="240">
        <f t="shared" ref="U93:AF93" ca="1" si="149">IF(U$12=1,ROUND(U98,2),ROUND(U98,2)-ROUND(T98,2))</f>
        <v>0</v>
      </c>
      <c r="V93" s="240">
        <f t="shared" ca="1" si="149"/>
        <v>0</v>
      </c>
      <c r="W93" s="240">
        <f t="shared" ca="1" si="149"/>
        <v>0</v>
      </c>
      <c r="X93" s="240">
        <f t="shared" ca="1" si="149"/>
        <v>0</v>
      </c>
      <c r="Y93" s="240">
        <f t="shared" ca="1" si="149"/>
        <v>0</v>
      </c>
      <c r="Z93" s="240">
        <f t="shared" ca="1" si="149"/>
        <v>0</v>
      </c>
      <c r="AA93" s="240">
        <f t="shared" ca="1" si="149"/>
        <v>0</v>
      </c>
      <c r="AB93" s="240">
        <f t="shared" ca="1" si="149"/>
        <v>0</v>
      </c>
      <c r="AC93" s="240">
        <f t="shared" ca="1" si="149"/>
        <v>0</v>
      </c>
      <c r="AD93" s="240">
        <f t="shared" ca="1" si="149"/>
        <v>0</v>
      </c>
      <c r="AE93" s="240">
        <f t="shared" ca="1" si="149"/>
        <v>0</v>
      </c>
      <c r="AF93" s="240">
        <f t="shared" ca="1" si="149"/>
        <v>0</v>
      </c>
      <c r="AG93" s="535"/>
    </row>
    <row r="94" spans="1:33" x14ac:dyDescent="0.2">
      <c r="E94" s="531">
        <f ca="1">IF(E$12=1,ROUND(E99,2),ROUND(E99,2)-ROUND(D99,2))</f>
        <v>0</v>
      </c>
      <c r="G94" s="186" t="s">
        <v>536</v>
      </c>
      <c r="H94" s="537"/>
      <c r="L94" s="243"/>
      <c r="S94" s="244"/>
      <c r="T94" s="245" t="s">
        <v>804</v>
      </c>
      <c r="U94" s="531">
        <f t="shared" ref="U94:AF94" ca="1" si="150">IF(U$12=1,ROUND(U99,2),ROUND(U99,2)-ROUND(T99,2))</f>
        <v>0</v>
      </c>
      <c r="V94" s="531">
        <f t="shared" ca="1" si="150"/>
        <v>0</v>
      </c>
      <c r="W94" s="531">
        <f t="shared" ca="1" si="150"/>
        <v>0</v>
      </c>
      <c r="X94" s="531">
        <f t="shared" ca="1" si="150"/>
        <v>0</v>
      </c>
      <c r="Y94" s="531">
        <f t="shared" ca="1" si="150"/>
        <v>0</v>
      </c>
      <c r="Z94" s="531">
        <f t="shared" ca="1" si="150"/>
        <v>0</v>
      </c>
      <c r="AA94" s="531">
        <f t="shared" ca="1" si="150"/>
        <v>0</v>
      </c>
      <c r="AB94" s="531">
        <f t="shared" ca="1" si="150"/>
        <v>0</v>
      </c>
      <c r="AC94" s="531">
        <f t="shared" ca="1" si="150"/>
        <v>0</v>
      </c>
      <c r="AD94" s="531">
        <f t="shared" ca="1" si="150"/>
        <v>0</v>
      </c>
      <c r="AE94" s="531">
        <f t="shared" ca="1" si="150"/>
        <v>0</v>
      </c>
      <c r="AF94" s="531">
        <f t="shared" ca="1" si="150"/>
        <v>0</v>
      </c>
      <c r="AG94" s="535"/>
    </row>
    <row r="95" spans="1:33" x14ac:dyDescent="0.2">
      <c r="E95" s="529" t="e">
        <f ca="1">ROUND(ROUND(E99,2)/$R$90,4)</f>
        <v>#DIV/0!</v>
      </c>
      <c r="G95" s="186" t="s">
        <v>536</v>
      </c>
      <c r="L95" s="228"/>
      <c r="S95" s="230"/>
      <c r="T95" s="231" t="s">
        <v>800</v>
      </c>
      <c r="U95" s="529" t="e">
        <f t="shared" ref="U95:AF95" ca="1" si="151">ROUND(ROUND(U99,2)/$R$90,4)</f>
        <v>#DIV/0!</v>
      </c>
      <c r="V95" s="529" t="e">
        <f t="shared" ca="1" si="151"/>
        <v>#DIV/0!</v>
      </c>
      <c r="W95" s="529" t="e">
        <f t="shared" ca="1" si="151"/>
        <v>#DIV/0!</v>
      </c>
      <c r="X95" s="529" t="e">
        <f t="shared" ca="1" si="151"/>
        <v>#DIV/0!</v>
      </c>
      <c r="Y95" s="529" t="e">
        <f t="shared" ca="1" si="151"/>
        <v>#DIV/0!</v>
      </c>
      <c r="Z95" s="529" t="e">
        <f t="shared" ca="1" si="151"/>
        <v>#DIV/0!</v>
      </c>
      <c r="AA95" s="529" t="e">
        <f t="shared" ca="1" si="151"/>
        <v>#DIV/0!</v>
      </c>
      <c r="AB95" s="529" t="e">
        <f t="shared" ca="1" si="151"/>
        <v>#DIV/0!</v>
      </c>
      <c r="AC95" s="529" t="e">
        <f t="shared" ca="1" si="151"/>
        <v>#DIV/0!</v>
      </c>
      <c r="AD95" s="529" t="e">
        <f t="shared" ca="1" si="151"/>
        <v>#DIV/0!</v>
      </c>
      <c r="AE95" s="529" t="e">
        <f t="shared" ca="1" si="151"/>
        <v>#DIV/0!</v>
      </c>
      <c r="AF95" s="529" t="e">
        <f t="shared" ca="1" si="151"/>
        <v>#DIV/0!</v>
      </c>
      <c r="AG95" s="535"/>
    </row>
    <row r="96" spans="1:33" x14ac:dyDescent="0.2">
      <c r="E96" s="232">
        <f ca="1">ROUND(E99-E98-E97,2)</f>
        <v>0</v>
      </c>
      <c r="G96" s="186" t="s">
        <v>536</v>
      </c>
      <c r="L96" s="233"/>
      <c r="S96" s="234"/>
      <c r="T96" s="235" t="str">
        <f>IF(import.recurso="FGTS","Financiamento:","Repasse:")</f>
        <v>Repasse:</v>
      </c>
      <c r="U96" s="232">
        <f t="shared" ref="U96:AF96" ca="1" si="152">ROUND(U99-U98-U97,2)</f>
        <v>0</v>
      </c>
      <c r="V96" s="232">
        <f t="shared" ca="1" si="152"/>
        <v>0</v>
      </c>
      <c r="W96" s="232">
        <f t="shared" ca="1" si="152"/>
        <v>0</v>
      </c>
      <c r="X96" s="232">
        <f t="shared" ca="1" si="152"/>
        <v>0</v>
      </c>
      <c r="Y96" s="232">
        <f t="shared" ca="1" si="152"/>
        <v>0</v>
      </c>
      <c r="Z96" s="232">
        <f t="shared" ca="1" si="152"/>
        <v>0</v>
      </c>
      <c r="AA96" s="232">
        <f t="shared" ca="1" si="152"/>
        <v>0</v>
      </c>
      <c r="AB96" s="232">
        <f t="shared" ca="1" si="152"/>
        <v>0</v>
      </c>
      <c r="AC96" s="232">
        <f t="shared" ca="1" si="152"/>
        <v>0</v>
      </c>
      <c r="AD96" s="232">
        <f t="shared" ca="1" si="152"/>
        <v>0</v>
      </c>
      <c r="AE96" s="232">
        <f t="shared" ca="1" si="152"/>
        <v>0</v>
      </c>
      <c r="AF96" s="232">
        <f t="shared" ca="1" si="152"/>
        <v>0</v>
      </c>
      <c r="AG96" s="535"/>
    </row>
    <row r="97" spans="4:33" x14ac:dyDescent="0.2">
      <c r="E97" s="530" cm="1">
        <f t="array" aca="1" ref="E97" ca="1">IF(E$12=1,0,OFFSET(E97,0,-1))+SUM((OFFSET($C$13,1,0):OFFSET($C$89,-3,0))*IF(ISNUMBER(OFFSET(E$11,5,0):OFFSET(E$89,-1,0)),OFFSET(E$11,5,0):OFFSET(E$89,-1,0),0))</f>
        <v>0</v>
      </c>
      <c r="G97" s="186" t="s">
        <v>536</v>
      </c>
      <c r="L97" s="237" t="s">
        <v>805</v>
      </c>
      <c r="S97" s="238"/>
      <c r="T97" s="239" t="s">
        <v>802</v>
      </c>
      <c r="U97" s="530" cm="1">
        <f t="array" aca="1" ref="U97" ca="1">IF(U$12=1,0,OFFSET(U97,0,-1))+SUM((OFFSET($C$13,1,0):OFFSET($C$89,-3,0))*IF(ISNUMBER(OFFSET(U$11,5,0):OFFSET(U$89,-1,0)),OFFSET(U$11,5,0):OFFSET(U$89,-1,0),0))</f>
        <v>0</v>
      </c>
      <c r="V97" s="530" cm="1">
        <f t="array" aca="1" ref="V97" ca="1">IF(V$12=1,0,OFFSET(V97,0,-1))+SUM((OFFSET($C$13,1,0):OFFSET($C$89,-3,0))*IF(ISNUMBER(OFFSET(V$11,5,0):OFFSET(V$89,-1,0)),OFFSET(V$11,5,0):OFFSET(V$89,-1,0),0))</f>
        <v>0</v>
      </c>
      <c r="W97" s="530" cm="1">
        <f t="array" aca="1" ref="W97" ca="1">IF(W$12=1,0,OFFSET(W97,0,-1))+SUM((OFFSET($C$13,1,0):OFFSET($C$89,-3,0))*IF(ISNUMBER(OFFSET(W$11,5,0):OFFSET(W$89,-1,0)),OFFSET(W$11,5,0):OFFSET(W$89,-1,0),0))</f>
        <v>0</v>
      </c>
      <c r="X97" s="530" cm="1">
        <f t="array" aca="1" ref="X97" ca="1">IF(X$12=1,0,OFFSET(X97,0,-1))+SUM((OFFSET($C$13,1,0):OFFSET($C$89,-3,0))*IF(ISNUMBER(OFFSET(X$11,5,0):OFFSET(X$89,-1,0)),OFFSET(X$11,5,0):OFFSET(X$89,-1,0),0))</f>
        <v>0</v>
      </c>
      <c r="Y97" s="530" cm="1">
        <f t="array" aca="1" ref="Y97" ca="1">IF(Y$12=1,0,OFFSET(Y97,0,-1))+SUM((OFFSET($C$13,1,0):OFFSET($C$89,-3,0))*IF(ISNUMBER(OFFSET(Y$11,5,0):OFFSET(Y$89,-1,0)),OFFSET(Y$11,5,0):OFFSET(Y$89,-1,0),0))</f>
        <v>0</v>
      </c>
      <c r="Z97" s="530" cm="1">
        <f t="array" aca="1" ref="Z97" ca="1">IF(Z$12=1,0,OFFSET(Z97,0,-1))+SUM((OFFSET($C$13,1,0):OFFSET($C$89,-3,0))*IF(ISNUMBER(OFFSET(Z$11,5,0):OFFSET(Z$89,-1,0)),OFFSET(Z$11,5,0):OFFSET(Z$89,-1,0),0))</f>
        <v>0</v>
      </c>
      <c r="AA97" s="530" cm="1">
        <f t="array" aca="1" ref="AA97" ca="1">IF(AA$12=1,0,OFFSET(AA97,0,-1))+SUM((OFFSET($C$13,1,0):OFFSET($C$89,-3,0))*IF(ISNUMBER(OFFSET(AA$11,5,0):OFFSET(AA$89,-1,0)),OFFSET(AA$11,5,0):OFFSET(AA$89,-1,0),0))</f>
        <v>0</v>
      </c>
      <c r="AB97" s="530" cm="1">
        <f t="array" aca="1" ref="AB97" ca="1">IF(AB$12=1,0,OFFSET(AB97,0,-1))+SUM((OFFSET($C$13,1,0):OFFSET($C$89,-3,0))*IF(ISNUMBER(OFFSET(AB$11,5,0):OFFSET(AB$89,-1,0)),OFFSET(AB$11,5,0):OFFSET(AB$89,-1,0),0))</f>
        <v>0</v>
      </c>
      <c r="AC97" s="530" cm="1">
        <f t="array" aca="1" ref="AC97" ca="1">IF(AC$12=1,0,OFFSET(AC97,0,-1))+SUM((OFFSET($C$13,1,0):OFFSET($C$89,-3,0))*IF(ISNUMBER(OFFSET(AC$11,5,0):OFFSET(AC$89,-1,0)),OFFSET(AC$11,5,0):OFFSET(AC$89,-1,0),0))</f>
        <v>0</v>
      </c>
      <c r="AD97" s="530" cm="1">
        <f t="array" aca="1" ref="AD97" ca="1">IF(AD$12=1,0,OFFSET(AD97,0,-1))+SUM((OFFSET($C$13,1,0):OFFSET($C$89,-3,0))*IF(ISNUMBER(OFFSET(AD$11,5,0):OFFSET(AD$89,-1,0)),OFFSET(AD$11,5,0):OFFSET(AD$89,-1,0),0))</f>
        <v>0</v>
      </c>
      <c r="AE97" s="530" cm="1">
        <f t="array" aca="1" ref="AE97" ca="1">IF(AE$12=1,0,OFFSET(AE97,0,-1))+SUM((OFFSET($C$13,1,0):OFFSET($C$89,-3,0))*IF(ISNUMBER(OFFSET(AE$11,5,0):OFFSET(AE$89,-1,0)),OFFSET(AE$11,5,0):OFFSET(AE$89,-1,0),0))</f>
        <v>0</v>
      </c>
      <c r="AF97" s="530" cm="1">
        <f t="array" aca="1" ref="AF97" ca="1">IF(AF$12=1,0,OFFSET(AF97,0,-1))+SUM((OFFSET($C$13,1,0):OFFSET($C$89,-3,0))*IF(ISNUMBER(OFFSET(AF$11,5,0):OFFSET(AF$89,-1,0)),OFFSET(AF$11,5,0):OFFSET(AF$89,-1,0),0))</f>
        <v>0</v>
      </c>
      <c r="AG97" s="535"/>
    </row>
    <row r="98" spans="4:33" x14ac:dyDescent="0.2">
      <c r="E98" s="240" cm="1">
        <f t="array" aca="1" ref="E98" ca="1">IF(E$12=1,0,OFFSET(E98,0,-1))+SUM((OFFSET($D$13,1,0):OFFSET($D$89,-3,0))*IF(ISNUMBER(OFFSET(E$11,5,0):OFFSET(E$89,-1,0)),OFFSET(E$11,5,0):OFFSET(E$89,-1,0),0))</f>
        <v>0</v>
      </c>
      <c r="G98" s="186" t="s">
        <v>536</v>
      </c>
      <c r="L98" s="237"/>
      <c r="S98" s="241"/>
      <c r="T98" s="242" t="s">
        <v>803</v>
      </c>
      <c r="U98" s="240" cm="1">
        <f t="array" aca="1" ref="U98" ca="1">IF(U$12=1,0,OFFSET(U98,0,-1))+SUM((OFFSET($D$13,1,0):OFFSET($D$89,-3,0))*IF(ISNUMBER(OFFSET(U$11,5,0):OFFSET(U$89,-1,0)),OFFSET(U$11,5,0):OFFSET(U$89,-1,0),0))</f>
        <v>0</v>
      </c>
      <c r="V98" s="240" cm="1">
        <f t="array" aca="1" ref="V98" ca="1">IF(V$12=1,0,OFFSET(V98,0,-1))+SUM((OFFSET($D$13,1,0):OFFSET($D$89,-3,0))*IF(ISNUMBER(OFFSET(V$11,5,0):OFFSET(V$89,-1,0)),OFFSET(V$11,5,0):OFFSET(V$89,-1,0),0))</f>
        <v>0</v>
      </c>
      <c r="W98" s="240" cm="1">
        <f t="array" aca="1" ref="W98" ca="1">IF(W$12=1,0,OFFSET(W98,0,-1))+SUM((OFFSET($D$13,1,0):OFFSET($D$89,-3,0))*IF(ISNUMBER(OFFSET(W$11,5,0):OFFSET(W$89,-1,0)),OFFSET(W$11,5,0):OFFSET(W$89,-1,0),0))</f>
        <v>0</v>
      </c>
      <c r="X98" s="240" cm="1">
        <f t="array" aca="1" ref="X98" ca="1">IF(X$12=1,0,OFFSET(X98,0,-1))+SUM((OFFSET($D$13,1,0):OFFSET($D$89,-3,0))*IF(ISNUMBER(OFFSET(X$11,5,0):OFFSET(X$89,-1,0)),OFFSET(X$11,5,0):OFFSET(X$89,-1,0),0))</f>
        <v>0</v>
      </c>
      <c r="Y98" s="240" cm="1">
        <f t="array" aca="1" ref="Y98" ca="1">IF(Y$12=1,0,OFFSET(Y98,0,-1))+SUM((OFFSET($D$13,1,0):OFFSET($D$89,-3,0))*IF(ISNUMBER(OFFSET(Y$11,5,0):OFFSET(Y$89,-1,0)),OFFSET(Y$11,5,0):OFFSET(Y$89,-1,0),0))</f>
        <v>0</v>
      </c>
      <c r="Z98" s="240" cm="1">
        <f t="array" aca="1" ref="Z98" ca="1">IF(Z$12=1,0,OFFSET(Z98,0,-1))+SUM((OFFSET($D$13,1,0):OFFSET($D$89,-3,0))*IF(ISNUMBER(OFFSET(Z$11,5,0):OFFSET(Z$89,-1,0)),OFFSET(Z$11,5,0):OFFSET(Z$89,-1,0),0))</f>
        <v>0</v>
      </c>
      <c r="AA98" s="240" cm="1">
        <f t="array" aca="1" ref="AA98" ca="1">IF(AA$12=1,0,OFFSET(AA98,0,-1))+SUM((OFFSET($D$13,1,0):OFFSET($D$89,-3,0))*IF(ISNUMBER(OFFSET(AA$11,5,0):OFFSET(AA$89,-1,0)),OFFSET(AA$11,5,0):OFFSET(AA$89,-1,0),0))</f>
        <v>0</v>
      </c>
      <c r="AB98" s="240" cm="1">
        <f t="array" aca="1" ref="AB98" ca="1">IF(AB$12=1,0,OFFSET(AB98,0,-1))+SUM((OFFSET($D$13,1,0):OFFSET($D$89,-3,0))*IF(ISNUMBER(OFFSET(AB$11,5,0):OFFSET(AB$89,-1,0)),OFFSET(AB$11,5,0):OFFSET(AB$89,-1,0),0))</f>
        <v>0</v>
      </c>
      <c r="AC98" s="240" cm="1">
        <f t="array" aca="1" ref="AC98" ca="1">IF(AC$12=1,0,OFFSET(AC98,0,-1))+SUM((OFFSET($D$13,1,0):OFFSET($D$89,-3,0))*IF(ISNUMBER(OFFSET(AC$11,5,0):OFFSET(AC$89,-1,0)),OFFSET(AC$11,5,0):OFFSET(AC$89,-1,0),0))</f>
        <v>0</v>
      </c>
      <c r="AD98" s="240" cm="1">
        <f t="array" aca="1" ref="AD98" ca="1">IF(AD$12=1,0,OFFSET(AD98,0,-1))+SUM((OFFSET($D$13,1,0):OFFSET($D$89,-3,0))*IF(ISNUMBER(OFFSET(AD$11,5,0):OFFSET(AD$89,-1,0)),OFFSET(AD$11,5,0):OFFSET(AD$89,-1,0),0))</f>
        <v>0</v>
      </c>
      <c r="AE98" s="240" cm="1">
        <f t="array" aca="1" ref="AE98" ca="1">IF(AE$12=1,0,OFFSET(AE98,0,-1))+SUM((OFFSET($D$13,1,0):OFFSET($D$89,-3,0))*IF(ISNUMBER(OFFSET(AE$11,5,0):OFFSET(AE$89,-1,0)),OFFSET(AE$11,5,0):OFFSET(AE$89,-1,0),0))</f>
        <v>0</v>
      </c>
      <c r="AF98" s="240" cm="1">
        <f t="array" aca="1" ref="AF98" ca="1">IF(AF$12=1,0,OFFSET(AF98,0,-1))+SUM((OFFSET($D$13,1,0):OFFSET($D$89,-3,0))*IF(ISNUMBER(OFFSET(AF$11,5,0):OFFSET(AF$89,-1,0)),OFFSET(AF$11,5,0):OFFSET(AF$89,-1,0),0))</f>
        <v>0</v>
      </c>
      <c r="AG98" s="535"/>
    </row>
    <row r="99" spans="4:33" ht="13.5" thickBot="1" x14ac:dyDescent="0.25">
      <c r="D99" s="534"/>
      <c r="E99" s="532">
        <f ca="1">SUMIF($S$12:$S$89,"1$",E12:E89)+IF(E$12&gt;1,OFFSET(E99,0,-1),0)</f>
        <v>0</v>
      </c>
      <c r="G99" s="186" t="s">
        <v>536</v>
      </c>
      <c r="H99" s="523" t="str" cm="1">
        <f t="array" ref="H99">IF(ACOMPANHAMENTO="BM","Selecione o Macrosserviço da Administração Local:","")</f>
        <v>Selecione o Macrosserviço da Administração Local:</v>
      </c>
      <c r="I99"/>
      <c r="L99" s="237"/>
      <c r="S99" s="238"/>
      <c r="T99" s="527" t="s">
        <v>804</v>
      </c>
      <c r="U99" s="532">
        <f t="shared" ref="U99:AF99" ca="1" si="153">SUMIF($S$12:$S$89,"1$",U12:U89)+IF(U$12&gt;1,OFFSET(U99,0,-1),0)</f>
        <v>0</v>
      </c>
      <c r="V99" s="532">
        <f t="shared" ca="1" si="153"/>
        <v>0</v>
      </c>
      <c r="W99" s="532">
        <f t="shared" ca="1" si="153"/>
        <v>0</v>
      </c>
      <c r="X99" s="532">
        <f t="shared" ca="1" si="153"/>
        <v>0</v>
      </c>
      <c r="Y99" s="532">
        <f t="shared" ca="1" si="153"/>
        <v>0</v>
      </c>
      <c r="Z99" s="532">
        <f t="shared" ca="1" si="153"/>
        <v>0</v>
      </c>
      <c r="AA99" s="532">
        <f t="shared" ca="1" si="153"/>
        <v>0</v>
      </c>
      <c r="AB99" s="532">
        <f t="shared" ca="1" si="153"/>
        <v>0</v>
      </c>
      <c r="AC99" s="532">
        <f t="shared" ca="1" si="153"/>
        <v>0</v>
      </c>
      <c r="AD99" s="532">
        <f t="shared" ca="1" si="153"/>
        <v>0</v>
      </c>
      <c r="AE99" s="532">
        <f t="shared" ca="1" si="153"/>
        <v>0</v>
      </c>
      <c r="AF99" s="541">
        <f t="shared" ca="1" si="153"/>
        <v>0</v>
      </c>
      <c r="AG99" s="535"/>
    </row>
    <row r="100" spans="4:33" ht="13.5" thickBot="1" x14ac:dyDescent="0.25">
      <c r="D100" s="534"/>
      <c r="E100" s="533" t="str" cm="1">
        <f t="array" aca="1" ref="E100" ca="1">IF($F$100="","",
  IF(ACOMPANHAMENTO="PLE",
     IF(AUTOEVENTO="Manual",
         IF(AdmLocal="Automática",
              E95,
              SUMIF(OFFSET(CRONOPLE!$F$14,CRONOPLE!$A$8+1,1,1,OFFSET(CRONOPLE!$AF$12,0,-1)),"&lt;="&amp;E$12,OFFSET(EVENTOS!$G$14,CRONOPLE!$A$8+1,1,1,OFFSET(CRONOPLE!$AF$12,0,-1)))/OFFSET(EVENTOS!$G$14,CRONOPLE!$A$8+1,-1)),
         SUM(OFFSET($T$13,$F$100+2,1,1,E$12))/OFFSET($S$13,$F$100,0)),
     IF(ACOMPANHAMENTO="BM",SUM(OFFSET($T$13,$F$100+2,1,1,E$12))/OFFSET($S$13,$F$100,0),"")))</f>
        <v/>
      </c>
      <c r="F100" s="186" t="str" cm="1">
        <f t="array" ref="F100">IF(ACOMPANHAMENTO="PLE",
    IF(AUTOEVENTO="Manual",
        IF(AdmLocal="Automática",1,IF(CRONOPLE!$D$8&lt;&gt;"","",MATCH(Import.EventoAdmLocal,EVENTOS!$B$15:$B$65,0))),
        IF(CRONOPLE!$D$8&lt;&gt;"","",MATCH(CRONOPLE!$A$10,CRONO!$F$13:$F$89,0)-1)),
    IF($H$101&lt;&gt;"","",MATCH(Import.MacrosserviçoAdmLocal,$A$13:$A$89,0)-1))</f>
        <v/>
      </c>
      <c r="G100" s="186" t="s">
        <v>536</v>
      </c>
      <c r="H100" s="721"/>
      <c r="I100" s="759"/>
      <c r="J100" s="722"/>
      <c r="L100" s="243"/>
      <c r="S100" s="526"/>
      <c r="T100" s="528" t="s">
        <v>806</v>
      </c>
      <c r="U100" s="533" t="str" cm="1">
        <f t="array" aca="1" ref="U100" ca="1">IF($F$100="","",
  IF(ACOMPANHAMENTO="PLE",
     IF(AUTOEVENTO="Manual",
         IF(AdmLocal="Automática",
              U95,
              SUMIF(OFFSET(CRONOPLE!$F$14,CRONOPLE!$A$8+1,1,1,OFFSET(CRONOPLE!$AF$12,0,-1)),"&lt;="&amp;U$12,OFFSET(EVENTOS!$G$14,CRONOPLE!$A$8+1,1,1,OFFSET(CRONOPLE!$AF$12,0,-1)))/OFFSET(EVENTOS!$G$14,CRONOPLE!$A$8+1,-1)),
         SUM(OFFSET($T$13,$F$100+2,1,1,U$12))/OFFSET($S$13,$F$100,0)),
     IF(ACOMPANHAMENTO="BM",SUM(OFFSET($T$13,$F$100+2,1,1,U$12))/OFFSET($S$13,$F$100,0),"")))</f>
        <v/>
      </c>
      <c r="V100" s="533" t="str" cm="1">
        <f t="array" aca="1" ref="V100" ca="1">IF($F$100="","",
  IF(ACOMPANHAMENTO="PLE",
     IF(AUTOEVENTO="Manual",
         IF(AdmLocal="Automática",
              V95,
              SUMIF(OFFSET(CRONOPLE!$F$14,CRONOPLE!$A$8+1,1,1,OFFSET(CRONOPLE!$AF$12,0,-1)),"&lt;="&amp;V$12,OFFSET(EVENTOS!$G$14,CRONOPLE!$A$8+1,1,1,OFFSET(CRONOPLE!$AF$12,0,-1)))/OFFSET(EVENTOS!$G$14,CRONOPLE!$A$8+1,-1)),
         SUM(OFFSET($T$13,$F$100+2,1,1,V$12))/OFFSET($S$13,$F$100,0)),
     IF(ACOMPANHAMENTO="BM",SUM(OFFSET($T$13,$F$100+2,1,1,V$12))/OFFSET($S$13,$F$100,0),"")))</f>
        <v/>
      </c>
      <c r="W100" s="533" t="str" cm="1">
        <f t="array" aca="1" ref="W100" ca="1">IF($F$100="","",
  IF(ACOMPANHAMENTO="PLE",
     IF(AUTOEVENTO="Manual",
         IF(AdmLocal="Automática",
              W95,
              SUMIF(OFFSET(CRONOPLE!$F$14,CRONOPLE!$A$8+1,1,1,OFFSET(CRONOPLE!$AF$12,0,-1)),"&lt;="&amp;W$12,OFFSET(EVENTOS!$G$14,CRONOPLE!$A$8+1,1,1,OFFSET(CRONOPLE!$AF$12,0,-1)))/OFFSET(EVENTOS!$G$14,CRONOPLE!$A$8+1,-1)),
         SUM(OFFSET($T$13,$F$100+2,1,1,W$12))/OFFSET($S$13,$F$100,0)),
     IF(ACOMPANHAMENTO="BM",SUM(OFFSET($T$13,$F$100+2,1,1,W$12))/OFFSET($S$13,$F$100,0),"")))</f>
        <v/>
      </c>
      <c r="X100" s="533" t="str" cm="1">
        <f t="array" aca="1" ref="X100" ca="1">IF($F$100="","",
  IF(ACOMPANHAMENTO="PLE",
     IF(AUTOEVENTO="Manual",
         IF(AdmLocal="Automática",
              X95,
              SUMIF(OFFSET(CRONOPLE!$F$14,CRONOPLE!$A$8+1,1,1,OFFSET(CRONOPLE!$AF$12,0,-1)),"&lt;="&amp;X$12,OFFSET(EVENTOS!$G$14,CRONOPLE!$A$8+1,1,1,OFFSET(CRONOPLE!$AF$12,0,-1)))/OFFSET(EVENTOS!$G$14,CRONOPLE!$A$8+1,-1)),
         SUM(OFFSET($T$13,$F$100+2,1,1,X$12))/OFFSET($S$13,$F$100,0)),
     IF(ACOMPANHAMENTO="BM",SUM(OFFSET($T$13,$F$100+2,1,1,X$12))/OFFSET($S$13,$F$100,0),"")))</f>
        <v/>
      </c>
      <c r="Y100" s="533" t="str" cm="1">
        <f t="array" aca="1" ref="Y100" ca="1">IF($F$100="","",
  IF(ACOMPANHAMENTO="PLE",
     IF(AUTOEVENTO="Manual",
         IF(AdmLocal="Automática",
              Y95,
              SUMIF(OFFSET(CRONOPLE!$F$14,CRONOPLE!$A$8+1,1,1,OFFSET(CRONOPLE!$AF$12,0,-1)),"&lt;="&amp;Y$12,OFFSET(EVENTOS!$G$14,CRONOPLE!$A$8+1,1,1,OFFSET(CRONOPLE!$AF$12,0,-1)))/OFFSET(EVENTOS!$G$14,CRONOPLE!$A$8+1,-1)),
         SUM(OFFSET($T$13,$F$100+2,1,1,Y$12))/OFFSET($S$13,$F$100,0)),
     IF(ACOMPANHAMENTO="BM",SUM(OFFSET($T$13,$F$100+2,1,1,Y$12))/OFFSET($S$13,$F$100,0),"")))</f>
        <v/>
      </c>
      <c r="Z100" s="533" t="str" cm="1">
        <f t="array" aca="1" ref="Z100" ca="1">IF($F$100="","",
  IF(ACOMPANHAMENTO="PLE",
     IF(AUTOEVENTO="Manual",
         IF(AdmLocal="Automática",
              Z95,
              SUMIF(OFFSET(CRONOPLE!$F$14,CRONOPLE!$A$8+1,1,1,OFFSET(CRONOPLE!$AF$12,0,-1)),"&lt;="&amp;Z$12,OFFSET(EVENTOS!$G$14,CRONOPLE!$A$8+1,1,1,OFFSET(CRONOPLE!$AF$12,0,-1)))/OFFSET(EVENTOS!$G$14,CRONOPLE!$A$8+1,-1)),
         SUM(OFFSET($T$13,$F$100+2,1,1,Z$12))/OFFSET($S$13,$F$100,0)),
     IF(ACOMPANHAMENTO="BM",SUM(OFFSET($T$13,$F$100+2,1,1,Z$12))/OFFSET($S$13,$F$100,0),"")))</f>
        <v/>
      </c>
      <c r="AA100" s="533" t="str" cm="1">
        <f t="array" aca="1" ref="AA100" ca="1">IF($F$100="","",
  IF(ACOMPANHAMENTO="PLE",
     IF(AUTOEVENTO="Manual",
         IF(AdmLocal="Automática",
              AA95,
              SUMIF(OFFSET(CRONOPLE!$F$14,CRONOPLE!$A$8+1,1,1,OFFSET(CRONOPLE!$AF$12,0,-1)),"&lt;="&amp;AA$12,OFFSET(EVENTOS!$G$14,CRONOPLE!$A$8+1,1,1,OFFSET(CRONOPLE!$AF$12,0,-1)))/OFFSET(EVENTOS!$G$14,CRONOPLE!$A$8+1,-1)),
         SUM(OFFSET($T$13,$F$100+2,1,1,AA$12))/OFFSET($S$13,$F$100,0)),
     IF(ACOMPANHAMENTO="BM",SUM(OFFSET($T$13,$F$100+2,1,1,AA$12))/OFFSET($S$13,$F$100,0),"")))</f>
        <v/>
      </c>
      <c r="AB100" s="533" t="str" cm="1">
        <f t="array" aca="1" ref="AB100" ca="1">IF($F$100="","",
  IF(ACOMPANHAMENTO="PLE",
     IF(AUTOEVENTO="Manual",
         IF(AdmLocal="Automática",
              AB95,
              SUMIF(OFFSET(CRONOPLE!$F$14,CRONOPLE!$A$8+1,1,1,OFFSET(CRONOPLE!$AF$12,0,-1)),"&lt;="&amp;AB$12,OFFSET(EVENTOS!$G$14,CRONOPLE!$A$8+1,1,1,OFFSET(CRONOPLE!$AF$12,0,-1)))/OFFSET(EVENTOS!$G$14,CRONOPLE!$A$8+1,-1)),
         SUM(OFFSET($T$13,$F$100+2,1,1,AB$12))/OFFSET($S$13,$F$100,0)),
     IF(ACOMPANHAMENTO="BM",SUM(OFFSET($T$13,$F$100+2,1,1,AB$12))/OFFSET($S$13,$F$100,0),"")))</f>
        <v/>
      </c>
      <c r="AC100" s="533" t="str" cm="1">
        <f t="array" aca="1" ref="AC100" ca="1">IF($F$100="","",
  IF(ACOMPANHAMENTO="PLE",
     IF(AUTOEVENTO="Manual",
         IF(AdmLocal="Automática",
              AC95,
              SUMIF(OFFSET(CRONOPLE!$F$14,CRONOPLE!$A$8+1,1,1,OFFSET(CRONOPLE!$AF$12,0,-1)),"&lt;="&amp;AC$12,OFFSET(EVENTOS!$G$14,CRONOPLE!$A$8+1,1,1,OFFSET(CRONOPLE!$AF$12,0,-1)))/OFFSET(EVENTOS!$G$14,CRONOPLE!$A$8+1,-1)),
         SUM(OFFSET($T$13,$F$100+2,1,1,AC$12))/OFFSET($S$13,$F$100,0)),
     IF(ACOMPANHAMENTO="BM",SUM(OFFSET($T$13,$F$100+2,1,1,AC$12))/OFFSET($S$13,$F$100,0),"")))</f>
        <v/>
      </c>
      <c r="AD100" s="533" t="str" cm="1">
        <f t="array" aca="1" ref="AD100" ca="1">IF($F$100="","",
  IF(ACOMPANHAMENTO="PLE",
     IF(AUTOEVENTO="Manual",
         IF(AdmLocal="Automática",
              AD95,
              SUMIF(OFFSET(CRONOPLE!$F$14,CRONOPLE!$A$8+1,1,1,OFFSET(CRONOPLE!$AF$12,0,-1)),"&lt;="&amp;AD$12,OFFSET(EVENTOS!$G$14,CRONOPLE!$A$8+1,1,1,OFFSET(CRONOPLE!$AF$12,0,-1)))/OFFSET(EVENTOS!$G$14,CRONOPLE!$A$8+1,-1)),
         SUM(OFFSET($T$13,$F$100+2,1,1,AD$12))/OFFSET($S$13,$F$100,0)),
     IF(ACOMPANHAMENTO="BM",SUM(OFFSET($T$13,$F$100+2,1,1,AD$12))/OFFSET($S$13,$F$100,0),"")))</f>
        <v/>
      </c>
      <c r="AE100" s="533" t="str" cm="1">
        <f t="array" aca="1" ref="AE100" ca="1">IF($F$100="","",
  IF(ACOMPANHAMENTO="PLE",
     IF(AUTOEVENTO="Manual",
         IF(AdmLocal="Automática",
              AE95,
              SUMIF(OFFSET(CRONOPLE!$F$14,CRONOPLE!$A$8+1,1,1,OFFSET(CRONOPLE!$AF$12,0,-1)),"&lt;="&amp;AE$12,OFFSET(EVENTOS!$G$14,CRONOPLE!$A$8+1,1,1,OFFSET(CRONOPLE!$AF$12,0,-1)))/OFFSET(EVENTOS!$G$14,CRONOPLE!$A$8+1,-1)),
         SUM(OFFSET($T$13,$F$100+2,1,1,AE$12))/OFFSET($S$13,$F$100,0)),
     IF(ACOMPANHAMENTO="BM",SUM(OFFSET($T$13,$F$100+2,1,1,AE$12))/OFFSET($S$13,$F$100,0),"")))</f>
        <v/>
      </c>
      <c r="AF100" s="542" t="str" cm="1">
        <f t="array" aca="1" ref="AF100" ca="1">IF($F$100="","",
  IF(ACOMPANHAMENTO="PLE",
     IF(AUTOEVENTO="Manual",
         IF(AdmLocal="Automática",
              AF95,
              SUMIF(OFFSET(CRONOPLE!$F$14,CRONOPLE!$A$8+1,1,1,OFFSET(CRONOPLE!$AF$12,0,-1)),"&lt;="&amp;AF$12,OFFSET(EVENTOS!$G$14,CRONOPLE!$A$8+1,1,1,OFFSET(CRONOPLE!$AF$12,0,-1)))/OFFSET(EVENTOS!$G$14,CRONOPLE!$A$8+1,-1)),
         SUM(OFFSET($T$13,$F$100+2,1,1,AF$12))/OFFSET($S$13,$F$100,0)),
     IF(ACOMPANHAMENTO="BM",SUM(OFFSET($T$13,$F$100+2,1,1,AF$12))/OFFSET($S$13,$F$100,0),"")))</f>
        <v/>
      </c>
      <c r="AG100" s="535"/>
    </row>
    <row r="101" spans="4:33" ht="17.100000000000001" customHeight="1" x14ac:dyDescent="0.25">
      <c r="G101" s="186" t="s">
        <v>536</v>
      </c>
      <c r="H101" s="573" t="str" cm="1">
        <f t="array" ref="H101">IF(AND(ACOMPANHAMENTO="BM",$H$100=""),"↑ Não foi indicado o Macrosserviço de Administração Local","")</f>
        <v>↑ Não foi indicado o Macrosserviço de Administração Local</v>
      </c>
      <c r="T101" s="586" t="str">
        <f ca="1">IF(COUNTIF(U101:AG101,"%Adm&gt;%Global")&gt;0,"Verificar proporcionalidade da Administração Local","")</f>
        <v/>
      </c>
      <c r="U101" s="536" t="str">
        <f ca="1">IF(U100="","",IF(ROUND(U100,4)&gt;ROUND(U95,4),"%Adm&gt;%Global",""))</f>
        <v/>
      </c>
      <c r="V101" s="536" t="str">
        <f t="shared" ref="V101:AG101" ca="1" si="154">IF(V100="","",IF(ROUND(V100,4)&gt;ROUND(V95,4),"%Adm&gt;%Global",""))</f>
        <v/>
      </c>
      <c r="W101" s="536" t="str">
        <f t="shared" ca="1" si="154"/>
        <v/>
      </c>
      <c r="X101" s="536" t="str">
        <f t="shared" ca="1" si="154"/>
        <v/>
      </c>
      <c r="Y101" s="536" t="str">
        <f t="shared" ca="1" si="154"/>
        <v/>
      </c>
      <c r="Z101" s="536" t="str">
        <f t="shared" ca="1" si="154"/>
        <v/>
      </c>
      <c r="AA101" s="536" t="str">
        <f t="shared" ca="1" si="154"/>
        <v/>
      </c>
      <c r="AB101" s="536" t="str">
        <f t="shared" ca="1" si="154"/>
        <v/>
      </c>
      <c r="AC101" s="536" t="str">
        <f t="shared" ca="1" si="154"/>
        <v/>
      </c>
      <c r="AD101" s="536" t="str">
        <f t="shared" ca="1" si="154"/>
        <v/>
      </c>
      <c r="AE101" s="536" t="str">
        <f t="shared" ca="1" si="154"/>
        <v/>
      </c>
      <c r="AF101" s="536" t="str">
        <f t="shared" ca="1" si="154"/>
        <v/>
      </c>
      <c r="AG101" s="536" t="str">
        <f t="shared" si="154"/>
        <v/>
      </c>
    </row>
    <row r="102" spans="4:33" ht="32.25" customHeight="1" x14ac:dyDescent="0.2">
      <c r="G102" s="186" t="s">
        <v>536</v>
      </c>
      <c r="I102" s="709" t="str">
        <f>Import.Município</f>
        <v>Caçador/SC</v>
      </c>
      <c r="J102" s="709"/>
      <c r="K102" s="709"/>
      <c r="L102" s="709"/>
      <c r="M102" s="709"/>
      <c r="N102" s="709"/>
      <c r="O102" s="709"/>
      <c r="P102" s="709"/>
      <c r="Q102" s="709"/>
      <c r="R102" s="709"/>
      <c r="S102" s="709"/>
      <c r="AA102" s="461"/>
      <c r="AB102" s="461"/>
      <c r="AC102" s="461"/>
      <c r="AD102" s="461"/>
      <c r="AE102" s="463"/>
      <c r="AF102" s="463"/>
    </row>
    <row r="103" spans="4:33" x14ac:dyDescent="0.2">
      <c r="G103" s="186" t="s">
        <v>536</v>
      </c>
      <c r="I103" s="9" t="s">
        <v>694</v>
      </c>
      <c r="J103"/>
      <c r="K103"/>
      <c r="L103"/>
      <c r="AA103" s="182" t="s">
        <v>697</v>
      </c>
      <c r="AB103" s="182"/>
      <c r="AC103" s="182"/>
      <c r="AD103" s="182"/>
      <c r="AE103" s="186"/>
      <c r="AF103" s="186"/>
    </row>
    <row r="104" spans="4:33" x14ac:dyDescent="0.2">
      <c r="G104" s="186" t="s">
        <v>536</v>
      </c>
      <c r="I104"/>
      <c r="J104"/>
      <c r="K104"/>
      <c r="L104"/>
      <c r="AA104" s="399" t="str">
        <f t="array" aca="1" ref="AA104:AA106" ca="1">OFFSET(Import.RespOrçamento,0,-1) &amp; " " &amp; Import.RespOrçamento</f>
        <v xml:space="preserve">Nome: </v>
      </c>
      <c r="AC104"/>
      <c r="AD104" s="79"/>
      <c r="AE104" s="186"/>
      <c r="AF104" s="186"/>
    </row>
    <row r="105" spans="4:33" x14ac:dyDescent="0.2">
      <c r="G105" s="186" t="s">
        <v>536</v>
      </c>
      <c r="I105" s="758">
        <f>DADOS!$C$25</f>
        <v>0</v>
      </c>
      <c r="J105" s="758"/>
      <c r="K105" s="758"/>
      <c r="L105" s="181"/>
      <c r="M105" s="246"/>
      <c r="N105" s="246"/>
      <c r="O105" s="246"/>
      <c r="P105" s="246"/>
      <c r="Q105" s="246"/>
      <c r="R105" s="246"/>
      <c r="S105" s="247"/>
      <c r="AA105" s="399" t="str">
        <f ca="1"/>
        <v xml:space="preserve">CREA/CAU: </v>
      </c>
      <c r="AC105" s="79"/>
      <c r="AD105" s="79"/>
      <c r="AE105" s="186"/>
      <c r="AF105" s="186"/>
    </row>
    <row r="106" spans="4:33" x14ac:dyDescent="0.2">
      <c r="G106" s="186" t="s">
        <v>536</v>
      </c>
      <c r="I106" s="9" t="s">
        <v>695</v>
      </c>
      <c r="J106"/>
      <c r="K106"/>
      <c r="L106"/>
      <c r="AA106" s="399" t="str">
        <f ca="1"/>
        <v xml:space="preserve">ART/RRT: </v>
      </c>
      <c r="AC106" s="79"/>
      <c r="AD106" s="79"/>
      <c r="AE106" s="186"/>
      <c r="AF106" s="186"/>
    </row>
  </sheetData>
  <sheetProtection algorithmName="SHA-512" hashValue="5VgWuKfbly+qOkyE5oRowcFQS6Z23KdJG43yrJRUkHK/V9t1xQubfIpnoDCIxGkrAnAqk4EhxbTr6LeqA7E2ZA==" saltValue="tipA/Fq1zEUQgoHVPCTxuQ==" spinCount="100000" sheet="1" objects="1" scenarios="1" autoFilter="0"/>
  <autoFilter ref="G13:G106" xr:uid="{00000000-0009-0000-0000-000007000000}"/>
  <mergeCells count="18">
    <mergeCell ref="T12:T13"/>
    <mergeCell ref="L8:T8"/>
    <mergeCell ref="U8:Y8"/>
    <mergeCell ref="K10:T11"/>
    <mergeCell ref="I90:K91"/>
    <mergeCell ref="H12:H13"/>
    <mergeCell ref="I12:I13"/>
    <mergeCell ref="J12:J13"/>
    <mergeCell ref="I105:K105"/>
    <mergeCell ref="I102:S102"/>
    <mergeCell ref="H100:J100"/>
    <mergeCell ref="S12:S13"/>
    <mergeCell ref="G8:G11"/>
    <mergeCell ref="I8:J8"/>
    <mergeCell ref="H7:H9"/>
    <mergeCell ref="AE4:AF4"/>
    <mergeCell ref="AE5:AF5"/>
    <mergeCell ref="Z8:AE8"/>
  </mergeCells>
  <phoneticPr fontId="38" type="noConversion"/>
  <conditionalFormatting sqref="U12:U13">
    <cfRule type="expression" dxfId="453" priority="11133" stopIfTrue="1">
      <formula>NOT(ISNUMBER(T$12))</formula>
    </cfRule>
  </conditionalFormatting>
  <conditionalFormatting sqref="E2 U2:AF2">
    <cfRule type="expression" dxfId="452" priority="11134" stopIfTrue="1">
      <formula>AND(ISNUMBER($H1),$H1&lt;&gt;0)</formula>
    </cfRule>
  </conditionalFormatting>
  <conditionalFormatting sqref="I2:S2">
    <cfRule type="expression" dxfId="451" priority="11135" stopIfTrue="1">
      <formula>$M1=2</formula>
    </cfRule>
    <cfRule type="expression" dxfId="450" priority="11136" stopIfTrue="1">
      <formula>AND($M1=1,$S1&lt;&gt;"")</formula>
    </cfRule>
  </conditionalFormatting>
  <conditionalFormatting sqref="I1:S1">
    <cfRule type="expression" dxfId="449" priority="11137" stopIfTrue="1">
      <formula>$M1=2</formula>
    </cfRule>
    <cfRule type="expression" dxfId="448" priority="11138" stopIfTrue="1">
      <formula>AND($M1=1,$S1&lt;&gt;"")</formula>
    </cfRule>
  </conditionalFormatting>
  <conditionalFormatting sqref="E90 E92 E94:E95 E97 E99 U99:AF99 U90:AF90 U92:AF92 U94:AF95 U97:AF97">
    <cfRule type="expression" dxfId="447" priority="11139" stopIfTrue="1">
      <formula>D$95=1</formula>
    </cfRule>
  </conditionalFormatting>
  <conditionalFormatting sqref="E91 E93 E96 E98 E100 U100:AF100 U91:AF91 U93:AF93 U96:AF96 U98:AF98">
    <cfRule type="expression" dxfId="446" priority="11140" stopIfTrue="1">
      <formula>D$95=1</formula>
    </cfRule>
  </conditionalFormatting>
  <conditionalFormatting sqref="AF7:AF8">
    <cfRule type="expression" dxfId="445" priority="11144" stopIfTrue="1">
      <formula>OR(TIPOORCAMENTO&lt;&gt;"Licitado",QCI.ExisteManual)</formula>
    </cfRule>
  </conditionalFormatting>
  <conditionalFormatting sqref="Z7:AE8">
    <cfRule type="expression" dxfId="444" priority="11132" stopIfTrue="1">
      <formula>QCI.ExisteManual</formula>
    </cfRule>
  </conditionalFormatting>
  <conditionalFormatting sqref="H2">
    <cfRule type="expression" dxfId="443" priority="7278">
      <formula>AND(H1&lt;&gt;0,ISNUMBER(H1))</formula>
    </cfRule>
  </conditionalFormatting>
  <conditionalFormatting sqref="E100 U100:AF100">
    <cfRule type="expression" dxfId="442" priority="7269">
      <formula>ROUND(E100,4)&gt;ROUND(E95,4)</formula>
    </cfRule>
  </conditionalFormatting>
  <conditionalFormatting sqref="H1">
    <cfRule type="expression" dxfId="441" priority="7268">
      <formula>AND(H1&lt;&gt;0,ISNUMBER(H1))</formula>
    </cfRule>
  </conditionalFormatting>
  <conditionalFormatting sqref="H100:J100">
    <cfRule type="expression" dxfId="440" priority="7267">
      <formula>$H$99=""</formula>
    </cfRule>
  </conditionalFormatting>
  <conditionalFormatting sqref="E100">
    <cfRule type="expression" dxfId="439" priority="7260" stopIfTrue="1">
      <formula>D$95=1</formula>
    </cfRule>
  </conditionalFormatting>
  <conditionalFormatting sqref="E1">
    <cfRule type="expression" dxfId="438" priority="7257" stopIfTrue="1">
      <formula>E1&lt;&gt;0</formula>
    </cfRule>
  </conditionalFormatting>
  <conditionalFormatting sqref="E2">
    <cfRule type="expression" dxfId="437" priority="7256">
      <formula>AND(_xlfn.SINGLE(ACOMPANHAMENTO)="BM",E2&gt;ROUND(E2,4))</formula>
    </cfRule>
  </conditionalFormatting>
  <conditionalFormatting sqref="E100">
    <cfRule type="expression" dxfId="436" priority="7255" stopIfTrue="1">
      <formula>D$95=1</formula>
    </cfRule>
  </conditionalFormatting>
  <conditionalFormatting sqref="U1:AF1">
    <cfRule type="expression" dxfId="435" priority="7254" stopIfTrue="1">
      <formula>U1&lt;&gt;0</formula>
    </cfRule>
  </conditionalFormatting>
  <conditionalFormatting sqref="U2:AF2">
    <cfRule type="expression" dxfId="434" priority="7253">
      <formula>AND(_xlfn.SINGLE(ACOMPANHAMENTO)="BM",U2&gt;ROUND(U2,4))</formula>
    </cfRule>
  </conditionalFormatting>
  <conditionalFormatting sqref="E15 E18 E21 U15:AF15 U18:AF18 U21:AF21">
    <cfRule type="expression" dxfId="433" priority="95" stopIfTrue="1">
      <formula>AND(ISNUMBER($H14),$H14&lt;&gt;0)</formula>
    </cfRule>
  </conditionalFormatting>
  <conditionalFormatting sqref="I15:S15 I18:S18 I21:S21">
    <cfRule type="expression" dxfId="432" priority="96" stopIfTrue="1">
      <formula>$M14=2</formula>
    </cfRule>
    <cfRule type="expression" dxfId="431" priority="97" stopIfTrue="1">
      <formula>AND($M14=1,$S14&lt;&gt;"")</formula>
    </cfRule>
  </conditionalFormatting>
  <conditionalFormatting sqref="I14:S14 I17:S17 I20:S20">
    <cfRule type="expression" dxfId="430" priority="98" stopIfTrue="1">
      <formula>$M14=2</formula>
    </cfRule>
    <cfRule type="expression" dxfId="429" priority="99" stopIfTrue="1">
      <formula>AND($M14=1,$S14&lt;&gt;"")</formula>
    </cfRule>
  </conditionalFormatting>
  <conditionalFormatting sqref="H15 H18 H21">
    <cfRule type="expression" dxfId="428" priority="94">
      <formula>AND(H14&lt;&gt;0,ISNUMBER(H14))</formula>
    </cfRule>
  </conditionalFormatting>
  <conditionalFormatting sqref="H14 H17 H20">
    <cfRule type="expression" dxfId="427" priority="93">
      <formula>AND(H14&lt;&gt;0,ISNUMBER(H14))</formula>
    </cfRule>
  </conditionalFormatting>
  <conditionalFormatting sqref="E14 E17 E20">
    <cfRule type="expression" dxfId="426" priority="92" stopIfTrue="1">
      <formula>E14&lt;&gt;0</formula>
    </cfRule>
  </conditionalFormatting>
  <conditionalFormatting sqref="E15 E18 E21">
    <cfRule type="expression" dxfId="425" priority="91">
      <formula>AND(_xlfn.SINGLE(ACOMPANHAMENTO)="BM",E15&gt;ROUND(E15,4))</formula>
    </cfRule>
  </conditionalFormatting>
  <conditionalFormatting sqref="U14:AF14 U17:AF17 U20:AF20">
    <cfRule type="expression" dxfId="424" priority="90" stopIfTrue="1">
      <formula>U14&lt;&gt;0</formula>
    </cfRule>
  </conditionalFormatting>
  <conditionalFormatting sqref="U15:AF15 U18:AF18 U21:AF21">
    <cfRule type="expression" dxfId="423" priority="89">
      <formula>AND(_xlfn.SINGLE(ACOMPANHAMENTO)="BM",U15&gt;ROUND(U15,4))</formula>
    </cfRule>
  </conditionalFormatting>
  <conditionalFormatting sqref="E24 E27 E30 U24:AF24 U27:AF27 U30:AF30">
    <cfRule type="expression" dxfId="422" priority="84" stopIfTrue="1">
      <formula>AND(ISNUMBER($H23),$H23&lt;&gt;0)</formula>
    </cfRule>
  </conditionalFormatting>
  <conditionalFormatting sqref="I24:S24 I27:S27 I30:S30">
    <cfRule type="expression" dxfId="421" priority="85" stopIfTrue="1">
      <formula>$M23=2</formula>
    </cfRule>
    <cfRule type="expression" dxfId="420" priority="86" stopIfTrue="1">
      <formula>AND($M23=1,$S23&lt;&gt;"")</formula>
    </cfRule>
  </conditionalFormatting>
  <conditionalFormatting sqref="I23:S23 I26:S26 I29:S29">
    <cfRule type="expression" dxfId="419" priority="87" stopIfTrue="1">
      <formula>$M23=2</formula>
    </cfRule>
    <cfRule type="expression" dxfId="418" priority="88" stopIfTrue="1">
      <formula>AND($M23=1,$S23&lt;&gt;"")</formula>
    </cfRule>
  </conditionalFormatting>
  <conditionalFormatting sqref="H24 H27 H30">
    <cfRule type="expression" dxfId="417" priority="83">
      <formula>AND(H23&lt;&gt;0,ISNUMBER(H23))</formula>
    </cfRule>
  </conditionalFormatting>
  <conditionalFormatting sqref="H23 H26 H29">
    <cfRule type="expression" dxfId="416" priority="82">
      <formula>AND(H23&lt;&gt;0,ISNUMBER(H23))</formula>
    </cfRule>
  </conditionalFormatting>
  <conditionalFormatting sqref="E23 E26 E29">
    <cfRule type="expression" dxfId="415" priority="81" stopIfTrue="1">
      <formula>E23&lt;&gt;0</formula>
    </cfRule>
  </conditionalFormatting>
  <conditionalFormatting sqref="E24 E27 E30">
    <cfRule type="expression" dxfId="414" priority="80">
      <formula>AND(_xlfn.SINGLE(ACOMPANHAMENTO)="BM",E24&gt;ROUND(E24,4))</formula>
    </cfRule>
  </conditionalFormatting>
  <conditionalFormatting sqref="U23:AF23 U26:AF26 U29:AF29">
    <cfRule type="expression" dxfId="413" priority="79" stopIfTrue="1">
      <formula>U23&lt;&gt;0</formula>
    </cfRule>
  </conditionalFormatting>
  <conditionalFormatting sqref="U24:AF24 U27:AF27 U30:AF30">
    <cfRule type="expression" dxfId="412" priority="78">
      <formula>AND(_xlfn.SINGLE(ACOMPANHAMENTO)="BM",U24&gt;ROUND(U24,4))</formula>
    </cfRule>
  </conditionalFormatting>
  <conditionalFormatting sqref="E33 E36 E39 U33:AF33 U36:AF36 U39:AF39">
    <cfRule type="expression" dxfId="411" priority="73" stopIfTrue="1">
      <formula>AND(ISNUMBER($H32),$H32&lt;&gt;0)</formula>
    </cfRule>
  </conditionalFormatting>
  <conditionalFormatting sqref="I33:S33 I36:S36 I39:S39">
    <cfRule type="expression" dxfId="410" priority="74" stopIfTrue="1">
      <formula>$M32=2</formula>
    </cfRule>
    <cfRule type="expression" dxfId="409" priority="75" stopIfTrue="1">
      <formula>AND($M32=1,$S32&lt;&gt;"")</formula>
    </cfRule>
  </conditionalFormatting>
  <conditionalFormatting sqref="I32:S32 I35:S35 I38:S38">
    <cfRule type="expression" dxfId="408" priority="76" stopIfTrue="1">
      <formula>$M32=2</formula>
    </cfRule>
    <cfRule type="expression" dxfId="407" priority="77" stopIfTrue="1">
      <formula>AND($M32=1,$S32&lt;&gt;"")</formula>
    </cfRule>
  </conditionalFormatting>
  <conditionalFormatting sqref="H33 H36 H39">
    <cfRule type="expression" dxfId="406" priority="72">
      <formula>AND(H32&lt;&gt;0,ISNUMBER(H32))</formula>
    </cfRule>
  </conditionalFormatting>
  <conditionalFormatting sqref="H32 H35 H38">
    <cfRule type="expression" dxfId="405" priority="71">
      <formula>AND(H32&lt;&gt;0,ISNUMBER(H32))</formula>
    </cfRule>
  </conditionalFormatting>
  <conditionalFormatting sqref="E32 E35 E38">
    <cfRule type="expression" dxfId="404" priority="70" stopIfTrue="1">
      <formula>E32&lt;&gt;0</formula>
    </cfRule>
  </conditionalFormatting>
  <conditionalFormatting sqref="E33 E36 E39">
    <cfRule type="expression" dxfId="403" priority="69">
      <formula>AND(_xlfn.SINGLE(ACOMPANHAMENTO)="BM",E33&gt;ROUND(E33,4))</formula>
    </cfRule>
  </conditionalFormatting>
  <conditionalFormatting sqref="U32:AF32 U35:AF35 U38:AF38">
    <cfRule type="expression" dxfId="402" priority="68" stopIfTrue="1">
      <formula>U32&lt;&gt;0</formula>
    </cfRule>
  </conditionalFormatting>
  <conditionalFormatting sqref="U33:AF33 U36:AF36 U39:AF39">
    <cfRule type="expression" dxfId="401" priority="67">
      <formula>AND(_xlfn.SINGLE(ACOMPANHAMENTO)="BM",U33&gt;ROUND(U33,4))</formula>
    </cfRule>
  </conditionalFormatting>
  <conditionalFormatting sqref="E42 E45 E48 U42:AF42 U45:AF45 U48:AF48">
    <cfRule type="expression" dxfId="400" priority="62" stopIfTrue="1">
      <formula>AND(ISNUMBER($H41),$H41&lt;&gt;0)</formula>
    </cfRule>
  </conditionalFormatting>
  <conditionalFormatting sqref="I42:S42 I45:S45 I48:S48">
    <cfRule type="expression" dxfId="399" priority="63" stopIfTrue="1">
      <formula>$M41=2</formula>
    </cfRule>
    <cfRule type="expression" dxfId="398" priority="64" stopIfTrue="1">
      <formula>AND($M41=1,$S41&lt;&gt;"")</formula>
    </cfRule>
  </conditionalFormatting>
  <conditionalFormatting sqref="I41:S41 I44:S44 I47:S47">
    <cfRule type="expression" dxfId="397" priority="65" stopIfTrue="1">
      <formula>$M41=2</formula>
    </cfRule>
    <cfRule type="expression" dxfId="396" priority="66" stopIfTrue="1">
      <formula>AND($M41=1,$S41&lt;&gt;"")</formula>
    </cfRule>
  </conditionalFormatting>
  <conditionalFormatting sqref="H42 H45 H48">
    <cfRule type="expression" dxfId="395" priority="61">
      <formula>AND(H41&lt;&gt;0,ISNUMBER(H41))</formula>
    </cfRule>
  </conditionalFormatting>
  <conditionalFormatting sqref="H41 H44 H47">
    <cfRule type="expression" dxfId="394" priority="60">
      <formula>AND(H41&lt;&gt;0,ISNUMBER(H41))</formula>
    </cfRule>
  </conditionalFormatting>
  <conditionalFormatting sqref="E41 E44 E47">
    <cfRule type="expression" dxfId="393" priority="59" stopIfTrue="1">
      <formula>E41&lt;&gt;0</formula>
    </cfRule>
  </conditionalFormatting>
  <conditionalFormatting sqref="E42 E45 E48">
    <cfRule type="expression" dxfId="392" priority="58">
      <formula>AND(_xlfn.SINGLE(ACOMPANHAMENTO)="BM",E42&gt;ROUND(E42,4))</formula>
    </cfRule>
  </conditionalFormatting>
  <conditionalFormatting sqref="U41:AF41 U44:AF44 U47:AF47">
    <cfRule type="expression" dxfId="391" priority="57" stopIfTrue="1">
      <formula>U41&lt;&gt;0</formula>
    </cfRule>
  </conditionalFormatting>
  <conditionalFormatting sqref="U42:AF42 U45:AF45 U48:AF48">
    <cfRule type="expression" dxfId="390" priority="56">
      <formula>AND(_xlfn.SINGLE(ACOMPANHAMENTO)="BM",U42&gt;ROUND(U42,4))</formula>
    </cfRule>
  </conditionalFormatting>
  <conditionalFormatting sqref="E51 E54 E57 U51:AF51 U54:AF54 U57:AF57">
    <cfRule type="expression" dxfId="389" priority="51" stopIfTrue="1">
      <formula>AND(ISNUMBER($H50),$H50&lt;&gt;0)</formula>
    </cfRule>
  </conditionalFormatting>
  <conditionalFormatting sqref="I51:S51 I54:S54 I57:S57">
    <cfRule type="expression" dxfId="388" priority="52" stopIfTrue="1">
      <formula>$M50=2</formula>
    </cfRule>
    <cfRule type="expression" dxfId="387" priority="53" stopIfTrue="1">
      <formula>AND($M50=1,$S50&lt;&gt;"")</formula>
    </cfRule>
  </conditionalFormatting>
  <conditionalFormatting sqref="I50:S50 I53:S53 I56:S56">
    <cfRule type="expression" dxfId="386" priority="54" stopIfTrue="1">
      <formula>$M50=2</formula>
    </cfRule>
    <cfRule type="expression" dxfId="385" priority="55" stopIfTrue="1">
      <formula>AND($M50=1,$S50&lt;&gt;"")</formula>
    </cfRule>
  </conditionalFormatting>
  <conditionalFormatting sqref="H51 H54 H57">
    <cfRule type="expression" dxfId="384" priority="50">
      <formula>AND(H50&lt;&gt;0,ISNUMBER(H50))</formula>
    </cfRule>
  </conditionalFormatting>
  <conditionalFormatting sqref="H50 H53 H56">
    <cfRule type="expression" dxfId="383" priority="49">
      <formula>AND(H50&lt;&gt;0,ISNUMBER(H50))</formula>
    </cfRule>
  </conditionalFormatting>
  <conditionalFormatting sqref="E50 E53 E56">
    <cfRule type="expression" dxfId="382" priority="48" stopIfTrue="1">
      <formula>E50&lt;&gt;0</formula>
    </cfRule>
  </conditionalFormatting>
  <conditionalFormatting sqref="E51 E54 E57">
    <cfRule type="expression" dxfId="381" priority="47">
      <formula>AND(_xlfn.SINGLE(ACOMPANHAMENTO)="BM",E51&gt;ROUND(E51,4))</formula>
    </cfRule>
  </conditionalFormatting>
  <conditionalFormatting sqref="U50:AF50 U53:AF53 U56:AF56">
    <cfRule type="expression" dxfId="380" priority="46" stopIfTrue="1">
      <formula>U50&lt;&gt;0</formula>
    </cfRule>
  </conditionalFormatting>
  <conditionalFormatting sqref="U51:AF51 U54:AF54 U57:AF57">
    <cfRule type="expression" dxfId="379" priority="45">
      <formula>AND(_xlfn.SINGLE(ACOMPANHAMENTO)="BM",U51&gt;ROUND(U51,4))</formula>
    </cfRule>
  </conditionalFormatting>
  <conditionalFormatting sqref="E60 E63 E66 U60:AF60 U63:AF63 U66:AF66">
    <cfRule type="expression" dxfId="378" priority="40" stopIfTrue="1">
      <formula>AND(ISNUMBER($H59),$H59&lt;&gt;0)</formula>
    </cfRule>
  </conditionalFormatting>
  <conditionalFormatting sqref="I60:S60 I63:S63 I66:S66">
    <cfRule type="expression" dxfId="377" priority="41" stopIfTrue="1">
      <formula>$M59=2</formula>
    </cfRule>
    <cfRule type="expression" dxfId="376" priority="42" stopIfTrue="1">
      <formula>AND($M59=1,$S59&lt;&gt;"")</formula>
    </cfRule>
  </conditionalFormatting>
  <conditionalFormatting sqref="I59:S59 I62:S62 I65:S65">
    <cfRule type="expression" dxfId="375" priority="43" stopIfTrue="1">
      <formula>$M59=2</formula>
    </cfRule>
    <cfRule type="expression" dxfId="374" priority="44" stopIfTrue="1">
      <formula>AND($M59=1,$S59&lt;&gt;"")</formula>
    </cfRule>
  </conditionalFormatting>
  <conditionalFormatting sqref="H60 H63 H66">
    <cfRule type="expression" dxfId="373" priority="39">
      <formula>AND(H59&lt;&gt;0,ISNUMBER(H59))</formula>
    </cfRule>
  </conditionalFormatting>
  <conditionalFormatting sqref="H59 H62 H65">
    <cfRule type="expression" dxfId="372" priority="38">
      <formula>AND(H59&lt;&gt;0,ISNUMBER(H59))</formula>
    </cfRule>
  </conditionalFormatting>
  <conditionalFormatting sqref="E59 E62 E65">
    <cfRule type="expression" dxfId="371" priority="37" stopIfTrue="1">
      <formula>E59&lt;&gt;0</formula>
    </cfRule>
  </conditionalFormatting>
  <conditionalFormatting sqref="E60 E63 E66">
    <cfRule type="expression" dxfId="370" priority="36">
      <formula>AND(_xlfn.SINGLE(ACOMPANHAMENTO)="BM",E60&gt;ROUND(E60,4))</formula>
    </cfRule>
  </conditionalFormatting>
  <conditionalFormatting sqref="U59:AF59 U62:AF62 U65:AF65">
    <cfRule type="expression" dxfId="369" priority="35" stopIfTrue="1">
      <formula>U59&lt;&gt;0</formula>
    </cfRule>
  </conditionalFormatting>
  <conditionalFormatting sqref="U60:AF60 U63:AF63 U66:AF66">
    <cfRule type="expression" dxfId="368" priority="34">
      <formula>AND(_xlfn.SINGLE(ACOMPANHAMENTO)="BM",U60&gt;ROUND(U60,4))</formula>
    </cfRule>
  </conditionalFormatting>
  <conditionalFormatting sqref="E69 E72 E75 U69:AF69 U72:AF72 U75:AF75">
    <cfRule type="expression" dxfId="367" priority="29" stopIfTrue="1">
      <formula>AND(ISNUMBER($H68),$H68&lt;&gt;0)</formula>
    </cfRule>
  </conditionalFormatting>
  <conditionalFormatting sqref="I69:S69 I72:S72 I75:S75">
    <cfRule type="expression" dxfId="366" priority="30" stopIfTrue="1">
      <formula>$M68=2</formula>
    </cfRule>
    <cfRule type="expression" dxfId="365" priority="31" stopIfTrue="1">
      <formula>AND($M68=1,$S68&lt;&gt;"")</formula>
    </cfRule>
  </conditionalFormatting>
  <conditionalFormatting sqref="I68:S68 I71:S71 I74:S74">
    <cfRule type="expression" dxfId="364" priority="32" stopIfTrue="1">
      <formula>$M68=2</formula>
    </cfRule>
    <cfRule type="expression" dxfId="363" priority="33" stopIfTrue="1">
      <formula>AND($M68=1,$S68&lt;&gt;"")</formula>
    </cfRule>
  </conditionalFormatting>
  <conditionalFormatting sqref="H69 H72 H75">
    <cfRule type="expression" dxfId="362" priority="28">
      <formula>AND(H68&lt;&gt;0,ISNUMBER(H68))</formula>
    </cfRule>
  </conditionalFormatting>
  <conditionalFormatting sqref="H68 H71 H74">
    <cfRule type="expression" dxfId="361" priority="27">
      <formula>AND(H68&lt;&gt;0,ISNUMBER(H68))</formula>
    </cfRule>
  </conditionalFormatting>
  <conditionalFormatting sqref="E68 E71 E74">
    <cfRule type="expression" dxfId="360" priority="26" stopIfTrue="1">
      <formula>E68&lt;&gt;0</formula>
    </cfRule>
  </conditionalFormatting>
  <conditionalFormatting sqref="E69 E72 E75">
    <cfRule type="expression" dxfId="359" priority="25">
      <formula>AND(_xlfn.SINGLE(ACOMPANHAMENTO)="BM",E69&gt;ROUND(E69,4))</formula>
    </cfRule>
  </conditionalFormatting>
  <conditionalFormatting sqref="U68:AF68 U71:AF71 U74:AF74">
    <cfRule type="expression" dxfId="358" priority="24" stopIfTrue="1">
      <formula>U68&lt;&gt;0</formula>
    </cfRule>
  </conditionalFormatting>
  <conditionalFormatting sqref="U69:AF69 U72:AF72 U75:AF75">
    <cfRule type="expression" dxfId="357" priority="23">
      <formula>AND(_xlfn.SINGLE(ACOMPANHAMENTO)="BM",U69&gt;ROUND(U69,4))</formula>
    </cfRule>
  </conditionalFormatting>
  <conditionalFormatting sqref="E78 E81 E84 U78:AF78 U81:AF81 U84:AF84">
    <cfRule type="expression" dxfId="356" priority="18" stopIfTrue="1">
      <formula>AND(ISNUMBER($H77),$H77&lt;&gt;0)</formula>
    </cfRule>
  </conditionalFormatting>
  <conditionalFormatting sqref="I78:S78 I81:S81 I84:S84">
    <cfRule type="expression" dxfId="355" priority="19" stopIfTrue="1">
      <formula>$M77=2</formula>
    </cfRule>
    <cfRule type="expression" dxfId="354" priority="20" stopIfTrue="1">
      <formula>AND($M77=1,$S77&lt;&gt;"")</formula>
    </cfRule>
  </conditionalFormatting>
  <conditionalFormatting sqref="I77:S77 I80:S80 I83:S83">
    <cfRule type="expression" dxfId="353" priority="21" stopIfTrue="1">
      <formula>$M77=2</formula>
    </cfRule>
    <cfRule type="expression" dxfId="352" priority="22" stopIfTrue="1">
      <formula>AND($M77=1,$S77&lt;&gt;"")</formula>
    </cfRule>
  </conditionalFormatting>
  <conditionalFormatting sqref="H78 H81 H84">
    <cfRule type="expression" dxfId="351" priority="17">
      <formula>AND(H77&lt;&gt;0,ISNUMBER(H77))</formula>
    </cfRule>
  </conditionalFormatting>
  <conditionalFormatting sqref="H77 H80 H83">
    <cfRule type="expression" dxfId="350" priority="16">
      <formula>AND(H77&lt;&gt;0,ISNUMBER(H77))</formula>
    </cfRule>
  </conditionalFormatting>
  <conditionalFormatting sqref="E77 E80 E83">
    <cfRule type="expression" dxfId="349" priority="15" stopIfTrue="1">
      <formula>E77&lt;&gt;0</formula>
    </cfRule>
  </conditionalFormatting>
  <conditionalFormatting sqref="E78 E81 E84">
    <cfRule type="expression" dxfId="348" priority="14">
      <formula>AND(_xlfn.SINGLE(ACOMPANHAMENTO)="BM",E78&gt;ROUND(E78,4))</formula>
    </cfRule>
  </conditionalFormatting>
  <conditionalFormatting sqref="U77:AF77 U80:AF80 U83:AF83">
    <cfRule type="expression" dxfId="347" priority="13" stopIfTrue="1">
      <formula>U77&lt;&gt;0</formula>
    </cfRule>
  </conditionalFormatting>
  <conditionalFormatting sqref="U78:AF78 U81:AF81 U84:AF84">
    <cfRule type="expression" dxfId="346" priority="12">
      <formula>AND(_xlfn.SINGLE(ACOMPANHAMENTO)="BM",U78&gt;ROUND(U78,4))</formula>
    </cfRule>
  </conditionalFormatting>
  <conditionalFormatting sqref="E87 U87:AF87">
    <cfRule type="expression" dxfId="345" priority="7" stopIfTrue="1">
      <formula>AND(ISNUMBER($H86),$H86&lt;&gt;0)</formula>
    </cfRule>
  </conditionalFormatting>
  <conditionalFormatting sqref="I87:S87">
    <cfRule type="expression" dxfId="344" priority="8" stopIfTrue="1">
      <formula>$M86=2</formula>
    </cfRule>
    <cfRule type="expression" dxfId="343" priority="9" stopIfTrue="1">
      <formula>AND($M86=1,$S86&lt;&gt;"")</formula>
    </cfRule>
  </conditionalFormatting>
  <conditionalFormatting sqref="I86:S86">
    <cfRule type="expression" dxfId="342" priority="10" stopIfTrue="1">
      <formula>$M86=2</formula>
    </cfRule>
    <cfRule type="expression" dxfId="341" priority="11" stopIfTrue="1">
      <formula>AND($M86=1,$S86&lt;&gt;"")</formula>
    </cfRule>
  </conditionalFormatting>
  <conditionalFormatting sqref="H87">
    <cfRule type="expression" dxfId="340" priority="6">
      <formula>AND(H86&lt;&gt;0,ISNUMBER(H86))</formula>
    </cfRule>
  </conditionalFormatting>
  <conditionalFormatting sqref="H86">
    <cfRule type="expression" dxfId="339" priority="5">
      <formula>AND(H86&lt;&gt;0,ISNUMBER(H86))</formula>
    </cfRule>
  </conditionalFormatting>
  <conditionalFormatting sqref="E86">
    <cfRule type="expression" dxfId="338" priority="4" stopIfTrue="1">
      <formula>E86&lt;&gt;0</formula>
    </cfRule>
  </conditionalFormatting>
  <conditionalFormatting sqref="E87">
    <cfRule type="expression" dxfId="337" priority="3">
      <formula>AND(_xlfn.SINGLE(ACOMPANHAMENTO)="BM",E87&gt;ROUND(E87,4))</formula>
    </cfRule>
  </conditionalFormatting>
  <conditionalFormatting sqref="U86:AF86">
    <cfRule type="expression" dxfId="336" priority="2" stopIfTrue="1">
      <formula>U86&lt;&gt;0</formula>
    </cfRule>
  </conditionalFormatting>
  <conditionalFormatting sqref="U87:AF87">
    <cfRule type="expression" dxfId="335" priority="1">
      <formula>AND(_xlfn.SINGLE(ACOMPANHAMENTO)="BM",U87&gt;ROUND(U87,4))</formula>
    </cfRule>
  </conditionalFormatting>
  <dataValidations count="6">
    <dataValidation type="list" allowBlank="1" showErrorMessage="1" errorTitle="Obrigatório:" error="Selecione o nível (2, 3 ou 4) do agrupador a exibir no cronograma." sqref="H10" xr:uid="{00000000-0002-0000-0700-000000000000}">
      <formula1>"2,3,4"</formula1>
    </dataValidation>
    <dataValidation allowBlank="1" showInputMessage="1" showErrorMessage="1" prompt="Preencha na célula de baixo. Se o acompanhamento for PLE, preencha no botão PREENCHIMENTO POR EVENTOS, acima." sqref="E1 U1:AF1 E14 E17 E20 U14:AF14 U17:AF17 U20:AF20 E23 E26 E29 U23:AF23 U26:AF26 U29:AF29 E32 E35 E38 U32:AF32 U35:AF35 U38:AF38 E41 E44 E47 U41:AF41 U44:AF44 U47:AF47 E50 E53 E56 U50:AF50 U53:AF53 U56:AF56 E59 E62 E65 U59:AF59 U62:AF62 U65:AF65 E68 E71 E74 U68:AF68 U71:AF71 U74:AF74 E77 E80 E83 U77:AF77 U80:AF80 U83:AF83 E86 U86:AF86" xr:uid="{00000000-0002-0000-0700-000001000000}"/>
    <dataValidation type="whole" operator="greaterThan" allowBlank="1" showErrorMessage="1" sqref="U12" xr:uid="{00000000-0002-0000-0700-000002000000}">
      <formula1>0</formula1>
      <formula2>0</formula2>
    </dataValidation>
    <dataValidation type="decimal" allowBlank="1" showErrorMessage="1" error="Porcentagem Acumulada &gt; 100%." sqref="E2 U2:AG2 E15 E18 E21 U15:AG15 U18:AG18 U21:AG21 E24 E27 E30 U24:AG24 U27:AG27 U30:AG30 E33 E36 E39 U33:AG33 U36:AG36 U39:AG39 E42 E45 E48 U42:AG42 U45:AG45 U48:AG48 E51 E54 E57 U51:AG51 U54:AG54 U57:AG57 E60 E63 E66 U60:AG60 U63:AG63 U66:AG66 E69 E72 E75 U69:AG69 U72:AG72 U75:AG75 E78 E81 E84 U78:AG78 U81:AG81 U84:AG84 E87 U87:AG87" xr:uid="{00000000-0002-0000-0700-000003000000}">
      <formula1>0</formula1>
      <formula2>CRONO.MaxParc</formula2>
    </dataValidation>
    <dataValidation type="date" operator="greaterThan" allowBlank="1" showInputMessage="1" showErrorMessage="1" errorTitle="Erro" error="Digite somente datas." sqref="U13" xr:uid="{00000000-0002-0000-0700-000004000000}">
      <formula1>36526</formula1>
    </dataValidation>
    <dataValidation type="list" allowBlank="1" showErrorMessage="1" errorTitle="Atenção" error="Selecione uma opção da lista." sqref="H100:J100" xr:uid="{248F12C1-5C2E-4989-A04F-CE4BB609793B}">
      <formula1>$A$13:$A$89</formula1>
    </dataValidation>
  </dataValidations>
  <pageMargins left="0.78740157480314998" right="0.78740157480314998" top="0.78740157480314998" bottom="0.78740157480314998" header="0.59055118110236204" footer="0.59055118110236204"/>
  <pageSetup paperSize="9" scale="66" firstPageNumber="0" orientation="landscape" r:id="rId1"/>
  <headerFooter alignWithMargins="0">
    <oddHeader>&amp;C&amp;14I</oddHeader>
    <oddFooter>&amp;LPMv3.11&amp;R&amp;P / &amp;N</oddFooter>
  </headerFooter>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7">
    <pageSetUpPr fitToPage="1"/>
  </sheetPr>
  <dimension ref="A1:AE37"/>
  <sheetViews>
    <sheetView showGridLines="0" zoomScaleNormal="100" zoomScaleSheetLayoutView="90" workbookViewId="0">
      <pane xSplit="7" ySplit="13" topLeftCell="H14" activePane="bottomRight" state="frozen"/>
      <selection pane="topRight" activeCell="H1" sqref="H1"/>
      <selection pane="bottomLeft" activeCell="C14" sqref="C14"/>
      <selection pane="bottomRight"/>
    </sheetView>
  </sheetViews>
  <sheetFormatPr defaultRowHeight="12.75" x14ac:dyDescent="0.2"/>
  <cols>
    <col min="1" max="1" width="15.85546875" hidden="1" customWidth="1"/>
    <col min="2" max="2" width="10.42578125" hidden="1" customWidth="1"/>
    <col min="3" max="3" width="3.5703125" customWidth="1"/>
    <col min="4" max="4" width="6.5703125" customWidth="1"/>
    <col min="5" max="5" width="18.5703125" customWidth="1"/>
    <col min="6" max="6" width="28.5703125" customWidth="1"/>
    <col min="7" max="7" width="35.5703125" customWidth="1"/>
    <col min="8" max="8" width="15.5703125" customWidth="1"/>
    <col min="9" max="9" width="12.5703125" customWidth="1"/>
    <col min="10" max="10" width="7.5703125" customWidth="1"/>
    <col min="11" max="15" width="16.5703125" customWidth="1"/>
    <col min="16" max="17" width="5.5703125" customWidth="1"/>
    <col min="18" max="18" width="35.5703125" customWidth="1"/>
    <col min="19" max="19" width="1.5703125" customWidth="1"/>
    <col min="20" max="21" width="16.5703125" customWidth="1"/>
    <col min="22" max="22" width="13.5703125" customWidth="1"/>
    <col min="23" max="24" width="16.5703125" customWidth="1"/>
    <col min="25" max="25" width="1.5703125" customWidth="1"/>
    <col min="26" max="28" width="9.140625" hidden="1" customWidth="1"/>
    <col min="29" max="29" width="3.5703125" hidden="1" customWidth="1"/>
    <col min="30" max="30" width="13.42578125" hidden="1" customWidth="1"/>
    <col min="31" max="31" width="9.140625" hidden="1" customWidth="1"/>
  </cols>
  <sheetData>
    <row r="1" spans="1:31" ht="30" customHeight="1" x14ac:dyDescent="0.2">
      <c r="F1" s="273" t="s">
        <v>807</v>
      </c>
      <c r="I1" s="8"/>
      <c r="J1" s="8"/>
      <c r="O1" s="493" t="s">
        <v>758</v>
      </c>
      <c r="P1" s="86"/>
    </row>
    <row r="2" spans="1:31" x14ac:dyDescent="0.2">
      <c r="Z2" t="s">
        <v>808</v>
      </c>
      <c r="AA2" s="89" t="s">
        <v>809</v>
      </c>
      <c r="AB2" s="77"/>
    </row>
    <row r="3" spans="1:31" x14ac:dyDescent="0.2">
      <c r="D3" s="673" t="s">
        <v>650</v>
      </c>
      <c r="E3" s="673"/>
      <c r="F3" s="88" t="s">
        <v>708</v>
      </c>
      <c r="G3" s="673" t="s">
        <v>652</v>
      </c>
      <c r="H3" s="673"/>
      <c r="I3" s="673"/>
      <c r="J3" s="765" t="s">
        <v>810</v>
      </c>
      <c r="K3" s="765"/>
      <c r="L3" s="765"/>
      <c r="M3" s="766" t="s">
        <v>811</v>
      </c>
      <c r="N3" s="766"/>
      <c r="O3" s="766"/>
      <c r="Z3" s="103">
        <f ca="1">MAX(Z7:AB7)</f>
        <v>0</v>
      </c>
      <c r="AA3" s="274">
        <f ca="1">IF(OR($O$24=ORÇAMENTO.SumINVMANUAL+QCI.SumINVMANUAL,$O$24=0),0,MIN(MAX(0,($Z$3*$O$24-ORÇAMENTO.SumCPMANUAL-QCI.SumCPMANUAL)/($O$24-ORÇAMENTO.SumINVMANUAL-QCI.SumINVMANUAL)),1))</f>
        <v>0</v>
      </c>
      <c r="AB3" s="93"/>
    </row>
    <row r="4" spans="1:31" x14ac:dyDescent="0.2">
      <c r="D4" s="670">
        <f>Import.CR</f>
        <v>0</v>
      </c>
      <c r="E4" s="670"/>
      <c r="F4" s="56" t="str">
        <f>Import.TransfereGOV</f>
        <v>958977</v>
      </c>
      <c r="G4" s="670" t="str">
        <f>Import.Proponente</f>
        <v>PREFEITURA MUNICIPAL DE CAÇADOR</v>
      </c>
      <c r="H4" s="670"/>
      <c r="I4" s="670"/>
      <c r="J4" s="767" t="str">
        <f>Import.Município</f>
        <v>Caçador/SC</v>
      </c>
      <c r="K4" s="767"/>
      <c r="L4" s="767"/>
      <c r="M4" s="766"/>
      <c r="N4" s="766"/>
      <c r="O4" s="766"/>
      <c r="R4" s="130"/>
      <c r="Z4" s="93"/>
      <c r="AA4" s="93"/>
      <c r="AB4" s="93"/>
    </row>
    <row r="5" spans="1:31" ht="5.0999999999999996" customHeight="1" x14ac:dyDescent="0.2">
      <c r="M5" s="266"/>
      <c r="O5" s="4"/>
    </row>
    <row r="6" spans="1:31" x14ac:dyDescent="0.2">
      <c r="D6" s="673" t="s">
        <v>709</v>
      </c>
      <c r="E6" s="673"/>
      <c r="F6" s="673"/>
      <c r="G6" s="673"/>
      <c r="H6" s="673"/>
      <c r="I6" s="673"/>
      <c r="J6" s="673"/>
      <c r="K6" s="673"/>
      <c r="L6" s="275" t="s">
        <v>716</v>
      </c>
      <c r="M6" s="88" t="str">
        <f>IF(import.recurso="FGTS","FINANCIAMENTO","REPASSE")</f>
        <v>REPASSE</v>
      </c>
      <c r="N6" s="88" t="s">
        <v>812</v>
      </c>
      <c r="O6" s="88" t="s">
        <v>813</v>
      </c>
      <c r="Z6" t="s">
        <v>814</v>
      </c>
      <c r="AA6" t="s">
        <v>815</v>
      </c>
      <c r="AB6" t="s">
        <v>816</v>
      </c>
    </row>
    <row r="7" spans="1:31" ht="12.75" customHeight="1" x14ac:dyDescent="0.2">
      <c r="C7" s="702" t="s">
        <v>655</v>
      </c>
      <c r="D7" s="670" t="str">
        <f>Import.Apelido</f>
        <v>CMEI Sorgatto</v>
      </c>
      <c r="E7" s="670"/>
      <c r="F7" s="670"/>
      <c r="G7" s="670"/>
      <c r="H7" s="670"/>
      <c r="I7" s="670"/>
      <c r="J7" s="670"/>
      <c r="K7" s="670"/>
      <c r="L7" s="276" t="str">
        <f>import.recurso</f>
        <v>(SELECIONAR)</v>
      </c>
      <c r="M7" s="277">
        <f>Import.Repasse</f>
        <v>0</v>
      </c>
      <c r="N7" s="277">
        <f>Import.Contrapartida</f>
        <v>0</v>
      </c>
      <c r="O7" s="277">
        <f>M7+N7</f>
        <v>0</v>
      </c>
      <c r="Z7" s="103">
        <f>ROUND(Import.CPMinPerc,4)</f>
        <v>0</v>
      </c>
      <c r="AA7" s="103">
        <f ca="1">IF($O$24=0,0,Import.CPMinAbsoluta/$O$24)</f>
        <v>0</v>
      </c>
      <c r="AB7" s="103">
        <f ca="1">IF($O$24=0,0,($O$24-$AB$24-Import.Repasse)/($O$24))</f>
        <v>0</v>
      </c>
    </row>
    <row r="8" spans="1:31" x14ac:dyDescent="0.2">
      <c r="C8" s="702"/>
      <c r="D8" s="93"/>
      <c r="E8" s="93"/>
      <c r="F8" s="278"/>
      <c r="G8" s="93"/>
      <c r="H8" s="93"/>
      <c r="I8" s="93"/>
      <c r="J8" s="93"/>
      <c r="K8" s="93"/>
      <c r="L8" s="93"/>
      <c r="M8" s="93"/>
      <c r="N8" s="93"/>
      <c r="O8" s="93"/>
    </row>
    <row r="9" spans="1:31" ht="12.75" customHeight="1" x14ac:dyDescent="0.2">
      <c r="C9" s="702"/>
      <c r="G9" s="771" t="str">
        <f ca="1">IF($T$11&lt;&gt;"","PREENCHIMENTO INCOMPLETO DA TABELA AUXILIAR DO QCI",
  IF($G$11&lt;&gt;"","PREENCHIMENTO INCOMPLETO DA TABELA PRINCIPAL DO QCI",
  IF(AND($O$24&gt;0,$M$25&gt;Import.CPMaxPerc,Import.CPMaxPerc&gt;0),"ERRO: CONTRAPARTIDA MAIOR QUE A MÁXIMA",
  IF(OR(AND($O$24&gt;0,$M$25&lt;QCI!$Z$7),$M$24&lt;ROUND(Import.CPMinAbsoluta,2)),"ERRO: CONTRAPARTIDA MENOR QUE A MÍNIMA",
  IF(OR($L$10&lt;0,$M$10&lt;0),"ERRO: SALDO NEGATIVO",
  IF(COUNTIF($L$13:$L$24,"&lt;0")&gt;0,"ERRO: VALORES DE REPASSE NEGATIVOS",
  IF(OFFSET($A$24,-1,0)&lt;OFFSET(ORÇAMENTO!$E$405,-1,0),"ERRO: NÚMERO DE LINHAS DO QCI INSUFICIENTE. CLIQUE NO BOTÃO ADICIONAR LINHAS",
  "")))))))</f>
        <v/>
      </c>
      <c r="H9" s="771"/>
      <c r="I9" s="513"/>
      <c r="J9" s="512"/>
      <c r="K9" s="770" t="s">
        <v>817</v>
      </c>
      <c r="L9" s="279" t="str">
        <f>$L$13</f>
        <v>Repasse (R$)</v>
      </c>
      <c r="M9" s="279" t="s">
        <v>742</v>
      </c>
      <c r="AD9" s="768"/>
      <c r="AE9" s="768"/>
    </row>
    <row r="10" spans="1:31" ht="12.75" customHeight="1" x14ac:dyDescent="0.2">
      <c r="A10" s="772" t="s">
        <v>818</v>
      </c>
      <c r="C10" s="702"/>
      <c r="G10" s="771"/>
      <c r="H10" s="771"/>
      <c r="I10" s="513"/>
      <c r="J10" s="512"/>
      <c r="K10" s="770"/>
      <c r="L10" s="280">
        <f ca="1">Import.Repasse-L24</f>
        <v>0</v>
      </c>
      <c r="M10" s="281">
        <f ca="1">Import.Contrapartida-M24</f>
        <v>0</v>
      </c>
      <c r="Z10" s="716" t="s">
        <v>722</v>
      </c>
      <c r="AA10" s="716"/>
      <c r="AB10" s="716"/>
      <c r="AD10" s="768" t="s">
        <v>819</v>
      </c>
      <c r="AE10" s="768"/>
    </row>
    <row r="11" spans="1:31" ht="20.100000000000001" customHeight="1" x14ac:dyDescent="0.25">
      <c r="A11" s="772"/>
      <c r="C11" s="702"/>
      <c r="G11" s="585" t="str">
        <f ca="1">IF(COUNTIF($P$13:$P$24,"ITEM")&gt;0,"Falta definir o ITEM de Investimento da Meta "&amp;INDEX($D$13:$D$24,MATCH("ITEM",$P$13:$P$24,0)),
  IF(COUNTIF($P$13:$P$24,"SUBITEM")&gt;0,"Falta definir o SUBITEM de Investimento da Meta "&amp;INDEX($D$13:$D$24,MATCH("SUBITEM",$P$13:$P$24,0)),
  IF(COUNTIF($P$13:$P$24,"SITUAÇÃO")&gt;0,"Falta definir a SITUAÇÃO do Investimento da Meta "&amp;INDEX($D$13:$D$24,MATCH("SITUAÇÃO",$P$13:$P$24,0)),
  IF(COUNTIF($P$13:$P$24,"QUANT.")&gt;0,"Falta preencher a QUANTIDADE da Meta "&amp;INDEX($D$13:$D$24,MATCH("QUANT.",$P$13:$P$24,0)),
  ""))))</f>
        <v/>
      </c>
      <c r="T11" s="522" t="str">
        <f>IF(COUNTIF($S$13:$S$24,"► LOTE")&gt;0,"Falta preencher o LOTE/CTEF da Meta "&amp;INDEX($D$13:$D$24,MATCH("► LOTE",$S$13:$S$24,0)),
  IF(COUNTIF($S$13:$S$24,"► INVEST")&gt;0,"Falta preencher o valor do INVESTIMENTO da Meta "&amp;INDEX($D$13:$D$24,MATCH("► INVEST",$S$13:$S$24,0)),
  IF(COUNTIF($S$13:$S$24,"► DIV")&gt;0,"Falta definir a DIVISÃO do Investimento da Meta "&amp;INDEX($D$13:$D$24,MATCH("► DIV",$S$13:$S$24,0)),
  IF(COUNTIF($S$13:$S$24,"► CP")&gt;0,"Falta preencher o valor da CONTRAPARTIDA da Meta "&amp;INDEX($D$13:$D$24,MATCH("► CP",$S$13:$S$24,0)),
  IF(COUNTIF($S$13:$S$24,"► OU")&gt;0,"Falta preencher o valor de OUTROS recursos da Meta "&amp;INDEX($D$13:$D$24,MATCH("► OU",$S$13:$S$24,0)),
  "")))))</f>
        <v/>
      </c>
      <c r="Z11" s="111" t="s">
        <v>820</v>
      </c>
      <c r="AA11" s="111" t="s">
        <v>742</v>
      </c>
      <c r="AB11" s="112" t="s">
        <v>743</v>
      </c>
    </row>
    <row r="12" spans="1:31" ht="30" hidden="1" customHeight="1" x14ac:dyDescent="0.2">
      <c r="A12">
        <f ca="1">IF(NOT(ISBLANK(QCI.DescManual)),OFFSET(A12,-1,0),D12)</f>
        <v>-1</v>
      </c>
      <c r="B12" t="str">
        <f ca="1">IF(NOT(ISBLANK(QCI.DescManual)),IF(QCI.Divisao="Calculado","Manual","SemiAuto"),IF(ISERROR(MATCH($A12,ORÇAMENTO!$E$15:$E$405,0)),"Branco","Automático"))</f>
        <v>Branco</v>
      </c>
      <c r="C12" t="str">
        <f ca="1">IF(O12&gt;0,"F","")</f>
        <v/>
      </c>
      <c r="D12" s="282">
        <f>ROW()-ROW($D$13)</f>
        <v>-1</v>
      </c>
      <c r="E12" s="119"/>
      <c r="F12" s="119"/>
      <c r="G12" s="164" t="str">
        <f ca="1">IF(OR($B12="Manual",$B12="SemiAuto"),QCI.DescManual,IF($B12="Automático",INDEX(ORÇAMENTO!$R$15:$R$405,MATCH($A12,ORÇAMENTO!$E$15:$E$405,0)),""))</f>
        <v/>
      </c>
      <c r="H12" s="119"/>
      <c r="I12" s="465"/>
      <c r="J12" s="283" t="str">
        <f ca="1">IF(AND(ISBLANK(E12),ISBLANK(F12)),"",VLOOKUP($F12,OFFSET(DADOS!$A$2,1,MATCH(QCI!$E12,DADOS!$2:$2,0)-1,100,50),2,FALSE))</f>
        <v/>
      </c>
      <c r="K12" s="464" t="str">
        <f ca="1">IF(OR($B12="Manual",$B12="SemiAuto"),QCI.LoteManual,IF($B12="Automático",IF(TIPOORCAMENTO="Licitado",Import.CTEF,"LOTE 1"),""))</f>
        <v/>
      </c>
      <c r="L12" s="284">
        <f ca="1">ROUND($O12,2)-ROUND($M12,2)-ROUND($N12,2)</f>
        <v>0</v>
      </c>
      <c r="M12" s="285">
        <f ca="1">ROUND($AA12,2)-ROUND($AE12,2)</f>
        <v>0</v>
      </c>
      <c r="N12" s="286">
        <f ca="1">ROUND($AB12,2)</f>
        <v>0</v>
      </c>
      <c r="O12" s="287">
        <f ca="1">IF($B12="Branco",0,IF(OR($B12="Manual",$B12="SemiAuto"),QCI.InvManual,INDEX(ORÇAMENTO!X$15:X$405,MATCH($A12,ORÇAMENTO!$E$15:$E$405,0))))</f>
        <v>0</v>
      </c>
      <c r="P12" s="580" t="str">
        <f ca="1">IF(O12=0,"",
  IF(E12="","ITEM",
  IF(F12="","SUBITEM",
  IF(H12="","SITUAÇÃO",
  IF(I12=0,"QUANT.","")))))</f>
        <v/>
      </c>
      <c r="R12" s="466"/>
      <c r="S12" s="581" t="str">
        <f>IF(R12="","",
  IF(T12=0,"► LOTE",
  IF(U12=0,"► INVEST",
  IF(V12=0,"► DIV",
  IF(AND(V12="Calculado",W12=""),"► CP",
  IF(AND(V12="Calculado",X12=""),"► OU",""))))))</f>
        <v/>
      </c>
      <c r="T12" s="467"/>
      <c r="U12" s="582"/>
      <c r="V12" s="468" t="s">
        <v>821</v>
      </c>
      <c r="W12" s="583"/>
      <c r="X12" s="584"/>
      <c r="Z12">
        <f ca="1">$O12-$AA12-$AB12</f>
        <v>0</v>
      </c>
      <c r="AA12">
        <f ca="1">IF($B12="Branco",0,IF($B12="Manual",QCI.CPManual,IF($B12="SemiAuto",ROUND(QCI!$AA$3*QCI.InvManual,2),INDEX(ORÇAMENTO!$AA$15:$AA$405,MATCH($A12,ORÇAMENTO!$E$15:$E$405,0)))))</f>
        <v>0</v>
      </c>
      <c r="AB12">
        <f ca="1">IF($B12="Branco",0,IF($B12="Manual",QCI.OutrosManual,IF($B12="SemiAuto",0,INDEX(ORÇAMENTO!$AB$15:$AB$405,MATCH($A12,ORÇAMENTO!$E$15:$E$405,0)))))</f>
        <v>0</v>
      </c>
      <c r="AD12" s="290" t="b">
        <f ca="1">AND($AA$3&gt;0,$AA$3&lt;1,$O12&gt;0,OR($B12="Automático",$B12="SemiAuto"),OR(QCI!$Z$3=QCI!$Z$7,QCI!$Z$3=QCI!$AA$7,QCI!$Z$3=QCI!$AB$7))</f>
        <v>0</v>
      </c>
      <c r="AE12" s="290">
        <f ca="1">IF(AND($AD12,$O12&gt;0,COUNTIF(OFFSET($AD12,1,0):$AD$24,TRUE)=0),CHOOSE(1+LOG(1+2*(QCI!$Z$3=QCI!$Z$7)+4*(QCI!$Z$3=QCI!$AA$7)+8*(QCI!$Z$3=QCI!$AB$7),2),0,$AA$24-ROUND(Import.CPMinPerc*$O$24,2),$AA$24-Import.CPMinAbsoluta,Import.Repasse-$Z$24),0)</f>
        <v>0</v>
      </c>
    </row>
    <row r="13" spans="1:31" ht="25.5" customHeight="1" x14ac:dyDescent="0.2">
      <c r="A13" s="86">
        <v>0</v>
      </c>
      <c r="B13" s="291" t="s">
        <v>822</v>
      </c>
      <c r="C13" s="107" t="s">
        <v>660</v>
      </c>
      <c r="D13" s="108" t="s">
        <v>702</v>
      </c>
      <c r="E13" s="108" t="s">
        <v>823</v>
      </c>
      <c r="F13" s="108" t="s">
        <v>824</v>
      </c>
      <c r="G13" s="108" t="s">
        <v>825</v>
      </c>
      <c r="H13" s="108" t="s">
        <v>669</v>
      </c>
      <c r="I13" s="108" t="s">
        <v>713</v>
      </c>
      <c r="J13" s="108" t="s">
        <v>826</v>
      </c>
      <c r="K13" s="108" t="s">
        <v>827</v>
      </c>
      <c r="L13" s="639" t="str">
        <f>IF(import.recurso="FGTS","Financiamento (R$)","Repasse (R$)")</f>
        <v>Repasse (R$)</v>
      </c>
      <c r="M13" s="640" t="s">
        <v>828</v>
      </c>
      <c r="N13" s="292" t="s">
        <v>743</v>
      </c>
      <c r="O13" s="108" t="s">
        <v>829</v>
      </c>
      <c r="R13" s="293" t="s">
        <v>825</v>
      </c>
      <c r="T13" s="293" t="s">
        <v>827</v>
      </c>
      <c r="U13" s="160" t="s">
        <v>829</v>
      </c>
      <c r="V13" s="294" t="s">
        <v>830</v>
      </c>
      <c r="W13" s="159" t="s">
        <v>828</v>
      </c>
      <c r="X13" s="161" t="s">
        <v>743</v>
      </c>
    </row>
    <row r="14" spans="1:31" ht="30" customHeight="1" x14ac:dyDescent="0.2">
      <c r="A14">
        <f t="shared" ref="A14:A23" ca="1" si="0">IF(NOT(ISBLANK(QCI.DescManual)),OFFSET(A14,-1,0),D14)</f>
        <v>1</v>
      </c>
      <c r="B14" t="str">
        <f ca="1">IF(NOT(ISBLANK(QCI.DescManual)),IF(QCI.Divisao="Calculado","Manual","SemiAuto"),IF(ISERROR(MATCH($A14,ORÇAMENTO!$E$15:$E$405,0)),"Branco","Automático"))</f>
        <v>Automático</v>
      </c>
      <c r="C14" t="str">
        <f t="shared" ref="C14:C22" ca="1" si="1">IF(O14&gt;0,"F","")</f>
        <v/>
      </c>
      <c r="D14" s="282">
        <f t="shared" ref="D14:D22" si="2">ROW()-ROW($D$13)</f>
        <v>1</v>
      </c>
      <c r="E14" s="119"/>
      <c r="F14" s="119"/>
      <c r="G14" s="164" t="str">
        <f ca="1">IF(OR($B14="Manual",$B14="SemiAuto"),QCI.DescManual,IF($B14="Automático",INDEX(ORÇAMENTO!$R$15:$R$405,MATCH($A14,ORÇAMENTO!$E$15:$E$405,0)),""))</f>
        <v>CMEI SORGATTO</v>
      </c>
      <c r="H14" s="119"/>
      <c r="I14" s="465"/>
      <c r="J14" s="283" t="str">
        <f ca="1">IF(AND(ISBLANK(E14),ISBLANK(F14)),"",VLOOKUP($F14,OFFSET(DADOS!$A$2,1,MATCH(QCI!$E14,DADOS!$2:$2,0)-1,100,50),2,FALSE))</f>
        <v/>
      </c>
      <c r="K14" s="464" t="str">
        <f ca="1">IF(OR($B14="Manual",$B14="SemiAuto"),QCI.LoteManual,IF($B14="Automático",IF(TIPOORCAMENTO="Licitado",Import.CTEF,"LOTE 1"),""))</f>
        <v>LOTE 1</v>
      </c>
      <c r="L14" s="284">
        <f t="shared" ref="L14:L22" ca="1" si="3">ROUND($O14,2)-ROUND($M14,2)-ROUND($N14,2)</f>
        <v>0</v>
      </c>
      <c r="M14" s="285">
        <f t="shared" ref="M14:M22" ca="1" si="4">ROUND($AA14,2)-ROUND($AE14,2)</f>
        <v>0</v>
      </c>
      <c r="N14" s="286">
        <f t="shared" ref="N14:N22" ca="1" si="5">ROUND($AB14,2)</f>
        <v>0</v>
      </c>
      <c r="O14" s="287">
        <f ca="1">IF($B14="Branco",0,IF(OR($B14="Manual",$B14="SemiAuto"),QCI.InvManual,INDEX(ORÇAMENTO!X$15:X$405,MATCH($A14,ORÇAMENTO!$E$15:$E$405,0))))</f>
        <v>0</v>
      </c>
      <c r="P14" s="580" t="str">
        <f t="shared" ref="P14:P22" ca="1" si="6">IF(O14=0,"",
  IF(E14="","ITEM",
  IF(F14="","SUBITEM",
  IF(H14="","SITUAÇÃO",
  IF(I14=0,"QUANT.","")))))</f>
        <v/>
      </c>
      <c r="R14" s="466"/>
      <c r="S14" s="581" t="str">
        <f t="shared" ref="S14:S22" si="7">IF(R14="","",
  IF(T14=0,"► LOTE",
  IF(U14=0,"► INVEST",
  IF(V14=0,"► DIV",
  IF(AND(V14="Calculado",W14=""),"► CP",
  IF(AND(V14="Calculado",X14=""),"► OU",""))))))</f>
        <v/>
      </c>
      <c r="T14" s="467"/>
      <c r="U14" s="582"/>
      <c r="V14" s="468" t="s">
        <v>821</v>
      </c>
      <c r="W14" s="583">
        <v>6527409.2999999998</v>
      </c>
      <c r="X14" s="584">
        <v>0</v>
      </c>
      <c r="Z14">
        <f t="shared" ref="Z14:Z22" ca="1" si="8">$O14-$AA14-$AB14</f>
        <v>0</v>
      </c>
      <c r="AA14">
        <f ca="1">IF($B14="Branco",0,IF($B14="Manual",QCI.CPManual,IF($B14="SemiAuto",ROUND(QCI!$AA$3*QCI.InvManual,2),INDEX(ORÇAMENTO!$AA$15:$AA$405,MATCH($A14,ORÇAMENTO!$E$15:$E$405,0)))))</f>
        <v>0</v>
      </c>
      <c r="AB14">
        <f ca="1">IF($B14="Branco",0,IF($B14="Manual",QCI.OutrosManual,IF($B14="SemiAuto",0,INDEX(ORÇAMENTO!$AB$15:$AB$405,MATCH($A14,ORÇAMENTO!$E$15:$E$405,0)))))</f>
        <v>0</v>
      </c>
      <c r="AD14" s="290" t="b">
        <f ca="1">AND($AA$3&gt;0,$AA$3&lt;1,$O14&gt;0,OR($B14="Automático",$B14="SemiAuto"),OR(QCI!$Z$3=QCI!$Z$7,QCI!$Z$3=QCI!$AA$7,QCI!$Z$3=QCI!$AB$7))</f>
        <v>0</v>
      </c>
      <c r="AE14" s="290">
        <f ca="1">IF(AND($AD14,$O14&gt;0,COUNTIF(OFFSET($AD14,1,0):$AD$24,TRUE)=0),CHOOSE(1+LOG(1+2*(QCI!$Z$3=QCI!$Z$7)+4*(QCI!$Z$3=QCI!$AA$7)+8*(QCI!$Z$3=QCI!$AB$7),2),0,$AA$24-ROUND(Import.CPMinPerc*$O$24,2),$AA$24-Import.CPMinAbsoluta,Import.Repasse-$Z$24),0)</f>
        <v>0</v>
      </c>
    </row>
    <row r="15" spans="1:31" ht="30" customHeight="1" x14ac:dyDescent="0.2">
      <c r="A15">
        <f t="shared" ca="1" si="0"/>
        <v>2</v>
      </c>
      <c r="B15" t="str">
        <f ca="1">IF(NOT(ISBLANK(QCI.DescManual)),IF(QCI.Divisao="Calculado","Manual","SemiAuto"),IF(ISERROR(MATCH($A15,ORÇAMENTO!$E$15:$E$405,0)),"Branco","Automático"))</f>
        <v>Branco</v>
      </c>
      <c r="C15" t="str">
        <f t="shared" ca="1" si="1"/>
        <v/>
      </c>
      <c r="D15" s="282">
        <f t="shared" si="2"/>
        <v>2</v>
      </c>
      <c r="E15" s="119"/>
      <c r="F15" s="119"/>
      <c r="G15" s="164" t="str">
        <f ca="1">IF(OR($B15="Manual",$B15="SemiAuto"),QCI.DescManual,IF($B15="Automático",INDEX(ORÇAMENTO!$R$15:$R$405,MATCH($A15,ORÇAMENTO!$E$15:$E$405,0)),""))</f>
        <v/>
      </c>
      <c r="H15" s="119"/>
      <c r="I15" s="465"/>
      <c r="J15" s="283" t="str">
        <f ca="1">IF(AND(ISBLANK(E15),ISBLANK(F15)),"",VLOOKUP($F15,OFFSET(DADOS!$A$2,1,MATCH(QCI!$E15,DADOS!$2:$2,0)-1,100,50),2,FALSE))</f>
        <v/>
      </c>
      <c r="K15" s="464" t="str">
        <f ca="1">IF(OR($B15="Manual",$B15="SemiAuto"),QCI.LoteManual,IF($B15="Automático",IF(TIPOORCAMENTO="Licitado",Import.CTEF,"LOTE 1"),""))</f>
        <v/>
      </c>
      <c r="L15" s="284">
        <f t="shared" ca="1" si="3"/>
        <v>0</v>
      </c>
      <c r="M15" s="285">
        <f t="shared" ca="1" si="4"/>
        <v>0</v>
      </c>
      <c r="N15" s="286">
        <f t="shared" ca="1" si="5"/>
        <v>0</v>
      </c>
      <c r="O15" s="287">
        <f ca="1">IF($B15="Branco",0,IF(OR($B15="Manual",$B15="SemiAuto"),QCI.InvManual,INDEX(ORÇAMENTO!X$15:X$405,MATCH($A15,ORÇAMENTO!$E$15:$E$405,0))))</f>
        <v>0</v>
      </c>
      <c r="P15" s="580" t="str">
        <f t="shared" ca="1" si="6"/>
        <v/>
      </c>
      <c r="R15" s="466"/>
      <c r="S15" s="581" t="str">
        <f t="shared" si="7"/>
        <v/>
      </c>
      <c r="T15" s="467"/>
      <c r="U15" s="582"/>
      <c r="V15" s="468" t="s">
        <v>821</v>
      </c>
      <c r="W15" s="583">
        <v>0</v>
      </c>
      <c r="X15" s="584">
        <v>0</v>
      </c>
      <c r="Z15">
        <f t="shared" ca="1" si="8"/>
        <v>0</v>
      </c>
      <c r="AA15">
        <f ca="1">IF($B15="Branco",0,IF($B15="Manual",QCI.CPManual,IF($B15="SemiAuto",ROUND(QCI!$AA$3*QCI.InvManual,2),INDEX(ORÇAMENTO!$AA$15:$AA$405,MATCH($A15,ORÇAMENTO!$E$15:$E$405,0)))))</f>
        <v>0</v>
      </c>
      <c r="AB15">
        <f ca="1">IF($B15="Branco",0,IF($B15="Manual",QCI.OutrosManual,IF($B15="SemiAuto",0,INDEX(ORÇAMENTO!$AB$15:$AB$405,MATCH($A15,ORÇAMENTO!$E$15:$E$405,0)))))</f>
        <v>0</v>
      </c>
      <c r="AD15" s="290" t="b">
        <f ca="1">AND($AA$3&gt;0,$AA$3&lt;1,$O15&gt;0,OR($B15="Automático",$B15="SemiAuto"),OR(QCI!$Z$3=QCI!$Z$7,QCI!$Z$3=QCI!$AA$7,QCI!$Z$3=QCI!$AB$7))</f>
        <v>0</v>
      </c>
      <c r="AE15" s="290">
        <f ca="1">IF(AND($AD15,$O15&gt;0,COUNTIF(OFFSET($AD15,1,0):$AD$24,TRUE)=0),CHOOSE(1+LOG(1+2*(QCI!$Z$3=QCI!$Z$7)+4*(QCI!$Z$3=QCI!$AA$7)+8*(QCI!$Z$3=QCI!$AB$7),2),0,$AA$24-ROUND(Import.CPMinPerc*$O$24,2),$AA$24-Import.CPMinAbsoluta,Import.Repasse-$Z$24),0)</f>
        <v>0</v>
      </c>
    </row>
    <row r="16" spans="1:31" ht="30" customHeight="1" x14ac:dyDescent="0.2">
      <c r="A16">
        <f t="shared" ca="1" si="0"/>
        <v>3</v>
      </c>
      <c r="B16" t="str">
        <f ca="1">IF(NOT(ISBLANK(QCI.DescManual)),IF(QCI.Divisao="Calculado","Manual","SemiAuto"),IF(ISERROR(MATCH($A16,ORÇAMENTO!$E$15:$E$405,0)),"Branco","Automático"))</f>
        <v>Branco</v>
      </c>
      <c r="C16" t="str">
        <f t="shared" ca="1" si="1"/>
        <v/>
      </c>
      <c r="D16" s="282">
        <f t="shared" si="2"/>
        <v>3</v>
      </c>
      <c r="E16" s="119"/>
      <c r="F16" s="119"/>
      <c r="G16" s="164" t="str">
        <f ca="1">IF(OR($B16="Manual",$B16="SemiAuto"),QCI.DescManual,IF($B16="Automático",INDEX(ORÇAMENTO!$R$15:$R$405,MATCH($A16,ORÇAMENTO!$E$15:$E$405,0)),""))</f>
        <v/>
      </c>
      <c r="H16" s="119"/>
      <c r="I16" s="465"/>
      <c r="J16" s="283" t="str">
        <f ca="1">IF(AND(ISBLANK(E16),ISBLANK(F16)),"",VLOOKUP($F16,OFFSET(DADOS!$A$2,1,MATCH(QCI!$E16,DADOS!$2:$2,0)-1,100,50),2,FALSE))</f>
        <v/>
      </c>
      <c r="K16" s="464" t="str">
        <f ca="1">IF(OR($B16="Manual",$B16="SemiAuto"),QCI.LoteManual,IF($B16="Automático",IF(TIPOORCAMENTO="Licitado",Import.CTEF,"LOTE 1"),""))</f>
        <v/>
      </c>
      <c r="L16" s="284">
        <f t="shared" ca="1" si="3"/>
        <v>0</v>
      </c>
      <c r="M16" s="285">
        <f t="shared" ca="1" si="4"/>
        <v>0</v>
      </c>
      <c r="N16" s="286">
        <f t="shared" ca="1" si="5"/>
        <v>0</v>
      </c>
      <c r="O16" s="287">
        <f ca="1">IF($B16="Branco",0,IF(OR($B16="Manual",$B16="SemiAuto"),QCI.InvManual,INDEX(ORÇAMENTO!X$15:X$405,MATCH($A16,ORÇAMENTO!$E$15:$E$405,0))))</f>
        <v>0</v>
      </c>
      <c r="P16" s="580" t="str">
        <f t="shared" ca="1" si="6"/>
        <v/>
      </c>
      <c r="R16" s="466"/>
      <c r="S16" s="581" t="str">
        <f t="shared" si="7"/>
        <v/>
      </c>
      <c r="T16" s="467"/>
      <c r="U16" s="582"/>
      <c r="V16" s="468" t="s">
        <v>821</v>
      </c>
      <c r="W16" s="583">
        <v>0</v>
      </c>
      <c r="X16" s="584">
        <v>0</v>
      </c>
      <c r="Z16">
        <f t="shared" ca="1" si="8"/>
        <v>0</v>
      </c>
      <c r="AA16">
        <f ca="1">IF($B16="Branco",0,IF($B16="Manual",QCI.CPManual,IF($B16="SemiAuto",ROUND(QCI!$AA$3*QCI.InvManual,2),INDEX(ORÇAMENTO!$AA$15:$AA$405,MATCH($A16,ORÇAMENTO!$E$15:$E$405,0)))))</f>
        <v>0</v>
      </c>
      <c r="AB16">
        <f ca="1">IF($B16="Branco",0,IF($B16="Manual",QCI.OutrosManual,IF($B16="SemiAuto",0,INDEX(ORÇAMENTO!$AB$15:$AB$405,MATCH($A16,ORÇAMENTO!$E$15:$E$405,0)))))</f>
        <v>0</v>
      </c>
      <c r="AD16" s="290" t="b">
        <f ca="1">AND($AA$3&gt;0,$AA$3&lt;1,$O16&gt;0,OR($B16="Automático",$B16="SemiAuto"),OR(QCI!$Z$3=QCI!$Z$7,QCI!$Z$3=QCI!$AA$7,QCI!$Z$3=QCI!$AB$7))</f>
        <v>0</v>
      </c>
      <c r="AE16" s="290">
        <f ca="1">IF(AND($AD16,$O16&gt;0,COUNTIF(OFFSET($AD16,1,0):$AD$24,TRUE)=0),CHOOSE(1+LOG(1+2*(QCI!$Z$3=QCI!$Z$7)+4*(QCI!$Z$3=QCI!$AA$7)+8*(QCI!$Z$3=QCI!$AB$7),2),0,$AA$24-ROUND(Import.CPMinPerc*$O$24,2),$AA$24-Import.CPMinAbsoluta,Import.Repasse-$Z$24),0)</f>
        <v>0</v>
      </c>
    </row>
    <row r="17" spans="1:31" ht="30" customHeight="1" x14ac:dyDescent="0.2">
      <c r="A17">
        <f t="shared" ca="1" si="0"/>
        <v>4</v>
      </c>
      <c r="B17" t="str">
        <f ca="1">IF(NOT(ISBLANK(QCI.DescManual)),IF(QCI.Divisao="Calculado","Manual","SemiAuto"),IF(ISERROR(MATCH($A17,ORÇAMENTO!$E$15:$E$405,0)),"Branco","Automático"))</f>
        <v>Branco</v>
      </c>
      <c r="C17" t="str">
        <f t="shared" ca="1" si="1"/>
        <v/>
      </c>
      <c r="D17" s="282">
        <f t="shared" si="2"/>
        <v>4</v>
      </c>
      <c r="E17" s="119"/>
      <c r="F17" s="119"/>
      <c r="G17" s="164" t="str">
        <f ca="1">IF(OR($B17="Manual",$B17="SemiAuto"),QCI.DescManual,IF($B17="Automático",INDEX(ORÇAMENTO!$R$15:$R$405,MATCH($A17,ORÇAMENTO!$E$15:$E$405,0)),""))</f>
        <v/>
      </c>
      <c r="H17" s="119"/>
      <c r="I17" s="465"/>
      <c r="J17" s="283" t="str">
        <f ca="1">IF(AND(ISBLANK(E17),ISBLANK(F17)),"",VLOOKUP($F17,OFFSET(DADOS!$A$2,1,MATCH(QCI!$E17,DADOS!$2:$2,0)-1,100,50),2,FALSE))</f>
        <v/>
      </c>
      <c r="K17" s="464" t="str">
        <f ca="1">IF(OR($B17="Manual",$B17="SemiAuto"),QCI.LoteManual,IF($B17="Automático",IF(TIPOORCAMENTO="Licitado",Import.CTEF,"LOTE 1"),""))</f>
        <v/>
      </c>
      <c r="L17" s="284">
        <f t="shared" ca="1" si="3"/>
        <v>0</v>
      </c>
      <c r="M17" s="285">
        <f t="shared" ca="1" si="4"/>
        <v>0</v>
      </c>
      <c r="N17" s="286">
        <f t="shared" ca="1" si="5"/>
        <v>0</v>
      </c>
      <c r="O17" s="287">
        <f ca="1">IF($B17="Branco",0,IF(OR($B17="Manual",$B17="SemiAuto"),QCI.InvManual,INDEX(ORÇAMENTO!X$15:X$405,MATCH($A17,ORÇAMENTO!$E$15:$E$405,0))))</f>
        <v>0</v>
      </c>
      <c r="P17" s="580" t="str">
        <f t="shared" ca="1" si="6"/>
        <v/>
      </c>
      <c r="R17" s="466"/>
      <c r="S17" s="581" t="str">
        <f t="shared" si="7"/>
        <v/>
      </c>
      <c r="T17" s="467"/>
      <c r="U17" s="582"/>
      <c r="V17" s="468" t="s">
        <v>821</v>
      </c>
      <c r="W17" s="583">
        <v>0</v>
      </c>
      <c r="X17" s="584">
        <v>0</v>
      </c>
      <c r="Z17">
        <f t="shared" ca="1" si="8"/>
        <v>0</v>
      </c>
      <c r="AA17">
        <f ca="1">IF($B17="Branco",0,IF($B17="Manual",QCI.CPManual,IF($B17="SemiAuto",ROUND(QCI!$AA$3*QCI.InvManual,2),INDEX(ORÇAMENTO!$AA$15:$AA$405,MATCH($A17,ORÇAMENTO!$E$15:$E$405,0)))))</f>
        <v>0</v>
      </c>
      <c r="AB17">
        <f ca="1">IF($B17="Branco",0,IF($B17="Manual",QCI.OutrosManual,IF($B17="SemiAuto",0,INDEX(ORÇAMENTO!$AB$15:$AB$405,MATCH($A17,ORÇAMENTO!$E$15:$E$405,0)))))</f>
        <v>0</v>
      </c>
      <c r="AD17" s="290" t="b">
        <f ca="1">AND($AA$3&gt;0,$AA$3&lt;1,$O17&gt;0,OR($B17="Automático",$B17="SemiAuto"),OR(QCI!$Z$3=QCI!$Z$7,QCI!$Z$3=QCI!$AA$7,QCI!$Z$3=QCI!$AB$7))</f>
        <v>0</v>
      </c>
      <c r="AE17" s="290">
        <f ca="1">IF(AND($AD17,$O17&gt;0,COUNTIF(OFFSET($AD17,1,0):$AD$24,TRUE)=0),CHOOSE(1+LOG(1+2*(QCI!$Z$3=QCI!$Z$7)+4*(QCI!$Z$3=QCI!$AA$7)+8*(QCI!$Z$3=QCI!$AB$7),2),0,$AA$24-ROUND(Import.CPMinPerc*$O$24,2),$AA$24-Import.CPMinAbsoluta,Import.Repasse-$Z$24),0)</f>
        <v>0</v>
      </c>
    </row>
    <row r="18" spans="1:31" ht="30" customHeight="1" x14ac:dyDescent="0.2">
      <c r="A18">
        <f t="shared" ca="1" si="0"/>
        <v>5</v>
      </c>
      <c r="B18" t="str">
        <f ca="1">IF(NOT(ISBLANK(QCI.DescManual)),IF(QCI.Divisao="Calculado","Manual","SemiAuto"),IF(ISERROR(MATCH($A18,ORÇAMENTO!$E$15:$E$405,0)),"Branco","Automático"))</f>
        <v>Branco</v>
      </c>
      <c r="C18" t="str">
        <f t="shared" ca="1" si="1"/>
        <v/>
      </c>
      <c r="D18" s="282">
        <f t="shared" si="2"/>
        <v>5</v>
      </c>
      <c r="E18" s="119"/>
      <c r="F18" s="119"/>
      <c r="G18" s="164" t="str">
        <f ca="1">IF(OR($B18="Manual",$B18="SemiAuto"),QCI.DescManual,IF($B18="Automático",INDEX(ORÇAMENTO!$R$15:$R$405,MATCH($A18,ORÇAMENTO!$E$15:$E$405,0)),""))</f>
        <v/>
      </c>
      <c r="H18" s="119"/>
      <c r="I18" s="465"/>
      <c r="J18" s="283" t="str">
        <f ca="1">IF(AND(ISBLANK(E18),ISBLANK(F18)),"",VLOOKUP($F18,OFFSET(DADOS!$A$2,1,MATCH(QCI!$E18,DADOS!$2:$2,0)-1,100,50),2,FALSE))</f>
        <v/>
      </c>
      <c r="K18" s="464" t="str">
        <f ca="1">IF(OR($B18="Manual",$B18="SemiAuto"),QCI.LoteManual,IF($B18="Automático",IF(TIPOORCAMENTO="Licitado",Import.CTEF,"LOTE 1"),""))</f>
        <v/>
      </c>
      <c r="L18" s="284">
        <f t="shared" ca="1" si="3"/>
        <v>0</v>
      </c>
      <c r="M18" s="285">
        <f t="shared" ca="1" si="4"/>
        <v>0</v>
      </c>
      <c r="N18" s="286">
        <f t="shared" ca="1" si="5"/>
        <v>0</v>
      </c>
      <c r="O18" s="287">
        <f ca="1">IF($B18="Branco",0,IF(OR($B18="Manual",$B18="SemiAuto"),QCI.InvManual,INDEX(ORÇAMENTO!X$15:X$405,MATCH($A18,ORÇAMENTO!$E$15:$E$405,0))))</f>
        <v>0</v>
      </c>
      <c r="P18" s="580" t="str">
        <f t="shared" ca="1" si="6"/>
        <v/>
      </c>
      <c r="R18" s="466"/>
      <c r="S18" s="581" t="str">
        <f t="shared" si="7"/>
        <v/>
      </c>
      <c r="T18" s="467"/>
      <c r="U18" s="582"/>
      <c r="V18" s="468" t="s">
        <v>821</v>
      </c>
      <c r="W18" s="583">
        <v>0</v>
      </c>
      <c r="X18" s="584">
        <v>0</v>
      </c>
      <c r="Z18">
        <f t="shared" ca="1" si="8"/>
        <v>0</v>
      </c>
      <c r="AA18">
        <f ca="1">IF($B18="Branco",0,IF($B18="Manual",QCI.CPManual,IF($B18="SemiAuto",ROUND(QCI!$AA$3*QCI.InvManual,2),INDEX(ORÇAMENTO!$AA$15:$AA$405,MATCH($A18,ORÇAMENTO!$E$15:$E$405,0)))))</f>
        <v>0</v>
      </c>
      <c r="AB18">
        <f ca="1">IF($B18="Branco",0,IF($B18="Manual",QCI.OutrosManual,IF($B18="SemiAuto",0,INDEX(ORÇAMENTO!$AB$15:$AB$405,MATCH($A18,ORÇAMENTO!$E$15:$E$405,0)))))</f>
        <v>0</v>
      </c>
      <c r="AD18" s="290" t="b">
        <f ca="1">AND($AA$3&gt;0,$AA$3&lt;1,$O18&gt;0,OR($B18="Automático",$B18="SemiAuto"),OR(QCI!$Z$3=QCI!$Z$7,QCI!$Z$3=QCI!$AA$7,QCI!$Z$3=QCI!$AB$7))</f>
        <v>0</v>
      </c>
      <c r="AE18" s="290">
        <f ca="1">IF(AND($AD18,$O18&gt;0,COUNTIF(OFFSET($AD18,1,0):$AD$24,TRUE)=0),CHOOSE(1+LOG(1+2*(QCI!$Z$3=QCI!$Z$7)+4*(QCI!$Z$3=QCI!$AA$7)+8*(QCI!$Z$3=QCI!$AB$7),2),0,$AA$24-ROUND(Import.CPMinPerc*$O$24,2),$AA$24-Import.CPMinAbsoluta,Import.Repasse-$Z$24),0)</f>
        <v>0</v>
      </c>
    </row>
    <row r="19" spans="1:31" ht="30" customHeight="1" x14ac:dyDescent="0.2">
      <c r="A19">
        <f t="shared" ca="1" si="0"/>
        <v>6</v>
      </c>
      <c r="B19" t="str">
        <f ca="1">IF(NOT(ISBLANK(QCI.DescManual)),IF(QCI.Divisao="Calculado","Manual","SemiAuto"),IF(ISERROR(MATCH($A19,ORÇAMENTO!$E$15:$E$405,0)),"Branco","Automático"))</f>
        <v>Branco</v>
      </c>
      <c r="C19" t="str">
        <f t="shared" ca="1" si="1"/>
        <v/>
      </c>
      <c r="D19" s="282">
        <f t="shared" si="2"/>
        <v>6</v>
      </c>
      <c r="E19" s="119"/>
      <c r="F19" s="119"/>
      <c r="G19" s="164" t="str">
        <f ca="1">IF(OR($B19="Manual",$B19="SemiAuto"),QCI.DescManual,IF($B19="Automático",INDEX(ORÇAMENTO!$R$15:$R$405,MATCH($A19,ORÇAMENTO!$E$15:$E$405,0)),""))</f>
        <v/>
      </c>
      <c r="H19" s="119"/>
      <c r="I19" s="465"/>
      <c r="J19" s="283" t="str">
        <f ca="1">IF(AND(ISBLANK(E19),ISBLANK(F19)),"",VLOOKUP($F19,OFFSET(DADOS!$A$2,1,MATCH(QCI!$E19,DADOS!$2:$2,0)-1,100,50),2,FALSE))</f>
        <v/>
      </c>
      <c r="K19" s="464" t="str">
        <f ca="1">IF(OR($B19="Manual",$B19="SemiAuto"),QCI.LoteManual,IF($B19="Automático",IF(TIPOORCAMENTO="Licitado",Import.CTEF,"LOTE 1"),""))</f>
        <v/>
      </c>
      <c r="L19" s="284">
        <f t="shared" ca="1" si="3"/>
        <v>0</v>
      </c>
      <c r="M19" s="285">
        <f t="shared" ca="1" si="4"/>
        <v>0</v>
      </c>
      <c r="N19" s="286">
        <f t="shared" ca="1" si="5"/>
        <v>0</v>
      </c>
      <c r="O19" s="287">
        <f ca="1">IF($B19="Branco",0,IF(OR($B19="Manual",$B19="SemiAuto"),QCI.InvManual,INDEX(ORÇAMENTO!X$15:X$405,MATCH($A19,ORÇAMENTO!$E$15:$E$405,0))))</f>
        <v>0</v>
      </c>
      <c r="P19" s="580" t="str">
        <f t="shared" ca="1" si="6"/>
        <v/>
      </c>
      <c r="R19" s="466"/>
      <c r="S19" s="581" t="str">
        <f t="shared" si="7"/>
        <v/>
      </c>
      <c r="T19" s="467"/>
      <c r="U19" s="582"/>
      <c r="V19" s="468" t="s">
        <v>821</v>
      </c>
      <c r="W19" s="583">
        <v>0</v>
      </c>
      <c r="X19" s="584">
        <v>0</v>
      </c>
      <c r="Z19">
        <f t="shared" ca="1" si="8"/>
        <v>0</v>
      </c>
      <c r="AA19">
        <f ca="1">IF($B19="Branco",0,IF($B19="Manual",QCI.CPManual,IF($B19="SemiAuto",ROUND(QCI!$AA$3*QCI.InvManual,2),INDEX(ORÇAMENTO!$AA$15:$AA$405,MATCH($A19,ORÇAMENTO!$E$15:$E$405,0)))))</f>
        <v>0</v>
      </c>
      <c r="AB19">
        <f ca="1">IF($B19="Branco",0,IF($B19="Manual",QCI.OutrosManual,IF($B19="SemiAuto",0,INDEX(ORÇAMENTO!$AB$15:$AB$405,MATCH($A19,ORÇAMENTO!$E$15:$E$405,0)))))</f>
        <v>0</v>
      </c>
      <c r="AD19" s="290" t="b">
        <f ca="1">AND($AA$3&gt;0,$AA$3&lt;1,$O19&gt;0,OR($B19="Automático",$B19="SemiAuto"),OR(QCI!$Z$3=QCI!$Z$7,QCI!$Z$3=QCI!$AA$7,QCI!$Z$3=QCI!$AB$7))</f>
        <v>0</v>
      </c>
      <c r="AE19" s="290">
        <f ca="1">IF(AND($AD19,$O19&gt;0,COUNTIF(OFFSET($AD19,1,0):$AD$24,TRUE)=0),CHOOSE(1+LOG(1+2*(QCI!$Z$3=QCI!$Z$7)+4*(QCI!$Z$3=QCI!$AA$7)+8*(QCI!$Z$3=QCI!$AB$7),2),0,$AA$24-ROUND(Import.CPMinPerc*$O$24,2),$AA$24-Import.CPMinAbsoluta,Import.Repasse-$Z$24),0)</f>
        <v>0</v>
      </c>
    </row>
    <row r="20" spans="1:31" ht="30" customHeight="1" x14ac:dyDescent="0.2">
      <c r="A20">
        <f t="shared" ca="1" si="0"/>
        <v>7</v>
      </c>
      <c r="B20" t="str">
        <f ca="1">IF(NOT(ISBLANK(QCI.DescManual)),IF(QCI.Divisao="Calculado","Manual","SemiAuto"),IF(ISERROR(MATCH($A20,ORÇAMENTO!$E$15:$E$405,0)),"Branco","Automático"))</f>
        <v>Branco</v>
      </c>
      <c r="C20" t="str">
        <f t="shared" ca="1" si="1"/>
        <v/>
      </c>
      <c r="D20" s="282">
        <f t="shared" si="2"/>
        <v>7</v>
      </c>
      <c r="E20" s="119"/>
      <c r="F20" s="119"/>
      <c r="G20" s="164" t="str">
        <f ca="1">IF(OR($B20="Manual",$B20="SemiAuto"),QCI.DescManual,IF($B20="Automático",INDEX(ORÇAMENTO!$R$15:$R$405,MATCH($A20,ORÇAMENTO!$E$15:$E$405,0)),""))</f>
        <v/>
      </c>
      <c r="H20" s="119"/>
      <c r="I20" s="465"/>
      <c r="J20" s="283" t="str">
        <f ca="1">IF(AND(ISBLANK(E20),ISBLANK(F20)),"",VLOOKUP($F20,OFFSET(DADOS!$A$2,1,MATCH(QCI!$E20,DADOS!$2:$2,0)-1,100,50),2,FALSE))</f>
        <v/>
      </c>
      <c r="K20" s="464" t="str">
        <f ca="1">IF(OR($B20="Manual",$B20="SemiAuto"),QCI.LoteManual,IF($B20="Automático",IF(TIPOORCAMENTO="Licitado",Import.CTEF,"LOTE 1"),""))</f>
        <v/>
      </c>
      <c r="L20" s="284">
        <f t="shared" ca="1" si="3"/>
        <v>0</v>
      </c>
      <c r="M20" s="285">
        <f t="shared" ca="1" si="4"/>
        <v>0</v>
      </c>
      <c r="N20" s="286">
        <f t="shared" ca="1" si="5"/>
        <v>0</v>
      </c>
      <c r="O20" s="287">
        <f ca="1">IF($B20="Branco",0,IF(OR($B20="Manual",$B20="SemiAuto"),QCI.InvManual,INDEX(ORÇAMENTO!X$15:X$405,MATCH($A20,ORÇAMENTO!$E$15:$E$405,0))))</f>
        <v>0</v>
      </c>
      <c r="P20" s="580" t="str">
        <f t="shared" ca="1" si="6"/>
        <v/>
      </c>
      <c r="R20" s="466"/>
      <c r="S20" s="581" t="str">
        <f t="shared" si="7"/>
        <v/>
      </c>
      <c r="T20" s="467"/>
      <c r="U20" s="582"/>
      <c r="V20" s="468" t="s">
        <v>821</v>
      </c>
      <c r="W20" s="583">
        <v>0</v>
      </c>
      <c r="X20" s="584">
        <v>0</v>
      </c>
      <c r="Z20">
        <f t="shared" ca="1" si="8"/>
        <v>0</v>
      </c>
      <c r="AA20">
        <f ca="1">IF($B20="Branco",0,IF($B20="Manual",QCI.CPManual,IF($B20="SemiAuto",ROUND(QCI!$AA$3*QCI.InvManual,2),INDEX(ORÇAMENTO!$AA$15:$AA$405,MATCH($A20,ORÇAMENTO!$E$15:$E$405,0)))))</f>
        <v>0</v>
      </c>
      <c r="AB20">
        <f ca="1">IF($B20="Branco",0,IF($B20="Manual",QCI.OutrosManual,IF($B20="SemiAuto",0,INDEX(ORÇAMENTO!$AB$15:$AB$405,MATCH($A20,ORÇAMENTO!$E$15:$E$405,0)))))</f>
        <v>0</v>
      </c>
      <c r="AD20" s="290" t="b">
        <f ca="1">AND($AA$3&gt;0,$AA$3&lt;1,$O20&gt;0,OR($B20="Automático",$B20="SemiAuto"),OR(QCI!$Z$3=QCI!$Z$7,QCI!$Z$3=QCI!$AA$7,QCI!$Z$3=QCI!$AB$7))</f>
        <v>0</v>
      </c>
      <c r="AE20" s="290">
        <f ca="1">IF(AND($AD20,$O20&gt;0,COUNTIF(OFFSET($AD20,1,0):$AD$24,TRUE)=0),CHOOSE(1+LOG(1+2*(QCI!$Z$3=QCI!$Z$7)+4*(QCI!$Z$3=QCI!$AA$7)+8*(QCI!$Z$3=QCI!$AB$7),2),0,$AA$24-ROUND(Import.CPMinPerc*$O$24,2),$AA$24-Import.CPMinAbsoluta,Import.Repasse-$Z$24),0)</f>
        <v>0</v>
      </c>
    </row>
    <row r="21" spans="1:31" ht="30" customHeight="1" x14ac:dyDescent="0.2">
      <c r="A21">
        <f t="shared" ca="1" si="0"/>
        <v>8</v>
      </c>
      <c r="B21" t="str">
        <f ca="1">IF(NOT(ISBLANK(QCI.DescManual)),IF(QCI.Divisao="Calculado","Manual","SemiAuto"),IF(ISERROR(MATCH($A21,ORÇAMENTO!$E$15:$E$405,0)),"Branco","Automático"))</f>
        <v>Branco</v>
      </c>
      <c r="C21" t="str">
        <f t="shared" ca="1" si="1"/>
        <v/>
      </c>
      <c r="D21" s="282">
        <f t="shared" si="2"/>
        <v>8</v>
      </c>
      <c r="E21" s="119"/>
      <c r="F21" s="119"/>
      <c r="G21" s="164" t="str">
        <f ca="1">IF(OR($B21="Manual",$B21="SemiAuto"),QCI.DescManual,IF($B21="Automático",INDEX(ORÇAMENTO!$R$15:$R$405,MATCH($A21,ORÇAMENTO!$E$15:$E$405,0)),""))</f>
        <v/>
      </c>
      <c r="H21" s="119"/>
      <c r="I21" s="465"/>
      <c r="J21" s="283" t="str">
        <f ca="1">IF(AND(ISBLANK(E21),ISBLANK(F21)),"",VLOOKUP($F21,OFFSET(DADOS!$A$2,1,MATCH(QCI!$E21,DADOS!$2:$2,0)-1,100,50),2,FALSE))</f>
        <v/>
      </c>
      <c r="K21" s="464" t="str">
        <f ca="1">IF(OR($B21="Manual",$B21="SemiAuto"),QCI.LoteManual,IF($B21="Automático",IF(TIPOORCAMENTO="Licitado",Import.CTEF,"LOTE 1"),""))</f>
        <v/>
      </c>
      <c r="L21" s="284">
        <f t="shared" ca="1" si="3"/>
        <v>0</v>
      </c>
      <c r="M21" s="285">
        <f t="shared" ca="1" si="4"/>
        <v>0</v>
      </c>
      <c r="N21" s="286">
        <f t="shared" ca="1" si="5"/>
        <v>0</v>
      </c>
      <c r="O21" s="287">
        <f ca="1">IF($B21="Branco",0,IF(OR($B21="Manual",$B21="SemiAuto"),QCI.InvManual,INDEX(ORÇAMENTO!X$15:X$405,MATCH($A21,ORÇAMENTO!$E$15:$E$405,0))))</f>
        <v>0</v>
      </c>
      <c r="P21" s="580" t="str">
        <f t="shared" ca="1" si="6"/>
        <v/>
      </c>
      <c r="R21" s="466"/>
      <c r="S21" s="581" t="str">
        <f t="shared" si="7"/>
        <v/>
      </c>
      <c r="T21" s="467"/>
      <c r="U21" s="582"/>
      <c r="V21" s="468" t="s">
        <v>821</v>
      </c>
      <c r="W21" s="583">
        <v>0</v>
      </c>
      <c r="X21" s="584">
        <v>0</v>
      </c>
      <c r="Z21">
        <f t="shared" ca="1" si="8"/>
        <v>0</v>
      </c>
      <c r="AA21">
        <f ca="1">IF($B21="Branco",0,IF($B21="Manual",QCI.CPManual,IF($B21="SemiAuto",ROUND(QCI!$AA$3*QCI.InvManual,2),INDEX(ORÇAMENTO!$AA$15:$AA$405,MATCH($A21,ORÇAMENTO!$E$15:$E$405,0)))))</f>
        <v>0</v>
      </c>
      <c r="AB21">
        <f ca="1">IF($B21="Branco",0,IF($B21="Manual",QCI.OutrosManual,IF($B21="SemiAuto",0,INDEX(ORÇAMENTO!$AB$15:$AB$405,MATCH($A21,ORÇAMENTO!$E$15:$E$405,0)))))</f>
        <v>0</v>
      </c>
      <c r="AD21" s="290" t="b">
        <f ca="1">AND($AA$3&gt;0,$AA$3&lt;1,$O21&gt;0,OR($B21="Automático",$B21="SemiAuto"),OR(QCI!$Z$3=QCI!$Z$7,QCI!$Z$3=QCI!$AA$7,QCI!$Z$3=QCI!$AB$7))</f>
        <v>0</v>
      </c>
      <c r="AE21" s="290">
        <f ca="1">IF(AND($AD21,$O21&gt;0,COUNTIF(OFFSET($AD21,1,0):$AD$24,TRUE)=0),CHOOSE(1+LOG(1+2*(QCI!$Z$3=QCI!$Z$7)+4*(QCI!$Z$3=QCI!$AA$7)+8*(QCI!$Z$3=QCI!$AB$7),2),0,$AA$24-ROUND(Import.CPMinPerc*$O$24,2),$AA$24-Import.CPMinAbsoluta,Import.Repasse-$Z$24),0)</f>
        <v>0</v>
      </c>
    </row>
    <row r="22" spans="1:31" ht="30" customHeight="1" x14ac:dyDescent="0.2">
      <c r="A22">
        <f t="shared" ca="1" si="0"/>
        <v>9</v>
      </c>
      <c r="B22" t="str">
        <f ca="1">IF(NOT(ISBLANK(QCI.DescManual)),IF(QCI.Divisao="Calculado","Manual","SemiAuto"),IF(ISERROR(MATCH($A22,ORÇAMENTO!$E$15:$E$405,0)),"Branco","Automático"))</f>
        <v>Branco</v>
      </c>
      <c r="C22" t="str">
        <f t="shared" ca="1" si="1"/>
        <v/>
      </c>
      <c r="D22" s="282">
        <f t="shared" si="2"/>
        <v>9</v>
      </c>
      <c r="E22" s="119"/>
      <c r="F22" s="119"/>
      <c r="G22" s="164" t="str">
        <f ca="1">IF(OR($B22="Manual",$B22="SemiAuto"),QCI.DescManual,IF($B22="Automático",INDEX(ORÇAMENTO!$R$15:$R$405,MATCH($A22,ORÇAMENTO!$E$15:$E$405,0)),""))</f>
        <v/>
      </c>
      <c r="H22" s="119"/>
      <c r="I22" s="465"/>
      <c r="J22" s="283" t="str">
        <f ca="1">IF(AND(ISBLANK(E22),ISBLANK(F22)),"",VLOOKUP($F22,OFFSET(DADOS!$A$2,1,MATCH(QCI!$E22,DADOS!$2:$2,0)-1,100,50),2,FALSE))</f>
        <v/>
      </c>
      <c r="K22" s="464" t="str">
        <f ca="1">IF(OR($B22="Manual",$B22="SemiAuto"),QCI.LoteManual,IF($B22="Automático",IF(TIPOORCAMENTO="Licitado",Import.CTEF,"LOTE 1"),""))</f>
        <v/>
      </c>
      <c r="L22" s="284">
        <f t="shared" ca="1" si="3"/>
        <v>0</v>
      </c>
      <c r="M22" s="285">
        <f t="shared" ca="1" si="4"/>
        <v>0</v>
      </c>
      <c r="N22" s="286">
        <f t="shared" ca="1" si="5"/>
        <v>0</v>
      </c>
      <c r="O22" s="287">
        <f ca="1">IF($B22="Branco",0,IF(OR($B22="Manual",$B22="SemiAuto"),QCI.InvManual,INDEX(ORÇAMENTO!X$15:X$405,MATCH($A22,ORÇAMENTO!$E$15:$E$405,0))))</f>
        <v>0</v>
      </c>
      <c r="P22" s="580" t="str">
        <f t="shared" ca="1" si="6"/>
        <v/>
      </c>
      <c r="R22" s="466"/>
      <c r="S22" s="581" t="str">
        <f t="shared" si="7"/>
        <v/>
      </c>
      <c r="T22" s="467"/>
      <c r="U22" s="582"/>
      <c r="V22" s="468" t="s">
        <v>821</v>
      </c>
      <c r="W22" s="583">
        <v>0</v>
      </c>
      <c r="X22" s="584">
        <v>0</v>
      </c>
      <c r="Z22">
        <f t="shared" ca="1" si="8"/>
        <v>0</v>
      </c>
      <c r="AA22">
        <f ca="1">IF($B22="Branco",0,IF($B22="Manual",QCI.CPManual,IF($B22="SemiAuto",ROUND(QCI!$AA$3*QCI.InvManual,2),INDEX(ORÇAMENTO!$AA$15:$AA$405,MATCH($A22,ORÇAMENTO!$E$15:$E$405,0)))))</f>
        <v>0</v>
      </c>
      <c r="AB22">
        <f ca="1">IF($B22="Branco",0,IF($B22="Manual",QCI.OutrosManual,IF($B22="SemiAuto",0,INDEX(ORÇAMENTO!$AB$15:$AB$405,MATCH($A22,ORÇAMENTO!$E$15:$E$405,0)))))</f>
        <v>0</v>
      </c>
      <c r="AD22" s="290" t="b">
        <f ca="1">AND($AA$3&gt;0,$AA$3&lt;1,$O22&gt;0,OR($B22="Automático",$B22="SemiAuto"),OR(QCI!$Z$3=QCI!$Z$7,QCI!$Z$3=QCI!$AA$7,QCI!$Z$3=QCI!$AB$7))</f>
        <v>0</v>
      </c>
      <c r="AE22" s="290">
        <f ca="1">IF(AND($AD22,$O22&gt;0,COUNTIF(OFFSET($AD22,1,0):$AD$24,TRUE)=0),CHOOSE(1+LOG(1+2*(QCI!$Z$3=QCI!$Z$7)+4*(QCI!$Z$3=QCI!$AA$7)+8*(QCI!$Z$3=QCI!$AB$7),2),0,$AA$24-ROUND(Import.CPMinPerc*$O$24,2),$AA$24-Import.CPMinAbsoluta,Import.Repasse-$Z$24),0)</f>
        <v>0</v>
      </c>
    </row>
    <row r="23" spans="1:31" ht="30" customHeight="1" x14ac:dyDescent="0.2">
      <c r="A23">
        <f t="shared" ca="1" si="0"/>
        <v>10</v>
      </c>
      <c r="B23" t="str">
        <f ca="1">IF(NOT(ISBLANK(QCI.DescManual)),IF(QCI.Divisao="Calculado","Manual","SemiAuto"),IF(ISERROR(MATCH($A23,ORÇAMENTO!$E$15:$E$405,0)),"Branco","Automático"))</f>
        <v>Branco</v>
      </c>
      <c r="C23" t="str">
        <f ca="1">IF(O23&gt;0,"F","")</f>
        <v/>
      </c>
      <c r="D23" s="282">
        <f>ROW()-ROW($D$13)</f>
        <v>10</v>
      </c>
      <c r="E23" s="119"/>
      <c r="F23" s="119"/>
      <c r="G23" s="164" t="str">
        <f ca="1">IF(OR($B23="Manual",$B23="SemiAuto"),QCI.DescManual,IF($B23="Automático",INDEX(ORÇAMENTO!$R$15:$R$405,MATCH($A23,ORÇAMENTO!$E$15:$E$405,0)),""))</f>
        <v/>
      </c>
      <c r="H23" s="119"/>
      <c r="I23" s="465"/>
      <c r="J23" s="283" t="str">
        <f ca="1">IF(AND(ISBLANK(E23),ISBLANK(F23)),"",VLOOKUP($F23,OFFSET(DADOS!$A$2,1,MATCH(QCI!$E23,DADOS!$2:$2,0)-1,100,50),2,FALSE))</f>
        <v/>
      </c>
      <c r="K23" s="464" t="str">
        <f ca="1">IF(OR($B23="Manual",$B23="SemiAuto"),QCI.LoteManual,IF($B23="Automático",IF(TIPOORCAMENTO="Licitado",Import.CTEF,"LOTE 1"),""))</f>
        <v/>
      </c>
      <c r="L23" s="284">
        <f ca="1">ROUND($O23,2)-ROUND($M23,2)-ROUND($N23,2)</f>
        <v>0</v>
      </c>
      <c r="M23" s="285">
        <f ca="1">ROUND($AA23,2)-ROUND($AE23,2)</f>
        <v>0</v>
      </c>
      <c r="N23" s="286">
        <f ca="1">ROUND($AB23,2)</f>
        <v>0</v>
      </c>
      <c r="O23" s="287">
        <f ca="1">IF($B23="Branco",0,IF(OR($B23="Manual",$B23="SemiAuto"),QCI.InvManual,INDEX(ORÇAMENTO!X$15:X$405,MATCH($A23,ORÇAMENTO!$E$15:$E$405,0))))</f>
        <v>0</v>
      </c>
      <c r="P23" s="580" t="str">
        <f ca="1">IF(O23=0,"",
  IF(E23="","ITEM",
  IF(F23="","SUBITEM",
  IF(H23="","SITUAÇÃO",
  IF(I23=0,"QUANT.","")))))</f>
        <v/>
      </c>
      <c r="R23" s="466"/>
      <c r="S23" s="581" t="str">
        <f>IF(R23="","",
  IF(T23=0,"► LOTE",
  IF(U23=0,"► INVEST",
  IF(V23=0,"► DIV",
  IF(AND(V23="Calculado",W23=""),"► CP",
  IF(AND(V23="Calculado",X23=""),"► OU",""))))))</f>
        <v/>
      </c>
      <c r="T23" s="467"/>
      <c r="U23" s="582"/>
      <c r="V23" s="468" t="s">
        <v>821</v>
      </c>
      <c r="W23" s="583">
        <v>0</v>
      </c>
      <c r="X23" s="584">
        <v>0</v>
      </c>
      <c r="Z23">
        <f ca="1">$O23-$AA23-$AB23</f>
        <v>0</v>
      </c>
      <c r="AA23">
        <f ca="1">IF($B23="Branco",0,IF($B23="Manual",QCI.CPManual,IF($B23="SemiAuto",ROUND(QCI!$AA$3*QCI.InvManual,2),INDEX(ORÇAMENTO!$AA$15:$AA$405,MATCH($A23,ORÇAMENTO!$E$15:$E$405,0)))))</f>
        <v>0</v>
      </c>
      <c r="AB23">
        <f ca="1">IF($B23="Branco",0,IF($B23="Manual",QCI.OutrosManual,IF($B23="SemiAuto",0,INDEX(ORÇAMENTO!$AB$15:$AB$405,MATCH($A23,ORÇAMENTO!$E$15:$E$405,0)))))</f>
        <v>0</v>
      </c>
      <c r="AD23" s="290" t="b">
        <f ca="1">AND($AA$3&gt;0,$AA$3&lt;1,$O23&gt;0,OR($B23="Automático",$B23="SemiAuto"),OR(QCI!$Z$3=QCI!$Z$7,QCI!$Z$3=QCI!$AA$7,QCI!$Z$3=QCI!$AB$7))</f>
        <v>0</v>
      </c>
      <c r="AE23" s="290">
        <f ca="1">IF(AND($AD23,$O23&gt;0,COUNTIF(OFFSET($AD23,1,0):$AD$24,TRUE)=0),CHOOSE(1+LOG(1+2*(QCI!$Z$3=QCI!$Z$7)+4*(QCI!$Z$3=QCI!$AA$7)+8*(QCI!$Z$3=QCI!$AB$7),2),0,$AA$24-ROUND(Import.CPMinPerc*$O$24,2),$AA$24-Import.CPMinAbsoluta,Import.Repasse-$Z$24),0)</f>
        <v>0</v>
      </c>
    </row>
    <row r="24" spans="1:31" ht="15" x14ac:dyDescent="0.2">
      <c r="B24" t="s">
        <v>831</v>
      </c>
      <c r="C24" t="s">
        <v>536</v>
      </c>
      <c r="D24" s="295"/>
      <c r="E24" s="296"/>
      <c r="F24" s="296"/>
      <c r="G24" s="296"/>
      <c r="H24" s="296"/>
      <c r="I24" s="296"/>
      <c r="J24" s="296"/>
      <c r="K24" s="769" t="s">
        <v>832</v>
      </c>
      <c r="L24" s="297">
        <f ca="1">SUM(L13:OFFSET(L24,-1,0))</f>
        <v>0</v>
      </c>
      <c r="M24" s="298">
        <f ca="1">SUM(M13:OFFSET(M24,-1,0))</f>
        <v>0</v>
      </c>
      <c r="N24" s="299">
        <f ca="1">SUM(N13:OFFSET(N24,-1,0))</f>
        <v>0</v>
      </c>
      <c r="O24" s="300">
        <f ca="1">SUM(O13:OFFSET(O24,-1,0))</f>
        <v>0</v>
      </c>
      <c r="R24" s="301"/>
      <c r="T24" s="302"/>
      <c r="U24" s="303"/>
      <c r="V24" s="304"/>
      <c r="W24" s="305"/>
      <c r="X24" s="306"/>
      <c r="Z24" s="89">
        <f ca="1">SUMPRODUCT(ROUND(Z13:OFFSET(Z24,-1,0),2))</f>
        <v>0</v>
      </c>
      <c r="AA24" s="89">
        <f ca="1">SUMPRODUCT(ROUND(AA13:OFFSET(AA24,-1,0),2))</f>
        <v>0</v>
      </c>
      <c r="AB24" s="89">
        <f ca="1">SUM(AB13:OFFSET(AB24,-1,0))</f>
        <v>0</v>
      </c>
    </row>
    <row r="25" spans="1:31" x14ac:dyDescent="0.2">
      <c r="B25" t="s">
        <v>833</v>
      </c>
      <c r="C25" t="s">
        <v>536</v>
      </c>
      <c r="D25" s="307"/>
      <c r="E25" s="308"/>
      <c r="F25" s="308"/>
      <c r="G25" s="308"/>
      <c r="H25" s="308"/>
      <c r="I25" s="308"/>
      <c r="J25" s="308"/>
      <c r="K25" s="769"/>
      <c r="L25" s="309">
        <f ca="1">IF(ISERROR(L24/$O24),0,ROUND(L24/$O24,4))</f>
        <v>0</v>
      </c>
      <c r="M25" s="310">
        <f ca="1">IF(ISERROR(M24/$O24),0,ROUND(M24/$O24,4))</f>
        <v>0</v>
      </c>
      <c r="N25" s="311">
        <f ca="1">IF(ISERROR(N24/$O24),0,ROUND(N24/$O24,4))</f>
        <v>0</v>
      </c>
      <c r="O25" s="312">
        <f ca="1">IF(ISERROR(O24/$O24),0,ROUND(O24/$O24,4))</f>
        <v>0</v>
      </c>
      <c r="R25" s="313"/>
      <c r="T25" s="314"/>
      <c r="U25" s="315"/>
      <c r="V25" s="316"/>
      <c r="W25" s="317"/>
      <c r="X25" s="318"/>
    </row>
    <row r="27" spans="1:31" ht="14.25" x14ac:dyDescent="0.2">
      <c r="D27" s="136" t="s">
        <v>690</v>
      </c>
    </row>
    <row r="28" spans="1:31" ht="12.75" customHeight="1" x14ac:dyDescent="0.2">
      <c r="D28" s="707"/>
      <c r="E28" s="707"/>
      <c r="F28" s="707"/>
      <c r="G28" s="707"/>
      <c r="H28" s="707"/>
      <c r="I28" s="707"/>
      <c r="J28" s="707"/>
      <c r="K28" s="707"/>
      <c r="L28" s="707"/>
      <c r="M28" s="707"/>
      <c r="N28" s="707"/>
      <c r="O28" s="707"/>
    </row>
    <row r="29" spans="1:31" ht="12.75" customHeight="1" x14ac:dyDescent="0.2">
      <c r="D29" s="707"/>
      <c r="E29" s="707"/>
      <c r="F29" s="707"/>
      <c r="G29" s="707"/>
      <c r="H29" s="707"/>
      <c r="I29" s="707"/>
      <c r="J29" s="707"/>
      <c r="K29" s="707"/>
      <c r="L29" s="707"/>
      <c r="M29" s="707"/>
      <c r="N29" s="707"/>
      <c r="O29" s="707"/>
    </row>
    <row r="30" spans="1:31" ht="12.75" customHeight="1" x14ac:dyDescent="0.2">
      <c r="D30" s="707"/>
      <c r="E30" s="707"/>
      <c r="F30" s="707"/>
      <c r="G30" s="707"/>
      <c r="H30" s="707"/>
      <c r="I30" s="707"/>
      <c r="J30" s="707"/>
      <c r="K30" s="707"/>
      <c r="L30" s="707"/>
      <c r="M30" s="707"/>
      <c r="N30" s="707"/>
      <c r="O30" s="707"/>
    </row>
    <row r="33" spans="4:12" ht="15" x14ac:dyDescent="0.2">
      <c r="D33" s="709" t="str">
        <f>Import.Município</f>
        <v>Caçador/SC</v>
      </c>
      <c r="E33" s="709"/>
      <c r="F33" s="709"/>
      <c r="I33" s="140"/>
      <c r="J33" s="140"/>
      <c r="K33" s="181"/>
      <c r="L33" s="181"/>
    </row>
    <row r="34" spans="4:12" x14ac:dyDescent="0.2">
      <c r="D34" s="9" t="s">
        <v>694</v>
      </c>
      <c r="I34" s="182" t="s">
        <v>834</v>
      </c>
      <c r="J34" s="182"/>
    </row>
    <row r="35" spans="4:12" x14ac:dyDescent="0.2">
      <c r="I35" s="77" t="str">
        <f>"Nome:" &amp;  " " &amp; DADOS!C28</f>
        <v xml:space="preserve">Nome: </v>
      </c>
    </row>
    <row r="36" spans="4:12" x14ac:dyDescent="0.2">
      <c r="D36" s="703">
        <f>DADOS!$C$25</f>
        <v>0</v>
      </c>
      <c r="E36" s="703"/>
      <c r="F36" s="703"/>
      <c r="I36" s="77" t="str">
        <f>"Cargo:"  &amp; " " &amp; DADOS!C29</f>
        <v xml:space="preserve">Cargo: </v>
      </c>
    </row>
    <row r="37" spans="4:12" x14ac:dyDescent="0.2">
      <c r="D37" s="141" t="s">
        <v>695</v>
      </c>
      <c r="E37" s="1"/>
      <c r="F37" s="1"/>
      <c r="K37" s="77"/>
      <c r="L37" s="78"/>
    </row>
  </sheetData>
  <sheetProtection algorithmName="SHA-512" hashValue="jjakb70ZqEo17+Du+rF5qRl3vE/c2gToYCuLwYfs3e5s47KMFoL2aZv3vyFO6BdUIbxOwmW7QNiEUsm8tyKUzQ==" saltValue="7nJzJPFLesYp5mb9SL8eCA==" spinCount="100000" sheet="1" objects="1" scenarios="1" autoFilter="0"/>
  <autoFilter ref="C13:C25" xr:uid="{00000000-0009-0000-0000-00000A000000}"/>
  <mergeCells count="20">
    <mergeCell ref="D6:K6"/>
    <mergeCell ref="A10:A11"/>
    <mergeCell ref="Z10:AB10"/>
    <mergeCell ref="D36:F36"/>
    <mergeCell ref="D28:O30"/>
    <mergeCell ref="D33:F33"/>
    <mergeCell ref="AD10:AE10"/>
    <mergeCell ref="K24:K25"/>
    <mergeCell ref="C7:C11"/>
    <mergeCell ref="K9:K10"/>
    <mergeCell ref="AD9:AE9"/>
    <mergeCell ref="D7:K7"/>
    <mergeCell ref="G9:H10"/>
    <mergeCell ref="D3:E3"/>
    <mergeCell ref="G3:I3"/>
    <mergeCell ref="J3:L3"/>
    <mergeCell ref="M3:O4"/>
    <mergeCell ref="D4:E4"/>
    <mergeCell ref="G4:I4"/>
    <mergeCell ref="J4:L4"/>
  </mergeCells>
  <phoneticPr fontId="38" type="noConversion"/>
  <conditionalFormatting sqref="T12:V12">
    <cfRule type="expression" dxfId="334" priority="738" stopIfTrue="1">
      <formula>OR($B12="Automático",$B12="Branco")</formula>
    </cfRule>
  </conditionalFormatting>
  <conditionalFormatting sqref="L12">
    <cfRule type="expression" dxfId="333" priority="739" stopIfTrue="1">
      <formula>OR(L12&lt;0,AND(L$13="Contrapartida Financeira (R$)",$B12="T%",OR(L12&lt;Import.CPMinPerc,AND(L12&gt;Import.CPMaxPerc,Import.CPMaxPerc&gt;0))),AND(L$13="Contrapartida Financeira (R$)",$B12="TR$",L12&lt;Import.CPMinAbsoluta))</formula>
    </cfRule>
  </conditionalFormatting>
  <conditionalFormatting sqref="W12:X12">
    <cfRule type="expression" dxfId="332" priority="740" stopIfTrue="1">
      <formula>OR($B12="Automático",$B12="Branco",$V12&lt;&gt;"Calculado")</formula>
    </cfRule>
  </conditionalFormatting>
  <conditionalFormatting sqref="M25">
    <cfRule type="expression" dxfId="331" priority="742" stopIfTrue="1">
      <formula>AND($G$9&lt;&gt;"",OR($M$25&lt;Import.CPMinPerc,$M$25&gt;Import.CPMaxPerc))</formula>
    </cfRule>
  </conditionalFormatting>
  <conditionalFormatting sqref="M24">
    <cfRule type="expression" dxfId="330" priority="743" stopIfTrue="1">
      <formula>AND($G$9&lt;&gt;"",$M$24&lt;Import.CPMinAbsoluta)</formula>
    </cfRule>
  </conditionalFormatting>
  <conditionalFormatting sqref="L10:M10">
    <cfRule type="cellIs" dxfId="329" priority="744" stopIfTrue="1" operator="lessThan">
      <formula>0</formula>
    </cfRule>
  </conditionalFormatting>
  <conditionalFormatting sqref="G12">
    <cfRule type="cellIs" dxfId="328" priority="745" stopIfTrue="1" operator="equal">
      <formula>"(digite a descrição aqui)"</formula>
    </cfRule>
  </conditionalFormatting>
  <conditionalFormatting sqref="T14:V22">
    <cfRule type="expression" dxfId="327" priority="5" stopIfTrue="1">
      <formula>OR($B14="Automático",$B14="Branco")</formula>
    </cfRule>
  </conditionalFormatting>
  <conditionalFormatting sqref="L14:L22">
    <cfRule type="expression" dxfId="326" priority="6" stopIfTrue="1">
      <formula>OR(L14&lt;0,AND(L$13="Contrapartida Financeira (R$)",$B14="T%",OR(L14&lt;Import.CPMinPerc,AND(L14&gt;Import.CPMaxPerc,Import.CPMaxPerc&gt;0))),AND(L$13="Contrapartida Financeira (R$)",$B14="TR$",L14&lt;Import.CPMinAbsoluta))</formula>
    </cfRule>
  </conditionalFormatting>
  <conditionalFormatting sqref="W14:X22">
    <cfRule type="expression" dxfId="325" priority="7" stopIfTrue="1">
      <formula>OR($B14="Automático",$B14="Branco",$V14&lt;&gt;"Calculado")</formula>
    </cfRule>
  </conditionalFormatting>
  <conditionalFormatting sqref="G14:G22">
    <cfRule type="cellIs" dxfId="324" priority="8" stopIfTrue="1" operator="equal">
      <formula>"(digite a descrição aqui)"</formula>
    </cfRule>
  </conditionalFormatting>
  <conditionalFormatting sqref="T23:V23">
    <cfRule type="expression" dxfId="323" priority="1" stopIfTrue="1">
      <formula>OR($B23="Automático",$B23="Branco")</formula>
    </cfRule>
  </conditionalFormatting>
  <conditionalFormatting sqref="L23">
    <cfRule type="expression" dxfId="322" priority="2" stopIfTrue="1">
      <formula>OR(L23&lt;0,AND(L$13="Contrapartida Financeira (R$)",$B23="T%",OR(L23&lt;Import.CPMinPerc,AND(L23&gt;Import.CPMaxPerc,Import.CPMaxPerc&gt;0))),AND(L$13="Contrapartida Financeira (R$)",$B23="TR$",L23&lt;Import.CPMinAbsoluta))</formula>
    </cfRule>
  </conditionalFormatting>
  <conditionalFormatting sqref="W23:X23">
    <cfRule type="expression" dxfId="321" priority="3" stopIfTrue="1">
      <formula>OR($B23="Automático",$B23="Branco",$V23&lt;&gt;"Calculado")</formula>
    </cfRule>
  </conditionalFormatting>
  <conditionalFormatting sqref="G23">
    <cfRule type="cellIs" dxfId="320" priority="4" stopIfTrue="1" operator="equal">
      <formula>"(digite a descrição aqui)"</formula>
    </cfRule>
  </conditionalFormatting>
  <dataValidations count="9">
    <dataValidation type="decimal" operator="greaterThan" allowBlank="1" showErrorMessage="1" error="Digite apenas números decimais maiores do que 0." sqref="U12 U14:U23" xr:uid="{00000000-0002-0000-0A00-000000000000}">
      <formula1>0</formula1>
      <formula2>0</formula2>
    </dataValidation>
    <dataValidation type="list" allowBlank="1" sqref="E12 E14:E23" xr:uid="{00000000-0002-0000-0A00-000001000000}">
      <formula1>QCI.ItemInvestimento</formula1>
      <formula2>0</formula2>
    </dataValidation>
    <dataValidation type="list" allowBlank="1" sqref="F12 F14:F23" xr:uid="{00000000-0002-0000-0A00-000002000000}">
      <formula1>QCI.SubItemInvestimento</formula1>
      <formula2>0</formula2>
    </dataValidation>
    <dataValidation type="list" allowBlank="1" sqref="H12 H14:H23" xr:uid="{00000000-0002-0000-0A00-000003000000}">
      <formula1>"Sem Projeto,Em Análise,Análise Concluída / A Licitar,Licitado / Em Execução,Concluído"</formula1>
      <formula2>0</formula2>
    </dataValidation>
    <dataValidation type="decimal" operator="greaterThan" allowBlank="1" showErrorMessage="1" errorTitle="Erro" error="Digite valores maiores do que 0." sqref="I12 I14:I23" xr:uid="{00000000-0002-0000-0A00-000004000000}">
      <formula1>0</formula1>
      <formula2>0</formula2>
    </dataValidation>
    <dataValidation type="list" allowBlank="1" showErrorMessage="1" sqref="V12 V14:V23" xr:uid="{00000000-0002-0000-0A00-000005000000}">
      <formula1>"Proporcional,Calculado"</formula1>
      <formula2>0</formula2>
    </dataValidation>
    <dataValidation type="decimal" allowBlank="1" showInputMessage="1" showErrorMessage="1" errorTitle="Erro de valor" error="Digite somente valor de 0,00 ao valor do Investimento. A Somatória dos valores não deve ultrapassar o valor de Investimento." promptTitle="Contrapartida Financeira:" prompt="Digite o valor de Contrapartida Financeira para esta Meta." sqref="W12 W14:W23" xr:uid="{00000000-0002-0000-0A00-000006000000}">
      <formula1>0</formula1>
      <formula2>QCI.MaxCPManual</formula2>
    </dataValidation>
    <dataValidation type="decimal" allowBlank="1" showInputMessage="1" showErrorMessage="1" errorTitle="Erro de valor" error="Digite somente valor de 0,00 ao valor do Investimento. A Somatória dos valores não deve ultrapassar o valor de Investimento." promptTitle="Contrapartida Física / Outros:" prompt="Digite o valor de Contrapartida Física / Outros para esta Meta." sqref="X12 X14:X23" xr:uid="{00000000-0002-0000-0A00-000007000000}">
      <formula1>0</formula1>
      <formula2>QCI.MaxOUManual</formula2>
    </dataValidation>
    <dataValidation allowBlank="1" showInputMessage="1" showErrorMessage="1" prompt="Preencha somente se a meta não fizer parte do Orçamento desta Plan. Mult." sqref="R12 R14:R23" xr:uid="{00000000-0002-0000-0A00-000008000000}"/>
  </dataValidations>
  <pageMargins left="0.78740157480314998" right="0.78740157480314998" top="0.78740157480314998" bottom="0.78740157480314998" header="0.59055118110236204" footer="0.59055118110236204"/>
  <pageSetup paperSize="9" scale="63" firstPageNumber="0" fitToHeight="0" orientation="landscape" horizontalDpi="300" verticalDpi="300" r:id="rId1"/>
  <headerFooter alignWithMargins="0">
    <oddHeader>&amp;L_&amp;C&amp;14I</oddHeader>
    <oddFooter>&amp;LPMv3.11&amp;R&amp;P / &amp;N</oddFooter>
  </headerFooter>
  <colBreaks count="1" manualBreakCount="1">
    <brk id="15" max="1048575" man="1"/>
  </colBreaks>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11"/>
  <dimension ref="A1:AG82"/>
  <sheetViews>
    <sheetView showGridLines="0" zoomScaleNormal="100" zoomScaleSheetLayoutView="100" workbookViewId="0">
      <pane xSplit="4" ySplit="13" topLeftCell="E14" activePane="bottomRight" state="frozen"/>
      <selection pane="topRight" activeCell="E1" sqref="E1"/>
      <selection pane="bottomLeft" activeCell="A13" sqref="A13"/>
      <selection pane="bottomRight"/>
    </sheetView>
  </sheetViews>
  <sheetFormatPr defaultRowHeight="12.75" x14ac:dyDescent="0.2"/>
  <cols>
    <col min="1" max="1" width="3.5703125" customWidth="1"/>
    <col min="2" max="2" width="8.140625" customWidth="1"/>
    <col min="3" max="3" width="17" customWidth="1"/>
    <col min="4" max="4" width="19.85546875" customWidth="1"/>
    <col min="5" max="5" width="0.85546875" customWidth="1"/>
    <col min="6" max="6" width="5.5703125" hidden="1" customWidth="1"/>
    <col min="7" max="7" width="9.140625" hidden="1" customWidth="1"/>
    <col min="8" max="32" width="5.5703125" customWidth="1"/>
    <col min="33" max="33" width="8.5703125" hidden="1" customWidth="1"/>
    <col min="34" max="34" width="8.5703125" customWidth="1"/>
  </cols>
  <sheetData>
    <row r="1" spans="1:33" hidden="1" x14ac:dyDescent="0.2">
      <c r="A1" s="7" t="e">
        <f ca="1">IF(AUTOEVENTO="Manual",IF(OFFSET(EVENTOS!$F$14,PLE!$B1,0)&gt;0,"F",""),IF(PLE!B1&lt;=MAX(CÁLCULO!$M$15:$M$405),"F",""))</f>
        <v>#REF!</v>
      </c>
      <c r="B1" s="248" t="e">
        <f ca="1">OFFSET(B1,-1,0)+1</f>
        <v>#REF!</v>
      </c>
      <c r="C1" s="773" t="e">
        <f ca="1">IF(AUTOEVENTO="Manual",OFFSET(EVENTOS!$D$15,$B1-$B$15,0),IF(B1&lt;=MAX(CÁLCULO!$M$15:$M$405),VLOOKUP($B1,CÁLCULO!$M$15:$N$405,2,FALSE),0))</f>
        <v>#REF!</v>
      </c>
      <c r="D1" s="773"/>
      <c r="F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row>
    <row r="2" spans="1:33" hidden="1" x14ac:dyDescent="0.2">
      <c r="A2" s="7"/>
      <c r="B2" s="7"/>
      <c r="C2" s="12"/>
      <c r="D2" s="12"/>
      <c r="F2" s="439"/>
    </row>
    <row r="3" spans="1:33" ht="15.75" x14ac:dyDescent="0.25">
      <c r="H3" s="207" t="s">
        <v>835</v>
      </c>
      <c r="AD3" s="671" t="s">
        <v>644</v>
      </c>
      <c r="AE3" s="671"/>
      <c r="AF3" s="671"/>
    </row>
    <row r="4" spans="1:33" ht="15.75" x14ac:dyDescent="0.2">
      <c r="B4" s="82"/>
      <c r="C4" s="82"/>
      <c r="H4" s="83" t="str">
        <f>import.recurso</f>
        <v>(SELECIONAR)</v>
      </c>
      <c r="AD4" s="672" t="s">
        <v>647</v>
      </c>
      <c r="AE4" s="672"/>
      <c r="AF4" s="672"/>
    </row>
    <row r="6" spans="1:33" x14ac:dyDescent="0.2">
      <c r="B6" s="209" t="s">
        <v>650</v>
      </c>
      <c r="C6" s="264"/>
      <c r="D6" s="211" t="s">
        <v>708</v>
      </c>
      <c r="E6" s="4"/>
      <c r="H6" s="212" t="s">
        <v>790</v>
      </c>
      <c r="I6" s="187"/>
      <c r="J6" s="187"/>
      <c r="K6" s="187"/>
      <c r="L6" s="186"/>
      <c r="M6" s="186"/>
      <c r="N6" s="265"/>
      <c r="O6" s="209" t="s">
        <v>759</v>
      </c>
      <c r="P6" s="213"/>
      <c r="R6" s="187"/>
      <c r="S6" s="187"/>
      <c r="T6" s="187"/>
      <c r="U6" s="210"/>
      <c r="V6" s="209" t="str">
        <f>IF(TIPOORCAMENTO="Licitado","NOME DA EMPRESA","DESCRIÇÃO DO LOTE")</f>
        <v>DESCRIÇÃO DO LOTE</v>
      </c>
      <c r="W6" s="187"/>
      <c r="X6" s="187"/>
      <c r="Y6" s="187"/>
      <c r="AD6" s="4"/>
      <c r="AE6" s="788" t="str">
        <f>IF(TIPOORCAMENTO="Licitado","Nº CTEF","")</f>
        <v/>
      </c>
      <c r="AF6" s="788"/>
    </row>
    <row r="7" spans="1:33" x14ac:dyDescent="0.2">
      <c r="B7" s="752">
        <f>Import.CR</f>
        <v>0</v>
      </c>
      <c r="C7" s="752"/>
      <c r="D7" s="215" t="str">
        <f>Import.TransfereGOV</f>
        <v>958977</v>
      </c>
      <c r="E7" s="42"/>
      <c r="H7" s="762" t="str">
        <f>Import.Proponente</f>
        <v>PREFEITURA MUNICIPAL DE CAÇADOR</v>
      </c>
      <c r="I7" s="762"/>
      <c r="J7" s="762"/>
      <c r="K7" s="762"/>
      <c r="L7" s="762"/>
      <c r="M7" s="762"/>
      <c r="N7" s="762"/>
      <c r="O7" s="752" t="str">
        <f>Import.Apelido</f>
        <v>CMEI Sorgatto</v>
      </c>
      <c r="P7" s="752"/>
      <c r="Q7" s="752"/>
      <c r="R7" s="752"/>
      <c r="S7" s="752"/>
      <c r="T7" s="752"/>
      <c r="U7" s="752"/>
      <c r="V7" s="752">
        <f>IF(TIPOORCAMENTO="Licitado",Import.empresa,Import.DescLote)</f>
        <v>0</v>
      </c>
      <c r="W7" s="752"/>
      <c r="X7" s="752"/>
      <c r="Y7" s="752"/>
      <c r="Z7" s="752"/>
      <c r="AA7" s="752"/>
      <c r="AB7" s="752"/>
      <c r="AC7" s="752"/>
      <c r="AD7" s="752"/>
      <c r="AE7" s="789" t="str">
        <f>IF(TIPOORCAMENTO="Licitado",Import.CTEF,"")</f>
        <v/>
      </c>
      <c r="AF7" s="789"/>
      <c r="AG7" s="266"/>
    </row>
    <row r="9" spans="1:33" ht="15.75" x14ac:dyDescent="0.25">
      <c r="A9" s="166">
        <v>0</v>
      </c>
      <c r="B9" s="267"/>
      <c r="C9" s="267"/>
      <c r="I9" s="268" t="s">
        <v>836</v>
      </c>
      <c r="J9" s="791">
        <v>1</v>
      </c>
      <c r="K9" s="791"/>
      <c r="M9" s="268" t="s">
        <v>801</v>
      </c>
      <c r="N9" s="792" t="str">
        <f ca="1">TEXT(IF(PLE.Medicao=1,Import.DataInicioObra,OFFSET($H$68,0,1+(PLE.Medicao-$I$69)*2-2)+1),"dd/mm/aaaa")&amp;" a "&amp;TEXT(OFFSET($H$68,0,1+(PLE.Medicao-$I$69)*2),"dd/mm/aaaa")</f>
        <v>00/01/1900 a 00/01/1900</v>
      </c>
      <c r="O9" s="792"/>
      <c r="P9" s="792"/>
      <c r="Q9" s="792"/>
      <c r="R9" s="792"/>
      <c r="S9" s="792"/>
      <c r="T9" s="792"/>
      <c r="U9" s="269"/>
      <c r="X9" s="268" t="s">
        <v>837</v>
      </c>
      <c r="Y9" s="790" t="e">
        <f ca="1">OFFSET($I$69,1+8*(ROUNDUP(($J$9-0)/((COLUMN($AG$14)-COLUMN($G$14)-1)/25*12),0)-1),ROUNDDOWN((($J$9-0)-OFFSET($I$69,8*(ROUNDUP(($J$9-0)/((COLUMN($AG$14)-COLUMN($G$14)-1)/25*12),0)-1),0))*(2+1/12),0))</f>
        <v>#DIV/0!</v>
      </c>
      <c r="Z9" s="790"/>
      <c r="AD9" s="268" t="s">
        <v>838</v>
      </c>
      <c r="AE9" s="790" t="e">
        <f ca="1">OFFSET($I$69,3+8*(ROUNDUP(($J$9-0)/((COLUMN($AG$14)-COLUMN($G$14)-1)/25*12),0)-1),ROUNDDOWN((($J$9-0)-OFFSET($I$69,8*(ROUNDUP(($J$9-0)/((COLUMN($AG$14)-COLUMN($G$14)-1)/25*12),0)-1),0))*(2+1/12),0))</f>
        <v>#DIV/0!</v>
      </c>
      <c r="AF9" s="790"/>
    </row>
    <row r="11" spans="1:33" ht="65.25" customHeight="1" x14ac:dyDescent="0.2">
      <c r="A11" s="251" t="s">
        <v>839</v>
      </c>
      <c r="C11" s="787" t="str">
        <f>IF(_xlfn.SINGLE(TIPOORCAMENTO)="proposto","ALTERE O TIPO DE ORÇAMENTO NA ABA 'MENU' PARA LICITADO.",
 IF(_xlfn.SINGLE(ACOMPANHAMENTO)="BM","FOI SELECIONADO NA ABA 'MENU' O ACOMPANHAMENTO POR BM.",
 IF(AND(PLE.Medicao=1,DADOS!$C$47=0),"PREENCHER A DATA DE INÍCIO DA OBRA, NA ABA DADOS",
 IF($Y$9=0,"PREENCHER A MEDIÇÃO "&amp;PLE.Medicao,
 IF($H$68&lt;&gt;"",UPPER($H$68),
 IF($S$77&lt;&gt;"",UPPER($S$77),""))))))</f>
        <v>ALTERE O TIPO DE ORÇAMENTO NA ABA 'MENU' PARA LICITADO.</v>
      </c>
      <c r="D11" s="787"/>
      <c r="F11" s="253">
        <f ca="1">IF(F$12&gt;CÁLCULO.NúmeroDeFrentes,"",OFFSET(CÁLCULO!$P$12,0,F$12))</f>
        <v>0</v>
      </c>
      <c r="H11" s="253">
        <f ca="1">IF(H$12&gt;CÁLCULO.NúmeroDeFrentes,"",OFFSET(CÁLCULO!$P$12,0,H$12))</f>
        <v>0</v>
      </c>
      <c r="I11" s="253">
        <f ca="1">IF(I$12&gt;CÁLCULO.NúmeroDeFrentes,"",OFFSET(CÁLCULO!$P$12,0,I$12))</f>
        <v>0</v>
      </c>
      <c r="J11" s="253">
        <f ca="1">IF(J$12&gt;CÁLCULO.NúmeroDeFrentes,"",OFFSET(CÁLCULO!$P$12,0,J$12))</f>
        <v>0</v>
      </c>
      <c r="K11" s="253">
        <f ca="1">IF(K$12&gt;CÁLCULO.NúmeroDeFrentes,"",OFFSET(CÁLCULO!$P$12,0,K$12))</f>
        <v>0</v>
      </c>
      <c r="L11" s="253">
        <f ca="1">IF(L$12&gt;CÁLCULO.NúmeroDeFrentes,"",OFFSET(CÁLCULO!$P$12,0,L$12))</f>
        <v>0</v>
      </c>
      <c r="M11" s="253">
        <f ca="1">IF(M$12&gt;CÁLCULO.NúmeroDeFrentes,"",OFFSET(CÁLCULO!$P$12,0,M$12))</f>
        <v>0</v>
      </c>
      <c r="N11" s="253">
        <f ca="1">IF(N$12&gt;CÁLCULO.NúmeroDeFrentes,"",OFFSET(CÁLCULO!$P$12,0,N$12))</f>
        <v>0</v>
      </c>
      <c r="O11" s="253">
        <f ca="1">IF(O$12&gt;CÁLCULO.NúmeroDeFrentes,"",OFFSET(CÁLCULO!$P$12,0,O$12))</f>
        <v>0</v>
      </c>
      <c r="P11" s="253">
        <f ca="1">IF(P$12&gt;CÁLCULO.NúmeroDeFrentes,"",OFFSET(CÁLCULO!$P$12,0,P$12))</f>
        <v>0</v>
      </c>
      <c r="Q11" s="253">
        <f ca="1">IF(Q$12&gt;CÁLCULO.NúmeroDeFrentes,"",OFFSET(CÁLCULO!$P$12,0,Q$12))</f>
        <v>0</v>
      </c>
      <c r="R11" s="253" t="str">
        <f ca="1">IF(R$12&gt;CÁLCULO.NúmeroDeFrentes,"",OFFSET(CÁLCULO!$P$12,0,R$12))</f>
        <v/>
      </c>
      <c r="S11" s="253" t="str">
        <f ca="1">IF(S$12&gt;CÁLCULO.NúmeroDeFrentes,"",OFFSET(CÁLCULO!$P$12,0,S$12))</f>
        <v/>
      </c>
      <c r="T11" s="253" t="str">
        <f ca="1">IF(T$12&gt;CÁLCULO.NúmeroDeFrentes,"",OFFSET(CÁLCULO!$P$12,0,T$12))</f>
        <v/>
      </c>
      <c r="U11" s="253" t="str">
        <f ca="1">IF(U$12&gt;CÁLCULO.NúmeroDeFrentes,"",OFFSET(CÁLCULO!$P$12,0,U$12))</f>
        <v/>
      </c>
      <c r="V11" s="253" t="str">
        <f ca="1">IF(V$12&gt;CÁLCULO.NúmeroDeFrentes,"",OFFSET(CÁLCULO!$P$12,0,V$12))</f>
        <v/>
      </c>
      <c r="W11" s="253" t="str">
        <f ca="1">IF(W$12&gt;CÁLCULO.NúmeroDeFrentes,"",OFFSET(CÁLCULO!$P$12,0,W$12))</f>
        <v/>
      </c>
      <c r="X11" s="253" t="str">
        <f ca="1">IF(X$12&gt;CÁLCULO.NúmeroDeFrentes,"",OFFSET(CÁLCULO!$P$12,0,X$12))</f>
        <v/>
      </c>
      <c r="Y11" s="253" t="str">
        <f ca="1">IF(Y$12&gt;CÁLCULO.NúmeroDeFrentes,"",OFFSET(CÁLCULO!$P$12,0,Y$12))</f>
        <v/>
      </c>
      <c r="Z11" s="253" t="str">
        <f ca="1">IF(Z$12&gt;CÁLCULO.NúmeroDeFrentes,"",OFFSET(CÁLCULO!$P$12,0,Z$12))</f>
        <v/>
      </c>
      <c r="AA11" s="253" t="str">
        <f ca="1">IF(AA$12&gt;CÁLCULO.NúmeroDeFrentes,"",OFFSET(CÁLCULO!$P$12,0,AA$12))</f>
        <v/>
      </c>
      <c r="AB11" s="253" t="str">
        <f ca="1">IF(AB$12&gt;CÁLCULO.NúmeroDeFrentes,"",OFFSET(CÁLCULO!$P$12,0,AB$12))</f>
        <v/>
      </c>
      <c r="AC11" s="253" t="str">
        <f ca="1">IF(AC$12&gt;CÁLCULO.NúmeroDeFrentes,"",OFFSET(CÁLCULO!$P$12,0,AC$12))</f>
        <v/>
      </c>
      <c r="AD11" s="253" t="str">
        <f ca="1">IF(AD$12&gt;CÁLCULO.NúmeroDeFrentes,"",OFFSET(CÁLCULO!$P$12,0,AD$12))</f>
        <v/>
      </c>
      <c r="AE11" s="253" t="str">
        <f ca="1">IF(AE$12&gt;CÁLCULO.NúmeroDeFrentes,"",OFFSET(CÁLCULO!$P$12,0,AE$12))</f>
        <v/>
      </c>
      <c r="AF11" s="253" t="str">
        <f ca="1">IF(AF$12&gt;CÁLCULO.NúmeroDeFrentes,"",OFFSET(CÁLCULO!$P$12,0,AF$12))</f>
        <v/>
      </c>
    </row>
    <row r="12" spans="1:33" ht="12.75" customHeight="1" x14ac:dyDescent="0.2">
      <c r="A12" s="107" t="s">
        <v>660</v>
      </c>
      <c r="B12" s="744" t="s">
        <v>761</v>
      </c>
      <c r="C12" s="744" t="s">
        <v>780</v>
      </c>
      <c r="D12" s="744"/>
      <c r="F12" s="254">
        <f ca="1">OFFSET(F12,0,-1)+1</f>
        <v>1</v>
      </c>
      <c r="H12" s="254">
        <f ca="1">OFFSET(H12,0,-1)+1</f>
        <v>1</v>
      </c>
      <c r="I12" s="254">
        <f ca="1">OFFSET(I12,0,-1)+1</f>
        <v>2</v>
      </c>
      <c r="J12" s="254">
        <f t="shared" ref="J12:AF12" ca="1" si="0">OFFSET(J12,0,-1)+1</f>
        <v>3</v>
      </c>
      <c r="K12" s="254">
        <f t="shared" ca="1" si="0"/>
        <v>4</v>
      </c>
      <c r="L12" s="254">
        <f t="shared" ca="1" si="0"/>
        <v>5</v>
      </c>
      <c r="M12" s="254">
        <f t="shared" ca="1" si="0"/>
        <v>6</v>
      </c>
      <c r="N12" s="254">
        <f t="shared" ca="1" si="0"/>
        <v>7</v>
      </c>
      <c r="O12" s="254">
        <f t="shared" ca="1" si="0"/>
        <v>8</v>
      </c>
      <c r="P12" s="254">
        <f t="shared" ca="1" si="0"/>
        <v>9</v>
      </c>
      <c r="Q12" s="254">
        <f t="shared" ca="1" si="0"/>
        <v>10</v>
      </c>
      <c r="R12" s="254">
        <f t="shared" ca="1" si="0"/>
        <v>11</v>
      </c>
      <c r="S12" s="254">
        <f t="shared" ca="1" si="0"/>
        <v>12</v>
      </c>
      <c r="T12" s="254">
        <f t="shared" ca="1" si="0"/>
        <v>13</v>
      </c>
      <c r="U12" s="254">
        <f t="shared" ca="1" si="0"/>
        <v>14</v>
      </c>
      <c r="V12" s="254">
        <f t="shared" ca="1" si="0"/>
        <v>15</v>
      </c>
      <c r="W12" s="254">
        <f t="shared" ca="1" si="0"/>
        <v>16</v>
      </c>
      <c r="X12" s="254">
        <f t="shared" ca="1" si="0"/>
        <v>17</v>
      </c>
      <c r="Y12" s="254">
        <f t="shared" ca="1" si="0"/>
        <v>18</v>
      </c>
      <c r="Z12" s="254">
        <f t="shared" ca="1" si="0"/>
        <v>19</v>
      </c>
      <c r="AA12" s="254">
        <f t="shared" ca="1" si="0"/>
        <v>20</v>
      </c>
      <c r="AB12" s="254">
        <f t="shared" ca="1" si="0"/>
        <v>21</v>
      </c>
      <c r="AC12" s="254">
        <f t="shared" ca="1" si="0"/>
        <v>22</v>
      </c>
      <c r="AD12" s="254">
        <f t="shared" ca="1" si="0"/>
        <v>23</v>
      </c>
      <c r="AE12" s="254">
        <f t="shared" ca="1" si="0"/>
        <v>24</v>
      </c>
      <c r="AF12" s="254">
        <f t="shared" ca="1" si="0"/>
        <v>25</v>
      </c>
    </row>
    <row r="13" spans="1:33" x14ac:dyDescent="0.2">
      <c r="B13" s="744"/>
      <c r="C13" s="744"/>
      <c r="D13" s="744"/>
      <c r="F13" s="256"/>
      <c r="H13" s="256"/>
      <c r="I13" s="255"/>
      <c r="J13" s="255"/>
      <c r="K13" s="255"/>
      <c r="L13" s="255"/>
      <c r="M13" s="255"/>
      <c r="N13" s="255" t="s">
        <v>840</v>
      </c>
      <c r="O13" s="255"/>
      <c r="P13" s="255"/>
      <c r="Q13" s="255"/>
      <c r="R13" s="255"/>
      <c r="S13" s="255"/>
      <c r="T13" s="255"/>
      <c r="U13" s="255"/>
      <c r="V13" s="255"/>
      <c r="W13" s="255"/>
      <c r="X13" s="255"/>
      <c r="Y13" s="255"/>
      <c r="Z13" s="255"/>
      <c r="AA13" s="255"/>
      <c r="AB13" s="255"/>
      <c r="AC13" s="255"/>
      <c r="AD13" s="255"/>
      <c r="AE13" s="255"/>
      <c r="AF13" s="257"/>
    </row>
    <row r="14" spans="1:33" ht="3.95" customHeight="1" x14ac:dyDescent="0.2">
      <c r="A14" s="7" t="s">
        <v>536</v>
      </c>
    </row>
    <row r="15" spans="1:33" x14ac:dyDescent="0.2">
      <c r="A15" s="7" t="str">
        <f ca="1">IF(AND(AUTOEVENTO="Manual",OFFSET(EVENTOS!$F$1,1,0)&gt;0),"F","")</f>
        <v/>
      </c>
      <c r="B15" s="258">
        <f ca="1">EVENTOS!$C$15</f>
        <v>0</v>
      </c>
      <c r="C15" s="786" t="str">
        <f ca="1">EVENTOS!$D$15</f>
        <v/>
      </c>
      <c r="D15" s="786"/>
      <c r="F15" s="261"/>
      <c r="H15" s="261" t="str">
        <f ca="1">IF(AUTOEVENTO="MANUAL","A administração local será proporcional a execução dos demais eventos, independente de frentes de obra.","Para aplicação de Adm. Local é necessário definir os eventos manualmente.")</f>
        <v>Para aplicação de Adm. Local é necessário definir os eventos manualmente.</v>
      </c>
      <c r="I15" s="260"/>
      <c r="J15" s="260"/>
      <c r="K15" s="260"/>
      <c r="L15" s="260"/>
      <c r="M15" s="260"/>
      <c r="N15" s="260"/>
      <c r="O15" s="260"/>
      <c r="P15" s="260"/>
      <c r="Q15" s="260"/>
      <c r="R15" s="260"/>
      <c r="S15" s="260"/>
      <c r="T15" s="260"/>
      <c r="U15" s="260"/>
      <c r="V15" s="260"/>
      <c r="W15" s="260"/>
      <c r="X15" s="260"/>
      <c r="Y15" s="260"/>
      <c r="Z15" s="260"/>
      <c r="AA15" s="260"/>
      <c r="AB15" s="260"/>
      <c r="AC15" s="260"/>
      <c r="AD15" s="260"/>
      <c r="AE15" s="260"/>
      <c r="AF15" s="262"/>
    </row>
    <row r="16" spans="1:33" x14ac:dyDescent="0.2">
      <c r="A16" s="7" t="str">
        <f ca="1">IF(AUTOEVENTO="Manual",IF(OFFSET(EVENTOS!$F$14,PLE!$B16,0)&gt;0,"F",""),IF(PLE!B16&lt;=MAX(CÁLCULO!$M$15:$M$405),"F",""))</f>
        <v>F</v>
      </c>
      <c r="B16" s="248">
        <f t="shared" ref="B16:B64" ca="1" si="1">OFFSET(B16,-1,0)+1</f>
        <v>1</v>
      </c>
      <c r="C16" s="773" t="str">
        <f ca="1">IF(AUTOEVENTO="Manual",OFFSET(EVENTOS!$D$15,$B16-$B$15,0),IF(B16&lt;=MAX(CÁLCULO!$M$15:$M$405),VLOOKUP($B16,CÁLCULO!$M$15:$N$405,2,FALSE),0))</f>
        <v>ADMINISTRAÇÃO DE OBRA</v>
      </c>
      <c r="D16" s="773"/>
      <c r="F16" s="249"/>
      <c r="H16" s="249"/>
      <c r="I16" s="249"/>
      <c r="J16" s="249"/>
      <c r="K16" s="249"/>
      <c r="L16" s="249"/>
      <c r="M16" s="249"/>
      <c r="N16" s="249"/>
      <c r="O16" s="249"/>
      <c r="P16" s="249"/>
      <c r="Q16" s="249"/>
      <c r="R16" s="249"/>
      <c r="S16" s="249"/>
      <c r="T16" s="249"/>
      <c r="U16" s="249"/>
      <c r="V16" s="249"/>
      <c r="W16" s="249"/>
      <c r="X16" s="249"/>
      <c r="Y16" s="249"/>
      <c r="Z16" s="249"/>
      <c r="AA16" s="249"/>
      <c r="AB16" s="249"/>
      <c r="AC16" s="249"/>
      <c r="AD16" s="249"/>
      <c r="AE16" s="249"/>
      <c r="AF16" s="249"/>
    </row>
    <row r="17" spans="1:32" x14ac:dyDescent="0.2">
      <c r="A17" s="7" t="str">
        <f ca="1">IF(AUTOEVENTO="Manual",IF(OFFSET(EVENTOS!$F$14,PLE!$B17,0)&gt;0,"F",""),IF(PLE!B17&lt;=MAX(CÁLCULO!$M$15:$M$405),"F",""))</f>
        <v>F</v>
      </c>
      <c r="B17" s="248">
        <f t="shared" ca="1" si="1"/>
        <v>2</v>
      </c>
      <c r="C17" s="773" t="str">
        <f ca="1">IF(AUTOEVENTO="Manual",OFFSET(EVENTOS!$D$15,$B17-$B$15,0),IF(B17&lt;=MAX(CÁLCULO!$M$15:$M$405),VLOOKUP($B17,CÁLCULO!$M$15:$N$405,2,FALSE),0))</f>
        <v>SERVIÇOS PRELIMINARES</v>
      </c>
      <c r="D17" s="773"/>
      <c r="F17" s="249"/>
      <c r="H17" s="249"/>
      <c r="I17" s="249"/>
      <c r="J17" s="249"/>
      <c r="K17" s="249"/>
      <c r="L17" s="249"/>
      <c r="M17" s="249"/>
      <c r="N17" s="249"/>
      <c r="O17" s="249"/>
      <c r="P17" s="249"/>
      <c r="Q17" s="249"/>
      <c r="R17" s="249"/>
      <c r="S17" s="249"/>
      <c r="T17" s="249"/>
      <c r="U17" s="249"/>
      <c r="V17" s="249"/>
      <c r="W17" s="249"/>
      <c r="X17" s="249"/>
      <c r="Y17" s="249"/>
      <c r="Z17" s="249"/>
      <c r="AA17" s="249"/>
      <c r="AB17" s="249"/>
      <c r="AC17" s="249"/>
      <c r="AD17" s="249"/>
      <c r="AE17" s="249"/>
      <c r="AF17" s="249"/>
    </row>
    <row r="18" spans="1:32" x14ac:dyDescent="0.2">
      <c r="A18" s="7" t="str">
        <f ca="1">IF(AUTOEVENTO="Manual",IF(OFFSET(EVENTOS!$F$14,PLE!$B18,0)&gt;0,"F",""),IF(PLE!B18&lt;=MAX(CÁLCULO!$M$15:$M$405),"F",""))</f>
        <v>F</v>
      </c>
      <c r="B18" s="248">
        <f t="shared" ca="1" si="1"/>
        <v>3</v>
      </c>
      <c r="C18" s="773" t="str">
        <f ca="1">IF(AUTOEVENTO="Manual",OFFSET(EVENTOS!$D$15,$B18-$B$15,0),IF(B18&lt;=MAX(CÁLCULO!$M$15:$M$405),VLOOKUP($B18,CÁLCULO!$M$15:$N$405,2,FALSE),0))</f>
        <v>FUNDAÇÃO</v>
      </c>
      <c r="D18" s="773"/>
      <c r="F18" s="249"/>
      <c r="H18" s="249"/>
      <c r="I18" s="249"/>
      <c r="J18" s="249"/>
      <c r="K18" s="249"/>
      <c r="L18" s="249"/>
      <c r="M18" s="249"/>
      <c r="N18" s="249"/>
      <c r="O18" s="249"/>
      <c r="P18" s="249"/>
      <c r="Q18" s="249"/>
      <c r="R18" s="249"/>
      <c r="S18" s="249"/>
      <c r="T18" s="249"/>
      <c r="U18" s="249"/>
      <c r="V18" s="249"/>
      <c r="W18" s="249"/>
      <c r="X18" s="249"/>
      <c r="Y18" s="249"/>
      <c r="Z18" s="249"/>
      <c r="AA18" s="249"/>
      <c r="AB18" s="249"/>
      <c r="AC18" s="249"/>
      <c r="AD18" s="249"/>
      <c r="AE18" s="249"/>
      <c r="AF18" s="249"/>
    </row>
    <row r="19" spans="1:32" x14ac:dyDescent="0.2">
      <c r="A19" s="7" t="str">
        <f ca="1">IF(AUTOEVENTO="Manual",IF(OFFSET(EVENTOS!$F$14,PLE!$B19,0)&gt;0,"F",""),IF(PLE!B19&lt;=MAX(CÁLCULO!$M$15:$M$405),"F",""))</f>
        <v>F</v>
      </c>
      <c r="B19" s="248">
        <f t="shared" ca="1" si="1"/>
        <v>4</v>
      </c>
      <c r="C19" s="773" t="str">
        <f ca="1">IF(AUTOEVENTO="Manual",OFFSET(EVENTOS!$D$15,$B19-$B$15,0),IF(B19&lt;=MAX(CÁLCULO!$M$15:$M$405),VLOOKUP($B19,CÁLCULO!$M$15:$N$405,2,FALSE),0))</f>
        <v>SISTEMA DE TRATAMENTO DE ESGOTO</v>
      </c>
      <c r="D19" s="773"/>
      <c r="F19" s="249"/>
      <c r="H19" s="249"/>
      <c r="I19" s="249"/>
      <c r="J19" s="249"/>
      <c r="K19" s="249"/>
      <c r="L19" s="249"/>
      <c r="M19" s="249"/>
      <c r="N19" s="249"/>
      <c r="O19" s="249"/>
      <c r="P19" s="249"/>
      <c r="Q19" s="249"/>
      <c r="R19" s="249"/>
      <c r="S19" s="249"/>
      <c r="T19" s="249"/>
      <c r="U19" s="249"/>
      <c r="V19" s="249"/>
      <c r="W19" s="249"/>
      <c r="X19" s="249"/>
      <c r="Y19" s="249"/>
      <c r="Z19" s="249"/>
      <c r="AA19" s="249"/>
      <c r="AB19" s="249"/>
      <c r="AC19" s="249"/>
      <c r="AD19" s="249"/>
      <c r="AE19" s="249"/>
      <c r="AF19" s="249"/>
    </row>
    <row r="20" spans="1:32" x14ac:dyDescent="0.2">
      <c r="A20" s="7" t="str">
        <f ca="1">IF(AUTOEVENTO="Manual",IF(OFFSET(EVENTOS!$F$14,PLE!$B20,0)&gt;0,"F",""),IF(PLE!B20&lt;=MAX(CÁLCULO!$M$15:$M$405),"F",""))</f>
        <v>F</v>
      </c>
      <c r="B20" s="248">
        <f t="shared" ca="1" si="1"/>
        <v>5</v>
      </c>
      <c r="C20" s="773" t="str">
        <f ca="1">IF(AUTOEVENTO="Manual",OFFSET(EVENTOS!$D$15,$B20-$B$15,0),IF(B20&lt;=MAX(CÁLCULO!$M$15:$M$405),VLOOKUP($B20,CÁLCULO!$M$15:$N$405,2,FALSE),0))</f>
        <v>ESTRUTURA METÁLICA DOS MÓDULOS</v>
      </c>
      <c r="D20" s="773"/>
      <c r="F20" s="249"/>
      <c r="H20" s="249"/>
      <c r="I20" s="249"/>
      <c r="J20" s="249"/>
      <c r="K20" s="249"/>
      <c r="L20" s="249"/>
      <c r="M20" s="249"/>
      <c r="N20" s="249"/>
      <c r="O20" s="249"/>
      <c r="P20" s="249"/>
      <c r="Q20" s="249"/>
      <c r="R20" s="249"/>
      <c r="S20" s="249"/>
      <c r="T20" s="249"/>
      <c r="U20" s="249"/>
      <c r="V20" s="249"/>
      <c r="W20" s="249"/>
      <c r="X20" s="249"/>
      <c r="Y20" s="249"/>
      <c r="Z20" s="249"/>
      <c r="AA20" s="249"/>
      <c r="AB20" s="249"/>
      <c r="AC20" s="249"/>
      <c r="AD20" s="249"/>
      <c r="AE20" s="249"/>
      <c r="AF20" s="249"/>
    </row>
    <row r="21" spans="1:32" x14ac:dyDescent="0.2">
      <c r="A21" s="7" t="str">
        <f ca="1">IF(AUTOEVENTO="Manual",IF(OFFSET(EVENTOS!$F$14,PLE!$B21,0)&gt;0,"F",""),IF(PLE!B21&lt;=MAX(CÁLCULO!$M$15:$M$405),"F",""))</f>
        <v>F</v>
      </c>
      <c r="B21" s="248">
        <f t="shared" ca="1" si="1"/>
        <v>6</v>
      </c>
      <c r="C21" s="773" t="str">
        <f ca="1">IF(AUTOEVENTO="Manual",OFFSET(EVENTOS!$D$15,$B21-$B$15,0),IF(B21&lt;=MAX(CÁLCULO!$M$15:$M$405),VLOOKUP($B21,CÁLCULO!$M$15:$N$405,2,FALSE),0))</f>
        <v>COBERTURA DOS MÓDULOS</v>
      </c>
      <c r="D21" s="773"/>
      <c r="F21" s="249"/>
      <c r="H21" s="249"/>
      <c r="I21" s="249"/>
      <c r="J21" s="249"/>
      <c r="K21" s="249"/>
      <c r="L21" s="249"/>
      <c r="M21" s="249"/>
      <c r="N21" s="249"/>
      <c r="O21" s="249"/>
      <c r="P21" s="249"/>
      <c r="Q21" s="249"/>
      <c r="R21" s="249"/>
      <c r="S21" s="249"/>
      <c r="T21" s="249"/>
      <c r="U21" s="249"/>
      <c r="V21" s="249"/>
      <c r="W21" s="249"/>
      <c r="X21" s="249"/>
      <c r="Y21" s="249"/>
      <c r="Z21" s="249"/>
      <c r="AA21" s="249"/>
      <c r="AB21" s="249"/>
      <c r="AC21" s="249"/>
      <c r="AD21" s="249"/>
      <c r="AE21" s="249"/>
      <c r="AF21" s="249"/>
    </row>
    <row r="22" spans="1:32" x14ac:dyDescent="0.2">
      <c r="A22" s="7" t="str">
        <f ca="1">IF(AUTOEVENTO="Manual",IF(OFFSET(EVENTOS!$F$14,PLE!$B22,0)&gt;0,"F",""),IF(PLE!B22&lt;=MAX(CÁLCULO!$M$15:$M$405),"F",""))</f>
        <v>F</v>
      </c>
      <c r="B22" s="248">
        <f t="shared" ca="1" si="1"/>
        <v>7</v>
      </c>
      <c r="C22" s="773" t="str">
        <f ca="1">IF(AUTOEVENTO="Manual",OFFSET(EVENTOS!$D$15,$B22-$B$15,0),IF(B22&lt;=MAX(CÁLCULO!$M$15:$M$405),VLOOKUP($B22,CÁLCULO!$M$15:$N$405,2,FALSE),0))</f>
        <v>FECHAMENTOS DOS MÓDULOS</v>
      </c>
      <c r="D22" s="773"/>
      <c r="F22" s="249"/>
      <c r="H22" s="249"/>
      <c r="I22" s="249"/>
      <c r="J22" s="249"/>
      <c r="K22" s="249"/>
      <c r="L22" s="249"/>
      <c r="M22" s="249"/>
      <c r="N22" s="249"/>
      <c r="O22" s="249"/>
      <c r="P22" s="249"/>
      <c r="Q22" s="249"/>
      <c r="R22" s="249"/>
      <c r="S22" s="249"/>
      <c r="T22" s="249"/>
      <c r="U22" s="249"/>
      <c r="V22" s="249"/>
      <c r="W22" s="249"/>
      <c r="X22" s="249"/>
      <c r="Y22" s="249"/>
      <c r="Z22" s="249"/>
      <c r="AA22" s="249"/>
      <c r="AB22" s="249"/>
      <c r="AC22" s="249"/>
      <c r="AD22" s="249"/>
      <c r="AE22" s="249"/>
      <c r="AF22" s="249"/>
    </row>
    <row r="23" spans="1:32" x14ac:dyDescent="0.2">
      <c r="A23" s="7" t="str">
        <f ca="1">IF(AUTOEVENTO="Manual",IF(OFFSET(EVENTOS!$F$14,PLE!$B23,0)&gt;0,"F",""),IF(PLE!B23&lt;=MAX(CÁLCULO!$M$15:$M$405),"F",""))</f>
        <v>F</v>
      </c>
      <c r="B23" s="248">
        <f t="shared" ca="1" si="1"/>
        <v>8</v>
      </c>
      <c r="C23" s="773" t="str">
        <f ca="1">IF(AUTOEVENTO="Manual",OFFSET(EVENTOS!$D$15,$B23-$B$15,0),IF(B23&lt;=MAX(CÁLCULO!$M$15:$M$405),VLOOKUP($B23,CÁLCULO!$M$15:$N$405,2,FALSE),0))</f>
        <v>PINTURA DA ESTRUTURA DOS MÓDULOS</v>
      </c>
      <c r="D23" s="773"/>
      <c r="F23" s="249"/>
      <c r="H23" s="249"/>
      <c r="I23" s="249"/>
      <c r="J23" s="249"/>
      <c r="K23" s="249"/>
      <c r="L23" s="249"/>
      <c r="M23" s="249"/>
      <c r="N23" s="249"/>
      <c r="O23" s="249"/>
      <c r="P23" s="249"/>
      <c r="Q23" s="249"/>
      <c r="R23" s="249"/>
      <c r="S23" s="249"/>
      <c r="T23" s="249"/>
      <c r="U23" s="249"/>
      <c r="V23" s="249"/>
      <c r="W23" s="249"/>
      <c r="X23" s="249"/>
      <c r="Y23" s="249"/>
      <c r="Z23" s="249"/>
      <c r="AA23" s="249"/>
      <c r="AB23" s="249"/>
      <c r="AC23" s="249"/>
      <c r="AD23" s="249"/>
      <c r="AE23" s="249"/>
      <c r="AF23" s="249"/>
    </row>
    <row r="24" spans="1:32" x14ac:dyDescent="0.2">
      <c r="A24" s="7" t="str">
        <f ca="1">IF(AUTOEVENTO="Manual",IF(OFFSET(EVENTOS!$F$14,PLE!$B24,0)&gt;0,"F",""),IF(PLE!B24&lt;=MAX(CÁLCULO!$M$15:$M$405),"F",""))</f>
        <v>F</v>
      </c>
      <c r="B24" s="248">
        <f t="shared" ca="1" si="1"/>
        <v>9</v>
      </c>
      <c r="C24" s="773" t="str">
        <f ca="1">IF(AUTOEVENTO="Manual",OFFSET(EVENTOS!$D$15,$B24-$B$15,0),IF(B24&lt;=MAX(CÁLCULO!$M$15:$M$405),VLOOKUP($B24,CÁLCULO!$M$15:$N$405,2,FALSE),0))</f>
        <v>INSTALAÇÕES ELÉTRICAS</v>
      </c>
      <c r="D24" s="773"/>
      <c r="F24" s="249"/>
      <c r="H24" s="249"/>
      <c r="I24" s="249"/>
      <c r="J24" s="249"/>
      <c r="K24" s="249"/>
      <c r="L24" s="249"/>
      <c r="M24" s="249"/>
      <c r="N24" s="249"/>
      <c r="O24" s="249"/>
      <c r="P24" s="249"/>
      <c r="Q24" s="249"/>
      <c r="R24" s="249"/>
      <c r="S24" s="249"/>
      <c r="T24" s="249"/>
      <c r="U24" s="249"/>
      <c r="V24" s="249"/>
      <c r="W24" s="249"/>
      <c r="X24" s="249"/>
      <c r="Y24" s="249"/>
      <c r="Z24" s="249"/>
      <c r="AA24" s="249"/>
      <c r="AB24" s="249"/>
      <c r="AC24" s="249"/>
      <c r="AD24" s="249"/>
      <c r="AE24" s="249"/>
      <c r="AF24" s="249"/>
    </row>
    <row r="25" spans="1:32" x14ac:dyDescent="0.2">
      <c r="A25" s="7" t="str">
        <f ca="1">IF(AUTOEVENTO="Manual",IF(OFFSET(EVENTOS!$F$14,PLE!$B25,0)&gt;0,"F",""),IF(PLE!B25&lt;=MAX(CÁLCULO!$M$15:$M$405),"F",""))</f>
        <v>F</v>
      </c>
      <c r="B25" s="248">
        <f t="shared" ca="1" si="1"/>
        <v>10</v>
      </c>
      <c r="C25" s="773" t="str">
        <f ca="1">IF(AUTOEVENTO="Manual",OFFSET(EVENTOS!$D$15,$B25-$B$15,0),IF(B25&lt;=MAX(CÁLCULO!$M$15:$M$405),VLOOKUP($B25,CÁLCULO!$M$15:$N$405,2,FALSE),0))</f>
        <v>VOZ E DADOS</v>
      </c>
      <c r="D25" s="773"/>
      <c r="F25" s="249"/>
      <c r="H25" s="249"/>
      <c r="I25" s="249"/>
      <c r="J25" s="249"/>
      <c r="K25" s="249"/>
      <c r="L25" s="249"/>
      <c r="M25" s="249"/>
      <c r="N25" s="249"/>
      <c r="O25" s="249"/>
      <c r="P25" s="249"/>
      <c r="Q25" s="249"/>
      <c r="R25" s="249"/>
      <c r="S25" s="249"/>
      <c r="T25" s="249"/>
      <c r="U25" s="249"/>
      <c r="V25" s="249"/>
      <c r="W25" s="249"/>
      <c r="X25" s="249"/>
      <c r="Y25" s="249"/>
      <c r="Z25" s="249"/>
      <c r="AA25" s="249"/>
      <c r="AB25" s="249"/>
      <c r="AC25" s="249"/>
      <c r="AD25" s="249"/>
      <c r="AE25" s="249"/>
      <c r="AF25" s="249"/>
    </row>
    <row r="26" spans="1:32" x14ac:dyDescent="0.2">
      <c r="A26" s="7" t="str">
        <f ca="1">IF(AUTOEVENTO="Manual",IF(OFFSET(EVENTOS!$F$14,PLE!$B26,0)&gt;0,"F",""),IF(PLE!B26&lt;=MAX(CÁLCULO!$M$15:$M$405),"F",""))</f>
        <v>F</v>
      </c>
      <c r="B26" s="248">
        <f t="shared" ca="1" si="1"/>
        <v>11</v>
      </c>
      <c r="C26" s="773" t="str">
        <f ca="1">IF(AUTOEVENTO="Manual",OFFSET(EVENTOS!$D$15,$B26-$B$15,0),IF(B26&lt;=MAX(CÁLCULO!$M$15:$M$405),VLOOKUP($B26,CÁLCULO!$M$15:$N$405,2,FALSE),0))</f>
        <v>INSTALAÇÕES HIDROSSANITÁRIAS</v>
      </c>
      <c r="D26" s="773"/>
      <c r="F26" s="249"/>
      <c r="H26" s="249"/>
      <c r="I26" s="249"/>
      <c r="J26" s="249"/>
      <c r="K26" s="249"/>
      <c r="L26" s="249"/>
      <c r="M26" s="249"/>
      <c r="N26" s="249"/>
      <c r="O26" s="249"/>
      <c r="P26" s="249"/>
      <c r="Q26" s="249"/>
      <c r="R26" s="249"/>
      <c r="S26" s="249"/>
      <c r="T26" s="249"/>
      <c r="U26" s="249"/>
      <c r="V26" s="249"/>
      <c r="W26" s="249"/>
      <c r="X26" s="249"/>
      <c r="Y26" s="249"/>
      <c r="Z26" s="249"/>
      <c r="AA26" s="249"/>
      <c r="AB26" s="249"/>
      <c r="AC26" s="249"/>
      <c r="AD26" s="249"/>
      <c r="AE26" s="249"/>
      <c r="AF26" s="249"/>
    </row>
    <row r="27" spans="1:32" x14ac:dyDescent="0.2">
      <c r="A27" s="7" t="str">
        <f ca="1">IF(AUTOEVENTO="Manual",IF(OFFSET(EVENTOS!$F$14,PLE!$B27,0)&gt;0,"F",""),IF(PLE!B27&lt;=MAX(CÁLCULO!$M$15:$M$405),"F",""))</f>
        <v>F</v>
      </c>
      <c r="B27" s="248">
        <f t="shared" ca="1" si="1"/>
        <v>12</v>
      </c>
      <c r="C27" s="773" t="str">
        <f ca="1">IF(AUTOEVENTO="Manual",OFFSET(EVENTOS!$D$15,$B27-$B$15,0),IF(B27&lt;=MAX(CÁLCULO!$M$15:$M$405),VLOOKUP($B27,CÁLCULO!$M$15:$N$405,2,FALSE),0))</f>
        <v>REVESTIMENTOS</v>
      </c>
      <c r="D27" s="773"/>
      <c r="F27" s="249"/>
      <c r="H27" s="249"/>
      <c r="I27" s="249"/>
      <c r="J27" s="249"/>
      <c r="K27" s="249"/>
      <c r="L27" s="249"/>
      <c r="M27" s="249"/>
      <c r="N27" s="249"/>
      <c r="O27" s="249"/>
      <c r="P27" s="249"/>
      <c r="Q27" s="249"/>
      <c r="R27" s="249"/>
      <c r="S27" s="249"/>
      <c r="T27" s="249"/>
      <c r="U27" s="249"/>
      <c r="V27" s="249"/>
      <c r="W27" s="249"/>
      <c r="X27" s="249"/>
      <c r="Y27" s="249"/>
      <c r="Z27" s="249"/>
      <c r="AA27" s="249"/>
      <c r="AB27" s="249"/>
      <c r="AC27" s="249"/>
      <c r="AD27" s="249"/>
      <c r="AE27" s="249"/>
      <c r="AF27" s="249"/>
    </row>
    <row r="28" spans="1:32" x14ac:dyDescent="0.2">
      <c r="A28" s="7" t="str">
        <f ca="1">IF(AUTOEVENTO="Manual",IF(OFFSET(EVENTOS!$F$14,PLE!$B28,0)&gt;0,"F",""),IF(PLE!B28&lt;=MAX(CÁLCULO!$M$15:$M$405),"F",""))</f>
        <v>F</v>
      </c>
      <c r="B28" s="248">
        <f t="shared" ca="1" si="1"/>
        <v>13</v>
      </c>
      <c r="C28" s="773" t="str">
        <f ca="1">IF(AUTOEVENTO="Manual",OFFSET(EVENTOS!$D$15,$B28-$B$15,0),IF(B28&lt;=MAX(CÁLCULO!$M$15:$M$405),VLOOKUP($B28,CÁLCULO!$M$15:$N$405,2,FALSE),0))</f>
        <v>LOUÇAS E ACESSÓRIOS</v>
      </c>
      <c r="D28" s="773"/>
      <c r="F28" s="249"/>
      <c r="H28" s="249"/>
      <c r="I28" s="249"/>
      <c r="J28" s="249"/>
      <c r="K28" s="249"/>
      <c r="L28" s="249"/>
      <c r="M28" s="249"/>
      <c r="N28" s="249"/>
      <c r="O28" s="249"/>
      <c r="P28" s="249"/>
      <c r="Q28" s="249"/>
      <c r="R28" s="249"/>
      <c r="S28" s="249"/>
      <c r="T28" s="249"/>
      <c r="U28" s="249"/>
      <c r="V28" s="249"/>
      <c r="W28" s="249"/>
      <c r="X28" s="249"/>
      <c r="Y28" s="249"/>
      <c r="Z28" s="249"/>
      <c r="AA28" s="249"/>
      <c r="AB28" s="249"/>
      <c r="AC28" s="249"/>
      <c r="AD28" s="249"/>
      <c r="AE28" s="249"/>
      <c r="AF28" s="249"/>
    </row>
    <row r="29" spans="1:32" x14ac:dyDescent="0.2">
      <c r="A29" s="7" t="str">
        <f ca="1">IF(AUTOEVENTO="Manual",IF(OFFSET(EVENTOS!$F$14,PLE!$B29,0)&gt;0,"F",""),IF(PLE!B29&lt;=MAX(CÁLCULO!$M$15:$M$405),"F",""))</f>
        <v>F</v>
      </c>
      <c r="B29" s="248">
        <f t="shared" ca="1" si="1"/>
        <v>14</v>
      </c>
      <c r="C29" s="773" t="str">
        <f ca="1">IF(AUTOEVENTO="Manual",OFFSET(EVENTOS!$D$15,$B29-$B$15,0),IF(B29&lt;=MAX(CÁLCULO!$M$15:$M$405),VLOOKUP($B29,CÁLCULO!$M$15:$N$405,2,FALSE),0))</f>
        <v>ESQUADRIAS E VIDROS</v>
      </c>
      <c r="D29" s="773"/>
      <c r="F29" s="249"/>
      <c r="H29" s="249"/>
      <c r="I29" s="249"/>
      <c r="J29" s="249"/>
      <c r="K29" s="249"/>
      <c r="L29" s="249"/>
      <c r="M29" s="249"/>
      <c r="N29" s="249"/>
      <c r="O29" s="249"/>
      <c r="P29" s="249"/>
      <c r="Q29" s="249"/>
      <c r="R29" s="249"/>
      <c r="S29" s="249"/>
      <c r="T29" s="249"/>
      <c r="U29" s="249"/>
      <c r="V29" s="249"/>
      <c r="W29" s="249"/>
      <c r="X29" s="249"/>
      <c r="Y29" s="249"/>
      <c r="Z29" s="249"/>
      <c r="AA29" s="249"/>
      <c r="AB29" s="249"/>
      <c r="AC29" s="249"/>
      <c r="AD29" s="249"/>
      <c r="AE29" s="249"/>
      <c r="AF29" s="249"/>
    </row>
    <row r="30" spans="1:32" x14ac:dyDescent="0.2">
      <c r="A30" s="7" t="str">
        <f ca="1">IF(AUTOEVENTO="Manual",IF(OFFSET(EVENTOS!$F$14,PLE!$B30,0)&gt;0,"F",""),IF(PLE!B30&lt;=MAX(CÁLCULO!$M$15:$M$405),"F",""))</f>
        <v>F</v>
      </c>
      <c r="B30" s="248">
        <f t="shared" ca="1" si="1"/>
        <v>15</v>
      </c>
      <c r="C30" s="773" t="str">
        <f ca="1">IF(AUTOEVENTO="Manual",OFFSET(EVENTOS!$D$15,$B30-$B$15,0),IF(B30&lt;=MAX(CÁLCULO!$M$15:$M$405),VLOOKUP($B30,CÁLCULO!$M$15:$N$405,2,FALSE),0))</f>
        <v>INSTALAÇÕES PLUVIAIS</v>
      </c>
      <c r="D30" s="773"/>
      <c r="F30" s="249"/>
      <c r="H30" s="249"/>
      <c r="I30" s="249"/>
      <c r="J30" s="249"/>
      <c r="K30" s="249"/>
      <c r="L30" s="249"/>
      <c r="M30" s="249"/>
      <c r="N30" s="249"/>
      <c r="O30" s="249"/>
      <c r="P30" s="249"/>
      <c r="Q30" s="249"/>
      <c r="R30" s="249"/>
      <c r="S30" s="249"/>
      <c r="T30" s="249"/>
      <c r="U30" s="249"/>
      <c r="V30" s="249"/>
      <c r="W30" s="249"/>
      <c r="X30" s="249"/>
      <c r="Y30" s="249"/>
      <c r="Z30" s="249"/>
      <c r="AA30" s="249"/>
      <c r="AB30" s="249"/>
      <c r="AC30" s="249"/>
      <c r="AD30" s="249"/>
      <c r="AE30" s="249"/>
      <c r="AF30" s="249"/>
    </row>
    <row r="31" spans="1:32" x14ac:dyDescent="0.2">
      <c r="A31" s="7" t="str">
        <f ca="1">IF(AUTOEVENTO="Manual",IF(OFFSET(EVENTOS!$F$14,PLE!$B31,0)&gt;0,"F",""),IF(PLE!B31&lt;=MAX(CÁLCULO!$M$15:$M$405),"F",""))</f>
        <v>F</v>
      </c>
      <c r="B31" s="248">
        <f t="shared" ca="1" si="1"/>
        <v>16</v>
      </c>
      <c r="C31" s="773" t="str">
        <f ca="1">IF(AUTOEVENTO="Manual",OFFSET(EVENTOS!$D$15,$B31-$B$15,0),IF(B31&lt;=MAX(CÁLCULO!$M$15:$M$405),VLOOKUP($B31,CÁLCULO!$M$15:$N$405,2,FALSE),0))</f>
        <v>SISTEMAS DE PREVENÇÃO CONTRA INCÊNDIO</v>
      </c>
      <c r="D31" s="773"/>
      <c r="F31" s="249"/>
      <c r="H31" s="249"/>
      <c r="I31" s="249"/>
      <c r="J31" s="249"/>
      <c r="K31" s="249"/>
      <c r="L31" s="249"/>
      <c r="M31" s="249"/>
      <c r="N31" s="249"/>
      <c r="O31" s="249"/>
      <c r="P31" s="249"/>
      <c r="Q31" s="249"/>
      <c r="R31" s="249"/>
      <c r="S31" s="249"/>
      <c r="T31" s="249"/>
      <c r="U31" s="249"/>
      <c r="V31" s="249"/>
      <c r="W31" s="249"/>
      <c r="X31" s="249"/>
      <c r="Y31" s="249"/>
      <c r="Z31" s="249"/>
      <c r="AA31" s="249"/>
      <c r="AB31" s="249"/>
      <c r="AC31" s="249"/>
      <c r="AD31" s="249"/>
      <c r="AE31" s="249"/>
      <c r="AF31" s="249"/>
    </row>
    <row r="32" spans="1:32" x14ac:dyDescent="0.2">
      <c r="A32" s="7" t="str">
        <f ca="1">IF(AUTOEVENTO="Manual",IF(OFFSET(EVENTOS!$F$14,PLE!$B32,0)&gt;0,"F",""),IF(PLE!B32&lt;=MAX(CÁLCULO!$M$15:$M$405),"F",""))</f>
        <v>F</v>
      </c>
      <c r="B32" s="248">
        <f t="shared" ca="1" si="1"/>
        <v>17</v>
      </c>
      <c r="C32" s="773" t="str">
        <f ca="1">IF(AUTOEVENTO="Manual",OFFSET(EVENTOS!$D$15,$B32-$B$15,0),IF(B32&lt;=MAX(CÁLCULO!$M$15:$M$405),VLOOKUP($B32,CÁLCULO!$M$15:$N$405,2,FALSE),0))</f>
        <v>CENTRAL DE GLP, ABRIGO DE LIXO E SOLÁRIOS</v>
      </c>
      <c r="D32" s="773"/>
      <c r="F32" s="249"/>
      <c r="H32" s="249"/>
      <c r="I32" s="249"/>
      <c r="J32" s="249"/>
      <c r="K32" s="249"/>
      <c r="L32" s="249"/>
      <c r="M32" s="249"/>
      <c r="N32" s="249"/>
      <c r="O32" s="249"/>
      <c r="P32" s="249"/>
      <c r="Q32" s="249"/>
      <c r="R32" s="249"/>
      <c r="S32" s="249"/>
      <c r="T32" s="249"/>
      <c r="U32" s="249"/>
      <c r="V32" s="249"/>
      <c r="W32" s="249"/>
      <c r="X32" s="249"/>
      <c r="Y32" s="249"/>
      <c r="Z32" s="249"/>
      <c r="AA32" s="249"/>
      <c r="AB32" s="249"/>
      <c r="AC32" s="249"/>
      <c r="AD32" s="249"/>
      <c r="AE32" s="249"/>
      <c r="AF32" s="249"/>
    </row>
    <row r="33" spans="1:32" x14ac:dyDescent="0.2">
      <c r="A33" s="7" t="str">
        <f ca="1">IF(AUTOEVENTO="Manual",IF(OFFSET(EVENTOS!$F$14,PLE!$B33,0)&gt;0,"F",""),IF(PLE!B33&lt;=MAX(CÁLCULO!$M$15:$M$405),"F",""))</f>
        <v>F</v>
      </c>
      <c r="B33" s="248">
        <f t="shared" ca="1" si="1"/>
        <v>18</v>
      </c>
      <c r="C33" s="773" t="str">
        <f ca="1">IF(AUTOEVENTO="Manual",OFFSET(EVENTOS!$D$15,$B33-$B$15,0),IF(B33&lt;=MAX(CÁLCULO!$M$15:$M$405),VLOOKUP($B33,CÁLCULO!$M$15:$N$405,2,FALSE),0))</f>
        <v>PISOS EXTERNOS</v>
      </c>
      <c r="D33" s="773"/>
      <c r="F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249"/>
      <c r="AF33" s="249"/>
    </row>
    <row r="34" spans="1:32" x14ac:dyDescent="0.2">
      <c r="A34" s="7" t="str">
        <f ca="1">IF(AUTOEVENTO="Manual",IF(OFFSET(EVENTOS!$F$14,PLE!$B34,0)&gt;0,"F",""),IF(PLE!B34&lt;=MAX(CÁLCULO!$M$15:$M$405),"F",""))</f>
        <v>F</v>
      </c>
      <c r="B34" s="248">
        <f t="shared" ca="1" si="1"/>
        <v>19</v>
      </c>
      <c r="C34" s="773" t="str">
        <f ca="1">IF(AUTOEVENTO="Manual",OFFSET(EVENTOS!$D$15,$B34-$B$15,0),IF(B34&lt;=MAX(CÁLCULO!$M$15:$M$405),VLOOKUP($B34,CÁLCULO!$M$15:$N$405,2,FALSE),0))</f>
        <v>FECHAMENTOS EXTERNOS</v>
      </c>
      <c r="D34" s="773"/>
      <c r="F34" s="249"/>
      <c r="H34" s="249"/>
      <c r="I34" s="249"/>
      <c r="J34" s="249"/>
      <c r="K34" s="249"/>
      <c r="L34" s="249"/>
      <c r="M34" s="249"/>
      <c r="N34" s="249"/>
      <c r="O34" s="249"/>
      <c r="P34" s="249"/>
      <c r="Q34" s="249"/>
      <c r="R34" s="249"/>
      <c r="S34" s="249"/>
      <c r="T34" s="249"/>
      <c r="U34" s="249"/>
      <c r="V34" s="249"/>
      <c r="W34" s="249"/>
      <c r="X34" s="249"/>
      <c r="Y34" s="249"/>
      <c r="Z34" s="249"/>
      <c r="AA34" s="249"/>
      <c r="AB34" s="249"/>
      <c r="AC34" s="249"/>
      <c r="AD34" s="249"/>
      <c r="AE34" s="249"/>
      <c r="AF34" s="249"/>
    </row>
    <row r="35" spans="1:32" x14ac:dyDescent="0.2">
      <c r="A35" s="7" t="str">
        <f ca="1">IF(AUTOEVENTO="Manual",IF(OFFSET(EVENTOS!$F$14,PLE!$B35,0)&gt;0,"F",""),IF(PLE!B35&lt;=MAX(CÁLCULO!$M$15:$M$405),"F",""))</f>
        <v>F</v>
      </c>
      <c r="B35" s="248">
        <f t="shared" ca="1" si="1"/>
        <v>20</v>
      </c>
      <c r="C35" s="773" t="str">
        <f ca="1">IF(AUTOEVENTO="Manual",OFFSET(EVENTOS!$D$15,$B35-$B$15,0),IF(B35&lt;=MAX(CÁLCULO!$M$15:$M$405),VLOOKUP($B35,CÁLCULO!$M$15:$N$405,2,FALSE),0))</f>
        <v>ACESSIBILIDADE</v>
      </c>
      <c r="D35" s="773"/>
      <c r="F35" s="249"/>
      <c r="H35" s="249"/>
      <c r="I35" s="249"/>
      <c r="J35" s="249"/>
      <c r="K35" s="249"/>
      <c r="L35" s="249"/>
      <c r="M35" s="249"/>
      <c r="N35" s="249"/>
      <c r="O35" s="249"/>
      <c r="P35" s="249"/>
      <c r="Q35" s="249"/>
      <c r="R35" s="249"/>
      <c r="S35" s="249"/>
      <c r="T35" s="249"/>
      <c r="U35" s="249"/>
      <c r="V35" s="249"/>
      <c r="W35" s="249"/>
      <c r="X35" s="249"/>
      <c r="Y35" s="249"/>
      <c r="Z35" s="249"/>
      <c r="AA35" s="249"/>
      <c r="AB35" s="249"/>
      <c r="AC35" s="249"/>
      <c r="AD35" s="249"/>
      <c r="AE35" s="249"/>
      <c r="AF35" s="249"/>
    </row>
    <row r="36" spans="1:32" x14ac:dyDescent="0.2">
      <c r="A36" s="7" t="str">
        <f ca="1">IF(AUTOEVENTO="Manual",IF(OFFSET(EVENTOS!$F$14,PLE!$B36,0)&gt;0,"F",""),IF(PLE!B36&lt;=MAX(CÁLCULO!$M$15:$M$405),"F",""))</f>
        <v>F</v>
      </c>
      <c r="B36" s="248">
        <f t="shared" ca="1" si="1"/>
        <v>21</v>
      </c>
      <c r="C36" s="773" t="str">
        <f ca="1">IF(AUTOEVENTO="Manual",OFFSET(EVENTOS!$D$15,$B36-$B$15,0),IF(B36&lt;=MAX(CÁLCULO!$M$15:$M$405),VLOOKUP($B36,CÁLCULO!$M$15:$N$405,2,FALSE),0))</f>
        <v>SPDA</v>
      </c>
      <c r="D36" s="773"/>
      <c r="F36" s="249"/>
      <c r="H36" s="249"/>
      <c r="I36" s="249"/>
      <c r="J36" s="249"/>
      <c r="K36" s="249"/>
      <c r="L36" s="249"/>
      <c r="M36" s="249"/>
      <c r="N36" s="249"/>
      <c r="O36" s="249"/>
      <c r="P36" s="249"/>
      <c r="Q36" s="249"/>
      <c r="R36" s="249"/>
      <c r="S36" s="249"/>
      <c r="T36" s="249"/>
      <c r="U36" s="249"/>
      <c r="V36" s="249"/>
      <c r="W36" s="249"/>
      <c r="X36" s="249"/>
      <c r="Y36" s="249"/>
      <c r="Z36" s="249"/>
      <c r="AA36" s="249"/>
      <c r="AB36" s="249"/>
      <c r="AC36" s="249"/>
      <c r="AD36" s="249"/>
      <c r="AE36" s="249"/>
      <c r="AF36" s="249"/>
    </row>
    <row r="37" spans="1:32" x14ac:dyDescent="0.2">
      <c r="A37" s="7" t="str">
        <f ca="1">IF(AUTOEVENTO="Manual",IF(OFFSET(EVENTOS!$F$14,PLE!$B37,0)&gt;0,"F",""),IF(PLE!B37&lt;=MAX(CÁLCULO!$M$15:$M$405),"F",""))</f>
        <v>F</v>
      </c>
      <c r="B37" s="248">
        <f t="shared" ca="1" si="1"/>
        <v>22</v>
      </c>
      <c r="C37" s="773" t="str">
        <f ca="1">IF(AUTOEVENTO="Manual",OFFSET(EVENTOS!$D$15,$B37-$B$15,0),IF(B37&lt;=MAX(CÁLCULO!$M$15:$M$405),VLOOKUP($B37,CÁLCULO!$M$15:$N$405,2,FALSE),0))</f>
        <v>INSTALAÇÃO DOS MÓDULOS PRÉ-FABRICADOS NO CANTEIRO DE OBRAS</v>
      </c>
      <c r="D37" s="773"/>
      <c r="F37" s="249"/>
      <c r="H37" s="249"/>
      <c r="I37" s="249"/>
      <c r="J37" s="249"/>
      <c r="K37" s="249"/>
      <c r="L37" s="249"/>
      <c r="M37" s="249"/>
      <c r="N37" s="249"/>
      <c r="O37" s="249"/>
      <c r="P37" s="249"/>
      <c r="Q37" s="249"/>
      <c r="R37" s="249"/>
      <c r="S37" s="249"/>
      <c r="T37" s="249"/>
      <c r="U37" s="249"/>
      <c r="V37" s="249"/>
      <c r="W37" s="249"/>
      <c r="X37" s="249"/>
      <c r="Y37" s="249"/>
      <c r="Z37" s="249"/>
      <c r="AA37" s="249"/>
      <c r="AB37" s="249"/>
      <c r="AC37" s="249"/>
      <c r="AD37" s="249"/>
      <c r="AE37" s="249"/>
      <c r="AF37" s="249"/>
    </row>
    <row r="38" spans="1:32" x14ac:dyDescent="0.2">
      <c r="A38" s="7" t="str">
        <f ca="1">IF(AUTOEVENTO="Manual",IF(OFFSET(EVENTOS!$F$14,PLE!$B38,0)&gt;0,"F",""),IF(PLE!B38&lt;=MAX(CÁLCULO!$M$15:$M$405),"F",""))</f>
        <v>F</v>
      </c>
      <c r="B38" s="248">
        <f t="shared" ca="1" si="1"/>
        <v>23</v>
      </c>
      <c r="C38" s="773" t="str">
        <f ca="1">IF(AUTOEVENTO="Manual",OFFSET(EVENTOS!$D$15,$B38-$B$15,0),IF(B38&lt;=MAX(CÁLCULO!$M$15:$M$405),VLOOKUP($B38,CÁLCULO!$M$15:$N$405,2,FALSE),0))</f>
        <v>SISTEMA DE REUSO DE ÁGUA</v>
      </c>
      <c r="D38" s="773"/>
      <c r="F38" s="249"/>
      <c r="H38" s="249"/>
      <c r="I38" s="249"/>
      <c r="J38" s="249"/>
      <c r="K38" s="249"/>
      <c r="L38" s="249"/>
      <c r="M38" s="249"/>
      <c r="N38" s="249"/>
      <c r="O38" s="249"/>
      <c r="P38" s="249"/>
      <c r="Q38" s="249"/>
      <c r="R38" s="249"/>
      <c r="S38" s="249"/>
      <c r="T38" s="249"/>
      <c r="U38" s="249"/>
      <c r="V38" s="249"/>
      <c r="W38" s="249"/>
      <c r="X38" s="249"/>
      <c r="Y38" s="249"/>
      <c r="Z38" s="249"/>
      <c r="AA38" s="249"/>
      <c r="AB38" s="249"/>
      <c r="AC38" s="249"/>
      <c r="AD38" s="249"/>
      <c r="AE38" s="249"/>
      <c r="AF38" s="249"/>
    </row>
    <row r="39" spans="1:32" x14ac:dyDescent="0.2">
      <c r="A39" s="7" t="str">
        <f ca="1">IF(AUTOEVENTO="Manual",IF(OFFSET(EVENTOS!$F$14,PLE!$B39,0)&gt;0,"F",""),IF(PLE!B39&lt;=MAX(CÁLCULO!$M$15:$M$405),"F",""))</f>
        <v>F</v>
      </c>
      <c r="B39" s="248">
        <f t="shared" ca="1" si="1"/>
        <v>24</v>
      </c>
      <c r="C39" s="773" t="str">
        <f ca="1">IF(AUTOEVENTO="Manual",OFFSET(EVENTOS!$D$15,$B39-$B$15,0),IF(B39&lt;=MAX(CÁLCULO!$M$15:$M$405),VLOOKUP($B39,CÁLCULO!$M$15:$N$405,2,FALSE),0))</f>
        <v>LIMPEZA FINAL DE OBRA</v>
      </c>
      <c r="D39" s="773"/>
      <c r="F39" s="249"/>
      <c r="H39" s="249"/>
      <c r="I39" s="249"/>
      <c r="J39" s="249"/>
      <c r="K39" s="249"/>
      <c r="L39" s="249"/>
      <c r="M39" s="249"/>
      <c r="N39" s="249"/>
      <c r="O39" s="249"/>
      <c r="P39" s="249"/>
      <c r="Q39" s="249"/>
      <c r="R39" s="249"/>
      <c r="S39" s="249"/>
      <c r="T39" s="249"/>
      <c r="U39" s="249"/>
      <c r="V39" s="249"/>
      <c r="W39" s="249"/>
      <c r="X39" s="249"/>
      <c r="Y39" s="249"/>
      <c r="Z39" s="249"/>
      <c r="AA39" s="249"/>
      <c r="AB39" s="249"/>
      <c r="AC39" s="249"/>
      <c r="AD39" s="249"/>
      <c r="AE39" s="249"/>
      <c r="AF39" s="249"/>
    </row>
    <row r="40" spans="1:32" x14ac:dyDescent="0.2">
      <c r="A40" s="7" t="str">
        <f ca="1">IF(AUTOEVENTO="Manual",IF(OFFSET(EVENTOS!$F$14,PLE!$B40,0)&gt;0,"F",""),IF(PLE!B40&lt;=MAX(CÁLCULO!$M$15:$M$405),"F",""))</f>
        <v/>
      </c>
      <c r="B40" s="248">
        <f t="shared" ca="1" si="1"/>
        <v>25</v>
      </c>
      <c r="C40" s="773">
        <f ca="1">IF(AUTOEVENTO="Manual",OFFSET(EVENTOS!$D$15,$B40-$B$15,0),IF(B40&lt;=MAX(CÁLCULO!$M$15:$M$405),VLOOKUP($B40,CÁLCULO!$M$15:$N$405,2,FALSE),0))</f>
        <v>0</v>
      </c>
      <c r="D40" s="773"/>
      <c r="F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row>
    <row r="41" spans="1:32" x14ac:dyDescent="0.2">
      <c r="A41" s="7" t="str">
        <f ca="1">IF(AUTOEVENTO="Manual",IF(OFFSET(EVENTOS!$F$14,PLE!$B41,0)&gt;0,"F",""),IF(PLE!B41&lt;=MAX(CÁLCULO!$M$15:$M$405),"F",""))</f>
        <v/>
      </c>
      <c r="B41" s="248">
        <f t="shared" ca="1" si="1"/>
        <v>26</v>
      </c>
      <c r="C41" s="773">
        <f ca="1">IF(AUTOEVENTO="Manual",OFFSET(EVENTOS!$D$15,$B41-$B$15,0),IF(B41&lt;=MAX(CÁLCULO!$M$15:$M$405),VLOOKUP($B41,CÁLCULO!$M$15:$N$405,2,FALSE),0))</f>
        <v>0</v>
      </c>
      <c r="D41" s="773"/>
      <c r="F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row>
    <row r="42" spans="1:32" x14ac:dyDescent="0.2">
      <c r="A42" s="7" t="str">
        <f ca="1">IF(AUTOEVENTO="Manual",IF(OFFSET(EVENTOS!$F$14,PLE!$B42,0)&gt;0,"F",""),IF(PLE!B42&lt;=MAX(CÁLCULO!$M$15:$M$405),"F",""))</f>
        <v/>
      </c>
      <c r="B42" s="248">
        <f t="shared" ca="1" si="1"/>
        <v>27</v>
      </c>
      <c r="C42" s="773">
        <f ca="1">IF(AUTOEVENTO="Manual",OFFSET(EVENTOS!$D$15,$B42-$B$15,0),IF(B42&lt;=MAX(CÁLCULO!$M$15:$M$405),VLOOKUP($B42,CÁLCULO!$M$15:$N$405,2,FALSE),0))</f>
        <v>0</v>
      </c>
      <c r="D42" s="773"/>
      <c r="F42" s="249"/>
      <c r="H42" s="249"/>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row>
    <row r="43" spans="1:32" x14ac:dyDescent="0.2">
      <c r="A43" s="7" t="str">
        <f ca="1">IF(AUTOEVENTO="Manual",IF(OFFSET(EVENTOS!$F$14,PLE!$B43,0)&gt;0,"F",""),IF(PLE!B43&lt;=MAX(CÁLCULO!$M$15:$M$405),"F",""))</f>
        <v/>
      </c>
      <c r="B43" s="248">
        <f t="shared" ca="1" si="1"/>
        <v>28</v>
      </c>
      <c r="C43" s="773">
        <f ca="1">IF(AUTOEVENTO="Manual",OFFSET(EVENTOS!$D$15,$B43-$B$15,0),IF(B43&lt;=MAX(CÁLCULO!$M$15:$M$405),VLOOKUP($B43,CÁLCULO!$M$15:$N$405,2,FALSE),0))</f>
        <v>0</v>
      </c>
      <c r="D43" s="773"/>
      <c r="F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49"/>
    </row>
    <row r="44" spans="1:32" x14ac:dyDescent="0.2">
      <c r="A44" s="7" t="str">
        <f ca="1">IF(AUTOEVENTO="Manual",IF(OFFSET(EVENTOS!$F$14,PLE!$B44,0)&gt;0,"F",""),IF(PLE!B44&lt;=MAX(CÁLCULO!$M$15:$M$405),"F",""))</f>
        <v/>
      </c>
      <c r="B44" s="248">
        <f t="shared" ca="1" si="1"/>
        <v>29</v>
      </c>
      <c r="C44" s="773">
        <f ca="1">IF(AUTOEVENTO="Manual",OFFSET(EVENTOS!$D$15,$B44-$B$15,0),IF(B44&lt;=MAX(CÁLCULO!$M$15:$M$405),VLOOKUP($B44,CÁLCULO!$M$15:$N$405,2,FALSE),0))</f>
        <v>0</v>
      </c>
      <c r="D44" s="773"/>
      <c r="F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row>
    <row r="45" spans="1:32" x14ac:dyDescent="0.2">
      <c r="A45" s="7" t="str">
        <f ca="1">IF(AUTOEVENTO="Manual",IF(OFFSET(EVENTOS!$F$14,PLE!$B45,0)&gt;0,"F",""),IF(PLE!B45&lt;=MAX(CÁLCULO!$M$15:$M$405),"F",""))</f>
        <v/>
      </c>
      <c r="B45" s="248">
        <f t="shared" ca="1" si="1"/>
        <v>30</v>
      </c>
      <c r="C45" s="773">
        <f ca="1">IF(AUTOEVENTO="Manual",OFFSET(EVENTOS!$D$15,$B45-$B$15,0),IF(B45&lt;=MAX(CÁLCULO!$M$15:$M$405),VLOOKUP($B45,CÁLCULO!$M$15:$N$405,2,FALSE),0))</f>
        <v>0</v>
      </c>
      <c r="D45" s="773"/>
      <c r="F45" s="249"/>
      <c r="H45" s="249"/>
      <c r="I45" s="249"/>
      <c r="J45" s="249"/>
      <c r="K45" s="249"/>
      <c r="L45" s="249"/>
      <c r="M45" s="249"/>
      <c r="N45" s="249"/>
      <c r="O45" s="249"/>
      <c r="P45" s="249"/>
      <c r="Q45" s="249"/>
      <c r="R45" s="249"/>
      <c r="S45" s="249"/>
      <c r="T45" s="249"/>
      <c r="U45" s="249"/>
      <c r="V45" s="249"/>
      <c r="W45" s="249"/>
      <c r="X45" s="249"/>
      <c r="Y45" s="249"/>
      <c r="Z45" s="249"/>
      <c r="AA45" s="249"/>
      <c r="AB45" s="249"/>
      <c r="AC45" s="249"/>
      <c r="AD45" s="249"/>
      <c r="AE45" s="249"/>
      <c r="AF45" s="249"/>
    </row>
    <row r="46" spans="1:32" x14ac:dyDescent="0.2">
      <c r="A46" s="7" t="str">
        <f ca="1">IF(AUTOEVENTO="Manual",IF(OFFSET(EVENTOS!$F$14,PLE!$B46,0)&gt;0,"F",""),IF(PLE!B46&lt;=MAX(CÁLCULO!$M$15:$M$405),"F",""))</f>
        <v/>
      </c>
      <c r="B46" s="248">
        <f t="shared" ca="1" si="1"/>
        <v>31</v>
      </c>
      <c r="C46" s="773">
        <f ca="1">IF(AUTOEVENTO="Manual",OFFSET(EVENTOS!$D$15,$B46-$B$15,0),IF(B46&lt;=MAX(CÁLCULO!$M$15:$M$405),VLOOKUP($B46,CÁLCULO!$M$15:$N$405,2,FALSE),0))</f>
        <v>0</v>
      </c>
      <c r="D46" s="773"/>
      <c r="F46" s="249"/>
      <c r="H46" s="249"/>
      <c r="I46" s="249"/>
      <c r="J46" s="249"/>
      <c r="K46" s="249"/>
      <c r="L46" s="249"/>
      <c r="M46" s="249"/>
      <c r="N46" s="249"/>
      <c r="O46" s="249"/>
      <c r="P46" s="249"/>
      <c r="Q46" s="249"/>
      <c r="R46" s="249"/>
      <c r="S46" s="249"/>
      <c r="T46" s="249"/>
      <c r="U46" s="249"/>
      <c r="V46" s="249"/>
      <c r="W46" s="249"/>
      <c r="X46" s="249"/>
      <c r="Y46" s="249"/>
      <c r="Z46" s="249"/>
      <c r="AA46" s="249"/>
      <c r="AB46" s="249"/>
      <c r="AC46" s="249"/>
      <c r="AD46" s="249"/>
      <c r="AE46" s="249"/>
      <c r="AF46" s="249"/>
    </row>
    <row r="47" spans="1:32" x14ac:dyDescent="0.2">
      <c r="A47" s="7" t="str">
        <f ca="1">IF(AUTOEVENTO="Manual",IF(OFFSET(EVENTOS!$F$14,PLE!$B47,0)&gt;0,"F",""),IF(PLE!B47&lt;=MAX(CÁLCULO!$M$15:$M$405),"F",""))</f>
        <v/>
      </c>
      <c r="B47" s="248">
        <f t="shared" ca="1" si="1"/>
        <v>32</v>
      </c>
      <c r="C47" s="773">
        <f ca="1">IF(AUTOEVENTO="Manual",OFFSET(EVENTOS!$D$15,$B47-$B$15,0),IF(B47&lt;=MAX(CÁLCULO!$M$15:$M$405),VLOOKUP($B47,CÁLCULO!$M$15:$N$405,2,FALSE),0))</f>
        <v>0</v>
      </c>
      <c r="D47" s="773"/>
      <c r="F47" s="249"/>
      <c r="H47" s="249"/>
      <c r="I47" s="249"/>
      <c r="J47" s="249"/>
      <c r="K47" s="249"/>
      <c r="L47" s="249"/>
      <c r="M47" s="249"/>
      <c r="N47" s="249"/>
      <c r="O47" s="249"/>
      <c r="P47" s="249"/>
      <c r="Q47" s="249"/>
      <c r="R47" s="249"/>
      <c r="S47" s="249"/>
      <c r="T47" s="249"/>
      <c r="U47" s="249"/>
      <c r="V47" s="249"/>
      <c r="W47" s="249"/>
      <c r="X47" s="249"/>
      <c r="Y47" s="249"/>
      <c r="Z47" s="249"/>
      <c r="AA47" s="249"/>
      <c r="AB47" s="249"/>
      <c r="AC47" s="249"/>
      <c r="AD47" s="249"/>
      <c r="AE47" s="249"/>
      <c r="AF47" s="249"/>
    </row>
    <row r="48" spans="1:32" x14ac:dyDescent="0.2">
      <c r="A48" s="7" t="str">
        <f ca="1">IF(AUTOEVENTO="Manual",IF(OFFSET(EVENTOS!$F$14,PLE!$B48,0)&gt;0,"F",""),IF(PLE!B48&lt;=MAX(CÁLCULO!$M$15:$M$405),"F",""))</f>
        <v/>
      </c>
      <c r="B48" s="248">
        <f t="shared" ca="1" si="1"/>
        <v>33</v>
      </c>
      <c r="C48" s="773">
        <f ca="1">IF(AUTOEVENTO="Manual",OFFSET(EVENTOS!$D$15,$B48-$B$15,0),IF(B48&lt;=MAX(CÁLCULO!$M$15:$M$405),VLOOKUP($B48,CÁLCULO!$M$15:$N$405,2,FALSE),0))</f>
        <v>0</v>
      </c>
      <c r="D48" s="773"/>
      <c r="F48" s="249"/>
      <c r="H48" s="249"/>
      <c r="I48" s="249"/>
      <c r="J48" s="249"/>
      <c r="K48" s="249"/>
      <c r="L48" s="249"/>
      <c r="M48" s="249"/>
      <c r="N48" s="249"/>
      <c r="O48" s="249"/>
      <c r="P48" s="249"/>
      <c r="Q48" s="249"/>
      <c r="R48" s="249"/>
      <c r="S48" s="249"/>
      <c r="T48" s="249"/>
      <c r="U48" s="249"/>
      <c r="V48" s="249"/>
      <c r="W48" s="249"/>
      <c r="X48" s="249"/>
      <c r="Y48" s="249"/>
      <c r="Z48" s="249"/>
      <c r="AA48" s="249"/>
      <c r="AB48" s="249"/>
      <c r="AC48" s="249"/>
      <c r="AD48" s="249"/>
      <c r="AE48" s="249"/>
      <c r="AF48" s="249"/>
    </row>
    <row r="49" spans="1:32" x14ac:dyDescent="0.2">
      <c r="A49" s="7" t="str">
        <f ca="1">IF(AUTOEVENTO="Manual",IF(OFFSET(EVENTOS!$F$14,PLE!$B49,0)&gt;0,"F",""),IF(PLE!B49&lt;=MAX(CÁLCULO!$M$15:$M$405),"F",""))</f>
        <v/>
      </c>
      <c r="B49" s="248">
        <f t="shared" ca="1" si="1"/>
        <v>34</v>
      </c>
      <c r="C49" s="773">
        <f ca="1">IF(AUTOEVENTO="Manual",OFFSET(EVENTOS!$D$15,$B49-$B$15,0),IF(B49&lt;=MAX(CÁLCULO!$M$15:$M$405),VLOOKUP($B49,CÁLCULO!$M$15:$N$405,2,FALSE),0))</f>
        <v>0</v>
      </c>
      <c r="D49" s="773"/>
      <c r="F49" s="249"/>
      <c r="H49" s="249"/>
      <c r="I49" s="249"/>
      <c r="J49" s="249"/>
      <c r="K49" s="249"/>
      <c r="L49" s="249"/>
      <c r="M49" s="249"/>
      <c r="N49" s="249"/>
      <c r="O49" s="249"/>
      <c r="P49" s="249"/>
      <c r="Q49" s="249"/>
      <c r="R49" s="249"/>
      <c r="S49" s="249"/>
      <c r="T49" s="249"/>
      <c r="U49" s="249"/>
      <c r="V49" s="249"/>
      <c r="W49" s="249"/>
      <c r="X49" s="249"/>
      <c r="Y49" s="249"/>
      <c r="Z49" s="249"/>
      <c r="AA49" s="249"/>
      <c r="AB49" s="249"/>
      <c r="AC49" s="249"/>
      <c r="AD49" s="249"/>
      <c r="AE49" s="249"/>
      <c r="AF49" s="249"/>
    </row>
    <row r="50" spans="1:32" x14ac:dyDescent="0.2">
      <c r="A50" s="7" t="str">
        <f ca="1">IF(AUTOEVENTO="Manual",IF(OFFSET(EVENTOS!$F$14,PLE!$B50,0)&gt;0,"F",""),IF(PLE!B50&lt;=MAX(CÁLCULO!$M$15:$M$405),"F",""))</f>
        <v/>
      </c>
      <c r="B50" s="248">
        <f t="shared" ca="1" si="1"/>
        <v>35</v>
      </c>
      <c r="C50" s="773">
        <f ca="1">IF(AUTOEVENTO="Manual",OFFSET(EVENTOS!$D$15,$B50-$B$15,0),IF(B50&lt;=MAX(CÁLCULO!$M$15:$M$405),VLOOKUP($B50,CÁLCULO!$M$15:$N$405,2,FALSE),0))</f>
        <v>0</v>
      </c>
      <c r="D50" s="773"/>
      <c r="F50" s="249"/>
      <c r="H50" s="249"/>
      <c r="I50" s="249"/>
      <c r="J50" s="249"/>
      <c r="K50" s="249"/>
      <c r="L50" s="249"/>
      <c r="M50" s="249"/>
      <c r="N50" s="249"/>
      <c r="O50" s="249"/>
      <c r="P50" s="249"/>
      <c r="Q50" s="249"/>
      <c r="R50" s="249"/>
      <c r="S50" s="249"/>
      <c r="T50" s="249"/>
      <c r="U50" s="249"/>
      <c r="V50" s="249"/>
      <c r="W50" s="249"/>
      <c r="X50" s="249"/>
      <c r="Y50" s="249"/>
      <c r="Z50" s="249"/>
      <c r="AA50" s="249"/>
      <c r="AB50" s="249"/>
      <c r="AC50" s="249"/>
      <c r="AD50" s="249"/>
      <c r="AE50" s="249"/>
      <c r="AF50" s="249"/>
    </row>
    <row r="51" spans="1:32" x14ac:dyDescent="0.2">
      <c r="A51" s="7" t="str">
        <f ca="1">IF(AUTOEVENTO="Manual",IF(OFFSET(EVENTOS!$F$14,PLE!$B51,0)&gt;0,"F",""),IF(PLE!B51&lt;=MAX(CÁLCULO!$M$15:$M$405),"F",""))</f>
        <v/>
      </c>
      <c r="B51" s="248">
        <f t="shared" ca="1" si="1"/>
        <v>36</v>
      </c>
      <c r="C51" s="773">
        <f ca="1">IF(AUTOEVENTO="Manual",OFFSET(EVENTOS!$D$15,$B51-$B$15,0),IF(B51&lt;=MAX(CÁLCULO!$M$15:$M$405),VLOOKUP($B51,CÁLCULO!$M$15:$N$405,2,FALSE),0))</f>
        <v>0</v>
      </c>
      <c r="D51" s="773"/>
      <c r="F51" s="249"/>
      <c r="H51" s="249"/>
      <c r="I51" s="249"/>
      <c r="J51" s="249"/>
      <c r="K51" s="249"/>
      <c r="L51" s="249"/>
      <c r="M51" s="249"/>
      <c r="N51" s="249"/>
      <c r="O51" s="249"/>
      <c r="P51" s="249"/>
      <c r="Q51" s="249"/>
      <c r="R51" s="249"/>
      <c r="S51" s="249"/>
      <c r="T51" s="249"/>
      <c r="U51" s="249"/>
      <c r="V51" s="249"/>
      <c r="W51" s="249"/>
      <c r="X51" s="249"/>
      <c r="Y51" s="249"/>
      <c r="Z51" s="249"/>
      <c r="AA51" s="249"/>
      <c r="AB51" s="249"/>
      <c r="AC51" s="249"/>
      <c r="AD51" s="249"/>
      <c r="AE51" s="249"/>
      <c r="AF51" s="249"/>
    </row>
    <row r="52" spans="1:32" x14ac:dyDescent="0.2">
      <c r="A52" s="7" t="str">
        <f ca="1">IF(AUTOEVENTO="Manual",IF(OFFSET(EVENTOS!$F$14,PLE!$B52,0)&gt;0,"F",""),IF(PLE!B52&lt;=MAX(CÁLCULO!$M$15:$M$405),"F",""))</f>
        <v/>
      </c>
      <c r="B52" s="248">
        <f t="shared" ca="1" si="1"/>
        <v>37</v>
      </c>
      <c r="C52" s="773">
        <f ca="1">IF(AUTOEVENTO="Manual",OFFSET(EVENTOS!$D$15,$B52-$B$15,0),IF(B52&lt;=MAX(CÁLCULO!$M$15:$M$405),VLOOKUP($B52,CÁLCULO!$M$15:$N$405,2,FALSE),0))</f>
        <v>0</v>
      </c>
      <c r="D52" s="773"/>
      <c r="F52" s="249"/>
      <c r="H52" s="249"/>
      <c r="I52" s="249"/>
      <c r="J52" s="249"/>
      <c r="K52" s="249"/>
      <c r="L52" s="249"/>
      <c r="M52" s="249"/>
      <c r="N52" s="249"/>
      <c r="O52" s="249"/>
      <c r="P52" s="249"/>
      <c r="Q52" s="249"/>
      <c r="R52" s="249"/>
      <c r="S52" s="249"/>
      <c r="T52" s="249"/>
      <c r="U52" s="249"/>
      <c r="V52" s="249"/>
      <c r="W52" s="249"/>
      <c r="X52" s="249"/>
      <c r="Y52" s="249"/>
      <c r="Z52" s="249"/>
      <c r="AA52" s="249"/>
      <c r="AB52" s="249"/>
      <c r="AC52" s="249"/>
      <c r="AD52" s="249"/>
      <c r="AE52" s="249"/>
      <c r="AF52" s="249"/>
    </row>
    <row r="53" spans="1:32" x14ac:dyDescent="0.2">
      <c r="A53" s="7" t="str">
        <f ca="1">IF(AUTOEVENTO="Manual",IF(OFFSET(EVENTOS!$F$14,PLE!$B53,0)&gt;0,"F",""),IF(PLE!B53&lt;=MAX(CÁLCULO!$M$15:$M$405),"F",""))</f>
        <v/>
      </c>
      <c r="B53" s="248">
        <f t="shared" ca="1" si="1"/>
        <v>38</v>
      </c>
      <c r="C53" s="773">
        <f ca="1">IF(AUTOEVENTO="Manual",OFFSET(EVENTOS!$D$15,$B53-$B$15,0),IF(B53&lt;=MAX(CÁLCULO!$M$15:$M$405),VLOOKUP($B53,CÁLCULO!$M$15:$N$405,2,FALSE),0))</f>
        <v>0</v>
      </c>
      <c r="D53" s="773"/>
      <c r="F53" s="249"/>
      <c r="H53" s="249"/>
      <c r="I53" s="249"/>
      <c r="J53" s="249"/>
      <c r="K53" s="249"/>
      <c r="L53" s="249"/>
      <c r="M53" s="249"/>
      <c r="N53" s="249"/>
      <c r="O53" s="249"/>
      <c r="P53" s="249"/>
      <c r="Q53" s="249"/>
      <c r="R53" s="249"/>
      <c r="S53" s="249"/>
      <c r="T53" s="249"/>
      <c r="U53" s="249"/>
      <c r="V53" s="249"/>
      <c r="W53" s="249"/>
      <c r="X53" s="249"/>
      <c r="Y53" s="249"/>
      <c r="Z53" s="249"/>
      <c r="AA53" s="249"/>
      <c r="AB53" s="249"/>
      <c r="AC53" s="249"/>
      <c r="AD53" s="249"/>
      <c r="AE53" s="249"/>
      <c r="AF53" s="249"/>
    </row>
    <row r="54" spans="1:32" x14ac:dyDescent="0.2">
      <c r="A54" s="7" t="str">
        <f ca="1">IF(AUTOEVENTO="Manual",IF(OFFSET(EVENTOS!$F$14,PLE!$B54,0)&gt;0,"F",""),IF(PLE!B54&lt;=MAX(CÁLCULO!$M$15:$M$405),"F",""))</f>
        <v/>
      </c>
      <c r="B54" s="248">
        <f t="shared" ca="1" si="1"/>
        <v>39</v>
      </c>
      <c r="C54" s="773">
        <f ca="1">IF(AUTOEVENTO="Manual",OFFSET(EVENTOS!$D$15,$B54-$B$15,0),IF(B54&lt;=MAX(CÁLCULO!$M$15:$M$405),VLOOKUP($B54,CÁLCULO!$M$15:$N$405,2,FALSE),0))</f>
        <v>0</v>
      </c>
      <c r="D54" s="773"/>
      <c r="F54" s="249"/>
      <c r="H54" s="249"/>
      <c r="I54" s="249"/>
      <c r="J54" s="249"/>
      <c r="K54" s="249"/>
      <c r="L54" s="249"/>
      <c r="M54" s="249"/>
      <c r="N54" s="249"/>
      <c r="O54" s="249"/>
      <c r="P54" s="249"/>
      <c r="Q54" s="249"/>
      <c r="R54" s="249"/>
      <c r="S54" s="249"/>
      <c r="T54" s="249"/>
      <c r="U54" s="249"/>
      <c r="V54" s="249"/>
      <c r="W54" s="249"/>
      <c r="X54" s="249"/>
      <c r="Y54" s="249"/>
      <c r="Z54" s="249"/>
      <c r="AA54" s="249"/>
      <c r="AB54" s="249"/>
      <c r="AC54" s="249"/>
      <c r="AD54" s="249"/>
      <c r="AE54" s="249"/>
      <c r="AF54" s="249"/>
    </row>
    <row r="55" spans="1:32" x14ac:dyDescent="0.2">
      <c r="A55" s="7" t="str">
        <f ca="1">IF(AUTOEVENTO="Manual",IF(OFFSET(EVENTOS!$F$14,PLE!$B55,0)&gt;0,"F",""),IF(PLE!B55&lt;=MAX(CÁLCULO!$M$15:$M$405),"F",""))</f>
        <v/>
      </c>
      <c r="B55" s="248">
        <f t="shared" ca="1" si="1"/>
        <v>40</v>
      </c>
      <c r="C55" s="773">
        <f ca="1">IF(AUTOEVENTO="Manual",OFFSET(EVENTOS!$D$15,$B55-$B$15,0),IF(B55&lt;=MAX(CÁLCULO!$M$15:$M$405),VLOOKUP($B55,CÁLCULO!$M$15:$N$405,2,FALSE),0))</f>
        <v>0</v>
      </c>
      <c r="D55" s="773"/>
      <c r="F55" s="249"/>
      <c r="H55" s="249"/>
      <c r="I55" s="249"/>
      <c r="J55" s="249"/>
      <c r="K55" s="249"/>
      <c r="L55" s="249"/>
      <c r="M55" s="249"/>
      <c r="N55" s="249"/>
      <c r="O55" s="249"/>
      <c r="P55" s="249"/>
      <c r="Q55" s="249"/>
      <c r="R55" s="249"/>
      <c r="S55" s="249"/>
      <c r="T55" s="249"/>
      <c r="U55" s="249"/>
      <c r="V55" s="249"/>
      <c r="W55" s="249"/>
      <c r="X55" s="249"/>
      <c r="Y55" s="249"/>
      <c r="Z55" s="249"/>
      <c r="AA55" s="249"/>
      <c r="AB55" s="249"/>
      <c r="AC55" s="249"/>
      <c r="AD55" s="249"/>
      <c r="AE55" s="249"/>
      <c r="AF55" s="249"/>
    </row>
    <row r="56" spans="1:32" x14ac:dyDescent="0.2">
      <c r="A56" s="7" t="str">
        <f ca="1">IF(AUTOEVENTO="Manual",IF(OFFSET(EVENTOS!$F$14,PLE!$B56,0)&gt;0,"F",""),IF(PLE!B56&lt;=MAX(CÁLCULO!$M$15:$M$405),"F",""))</f>
        <v/>
      </c>
      <c r="B56" s="248">
        <f t="shared" ca="1" si="1"/>
        <v>41</v>
      </c>
      <c r="C56" s="773">
        <f ca="1">IF(AUTOEVENTO="Manual",OFFSET(EVENTOS!$D$15,$B56-$B$15,0),IF(B56&lt;=MAX(CÁLCULO!$M$15:$M$405),VLOOKUP($B56,CÁLCULO!$M$15:$N$405,2,FALSE),0))</f>
        <v>0</v>
      </c>
      <c r="D56" s="773"/>
      <c r="F56" s="249"/>
      <c r="H56" s="249"/>
      <c r="I56" s="249"/>
      <c r="J56" s="249"/>
      <c r="K56" s="249"/>
      <c r="L56" s="249"/>
      <c r="M56" s="249"/>
      <c r="N56" s="249"/>
      <c r="O56" s="249"/>
      <c r="P56" s="249"/>
      <c r="Q56" s="249"/>
      <c r="R56" s="249"/>
      <c r="S56" s="249"/>
      <c r="T56" s="249"/>
      <c r="U56" s="249"/>
      <c r="V56" s="249"/>
      <c r="W56" s="249"/>
      <c r="X56" s="249"/>
      <c r="Y56" s="249"/>
      <c r="Z56" s="249"/>
      <c r="AA56" s="249"/>
      <c r="AB56" s="249"/>
      <c r="AC56" s="249"/>
      <c r="AD56" s="249"/>
      <c r="AE56" s="249"/>
      <c r="AF56" s="249"/>
    </row>
    <row r="57" spans="1:32" x14ac:dyDescent="0.2">
      <c r="A57" s="7" t="str">
        <f ca="1">IF(AUTOEVENTO="Manual",IF(OFFSET(EVENTOS!$F$14,PLE!$B57,0)&gt;0,"F",""),IF(PLE!B57&lt;=MAX(CÁLCULO!$M$15:$M$405),"F",""))</f>
        <v/>
      </c>
      <c r="B57" s="248">
        <f t="shared" ca="1" si="1"/>
        <v>42</v>
      </c>
      <c r="C57" s="773">
        <f ca="1">IF(AUTOEVENTO="Manual",OFFSET(EVENTOS!$D$15,$B57-$B$15,0),IF(B57&lt;=MAX(CÁLCULO!$M$15:$M$405),VLOOKUP($B57,CÁLCULO!$M$15:$N$405,2,FALSE),0))</f>
        <v>0</v>
      </c>
      <c r="D57" s="773"/>
      <c r="F57" s="249"/>
      <c r="H57" s="249"/>
      <c r="I57" s="249"/>
      <c r="J57" s="249"/>
      <c r="K57" s="249"/>
      <c r="L57" s="249"/>
      <c r="M57" s="249"/>
      <c r="N57" s="249"/>
      <c r="O57" s="249"/>
      <c r="P57" s="249"/>
      <c r="Q57" s="249"/>
      <c r="R57" s="249"/>
      <c r="S57" s="249"/>
      <c r="T57" s="249"/>
      <c r="U57" s="249"/>
      <c r="V57" s="249"/>
      <c r="W57" s="249"/>
      <c r="X57" s="249"/>
      <c r="Y57" s="249"/>
      <c r="Z57" s="249"/>
      <c r="AA57" s="249"/>
      <c r="AB57" s="249"/>
      <c r="AC57" s="249"/>
      <c r="AD57" s="249"/>
      <c r="AE57" s="249"/>
      <c r="AF57" s="249"/>
    </row>
    <row r="58" spans="1:32" x14ac:dyDescent="0.2">
      <c r="A58" s="7" t="str">
        <f ca="1">IF(AUTOEVENTO="Manual",IF(OFFSET(EVENTOS!$F$14,PLE!$B58,0)&gt;0,"F",""),IF(PLE!B58&lt;=MAX(CÁLCULO!$M$15:$M$405),"F",""))</f>
        <v/>
      </c>
      <c r="B58" s="248">
        <f t="shared" ca="1" si="1"/>
        <v>43</v>
      </c>
      <c r="C58" s="773">
        <f ca="1">IF(AUTOEVENTO="Manual",OFFSET(EVENTOS!$D$15,$B58-$B$15,0),IF(B58&lt;=MAX(CÁLCULO!$M$15:$M$405),VLOOKUP($B58,CÁLCULO!$M$15:$N$405,2,FALSE),0))</f>
        <v>0</v>
      </c>
      <c r="D58" s="773"/>
      <c r="F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c r="AE58" s="249"/>
      <c r="AF58" s="249"/>
    </row>
    <row r="59" spans="1:32" x14ac:dyDescent="0.2">
      <c r="A59" s="7" t="str">
        <f ca="1">IF(AUTOEVENTO="Manual",IF(OFFSET(EVENTOS!$F$14,PLE!$B59,0)&gt;0,"F",""),IF(PLE!B59&lt;=MAX(CÁLCULO!$M$15:$M$405),"F",""))</f>
        <v/>
      </c>
      <c r="B59" s="248">
        <f t="shared" ca="1" si="1"/>
        <v>44</v>
      </c>
      <c r="C59" s="773">
        <f ca="1">IF(AUTOEVENTO="Manual",OFFSET(EVENTOS!$D$15,$B59-$B$15,0),IF(B59&lt;=MAX(CÁLCULO!$M$15:$M$405),VLOOKUP($B59,CÁLCULO!$M$15:$N$405,2,FALSE),0))</f>
        <v>0</v>
      </c>
      <c r="D59" s="773"/>
      <c r="F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c r="AE59" s="249"/>
      <c r="AF59" s="249"/>
    </row>
    <row r="60" spans="1:32" x14ac:dyDescent="0.2">
      <c r="A60" s="7" t="str">
        <f ca="1">IF(AUTOEVENTO="Manual",IF(OFFSET(EVENTOS!$F$14,PLE!$B60,0)&gt;0,"F",""),IF(PLE!B60&lt;=MAX(CÁLCULO!$M$15:$M$405),"F",""))</f>
        <v/>
      </c>
      <c r="B60" s="248">
        <f t="shared" ca="1" si="1"/>
        <v>45</v>
      </c>
      <c r="C60" s="773">
        <f ca="1">IF(AUTOEVENTO="Manual",OFFSET(EVENTOS!$D$15,$B60-$B$15,0),IF(B60&lt;=MAX(CÁLCULO!$M$15:$M$405),VLOOKUP($B60,CÁLCULO!$M$15:$N$405,2,FALSE),0))</f>
        <v>0</v>
      </c>
      <c r="D60" s="773"/>
      <c r="F60" s="249"/>
      <c r="H60" s="249"/>
      <c r="I60" s="249"/>
      <c r="J60" s="249"/>
      <c r="K60" s="249"/>
      <c r="L60" s="249"/>
      <c r="M60" s="249"/>
      <c r="N60" s="249"/>
      <c r="O60" s="249"/>
      <c r="P60" s="249"/>
      <c r="Q60" s="249"/>
      <c r="R60" s="249"/>
      <c r="S60" s="249"/>
      <c r="T60" s="249"/>
      <c r="U60" s="249"/>
      <c r="V60" s="249"/>
      <c r="W60" s="249"/>
      <c r="X60" s="249"/>
      <c r="Y60" s="249"/>
      <c r="Z60" s="249"/>
      <c r="AA60" s="249"/>
      <c r="AB60" s="249"/>
      <c r="AC60" s="249"/>
      <c r="AD60" s="249"/>
      <c r="AE60" s="249"/>
      <c r="AF60" s="249"/>
    </row>
    <row r="61" spans="1:32" x14ac:dyDescent="0.2">
      <c r="A61" s="7" t="str">
        <f ca="1">IF(AUTOEVENTO="Manual",IF(OFFSET(EVENTOS!$F$14,PLE!$B61,0)&gt;0,"F",""),IF(PLE!B61&lt;=MAX(CÁLCULO!$M$15:$M$405),"F",""))</f>
        <v/>
      </c>
      <c r="B61" s="248">
        <f t="shared" ca="1" si="1"/>
        <v>46</v>
      </c>
      <c r="C61" s="773">
        <f ca="1">IF(AUTOEVENTO="Manual",OFFSET(EVENTOS!$D$15,$B61-$B$15,0),IF(B61&lt;=MAX(CÁLCULO!$M$15:$M$405),VLOOKUP($B61,CÁLCULO!$M$15:$N$405,2,FALSE),0))</f>
        <v>0</v>
      </c>
      <c r="D61" s="773"/>
      <c r="F61" s="249"/>
      <c r="H61" s="249"/>
      <c r="I61" s="249"/>
      <c r="J61" s="249"/>
      <c r="K61" s="249"/>
      <c r="L61" s="249"/>
      <c r="M61" s="249"/>
      <c r="N61" s="249"/>
      <c r="O61" s="249"/>
      <c r="P61" s="249"/>
      <c r="Q61" s="249"/>
      <c r="R61" s="249"/>
      <c r="S61" s="249"/>
      <c r="T61" s="249"/>
      <c r="U61" s="249"/>
      <c r="V61" s="249"/>
      <c r="W61" s="249"/>
      <c r="X61" s="249"/>
      <c r="Y61" s="249"/>
      <c r="Z61" s="249"/>
      <c r="AA61" s="249"/>
      <c r="AB61" s="249"/>
      <c r="AC61" s="249"/>
      <c r="AD61" s="249"/>
      <c r="AE61" s="249"/>
      <c r="AF61" s="249"/>
    </row>
    <row r="62" spans="1:32" x14ac:dyDescent="0.2">
      <c r="A62" s="7" t="str">
        <f ca="1">IF(AUTOEVENTO="Manual",IF(OFFSET(EVENTOS!$F$14,PLE!$B62,0)&gt;0,"F",""),IF(PLE!B62&lt;=MAX(CÁLCULO!$M$15:$M$405),"F",""))</f>
        <v/>
      </c>
      <c r="B62" s="248">
        <f t="shared" ca="1" si="1"/>
        <v>47</v>
      </c>
      <c r="C62" s="773">
        <f ca="1">IF(AUTOEVENTO="Manual",OFFSET(EVENTOS!$D$15,$B62-$B$15,0),IF(B62&lt;=MAX(CÁLCULO!$M$15:$M$405),VLOOKUP($B62,CÁLCULO!$M$15:$N$405,2,FALSE),0))</f>
        <v>0</v>
      </c>
      <c r="D62" s="773"/>
      <c r="F62" s="249"/>
      <c r="H62" s="249"/>
      <c r="I62" s="249"/>
      <c r="J62" s="249"/>
      <c r="K62" s="249"/>
      <c r="L62" s="249"/>
      <c r="M62" s="249"/>
      <c r="N62" s="249"/>
      <c r="O62" s="249"/>
      <c r="P62" s="249"/>
      <c r="Q62" s="249"/>
      <c r="R62" s="249"/>
      <c r="S62" s="249"/>
      <c r="T62" s="249"/>
      <c r="U62" s="249"/>
      <c r="V62" s="249"/>
      <c r="W62" s="249"/>
      <c r="X62" s="249"/>
      <c r="Y62" s="249"/>
      <c r="Z62" s="249"/>
      <c r="AA62" s="249"/>
      <c r="AB62" s="249"/>
      <c r="AC62" s="249"/>
      <c r="AD62" s="249"/>
      <c r="AE62" s="249"/>
      <c r="AF62" s="249"/>
    </row>
    <row r="63" spans="1:32" x14ac:dyDescent="0.2">
      <c r="A63" s="7" t="str">
        <f ca="1">IF(AUTOEVENTO="Manual",IF(OFFSET(EVENTOS!$F$14,PLE!$B63,0)&gt;0,"F",""),IF(PLE!B63&lt;=MAX(CÁLCULO!$M$15:$M$405),"F",""))</f>
        <v/>
      </c>
      <c r="B63" s="248">
        <f t="shared" ca="1" si="1"/>
        <v>48</v>
      </c>
      <c r="C63" s="773">
        <f ca="1">IF(AUTOEVENTO="Manual",OFFSET(EVENTOS!$D$15,$B63-$B$15,0),IF(B63&lt;=MAX(CÁLCULO!$M$15:$M$405),VLOOKUP($B63,CÁLCULO!$M$15:$N$405,2,FALSE),0))</f>
        <v>0</v>
      </c>
      <c r="D63" s="773"/>
      <c r="F63" s="249"/>
      <c r="H63" s="249"/>
      <c r="I63" s="249"/>
      <c r="J63" s="249"/>
      <c r="K63" s="249"/>
      <c r="L63" s="249"/>
      <c r="M63" s="249"/>
      <c r="N63" s="249"/>
      <c r="O63" s="249"/>
      <c r="P63" s="249"/>
      <c r="Q63" s="249"/>
      <c r="R63" s="249"/>
      <c r="S63" s="249"/>
      <c r="T63" s="249"/>
      <c r="U63" s="249"/>
      <c r="V63" s="249"/>
      <c r="W63" s="249"/>
      <c r="X63" s="249"/>
      <c r="Y63" s="249"/>
      <c r="Z63" s="249"/>
      <c r="AA63" s="249"/>
      <c r="AB63" s="249"/>
      <c r="AC63" s="249"/>
      <c r="AD63" s="249"/>
      <c r="AE63" s="249"/>
      <c r="AF63" s="249"/>
    </row>
    <row r="64" spans="1:32" x14ac:dyDescent="0.2">
      <c r="A64" s="7" t="str">
        <f ca="1">IF(AUTOEVENTO="Manual",IF(OFFSET(EVENTOS!$F$14,PLE!$B64,0)&gt;0,"F",""),IF(PLE!B64&lt;=MAX(CÁLCULO!$M$15:$M$405),"F",""))</f>
        <v/>
      </c>
      <c r="B64" s="248">
        <f t="shared" ca="1" si="1"/>
        <v>49</v>
      </c>
      <c r="C64" s="773">
        <f ca="1">IF(AUTOEVENTO="Manual",OFFSET(EVENTOS!$D$15,$B64-$B$15,0),IF(B64&lt;=MAX(CÁLCULO!$M$15:$M$405),VLOOKUP($B64,CÁLCULO!$M$15:$N$405,2,FALSE),0))</f>
        <v>0</v>
      </c>
      <c r="D64" s="773"/>
      <c r="F64" s="249"/>
      <c r="H64" s="249"/>
      <c r="I64" s="249"/>
      <c r="J64" s="249"/>
      <c r="K64" s="249"/>
      <c r="L64" s="249"/>
      <c r="M64" s="249"/>
      <c r="N64" s="249"/>
      <c r="O64" s="249"/>
      <c r="P64" s="249"/>
      <c r="Q64" s="249"/>
      <c r="R64" s="249"/>
      <c r="S64" s="249"/>
      <c r="T64" s="249"/>
      <c r="U64" s="249"/>
      <c r="V64" s="249"/>
      <c r="W64" s="249"/>
      <c r="X64" s="249"/>
      <c r="Y64" s="249"/>
      <c r="Z64" s="249"/>
      <c r="AA64" s="249"/>
      <c r="AB64" s="249"/>
      <c r="AC64" s="249"/>
      <c r="AD64" s="249"/>
      <c r="AE64" s="249"/>
      <c r="AF64" s="249"/>
    </row>
    <row r="65" spans="1:32" ht="4.5" customHeight="1" x14ac:dyDescent="0.2">
      <c r="A65" s="7" t="s">
        <v>536</v>
      </c>
      <c r="B65" s="611"/>
      <c r="C65" s="612"/>
      <c r="D65" s="420"/>
      <c r="F65" s="630"/>
      <c r="H65" s="611"/>
      <c r="I65" s="612"/>
      <c r="J65" s="612"/>
      <c r="K65" s="612"/>
      <c r="L65" s="612"/>
      <c r="M65" s="612"/>
      <c r="N65" s="612"/>
      <c r="O65" s="612"/>
      <c r="P65" s="612"/>
      <c r="Q65" s="612"/>
      <c r="R65" s="612"/>
      <c r="S65" s="612"/>
      <c r="T65" s="612"/>
      <c r="U65" s="612"/>
      <c r="V65" s="612"/>
      <c r="W65" s="612"/>
      <c r="X65" s="612"/>
      <c r="Y65" s="612"/>
      <c r="Z65" s="612"/>
      <c r="AA65" s="612"/>
      <c r="AB65" s="612"/>
      <c r="AC65" s="612"/>
      <c r="AD65" s="612"/>
      <c r="AE65" s="612"/>
      <c r="AF65" s="420"/>
    </row>
    <row r="66" spans="1:32" x14ac:dyDescent="0.2">
      <c r="A66" s="7" t="s">
        <v>536</v>
      </c>
    </row>
    <row r="67" spans="1:32" x14ac:dyDescent="0.2">
      <c r="A67" s="7" t="s">
        <v>536</v>
      </c>
      <c r="I67" s="784" t="s">
        <v>841</v>
      </c>
      <c r="J67" s="784"/>
      <c r="K67" s="784"/>
      <c r="L67" s="784"/>
      <c r="M67" s="784"/>
      <c r="N67" s="784"/>
      <c r="O67" s="784"/>
      <c r="P67" s="784"/>
      <c r="Q67" s="784"/>
      <c r="R67" s="784"/>
      <c r="S67" s="784"/>
      <c r="T67" s="784"/>
      <c r="U67" s="784"/>
      <c r="V67" s="784"/>
      <c r="W67" s="784"/>
      <c r="X67" s="784"/>
      <c r="Y67" s="784"/>
      <c r="Z67" s="784"/>
      <c r="AA67" s="784"/>
      <c r="AB67" s="784"/>
      <c r="AC67" s="784"/>
      <c r="AD67" s="784"/>
      <c r="AE67" s="784"/>
      <c r="AF67" s="784"/>
    </row>
    <row r="68" spans="1:32" x14ac:dyDescent="0.2">
      <c r="A68" s="7" t="s">
        <v>536</v>
      </c>
      <c r="H68" s="586" t="str">
        <f>IF(INDEX($I$68:$AG$68,MATCH(PLE.Medicao,$I$69:$AG$69,0))="","Preencher a data da medição "&amp;PLE.Medicao,"")</f>
        <v>Preencher a data da medição 1</v>
      </c>
      <c r="I68" s="793"/>
      <c r="J68" s="778"/>
      <c r="K68" s="778"/>
      <c r="L68" s="778"/>
      <c r="M68" s="778"/>
      <c r="N68" s="778"/>
      <c r="O68" s="778"/>
      <c r="P68" s="778"/>
      <c r="Q68" s="778"/>
      <c r="R68" s="778"/>
      <c r="S68" s="778"/>
      <c r="T68" s="778"/>
      <c r="U68" s="778"/>
      <c r="V68" s="778"/>
      <c r="W68" s="778"/>
      <c r="X68" s="778"/>
      <c r="Y68" s="778"/>
      <c r="Z68" s="778"/>
      <c r="AA68" s="778"/>
      <c r="AB68" s="778"/>
      <c r="AC68" s="778"/>
      <c r="AD68" s="778"/>
      <c r="AE68" s="778"/>
      <c r="AF68" s="785"/>
    </row>
    <row r="69" spans="1:32" x14ac:dyDescent="0.2">
      <c r="A69" s="7" t="s">
        <v>536</v>
      </c>
      <c r="D69" s="270" t="s">
        <v>842</v>
      </c>
      <c r="I69" s="779">
        <f>IF(PLE.Medicao&lt;=12,1,TRUNC((PLE.Medicao - 2)/11,0) * 11 + 1)</f>
        <v>1</v>
      </c>
      <c r="J69" s="779"/>
      <c r="K69" s="779">
        <f>I69+1</f>
        <v>2</v>
      </c>
      <c r="L69" s="779"/>
      <c r="M69" s="779">
        <f>K69+1</f>
        <v>3</v>
      </c>
      <c r="N69" s="779"/>
      <c r="O69" s="779">
        <f>M69+1</f>
        <v>4</v>
      </c>
      <c r="P69" s="779"/>
      <c r="Q69" s="779">
        <f>O69+1</f>
        <v>5</v>
      </c>
      <c r="R69" s="779"/>
      <c r="S69" s="779">
        <f>Q69+1</f>
        <v>6</v>
      </c>
      <c r="T69" s="779"/>
      <c r="U69" s="779">
        <f>S69+1</f>
        <v>7</v>
      </c>
      <c r="V69" s="779"/>
      <c r="W69" s="779">
        <f>U69+1</f>
        <v>8</v>
      </c>
      <c r="X69" s="779"/>
      <c r="Y69" s="779">
        <f>W69+1</f>
        <v>9</v>
      </c>
      <c r="Z69" s="779"/>
      <c r="AA69" s="779">
        <f>Y69+1</f>
        <v>10</v>
      </c>
      <c r="AB69" s="779"/>
      <c r="AC69" s="779">
        <f>AA69+1</f>
        <v>11</v>
      </c>
      <c r="AD69" s="779"/>
      <c r="AE69" s="779">
        <f>AC69+1</f>
        <v>12</v>
      </c>
      <c r="AF69" s="779"/>
    </row>
    <row r="70" spans="1:32" x14ac:dyDescent="0.2">
      <c r="A70" s="7" t="s">
        <v>536</v>
      </c>
      <c r="D70" s="781" t="s">
        <v>801</v>
      </c>
      <c r="H70" s="271" t="s">
        <v>783</v>
      </c>
      <c r="I70" s="780" t="e">
        <f ca="1">ROUND(I71,2)/ORÇAMENTO!$X$15</f>
        <v>#DIV/0!</v>
      </c>
      <c r="J70" s="780"/>
      <c r="K70" s="782" t="e">
        <f ca="1">ROUND(K71,2)/ORÇAMENTO!$X$15</f>
        <v>#DIV/0!</v>
      </c>
      <c r="L70" s="782"/>
      <c r="M70" s="783" t="e">
        <f ca="1">ROUND(M71,2)/ORÇAMENTO!$X$15</f>
        <v>#DIV/0!</v>
      </c>
      <c r="N70" s="783"/>
      <c r="O70" s="782" t="e">
        <f ca="1">ROUND(O71,2)/ORÇAMENTO!$X$15</f>
        <v>#DIV/0!</v>
      </c>
      <c r="P70" s="782"/>
      <c r="Q70" s="783" t="e">
        <f ca="1">ROUND(Q71,2)/ORÇAMENTO!$X$15</f>
        <v>#DIV/0!</v>
      </c>
      <c r="R70" s="783"/>
      <c r="S70" s="782" t="e">
        <f ca="1">ROUND(S71,2)/ORÇAMENTO!$X$15</f>
        <v>#DIV/0!</v>
      </c>
      <c r="T70" s="782"/>
      <c r="U70" s="783" t="e">
        <f ca="1">ROUND(U71,2)/ORÇAMENTO!$X$15</f>
        <v>#DIV/0!</v>
      </c>
      <c r="V70" s="783"/>
      <c r="W70" s="782" t="e">
        <f ca="1">ROUND(W71,2)/ORÇAMENTO!$X$15</f>
        <v>#DIV/0!</v>
      </c>
      <c r="X70" s="782"/>
      <c r="Y70" s="783" t="e">
        <f ca="1">ROUND(Y71,2)/ORÇAMENTO!$X$15</f>
        <v>#DIV/0!</v>
      </c>
      <c r="Z70" s="783"/>
      <c r="AA70" s="782" t="e">
        <f ca="1">ROUND(AA71,2)/ORÇAMENTO!$X$15</f>
        <v>#DIV/0!</v>
      </c>
      <c r="AB70" s="782"/>
      <c r="AC70" s="783" t="e">
        <f ca="1">ROUND(AC71,2)/ORÇAMENTO!$X$15</f>
        <v>#DIV/0!</v>
      </c>
      <c r="AD70" s="783"/>
      <c r="AE70" s="782" t="e">
        <f ca="1">ROUND(AE71,2)/ORÇAMENTO!$X$15</f>
        <v>#DIV/0!</v>
      </c>
      <c r="AF70" s="782"/>
    </row>
    <row r="71" spans="1:32" x14ac:dyDescent="0.2">
      <c r="A71" s="7" t="s">
        <v>536</v>
      </c>
      <c r="D71" s="781"/>
      <c r="H71" s="11" t="s">
        <v>784</v>
      </c>
      <c r="I71" s="775" cm="1">
        <f t="array" aca="1" ref="I71" ca="1">IF(I69=1,I73,_xlfn.SINGLE(AH11ARRED(I73,2))-ROUND(SUMIF(CÁLCULO!$AX$15:$BH$405,"&lt;="&amp;PLE!I69-1,CÁLCULO!$AB$15:$AL$405)*IF(AdmLocal="Automática",(1+_xlfn.SINGLE(CÁLCULO.TotalAdmLocal)/(ORÇAMENTO!$X$15-_xlfn.SINGLE(CÁLCULO.TotalAdmLocal))),1),2))</f>
        <v>0</v>
      </c>
      <c r="J71" s="775"/>
      <c r="K71" s="775">
        <f ca="1">ROUND(K73,2)-ROUND(I73,2)</f>
        <v>0</v>
      </c>
      <c r="L71" s="775"/>
      <c r="M71" s="774">
        <f ca="1">ROUND(M73,2)-ROUND(K73,2)</f>
        <v>0</v>
      </c>
      <c r="N71" s="774"/>
      <c r="O71" s="775">
        <f ca="1">ROUND(O73,2)-ROUND(M73,2)</f>
        <v>0</v>
      </c>
      <c r="P71" s="775"/>
      <c r="Q71" s="774">
        <f ca="1">ROUND(Q73,2)-ROUND(O73,2)</f>
        <v>0</v>
      </c>
      <c r="R71" s="774"/>
      <c r="S71" s="775">
        <f ca="1">ROUND(S73,2)-ROUND(Q73,2)</f>
        <v>0</v>
      </c>
      <c r="T71" s="775"/>
      <c r="U71" s="774">
        <f ca="1">ROUND(U73,2)-ROUND(S73,2)</f>
        <v>0</v>
      </c>
      <c r="V71" s="774"/>
      <c r="W71" s="775">
        <f ca="1">ROUND(W73,2)-ROUND(U73,2)</f>
        <v>0</v>
      </c>
      <c r="X71" s="775"/>
      <c r="Y71" s="774">
        <f ca="1">ROUND(Y73,2)-ROUND(W73,2)</f>
        <v>0</v>
      </c>
      <c r="Z71" s="774"/>
      <c r="AA71" s="775">
        <f ca="1">ROUND(AA73,2)-ROUND(Y73,2)</f>
        <v>0</v>
      </c>
      <c r="AB71" s="775"/>
      <c r="AC71" s="774">
        <f ca="1">ROUND(AC73,2)-ROUND(AA73,2)</f>
        <v>0</v>
      </c>
      <c r="AD71" s="774"/>
      <c r="AE71" s="775">
        <f ca="1">ROUND(AE73,2)-ROUND(AC73,2)</f>
        <v>0</v>
      </c>
      <c r="AF71" s="775"/>
    </row>
    <row r="72" spans="1:32" x14ac:dyDescent="0.2">
      <c r="A72" s="7" t="s">
        <v>536</v>
      </c>
      <c r="D72" s="781" t="s">
        <v>805</v>
      </c>
      <c r="H72" s="271" t="s">
        <v>783</v>
      </c>
      <c r="I72" s="795" t="e">
        <f ca="1">ROUND(I73,2)/ORÇAMENTO!$X$15</f>
        <v>#DIV/0!</v>
      </c>
      <c r="J72" s="795"/>
      <c r="K72" s="776" t="e">
        <f ca="1">ROUND(K73,2)/ORÇAMENTO!$X$15</f>
        <v>#DIV/0!</v>
      </c>
      <c r="L72" s="776"/>
      <c r="M72" s="777" t="e">
        <f ca="1">ROUND(M73,2)/ORÇAMENTO!$X$15</f>
        <v>#DIV/0!</v>
      </c>
      <c r="N72" s="777"/>
      <c r="O72" s="776" t="e">
        <f ca="1">ROUND(O73,2)/ORÇAMENTO!$X$15</f>
        <v>#DIV/0!</v>
      </c>
      <c r="P72" s="776"/>
      <c r="Q72" s="777" t="e">
        <f ca="1">ROUND(Q73,2)/ORÇAMENTO!$X$15</f>
        <v>#DIV/0!</v>
      </c>
      <c r="R72" s="777"/>
      <c r="S72" s="776" t="e">
        <f ca="1">ROUND(S73,2)/ORÇAMENTO!$X$15</f>
        <v>#DIV/0!</v>
      </c>
      <c r="T72" s="776"/>
      <c r="U72" s="777" t="e">
        <f ca="1">ROUND(U73,2)/ORÇAMENTO!$X$15</f>
        <v>#DIV/0!</v>
      </c>
      <c r="V72" s="777"/>
      <c r="W72" s="776" t="e">
        <f ca="1">ROUND(W73,2)/ORÇAMENTO!$X$15</f>
        <v>#DIV/0!</v>
      </c>
      <c r="X72" s="776"/>
      <c r="Y72" s="777" t="e">
        <f ca="1">ROUND(Y73,2)/ORÇAMENTO!$X$15</f>
        <v>#DIV/0!</v>
      </c>
      <c r="Z72" s="777"/>
      <c r="AA72" s="776" t="e">
        <f ca="1">ROUND(AA73,2)/ORÇAMENTO!$X$15</f>
        <v>#DIV/0!</v>
      </c>
      <c r="AB72" s="776"/>
      <c r="AC72" s="777" t="e">
        <f ca="1">ROUND(AC73,2)/ORÇAMENTO!$X$15</f>
        <v>#DIV/0!</v>
      </c>
      <c r="AD72" s="777"/>
      <c r="AE72" s="776" t="e">
        <f ca="1">ROUND(AE73,2)/ORÇAMENTO!$X$15</f>
        <v>#DIV/0!</v>
      </c>
      <c r="AF72" s="776"/>
    </row>
    <row r="73" spans="1:32" x14ac:dyDescent="0.2">
      <c r="A73" s="7" t="s">
        <v>536</v>
      </c>
      <c r="D73" s="781"/>
      <c r="H73" s="11" t="s">
        <v>784</v>
      </c>
      <c r="I73" s="794" cm="1">
        <f t="array" aca="1" ref="I73" ca="1">SUMIF(CÁLCULO!$AX$15:$BH$405,"&lt;="&amp;PLE!I69,CÁLCULO!$AB$15:$AL$405)*IF(AdmLocal="Automática",(1+_xlfn.SINGLE(CÁLCULO.TotalAdmLocal)/(ORÇAMENTO!$X$15-_xlfn.SINGLE(CÁLCULO.TotalAdmLocal))),1)</f>
        <v>0</v>
      </c>
      <c r="J73" s="794"/>
      <c r="K73" s="775" cm="1">
        <f t="array" aca="1" ref="K73" ca="1">SUMIF(CÁLCULO!$AX$15:$BH$405,"&lt;="&amp;PLE!K69,CÁLCULO!$AB$15:$AL$405)*IF(AdmLocal="Automática",(1+_xlfn.SINGLE(CÁLCULO.TotalAdmLocal)/(ORÇAMENTO!$X$15-_xlfn.SINGLE(CÁLCULO.TotalAdmLocal))),1)</f>
        <v>0</v>
      </c>
      <c r="L73" s="775"/>
      <c r="M73" s="774" cm="1">
        <f t="array" aca="1" ref="M73" ca="1">SUMIF(CÁLCULO!$AX$15:$BH$405,"&lt;="&amp;PLE!M69,CÁLCULO!$AB$15:$AL$405)*IF(AdmLocal="Automática",(1+_xlfn.SINGLE(CÁLCULO.TotalAdmLocal)/(ORÇAMENTO!$X$15-_xlfn.SINGLE(CÁLCULO.TotalAdmLocal))),1)</f>
        <v>0</v>
      </c>
      <c r="N73" s="774"/>
      <c r="O73" s="775" cm="1">
        <f t="array" aca="1" ref="O73" ca="1">SUMIF(CÁLCULO!$AX$15:$BH$405,"&lt;="&amp;PLE!O69,CÁLCULO!$AB$15:$AL$405)*IF(AdmLocal="Automática",(1+_xlfn.SINGLE(CÁLCULO.TotalAdmLocal)/(ORÇAMENTO!$X$15-_xlfn.SINGLE(CÁLCULO.TotalAdmLocal))),1)</f>
        <v>0</v>
      </c>
      <c r="P73" s="775"/>
      <c r="Q73" s="774" cm="1">
        <f t="array" aca="1" ref="Q73" ca="1">SUMIF(CÁLCULO!$AX$15:$BH$405,"&lt;="&amp;PLE!Q69,CÁLCULO!$AB$15:$AL$405)*IF(AdmLocal="Automática",(1+_xlfn.SINGLE(CÁLCULO.TotalAdmLocal)/(ORÇAMENTO!$X$15-_xlfn.SINGLE(CÁLCULO.TotalAdmLocal))),1)</f>
        <v>0</v>
      </c>
      <c r="R73" s="774"/>
      <c r="S73" s="775" cm="1">
        <f t="array" aca="1" ref="S73" ca="1">SUMIF(CÁLCULO!$AX$15:$BH$405,"&lt;="&amp;PLE!S69,CÁLCULO!$AB$15:$AL$405)*IF(AdmLocal="Automática",(1+_xlfn.SINGLE(CÁLCULO.TotalAdmLocal)/(ORÇAMENTO!$X$15-_xlfn.SINGLE(CÁLCULO.TotalAdmLocal))),1)</f>
        <v>0</v>
      </c>
      <c r="T73" s="775"/>
      <c r="U73" s="774" cm="1">
        <f t="array" aca="1" ref="U73" ca="1">SUMIF(CÁLCULO!$AX$15:$BH$405,"&lt;="&amp;PLE!U69,CÁLCULO!$AB$15:$AL$405)*IF(AdmLocal="Automática",(1+_xlfn.SINGLE(CÁLCULO.TotalAdmLocal)/(ORÇAMENTO!$X$15-_xlfn.SINGLE(CÁLCULO.TotalAdmLocal))),1)</f>
        <v>0</v>
      </c>
      <c r="V73" s="774"/>
      <c r="W73" s="775" cm="1">
        <f t="array" aca="1" ref="W73" ca="1">SUMIF(CÁLCULO!$AX$15:$BH$405,"&lt;="&amp;PLE!W69,CÁLCULO!$AB$15:$AL$405)*IF(AdmLocal="Automática",(1+_xlfn.SINGLE(CÁLCULO.TotalAdmLocal)/(ORÇAMENTO!$X$15-_xlfn.SINGLE(CÁLCULO.TotalAdmLocal))),1)</f>
        <v>0</v>
      </c>
      <c r="X73" s="775"/>
      <c r="Y73" s="774" cm="1">
        <f t="array" aca="1" ref="Y73" ca="1">SUMIF(CÁLCULO!$AX$15:$BH$405,"&lt;="&amp;PLE!Y69,CÁLCULO!$AB$15:$AL$405)*IF(AdmLocal="Automática",(1+_xlfn.SINGLE(CÁLCULO.TotalAdmLocal)/(ORÇAMENTO!$X$15-_xlfn.SINGLE(CÁLCULO.TotalAdmLocal))),1)</f>
        <v>0</v>
      </c>
      <c r="Z73" s="774"/>
      <c r="AA73" s="775" cm="1">
        <f t="array" aca="1" ref="AA73" ca="1">SUMIF(CÁLCULO!$AX$15:$BH$405,"&lt;="&amp;PLE!AA69,CÁLCULO!$AB$15:$AL$405)*IF(AdmLocal="Automática",(1+_xlfn.SINGLE(CÁLCULO.TotalAdmLocal)/(ORÇAMENTO!$X$15-_xlfn.SINGLE(CÁLCULO.TotalAdmLocal))),1)</f>
        <v>0</v>
      </c>
      <c r="AB73" s="775"/>
      <c r="AC73" s="774" cm="1">
        <f t="array" aca="1" ref="AC73" ca="1">SUMIF(CÁLCULO!$AX$15:$BH$405,"&lt;="&amp;PLE!AC69,CÁLCULO!$AB$15:$AL$405)*IF(AdmLocal="Automática",(1+_xlfn.SINGLE(CÁLCULO.TotalAdmLocal)/(ORÇAMENTO!$X$15-_xlfn.SINGLE(CÁLCULO.TotalAdmLocal))),1)</f>
        <v>0</v>
      </c>
      <c r="AD73" s="774"/>
      <c r="AE73" s="775" cm="1">
        <f t="array" aca="1" ref="AE73" ca="1">SUMIF(CÁLCULO!$AX$15:$BH$405,"&lt;="&amp;PLE!AE69,CÁLCULO!$AB$15:$AL$405)*IF(AdmLocal="Automática",(1+_xlfn.SINGLE(CÁLCULO.TotalAdmLocal)/(ORÇAMENTO!$X$15-_xlfn.SINGLE(CÁLCULO.TotalAdmLocal))),1)</f>
        <v>0</v>
      </c>
      <c r="AF73" s="775"/>
    </row>
    <row r="74" spans="1:32" ht="12.75" customHeight="1" x14ac:dyDescent="0.2">
      <c r="A74" s="7"/>
      <c r="D74" s="554" t="s">
        <v>786</v>
      </c>
      <c r="H74" s="553" t="s">
        <v>783</v>
      </c>
      <c r="I74" s="739" t="e" cm="1">
        <f t="array" aca="1" ref="I74" ca="1">IF(OR(_xlfn.SINGLE(ACOMPANHAMENTO)&lt;&gt;"PLE",I69&gt;PLE.Medicao),0,
   IF(AUTOEVENTO="Manual",
      IF(AdmLocal="Automática",I72,
         IF(Import.EventoAdmLocal="","",SUMIF(OFFSET($G$14,CRONOPLE!$A$8+1,1,1,OFFSET($AG$12,0,-1)),"&lt;="&amp;I69,OFFSET(EVENTOS!$G$14,CRONOPLE!$A$8+1,1,1,OFFSET($AG$12,0,-1)))/OFFSET(EVENTOS!$G$14,CRONOPLE!$A$8+1,-1))),
      IF(Import.EventoAdmLocal="","",SUMIF(OFFSET(CÁLCULO!$AW$15,CRONOPLE!$A$10,1,OFFSET(ORÇAMENTO!$D$15,CRONOPLE!$A$10,0),COLUMN(CÁLCULO!$BH$15)-COLUMN(CÁLCULO!$AW$15)-1),"&lt;="&amp;I69,OFFSET(CÁLCULO!$AA$15,CRONOPLE!$A$10,1,OFFSET(ORÇAMENTO!$D$15,CRONOPLE!$A$10,0),COLUMN(CÁLCULO!$AL$15)-COLUMN(CÁLCULO!$AA$15)-1))/OFFSET(ORÇAMENTO!$X$15,CRONOPLE!$A$10,0))))</f>
        <v>#NAME?</v>
      </c>
      <c r="J74" s="739"/>
      <c r="K74" s="739" t="e" cm="1">
        <f t="array" aca="1" ref="K74" ca="1">IF(OR(_xlfn.SINGLE(ACOMPANHAMENTO)&lt;&gt;"PLE",K69&gt;PLE.Medicao),0,
   IF(AUTOEVENTO="Manual",
      IF(AdmLocal="Automática",K72,
         IF(Import.EventoAdmLocal="","",SUMIF(OFFSET($G$14,CRONOPLE!$A$8+1,1,1,OFFSET($AG$12,0,-1)),"&lt;="&amp;K69,OFFSET(EVENTOS!$G$14,CRONOPLE!$A$8+1,1,1,OFFSET($AG$12,0,-1)))/OFFSET(EVENTOS!$G$14,CRONOPLE!$A$8+1,-1))),
      IF(Import.EventoAdmLocal="","",SUMIF(OFFSET(CÁLCULO!$AW$15,CRONOPLE!$A$10,1,OFFSET(ORÇAMENTO!$D$15,CRONOPLE!$A$10,0),COLUMN(CÁLCULO!$BH$15)-COLUMN(CÁLCULO!$AW$15)-1),"&lt;="&amp;K69,OFFSET(CÁLCULO!$AA$15,CRONOPLE!$A$10,1,OFFSET(ORÇAMENTO!$D$15,CRONOPLE!$A$10,0),COLUMN(CÁLCULO!$AL$15)-COLUMN(CÁLCULO!$AA$15)-1))/OFFSET(ORÇAMENTO!$X$15,CRONOPLE!$A$10,0))))</f>
        <v>#NAME?</v>
      </c>
      <c r="L74" s="739"/>
      <c r="M74" s="739" t="e" cm="1">
        <f t="array" aca="1" ref="M74" ca="1">IF(OR(_xlfn.SINGLE(ACOMPANHAMENTO)&lt;&gt;"PLE",M69&gt;PLE.Medicao),0,
   IF(AUTOEVENTO="Manual",
      IF(AdmLocal="Automática",M72,
         IF(Import.EventoAdmLocal="","",SUMIF(OFFSET($G$14,CRONOPLE!$A$8+1,1,1,OFFSET($AG$12,0,-1)),"&lt;="&amp;M69,OFFSET(EVENTOS!$G$14,CRONOPLE!$A$8+1,1,1,OFFSET($AG$12,0,-1)))/OFFSET(EVENTOS!$G$14,CRONOPLE!$A$8+1,-1))),
      IF(Import.EventoAdmLocal="","",SUMIF(OFFSET(CÁLCULO!$AW$15,CRONOPLE!$A$10,1,OFFSET(ORÇAMENTO!$D$15,CRONOPLE!$A$10,0),COLUMN(CÁLCULO!$BH$15)-COLUMN(CÁLCULO!$AW$15)-1),"&lt;="&amp;M69,OFFSET(CÁLCULO!$AA$15,CRONOPLE!$A$10,1,OFFSET(ORÇAMENTO!$D$15,CRONOPLE!$A$10,0),COLUMN(CÁLCULO!$AL$15)-COLUMN(CÁLCULO!$AA$15)-1))/OFFSET(ORÇAMENTO!$X$15,CRONOPLE!$A$10,0))))</f>
        <v>#NAME?</v>
      </c>
      <c r="N74" s="739"/>
      <c r="O74" s="739" t="e" cm="1">
        <f t="array" aca="1" ref="O74" ca="1">IF(OR(_xlfn.SINGLE(ACOMPANHAMENTO)&lt;&gt;"PLE",O69&gt;PLE.Medicao),0,
   IF(AUTOEVENTO="Manual",
      IF(AdmLocal="Automática",O72,
         IF(Import.EventoAdmLocal="","",SUMIF(OFFSET($G$14,CRONOPLE!$A$8+1,1,1,OFFSET($AG$12,0,-1)),"&lt;="&amp;O69,OFFSET(EVENTOS!$G$14,CRONOPLE!$A$8+1,1,1,OFFSET($AG$12,0,-1)))/OFFSET(EVENTOS!$G$14,CRONOPLE!$A$8+1,-1))),
      IF(Import.EventoAdmLocal="","",SUMIF(OFFSET(CÁLCULO!$AW$15,CRONOPLE!$A$10,1,OFFSET(ORÇAMENTO!$D$15,CRONOPLE!$A$10,0),COLUMN(CÁLCULO!$BH$15)-COLUMN(CÁLCULO!$AW$15)-1),"&lt;="&amp;O69,OFFSET(CÁLCULO!$AA$15,CRONOPLE!$A$10,1,OFFSET(ORÇAMENTO!$D$15,CRONOPLE!$A$10,0),COLUMN(CÁLCULO!$AL$15)-COLUMN(CÁLCULO!$AA$15)-1))/OFFSET(ORÇAMENTO!$X$15,CRONOPLE!$A$10,0))))</f>
        <v>#NAME?</v>
      </c>
      <c r="P74" s="739"/>
      <c r="Q74" s="739" t="e" cm="1">
        <f t="array" aca="1" ref="Q74" ca="1">IF(OR(_xlfn.SINGLE(ACOMPANHAMENTO)&lt;&gt;"PLE",Q69&gt;PLE.Medicao),0,
   IF(AUTOEVENTO="Manual",
      IF(AdmLocal="Automática",Q72,
         IF(Import.EventoAdmLocal="","",SUMIF(OFFSET($G$14,CRONOPLE!$A$8+1,1,1,OFFSET($AG$12,0,-1)),"&lt;="&amp;Q69,OFFSET(EVENTOS!$G$14,CRONOPLE!$A$8+1,1,1,OFFSET($AG$12,0,-1)))/OFFSET(EVENTOS!$G$14,CRONOPLE!$A$8+1,-1))),
      IF(Import.EventoAdmLocal="","",SUMIF(OFFSET(CÁLCULO!$AW$15,CRONOPLE!$A$10,1,OFFSET(ORÇAMENTO!$D$15,CRONOPLE!$A$10,0),COLUMN(CÁLCULO!$BH$15)-COLUMN(CÁLCULO!$AW$15)-1),"&lt;="&amp;Q69,OFFSET(CÁLCULO!$AA$15,CRONOPLE!$A$10,1,OFFSET(ORÇAMENTO!$D$15,CRONOPLE!$A$10,0),COLUMN(CÁLCULO!$AL$15)-COLUMN(CÁLCULO!$AA$15)-1))/OFFSET(ORÇAMENTO!$X$15,CRONOPLE!$A$10,0))))</f>
        <v>#NAME?</v>
      </c>
      <c r="R74" s="739"/>
      <c r="S74" s="739" t="e" cm="1">
        <f t="array" aca="1" ref="S74" ca="1">IF(OR(_xlfn.SINGLE(ACOMPANHAMENTO)&lt;&gt;"PLE",S69&gt;PLE.Medicao),0,
   IF(AUTOEVENTO="Manual",
      IF(AdmLocal="Automática",S72,
         IF(Import.EventoAdmLocal="","",SUMIF(OFFSET($G$14,CRONOPLE!$A$8+1,1,1,OFFSET($AG$12,0,-1)),"&lt;="&amp;S69,OFFSET(EVENTOS!$G$14,CRONOPLE!$A$8+1,1,1,OFFSET($AG$12,0,-1)))/OFFSET(EVENTOS!$G$14,CRONOPLE!$A$8+1,-1))),
      IF(Import.EventoAdmLocal="","",SUMIF(OFFSET(CÁLCULO!$AW$15,CRONOPLE!$A$10,1,OFFSET(ORÇAMENTO!$D$15,CRONOPLE!$A$10,0),COLUMN(CÁLCULO!$BH$15)-COLUMN(CÁLCULO!$AW$15)-1),"&lt;="&amp;S69,OFFSET(CÁLCULO!$AA$15,CRONOPLE!$A$10,1,OFFSET(ORÇAMENTO!$D$15,CRONOPLE!$A$10,0),COLUMN(CÁLCULO!$AL$15)-COLUMN(CÁLCULO!$AA$15)-1))/OFFSET(ORÇAMENTO!$X$15,CRONOPLE!$A$10,0))))</f>
        <v>#NAME?</v>
      </c>
      <c r="T74" s="739"/>
      <c r="U74" s="739" t="e" cm="1">
        <f t="array" aca="1" ref="U74" ca="1">IF(OR(_xlfn.SINGLE(ACOMPANHAMENTO)&lt;&gt;"PLE",U69&gt;PLE.Medicao),0,
   IF(AUTOEVENTO="Manual",
      IF(AdmLocal="Automática",U72,
         IF(Import.EventoAdmLocal="","",SUMIF(OFFSET($G$14,CRONOPLE!$A$8+1,1,1,OFFSET($AG$12,0,-1)),"&lt;="&amp;U69,OFFSET(EVENTOS!$G$14,CRONOPLE!$A$8+1,1,1,OFFSET($AG$12,0,-1)))/OFFSET(EVENTOS!$G$14,CRONOPLE!$A$8+1,-1))),
      IF(Import.EventoAdmLocal="","",SUMIF(OFFSET(CÁLCULO!$AW$15,CRONOPLE!$A$10,1,OFFSET(ORÇAMENTO!$D$15,CRONOPLE!$A$10,0),COLUMN(CÁLCULO!$BH$15)-COLUMN(CÁLCULO!$AW$15)-1),"&lt;="&amp;U69,OFFSET(CÁLCULO!$AA$15,CRONOPLE!$A$10,1,OFFSET(ORÇAMENTO!$D$15,CRONOPLE!$A$10,0),COLUMN(CÁLCULO!$AL$15)-COLUMN(CÁLCULO!$AA$15)-1))/OFFSET(ORÇAMENTO!$X$15,CRONOPLE!$A$10,0))))</f>
        <v>#NAME?</v>
      </c>
      <c r="V74" s="739"/>
      <c r="W74" s="739" t="e" cm="1">
        <f t="array" aca="1" ref="W74" ca="1">IF(OR(_xlfn.SINGLE(ACOMPANHAMENTO)&lt;&gt;"PLE",W69&gt;PLE.Medicao),0,
   IF(AUTOEVENTO="Manual",
      IF(AdmLocal="Automática",W72,
         IF(Import.EventoAdmLocal="","",SUMIF(OFFSET($G$14,CRONOPLE!$A$8+1,1,1,OFFSET($AG$12,0,-1)),"&lt;="&amp;W69,OFFSET(EVENTOS!$G$14,CRONOPLE!$A$8+1,1,1,OFFSET($AG$12,0,-1)))/OFFSET(EVENTOS!$G$14,CRONOPLE!$A$8+1,-1))),
      IF(Import.EventoAdmLocal="","",SUMIF(OFFSET(CÁLCULO!$AW$15,CRONOPLE!$A$10,1,OFFSET(ORÇAMENTO!$D$15,CRONOPLE!$A$10,0),COLUMN(CÁLCULO!$BH$15)-COLUMN(CÁLCULO!$AW$15)-1),"&lt;="&amp;W69,OFFSET(CÁLCULO!$AA$15,CRONOPLE!$A$10,1,OFFSET(ORÇAMENTO!$D$15,CRONOPLE!$A$10,0),COLUMN(CÁLCULO!$AL$15)-COLUMN(CÁLCULO!$AA$15)-1))/OFFSET(ORÇAMENTO!$X$15,CRONOPLE!$A$10,0))))</f>
        <v>#NAME?</v>
      </c>
      <c r="X74" s="739"/>
      <c r="Y74" s="739" t="e" cm="1">
        <f t="array" aca="1" ref="Y74" ca="1">IF(OR(_xlfn.SINGLE(ACOMPANHAMENTO)&lt;&gt;"PLE",Y69&gt;PLE.Medicao),0,
   IF(AUTOEVENTO="Manual",
      IF(AdmLocal="Automática",Y72,
         IF(Import.EventoAdmLocal="","",SUMIF(OFFSET($G$14,CRONOPLE!$A$8+1,1,1,OFFSET($AG$12,0,-1)),"&lt;="&amp;Y69,OFFSET(EVENTOS!$G$14,CRONOPLE!$A$8+1,1,1,OFFSET($AG$12,0,-1)))/OFFSET(EVENTOS!$G$14,CRONOPLE!$A$8+1,-1))),
      IF(Import.EventoAdmLocal="","",SUMIF(OFFSET(CÁLCULO!$AW$15,CRONOPLE!$A$10,1,OFFSET(ORÇAMENTO!$D$15,CRONOPLE!$A$10,0),COLUMN(CÁLCULO!$BH$15)-COLUMN(CÁLCULO!$AW$15)-1),"&lt;="&amp;Y69,OFFSET(CÁLCULO!$AA$15,CRONOPLE!$A$10,1,OFFSET(ORÇAMENTO!$D$15,CRONOPLE!$A$10,0),COLUMN(CÁLCULO!$AL$15)-COLUMN(CÁLCULO!$AA$15)-1))/OFFSET(ORÇAMENTO!$X$15,CRONOPLE!$A$10,0))))</f>
        <v>#NAME?</v>
      </c>
      <c r="Z74" s="739"/>
      <c r="AA74" s="739" t="e" cm="1">
        <f t="array" aca="1" ref="AA74" ca="1">IF(OR(_xlfn.SINGLE(ACOMPANHAMENTO)&lt;&gt;"PLE",AA69&gt;PLE.Medicao),0,
   IF(AUTOEVENTO="Manual",
      IF(AdmLocal="Automática",AA72,
         IF(Import.EventoAdmLocal="","",SUMIF(OFFSET($G$14,CRONOPLE!$A$8+1,1,1,OFFSET($AG$12,0,-1)),"&lt;="&amp;AA69,OFFSET(EVENTOS!$G$14,CRONOPLE!$A$8+1,1,1,OFFSET($AG$12,0,-1)))/OFFSET(EVENTOS!$G$14,CRONOPLE!$A$8+1,-1))),
      IF(Import.EventoAdmLocal="","",SUMIF(OFFSET(CÁLCULO!$AW$15,CRONOPLE!$A$10,1,OFFSET(ORÇAMENTO!$D$15,CRONOPLE!$A$10,0),COLUMN(CÁLCULO!$BH$15)-COLUMN(CÁLCULO!$AW$15)-1),"&lt;="&amp;AA69,OFFSET(CÁLCULO!$AA$15,CRONOPLE!$A$10,1,OFFSET(ORÇAMENTO!$D$15,CRONOPLE!$A$10,0),COLUMN(CÁLCULO!$AL$15)-COLUMN(CÁLCULO!$AA$15)-1))/OFFSET(ORÇAMENTO!$X$15,CRONOPLE!$A$10,0))))</f>
        <v>#NAME?</v>
      </c>
      <c r="AB74" s="739"/>
      <c r="AC74" s="739" t="e" cm="1">
        <f t="array" aca="1" ref="AC74" ca="1">IF(OR(_xlfn.SINGLE(ACOMPANHAMENTO)&lt;&gt;"PLE",AC69&gt;PLE.Medicao),0,
   IF(AUTOEVENTO="Manual",
      IF(AdmLocal="Automática",AC72,
         IF(Import.EventoAdmLocal="","",SUMIF(OFFSET($G$14,CRONOPLE!$A$8+1,1,1,OFFSET($AG$12,0,-1)),"&lt;="&amp;AC69,OFFSET(EVENTOS!$G$14,CRONOPLE!$A$8+1,1,1,OFFSET($AG$12,0,-1)))/OFFSET(EVENTOS!$G$14,CRONOPLE!$A$8+1,-1))),
      IF(Import.EventoAdmLocal="","",SUMIF(OFFSET(CÁLCULO!$AW$15,CRONOPLE!$A$10,1,OFFSET(ORÇAMENTO!$D$15,CRONOPLE!$A$10,0),COLUMN(CÁLCULO!$BH$15)-COLUMN(CÁLCULO!$AW$15)-1),"&lt;="&amp;AC69,OFFSET(CÁLCULO!$AA$15,CRONOPLE!$A$10,1,OFFSET(ORÇAMENTO!$D$15,CRONOPLE!$A$10,0),COLUMN(CÁLCULO!$AL$15)-COLUMN(CÁLCULO!$AA$15)-1))/OFFSET(ORÇAMENTO!$X$15,CRONOPLE!$A$10,0))))</f>
        <v>#NAME?</v>
      </c>
      <c r="AD74" s="739"/>
      <c r="AE74" s="739" t="e" cm="1">
        <f t="array" aca="1" ref="AE74" ca="1">IF(OR(_xlfn.SINGLE(ACOMPANHAMENTO)&lt;&gt;"PLE",AE69&gt;PLE.Medicao),0,
   IF(AUTOEVENTO="Manual",
      IF(AdmLocal="Automática",AE72,
         IF(Import.EventoAdmLocal="","",SUMIF(OFFSET($G$14,CRONOPLE!$A$8+1,1,1,OFFSET($AG$12,0,-1)),"&lt;="&amp;AE69,OFFSET(EVENTOS!$G$14,CRONOPLE!$A$8+1,1,1,OFFSET($AG$12,0,-1)))/OFFSET(EVENTOS!$G$14,CRONOPLE!$A$8+1,-1))),
      IF(Import.EventoAdmLocal="","",SUMIF(OFFSET(CÁLCULO!$AW$15,CRONOPLE!$A$10,1,OFFSET(ORÇAMENTO!$D$15,CRONOPLE!$A$10,0),COLUMN(CÁLCULO!$BH$15)-COLUMN(CÁLCULO!$AW$15)-1),"&lt;="&amp;AE69,OFFSET(CÁLCULO!$AA$15,CRONOPLE!$A$10,1,OFFSET(ORÇAMENTO!$D$15,CRONOPLE!$A$10,0),COLUMN(CÁLCULO!$AL$15)-COLUMN(CÁLCULO!$AA$15)-1))/OFFSET(ORÇAMENTO!$X$15,CRONOPLE!$A$10,0))))</f>
        <v>#NAME?</v>
      </c>
      <c r="AF74" s="739"/>
    </row>
    <row r="75" spans="1:32" ht="13.5" x14ac:dyDescent="0.25">
      <c r="A75" s="7" t="s">
        <v>536</v>
      </c>
      <c r="D75" s="524"/>
      <c r="H75" s="586" t="str">
        <f ca="1">IF(COUNTIF(I75:AG75,"%Adm&gt;%Global")&gt;0,"Verificar proporcionalidade da Administração Local","")</f>
        <v/>
      </c>
      <c r="I75" s="536" t="e">
        <f ca="1">IF(I74="","",IF(ROUND(I74,4)&gt;ROUND(I72,4),"%Adm&gt;%Global",""))</f>
        <v>#NAME?</v>
      </c>
      <c r="J75" s="525"/>
      <c r="K75" s="536" t="e">
        <f t="shared" ref="K75" ca="1" si="2">IF(K74="","",IF(ROUND(K74,4)&gt;ROUND(K72,4),"%Adm&gt;%Global",""))</f>
        <v>#NAME?</v>
      </c>
      <c r="L75" s="525"/>
      <c r="M75" s="536" t="e">
        <f t="shared" ref="M75" ca="1" si="3">IF(M74="","",IF(ROUND(M74,4)&gt;ROUND(M72,4),"%Adm&gt;%Global",""))</f>
        <v>#NAME?</v>
      </c>
      <c r="N75" s="525"/>
      <c r="O75" s="536" t="e">
        <f t="shared" ref="O75" ca="1" si="4">IF(O74="","",IF(ROUND(O74,4)&gt;ROUND(O72,4),"%Adm&gt;%Global",""))</f>
        <v>#NAME?</v>
      </c>
      <c r="P75" s="525"/>
      <c r="Q75" s="536" t="e">
        <f t="shared" ref="Q75" ca="1" si="5">IF(Q74="","",IF(ROUND(Q74,4)&gt;ROUND(Q72,4),"%Adm&gt;%Global",""))</f>
        <v>#NAME?</v>
      </c>
      <c r="R75" s="525"/>
      <c r="S75" s="536" t="e">
        <f t="shared" ref="S75" ca="1" si="6">IF(S74="","",IF(ROUND(S74,4)&gt;ROUND(S72,4),"%Adm&gt;%Global",""))</f>
        <v>#NAME?</v>
      </c>
      <c r="T75" s="525"/>
      <c r="U75" s="536" t="e">
        <f t="shared" ref="U75" ca="1" si="7">IF(U74="","",IF(ROUND(U74,4)&gt;ROUND(U72,4),"%Adm&gt;%Global",""))</f>
        <v>#NAME?</v>
      </c>
      <c r="V75" s="525"/>
      <c r="W75" s="536" t="e">
        <f t="shared" ref="W75" ca="1" si="8">IF(W74="","",IF(ROUND(W74,4)&gt;ROUND(W72,4),"%Adm&gt;%Global",""))</f>
        <v>#NAME?</v>
      </c>
      <c r="X75" s="525"/>
      <c r="Y75" s="536" t="e">
        <f t="shared" ref="Y75" ca="1" si="9">IF(Y74="","",IF(ROUND(Y74,4)&gt;ROUND(Y72,4),"%Adm&gt;%Global",""))</f>
        <v>#NAME?</v>
      </c>
      <c r="Z75" s="525"/>
      <c r="AA75" s="536" t="e">
        <f t="shared" ref="AA75" ca="1" si="10">IF(AA74="","",IF(ROUND(AA74,4)&gt;ROUND(AA72,4),"%Adm&gt;%Global",""))</f>
        <v>#NAME?</v>
      </c>
      <c r="AB75" s="525"/>
      <c r="AC75" s="536" t="e">
        <f t="shared" ref="AC75" ca="1" si="11">IF(AC74="","",IF(ROUND(AC74,4)&gt;ROUND(AC72,4),"%Adm&gt;%Global",""))</f>
        <v>#NAME?</v>
      </c>
      <c r="AD75" s="525"/>
      <c r="AE75" s="536" t="e">
        <f t="shared" ref="AE75" ca="1" si="12">IF(AE74="","",IF(ROUND(AE74,4)&gt;ROUND(AE72,4),"%Adm&gt;%Global",""))</f>
        <v>#NAME?</v>
      </c>
      <c r="AF75" s="525"/>
    </row>
    <row r="76" spans="1:32" ht="20.25" customHeight="1" x14ac:dyDescent="0.2">
      <c r="A76" s="7" t="s">
        <v>536</v>
      </c>
      <c r="I76" s="796"/>
      <c r="J76" s="796"/>
    </row>
    <row r="77" spans="1:32" ht="15" x14ac:dyDescent="0.25">
      <c r="A77" s="7" t="s">
        <v>536</v>
      </c>
      <c r="B77" s="709" t="str">
        <f>Import.Município</f>
        <v>Caçador/SC</v>
      </c>
      <c r="C77" s="709"/>
      <c r="D77" s="709"/>
      <c r="S77" s="564" t="str">
        <f ca="1">IF(DADOS!$D$50&lt;&gt;"","Preencher os Dados do Responsável pela Fiscalização, na aba DADOS.","")</f>
        <v/>
      </c>
      <c r="U77" s="140"/>
      <c r="V77" s="140"/>
      <c r="W77" s="140"/>
      <c r="X77" s="140"/>
      <c r="Y77" s="181"/>
      <c r="Z77" s="181"/>
      <c r="AA77" s="181"/>
      <c r="AB77" s="181"/>
      <c r="AC77" s="181"/>
      <c r="AD77" s="181"/>
    </row>
    <row r="78" spans="1:32" x14ac:dyDescent="0.2">
      <c r="A78" s="7" t="s">
        <v>536</v>
      </c>
      <c r="B78" s="9" t="s">
        <v>694</v>
      </c>
      <c r="U78" s="182" t="s">
        <v>843</v>
      </c>
    </row>
    <row r="79" spans="1:32" x14ac:dyDescent="0.2">
      <c r="A79" s="7" t="s">
        <v>536</v>
      </c>
      <c r="I79" s="79"/>
      <c r="U79" s="77" t="s">
        <v>240</v>
      </c>
      <c r="W79" s="272">
        <f t="array" ref="W79:W82">Import.RespFiscalização</f>
        <v>0</v>
      </c>
    </row>
    <row r="80" spans="1:32" x14ac:dyDescent="0.2">
      <c r="A80" s="7" t="s">
        <v>536</v>
      </c>
      <c r="B80" s="703">
        <f>DADOS!$C$48</f>
        <v>0</v>
      </c>
      <c r="C80" s="703"/>
      <c r="D80" s="703"/>
      <c r="I80" s="79"/>
      <c r="U80" s="77" t="s">
        <v>319</v>
      </c>
      <c r="W80" s="272">
        <v>0</v>
      </c>
    </row>
    <row r="81" spans="1:23" x14ac:dyDescent="0.2">
      <c r="A81" s="7" t="s">
        <v>536</v>
      </c>
      <c r="B81" s="141" t="s">
        <v>695</v>
      </c>
      <c r="C81" s="1"/>
      <c r="D81" s="1"/>
      <c r="I81" s="79"/>
      <c r="U81" s="77" t="s">
        <v>243</v>
      </c>
      <c r="W81" s="272">
        <v>0</v>
      </c>
    </row>
    <row r="82" spans="1:23" x14ac:dyDescent="0.2">
      <c r="U82" s="77" t="s">
        <v>246</v>
      </c>
      <c r="W82" s="12">
        <v>0</v>
      </c>
    </row>
  </sheetData>
  <sheetProtection algorithmName="SHA-512" hashValue="9C4vxYSQzTI2Cd2bDdz6azpdlQgsQD2MiAs28NIhPzzTFilH6fjU3z7cV+1GmNBrbVzSU073hOd4MjfTAYVQsw==" saltValue="y5Ab9556wT6k3UpJ5bs1XA==" spinCount="100000" sheet="1" objects="1" scenarios="1" autoFilter="0"/>
  <autoFilter ref="A13:A81" xr:uid="{00000000-0009-0000-0000-000009000000}"/>
  <mergeCells count="156">
    <mergeCell ref="C62:D62"/>
    <mergeCell ref="C63:D63"/>
    <mergeCell ref="C64:D64"/>
    <mergeCell ref="C52:D52"/>
    <mergeCell ref="C53:D53"/>
    <mergeCell ref="C54:D54"/>
    <mergeCell ref="C55:D55"/>
    <mergeCell ref="C56:D56"/>
    <mergeCell ref="C57:D57"/>
    <mergeCell ref="C58:D58"/>
    <mergeCell ref="C59:D59"/>
    <mergeCell ref="C60:D60"/>
    <mergeCell ref="C43:D43"/>
    <mergeCell ref="C51:D51"/>
    <mergeCell ref="C44:D44"/>
    <mergeCell ref="C45:D45"/>
    <mergeCell ref="C46:D46"/>
    <mergeCell ref="C47:D47"/>
    <mergeCell ref="C48:D48"/>
    <mergeCell ref="C49:D49"/>
    <mergeCell ref="C50:D50"/>
    <mergeCell ref="C39:D39"/>
    <mergeCell ref="C40:D40"/>
    <mergeCell ref="C41:D41"/>
    <mergeCell ref="C42:D42"/>
    <mergeCell ref="C25:D25"/>
    <mergeCell ref="C26:D26"/>
    <mergeCell ref="C27:D27"/>
    <mergeCell ref="C28:D28"/>
    <mergeCell ref="C29:D29"/>
    <mergeCell ref="C30:D30"/>
    <mergeCell ref="C31:D31"/>
    <mergeCell ref="C32:D32"/>
    <mergeCell ref="C33:D33"/>
    <mergeCell ref="W71:X71"/>
    <mergeCell ref="S69:T69"/>
    <mergeCell ref="Q69:R69"/>
    <mergeCell ref="K69:L69"/>
    <mergeCell ref="K68:L68"/>
    <mergeCell ref="I68:J68"/>
    <mergeCell ref="B80:D80"/>
    <mergeCell ref="B77:D77"/>
    <mergeCell ref="D72:D73"/>
    <mergeCell ref="M72:N72"/>
    <mergeCell ref="M73:N73"/>
    <mergeCell ref="I73:J73"/>
    <mergeCell ref="K73:L73"/>
    <mergeCell ref="K72:L72"/>
    <mergeCell ref="I72:J72"/>
    <mergeCell ref="I76:J76"/>
    <mergeCell ref="I74:J74"/>
    <mergeCell ref="K74:L74"/>
    <mergeCell ref="M74:N74"/>
    <mergeCell ref="C1:D1"/>
    <mergeCell ref="C11:D11"/>
    <mergeCell ref="C12:D13"/>
    <mergeCell ref="AD3:AF3"/>
    <mergeCell ref="AD4:AF4"/>
    <mergeCell ref="AE6:AF6"/>
    <mergeCell ref="H7:N7"/>
    <mergeCell ref="O7:U7"/>
    <mergeCell ref="AE7:AF7"/>
    <mergeCell ref="V7:AD7"/>
    <mergeCell ref="Y9:Z9"/>
    <mergeCell ref="AE9:AF9"/>
    <mergeCell ref="J9:K9"/>
    <mergeCell ref="N9:T9"/>
    <mergeCell ref="AE70:AF70"/>
    <mergeCell ref="S71:T71"/>
    <mergeCell ref="Q71:R71"/>
    <mergeCell ref="W69:X69"/>
    <mergeCell ref="AC71:AD71"/>
    <mergeCell ref="AC72:AD72"/>
    <mergeCell ref="AA71:AB71"/>
    <mergeCell ref="B7:C7"/>
    <mergeCell ref="C15:D15"/>
    <mergeCell ref="W68:X68"/>
    <mergeCell ref="AC68:AD68"/>
    <mergeCell ref="Y69:Z69"/>
    <mergeCell ref="AA70:AB70"/>
    <mergeCell ref="Y71:Z71"/>
    <mergeCell ref="U71:V71"/>
    <mergeCell ref="AE71:AF71"/>
    <mergeCell ref="O69:P69"/>
    <mergeCell ref="W70:X70"/>
    <mergeCell ref="U70:V70"/>
    <mergeCell ref="AC70:AD70"/>
    <mergeCell ref="AE69:AF69"/>
    <mergeCell ref="U72:V72"/>
    <mergeCell ref="Y72:Z72"/>
    <mergeCell ref="C61:D61"/>
    <mergeCell ref="AA68:AB68"/>
    <mergeCell ref="B12:B13"/>
    <mergeCell ref="C17:D17"/>
    <mergeCell ref="D70:D71"/>
    <mergeCell ref="C16:D16"/>
    <mergeCell ref="C18:D18"/>
    <mergeCell ref="C19:D19"/>
    <mergeCell ref="C20:D20"/>
    <mergeCell ref="O70:P70"/>
    <mergeCell ref="M70:N70"/>
    <mergeCell ref="K70:L70"/>
    <mergeCell ref="I67:AF67"/>
    <mergeCell ref="O68:P68"/>
    <mergeCell ref="AE68:AF68"/>
    <mergeCell ref="Y68:Z68"/>
    <mergeCell ref="Q70:R70"/>
    <mergeCell ref="AC69:AD69"/>
    <mergeCell ref="AA69:AB69"/>
    <mergeCell ref="Y70:Z70"/>
    <mergeCell ref="S68:T68"/>
    <mergeCell ref="U68:V68"/>
    <mergeCell ref="Q68:R68"/>
    <mergeCell ref="S70:T70"/>
    <mergeCell ref="U69:V69"/>
    <mergeCell ref="AC74:AD74"/>
    <mergeCell ref="AE74:AF74"/>
    <mergeCell ref="S74:T74"/>
    <mergeCell ref="U74:V74"/>
    <mergeCell ref="W74:X74"/>
    <mergeCell ref="Y74:Z74"/>
    <mergeCell ref="AA74:AB74"/>
    <mergeCell ref="W72:X72"/>
    <mergeCell ref="S72:T72"/>
    <mergeCell ref="AC73:AD73"/>
    <mergeCell ref="AA72:AB72"/>
    <mergeCell ref="AE73:AF73"/>
    <mergeCell ref="AE72:AF72"/>
    <mergeCell ref="Y73:Z73"/>
    <mergeCell ref="AA73:AB73"/>
    <mergeCell ref="S73:T73"/>
    <mergeCell ref="W73:X73"/>
    <mergeCell ref="C21:D21"/>
    <mergeCell ref="C22:D22"/>
    <mergeCell ref="C23:D23"/>
    <mergeCell ref="C24:D24"/>
    <mergeCell ref="U73:V73"/>
    <mergeCell ref="O74:P74"/>
    <mergeCell ref="Q74:R74"/>
    <mergeCell ref="O73:P73"/>
    <mergeCell ref="O72:P72"/>
    <mergeCell ref="Q72:R72"/>
    <mergeCell ref="Q73:R73"/>
    <mergeCell ref="M68:N68"/>
    <mergeCell ref="O71:P71"/>
    <mergeCell ref="M71:N71"/>
    <mergeCell ref="K71:L71"/>
    <mergeCell ref="I71:J71"/>
    <mergeCell ref="I69:J69"/>
    <mergeCell ref="I70:J70"/>
    <mergeCell ref="M69:N69"/>
    <mergeCell ref="C34:D34"/>
    <mergeCell ref="C35:D35"/>
    <mergeCell ref="C36:D36"/>
    <mergeCell ref="C37:D37"/>
    <mergeCell ref="C38:D38"/>
  </mergeCells>
  <phoneticPr fontId="38" type="noConversion"/>
  <conditionalFormatting sqref="F1:F2">
    <cfRule type="expression" dxfId="319" priority="2044" stopIfTrue="1">
      <formula>IF(OR(ACOMPANHAMENTO="BM",F$12&gt;CÁLCULO.NúmeroDeFrentes),TRUE,PLE.ValorDoEvento=0)</formula>
    </cfRule>
    <cfRule type="cellIs" dxfId="318" priority="2045" stopIfTrue="1" operator="equal">
      <formula>$J$9</formula>
    </cfRule>
  </conditionalFormatting>
  <conditionalFormatting sqref="I70:AF70">
    <cfRule type="expression" dxfId="317" priority="2046" stopIfTrue="1">
      <formula>I69=$J$9</formula>
    </cfRule>
  </conditionalFormatting>
  <conditionalFormatting sqref="I71:AF71">
    <cfRule type="expression" dxfId="316" priority="2047" stopIfTrue="1">
      <formula>I69=$J$9</formula>
    </cfRule>
  </conditionalFormatting>
  <conditionalFormatting sqref="I72:AF72">
    <cfRule type="expression" dxfId="315" priority="2048" stopIfTrue="1">
      <formula>I69=$J$9</formula>
    </cfRule>
  </conditionalFormatting>
  <conditionalFormatting sqref="I73:AF73">
    <cfRule type="expression" dxfId="314" priority="2049" stopIfTrue="1">
      <formula>I69=$J$9</formula>
    </cfRule>
  </conditionalFormatting>
  <conditionalFormatting sqref="I69:J69">
    <cfRule type="cellIs" dxfId="313" priority="2043" stopIfTrue="1" operator="notEqual">
      <formula>1</formula>
    </cfRule>
  </conditionalFormatting>
  <conditionalFormatting sqref="H1:AF1">
    <cfRule type="expression" dxfId="312" priority="2061" stopIfTrue="1">
      <formula>IF(OR(ACOMPANHAMENTO="BM",TIPOORCAMENTO="Proposto",H$12&gt;CÁLCULO.NúmeroDeFrentes),TRUE,PLE.ValorDoEvento=0)</formula>
    </cfRule>
    <cfRule type="cellIs" dxfId="311" priority="2062" stopIfTrue="1" operator="equal">
      <formula>$J$9</formula>
    </cfRule>
  </conditionalFormatting>
  <conditionalFormatting sqref="AE6:AE7">
    <cfRule type="expression" dxfId="310" priority="2050" stopIfTrue="1">
      <formula>TIPOORCAMENTO&lt;&gt;"Licitado"</formula>
    </cfRule>
  </conditionalFormatting>
  <conditionalFormatting sqref="N9:T9">
    <cfRule type="expression" dxfId="309" priority="2051" stopIfTrue="1">
      <formula>COLUMN(N9)&gt;COLUMN($AF$12)</formula>
    </cfRule>
    <cfRule type="expression" dxfId="308" priority="2052" stopIfTrue="1">
      <formula>$N$9="DIGITE A DATA DA MEDIÇÃO"</formula>
    </cfRule>
  </conditionalFormatting>
  <conditionalFormatting sqref="I9:M9 U9:AF9">
    <cfRule type="expression" dxfId="307" priority="2053" stopIfTrue="1">
      <formula>COLUMN(I9)&gt;COLUMN($AF$12)</formula>
    </cfRule>
  </conditionalFormatting>
  <conditionalFormatting sqref="K70:AF73">
    <cfRule type="expression" dxfId="306" priority="1059" stopIfTrue="1">
      <formula>I$72=100%</formula>
    </cfRule>
  </conditionalFormatting>
  <conditionalFormatting sqref="J75 L75 N75 P75 R75 T75 V75 X75 Z75 AB75 AD75 AF75">
    <cfRule type="expression" dxfId="305" priority="13770" stopIfTrue="1">
      <formula>J70=$J$9</formula>
    </cfRule>
  </conditionalFormatting>
  <conditionalFormatting sqref="K74:AF74">
    <cfRule type="expression" dxfId="304" priority="1058">
      <formula>OFFSET(K74,-2,-2)=1</formula>
    </cfRule>
  </conditionalFormatting>
  <conditionalFormatting sqref="I74:AF74">
    <cfRule type="expression" dxfId="303" priority="1057">
      <formula>ROUND(I74,4)&gt;ROUND(I72,4)</formula>
    </cfRule>
  </conditionalFormatting>
  <conditionalFormatting sqref="N13">
    <cfRule type="expression" dxfId="302" priority="1056">
      <formula>$Y$9=0</formula>
    </cfRule>
  </conditionalFormatting>
  <conditionalFormatting sqref="F16:F24">
    <cfRule type="expression" dxfId="301" priority="21" stopIfTrue="1">
      <formula>IF(OR(ACOMPANHAMENTO="BM",F$12&gt;CÁLCULO.NúmeroDeFrentes),TRUE,PLE.ValorDoEvento=0)</formula>
    </cfRule>
    <cfRule type="cellIs" dxfId="300" priority="22" stopIfTrue="1" operator="equal">
      <formula>$J$9</formula>
    </cfRule>
  </conditionalFormatting>
  <conditionalFormatting sqref="H16:AF24">
    <cfRule type="expression" dxfId="299" priority="23" stopIfTrue="1">
      <formula>IF(OR(ACOMPANHAMENTO="BM",TIPOORCAMENTO="Proposto",H$12&gt;CÁLCULO.NúmeroDeFrentes),TRUE,PLE.ValorDoEvento=0)</formula>
    </cfRule>
    <cfRule type="cellIs" dxfId="298" priority="24" stopIfTrue="1" operator="equal">
      <formula>$J$9</formula>
    </cfRule>
  </conditionalFormatting>
  <conditionalFormatting sqref="F25:F33">
    <cfRule type="expression" dxfId="297" priority="17" stopIfTrue="1">
      <formula>IF(OR(ACOMPANHAMENTO="BM",F$12&gt;CÁLCULO.NúmeroDeFrentes),TRUE,PLE.ValorDoEvento=0)</formula>
    </cfRule>
    <cfRule type="cellIs" dxfId="296" priority="18" stopIfTrue="1" operator="equal">
      <formula>$J$9</formula>
    </cfRule>
  </conditionalFormatting>
  <conditionalFormatting sqref="H25:AF33">
    <cfRule type="expression" dxfId="295" priority="19" stopIfTrue="1">
      <formula>IF(OR(ACOMPANHAMENTO="BM",TIPOORCAMENTO="Proposto",H$12&gt;CÁLCULO.NúmeroDeFrentes),TRUE,PLE.ValorDoEvento=0)</formula>
    </cfRule>
    <cfRule type="cellIs" dxfId="294" priority="20" stopIfTrue="1" operator="equal">
      <formula>$J$9</formula>
    </cfRule>
  </conditionalFormatting>
  <conditionalFormatting sqref="F34:F42">
    <cfRule type="expression" dxfId="293" priority="13" stopIfTrue="1">
      <formula>IF(OR(ACOMPANHAMENTO="BM",F$12&gt;CÁLCULO.NúmeroDeFrentes),TRUE,PLE.ValorDoEvento=0)</formula>
    </cfRule>
    <cfRule type="cellIs" dxfId="292" priority="14" stopIfTrue="1" operator="equal">
      <formula>$J$9</formula>
    </cfRule>
  </conditionalFormatting>
  <conditionalFormatting sqref="H34:AF42">
    <cfRule type="expression" dxfId="291" priority="15" stopIfTrue="1">
      <formula>IF(OR(ACOMPANHAMENTO="BM",TIPOORCAMENTO="Proposto",H$12&gt;CÁLCULO.NúmeroDeFrentes),TRUE,PLE.ValorDoEvento=0)</formula>
    </cfRule>
    <cfRule type="cellIs" dxfId="290" priority="16" stopIfTrue="1" operator="equal">
      <formula>$J$9</formula>
    </cfRule>
  </conditionalFormatting>
  <conditionalFormatting sqref="F43:F51">
    <cfRule type="expression" dxfId="289" priority="9" stopIfTrue="1">
      <formula>IF(OR(ACOMPANHAMENTO="BM",F$12&gt;CÁLCULO.NúmeroDeFrentes),TRUE,PLE.ValorDoEvento=0)</formula>
    </cfRule>
    <cfRule type="cellIs" dxfId="288" priority="10" stopIfTrue="1" operator="equal">
      <formula>$J$9</formula>
    </cfRule>
  </conditionalFormatting>
  <conditionalFormatting sqref="H43:AF51">
    <cfRule type="expression" dxfId="287" priority="11" stopIfTrue="1">
      <formula>IF(OR(ACOMPANHAMENTO="BM",TIPOORCAMENTO="Proposto",H$12&gt;CÁLCULO.NúmeroDeFrentes),TRUE,PLE.ValorDoEvento=0)</formula>
    </cfRule>
    <cfRule type="cellIs" dxfId="286" priority="12" stopIfTrue="1" operator="equal">
      <formula>$J$9</formula>
    </cfRule>
  </conditionalFormatting>
  <conditionalFormatting sqref="F52:F60">
    <cfRule type="expression" dxfId="285" priority="5" stopIfTrue="1">
      <formula>IF(OR(ACOMPANHAMENTO="BM",F$12&gt;CÁLCULO.NúmeroDeFrentes),TRUE,PLE.ValorDoEvento=0)</formula>
    </cfRule>
    <cfRule type="cellIs" dxfId="284" priority="6" stopIfTrue="1" operator="equal">
      <formula>$J$9</formula>
    </cfRule>
  </conditionalFormatting>
  <conditionalFormatting sqref="H52:AF60">
    <cfRule type="expression" dxfId="283" priority="7" stopIfTrue="1">
      <formula>IF(OR(ACOMPANHAMENTO="BM",TIPOORCAMENTO="Proposto",H$12&gt;CÁLCULO.NúmeroDeFrentes),TRUE,PLE.ValorDoEvento=0)</formula>
    </cfRule>
    <cfRule type="cellIs" dxfId="282" priority="8" stopIfTrue="1" operator="equal">
      <formula>$J$9</formula>
    </cfRule>
  </conditionalFormatting>
  <conditionalFormatting sqref="F61:F64">
    <cfRule type="expression" dxfId="281" priority="1" stopIfTrue="1">
      <formula>IF(OR(ACOMPANHAMENTO="BM",F$12&gt;CÁLCULO.NúmeroDeFrentes),TRUE,PLE.ValorDoEvento=0)</formula>
    </cfRule>
    <cfRule type="cellIs" dxfId="280" priority="2" stopIfTrue="1" operator="equal">
      <formula>$J$9</formula>
    </cfRule>
  </conditionalFormatting>
  <conditionalFormatting sqref="H61:AF64">
    <cfRule type="expression" dxfId="279" priority="3" stopIfTrue="1">
      <formula>IF(OR(ACOMPANHAMENTO="BM",TIPOORCAMENTO="Proposto",H$12&gt;CÁLCULO.NúmeroDeFrentes),TRUE,PLE.ValorDoEvento=0)</formula>
    </cfRule>
    <cfRule type="cellIs" dxfId="278" priority="4" stopIfTrue="1" operator="equal">
      <formula>$J$9</formula>
    </cfRule>
  </conditionalFormatting>
  <dataValidations count="3">
    <dataValidation type="whole" operator="greaterThan" allowBlank="1" showErrorMessage="1" sqref="I3:AC4 J9:K9 F1:F4 F16:F64" xr:uid="{00000000-0002-0000-0900-000000000000}">
      <formula1>0</formula1>
      <formula2>0</formula2>
    </dataValidation>
    <dataValidation allowBlank="1" showInputMessage="1" showErrorMessage="1" prompt="Digite a data de medição abaixo dos eventos." sqref="N9:T9" xr:uid="{00000000-0002-0000-0900-000001000000}">
      <formula1>0</formula1>
      <formula2>0</formula2>
    </dataValidation>
    <dataValidation type="whole" operator="equal" allowBlank="1" showErrorMessage="1" errorTitle="Errp de entrada" error="Preencha somente com o número da medição atual." sqref="H1:AF1 H16:AF64" xr:uid="{00000000-0002-0000-0900-000002000000}">
      <formula1>PLE.Medicao</formula1>
    </dataValidation>
  </dataValidations>
  <printOptions horizontalCentered="1"/>
  <pageMargins left="0.78740157480314998" right="0.78740157480314998" top="0.78740157480314998" bottom="0.78740157480314998" header="0.59055118110236204" footer="0.59055118110236204"/>
  <pageSetup paperSize="9" scale="69" firstPageNumber="0" orientation="landscape" r:id="rId1"/>
  <headerFooter alignWithMargins="0">
    <oddHeader>&amp;C&amp;14I</oddHeader>
    <oddFooter>&amp;LPMv3.11&amp;R&amp;P /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6" r:id="rId4" name="Botão de rotação 275">
              <controlPr defaultSize="0" print="0" autoFill="0" autoLine="0" autoPict="0">
                <anchor moveWithCells="1" sizeWithCells="1">
                  <from>
                    <xdr:col>11</xdr:col>
                    <xdr:colOff>0</xdr:colOff>
                    <xdr:row>8</xdr:row>
                    <xdr:rowOff>9525</xdr:rowOff>
                  </from>
                  <to>
                    <xdr:col>11</xdr:col>
                    <xdr:colOff>219075</xdr:colOff>
                    <xdr:row>9</xdr:row>
                    <xdr:rowOff>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3">
    <pageSetUpPr fitToPage="1"/>
  </sheetPr>
  <dimension ref="A1:AO420"/>
  <sheetViews>
    <sheetView showGridLines="0" zoomScaleNormal="100" zoomScaleSheetLayoutView="90" workbookViewId="0">
      <pane xSplit="7" ySplit="15" topLeftCell="H16" activePane="bottomRight" state="frozen"/>
      <selection pane="topRight" activeCell="H1" sqref="H1"/>
      <selection pane="bottomLeft" activeCell="C16" sqref="C16"/>
      <selection pane="bottomRight"/>
    </sheetView>
  </sheetViews>
  <sheetFormatPr defaultRowHeight="12.75" x14ac:dyDescent="0.2"/>
  <cols>
    <col min="1" max="2" width="6.5703125" hidden="1" customWidth="1"/>
    <col min="3" max="3" width="3.5703125" customWidth="1"/>
    <col min="4" max="4" width="10.5703125" customWidth="1"/>
    <col min="5" max="5" width="65.5703125" customWidth="1"/>
    <col min="6" max="6" width="7.5703125" customWidth="1"/>
    <col min="7" max="7" width="11.5703125" customWidth="1"/>
    <col min="8" max="8" width="14.5703125" customWidth="1"/>
    <col min="9" max="9" width="18.5703125" customWidth="1"/>
    <col min="10" max="12" width="11.5703125" customWidth="1"/>
    <col min="13" max="15" width="18.5703125" customWidth="1"/>
    <col min="17" max="18" width="11.5703125" hidden="1" customWidth="1"/>
    <col min="19" max="19" width="9.140625" hidden="1" customWidth="1"/>
    <col min="20" max="20" width="10.5703125" hidden="1" customWidth="1"/>
    <col min="21" max="21" width="65.5703125" hidden="1" customWidth="1"/>
    <col min="22" max="22" width="7.5703125" hidden="1" customWidth="1"/>
    <col min="23" max="23" width="11.5703125" hidden="1" customWidth="1"/>
    <col min="24" max="24" width="14.5703125" hidden="1" customWidth="1"/>
    <col min="25" max="25" width="18.5703125" hidden="1" customWidth="1"/>
    <col min="26" max="26" width="25.5703125" hidden="1" customWidth="1"/>
    <col min="27" max="27" width="9.140625" hidden="1" customWidth="1"/>
    <col min="28" max="39" width="11.5703125" customWidth="1"/>
    <col min="40" max="40" width="10.42578125" customWidth="1"/>
    <col min="41" max="41" width="9.140625" hidden="1" customWidth="1"/>
  </cols>
  <sheetData>
    <row r="1" spans="1:41" ht="15.75" x14ac:dyDescent="0.2">
      <c r="E1" s="319" t="str">
        <f>IF(CAIXA.Modo,"BA - Boletim de Aferição","BM - Boletim de Medição")</f>
        <v>BM - Boletim de Medição</v>
      </c>
      <c r="G1" s="320"/>
      <c r="J1" s="320"/>
      <c r="K1" s="320"/>
      <c r="L1" s="320"/>
      <c r="M1" s="320"/>
      <c r="N1" s="320"/>
      <c r="O1" s="52" t="s">
        <v>644</v>
      </c>
    </row>
    <row r="2" spans="1:41" ht="15" x14ac:dyDescent="0.2">
      <c r="A2" s="321" t="s">
        <v>844</v>
      </c>
      <c r="B2" s="2"/>
      <c r="E2" s="322" t="str">
        <f ca="1">IF(Import.RegimeExecução="(SELECIONAR)","Selecione o Regime de Execução na Aba Dados",Import.RegimeExecução&amp;" - "&amp;import.recurso)</f>
        <v>Selecione o Regime de Execução na Aba Dados</v>
      </c>
      <c r="O2" s="11" t="s">
        <v>647</v>
      </c>
    </row>
    <row r="3" spans="1:41" x14ac:dyDescent="0.2">
      <c r="A3" s="797" t="b">
        <v>0</v>
      </c>
      <c r="B3" s="797"/>
      <c r="E3" s="86"/>
    </row>
    <row r="4" spans="1:41" x14ac:dyDescent="0.2">
      <c r="D4" s="673" t="s">
        <v>652</v>
      </c>
      <c r="E4" s="673"/>
      <c r="F4" s="714" t="s">
        <v>650</v>
      </c>
      <c r="G4" s="714"/>
      <c r="H4" s="714"/>
      <c r="I4" s="146" t="s">
        <v>708</v>
      </c>
      <c r="J4" s="673" t="s">
        <v>709</v>
      </c>
      <c r="K4" s="673"/>
      <c r="L4" s="673"/>
      <c r="M4" s="673"/>
      <c r="N4" s="673"/>
      <c r="O4" s="148" t="s">
        <v>845</v>
      </c>
    </row>
    <row r="5" spans="1:41" ht="12.75" customHeight="1" x14ac:dyDescent="0.2">
      <c r="A5" t="s">
        <v>846</v>
      </c>
      <c r="D5" s="670" t="str">
        <f>Import.Proponente</f>
        <v>PREFEITURA MUNICIPAL DE CAÇADOR</v>
      </c>
      <c r="E5" s="670"/>
      <c r="F5" s="712">
        <f>Import.CR</f>
        <v>0</v>
      </c>
      <c r="G5" s="712"/>
      <c r="H5" s="712"/>
      <c r="I5" s="323" t="str">
        <f>Import.TransfereGOV</f>
        <v>958977</v>
      </c>
      <c r="J5" s="670" t="str">
        <f>Import.Apelido</f>
        <v>CMEI Sorgatto</v>
      </c>
      <c r="K5" s="670"/>
      <c r="L5" s="670"/>
      <c r="M5" s="670"/>
      <c r="N5" s="670"/>
      <c r="O5" s="324">
        <f>Import.DataInicioObra</f>
        <v>0</v>
      </c>
      <c r="AO5" s="325" t="s">
        <v>847</v>
      </c>
    </row>
    <row r="6" spans="1:41" ht="5.0999999999999996" customHeight="1" x14ac:dyDescent="0.2">
      <c r="D6" s="94"/>
      <c r="E6" s="95"/>
      <c r="F6" s="94"/>
      <c r="G6" s="94"/>
      <c r="H6" s="94"/>
      <c r="I6" s="94"/>
      <c r="J6" s="94"/>
      <c r="K6" s="94"/>
      <c r="L6" s="94"/>
      <c r="M6" s="94"/>
      <c r="N6" s="94"/>
      <c r="O6" s="94"/>
      <c r="AO6" s="326"/>
    </row>
    <row r="7" spans="1:41" ht="12.75" customHeight="1" x14ac:dyDescent="0.2">
      <c r="A7" t="str">
        <f ca="1">RegimeExecucao</f>
        <v>Unitário</v>
      </c>
      <c r="D7" s="88" t="s">
        <v>848</v>
      </c>
      <c r="E7" s="88" t="s">
        <v>849</v>
      </c>
      <c r="F7" s="673" t="s">
        <v>850</v>
      </c>
      <c r="G7" s="673"/>
      <c r="H7" s="673"/>
      <c r="I7" s="673" t="str">
        <f>IF(TIPOORCAMENTO="Licitado","REGIME DE EXECUÇÃO","MUNICÍPIO / UF")</f>
        <v>MUNICÍPIO / UF</v>
      </c>
      <c r="J7" s="673"/>
      <c r="K7" s="673"/>
      <c r="L7" s="673"/>
      <c r="M7" s="673" t="s">
        <v>851</v>
      </c>
      <c r="N7" s="673"/>
      <c r="O7" s="88" t="s">
        <v>852</v>
      </c>
      <c r="AO7" s="276">
        <f ca="1">BM.MEDAcumulado</f>
        <v>0</v>
      </c>
    </row>
    <row r="8" spans="1:41" ht="12.75" customHeight="1" x14ac:dyDescent="0.2">
      <c r="A8" s="321" t="s">
        <v>853</v>
      </c>
      <c r="B8" s="2"/>
      <c r="C8" s="702" t="s">
        <v>655</v>
      </c>
      <c r="D8" s="327">
        <f>Import.CTEF</f>
        <v>0</v>
      </c>
      <c r="E8" s="56">
        <f>Import.empresa</f>
        <v>0</v>
      </c>
      <c r="F8" s="670">
        <f>Import.CNPJ</f>
        <v>0</v>
      </c>
      <c r="G8" s="670"/>
      <c r="H8" s="670"/>
      <c r="I8" s="670" t="str">
        <f>IF(TIPOORCAMENTO="Licitado",Import.RegimeExecução,Import.Município)</f>
        <v>Caçador/SC</v>
      </c>
      <c r="J8" s="670"/>
      <c r="K8" s="670"/>
      <c r="L8" s="670"/>
      <c r="M8" s="670" t="str" cm="1">
        <f t="array" aca="1" ref="M8" ca="1">TEXT(IF(BM.medicao=1,Import.DataInicioObra,OFFSET($AB$12,0,BM.medicao-1-$AB$13)+1),"dd/mm/aaaa")&amp;" a "&amp;TEXT(OFFSET($AB$12,0,BM.medicao-$AB$13),"dd/mm/aaaa")</f>
        <v>00/01/1900 a 00/01/1900</v>
      </c>
      <c r="N8" s="670"/>
      <c r="O8" s="423">
        <v>1</v>
      </c>
    </row>
    <row r="9" spans="1:41" ht="12.75" customHeight="1" x14ac:dyDescent="0.2">
      <c r="A9" s="561" t="b">
        <v>1</v>
      </c>
      <c r="B9" s="4"/>
      <c r="C9" s="702"/>
    </row>
    <row r="10" spans="1:41" ht="13.35" customHeight="1" x14ac:dyDescent="0.2">
      <c r="A10" s="411" t="s">
        <v>854</v>
      </c>
      <c r="B10" s="412"/>
      <c r="C10" s="702"/>
      <c r="E10" s="558"/>
      <c r="F10" s="798" t="str" cm="1">
        <f t="array" ref="F10">IF(_xlfn.SINGLE(ACOMPANHAMENTO)="PLE","Foi selecionado na aba 'MENU' o acompanhamento por PLE.",
  IF(_xlfn.SINGLE(TIPOORCAMENTO)="Proposto","Altere na aba 'MENU' o tipo de orçamento para 'Licitado'.",
  IF(_xlfn.SINGLE(Import.RegimeExecução)="(SELECIONAR)",UPPER($E$2),
  IF(AND(BM.medicao=1,DADOS!$C$47=0),"PREENCHER A DATA DE INÍCIO DA OBRA, NA ABA DADOS",
  IF($N$15=0,"PREENCHER A MEDIÇÃO "&amp;BM.medicao,
  IF($AB$10&lt;&gt;"",UPPER($AB$10),
  IF($J$415&lt;&gt;"",UPPER($J$415),
 "")))))))</f>
        <v>Altere na aba 'MENU' o tipo de orçamento para 'Licitado'.</v>
      </c>
      <c r="G10" s="798"/>
      <c r="H10" s="798"/>
      <c r="I10" s="798"/>
      <c r="O10" s="560" t="e">
        <f ca="1">"Realizado Acumulado: "&amp;TEXT(P10,"0,00%")</f>
        <v>#NAME?</v>
      </c>
      <c r="P10" s="563" t="e">
        <f ca="1">ROUND($O$15/($I$15+10^-12),4)</f>
        <v>#NAME?</v>
      </c>
      <c r="AB10" s="573" t="str">
        <f ca="1">IF(INDEX($AB$12:$AN$12,MATCH($O$8,$AB$13:$AN$13,0))=0,"Preencher a data da medição "&amp;$O$8,"")</f>
        <v>Preencher a data da medição 1</v>
      </c>
    </row>
    <row r="11" spans="1:41" ht="15" customHeight="1" x14ac:dyDescent="0.25">
      <c r="A11" s="562" t="e">
        <f ca="1">OFFSET(CRONO!$F$13,CRONO!$F$100,0)</f>
        <v>#VALUE!</v>
      </c>
      <c r="B11" s="419"/>
      <c r="C11" s="702"/>
      <c r="E11" s="558"/>
      <c r="F11" s="798"/>
      <c r="G11" s="798"/>
      <c r="H11" s="798"/>
      <c r="I11" s="798"/>
      <c r="N11" s="559"/>
      <c r="O11" s="560" t="str">
        <f ca="1">IF(ISERROR(P11),"","Administração Local Acumulada: "&amp;TEXT(P11,"0,00%"))</f>
        <v/>
      </c>
      <c r="P11" s="563" t="e">
        <f ca="1">OFFSET($O$15,$A$11,0)/OFFSET($I$15,$A$11,0)</f>
        <v>#VALUE!</v>
      </c>
      <c r="T11" s="799" t="s">
        <v>855</v>
      </c>
      <c r="U11" s="799"/>
      <c r="Z11" s="4"/>
      <c r="AB11" s="784" t="s">
        <v>856</v>
      </c>
      <c r="AC11" s="784"/>
      <c r="AD11" s="784"/>
      <c r="AE11" s="784"/>
      <c r="AF11" s="784"/>
      <c r="AG11" s="784"/>
      <c r="AH11" s="784"/>
      <c r="AI11" s="784"/>
      <c r="AJ11" s="784"/>
      <c r="AK11" s="784"/>
      <c r="AL11" s="784"/>
      <c r="AM11" s="784"/>
    </row>
    <row r="12" spans="1:41" ht="15" customHeight="1" x14ac:dyDescent="0.25">
      <c r="C12" s="702"/>
      <c r="E12" s="84" t="s">
        <v>857</v>
      </c>
      <c r="J12" s="672" t="str">
        <f ca="1">"Evolução Física "&amp;CHOOSE(MATCH(RegimeExecucao,{"Unitário","Global"},0),"(Qtde.)","(%)")</f>
        <v>Evolução Física (Qtde.)</v>
      </c>
      <c r="K12" s="672"/>
      <c r="L12" s="672"/>
      <c r="M12" s="672" t="s">
        <v>858</v>
      </c>
      <c r="N12" s="672"/>
      <c r="O12" s="672"/>
      <c r="Q12" s="672" t="str">
        <f ca="1">"Aferido (CAIXA) "&amp;CHOOSE(MATCH(RegimeExecucao,{"Unitário","Global"},0),"(Qtde.)","(%)")</f>
        <v>Aferido (CAIXA) (Qtde.)</v>
      </c>
      <c r="R12" s="672"/>
      <c r="T12" s="328" t="s">
        <v>859</v>
      </c>
      <c r="U12" s="181"/>
      <c r="V12" s="181"/>
      <c r="W12" s="181"/>
      <c r="X12" s="181"/>
      <c r="Y12" s="181"/>
      <c r="Z12" s="42"/>
      <c r="AB12" s="329"/>
      <c r="AC12" s="330"/>
      <c r="AD12" s="330"/>
      <c r="AE12" s="330"/>
      <c r="AF12" s="330"/>
      <c r="AG12" s="330"/>
      <c r="AH12" s="330"/>
      <c r="AI12" s="330"/>
      <c r="AJ12" s="330"/>
      <c r="AK12" s="330"/>
      <c r="AL12" s="330"/>
      <c r="AM12" s="331"/>
    </row>
    <row r="13" spans="1:41" ht="45" customHeight="1" x14ac:dyDescent="0.2">
      <c r="A13" s="108" t="s">
        <v>727</v>
      </c>
      <c r="B13" s="108" t="s">
        <v>726</v>
      </c>
      <c r="C13" s="107" t="s">
        <v>660</v>
      </c>
      <c r="D13" s="293" t="s">
        <v>736</v>
      </c>
      <c r="E13" s="293" t="s">
        <v>118</v>
      </c>
      <c r="F13" s="332" t="s">
        <v>739</v>
      </c>
      <c r="G13" s="293" t="s">
        <v>713</v>
      </c>
      <c r="H13" s="293" t="s">
        <v>740</v>
      </c>
      <c r="I13" s="293" t="s">
        <v>741</v>
      </c>
      <c r="J13" s="293" t="s">
        <v>860</v>
      </c>
      <c r="K13" s="293" t="s">
        <v>861</v>
      </c>
      <c r="L13" s="293" t="s">
        <v>862</v>
      </c>
      <c r="M13" s="293" t="s">
        <v>860</v>
      </c>
      <c r="N13" s="293" t="s">
        <v>861</v>
      </c>
      <c r="O13" s="293" t="s">
        <v>862</v>
      </c>
      <c r="Q13" s="293" t="s">
        <v>860</v>
      </c>
      <c r="R13" s="293" t="s">
        <v>862</v>
      </c>
      <c r="T13" s="293" t="s">
        <v>736</v>
      </c>
      <c r="U13" s="293" t="s">
        <v>118</v>
      </c>
      <c r="V13" s="332" t="str">
        <f ca="1">IF(RegimeExecucao="Unitário","Unidade","")</f>
        <v>Unidade</v>
      </c>
      <c r="W13" s="293" t="str">
        <f ca="1">CHOOSE(MATCH(RegimeExecucao,{"Unitário","Global"},0),"Quant. Glosada (unid)","Percentual Glosado (%)")</f>
        <v>Quant. Glosada (unid)</v>
      </c>
      <c r="X13" s="293" t="str">
        <f ca="1">CHOOSE(MATCH(RegimeExecucao,{"Unitário","Global"},0),"Preço Unitário (R$)","Valor Total do Item (R$)")</f>
        <v>Preço Unitário (R$)</v>
      </c>
      <c r="Y13" s="293" t="s">
        <v>863</v>
      </c>
      <c r="Z13" s="293" t="s">
        <v>864</v>
      </c>
      <c r="AA13" s="113"/>
      <c r="AB13" s="333" cm="1">
        <f t="array" aca="1" ref="AB13" ca="1">IF(BM.medicao&lt;=12,1,TRUNC((BM.medicao - 2)/11,0) * 11 + 1)</f>
        <v>1</v>
      </c>
      <c r="AC13" s="333">
        <f ca="1">OFFSET(AC13,0,-1)+1</f>
        <v>2</v>
      </c>
      <c r="AD13" s="333">
        <f t="shared" ref="AD13:AM13" ca="1" si="0">OFFSET(AD13,0,-1)+1</f>
        <v>3</v>
      </c>
      <c r="AE13" s="333">
        <f t="shared" ca="1" si="0"/>
        <v>4</v>
      </c>
      <c r="AF13" s="333">
        <f t="shared" ca="1" si="0"/>
        <v>5</v>
      </c>
      <c r="AG13" s="333">
        <f t="shared" ca="1" si="0"/>
        <v>6</v>
      </c>
      <c r="AH13" s="333">
        <f t="shared" ca="1" si="0"/>
        <v>7</v>
      </c>
      <c r="AI13" s="333">
        <f t="shared" ca="1" si="0"/>
        <v>8</v>
      </c>
      <c r="AJ13" s="333">
        <f t="shared" ca="1" si="0"/>
        <v>9</v>
      </c>
      <c r="AK13" s="333">
        <f t="shared" ca="1" si="0"/>
        <v>10</v>
      </c>
      <c r="AL13" s="333">
        <f t="shared" ca="1" si="0"/>
        <v>11</v>
      </c>
      <c r="AM13" s="333">
        <f t="shared" ca="1" si="0"/>
        <v>12</v>
      </c>
      <c r="AO13" s="108" t="s">
        <v>865</v>
      </c>
    </row>
    <row r="14" spans="1:41" hidden="1" x14ac:dyDescent="0.2">
      <c r="A14" t="str">
        <f ca="1">ORÇAMENTO!C14</f>
        <v>S</v>
      </c>
      <c r="B14">
        <f ca="1">ORÇAMENTO!D14</f>
        <v>0</v>
      </c>
      <c r="C14" s="115" t="str">
        <f ca="1">IF(OR($I14&gt;0,$A14=1,$A14=2,$A14=3,$A14=4),"F","")</f>
        <v/>
      </c>
      <c r="D14" s="118" t="str">
        <f ca="1">ORÇAMENTO!O14</f>
        <v>-</v>
      </c>
      <c r="E14" s="164" t="str">
        <f ca="1">ORÇAMENTO.Descricao</f>
        <v>(abra o arquivo 'Referência 12-2024.xlsm)</v>
      </c>
      <c r="F14" s="165" t="str">
        <f ca="1">IF(RegimeExecucao="Global","",ORÇAMENTO.Unidade)</f>
        <v>-</v>
      </c>
      <c r="G14" s="123">
        <f ca="1">IF(RegimeExecucao="Global","",ORÇAMENTO!T14)</f>
        <v>0</v>
      </c>
      <c r="H14" s="123">
        <f ca="1">IF(RegimeExecucao="Global","",ORÇAMENTO!W14)</f>
        <v>0</v>
      </c>
      <c r="I14" s="126">
        <f ca="1">ORÇAMENTO!X14</f>
        <v>0</v>
      </c>
      <c r="J14" s="334" t="e" cm="1">
        <f t="array" aca="1" ref="J14" ca="1">_xlfn.SINGLE(IF($A14="S",IF(CAIXA.Modo,BM.AFAnterior,BM.MEDAnterior),IF(AND(_xlfn.SINGLE(RegimeExecucao)="Global",$I14&gt;0,COUNTIF($AB$13:$AM$13,BM.medicao-1)&gt;0),M14/$I14*100,0)))</f>
        <v>#NAME?</v>
      </c>
      <c r="K14" s="123" t="e">
        <f ca="1">L14-J14</f>
        <v>#NAME?</v>
      </c>
      <c r="L14" s="335" t="e" cm="1">
        <f t="array" aca="1" ref="L14" ca="1">_xlfn.SINGLE(IF($A14="S",IF(CAIXA.Modo,BM.AFAcumulado,BM.MEDAcumulado),IF(AND(_xlfn.SINGLE(RegimeExecucao)="Global",$I14&gt;0,COUNTIF($AB$13:$AM$13,BM.medicao)&gt;0),O14/$I14*100,0)))</f>
        <v>#NAME?</v>
      </c>
      <c r="M14" s="336">
        <f ca="1">IF($A14="S",VTOTALBM,IF($A14=0,0,ROUND(SomaAgrupBM,15-13*ORÇAMENTO!$AF$11)))</f>
        <v>0</v>
      </c>
      <c r="N14" s="337">
        <f ca="1">O14-M14</f>
        <v>0</v>
      </c>
      <c r="O14" s="126">
        <f ca="1">IF($A14="S",VTOTALBM,IF($A14=0,0,ROUND(SomaAgrupBM,15-13*ORÇAMENTO!$AF$11)))</f>
        <v>0</v>
      </c>
      <c r="Q14" s="338"/>
      <c r="R14" s="339"/>
      <c r="T14" s="118" t="str">
        <f ca="1">IF($W14&gt;0,$D14,"")</f>
        <v/>
      </c>
      <c r="U14" s="164" t="str">
        <f ca="1">IF($W14&gt;0,$E14,"")</f>
        <v/>
      </c>
      <c r="V14" s="165" t="str">
        <f ca="1">IF(AND($W14&gt;0,RegimeExecucao="Unitário"),$F14,"")</f>
        <v/>
      </c>
      <c r="W14" s="455">
        <f ca="1">IF($Y14&gt;0,CHOOSE(MATCH(RegimeExecucao,{"Unitário","Global"},0),IF($A14="S",$Y14/$X14,""),($Y14/$X14)*100),0)</f>
        <v>0</v>
      </c>
      <c r="X14" s="340" t="str">
        <f ca="1">IF($Y14&gt;0,CHOOSE(MATCH(RegimeExecucao,{"Unitário","Global"},0),IF($A14="S",ROUND($H14,ORÇAMENTO!$AF$10),""),ROUND($I14,ORÇAMENTO!$AF$11)),"")</f>
        <v/>
      </c>
      <c r="Y14" s="340">
        <f ca="1">AO14-O14</f>
        <v>0</v>
      </c>
      <c r="Z14" s="474"/>
      <c r="AB14" s="338"/>
      <c r="AC14" s="438"/>
      <c r="AD14" s="438"/>
      <c r="AE14" s="438"/>
      <c r="AF14" s="438"/>
      <c r="AG14" s="438"/>
      <c r="AH14" s="438"/>
      <c r="AI14" s="438"/>
      <c r="AJ14" s="438"/>
      <c r="AK14" s="438"/>
      <c r="AL14" s="438"/>
      <c r="AM14" s="339"/>
      <c r="AO14">
        <f ca="1">IF($A14="S",IF(BM!$I14=0,0,CHOOSE(MATCH(RegimeExecucao,{"Global","Unitário"},0),ROUND(ROUND(BM.MEDAcumulado,15-13*BM!$A$9)/100*BM!$I14,15-13*ORÇAMENTO!$AF$11),ROUND(ROUND(BM.MEDAcumulado,15-13*BM!$A$9)*ROUND(BM!$H14,15-13*ORÇAMENTO!$AF$10),15-13*ORÇAMENTO!$AF$11))),IF($A14=0,0,ROUND(SomaAgrupBM,15-13*ORÇAMENTO!$AF$11)))</f>
        <v>0</v>
      </c>
    </row>
    <row r="15" spans="1:41" x14ac:dyDescent="0.2">
      <c r="C15" s="115" t="s">
        <v>536</v>
      </c>
      <c r="D15" s="805" t="str">
        <f>"Objeto do CTEF: "&amp;Import.DescLote</f>
        <v xml:space="preserve">Objeto do CTEF: </v>
      </c>
      <c r="E15" s="805"/>
      <c r="F15" s="456"/>
      <c r="G15" s="457"/>
      <c r="H15" s="457" t="s">
        <v>866</v>
      </c>
      <c r="I15" s="458">
        <f>IF(OR(_xlfn.SINGLE(ACOMPANHAMENTO)="PLE",_xlfn.SINGLE(TIPOORCAMENTO)="Proposto"),0,ORÇAMENTO!$X$15)</f>
        <v>0</v>
      </c>
      <c r="J15" s="341" t="e">
        <f ca="1">IF(M$15=0,0,IF(RegimeExecucao="Global",M$15/$I$15*100,0))</f>
        <v>#NAME?</v>
      </c>
      <c r="K15" s="341" t="e">
        <f ca="1">L15-J15</f>
        <v>#NAME?</v>
      </c>
      <c r="L15" s="341" t="e">
        <f ca="1">IF(O$15=0,0,IF(RegimeExecucao="Global",O$15/$I$15*100,0))</f>
        <v>#NAME?</v>
      </c>
      <c r="M15" s="342" t="e">
        <f ca="1">IF(OR(_xlfn.SINGLE(ACOMPANHAMENTO)="PLE",_xlfn.SINGLE(TIPOORCAMENTO)="Proposto"),0,SUMIF(OFFSET($A15,1,0):$A$405,"S",OFFSET(M15,1,0):M$405))</f>
        <v>#NAME?</v>
      </c>
      <c r="N15" s="342" t="e">
        <f ca="1">O15-M15</f>
        <v>#NAME?</v>
      </c>
      <c r="O15" s="342" t="e">
        <f ca="1">IF(OR(_xlfn.SINGLE(ACOMPANHAMENTO)="PLE",_xlfn.SINGLE(TIPOORCAMENTO)="Proposto"),0,SUMIF(OFFSET($A15,1,0):$A$405,"S",OFFSET(O15,1,0):O$405))</f>
        <v>#NAME?</v>
      </c>
      <c r="Q15" s="343"/>
      <c r="R15" s="343"/>
      <c r="T15" s="344"/>
      <c r="U15" s="345"/>
      <c r="V15" s="345"/>
      <c r="W15" s="345"/>
      <c r="X15" s="345"/>
      <c r="Y15" s="345"/>
      <c r="Z15" s="346"/>
      <c r="AB15" s="801" t="str">
        <f ca="1">"Preencher abaixo com a "&amp;CHOOSE(MATCH(RegimeExecucao,{"Unitário","Global"},0),"QUANTIDADE","PORCENTAGEM")&amp;" executada no PERÍODO"</f>
        <v>Preencher abaixo com a QUANTIDADE executada no PERÍODO</v>
      </c>
      <c r="AC15" s="801"/>
      <c r="AD15" s="801"/>
      <c r="AE15" s="801"/>
      <c r="AF15" s="801"/>
      <c r="AG15" s="801"/>
      <c r="AH15" s="801"/>
      <c r="AI15" s="801"/>
      <c r="AJ15" s="801"/>
      <c r="AK15" s="801"/>
      <c r="AL15" s="801"/>
      <c r="AM15" s="801"/>
    </row>
    <row r="16" spans="1:41" x14ac:dyDescent="0.2">
      <c r="A16">
        <f ca="1">ORÇAMENTO!C16</f>
        <v>1</v>
      </c>
      <c r="B16">
        <f ca="1">ORÇAMENTO!D16</f>
        <v>389</v>
      </c>
      <c r="C16" s="115" t="str">
        <f t="shared" ref="C16:C78" ca="1" si="1">IF(OR($I16&gt;0,$A16=1,$A16=2,$A16=3,$A16=4),"F","")</f>
        <v>F</v>
      </c>
      <c r="D16" s="118" t="str">
        <f ca="1">ORÇAMENTO!O16</f>
        <v>1.</v>
      </c>
      <c r="E16" s="164" t="str">
        <f t="shared" ref="E16:E78" si="2">ORÇAMENTO.Descricao</f>
        <v>CMEI SORGATTO</v>
      </c>
      <c r="F16" s="165" t="str">
        <f ca="1">IF(RegimeExecucao="Global","",ORÇAMENTO.Unidade)</f>
        <v>-</v>
      </c>
      <c r="G16" s="123">
        <f ca="1">IF(RegimeExecucao="Global","",ORÇAMENTO!T16)</f>
        <v>0</v>
      </c>
      <c r="H16" s="123">
        <f ca="1">IF(RegimeExecucao="Global","",ORÇAMENTO!W16)</f>
        <v>0</v>
      </c>
      <c r="I16" s="126">
        <f ca="1">ORÇAMENTO!X16</f>
        <v>0</v>
      </c>
      <c r="J16" s="334" t="e" cm="1">
        <f t="array" aca="1" ref="J16" ca="1">_xlfn.SINGLE(IF($A16="S",IF(CAIXA.Modo,BM.AFAnterior,BM.MEDAnterior),IF(AND(_xlfn.SINGLE(RegimeExecucao)="Global",$I16&gt;0,COUNTIF($AB$13:$AM$13,BM.medicao-1)&gt;0),M16/$I16*100,0)))</f>
        <v>#NAME?</v>
      </c>
      <c r="K16" s="123" t="e">
        <f t="shared" ref="K16:K78" ca="1" si="3">L16-J16</f>
        <v>#NAME?</v>
      </c>
      <c r="L16" s="335" t="e" cm="1">
        <f t="array" aca="1" ref="L16" ca="1">_xlfn.SINGLE(IF($A16="S",IF(CAIXA.Modo,BM.AFAcumulado,BM.MEDAcumulado),IF(AND(_xlfn.SINGLE(RegimeExecucao)="Global",$I16&gt;0,COUNTIF($AB$13:$AM$13,BM.medicao)&gt;0),O16/$I16*100,0)))</f>
        <v>#NAME?</v>
      </c>
      <c r="M16" s="336">
        <f ca="1">IF($A16="S",VTOTALBM,IF($A16=0,0,ROUND(SomaAgrupBM,15-13*ORÇAMENTO!$AF$11)))</f>
        <v>0</v>
      </c>
      <c r="N16" s="337">
        <f t="shared" ref="N16:N78" ca="1" si="4">O16-M16</f>
        <v>0</v>
      </c>
      <c r="O16" s="126">
        <f ca="1">IF($A16="S",VTOTALBM,IF($A16=0,0,ROUND(SomaAgrupBM,15-13*ORÇAMENTO!$AF$11)))</f>
        <v>0</v>
      </c>
      <c r="Q16" s="338"/>
      <c r="R16" s="339"/>
      <c r="T16" s="118" t="str">
        <f t="shared" ref="T16:T78" ca="1" si="5">IF($W16&gt;0,$D16,"")</f>
        <v/>
      </c>
      <c r="U16" s="164" t="str">
        <f t="shared" ref="U16:U78" ca="1" si="6">IF($W16&gt;0,$E16,"")</f>
        <v/>
      </c>
      <c r="V16" s="165" t="str">
        <f ca="1">IF(AND($W16&gt;0,RegimeExecucao="Unitário"),$F16,"")</f>
        <v/>
      </c>
      <c r="W16" s="455">
        <f ca="1">IF($Y16&gt;0,CHOOSE(MATCH(RegimeExecucao,{"Unitário","Global"},0),IF($A16="S",$Y16/$X16,""),($Y16/$X16)*100),0)</f>
        <v>0</v>
      </c>
      <c r="X16" s="340" t="str">
        <f ca="1">IF($Y16&gt;0,CHOOSE(MATCH(RegimeExecucao,{"Unitário","Global"},0),IF($A16="S",ROUND($H16,ORÇAMENTO!$AF$10),""),ROUND($I16,ORÇAMENTO!$AF$11)),"")</f>
        <v/>
      </c>
      <c r="Y16" s="340">
        <f t="shared" ref="Y16:Y78" ca="1" si="7">AO16-O16</f>
        <v>0</v>
      </c>
      <c r="Z16" s="474"/>
      <c r="AB16" s="338"/>
      <c r="AC16" s="438"/>
      <c r="AD16" s="438"/>
      <c r="AE16" s="438"/>
      <c r="AF16" s="438"/>
      <c r="AG16" s="438"/>
      <c r="AH16" s="438"/>
      <c r="AI16" s="438"/>
      <c r="AJ16" s="438"/>
      <c r="AK16" s="438"/>
      <c r="AL16" s="438"/>
      <c r="AM16" s="339"/>
      <c r="AO16">
        <f ca="1">IF($A16="S",IF(BM!$I16=0,0,CHOOSE(MATCH(RegimeExecucao,{"Global","Unitário"},0),ROUND(ROUND(BM.MEDAcumulado,15-13*BM!$A$9)/100*BM!$I16,15-13*ORÇAMENTO!$AF$11),ROUND(ROUND(BM.MEDAcumulado,15-13*BM!$A$9)*ROUND(BM!$H16,15-13*ORÇAMENTO!$AF$10),15-13*ORÇAMENTO!$AF$11))),IF($A16=0,0,ROUND(SomaAgrupBM,15-13*ORÇAMENTO!$AF$11)))</f>
        <v>0</v>
      </c>
    </row>
    <row r="17" spans="1:41" x14ac:dyDescent="0.2">
      <c r="A17">
        <f ca="1">ORÇAMENTO!C17</f>
        <v>2</v>
      </c>
      <c r="B17">
        <f ca="1">ORÇAMENTO!D17</f>
        <v>4</v>
      </c>
      <c r="C17" s="115" t="str">
        <f t="shared" ca="1" si="1"/>
        <v>F</v>
      </c>
      <c r="D17" s="118" t="str">
        <f ca="1">ORÇAMENTO!O17</f>
        <v>1.1.</v>
      </c>
      <c r="E17" s="164" t="str">
        <f t="shared" si="2"/>
        <v>ADMINISTRAÇÃO DE OBRA</v>
      </c>
      <c r="F17" s="165" t="str">
        <f ca="1">IF(RegimeExecucao="Global","",ORÇAMENTO.Unidade)</f>
        <v>-</v>
      </c>
      <c r="G17" s="123">
        <f ca="1">IF(RegimeExecucao="Global","",ORÇAMENTO!T17)</f>
        <v>0</v>
      </c>
      <c r="H17" s="123">
        <f ca="1">IF(RegimeExecucao="Global","",ORÇAMENTO!W17)</f>
        <v>0</v>
      </c>
      <c r="I17" s="126">
        <f ca="1">ORÇAMENTO!X17</f>
        <v>0</v>
      </c>
      <c r="J17" s="334" t="e" cm="1">
        <f t="array" aca="1" ref="J17" ca="1">_xlfn.SINGLE(IF($A17="S",IF(CAIXA.Modo,BM.AFAnterior,BM.MEDAnterior),IF(AND(_xlfn.SINGLE(RegimeExecucao)="Global",$I17&gt;0,COUNTIF($AB$13:$AM$13,BM.medicao-1)&gt;0),M17/$I17*100,0)))</f>
        <v>#NAME?</v>
      </c>
      <c r="K17" s="123" t="e">
        <f t="shared" ca="1" si="3"/>
        <v>#NAME?</v>
      </c>
      <c r="L17" s="335" t="e" cm="1">
        <f t="array" aca="1" ref="L17" ca="1">_xlfn.SINGLE(IF($A17="S",IF(CAIXA.Modo,BM.AFAcumulado,BM.MEDAcumulado),IF(AND(_xlfn.SINGLE(RegimeExecucao)="Global",$I17&gt;0,COUNTIF($AB$13:$AM$13,BM.medicao)&gt;0),O17/$I17*100,0)))</f>
        <v>#NAME?</v>
      </c>
      <c r="M17" s="336">
        <f ca="1">IF($A17="S",VTOTALBM,IF($A17=0,0,ROUND(SomaAgrupBM,15-13*ORÇAMENTO!$AF$11)))</f>
        <v>0</v>
      </c>
      <c r="N17" s="337">
        <f t="shared" ca="1" si="4"/>
        <v>0</v>
      </c>
      <c r="O17" s="126">
        <f ca="1">IF($A17="S",VTOTALBM,IF($A17=0,0,ROUND(SomaAgrupBM,15-13*ORÇAMENTO!$AF$11)))</f>
        <v>0</v>
      </c>
      <c r="Q17" s="338"/>
      <c r="R17" s="339"/>
      <c r="T17" s="118" t="str">
        <f t="shared" ca="1" si="5"/>
        <v/>
      </c>
      <c r="U17" s="164" t="str">
        <f t="shared" ca="1" si="6"/>
        <v/>
      </c>
      <c r="V17" s="165" t="str">
        <f ca="1">IF(AND($W17&gt;0,RegimeExecucao="Unitário"),$F17,"")</f>
        <v/>
      </c>
      <c r="W17" s="455">
        <f ca="1">IF($Y17&gt;0,CHOOSE(MATCH(RegimeExecucao,{"Unitário","Global"},0),IF($A17="S",$Y17/$X17,""),($Y17/$X17)*100),0)</f>
        <v>0</v>
      </c>
      <c r="X17" s="340" t="str">
        <f ca="1">IF($Y17&gt;0,CHOOSE(MATCH(RegimeExecucao,{"Unitário","Global"},0),IF($A17="S",ROUND($H17,ORÇAMENTO!$AF$10),""),ROUND($I17,ORÇAMENTO!$AF$11)),"")</f>
        <v/>
      </c>
      <c r="Y17" s="340">
        <f t="shared" ca="1" si="7"/>
        <v>0</v>
      </c>
      <c r="Z17" s="474"/>
      <c r="AB17" s="338"/>
      <c r="AC17" s="438"/>
      <c r="AD17" s="438"/>
      <c r="AE17" s="438"/>
      <c r="AF17" s="438"/>
      <c r="AG17" s="438"/>
      <c r="AH17" s="438"/>
      <c r="AI17" s="438"/>
      <c r="AJ17" s="438"/>
      <c r="AK17" s="438"/>
      <c r="AL17" s="438"/>
      <c r="AM17" s="339"/>
      <c r="AO17">
        <f ca="1">IF($A17="S",IF(BM!$I17=0,0,CHOOSE(MATCH(RegimeExecucao,{"Global","Unitário"},0),ROUND(ROUND(BM.MEDAcumulado,15-13*BM!$A$9)/100*BM!$I17,15-13*ORÇAMENTO!$AF$11),ROUND(ROUND(BM.MEDAcumulado,15-13*BM!$A$9)*ROUND(BM!$H17,15-13*ORÇAMENTO!$AF$10),15-13*ORÇAMENTO!$AF$11))),IF($A17=0,0,ROUND(SomaAgrupBM,15-13*ORÇAMENTO!$AF$11)))</f>
        <v>0</v>
      </c>
    </row>
    <row r="18" spans="1:41" x14ac:dyDescent="0.2">
      <c r="A18" t="str">
        <f ca="1">ORÇAMENTO!C18</f>
        <v>S</v>
      </c>
      <c r="B18">
        <f ca="1">ORÇAMENTO!D18</f>
        <v>0</v>
      </c>
      <c r="C18" s="115" t="str">
        <f t="shared" ca="1" si="1"/>
        <v/>
      </c>
      <c r="D18" s="118" t="str">
        <f ca="1">ORÇAMENTO!O18</f>
        <v>-</v>
      </c>
      <c r="E18" s="164" t="str">
        <f t="shared" si="2"/>
        <v>MESTRE DE OBRAS COM ENCARGOS COMPLEMENTARES</v>
      </c>
      <c r="F18" s="165" t="str">
        <f ca="1">IF(RegimeExecucao="Global","",ORÇAMENTO.Unidade)</f>
        <v>MES</v>
      </c>
      <c r="G18" s="123">
        <f ca="1">IF(RegimeExecucao="Global","",ORÇAMENTO!T18)</f>
        <v>6</v>
      </c>
      <c r="H18" s="123">
        <f ca="1">IF(RegimeExecucao="Global","",ORÇAMENTO!W18)</f>
        <v>0</v>
      </c>
      <c r="I18" s="126">
        <f ca="1">ORÇAMENTO!X18</f>
        <v>0</v>
      </c>
      <c r="J18" s="334" t="e" cm="1">
        <f t="array" aca="1" ref="J18" ca="1">_xlfn.SINGLE(IF($A18="S",IF(CAIXA.Modo,BM.AFAnterior,BM.MEDAnterior),IF(AND(_xlfn.SINGLE(RegimeExecucao)="Global",$I18&gt;0,COUNTIF($AB$13:$AM$13,BM.medicao-1)&gt;0),M18/$I18*100,0)))</f>
        <v>#NAME?</v>
      </c>
      <c r="K18" s="123" t="e">
        <f t="shared" ca="1" si="3"/>
        <v>#NAME?</v>
      </c>
      <c r="L18" s="335" t="e" cm="1">
        <f t="array" aca="1" ref="L18" ca="1">_xlfn.SINGLE(IF($A18="S",IF(CAIXA.Modo,BM.AFAcumulado,BM.MEDAcumulado),IF(AND(_xlfn.SINGLE(RegimeExecucao)="Global",$I18&gt;0,COUNTIF($AB$13:$AM$13,BM.medicao)&gt;0),O18/$I18*100,0)))</f>
        <v>#NAME?</v>
      </c>
      <c r="M18" s="336">
        <f ca="1">IF($A18="S",VTOTALBM,IF($A18=0,0,ROUND(SomaAgrupBM,15-13*ORÇAMENTO!$AF$11)))</f>
        <v>0</v>
      </c>
      <c r="N18" s="337">
        <f t="shared" ca="1" si="4"/>
        <v>0</v>
      </c>
      <c r="O18" s="126">
        <f ca="1">IF($A18="S",VTOTALBM,IF($A18=0,0,ROUND(SomaAgrupBM,15-13*ORÇAMENTO!$AF$11)))</f>
        <v>0</v>
      </c>
      <c r="Q18" s="338"/>
      <c r="R18" s="339"/>
      <c r="T18" s="118" t="str">
        <f t="shared" ca="1" si="5"/>
        <v/>
      </c>
      <c r="U18" s="164" t="str">
        <f t="shared" ca="1" si="6"/>
        <v/>
      </c>
      <c r="V18" s="165" t="str">
        <f ca="1">IF(AND($W18&gt;0,RegimeExecucao="Unitário"),$F18,"")</f>
        <v/>
      </c>
      <c r="W18" s="455">
        <f ca="1">IF($Y18&gt;0,CHOOSE(MATCH(RegimeExecucao,{"Unitário","Global"},0),IF($A18="S",$Y18/$X18,""),($Y18/$X18)*100),0)</f>
        <v>0</v>
      </c>
      <c r="X18" s="340" t="str">
        <f ca="1">IF($Y18&gt;0,CHOOSE(MATCH(RegimeExecucao,{"Unitário","Global"},0),IF($A18="S",ROUND($H18,ORÇAMENTO!$AF$10),""),ROUND($I18,ORÇAMENTO!$AF$11)),"")</f>
        <v/>
      </c>
      <c r="Y18" s="340">
        <f t="shared" ca="1" si="7"/>
        <v>0</v>
      </c>
      <c r="Z18" s="474"/>
      <c r="AB18" s="338"/>
      <c r="AC18" s="438"/>
      <c r="AD18" s="438"/>
      <c r="AE18" s="438"/>
      <c r="AF18" s="438"/>
      <c r="AG18" s="438"/>
      <c r="AH18" s="438"/>
      <c r="AI18" s="438"/>
      <c r="AJ18" s="438"/>
      <c r="AK18" s="438"/>
      <c r="AL18" s="438"/>
      <c r="AM18" s="339"/>
      <c r="AO18">
        <f ca="1">IF($A18="S",IF(BM!$I18=0,0,CHOOSE(MATCH(RegimeExecucao,{"Global","Unitário"},0),ROUND(ROUND(BM.MEDAcumulado,15-13*BM!$A$9)/100*BM!$I18,15-13*ORÇAMENTO!$AF$11),ROUND(ROUND(BM.MEDAcumulado,15-13*BM!$A$9)*ROUND(BM!$H18,15-13*ORÇAMENTO!$AF$10),15-13*ORÇAMENTO!$AF$11))),IF($A18=0,0,ROUND(SomaAgrupBM,15-13*ORÇAMENTO!$AF$11)))</f>
        <v>0</v>
      </c>
    </row>
    <row r="19" spans="1:41" ht="25.5" x14ac:dyDescent="0.2">
      <c r="A19" t="str">
        <f ca="1">ORÇAMENTO!C19</f>
        <v>S</v>
      </c>
      <c r="B19">
        <f ca="1">ORÇAMENTO!D19</f>
        <v>0</v>
      </c>
      <c r="C19" s="115" t="str">
        <f t="shared" ca="1" si="1"/>
        <v/>
      </c>
      <c r="D19" s="118" t="str">
        <f ca="1">ORÇAMENTO!O19</f>
        <v>-</v>
      </c>
      <c r="E19" s="164" t="str">
        <f t="shared" si="2"/>
        <v>ENGENHEIRO CIVIL DE OBRA PLENO COM ENCARGOS COMPLEMENTARES</v>
      </c>
      <c r="F19" s="165" t="str">
        <f ca="1">IF(RegimeExecucao="Global","",ORÇAMENTO.Unidade)</f>
        <v>H</v>
      </c>
      <c r="G19" s="123">
        <f ca="1">IF(RegimeExecucao="Global","",ORÇAMENTO!T19)</f>
        <v>246</v>
      </c>
      <c r="H19" s="123">
        <f ca="1">IF(RegimeExecucao="Global","",ORÇAMENTO!W19)</f>
        <v>0</v>
      </c>
      <c r="I19" s="126">
        <f ca="1">ORÇAMENTO!X19</f>
        <v>0</v>
      </c>
      <c r="J19" s="334" t="e" cm="1">
        <f t="array" aca="1" ref="J19" ca="1">_xlfn.SINGLE(IF($A19="S",IF(CAIXA.Modo,BM.AFAnterior,BM.MEDAnterior),IF(AND(_xlfn.SINGLE(RegimeExecucao)="Global",$I19&gt;0,COUNTIF($AB$13:$AM$13,BM.medicao-1)&gt;0),M19/$I19*100,0)))</f>
        <v>#NAME?</v>
      </c>
      <c r="K19" s="123" t="e">
        <f t="shared" ca="1" si="3"/>
        <v>#NAME?</v>
      </c>
      <c r="L19" s="335" t="e" cm="1">
        <f t="array" aca="1" ref="L19" ca="1">_xlfn.SINGLE(IF($A19="S",IF(CAIXA.Modo,BM.AFAcumulado,BM.MEDAcumulado),IF(AND(_xlfn.SINGLE(RegimeExecucao)="Global",$I19&gt;0,COUNTIF($AB$13:$AM$13,BM.medicao)&gt;0),O19/$I19*100,0)))</f>
        <v>#NAME?</v>
      </c>
      <c r="M19" s="336">
        <f ca="1">IF($A19="S",VTOTALBM,IF($A19=0,0,ROUND(SomaAgrupBM,15-13*ORÇAMENTO!$AF$11)))</f>
        <v>0</v>
      </c>
      <c r="N19" s="337">
        <f t="shared" ca="1" si="4"/>
        <v>0</v>
      </c>
      <c r="O19" s="126">
        <f ca="1">IF($A19="S",VTOTALBM,IF($A19=0,0,ROUND(SomaAgrupBM,15-13*ORÇAMENTO!$AF$11)))</f>
        <v>0</v>
      </c>
      <c r="Q19" s="338"/>
      <c r="R19" s="339"/>
      <c r="T19" s="118" t="str">
        <f t="shared" ca="1" si="5"/>
        <v/>
      </c>
      <c r="U19" s="164" t="str">
        <f t="shared" ca="1" si="6"/>
        <v/>
      </c>
      <c r="V19" s="165" t="str">
        <f ca="1">IF(AND($W19&gt;0,RegimeExecucao="Unitário"),$F19,"")</f>
        <v/>
      </c>
      <c r="W19" s="455">
        <f ca="1">IF($Y19&gt;0,CHOOSE(MATCH(RegimeExecucao,{"Unitário","Global"},0),IF($A19="S",$Y19/$X19,""),($Y19/$X19)*100),0)</f>
        <v>0</v>
      </c>
      <c r="X19" s="340" t="str">
        <f ca="1">IF($Y19&gt;0,CHOOSE(MATCH(RegimeExecucao,{"Unitário","Global"},0),IF($A19="S",ROUND($H19,ORÇAMENTO!$AF$10),""),ROUND($I19,ORÇAMENTO!$AF$11)),"")</f>
        <v/>
      </c>
      <c r="Y19" s="340">
        <f t="shared" ca="1" si="7"/>
        <v>0</v>
      </c>
      <c r="Z19" s="474"/>
      <c r="AB19" s="338"/>
      <c r="AC19" s="438"/>
      <c r="AD19" s="438"/>
      <c r="AE19" s="438"/>
      <c r="AF19" s="438"/>
      <c r="AG19" s="438"/>
      <c r="AH19" s="438"/>
      <c r="AI19" s="438"/>
      <c r="AJ19" s="438"/>
      <c r="AK19" s="438"/>
      <c r="AL19" s="438"/>
      <c r="AM19" s="339"/>
      <c r="AO19">
        <f ca="1">IF($A19="S",IF(BM!$I19=0,0,CHOOSE(MATCH(RegimeExecucao,{"Global","Unitário"},0),ROUND(ROUND(BM.MEDAcumulado,15-13*BM!$A$9)/100*BM!$I19,15-13*ORÇAMENTO!$AF$11),ROUND(ROUND(BM.MEDAcumulado,15-13*BM!$A$9)*ROUND(BM!$H19,15-13*ORÇAMENTO!$AF$10),15-13*ORÇAMENTO!$AF$11))),IF($A19=0,0,ROUND(SomaAgrupBM,15-13*ORÇAMENTO!$AF$11)))</f>
        <v>0</v>
      </c>
    </row>
    <row r="20" spans="1:41" ht="25.5" x14ac:dyDescent="0.2">
      <c r="A20" t="str">
        <f ca="1">ORÇAMENTO!C20</f>
        <v>S</v>
      </c>
      <c r="B20">
        <f ca="1">ORÇAMENTO!D20</f>
        <v>0</v>
      </c>
      <c r="C20" s="115" t="str">
        <f t="shared" ca="1" si="1"/>
        <v/>
      </c>
      <c r="D20" s="118" t="str">
        <f ca="1">ORÇAMENTO!O20</f>
        <v>-</v>
      </c>
      <c r="E20" s="164" t="str">
        <f t="shared" si="2"/>
        <v>TÉCNICO EM SEGURANÇA DO TRABALHO COM ENCARGOS COMPLEMENTARES</v>
      </c>
      <c r="F20" s="165" t="str">
        <f ca="1">IF(RegimeExecucao="Global","",ORÇAMENTO.Unidade)</f>
        <v>H</v>
      </c>
      <c r="G20" s="123">
        <f ca="1">IF(RegimeExecucao="Global","",ORÇAMENTO!T20)</f>
        <v>246</v>
      </c>
      <c r="H20" s="123">
        <f ca="1">IF(RegimeExecucao="Global","",ORÇAMENTO!W20)</f>
        <v>0</v>
      </c>
      <c r="I20" s="126">
        <f ca="1">ORÇAMENTO!X20</f>
        <v>0</v>
      </c>
      <c r="J20" s="334" t="e" cm="1">
        <f t="array" aca="1" ref="J20" ca="1">_xlfn.SINGLE(IF($A20="S",IF(CAIXA.Modo,BM.AFAnterior,BM.MEDAnterior),IF(AND(_xlfn.SINGLE(RegimeExecucao)="Global",$I20&gt;0,COUNTIF($AB$13:$AM$13,BM.medicao-1)&gt;0),M20/$I20*100,0)))</f>
        <v>#NAME?</v>
      </c>
      <c r="K20" s="123" t="e">
        <f t="shared" ca="1" si="3"/>
        <v>#NAME?</v>
      </c>
      <c r="L20" s="335" t="e" cm="1">
        <f t="array" aca="1" ref="L20" ca="1">_xlfn.SINGLE(IF($A20="S",IF(CAIXA.Modo,BM.AFAcumulado,BM.MEDAcumulado),IF(AND(_xlfn.SINGLE(RegimeExecucao)="Global",$I20&gt;0,COUNTIF($AB$13:$AM$13,BM.medicao)&gt;0),O20/$I20*100,0)))</f>
        <v>#NAME?</v>
      </c>
      <c r="M20" s="336">
        <f ca="1">IF($A20="S",VTOTALBM,IF($A20=0,0,ROUND(SomaAgrupBM,15-13*ORÇAMENTO!$AF$11)))</f>
        <v>0</v>
      </c>
      <c r="N20" s="337">
        <f t="shared" ca="1" si="4"/>
        <v>0</v>
      </c>
      <c r="O20" s="126">
        <f ca="1">IF($A20="S",VTOTALBM,IF($A20=0,0,ROUND(SomaAgrupBM,15-13*ORÇAMENTO!$AF$11)))</f>
        <v>0</v>
      </c>
      <c r="Q20" s="338"/>
      <c r="R20" s="339"/>
      <c r="T20" s="118" t="str">
        <f t="shared" ca="1" si="5"/>
        <v/>
      </c>
      <c r="U20" s="164" t="str">
        <f t="shared" ca="1" si="6"/>
        <v/>
      </c>
      <c r="V20" s="165" t="str">
        <f ca="1">IF(AND($W20&gt;0,RegimeExecucao="Unitário"),$F20,"")</f>
        <v/>
      </c>
      <c r="W20" s="455">
        <f ca="1">IF($Y20&gt;0,CHOOSE(MATCH(RegimeExecucao,{"Unitário","Global"},0),IF($A20="S",$Y20/$X20,""),($Y20/$X20)*100),0)</f>
        <v>0</v>
      </c>
      <c r="X20" s="340" t="str">
        <f ca="1">IF($Y20&gt;0,CHOOSE(MATCH(RegimeExecucao,{"Unitário","Global"},0),IF($A20="S",ROUND($H20,ORÇAMENTO!$AF$10),""),ROUND($I20,ORÇAMENTO!$AF$11)),"")</f>
        <v/>
      </c>
      <c r="Y20" s="340">
        <f t="shared" ca="1" si="7"/>
        <v>0</v>
      </c>
      <c r="Z20" s="474"/>
      <c r="AB20" s="338"/>
      <c r="AC20" s="438"/>
      <c r="AD20" s="438"/>
      <c r="AE20" s="438"/>
      <c r="AF20" s="438"/>
      <c r="AG20" s="438"/>
      <c r="AH20" s="438"/>
      <c r="AI20" s="438"/>
      <c r="AJ20" s="438"/>
      <c r="AK20" s="438"/>
      <c r="AL20" s="438"/>
      <c r="AM20" s="339"/>
      <c r="AO20">
        <f ca="1">IF($A20="S",IF(BM!$I20=0,0,CHOOSE(MATCH(RegimeExecucao,{"Global","Unitário"},0),ROUND(ROUND(BM.MEDAcumulado,15-13*BM!$A$9)/100*BM!$I20,15-13*ORÇAMENTO!$AF$11),ROUND(ROUND(BM.MEDAcumulado,15-13*BM!$A$9)*ROUND(BM!$H20,15-13*ORÇAMENTO!$AF$10),15-13*ORÇAMENTO!$AF$11))),IF($A20=0,0,ROUND(SomaAgrupBM,15-13*ORÇAMENTO!$AF$11)))</f>
        <v>0</v>
      </c>
    </row>
    <row r="21" spans="1:41" x14ac:dyDescent="0.2">
      <c r="A21">
        <f ca="1">ORÇAMENTO!C21</f>
        <v>2</v>
      </c>
      <c r="B21">
        <f ca="1">ORÇAMENTO!D21</f>
        <v>7</v>
      </c>
      <c r="C21" s="115" t="str">
        <f t="shared" ca="1" si="1"/>
        <v>F</v>
      </c>
      <c r="D21" s="118" t="str">
        <f ca="1">ORÇAMENTO!O21</f>
        <v>1.2.</v>
      </c>
      <c r="E21" s="164" t="str">
        <f t="shared" si="2"/>
        <v>SERVIÇOS PRELIMINARES</v>
      </c>
      <c r="F21" s="165" t="str">
        <f ca="1">IF(RegimeExecucao="Global","",ORÇAMENTO.Unidade)</f>
        <v>-</v>
      </c>
      <c r="G21" s="123">
        <f ca="1">IF(RegimeExecucao="Global","",ORÇAMENTO!T21)</f>
        <v>0</v>
      </c>
      <c r="H21" s="123">
        <f ca="1">IF(RegimeExecucao="Global","",ORÇAMENTO!W21)</f>
        <v>0</v>
      </c>
      <c r="I21" s="126">
        <f ca="1">ORÇAMENTO!X21</f>
        <v>0</v>
      </c>
      <c r="J21" s="334" t="e" cm="1">
        <f t="array" aca="1" ref="J21" ca="1">_xlfn.SINGLE(IF($A21="S",IF(CAIXA.Modo,BM.AFAnterior,BM.MEDAnterior),IF(AND(_xlfn.SINGLE(RegimeExecucao)="Global",$I21&gt;0,COUNTIF($AB$13:$AM$13,BM.medicao-1)&gt;0),M21/$I21*100,0)))</f>
        <v>#NAME?</v>
      </c>
      <c r="K21" s="123" t="e">
        <f t="shared" ca="1" si="3"/>
        <v>#NAME?</v>
      </c>
      <c r="L21" s="335" t="e" cm="1">
        <f t="array" aca="1" ref="L21" ca="1">_xlfn.SINGLE(IF($A21="S",IF(CAIXA.Modo,BM.AFAcumulado,BM.MEDAcumulado),IF(AND(_xlfn.SINGLE(RegimeExecucao)="Global",$I21&gt;0,COUNTIF($AB$13:$AM$13,BM.medicao)&gt;0),O21/$I21*100,0)))</f>
        <v>#NAME?</v>
      </c>
      <c r="M21" s="336">
        <f ca="1">IF($A21="S",VTOTALBM,IF($A21=0,0,ROUND(SomaAgrupBM,15-13*ORÇAMENTO!$AF$11)))</f>
        <v>0</v>
      </c>
      <c r="N21" s="337">
        <f t="shared" ca="1" si="4"/>
        <v>0</v>
      </c>
      <c r="O21" s="126">
        <f ca="1">IF($A21="S",VTOTALBM,IF($A21=0,0,ROUND(SomaAgrupBM,15-13*ORÇAMENTO!$AF$11)))</f>
        <v>0</v>
      </c>
      <c r="Q21" s="338"/>
      <c r="R21" s="339"/>
      <c r="T21" s="118" t="str">
        <f t="shared" ca="1" si="5"/>
        <v/>
      </c>
      <c r="U21" s="164" t="str">
        <f t="shared" ca="1" si="6"/>
        <v/>
      </c>
      <c r="V21" s="165" t="str">
        <f ca="1">IF(AND($W21&gt;0,RegimeExecucao="Unitário"),$F21,"")</f>
        <v/>
      </c>
      <c r="W21" s="455">
        <f ca="1">IF($Y21&gt;0,CHOOSE(MATCH(RegimeExecucao,{"Unitário","Global"},0),IF($A21="S",$Y21/$X21,""),($Y21/$X21)*100),0)</f>
        <v>0</v>
      </c>
      <c r="X21" s="340" t="str">
        <f ca="1">IF($Y21&gt;0,CHOOSE(MATCH(RegimeExecucao,{"Unitário","Global"},0),IF($A21="S",ROUND($H21,ORÇAMENTO!$AF$10),""),ROUND($I21,ORÇAMENTO!$AF$11)),"")</f>
        <v/>
      </c>
      <c r="Y21" s="340">
        <f t="shared" ca="1" si="7"/>
        <v>0</v>
      </c>
      <c r="Z21" s="474"/>
      <c r="AB21" s="338"/>
      <c r="AC21" s="438"/>
      <c r="AD21" s="438"/>
      <c r="AE21" s="438"/>
      <c r="AF21" s="438"/>
      <c r="AG21" s="438"/>
      <c r="AH21" s="438"/>
      <c r="AI21" s="438"/>
      <c r="AJ21" s="438"/>
      <c r="AK21" s="438"/>
      <c r="AL21" s="438"/>
      <c r="AM21" s="339"/>
      <c r="AO21">
        <f ca="1">IF($A21="S",IF(BM!$I21=0,0,CHOOSE(MATCH(RegimeExecucao,{"Global","Unitário"},0),ROUND(ROUND(BM.MEDAcumulado,15-13*BM!$A$9)/100*BM!$I21,15-13*ORÇAMENTO!$AF$11),ROUND(ROUND(BM.MEDAcumulado,15-13*BM!$A$9)*ROUND(BM!$H21,15-13*ORÇAMENTO!$AF$10),15-13*ORÇAMENTO!$AF$11))),IF($A21=0,0,ROUND(SomaAgrupBM,15-13*ORÇAMENTO!$AF$11)))</f>
        <v>0</v>
      </c>
    </row>
    <row r="22" spans="1:41" ht="25.5" x14ac:dyDescent="0.2">
      <c r="A22" t="str">
        <f ca="1">ORÇAMENTO!C22</f>
        <v>S</v>
      </c>
      <c r="B22">
        <f ca="1">ORÇAMENTO!D22</f>
        <v>0</v>
      </c>
      <c r="C22" s="115" t="str">
        <f t="shared" ca="1" si="1"/>
        <v/>
      </c>
      <c r="D22" s="118" t="str">
        <f ca="1">ORÇAMENTO!O22</f>
        <v>-</v>
      </c>
      <c r="E22" s="164" t="str">
        <f t="shared" si="2"/>
        <v>FORNECIMENTO E INSTALAÇÃO DE PLACA DE OBRA COM CHAPA GALVANIZADA E ESTRUTURA DE MADEIRA. AF_03/2022_PS</v>
      </c>
      <c r="F22" s="165" t="str">
        <f ca="1">IF(RegimeExecucao="Global","",ORÇAMENTO.Unidade)</f>
        <v>M2</v>
      </c>
      <c r="G22" s="123">
        <f ca="1">IF(RegimeExecucao="Global","",ORÇAMENTO!T22)</f>
        <v>4.5</v>
      </c>
      <c r="H22" s="123">
        <f ca="1">IF(RegimeExecucao="Global","",ORÇAMENTO!W22)</f>
        <v>0</v>
      </c>
      <c r="I22" s="126">
        <f ca="1">ORÇAMENTO!X22</f>
        <v>0</v>
      </c>
      <c r="J22" s="334" t="e" cm="1">
        <f t="array" aca="1" ref="J22" ca="1">_xlfn.SINGLE(IF($A22="S",IF(CAIXA.Modo,BM.AFAnterior,BM.MEDAnterior),IF(AND(_xlfn.SINGLE(RegimeExecucao)="Global",$I22&gt;0,COUNTIF($AB$13:$AM$13,BM.medicao-1)&gt;0),M22/$I22*100,0)))</f>
        <v>#NAME?</v>
      </c>
      <c r="K22" s="123" t="e">
        <f t="shared" ca="1" si="3"/>
        <v>#NAME?</v>
      </c>
      <c r="L22" s="335" t="e" cm="1">
        <f t="array" aca="1" ref="L22" ca="1">_xlfn.SINGLE(IF($A22="S",IF(CAIXA.Modo,BM.AFAcumulado,BM.MEDAcumulado),IF(AND(_xlfn.SINGLE(RegimeExecucao)="Global",$I22&gt;0,COUNTIF($AB$13:$AM$13,BM.medicao)&gt;0),O22/$I22*100,0)))</f>
        <v>#NAME?</v>
      </c>
      <c r="M22" s="336">
        <f ca="1">IF($A22="S",VTOTALBM,IF($A22=0,0,ROUND(SomaAgrupBM,15-13*ORÇAMENTO!$AF$11)))</f>
        <v>0</v>
      </c>
      <c r="N22" s="337">
        <f t="shared" ca="1" si="4"/>
        <v>0</v>
      </c>
      <c r="O22" s="126">
        <f ca="1">IF($A22="S",VTOTALBM,IF($A22=0,0,ROUND(SomaAgrupBM,15-13*ORÇAMENTO!$AF$11)))</f>
        <v>0</v>
      </c>
      <c r="Q22" s="338"/>
      <c r="R22" s="339"/>
      <c r="T22" s="118" t="str">
        <f t="shared" ca="1" si="5"/>
        <v/>
      </c>
      <c r="U22" s="164" t="str">
        <f t="shared" ca="1" si="6"/>
        <v/>
      </c>
      <c r="V22" s="165" t="str">
        <f ca="1">IF(AND($W22&gt;0,RegimeExecucao="Unitário"),$F22,"")</f>
        <v/>
      </c>
      <c r="W22" s="455">
        <f ca="1">IF($Y22&gt;0,CHOOSE(MATCH(RegimeExecucao,{"Unitário","Global"},0),IF($A22="S",$Y22/$X22,""),($Y22/$X22)*100),0)</f>
        <v>0</v>
      </c>
      <c r="X22" s="340" t="str">
        <f ca="1">IF($Y22&gt;0,CHOOSE(MATCH(RegimeExecucao,{"Unitário","Global"},0),IF($A22="S",ROUND($H22,ORÇAMENTO!$AF$10),""),ROUND($I22,ORÇAMENTO!$AF$11)),"")</f>
        <v/>
      </c>
      <c r="Y22" s="340">
        <f t="shared" ca="1" si="7"/>
        <v>0</v>
      </c>
      <c r="Z22" s="474"/>
      <c r="AB22" s="338"/>
      <c r="AC22" s="438"/>
      <c r="AD22" s="438"/>
      <c r="AE22" s="438"/>
      <c r="AF22" s="438"/>
      <c r="AG22" s="438"/>
      <c r="AH22" s="438"/>
      <c r="AI22" s="438"/>
      <c r="AJ22" s="438"/>
      <c r="AK22" s="438"/>
      <c r="AL22" s="438"/>
      <c r="AM22" s="339"/>
      <c r="AO22">
        <f ca="1">IF($A22="S",IF(BM!$I22=0,0,CHOOSE(MATCH(RegimeExecucao,{"Global","Unitário"},0),ROUND(ROUND(BM.MEDAcumulado,15-13*BM!$A$9)/100*BM!$I22,15-13*ORÇAMENTO!$AF$11),ROUND(ROUND(BM.MEDAcumulado,15-13*BM!$A$9)*ROUND(BM!$H22,15-13*ORÇAMENTO!$AF$10),15-13*ORÇAMENTO!$AF$11))),IF($A22=0,0,ROUND(SomaAgrupBM,15-13*ORÇAMENTO!$AF$11)))</f>
        <v>0</v>
      </c>
    </row>
    <row r="23" spans="1:41" ht="38.25" x14ac:dyDescent="0.2">
      <c r="A23" t="str">
        <f ca="1">ORÇAMENTO!C23</f>
        <v>S</v>
      </c>
      <c r="B23">
        <f ca="1">ORÇAMENTO!D23</f>
        <v>0</v>
      </c>
      <c r="C23" s="115" t="str">
        <f t="shared" ca="1" si="1"/>
        <v/>
      </c>
      <c r="D23" s="118" t="str">
        <f ca="1">ORÇAMENTO!O23</f>
        <v>-</v>
      </c>
      <c r="E23" s="164" t="str">
        <f t="shared" si="2"/>
        <v>LIMPEZA MECANIZADA DE CAMADA VEGETAL, VEGETAÇÃO E PEQUENAS ÁRVORES (DIÂMETRO DE TRONCO MENOR QUE 0,20 M), COM TRATOR DE ESTEIRAS. AF_03/2024</v>
      </c>
      <c r="F23" s="165" t="str">
        <f ca="1">IF(RegimeExecucao="Global","",ORÇAMENTO.Unidade)</f>
        <v>M2</v>
      </c>
      <c r="G23" s="123">
        <f ca="1">IF(RegimeExecucao="Global","",ORÇAMENTO!T23)</f>
        <v>3710</v>
      </c>
      <c r="H23" s="123">
        <f ca="1">IF(RegimeExecucao="Global","",ORÇAMENTO!W23)</f>
        <v>0</v>
      </c>
      <c r="I23" s="126">
        <f ca="1">ORÇAMENTO!X23</f>
        <v>0</v>
      </c>
      <c r="J23" s="334" t="e" cm="1">
        <f t="array" aca="1" ref="J23" ca="1">_xlfn.SINGLE(IF($A23="S",IF(CAIXA.Modo,BM.AFAnterior,BM.MEDAnterior),IF(AND(_xlfn.SINGLE(RegimeExecucao)="Global",$I23&gt;0,COUNTIF($AB$13:$AM$13,BM.medicao-1)&gt;0),M23/$I23*100,0)))</f>
        <v>#NAME?</v>
      </c>
      <c r="K23" s="123" t="e">
        <f t="shared" ca="1" si="3"/>
        <v>#NAME?</v>
      </c>
      <c r="L23" s="335" t="e" cm="1">
        <f t="array" aca="1" ref="L23" ca="1">_xlfn.SINGLE(IF($A23="S",IF(CAIXA.Modo,BM.AFAcumulado,BM.MEDAcumulado),IF(AND(_xlfn.SINGLE(RegimeExecucao)="Global",$I23&gt;0,COUNTIF($AB$13:$AM$13,BM.medicao)&gt;0),O23/$I23*100,0)))</f>
        <v>#NAME?</v>
      </c>
      <c r="M23" s="336">
        <f ca="1">IF($A23="S",VTOTALBM,IF($A23=0,0,ROUND(SomaAgrupBM,15-13*ORÇAMENTO!$AF$11)))</f>
        <v>0</v>
      </c>
      <c r="N23" s="337">
        <f t="shared" ca="1" si="4"/>
        <v>0</v>
      </c>
      <c r="O23" s="126">
        <f ca="1">IF($A23="S",VTOTALBM,IF($A23=0,0,ROUND(SomaAgrupBM,15-13*ORÇAMENTO!$AF$11)))</f>
        <v>0</v>
      </c>
      <c r="Q23" s="338"/>
      <c r="R23" s="339"/>
      <c r="T23" s="118" t="str">
        <f t="shared" ca="1" si="5"/>
        <v/>
      </c>
      <c r="U23" s="164" t="str">
        <f t="shared" ca="1" si="6"/>
        <v/>
      </c>
      <c r="V23" s="165" t="str">
        <f ca="1">IF(AND($W23&gt;0,RegimeExecucao="Unitário"),$F23,"")</f>
        <v/>
      </c>
      <c r="W23" s="455">
        <f ca="1">IF($Y23&gt;0,CHOOSE(MATCH(RegimeExecucao,{"Unitário","Global"},0),IF($A23="S",$Y23/$X23,""),($Y23/$X23)*100),0)</f>
        <v>0</v>
      </c>
      <c r="X23" s="340" t="str">
        <f ca="1">IF($Y23&gt;0,CHOOSE(MATCH(RegimeExecucao,{"Unitário","Global"},0),IF($A23="S",ROUND($H23,ORÇAMENTO!$AF$10),""),ROUND($I23,ORÇAMENTO!$AF$11)),"")</f>
        <v/>
      </c>
      <c r="Y23" s="340">
        <f t="shared" ca="1" si="7"/>
        <v>0</v>
      </c>
      <c r="Z23" s="474"/>
      <c r="AB23" s="338"/>
      <c r="AC23" s="438"/>
      <c r="AD23" s="438"/>
      <c r="AE23" s="438"/>
      <c r="AF23" s="438"/>
      <c r="AG23" s="438"/>
      <c r="AH23" s="438"/>
      <c r="AI23" s="438"/>
      <c r="AJ23" s="438"/>
      <c r="AK23" s="438"/>
      <c r="AL23" s="438"/>
      <c r="AM23" s="339"/>
      <c r="AO23">
        <f ca="1">IF($A23="S",IF(BM!$I23=0,0,CHOOSE(MATCH(RegimeExecucao,{"Global","Unitário"},0),ROUND(ROUND(BM.MEDAcumulado,15-13*BM!$A$9)/100*BM!$I23,15-13*ORÇAMENTO!$AF$11),ROUND(ROUND(BM.MEDAcumulado,15-13*BM!$A$9)*ROUND(BM!$H23,15-13*ORÇAMENTO!$AF$10),15-13*ORÇAMENTO!$AF$11))),IF($A23=0,0,ROUND(SomaAgrupBM,15-13*ORÇAMENTO!$AF$11)))</f>
        <v>0</v>
      </c>
    </row>
    <row r="24" spans="1:41" x14ac:dyDescent="0.2">
      <c r="A24" t="str">
        <f ca="1">ORÇAMENTO!C24</f>
        <v>S</v>
      </c>
      <c r="B24">
        <f ca="1">ORÇAMENTO!D24</f>
        <v>0</v>
      </c>
      <c r="C24" s="115" t="str">
        <f t="shared" ca="1" si="1"/>
        <v/>
      </c>
      <c r="D24" s="118" t="str">
        <f ca="1">ORÇAMENTO!O24</f>
        <v>-</v>
      </c>
      <c r="E24" s="164" t="str">
        <f t="shared" si="2"/>
        <v>LOCAÇÃO DE CONTAINER PARA ALMOXARIFADO</v>
      </c>
      <c r="F24" s="165" t="str">
        <f ca="1">IF(RegimeExecucao="Global","",ORÇAMENTO.Unidade)</f>
        <v>Mês</v>
      </c>
      <c r="G24" s="123">
        <f ca="1">IF(RegimeExecucao="Global","",ORÇAMENTO!T24)</f>
        <v>6</v>
      </c>
      <c r="H24" s="123">
        <f ca="1">IF(RegimeExecucao="Global","",ORÇAMENTO!W24)</f>
        <v>0</v>
      </c>
      <c r="I24" s="126">
        <f ca="1">ORÇAMENTO!X24</f>
        <v>0</v>
      </c>
      <c r="J24" s="334" t="e" cm="1">
        <f t="array" aca="1" ref="J24" ca="1">_xlfn.SINGLE(IF($A24="S",IF(CAIXA.Modo,BM.AFAnterior,BM.MEDAnterior),IF(AND(_xlfn.SINGLE(RegimeExecucao)="Global",$I24&gt;0,COUNTIF($AB$13:$AM$13,BM.medicao-1)&gt;0),M24/$I24*100,0)))</f>
        <v>#NAME?</v>
      </c>
      <c r="K24" s="123" t="e">
        <f t="shared" ca="1" si="3"/>
        <v>#NAME?</v>
      </c>
      <c r="L24" s="335" t="e" cm="1">
        <f t="array" aca="1" ref="L24" ca="1">_xlfn.SINGLE(IF($A24="S",IF(CAIXA.Modo,BM.AFAcumulado,BM.MEDAcumulado),IF(AND(_xlfn.SINGLE(RegimeExecucao)="Global",$I24&gt;0,COUNTIF($AB$13:$AM$13,BM.medicao)&gt;0),O24/$I24*100,0)))</f>
        <v>#NAME?</v>
      </c>
      <c r="M24" s="336">
        <f ca="1">IF($A24="S",VTOTALBM,IF($A24=0,0,ROUND(SomaAgrupBM,15-13*ORÇAMENTO!$AF$11)))</f>
        <v>0</v>
      </c>
      <c r="N24" s="337">
        <f t="shared" ca="1" si="4"/>
        <v>0</v>
      </c>
      <c r="O24" s="126">
        <f ca="1">IF($A24="S",VTOTALBM,IF($A24=0,0,ROUND(SomaAgrupBM,15-13*ORÇAMENTO!$AF$11)))</f>
        <v>0</v>
      </c>
      <c r="Q24" s="338"/>
      <c r="R24" s="339"/>
      <c r="T24" s="118" t="str">
        <f t="shared" ca="1" si="5"/>
        <v/>
      </c>
      <c r="U24" s="164" t="str">
        <f t="shared" ca="1" si="6"/>
        <v/>
      </c>
      <c r="V24" s="165" t="str">
        <f ca="1">IF(AND($W24&gt;0,RegimeExecucao="Unitário"),$F24,"")</f>
        <v/>
      </c>
      <c r="W24" s="455">
        <f ca="1">IF($Y24&gt;0,CHOOSE(MATCH(RegimeExecucao,{"Unitário","Global"},0),IF($A24="S",$Y24/$X24,""),($Y24/$X24)*100),0)</f>
        <v>0</v>
      </c>
      <c r="X24" s="340" t="str">
        <f ca="1">IF($Y24&gt;0,CHOOSE(MATCH(RegimeExecucao,{"Unitário","Global"},0),IF($A24="S",ROUND($H24,ORÇAMENTO!$AF$10),""),ROUND($I24,ORÇAMENTO!$AF$11)),"")</f>
        <v/>
      </c>
      <c r="Y24" s="340">
        <f t="shared" ca="1" si="7"/>
        <v>0</v>
      </c>
      <c r="Z24" s="474"/>
      <c r="AB24" s="338"/>
      <c r="AC24" s="438"/>
      <c r="AD24" s="438"/>
      <c r="AE24" s="438"/>
      <c r="AF24" s="438"/>
      <c r="AG24" s="438"/>
      <c r="AH24" s="438"/>
      <c r="AI24" s="438"/>
      <c r="AJ24" s="438"/>
      <c r="AK24" s="438"/>
      <c r="AL24" s="438"/>
      <c r="AM24" s="339"/>
      <c r="AO24">
        <f ca="1">IF($A24="S",IF(BM!$I24=0,0,CHOOSE(MATCH(RegimeExecucao,{"Global","Unitário"},0),ROUND(ROUND(BM.MEDAcumulado,15-13*BM!$A$9)/100*BM!$I24,15-13*ORÇAMENTO!$AF$11),ROUND(ROUND(BM.MEDAcumulado,15-13*BM!$A$9)*ROUND(BM!$H24,15-13*ORÇAMENTO!$AF$10),15-13*ORÇAMENTO!$AF$11))),IF($A24=0,0,ROUND(SomaAgrupBM,15-13*ORÇAMENTO!$AF$11)))</f>
        <v>0</v>
      </c>
    </row>
    <row r="25" spans="1:41" x14ac:dyDescent="0.2">
      <c r="A25" t="str">
        <f ca="1">ORÇAMENTO!C25</f>
        <v>S</v>
      </c>
      <c r="B25">
        <f ca="1">ORÇAMENTO!D25</f>
        <v>0</v>
      </c>
      <c r="C25" s="115" t="str">
        <f t="shared" ca="1" si="1"/>
        <v/>
      </c>
      <c r="D25" s="118" t="str">
        <f ca="1">ORÇAMENTO!O25</f>
        <v>-</v>
      </c>
      <c r="E25" s="164" t="str">
        <f t="shared" si="2"/>
        <v>ALMOXARIFE COM ENCARGOS COMPLEMENTARES</v>
      </c>
      <c r="F25" s="165" t="str">
        <f ca="1">IF(RegimeExecucao="Global","",ORÇAMENTO.Unidade)</f>
        <v>MES</v>
      </c>
      <c r="G25" s="123">
        <f ca="1">IF(RegimeExecucao="Global","",ORÇAMENTO!T25)</f>
        <v>6</v>
      </c>
      <c r="H25" s="123">
        <f ca="1">IF(RegimeExecucao="Global","",ORÇAMENTO!W25)</f>
        <v>0</v>
      </c>
      <c r="I25" s="126">
        <f ca="1">ORÇAMENTO!X25</f>
        <v>0</v>
      </c>
      <c r="J25" s="334" t="e" cm="1">
        <f t="array" aca="1" ref="J25" ca="1">_xlfn.SINGLE(IF($A25="S",IF(CAIXA.Modo,BM.AFAnterior,BM.MEDAnterior),IF(AND(_xlfn.SINGLE(RegimeExecucao)="Global",$I25&gt;0,COUNTIF($AB$13:$AM$13,BM.medicao-1)&gt;0),M25/$I25*100,0)))</f>
        <v>#NAME?</v>
      </c>
      <c r="K25" s="123" t="e">
        <f t="shared" ca="1" si="3"/>
        <v>#NAME?</v>
      </c>
      <c r="L25" s="335" t="e" cm="1">
        <f t="array" aca="1" ref="L25" ca="1">_xlfn.SINGLE(IF($A25="S",IF(CAIXA.Modo,BM.AFAcumulado,BM.MEDAcumulado),IF(AND(_xlfn.SINGLE(RegimeExecucao)="Global",$I25&gt;0,COUNTIF($AB$13:$AM$13,BM.medicao)&gt;0),O25/$I25*100,0)))</f>
        <v>#NAME?</v>
      </c>
      <c r="M25" s="336">
        <f ca="1">IF($A25="S",VTOTALBM,IF($A25=0,0,ROUND(SomaAgrupBM,15-13*ORÇAMENTO!$AF$11)))</f>
        <v>0</v>
      </c>
      <c r="N25" s="337">
        <f t="shared" ca="1" si="4"/>
        <v>0</v>
      </c>
      <c r="O25" s="126">
        <f ca="1">IF($A25="S",VTOTALBM,IF($A25=0,0,ROUND(SomaAgrupBM,15-13*ORÇAMENTO!$AF$11)))</f>
        <v>0</v>
      </c>
      <c r="Q25" s="338"/>
      <c r="R25" s="339"/>
      <c r="T25" s="118" t="str">
        <f t="shared" ca="1" si="5"/>
        <v/>
      </c>
      <c r="U25" s="164" t="str">
        <f t="shared" ca="1" si="6"/>
        <v/>
      </c>
      <c r="V25" s="165" t="str">
        <f ca="1">IF(AND($W25&gt;0,RegimeExecucao="Unitário"),$F25,"")</f>
        <v/>
      </c>
      <c r="W25" s="455">
        <f ca="1">IF($Y25&gt;0,CHOOSE(MATCH(RegimeExecucao,{"Unitário","Global"},0),IF($A25="S",$Y25/$X25,""),($Y25/$X25)*100),0)</f>
        <v>0</v>
      </c>
      <c r="X25" s="340" t="str">
        <f ca="1">IF($Y25&gt;0,CHOOSE(MATCH(RegimeExecucao,{"Unitário","Global"},0),IF($A25="S",ROUND($H25,ORÇAMENTO!$AF$10),""),ROUND($I25,ORÇAMENTO!$AF$11)),"")</f>
        <v/>
      </c>
      <c r="Y25" s="340">
        <f t="shared" ca="1" si="7"/>
        <v>0</v>
      </c>
      <c r="Z25" s="474"/>
      <c r="AB25" s="338"/>
      <c r="AC25" s="438"/>
      <c r="AD25" s="438"/>
      <c r="AE25" s="438"/>
      <c r="AF25" s="438"/>
      <c r="AG25" s="438"/>
      <c r="AH25" s="438"/>
      <c r="AI25" s="438"/>
      <c r="AJ25" s="438"/>
      <c r="AK25" s="438"/>
      <c r="AL25" s="438"/>
      <c r="AM25" s="339"/>
      <c r="AO25">
        <f ca="1">IF($A25="S",IF(BM!$I25=0,0,CHOOSE(MATCH(RegimeExecucao,{"Global","Unitário"},0),ROUND(ROUND(BM.MEDAcumulado,15-13*BM!$A$9)/100*BM!$I25,15-13*ORÇAMENTO!$AF$11),ROUND(ROUND(BM.MEDAcumulado,15-13*BM!$A$9)*ROUND(BM!$H25,15-13*ORÇAMENTO!$AF$10),15-13*ORÇAMENTO!$AF$11))),IF($A25=0,0,ROUND(SomaAgrupBM,15-13*ORÇAMENTO!$AF$11)))</f>
        <v>0</v>
      </c>
    </row>
    <row r="26" spans="1:41" x14ac:dyDescent="0.2">
      <c r="A26" t="str">
        <f ca="1">ORÇAMENTO!C26</f>
        <v>S</v>
      </c>
      <c r="B26">
        <f ca="1">ORÇAMENTO!D26</f>
        <v>0</v>
      </c>
      <c r="C26" s="115" t="str">
        <f t="shared" ca="1" si="1"/>
        <v/>
      </c>
      <c r="D26" s="118" t="str">
        <f ca="1">ORÇAMENTO!O26</f>
        <v>-</v>
      </c>
      <c r="E26" s="164" t="str">
        <f t="shared" si="2"/>
        <v>INSTALAÇÃO PROVIS. UNIS. SANIT. C/ 5,00 m²</v>
      </c>
      <c r="F26" s="165" t="str">
        <f ca="1">IF(RegimeExecucao="Global","",ORÇAMENTO.Unidade)</f>
        <v>UN</v>
      </c>
      <c r="G26" s="123">
        <f ca="1">IF(RegimeExecucao="Global","",ORÇAMENTO!T26)</f>
        <v>2</v>
      </c>
      <c r="H26" s="123">
        <f ca="1">IF(RegimeExecucao="Global","",ORÇAMENTO!W26)</f>
        <v>0</v>
      </c>
      <c r="I26" s="126">
        <f ca="1">ORÇAMENTO!X26</f>
        <v>0</v>
      </c>
      <c r="J26" s="334" t="e" cm="1">
        <f t="array" aca="1" ref="J26" ca="1">_xlfn.SINGLE(IF($A26="S",IF(CAIXA.Modo,BM.AFAnterior,BM.MEDAnterior),IF(AND(_xlfn.SINGLE(RegimeExecucao)="Global",$I26&gt;0,COUNTIF($AB$13:$AM$13,BM.medicao-1)&gt;0),M26/$I26*100,0)))</f>
        <v>#NAME?</v>
      </c>
      <c r="K26" s="123" t="e">
        <f t="shared" ca="1" si="3"/>
        <v>#NAME?</v>
      </c>
      <c r="L26" s="335" t="e" cm="1">
        <f t="array" aca="1" ref="L26" ca="1">_xlfn.SINGLE(IF($A26="S",IF(CAIXA.Modo,BM.AFAcumulado,BM.MEDAcumulado),IF(AND(_xlfn.SINGLE(RegimeExecucao)="Global",$I26&gt;0,COUNTIF($AB$13:$AM$13,BM.medicao)&gt;0),O26/$I26*100,0)))</f>
        <v>#NAME?</v>
      </c>
      <c r="M26" s="336">
        <f ca="1">IF($A26="S",VTOTALBM,IF($A26=0,0,ROUND(SomaAgrupBM,15-13*ORÇAMENTO!$AF$11)))</f>
        <v>0</v>
      </c>
      <c r="N26" s="337">
        <f t="shared" ca="1" si="4"/>
        <v>0</v>
      </c>
      <c r="O26" s="126">
        <f ca="1">IF($A26="S",VTOTALBM,IF($A26=0,0,ROUND(SomaAgrupBM,15-13*ORÇAMENTO!$AF$11)))</f>
        <v>0</v>
      </c>
      <c r="Q26" s="338"/>
      <c r="R26" s="339"/>
      <c r="T26" s="118" t="str">
        <f t="shared" ca="1" si="5"/>
        <v/>
      </c>
      <c r="U26" s="164" t="str">
        <f t="shared" ca="1" si="6"/>
        <v/>
      </c>
      <c r="V26" s="165" t="str">
        <f ca="1">IF(AND($W26&gt;0,RegimeExecucao="Unitário"),$F26,"")</f>
        <v/>
      </c>
      <c r="W26" s="455">
        <f ca="1">IF($Y26&gt;0,CHOOSE(MATCH(RegimeExecucao,{"Unitário","Global"},0),IF($A26="S",$Y26/$X26,""),($Y26/$X26)*100),0)</f>
        <v>0</v>
      </c>
      <c r="X26" s="340" t="str">
        <f ca="1">IF($Y26&gt;0,CHOOSE(MATCH(RegimeExecucao,{"Unitário","Global"},0),IF($A26="S",ROUND($H26,ORÇAMENTO!$AF$10),""),ROUND($I26,ORÇAMENTO!$AF$11)),"")</f>
        <v/>
      </c>
      <c r="Y26" s="340">
        <f t="shared" ca="1" si="7"/>
        <v>0</v>
      </c>
      <c r="Z26" s="474"/>
      <c r="AB26" s="338"/>
      <c r="AC26" s="438"/>
      <c r="AD26" s="438"/>
      <c r="AE26" s="438"/>
      <c r="AF26" s="438"/>
      <c r="AG26" s="438"/>
      <c r="AH26" s="438"/>
      <c r="AI26" s="438"/>
      <c r="AJ26" s="438"/>
      <c r="AK26" s="438"/>
      <c r="AL26" s="438"/>
      <c r="AM26" s="339"/>
      <c r="AO26">
        <f ca="1">IF($A26="S",IF(BM!$I26=0,0,CHOOSE(MATCH(RegimeExecucao,{"Global","Unitário"},0),ROUND(ROUND(BM.MEDAcumulado,15-13*BM!$A$9)/100*BM!$I26,15-13*ORÇAMENTO!$AF$11),ROUND(ROUND(BM.MEDAcumulado,15-13*BM!$A$9)*ROUND(BM!$H26,15-13*ORÇAMENTO!$AF$10),15-13*ORÇAMENTO!$AF$11))),IF($A26=0,0,ROUND(SomaAgrupBM,15-13*ORÇAMENTO!$AF$11)))</f>
        <v>0</v>
      </c>
    </row>
    <row r="27" spans="1:41" x14ac:dyDescent="0.2">
      <c r="A27" t="str">
        <f ca="1">ORÇAMENTO!C27</f>
        <v>S</v>
      </c>
      <c r="B27">
        <f ca="1">ORÇAMENTO!D27</f>
        <v>0</v>
      </c>
      <c r="C27" s="115" t="str">
        <f t="shared" ca="1" si="1"/>
        <v/>
      </c>
      <c r="D27" s="118" t="str">
        <f ca="1">ORÇAMENTO!O27</f>
        <v>-</v>
      </c>
      <c r="E27" s="164" t="str">
        <f t="shared" si="2"/>
        <v>TAPUME COM COMPENSADO DE MADEIRA. AF_03/2024</v>
      </c>
      <c r="F27" s="165" t="str">
        <f ca="1">IF(RegimeExecucao="Global","",ORÇAMENTO.Unidade)</f>
        <v>M2</v>
      </c>
      <c r="G27" s="123">
        <f ca="1">IF(RegimeExecucao="Global","",ORÇAMENTO!T27)</f>
        <v>402.6</v>
      </c>
      <c r="H27" s="123">
        <f ca="1">IF(RegimeExecucao="Global","",ORÇAMENTO!W27)</f>
        <v>0</v>
      </c>
      <c r="I27" s="126">
        <f ca="1">ORÇAMENTO!X27</f>
        <v>0</v>
      </c>
      <c r="J27" s="334" t="e" cm="1">
        <f t="array" aca="1" ref="J27" ca="1">_xlfn.SINGLE(IF($A27="S",IF(CAIXA.Modo,BM.AFAnterior,BM.MEDAnterior),IF(AND(_xlfn.SINGLE(RegimeExecucao)="Global",$I27&gt;0,COUNTIF($AB$13:$AM$13,BM.medicao-1)&gt;0),M27/$I27*100,0)))</f>
        <v>#NAME?</v>
      </c>
      <c r="K27" s="123" t="e">
        <f t="shared" ca="1" si="3"/>
        <v>#NAME?</v>
      </c>
      <c r="L27" s="335" t="e" cm="1">
        <f t="array" aca="1" ref="L27" ca="1">_xlfn.SINGLE(IF($A27="S",IF(CAIXA.Modo,BM.AFAcumulado,BM.MEDAcumulado),IF(AND(_xlfn.SINGLE(RegimeExecucao)="Global",$I27&gt;0,COUNTIF($AB$13:$AM$13,BM.medicao)&gt;0),O27/$I27*100,0)))</f>
        <v>#NAME?</v>
      </c>
      <c r="M27" s="336">
        <f ca="1">IF($A27="S",VTOTALBM,IF($A27=0,0,ROUND(SomaAgrupBM,15-13*ORÇAMENTO!$AF$11)))</f>
        <v>0</v>
      </c>
      <c r="N27" s="337">
        <f t="shared" ca="1" si="4"/>
        <v>0</v>
      </c>
      <c r="O27" s="126">
        <f ca="1">IF($A27="S",VTOTALBM,IF($A27=0,0,ROUND(SomaAgrupBM,15-13*ORÇAMENTO!$AF$11)))</f>
        <v>0</v>
      </c>
      <c r="Q27" s="338"/>
      <c r="R27" s="339"/>
      <c r="T27" s="118" t="str">
        <f t="shared" ca="1" si="5"/>
        <v/>
      </c>
      <c r="U27" s="164" t="str">
        <f t="shared" ca="1" si="6"/>
        <v/>
      </c>
      <c r="V27" s="165" t="str">
        <f ca="1">IF(AND($W27&gt;0,RegimeExecucao="Unitário"),$F27,"")</f>
        <v/>
      </c>
      <c r="W27" s="455">
        <f ca="1">IF($Y27&gt;0,CHOOSE(MATCH(RegimeExecucao,{"Unitário","Global"},0),IF($A27="S",$Y27/$X27,""),($Y27/$X27)*100),0)</f>
        <v>0</v>
      </c>
      <c r="X27" s="340" t="str">
        <f ca="1">IF($Y27&gt;0,CHOOSE(MATCH(RegimeExecucao,{"Unitário","Global"},0),IF($A27="S",ROUND($H27,ORÇAMENTO!$AF$10),""),ROUND($I27,ORÇAMENTO!$AF$11)),"")</f>
        <v/>
      </c>
      <c r="Y27" s="340">
        <f t="shared" ca="1" si="7"/>
        <v>0</v>
      </c>
      <c r="Z27" s="474"/>
      <c r="AB27" s="338"/>
      <c r="AC27" s="438"/>
      <c r="AD27" s="438"/>
      <c r="AE27" s="438"/>
      <c r="AF27" s="438"/>
      <c r="AG27" s="438"/>
      <c r="AH27" s="438"/>
      <c r="AI27" s="438"/>
      <c r="AJ27" s="438"/>
      <c r="AK27" s="438"/>
      <c r="AL27" s="438"/>
      <c r="AM27" s="339"/>
      <c r="AO27">
        <f ca="1">IF($A27="S",IF(BM!$I27=0,0,CHOOSE(MATCH(RegimeExecucao,{"Global","Unitário"},0),ROUND(ROUND(BM.MEDAcumulado,15-13*BM!$A$9)/100*BM!$I27,15-13*ORÇAMENTO!$AF$11),ROUND(ROUND(BM.MEDAcumulado,15-13*BM!$A$9)*ROUND(BM!$H27,15-13*ORÇAMENTO!$AF$10),15-13*ORÇAMENTO!$AF$11))),IF($A27=0,0,ROUND(SomaAgrupBM,15-13*ORÇAMENTO!$AF$11)))</f>
        <v>0</v>
      </c>
    </row>
    <row r="28" spans="1:41" x14ac:dyDescent="0.2">
      <c r="A28">
        <f ca="1">ORÇAMENTO!C28</f>
        <v>2</v>
      </c>
      <c r="B28">
        <f ca="1">ORÇAMENTO!D28</f>
        <v>6</v>
      </c>
      <c r="C28" s="115" t="str">
        <f t="shared" ca="1" si="1"/>
        <v>F</v>
      </c>
      <c r="D28" s="118" t="str">
        <f ca="1">ORÇAMENTO!O28</f>
        <v>1.3.</v>
      </c>
      <c r="E28" s="164" t="str">
        <f t="shared" si="2"/>
        <v>FUNDAÇÃO</v>
      </c>
      <c r="F28" s="165" t="str">
        <f ca="1">IF(RegimeExecucao="Global","",ORÇAMENTO.Unidade)</f>
        <v>-</v>
      </c>
      <c r="G28" s="123">
        <f ca="1">IF(RegimeExecucao="Global","",ORÇAMENTO!T28)</f>
        <v>0</v>
      </c>
      <c r="H28" s="123">
        <f ca="1">IF(RegimeExecucao="Global","",ORÇAMENTO!W28)</f>
        <v>0</v>
      </c>
      <c r="I28" s="126">
        <f ca="1">ORÇAMENTO!X28</f>
        <v>0</v>
      </c>
      <c r="J28" s="334" t="e" cm="1">
        <f t="array" aca="1" ref="J28" ca="1">_xlfn.SINGLE(IF($A28="S",IF(CAIXA.Modo,BM.AFAnterior,BM.MEDAnterior),IF(AND(_xlfn.SINGLE(RegimeExecucao)="Global",$I28&gt;0,COUNTIF($AB$13:$AM$13,BM.medicao-1)&gt;0),M28/$I28*100,0)))</f>
        <v>#NAME?</v>
      </c>
      <c r="K28" s="123" t="e">
        <f t="shared" ca="1" si="3"/>
        <v>#NAME?</v>
      </c>
      <c r="L28" s="335" t="e" cm="1">
        <f t="array" aca="1" ref="L28" ca="1">_xlfn.SINGLE(IF($A28="S",IF(CAIXA.Modo,BM.AFAcumulado,BM.MEDAcumulado),IF(AND(_xlfn.SINGLE(RegimeExecucao)="Global",$I28&gt;0,COUNTIF($AB$13:$AM$13,BM.medicao)&gt;0),O28/$I28*100,0)))</f>
        <v>#NAME?</v>
      </c>
      <c r="M28" s="336">
        <f ca="1">IF($A28="S",VTOTALBM,IF($A28=0,0,ROUND(SomaAgrupBM,15-13*ORÇAMENTO!$AF$11)))</f>
        <v>0</v>
      </c>
      <c r="N28" s="337">
        <f t="shared" ca="1" si="4"/>
        <v>0</v>
      </c>
      <c r="O28" s="126">
        <f ca="1">IF($A28="S",VTOTALBM,IF($A28=0,0,ROUND(SomaAgrupBM,15-13*ORÇAMENTO!$AF$11)))</f>
        <v>0</v>
      </c>
      <c r="Q28" s="338"/>
      <c r="R28" s="339"/>
      <c r="T28" s="118" t="str">
        <f t="shared" ca="1" si="5"/>
        <v/>
      </c>
      <c r="U28" s="164" t="str">
        <f t="shared" ca="1" si="6"/>
        <v/>
      </c>
      <c r="V28" s="165" t="str">
        <f ca="1">IF(AND($W28&gt;0,RegimeExecucao="Unitário"),$F28,"")</f>
        <v/>
      </c>
      <c r="W28" s="455">
        <f ca="1">IF($Y28&gt;0,CHOOSE(MATCH(RegimeExecucao,{"Unitário","Global"},0),IF($A28="S",$Y28/$X28,""),($Y28/$X28)*100),0)</f>
        <v>0</v>
      </c>
      <c r="X28" s="340" t="str">
        <f ca="1">IF($Y28&gt;0,CHOOSE(MATCH(RegimeExecucao,{"Unitário","Global"},0),IF($A28="S",ROUND($H28,ORÇAMENTO!$AF$10),""),ROUND($I28,ORÇAMENTO!$AF$11)),"")</f>
        <v/>
      </c>
      <c r="Y28" s="340">
        <f t="shared" ca="1" si="7"/>
        <v>0</v>
      </c>
      <c r="Z28" s="474"/>
      <c r="AB28" s="338"/>
      <c r="AC28" s="438"/>
      <c r="AD28" s="438"/>
      <c r="AE28" s="438"/>
      <c r="AF28" s="438"/>
      <c r="AG28" s="438"/>
      <c r="AH28" s="438"/>
      <c r="AI28" s="438"/>
      <c r="AJ28" s="438"/>
      <c r="AK28" s="438"/>
      <c r="AL28" s="438"/>
      <c r="AM28" s="339"/>
      <c r="AO28">
        <f ca="1">IF($A28="S",IF(BM!$I28=0,0,CHOOSE(MATCH(RegimeExecucao,{"Global","Unitário"},0),ROUND(ROUND(BM.MEDAcumulado,15-13*BM!$A$9)/100*BM!$I28,15-13*ORÇAMENTO!$AF$11),ROUND(ROUND(BM.MEDAcumulado,15-13*BM!$A$9)*ROUND(BM!$H28,15-13*ORÇAMENTO!$AF$10),15-13*ORÇAMENTO!$AF$11))),IF($A28=0,0,ROUND(SomaAgrupBM,15-13*ORÇAMENTO!$AF$11)))</f>
        <v>0</v>
      </c>
    </row>
    <row r="29" spans="1:41" ht="38.25" x14ac:dyDescent="0.2">
      <c r="A29" t="str">
        <f ca="1">ORÇAMENTO!C29</f>
        <v>S</v>
      </c>
      <c r="B29">
        <f ca="1">ORÇAMENTO!D29</f>
        <v>0</v>
      </c>
      <c r="C29" s="115" t="str">
        <f t="shared" ca="1" si="1"/>
        <v/>
      </c>
      <c r="D29" s="118" t="str">
        <f ca="1">ORÇAMENTO!O29</f>
        <v>-</v>
      </c>
      <c r="E29" s="164" t="str">
        <f t="shared" si="2"/>
        <v>LOCAÇÃO CONVENCIONAL DE OBRA, UTILIZANDO GABARITO DE TÁBUAS CORRIDAS PONTALETADAS A CADA 2,00M -  2 UTILIZAÇÕES. AF_03/2024</v>
      </c>
      <c r="F29" s="165" t="str">
        <f ca="1">IF(RegimeExecucao="Global","",ORÇAMENTO.Unidade)</f>
        <v>M</v>
      </c>
      <c r="G29" s="123">
        <f ca="1">IF(RegimeExecucao="Global","",ORÇAMENTO!T29)</f>
        <v>215</v>
      </c>
      <c r="H29" s="123">
        <f ca="1">IF(RegimeExecucao="Global","",ORÇAMENTO!W29)</f>
        <v>0</v>
      </c>
      <c r="I29" s="126">
        <f ca="1">ORÇAMENTO!X29</f>
        <v>0</v>
      </c>
      <c r="J29" s="334" t="e" cm="1">
        <f t="array" aca="1" ref="J29" ca="1">_xlfn.SINGLE(IF($A29="S",IF(CAIXA.Modo,BM.AFAnterior,BM.MEDAnterior),IF(AND(_xlfn.SINGLE(RegimeExecucao)="Global",$I29&gt;0,COUNTIF($AB$13:$AM$13,BM.medicao-1)&gt;0),M29/$I29*100,0)))</f>
        <v>#NAME?</v>
      </c>
      <c r="K29" s="123" t="e">
        <f t="shared" ca="1" si="3"/>
        <v>#NAME?</v>
      </c>
      <c r="L29" s="335" t="e" cm="1">
        <f t="array" aca="1" ref="L29" ca="1">_xlfn.SINGLE(IF($A29="S",IF(CAIXA.Modo,BM.AFAcumulado,BM.MEDAcumulado),IF(AND(_xlfn.SINGLE(RegimeExecucao)="Global",$I29&gt;0,COUNTIF($AB$13:$AM$13,BM.medicao)&gt;0),O29/$I29*100,0)))</f>
        <v>#NAME?</v>
      </c>
      <c r="M29" s="336">
        <f ca="1">IF($A29="S",VTOTALBM,IF($A29=0,0,ROUND(SomaAgrupBM,15-13*ORÇAMENTO!$AF$11)))</f>
        <v>0</v>
      </c>
      <c r="N29" s="337">
        <f t="shared" ca="1" si="4"/>
        <v>0</v>
      </c>
      <c r="O29" s="126">
        <f ca="1">IF($A29="S",VTOTALBM,IF($A29=0,0,ROUND(SomaAgrupBM,15-13*ORÇAMENTO!$AF$11)))</f>
        <v>0</v>
      </c>
      <c r="Q29" s="338"/>
      <c r="R29" s="339"/>
      <c r="T29" s="118" t="str">
        <f t="shared" ca="1" si="5"/>
        <v/>
      </c>
      <c r="U29" s="164" t="str">
        <f t="shared" ca="1" si="6"/>
        <v/>
      </c>
      <c r="V29" s="165" t="str">
        <f ca="1">IF(AND($W29&gt;0,RegimeExecucao="Unitário"),$F29,"")</f>
        <v/>
      </c>
      <c r="W29" s="455">
        <f ca="1">IF($Y29&gt;0,CHOOSE(MATCH(RegimeExecucao,{"Unitário","Global"},0),IF($A29="S",$Y29/$X29,""),($Y29/$X29)*100),0)</f>
        <v>0</v>
      </c>
      <c r="X29" s="340" t="str">
        <f ca="1">IF($Y29&gt;0,CHOOSE(MATCH(RegimeExecucao,{"Unitário","Global"},0),IF($A29="S",ROUND($H29,ORÇAMENTO!$AF$10),""),ROUND($I29,ORÇAMENTO!$AF$11)),"")</f>
        <v/>
      </c>
      <c r="Y29" s="340">
        <f t="shared" ca="1" si="7"/>
        <v>0</v>
      </c>
      <c r="Z29" s="474"/>
      <c r="AB29" s="338"/>
      <c r="AC29" s="438"/>
      <c r="AD29" s="438"/>
      <c r="AE29" s="438"/>
      <c r="AF29" s="438"/>
      <c r="AG29" s="438"/>
      <c r="AH29" s="438"/>
      <c r="AI29" s="438"/>
      <c r="AJ29" s="438"/>
      <c r="AK29" s="438"/>
      <c r="AL29" s="438"/>
      <c r="AM29" s="339"/>
      <c r="AO29">
        <f ca="1">IF($A29="S",IF(BM!$I29=0,0,CHOOSE(MATCH(RegimeExecucao,{"Global","Unitário"},0),ROUND(ROUND(BM.MEDAcumulado,15-13*BM!$A$9)/100*BM!$I29,15-13*ORÇAMENTO!$AF$11),ROUND(ROUND(BM.MEDAcumulado,15-13*BM!$A$9)*ROUND(BM!$H29,15-13*ORÇAMENTO!$AF$10),15-13*ORÇAMENTO!$AF$11))),IF($A29=0,0,ROUND(SomaAgrupBM,15-13*ORÇAMENTO!$AF$11)))</f>
        <v>0</v>
      </c>
    </row>
    <row r="30" spans="1:41" ht="25.5" x14ac:dyDescent="0.2">
      <c r="A30" t="str">
        <f ca="1">ORÇAMENTO!C30</f>
        <v>S</v>
      </c>
      <c r="B30">
        <f ca="1">ORÇAMENTO!D30</f>
        <v>0</v>
      </c>
      <c r="C30" s="115" t="str">
        <f t="shared" ca="1" si="1"/>
        <v/>
      </c>
      <c r="D30" s="118" t="str">
        <f ca="1">ORÇAMENTO!O30</f>
        <v>-</v>
      </c>
      <c r="E30" s="164" t="str">
        <f t="shared" si="2"/>
        <v>EXECUÇÃO DE RADIER, ESPESSURA DE 15 CM, FCK = 30 MPA, COM USO DE FORMAS EM MADEIRA SERRADA. AF_09/2021</v>
      </c>
      <c r="F30" s="165" t="str">
        <f ca="1">IF(RegimeExecucao="Global","",ORÇAMENTO.Unidade)</f>
        <v>M2</v>
      </c>
      <c r="G30" s="123">
        <f ca="1">IF(RegimeExecucao="Global","",ORÇAMENTO!T30)</f>
        <v>935.72</v>
      </c>
      <c r="H30" s="123">
        <f ca="1">IF(RegimeExecucao="Global","",ORÇAMENTO!W30)</f>
        <v>0</v>
      </c>
      <c r="I30" s="126">
        <f ca="1">ORÇAMENTO!X30</f>
        <v>0</v>
      </c>
      <c r="J30" s="334" t="e" cm="1">
        <f t="array" aca="1" ref="J30" ca="1">_xlfn.SINGLE(IF($A30="S",IF(CAIXA.Modo,BM.AFAnterior,BM.MEDAnterior),IF(AND(_xlfn.SINGLE(RegimeExecucao)="Global",$I30&gt;0,COUNTIF($AB$13:$AM$13,BM.medicao-1)&gt;0),M30/$I30*100,0)))</f>
        <v>#NAME?</v>
      </c>
      <c r="K30" s="123" t="e">
        <f t="shared" ca="1" si="3"/>
        <v>#NAME?</v>
      </c>
      <c r="L30" s="335" t="e" cm="1">
        <f t="array" aca="1" ref="L30" ca="1">_xlfn.SINGLE(IF($A30="S",IF(CAIXA.Modo,BM.AFAcumulado,BM.MEDAcumulado),IF(AND(_xlfn.SINGLE(RegimeExecucao)="Global",$I30&gt;0,COUNTIF($AB$13:$AM$13,BM.medicao)&gt;0),O30/$I30*100,0)))</f>
        <v>#NAME?</v>
      </c>
      <c r="M30" s="336">
        <f ca="1">IF($A30="S",VTOTALBM,IF($A30=0,0,ROUND(SomaAgrupBM,15-13*ORÇAMENTO!$AF$11)))</f>
        <v>0</v>
      </c>
      <c r="N30" s="337">
        <f t="shared" ca="1" si="4"/>
        <v>0</v>
      </c>
      <c r="O30" s="126">
        <f ca="1">IF($A30="S",VTOTALBM,IF($A30=0,0,ROUND(SomaAgrupBM,15-13*ORÇAMENTO!$AF$11)))</f>
        <v>0</v>
      </c>
      <c r="Q30" s="338"/>
      <c r="R30" s="339"/>
      <c r="T30" s="118" t="str">
        <f t="shared" ca="1" si="5"/>
        <v/>
      </c>
      <c r="U30" s="164" t="str">
        <f t="shared" ca="1" si="6"/>
        <v/>
      </c>
      <c r="V30" s="165" t="str">
        <f ca="1">IF(AND($W30&gt;0,RegimeExecucao="Unitário"),$F30,"")</f>
        <v/>
      </c>
      <c r="W30" s="455">
        <f ca="1">IF($Y30&gt;0,CHOOSE(MATCH(RegimeExecucao,{"Unitário","Global"},0),IF($A30="S",$Y30/$X30,""),($Y30/$X30)*100),0)</f>
        <v>0</v>
      </c>
      <c r="X30" s="340" t="str">
        <f ca="1">IF($Y30&gt;0,CHOOSE(MATCH(RegimeExecucao,{"Unitário","Global"},0),IF($A30="S",ROUND($H30,ORÇAMENTO!$AF$10),""),ROUND($I30,ORÇAMENTO!$AF$11)),"")</f>
        <v/>
      </c>
      <c r="Y30" s="340">
        <f t="shared" ca="1" si="7"/>
        <v>0</v>
      </c>
      <c r="Z30" s="474"/>
      <c r="AB30" s="338"/>
      <c r="AC30" s="438"/>
      <c r="AD30" s="438"/>
      <c r="AE30" s="438"/>
      <c r="AF30" s="438"/>
      <c r="AG30" s="438"/>
      <c r="AH30" s="438"/>
      <c r="AI30" s="438"/>
      <c r="AJ30" s="438"/>
      <c r="AK30" s="438"/>
      <c r="AL30" s="438"/>
      <c r="AM30" s="339"/>
      <c r="AO30">
        <f ca="1">IF($A30="S",IF(BM!$I30=0,0,CHOOSE(MATCH(RegimeExecucao,{"Global","Unitário"},0),ROUND(ROUND(BM.MEDAcumulado,15-13*BM!$A$9)/100*BM!$I30,15-13*ORÇAMENTO!$AF$11),ROUND(ROUND(BM.MEDAcumulado,15-13*BM!$A$9)*ROUND(BM!$H30,15-13*ORÇAMENTO!$AF$10),15-13*ORÇAMENTO!$AF$11))),IF($A30=0,0,ROUND(SomaAgrupBM,15-13*ORÇAMENTO!$AF$11)))</f>
        <v>0</v>
      </c>
    </row>
    <row r="31" spans="1:41" ht="25.5" x14ac:dyDescent="0.2">
      <c r="A31" t="str">
        <f ca="1">ORÇAMENTO!C31</f>
        <v>S</v>
      </c>
      <c r="B31">
        <f ca="1">ORÇAMENTO!D31</f>
        <v>0</v>
      </c>
      <c r="C31" s="115" t="str">
        <f t="shared" ca="1" si="1"/>
        <v/>
      </c>
      <c r="D31" s="118" t="str">
        <f ca="1">ORÇAMENTO!O31</f>
        <v>-</v>
      </c>
      <c r="E31" s="164" t="str">
        <f t="shared" si="2"/>
        <v>EXECUÇÃO DE RADIER, ESPESSURA DE 25 CM, FCK = 30 MPA, COM USO DE FORMAS EM MADEIRA SERRADA. AF_09/2021</v>
      </c>
      <c r="F31" s="165" t="str">
        <f ca="1">IF(RegimeExecucao="Global","",ORÇAMENTO.Unidade)</f>
        <v>M2</v>
      </c>
      <c r="G31" s="123">
        <f ca="1">IF(RegimeExecucao="Global","",ORÇAMENTO!T31)</f>
        <v>469.76</v>
      </c>
      <c r="H31" s="123">
        <f ca="1">IF(RegimeExecucao="Global","",ORÇAMENTO!W31)</f>
        <v>0</v>
      </c>
      <c r="I31" s="126">
        <f ca="1">ORÇAMENTO!X31</f>
        <v>0</v>
      </c>
      <c r="J31" s="334" t="e" cm="1">
        <f t="array" aca="1" ref="J31" ca="1">_xlfn.SINGLE(IF($A31="S",IF(CAIXA.Modo,BM.AFAnterior,BM.MEDAnterior),IF(AND(_xlfn.SINGLE(RegimeExecucao)="Global",$I31&gt;0,COUNTIF($AB$13:$AM$13,BM.medicao-1)&gt;0),M31/$I31*100,0)))</f>
        <v>#NAME?</v>
      </c>
      <c r="K31" s="123" t="e">
        <f t="shared" ca="1" si="3"/>
        <v>#NAME?</v>
      </c>
      <c r="L31" s="335" t="e" cm="1">
        <f t="array" aca="1" ref="L31" ca="1">_xlfn.SINGLE(IF($A31="S",IF(CAIXA.Modo,BM.AFAcumulado,BM.MEDAcumulado),IF(AND(_xlfn.SINGLE(RegimeExecucao)="Global",$I31&gt;0,COUNTIF($AB$13:$AM$13,BM.medicao)&gt;0),O31/$I31*100,0)))</f>
        <v>#NAME?</v>
      </c>
      <c r="M31" s="336">
        <f ca="1">IF($A31="S",VTOTALBM,IF($A31=0,0,ROUND(SomaAgrupBM,15-13*ORÇAMENTO!$AF$11)))</f>
        <v>0</v>
      </c>
      <c r="N31" s="337">
        <f t="shared" ca="1" si="4"/>
        <v>0</v>
      </c>
      <c r="O31" s="126">
        <f ca="1">IF($A31="S",VTOTALBM,IF($A31=0,0,ROUND(SomaAgrupBM,15-13*ORÇAMENTO!$AF$11)))</f>
        <v>0</v>
      </c>
      <c r="Q31" s="338"/>
      <c r="R31" s="339"/>
      <c r="T31" s="118" t="str">
        <f t="shared" ca="1" si="5"/>
        <v/>
      </c>
      <c r="U31" s="164" t="str">
        <f t="shared" ca="1" si="6"/>
        <v/>
      </c>
      <c r="V31" s="165" t="str">
        <f ca="1">IF(AND($W31&gt;0,RegimeExecucao="Unitário"),$F31,"")</f>
        <v/>
      </c>
      <c r="W31" s="455">
        <f ca="1">IF($Y31&gt;0,CHOOSE(MATCH(RegimeExecucao,{"Unitário","Global"},0),IF($A31="S",$Y31/$X31,""),($Y31/$X31)*100),0)</f>
        <v>0</v>
      </c>
      <c r="X31" s="340" t="str">
        <f ca="1">IF($Y31&gt;0,CHOOSE(MATCH(RegimeExecucao,{"Unitário","Global"},0),IF($A31="S",ROUND($H31,ORÇAMENTO!$AF$10),""),ROUND($I31,ORÇAMENTO!$AF$11)),"")</f>
        <v/>
      </c>
      <c r="Y31" s="340">
        <f t="shared" ca="1" si="7"/>
        <v>0</v>
      </c>
      <c r="Z31" s="474"/>
      <c r="AB31" s="338"/>
      <c r="AC31" s="438"/>
      <c r="AD31" s="438"/>
      <c r="AE31" s="438"/>
      <c r="AF31" s="438"/>
      <c r="AG31" s="438"/>
      <c r="AH31" s="438"/>
      <c r="AI31" s="438"/>
      <c r="AJ31" s="438"/>
      <c r="AK31" s="438"/>
      <c r="AL31" s="438"/>
      <c r="AM31" s="339"/>
      <c r="AO31">
        <f ca="1">IF($A31="S",IF(BM!$I31=0,0,CHOOSE(MATCH(RegimeExecucao,{"Global","Unitário"},0),ROUND(ROUND(BM.MEDAcumulado,15-13*BM!$A$9)/100*BM!$I31,15-13*ORÇAMENTO!$AF$11),ROUND(ROUND(BM.MEDAcumulado,15-13*BM!$A$9)*ROUND(BM!$H31,15-13*ORÇAMENTO!$AF$10),15-13*ORÇAMENTO!$AF$11))),IF($A31=0,0,ROUND(SomaAgrupBM,15-13*ORÇAMENTO!$AF$11)))</f>
        <v>0</v>
      </c>
    </row>
    <row r="32" spans="1:41" ht="25.5" x14ac:dyDescent="0.2">
      <c r="A32" t="str">
        <f ca="1">ORÇAMENTO!C32</f>
        <v>S</v>
      </c>
      <c r="B32">
        <f ca="1">ORÇAMENTO!D32</f>
        <v>0</v>
      </c>
      <c r="C32" s="115" t="str">
        <f t="shared" ca="1" si="1"/>
        <v/>
      </c>
      <c r="D32" s="118" t="str">
        <f ca="1">ORÇAMENTO!O32</f>
        <v>-</v>
      </c>
      <c r="E32" s="164" t="str">
        <f t="shared" si="2"/>
        <v xml:space="preserve">TUBO PVC SERIE NORMAL, DN 150 MM, PARA ESGOTO PREDIAL (NBR 5688)                                                                                                                                                                                          </v>
      </c>
      <c r="F32" s="165" t="str">
        <f ca="1">IF(RegimeExecucao="Global","",ORÇAMENTO.Unidade)</f>
        <v xml:space="preserve">M     </v>
      </c>
      <c r="G32" s="123">
        <f ca="1">IF(RegimeExecucao="Global","",ORÇAMENTO!T32)</f>
        <v>280</v>
      </c>
      <c r="H32" s="123">
        <f ca="1">IF(RegimeExecucao="Global","",ORÇAMENTO!W32)</f>
        <v>0</v>
      </c>
      <c r="I32" s="126">
        <f ca="1">ORÇAMENTO!X32</f>
        <v>0</v>
      </c>
      <c r="J32" s="334" t="e" cm="1">
        <f t="array" aca="1" ref="J32" ca="1">_xlfn.SINGLE(IF($A32="S",IF(CAIXA.Modo,BM.AFAnterior,BM.MEDAnterior),IF(AND(_xlfn.SINGLE(RegimeExecucao)="Global",$I32&gt;0,COUNTIF($AB$13:$AM$13,BM.medicao-1)&gt;0),M32/$I32*100,0)))</f>
        <v>#NAME?</v>
      </c>
      <c r="K32" s="123" t="e">
        <f t="shared" ca="1" si="3"/>
        <v>#NAME?</v>
      </c>
      <c r="L32" s="335" t="e" cm="1">
        <f t="array" aca="1" ref="L32" ca="1">_xlfn.SINGLE(IF($A32="S",IF(CAIXA.Modo,BM.AFAcumulado,BM.MEDAcumulado),IF(AND(_xlfn.SINGLE(RegimeExecucao)="Global",$I32&gt;0,COUNTIF($AB$13:$AM$13,BM.medicao)&gt;0),O32/$I32*100,0)))</f>
        <v>#NAME?</v>
      </c>
      <c r="M32" s="336">
        <f ca="1">IF($A32="S",VTOTALBM,IF($A32=0,0,ROUND(SomaAgrupBM,15-13*ORÇAMENTO!$AF$11)))</f>
        <v>0</v>
      </c>
      <c r="N32" s="337">
        <f t="shared" ca="1" si="4"/>
        <v>0</v>
      </c>
      <c r="O32" s="126">
        <f ca="1">IF($A32="S",VTOTALBM,IF($A32=0,0,ROUND(SomaAgrupBM,15-13*ORÇAMENTO!$AF$11)))</f>
        <v>0</v>
      </c>
      <c r="Q32" s="338"/>
      <c r="R32" s="339"/>
      <c r="T32" s="118" t="str">
        <f t="shared" ca="1" si="5"/>
        <v/>
      </c>
      <c r="U32" s="164" t="str">
        <f t="shared" ca="1" si="6"/>
        <v/>
      </c>
      <c r="V32" s="165" t="str">
        <f ca="1">IF(AND($W32&gt;0,RegimeExecucao="Unitário"),$F32,"")</f>
        <v/>
      </c>
      <c r="W32" s="455">
        <f ca="1">IF($Y32&gt;0,CHOOSE(MATCH(RegimeExecucao,{"Unitário","Global"},0),IF($A32="S",$Y32/$X32,""),($Y32/$X32)*100),0)</f>
        <v>0</v>
      </c>
      <c r="X32" s="340" t="str">
        <f ca="1">IF($Y32&gt;0,CHOOSE(MATCH(RegimeExecucao,{"Unitário","Global"},0),IF($A32="S",ROUND($H32,ORÇAMENTO!$AF$10),""),ROUND($I32,ORÇAMENTO!$AF$11)),"")</f>
        <v/>
      </c>
      <c r="Y32" s="340">
        <f t="shared" ca="1" si="7"/>
        <v>0</v>
      </c>
      <c r="Z32" s="474"/>
      <c r="AB32" s="338"/>
      <c r="AC32" s="438"/>
      <c r="AD32" s="438"/>
      <c r="AE32" s="438"/>
      <c r="AF32" s="438"/>
      <c r="AG32" s="438"/>
      <c r="AH32" s="438"/>
      <c r="AI32" s="438"/>
      <c r="AJ32" s="438"/>
      <c r="AK32" s="438"/>
      <c r="AL32" s="438"/>
      <c r="AM32" s="339"/>
      <c r="AO32">
        <f ca="1">IF($A32="S",IF(BM!$I32=0,0,CHOOSE(MATCH(RegimeExecucao,{"Global","Unitário"},0),ROUND(ROUND(BM.MEDAcumulado,15-13*BM!$A$9)/100*BM!$I32,15-13*ORÇAMENTO!$AF$11),ROUND(ROUND(BM.MEDAcumulado,15-13*BM!$A$9)*ROUND(BM!$H32,15-13*ORÇAMENTO!$AF$10),15-13*ORÇAMENTO!$AF$11))),IF($A32=0,0,ROUND(SomaAgrupBM,15-13*ORÇAMENTO!$AF$11)))</f>
        <v>0</v>
      </c>
    </row>
    <row r="33" spans="1:41" x14ac:dyDescent="0.2">
      <c r="A33" t="str">
        <f ca="1">ORÇAMENTO!C33</f>
        <v>S</v>
      </c>
      <c r="B33">
        <f ca="1">ORÇAMENTO!D33</f>
        <v>0</v>
      </c>
      <c r="C33" s="115" t="str">
        <f t="shared" ca="1" si="1"/>
        <v/>
      </c>
      <c r="D33" s="118" t="str">
        <f ca="1">ORÇAMENTO!O33</f>
        <v>-</v>
      </c>
      <c r="E33" s="164" t="str">
        <f t="shared" si="2"/>
        <v>AJUDANTE DE PEDREIRO COM ENCARGOS COMPLEMENTARES</v>
      </c>
      <c r="F33" s="165" t="str">
        <f ca="1">IF(RegimeExecucao="Global","",ORÇAMENTO.Unidade)</f>
        <v>H</v>
      </c>
      <c r="G33" s="123">
        <f ca="1">IF(RegimeExecucao="Global","",ORÇAMENTO!T33)</f>
        <v>6</v>
      </c>
      <c r="H33" s="123">
        <f ca="1">IF(RegimeExecucao="Global","",ORÇAMENTO!W33)</f>
        <v>0</v>
      </c>
      <c r="I33" s="126">
        <f ca="1">ORÇAMENTO!X33</f>
        <v>0</v>
      </c>
      <c r="J33" s="334" t="e" cm="1">
        <f t="array" aca="1" ref="J33" ca="1">_xlfn.SINGLE(IF($A33="S",IF(CAIXA.Modo,BM.AFAnterior,BM.MEDAnterior),IF(AND(_xlfn.SINGLE(RegimeExecucao)="Global",$I33&gt;0,COUNTIF($AB$13:$AM$13,BM.medicao-1)&gt;0),M33/$I33*100,0)))</f>
        <v>#NAME?</v>
      </c>
      <c r="K33" s="123" t="e">
        <f t="shared" ca="1" si="3"/>
        <v>#NAME?</v>
      </c>
      <c r="L33" s="335" t="e" cm="1">
        <f t="array" aca="1" ref="L33" ca="1">_xlfn.SINGLE(IF($A33="S",IF(CAIXA.Modo,BM.AFAcumulado,BM.MEDAcumulado),IF(AND(_xlfn.SINGLE(RegimeExecucao)="Global",$I33&gt;0,COUNTIF($AB$13:$AM$13,BM.medicao)&gt;0),O33/$I33*100,0)))</f>
        <v>#NAME?</v>
      </c>
      <c r="M33" s="336">
        <f ca="1">IF($A33="S",VTOTALBM,IF($A33=0,0,ROUND(SomaAgrupBM,15-13*ORÇAMENTO!$AF$11)))</f>
        <v>0</v>
      </c>
      <c r="N33" s="337">
        <f t="shared" ca="1" si="4"/>
        <v>0</v>
      </c>
      <c r="O33" s="126">
        <f ca="1">IF($A33="S",VTOTALBM,IF($A33=0,0,ROUND(SomaAgrupBM,15-13*ORÇAMENTO!$AF$11)))</f>
        <v>0</v>
      </c>
      <c r="Q33" s="338"/>
      <c r="R33" s="339"/>
      <c r="T33" s="118" t="str">
        <f t="shared" ca="1" si="5"/>
        <v/>
      </c>
      <c r="U33" s="164" t="str">
        <f t="shared" ca="1" si="6"/>
        <v/>
      </c>
      <c r="V33" s="165" t="str">
        <f ca="1">IF(AND($W33&gt;0,RegimeExecucao="Unitário"),$F33,"")</f>
        <v/>
      </c>
      <c r="W33" s="455">
        <f ca="1">IF($Y33&gt;0,CHOOSE(MATCH(RegimeExecucao,{"Unitário","Global"},0),IF($A33="S",$Y33/$X33,""),($Y33/$X33)*100),0)</f>
        <v>0</v>
      </c>
      <c r="X33" s="340" t="str">
        <f ca="1">IF($Y33&gt;0,CHOOSE(MATCH(RegimeExecucao,{"Unitário","Global"},0),IF($A33="S",ROUND($H33,ORÇAMENTO!$AF$10),""),ROUND($I33,ORÇAMENTO!$AF$11)),"")</f>
        <v/>
      </c>
      <c r="Y33" s="340">
        <f t="shared" ca="1" si="7"/>
        <v>0</v>
      </c>
      <c r="Z33" s="474"/>
      <c r="AB33" s="338"/>
      <c r="AC33" s="438"/>
      <c r="AD33" s="438"/>
      <c r="AE33" s="438"/>
      <c r="AF33" s="438"/>
      <c r="AG33" s="438"/>
      <c r="AH33" s="438"/>
      <c r="AI33" s="438"/>
      <c r="AJ33" s="438"/>
      <c r="AK33" s="438"/>
      <c r="AL33" s="438"/>
      <c r="AM33" s="339"/>
      <c r="AO33">
        <f ca="1">IF($A33="S",IF(BM!$I33=0,0,CHOOSE(MATCH(RegimeExecucao,{"Global","Unitário"},0),ROUND(ROUND(BM.MEDAcumulado,15-13*BM!$A$9)/100*BM!$I33,15-13*ORÇAMENTO!$AF$11),ROUND(ROUND(BM.MEDAcumulado,15-13*BM!$A$9)*ROUND(BM!$H33,15-13*ORÇAMENTO!$AF$10),15-13*ORÇAMENTO!$AF$11))),IF($A33=0,0,ROUND(SomaAgrupBM,15-13*ORÇAMENTO!$AF$11)))</f>
        <v>0</v>
      </c>
    </row>
    <row r="34" spans="1:41" x14ac:dyDescent="0.2">
      <c r="A34">
        <f ca="1">ORÇAMENTO!C34</f>
        <v>2</v>
      </c>
      <c r="B34">
        <f ca="1">ORÇAMENTO!D34</f>
        <v>3</v>
      </c>
      <c r="C34" s="115" t="str">
        <f t="shared" ca="1" si="1"/>
        <v>F</v>
      </c>
      <c r="D34" s="118" t="str">
        <f ca="1">ORÇAMENTO!O34</f>
        <v>1.4.</v>
      </c>
      <c r="E34" s="164" t="str">
        <f t="shared" si="2"/>
        <v>SISTEMA DE TRATAMENTO DE ESGOTO</v>
      </c>
      <c r="F34" s="165" t="str">
        <f ca="1">IF(RegimeExecucao="Global","",ORÇAMENTO.Unidade)</f>
        <v>-</v>
      </c>
      <c r="G34" s="123">
        <f ca="1">IF(RegimeExecucao="Global","",ORÇAMENTO!T34)</f>
        <v>0</v>
      </c>
      <c r="H34" s="123">
        <f ca="1">IF(RegimeExecucao="Global","",ORÇAMENTO!W34)</f>
        <v>0</v>
      </c>
      <c r="I34" s="126">
        <f ca="1">ORÇAMENTO!X34</f>
        <v>0</v>
      </c>
      <c r="J34" s="334" t="e" cm="1">
        <f t="array" aca="1" ref="J34" ca="1">_xlfn.SINGLE(IF($A34="S",IF(CAIXA.Modo,BM.AFAnterior,BM.MEDAnterior),IF(AND(_xlfn.SINGLE(RegimeExecucao)="Global",$I34&gt;0,COUNTIF($AB$13:$AM$13,BM.medicao-1)&gt;0),M34/$I34*100,0)))</f>
        <v>#NAME?</v>
      </c>
      <c r="K34" s="123" t="e">
        <f t="shared" ca="1" si="3"/>
        <v>#NAME?</v>
      </c>
      <c r="L34" s="335" t="e" cm="1">
        <f t="array" aca="1" ref="L34" ca="1">_xlfn.SINGLE(IF($A34="S",IF(CAIXA.Modo,BM.AFAcumulado,BM.MEDAcumulado),IF(AND(_xlfn.SINGLE(RegimeExecucao)="Global",$I34&gt;0,COUNTIF($AB$13:$AM$13,BM.medicao)&gt;0),O34/$I34*100,0)))</f>
        <v>#NAME?</v>
      </c>
      <c r="M34" s="336">
        <f ca="1">IF($A34="S",VTOTALBM,IF($A34=0,0,ROUND(SomaAgrupBM,15-13*ORÇAMENTO!$AF$11)))</f>
        <v>0</v>
      </c>
      <c r="N34" s="337">
        <f t="shared" ca="1" si="4"/>
        <v>0</v>
      </c>
      <c r="O34" s="126">
        <f ca="1">IF($A34="S",VTOTALBM,IF($A34=0,0,ROUND(SomaAgrupBM,15-13*ORÇAMENTO!$AF$11)))</f>
        <v>0</v>
      </c>
      <c r="Q34" s="338"/>
      <c r="R34" s="339"/>
      <c r="T34" s="118" t="str">
        <f t="shared" ca="1" si="5"/>
        <v/>
      </c>
      <c r="U34" s="164" t="str">
        <f t="shared" ca="1" si="6"/>
        <v/>
      </c>
      <c r="V34" s="165" t="str">
        <f ca="1">IF(AND($W34&gt;0,RegimeExecucao="Unitário"),$F34,"")</f>
        <v/>
      </c>
      <c r="W34" s="455">
        <f ca="1">IF($Y34&gt;0,CHOOSE(MATCH(RegimeExecucao,{"Unitário","Global"},0),IF($A34="S",$Y34/$X34,""),($Y34/$X34)*100),0)</f>
        <v>0</v>
      </c>
      <c r="X34" s="340" t="str">
        <f ca="1">IF($Y34&gt;0,CHOOSE(MATCH(RegimeExecucao,{"Unitário","Global"},0),IF($A34="S",ROUND($H34,ORÇAMENTO!$AF$10),""),ROUND($I34,ORÇAMENTO!$AF$11)),"")</f>
        <v/>
      </c>
      <c r="Y34" s="340">
        <f t="shared" ca="1" si="7"/>
        <v>0</v>
      </c>
      <c r="Z34" s="474"/>
      <c r="AB34" s="338"/>
      <c r="AC34" s="438"/>
      <c r="AD34" s="438"/>
      <c r="AE34" s="438"/>
      <c r="AF34" s="438"/>
      <c r="AG34" s="438"/>
      <c r="AH34" s="438"/>
      <c r="AI34" s="438"/>
      <c r="AJ34" s="438"/>
      <c r="AK34" s="438"/>
      <c r="AL34" s="438"/>
      <c r="AM34" s="339"/>
      <c r="AO34">
        <f ca="1">IF($A34="S",IF(BM!$I34=0,0,CHOOSE(MATCH(RegimeExecucao,{"Global","Unitário"},0),ROUND(ROUND(BM.MEDAcumulado,15-13*BM!$A$9)/100*BM!$I34,15-13*ORÇAMENTO!$AF$11),ROUND(ROUND(BM.MEDAcumulado,15-13*BM!$A$9)*ROUND(BM!$H34,15-13*ORÇAMENTO!$AF$10),15-13*ORÇAMENTO!$AF$11))),IF($A34=0,0,ROUND(SomaAgrupBM,15-13*ORÇAMENTO!$AF$11)))</f>
        <v>0</v>
      </c>
    </row>
    <row r="35" spans="1:41" ht="25.5" x14ac:dyDescent="0.2">
      <c r="A35" t="str">
        <f ca="1">ORÇAMENTO!C35</f>
        <v>S</v>
      </c>
      <c r="B35">
        <f ca="1">ORÇAMENTO!D35</f>
        <v>0</v>
      </c>
      <c r="C35" s="115" t="str">
        <f t="shared" ca="1" si="1"/>
        <v/>
      </c>
      <c r="D35" s="118" t="str">
        <f ca="1">ORÇAMENTO!O35</f>
        <v>-</v>
      </c>
      <c r="E35" s="164" t="str">
        <f t="shared" si="2"/>
        <v>CONJUNTO DE BIOFILTRO ANAERÓBIO 15.000 LITROS E REATOR ANAERÓBIO 15.000 LITROS - FORNECIMENTO E INSTALAÇÃO</v>
      </c>
      <c r="F35" s="165" t="str">
        <f ca="1">IF(RegimeExecucao="Global","",ORÇAMENTO.Unidade)</f>
        <v>CJ</v>
      </c>
      <c r="G35" s="123">
        <f ca="1">IF(RegimeExecucao="Global","",ORÇAMENTO!T35)</f>
        <v>1</v>
      </c>
      <c r="H35" s="123">
        <f ca="1">IF(RegimeExecucao="Global","",ORÇAMENTO!W35)</f>
        <v>0</v>
      </c>
      <c r="I35" s="126">
        <f ca="1">ORÇAMENTO!X35</f>
        <v>0</v>
      </c>
      <c r="J35" s="334" t="e" cm="1">
        <f t="array" aca="1" ref="J35" ca="1">_xlfn.SINGLE(IF($A35="S",IF(CAIXA.Modo,BM.AFAnterior,BM.MEDAnterior),IF(AND(_xlfn.SINGLE(RegimeExecucao)="Global",$I35&gt;0,COUNTIF($AB$13:$AM$13,BM.medicao-1)&gt;0),M35/$I35*100,0)))</f>
        <v>#NAME?</v>
      </c>
      <c r="K35" s="123" t="e">
        <f t="shared" ca="1" si="3"/>
        <v>#NAME?</v>
      </c>
      <c r="L35" s="335" t="e" cm="1">
        <f t="array" aca="1" ref="L35" ca="1">_xlfn.SINGLE(IF($A35="S",IF(CAIXA.Modo,BM.AFAcumulado,BM.MEDAcumulado),IF(AND(_xlfn.SINGLE(RegimeExecucao)="Global",$I35&gt;0,COUNTIF($AB$13:$AM$13,BM.medicao)&gt;0),O35/$I35*100,0)))</f>
        <v>#NAME?</v>
      </c>
      <c r="M35" s="336">
        <f ca="1">IF($A35="S",VTOTALBM,IF($A35=0,0,ROUND(SomaAgrupBM,15-13*ORÇAMENTO!$AF$11)))</f>
        <v>0</v>
      </c>
      <c r="N35" s="337">
        <f t="shared" ca="1" si="4"/>
        <v>0</v>
      </c>
      <c r="O35" s="126">
        <f ca="1">IF($A35="S",VTOTALBM,IF($A35=0,0,ROUND(SomaAgrupBM,15-13*ORÇAMENTO!$AF$11)))</f>
        <v>0</v>
      </c>
      <c r="Q35" s="338"/>
      <c r="R35" s="339"/>
      <c r="T35" s="118" t="str">
        <f t="shared" ca="1" si="5"/>
        <v/>
      </c>
      <c r="U35" s="164" t="str">
        <f t="shared" ca="1" si="6"/>
        <v/>
      </c>
      <c r="V35" s="165" t="str">
        <f ca="1">IF(AND($W35&gt;0,RegimeExecucao="Unitário"),$F35,"")</f>
        <v/>
      </c>
      <c r="W35" s="455">
        <f ca="1">IF($Y35&gt;0,CHOOSE(MATCH(RegimeExecucao,{"Unitário","Global"},0),IF($A35="S",$Y35/$X35,""),($Y35/$X35)*100),0)</f>
        <v>0</v>
      </c>
      <c r="X35" s="340" t="str">
        <f ca="1">IF($Y35&gt;0,CHOOSE(MATCH(RegimeExecucao,{"Unitário","Global"},0),IF($A35="S",ROUND($H35,ORÇAMENTO!$AF$10),""),ROUND($I35,ORÇAMENTO!$AF$11)),"")</f>
        <v/>
      </c>
      <c r="Y35" s="340">
        <f t="shared" ca="1" si="7"/>
        <v>0</v>
      </c>
      <c r="Z35" s="474"/>
      <c r="AB35" s="338"/>
      <c r="AC35" s="438"/>
      <c r="AD35" s="438"/>
      <c r="AE35" s="438"/>
      <c r="AF35" s="438"/>
      <c r="AG35" s="438"/>
      <c r="AH35" s="438"/>
      <c r="AI35" s="438"/>
      <c r="AJ35" s="438"/>
      <c r="AK35" s="438"/>
      <c r="AL35" s="438"/>
      <c r="AM35" s="339"/>
      <c r="AO35">
        <f ca="1">IF($A35="S",IF(BM!$I35=0,0,CHOOSE(MATCH(RegimeExecucao,{"Global","Unitário"},0),ROUND(ROUND(BM.MEDAcumulado,15-13*BM!$A$9)/100*BM!$I35,15-13*ORÇAMENTO!$AF$11),ROUND(ROUND(BM.MEDAcumulado,15-13*BM!$A$9)*ROUND(BM!$H35,15-13*ORÇAMENTO!$AF$10),15-13*ORÇAMENTO!$AF$11))),IF($A35=0,0,ROUND(SomaAgrupBM,15-13*ORÇAMENTO!$AF$11)))</f>
        <v>0</v>
      </c>
    </row>
    <row r="36" spans="1:41" ht="25.5" x14ac:dyDescent="0.2">
      <c r="A36" t="str">
        <f ca="1">ORÇAMENTO!C36</f>
        <v>S</v>
      </c>
      <c r="B36">
        <f ca="1">ORÇAMENTO!D36</f>
        <v>0</v>
      </c>
      <c r="C36" s="115" t="str">
        <f t="shared" ca="1" si="1"/>
        <v/>
      </c>
      <c r="D36" s="118" t="str">
        <f ca="1">ORÇAMENTO!O36</f>
        <v>-</v>
      </c>
      <c r="E36" s="164" t="str">
        <f t="shared" si="2"/>
        <v>CAIXA DE GORDURA EM PVC COM CESTO DE LIMPEZA 21L - FORNECIMENTO E INSTALAÇÃO</v>
      </c>
      <c r="F36" s="165" t="str">
        <f ca="1">IF(RegimeExecucao="Global","",ORÇAMENTO.Unidade)</f>
        <v xml:space="preserve">UN    </v>
      </c>
      <c r="G36" s="123">
        <f ca="1">IF(RegimeExecucao="Global","",ORÇAMENTO!T36)</f>
        <v>2</v>
      </c>
      <c r="H36" s="123">
        <f ca="1">IF(RegimeExecucao="Global","",ORÇAMENTO!W36)</f>
        <v>0</v>
      </c>
      <c r="I36" s="126">
        <f ca="1">ORÇAMENTO!X36</f>
        <v>0</v>
      </c>
      <c r="J36" s="334" t="e" cm="1">
        <f t="array" aca="1" ref="J36" ca="1">_xlfn.SINGLE(IF($A36="S",IF(CAIXA.Modo,BM.AFAnterior,BM.MEDAnterior),IF(AND(_xlfn.SINGLE(RegimeExecucao)="Global",$I36&gt;0,COUNTIF($AB$13:$AM$13,BM.medicao-1)&gt;0),M36/$I36*100,0)))</f>
        <v>#NAME?</v>
      </c>
      <c r="K36" s="123" t="e">
        <f t="shared" ca="1" si="3"/>
        <v>#NAME?</v>
      </c>
      <c r="L36" s="335" t="e" cm="1">
        <f t="array" aca="1" ref="L36" ca="1">_xlfn.SINGLE(IF($A36="S",IF(CAIXA.Modo,BM.AFAcumulado,BM.MEDAcumulado),IF(AND(_xlfn.SINGLE(RegimeExecucao)="Global",$I36&gt;0,COUNTIF($AB$13:$AM$13,BM.medicao)&gt;0),O36/$I36*100,0)))</f>
        <v>#NAME?</v>
      </c>
      <c r="M36" s="336">
        <f ca="1">IF($A36="S",VTOTALBM,IF($A36=0,0,ROUND(SomaAgrupBM,15-13*ORÇAMENTO!$AF$11)))</f>
        <v>0</v>
      </c>
      <c r="N36" s="337">
        <f t="shared" ca="1" si="4"/>
        <v>0</v>
      </c>
      <c r="O36" s="126">
        <f ca="1">IF($A36="S",VTOTALBM,IF($A36=0,0,ROUND(SomaAgrupBM,15-13*ORÇAMENTO!$AF$11)))</f>
        <v>0</v>
      </c>
      <c r="Q36" s="338"/>
      <c r="R36" s="339"/>
      <c r="T36" s="118" t="str">
        <f t="shared" ca="1" si="5"/>
        <v/>
      </c>
      <c r="U36" s="164" t="str">
        <f t="shared" ca="1" si="6"/>
        <v/>
      </c>
      <c r="V36" s="165" t="str">
        <f ca="1">IF(AND($W36&gt;0,RegimeExecucao="Unitário"),$F36,"")</f>
        <v/>
      </c>
      <c r="W36" s="455">
        <f ca="1">IF($Y36&gt;0,CHOOSE(MATCH(RegimeExecucao,{"Unitário","Global"},0),IF($A36="S",$Y36/$X36,""),($Y36/$X36)*100),0)</f>
        <v>0</v>
      </c>
      <c r="X36" s="340" t="str">
        <f ca="1">IF($Y36&gt;0,CHOOSE(MATCH(RegimeExecucao,{"Unitário","Global"},0),IF($A36="S",ROUND($H36,ORÇAMENTO!$AF$10),""),ROUND($I36,ORÇAMENTO!$AF$11)),"")</f>
        <v/>
      </c>
      <c r="Y36" s="340">
        <f t="shared" ca="1" si="7"/>
        <v>0</v>
      </c>
      <c r="Z36" s="474"/>
      <c r="AB36" s="338"/>
      <c r="AC36" s="438"/>
      <c r="AD36" s="438"/>
      <c r="AE36" s="438"/>
      <c r="AF36" s="438"/>
      <c r="AG36" s="438"/>
      <c r="AH36" s="438"/>
      <c r="AI36" s="438"/>
      <c r="AJ36" s="438"/>
      <c r="AK36" s="438"/>
      <c r="AL36" s="438"/>
      <c r="AM36" s="339"/>
      <c r="AO36">
        <f ca="1">IF($A36="S",IF(BM!$I36=0,0,CHOOSE(MATCH(RegimeExecucao,{"Global","Unitário"},0),ROUND(ROUND(BM.MEDAcumulado,15-13*BM!$A$9)/100*BM!$I36,15-13*ORÇAMENTO!$AF$11),ROUND(ROUND(BM.MEDAcumulado,15-13*BM!$A$9)*ROUND(BM!$H36,15-13*ORÇAMENTO!$AF$10),15-13*ORÇAMENTO!$AF$11))),IF($A36=0,0,ROUND(SomaAgrupBM,15-13*ORÇAMENTO!$AF$11)))</f>
        <v>0</v>
      </c>
    </row>
    <row r="37" spans="1:41" x14ac:dyDescent="0.2">
      <c r="A37">
        <f ca="1">ORÇAMENTO!C37</f>
        <v>2</v>
      </c>
      <c r="B37">
        <f ca="1">ORÇAMENTO!D37</f>
        <v>4</v>
      </c>
      <c r="C37" s="115" t="str">
        <f t="shared" ca="1" si="1"/>
        <v>F</v>
      </c>
      <c r="D37" s="118" t="str">
        <f ca="1">ORÇAMENTO!O37</f>
        <v>1.5.</v>
      </c>
      <c r="E37" s="164" t="str">
        <f t="shared" si="2"/>
        <v>ESTRUTURA METÁLICA DOS MÓDULOS</v>
      </c>
      <c r="F37" s="165" t="str">
        <f ca="1">IF(RegimeExecucao="Global","",ORÇAMENTO.Unidade)</f>
        <v>-</v>
      </c>
      <c r="G37" s="123">
        <f ca="1">IF(RegimeExecucao="Global","",ORÇAMENTO!T37)</f>
        <v>0</v>
      </c>
      <c r="H37" s="123">
        <f ca="1">IF(RegimeExecucao="Global","",ORÇAMENTO!W37)</f>
        <v>0</v>
      </c>
      <c r="I37" s="126">
        <f ca="1">ORÇAMENTO!X37</f>
        <v>0</v>
      </c>
      <c r="J37" s="334" t="e" cm="1">
        <f t="array" aca="1" ref="J37" ca="1">_xlfn.SINGLE(IF($A37="S",IF(CAIXA.Modo,BM.AFAnterior,BM.MEDAnterior),IF(AND(_xlfn.SINGLE(RegimeExecucao)="Global",$I37&gt;0,COUNTIF($AB$13:$AM$13,BM.medicao-1)&gt;0),M37/$I37*100,0)))</f>
        <v>#NAME?</v>
      </c>
      <c r="K37" s="123" t="e">
        <f t="shared" ca="1" si="3"/>
        <v>#NAME?</v>
      </c>
      <c r="L37" s="335" t="e" cm="1">
        <f t="array" aca="1" ref="L37" ca="1">_xlfn.SINGLE(IF($A37="S",IF(CAIXA.Modo,BM.AFAcumulado,BM.MEDAcumulado),IF(AND(_xlfn.SINGLE(RegimeExecucao)="Global",$I37&gt;0,COUNTIF($AB$13:$AM$13,BM.medicao)&gt;0),O37/$I37*100,0)))</f>
        <v>#NAME?</v>
      </c>
      <c r="M37" s="336">
        <f ca="1">IF($A37="S",VTOTALBM,IF($A37=0,0,ROUND(SomaAgrupBM,15-13*ORÇAMENTO!$AF$11)))</f>
        <v>0</v>
      </c>
      <c r="N37" s="337">
        <f t="shared" ca="1" si="4"/>
        <v>0</v>
      </c>
      <c r="O37" s="126">
        <f ca="1">IF($A37="S",VTOTALBM,IF($A37=0,0,ROUND(SomaAgrupBM,15-13*ORÇAMENTO!$AF$11)))</f>
        <v>0</v>
      </c>
      <c r="Q37" s="338"/>
      <c r="R37" s="339"/>
      <c r="T37" s="118" t="str">
        <f t="shared" ca="1" si="5"/>
        <v/>
      </c>
      <c r="U37" s="164" t="str">
        <f t="shared" ca="1" si="6"/>
        <v/>
      </c>
      <c r="V37" s="165" t="str">
        <f ca="1">IF(AND($W37&gt;0,RegimeExecucao="Unitário"),$F37,"")</f>
        <v/>
      </c>
      <c r="W37" s="455">
        <f ca="1">IF($Y37&gt;0,CHOOSE(MATCH(RegimeExecucao,{"Unitário","Global"},0),IF($A37="S",$Y37/$X37,""),($Y37/$X37)*100),0)</f>
        <v>0</v>
      </c>
      <c r="X37" s="340" t="str">
        <f ca="1">IF($Y37&gt;0,CHOOSE(MATCH(RegimeExecucao,{"Unitário","Global"},0),IF($A37="S",ROUND($H37,ORÇAMENTO!$AF$10),""),ROUND($I37,ORÇAMENTO!$AF$11)),"")</f>
        <v/>
      </c>
      <c r="Y37" s="340">
        <f t="shared" ca="1" si="7"/>
        <v>0</v>
      </c>
      <c r="Z37" s="474"/>
      <c r="AB37" s="338"/>
      <c r="AC37" s="438"/>
      <c r="AD37" s="438"/>
      <c r="AE37" s="438"/>
      <c r="AF37" s="438"/>
      <c r="AG37" s="438"/>
      <c r="AH37" s="438"/>
      <c r="AI37" s="438"/>
      <c r="AJ37" s="438"/>
      <c r="AK37" s="438"/>
      <c r="AL37" s="438"/>
      <c r="AM37" s="339"/>
      <c r="AO37">
        <f ca="1">IF($A37="S",IF(BM!$I37=0,0,CHOOSE(MATCH(RegimeExecucao,{"Global","Unitário"},0),ROUND(ROUND(BM.MEDAcumulado,15-13*BM!$A$9)/100*BM!$I37,15-13*ORÇAMENTO!$AF$11),ROUND(ROUND(BM.MEDAcumulado,15-13*BM!$A$9)*ROUND(BM!$H37,15-13*ORÇAMENTO!$AF$10),15-13*ORÇAMENTO!$AF$11))),IF($A37=0,0,ROUND(SomaAgrupBM,15-13*ORÇAMENTO!$AF$11)))</f>
        <v>0</v>
      </c>
    </row>
    <row r="38" spans="1:41" ht="51" x14ac:dyDescent="0.2">
      <c r="A38" t="str">
        <f ca="1">ORÇAMENTO!C38</f>
        <v>S</v>
      </c>
      <c r="B38">
        <f ca="1">ORÇAMENTO!D38</f>
        <v>0</v>
      </c>
      <c r="C38" s="115" t="str">
        <f t="shared" ca="1" si="1"/>
        <v/>
      </c>
      <c r="D38" s="118" t="str">
        <f ca="1">ORÇAMENTO!O38</f>
        <v>-</v>
      </c>
      <c r="E38" s="164" t="str">
        <f t="shared" si="2"/>
        <v>VIGA METÁLICA EM PERFIL LAMINADO OU SOLDADO EM AÇO ESTRUTURAL, COM CONEXÕES SOLDADAS, INCLUSOS MÃO DE OBRA, TRANSPORTE E IÇAMENTO UTILIZANDO GUINDASTE - FORNECIMENTO E INSTALAÇÃO. AF_01/2020_PA</v>
      </c>
      <c r="F38" s="165" t="str">
        <f ca="1">IF(RegimeExecucao="Global","",ORÇAMENTO.Unidade)</f>
        <v>KG</v>
      </c>
      <c r="G38" s="123">
        <f ca="1">IF(RegimeExecucao="Global","",ORÇAMENTO!T38)</f>
        <v>38082</v>
      </c>
      <c r="H38" s="123">
        <f ca="1">IF(RegimeExecucao="Global","",ORÇAMENTO!W38)</f>
        <v>0</v>
      </c>
      <c r="I38" s="126">
        <f ca="1">ORÇAMENTO!X38</f>
        <v>0</v>
      </c>
      <c r="J38" s="334" t="e" cm="1">
        <f t="array" aca="1" ref="J38" ca="1">_xlfn.SINGLE(IF($A38="S",IF(CAIXA.Modo,BM.AFAnterior,BM.MEDAnterior),IF(AND(_xlfn.SINGLE(RegimeExecucao)="Global",$I38&gt;0,COUNTIF($AB$13:$AM$13,BM.medicao-1)&gt;0),M38/$I38*100,0)))</f>
        <v>#NAME?</v>
      </c>
      <c r="K38" s="123" t="e">
        <f t="shared" ca="1" si="3"/>
        <v>#NAME?</v>
      </c>
      <c r="L38" s="335" t="e" cm="1">
        <f t="array" aca="1" ref="L38" ca="1">_xlfn.SINGLE(IF($A38="S",IF(CAIXA.Modo,BM.AFAcumulado,BM.MEDAcumulado),IF(AND(_xlfn.SINGLE(RegimeExecucao)="Global",$I38&gt;0,COUNTIF($AB$13:$AM$13,BM.medicao)&gt;0),O38/$I38*100,0)))</f>
        <v>#NAME?</v>
      </c>
      <c r="M38" s="336">
        <f ca="1">IF($A38="S",VTOTALBM,IF($A38=0,0,ROUND(SomaAgrupBM,15-13*ORÇAMENTO!$AF$11)))</f>
        <v>0</v>
      </c>
      <c r="N38" s="337">
        <f t="shared" ca="1" si="4"/>
        <v>0</v>
      </c>
      <c r="O38" s="126">
        <f ca="1">IF($A38="S",VTOTALBM,IF($A38=0,0,ROUND(SomaAgrupBM,15-13*ORÇAMENTO!$AF$11)))</f>
        <v>0</v>
      </c>
      <c r="Q38" s="338"/>
      <c r="R38" s="339"/>
      <c r="T38" s="118" t="str">
        <f t="shared" ca="1" si="5"/>
        <v/>
      </c>
      <c r="U38" s="164" t="str">
        <f t="shared" ca="1" si="6"/>
        <v/>
      </c>
      <c r="V38" s="165" t="str">
        <f ca="1">IF(AND($W38&gt;0,RegimeExecucao="Unitário"),$F38,"")</f>
        <v/>
      </c>
      <c r="W38" s="455">
        <f ca="1">IF($Y38&gt;0,CHOOSE(MATCH(RegimeExecucao,{"Unitário","Global"},0),IF($A38="S",$Y38/$X38,""),($Y38/$X38)*100),0)</f>
        <v>0</v>
      </c>
      <c r="X38" s="340" t="str">
        <f ca="1">IF($Y38&gt;0,CHOOSE(MATCH(RegimeExecucao,{"Unitário","Global"},0),IF($A38="S",ROUND($H38,ORÇAMENTO!$AF$10),""),ROUND($I38,ORÇAMENTO!$AF$11)),"")</f>
        <v/>
      </c>
      <c r="Y38" s="340">
        <f t="shared" ca="1" si="7"/>
        <v>0</v>
      </c>
      <c r="Z38" s="474"/>
      <c r="AB38" s="338"/>
      <c r="AC38" s="438"/>
      <c r="AD38" s="438"/>
      <c r="AE38" s="438"/>
      <c r="AF38" s="438"/>
      <c r="AG38" s="438"/>
      <c r="AH38" s="438"/>
      <c r="AI38" s="438"/>
      <c r="AJ38" s="438"/>
      <c r="AK38" s="438"/>
      <c r="AL38" s="438"/>
      <c r="AM38" s="339"/>
      <c r="AO38">
        <f ca="1">IF($A38="S",IF(BM!$I38=0,0,CHOOSE(MATCH(RegimeExecucao,{"Global","Unitário"},0),ROUND(ROUND(BM.MEDAcumulado,15-13*BM!$A$9)/100*BM!$I38,15-13*ORÇAMENTO!$AF$11),ROUND(ROUND(BM.MEDAcumulado,15-13*BM!$A$9)*ROUND(BM!$H38,15-13*ORÇAMENTO!$AF$10),15-13*ORÇAMENTO!$AF$11))),IF($A38=0,0,ROUND(SomaAgrupBM,15-13*ORÇAMENTO!$AF$11)))</f>
        <v>0</v>
      </c>
    </row>
    <row r="39" spans="1:41" ht="51" x14ac:dyDescent="0.2">
      <c r="A39" t="str">
        <f ca="1">ORÇAMENTO!C39</f>
        <v>S</v>
      </c>
      <c r="B39">
        <f ca="1">ORÇAMENTO!D39</f>
        <v>0</v>
      </c>
      <c r="C39" s="115" t="str">
        <f t="shared" ca="1" si="1"/>
        <v/>
      </c>
      <c r="D39" s="118" t="str">
        <f ca="1">ORÇAMENTO!O39</f>
        <v>-</v>
      </c>
      <c r="E39" s="164" t="str">
        <f t="shared" si="2"/>
        <v>PILAR METÁLICO PERFIL LAMINADO OU SOLDADO EM AÇO ESTRUTURAL, COM CONEXÕES SOLDADAS, INCLUSOS MÃO DE OBRA, TRANSPORTE E IÇAMENTO UTILIZANDO GUINDASTE - FORNECIMENTO E INSTALAÇÃO. AF_01/2020_PA</v>
      </c>
      <c r="F39" s="165" t="str">
        <f ca="1">IF(RegimeExecucao="Global","",ORÇAMENTO.Unidade)</f>
        <v>KG</v>
      </c>
      <c r="G39" s="123">
        <f ca="1">IF(RegimeExecucao="Global","",ORÇAMENTO!T39)</f>
        <v>9182</v>
      </c>
      <c r="H39" s="123">
        <f ca="1">IF(RegimeExecucao="Global","",ORÇAMENTO!W39)</f>
        <v>0</v>
      </c>
      <c r="I39" s="126">
        <f ca="1">ORÇAMENTO!X39</f>
        <v>0</v>
      </c>
      <c r="J39" s="334" t="e" cm="1">
        <f t="array" aca="1" ref="J39" ca="1">_xlfn.SINGLE(IF($A39="S",IF(CAIXA.Modo,BM.AFAnterior,BM.MEDAnterior),IF(AND(_xlfn.SINGLE(RegimeExecucao)="Global",$I39&gt;0,COUNTIF($AB$13:$AM$13,BM.medicao-1)&gt;0),M39/$I39*100,0)))</f>
        <v>#NAME?</v>
      </c>
      <c r="K39" s="123" t="e">
        <f t="shared" ca="1" si="3"/>
        <v>#NAME?</v>
      </c>
      <c r="L39" s="335" t="e" cm="1">
        <f t="array" aca="1" ref="L39" ca="1">_xlfn.SINGLE(IF($A39="S",IF(CAIXA.Modo,BM.AFAcumulado,BM.MEDAcumulado),IF(AND(_xlfn.SINGLE(RegimeExecucao)="Global",$I39&gt;0,COUNTIF($AB$13:$AM$13,BM.medicao)&gt;0),O39/$I39*100,0)))</f>
        <v>#NAME?</v>
      </c>
      <c r="M39" s="336">
        <f ca="1">IF($A39="S",VTOTALBM,IF($A39=0,0,ROUND(SomaAgrupBM,15-13*ORÇAMENTO!$AF$11)))</f>
        <v>0</v>
      </c>
      <c r="N39" s="337">
        <f t="shared" ca="1" si="4"/>
        <v>0</v>
      </c>
      <c r="O39" s="126">
        <f ca="1">IF($A39="S",VTOTALBM,IF($A39=0,0,ROUND(SomaAgrupBM,15-13*ORÇAMENTO!$AF$11)))</f>
        <v>0</v>
      </c>
      <c r="Q39" s="338"/>
      <c r="R39" s="339"/>
      <c r="T39" s="118" t="str">
        <f t="shared" ca="1" si="5"/>
        <v/>
      </c>
      <c r="U39" s="164" t="str">
        <f t="shared" ca="1" si="6"/>
        <v/>
      </c>
      <c r="V39" s="165" t="str">
        <f ca="1">IF(AND($W39&gt;0,RegimeExecucao="Unitário"),$F39,"")</f>
        <v/>
      </c>
      <c r="W39" s="455">
        <f ca="1">IF($Y39&gt;0,CHOOSE(MATCH(RegimeExecucao,{"Unitário","Global"},0),IF($A39="S",$Y39/$X39,""),($Y39/$X39)*100),0)</f>
        <v>0</v>
      </c>
      <c r="X39" s="340" t="str">
        <f ca="1">IF($Y39&gt;0,CHOOSE(MATCH(RegimeExecucao,{"Unitário","Global"},0),IF($A39="S",ROUND($H39,ORÇAMENTO!$AF$10),""),ROUND($I39,ORÇAMENTO!$AF$11)),"")</f>
        <v/>
      </c>
      <c r="Y39" s="340">
        <f t="shared" ca="1" si="7"/>
        <v>0</v>
      </c>
      <c r="Z39" s="474"/>
      <c r="AB39" s="338"/>
      <c r="AC39" s="438"/>
      <c r="AD39" s="438"/>
      <c r="AE39" s="438"/>
      <c r="AF39" s="438"/>
      <c r="AG39" s="438"/>
      <c r="AH39" s="438"/>
      <c r="AI39" s="438"/>
      <c r="AJ39" s="438"/>
      <c r="AK39" s="438"/>
      <c r="AL39" s="438"/>
      <c r="AM39" s="339"/>
      <c r="AO39">
        <f ca="1">IF($A39="S",IF(BM!$I39=0,0,CHOOSE(MATCH(RegimeExecucao,{"Global","Unitário"},0),ROUND(ROUND(BM.MEDAcumulado,15-13*BM!$A$9)/100*BM!$I39,15-13*ORÇAMENTO!$AF$11),ROUND(ROUND(BM.MEDAcumulado,15-13*BM!$A$9)*ROUND(BM!$H39,15-13*ORÇAMENTO!$AF$10),15-13*ORÇAMENTO!$AF$11))),IF($A39=0,0,ROUND(SomaAgrupBM,15-13*ORÇAMENTO!$AF$11)))</f>
        <v>0</v>
      </c>
    </row>
    <row r="40" spans="1:41" x14ac:dyDescent="0.2">
      <c r="A40" t="str">
        <f ca="1">ORÇAMENTO!C40</f>
        <v>S</v>
      </c>
      <c r="B40">
        <f ca="1">ORÇAMENTO!D40</f>
        <v>0</v>
      </c>
      <c r="C40" s="115" t="str">
        <f t="shared" ca="1" si="1"/>
        <v/>
      </c>
      <c r="D40" s="118" t="str">
        <f ca="1">ORÇAMENTO!O40</f>
        <v>-</v>
      </c>
      <c r="E40" s="164" t="str">
        <f t="shared" si="2"/>
        <v>ENGENHEIRO MECÂNICO COM ENCARGOS COMPLEMENTARES</v>
      </c>
      <c r="F40" s="165" t="str">
        <f ca="1">IF(RegimeExecucao="Global","",ORÇAMENTO.Unidade)</f>
        <v>MÊS</v>
      </c>
      <c r="G40" s="123">
        <f ca="1">IF(RegimeExecucao="Global","",ORÇAMENTO!T40)</f>
        <v>3</v>
      </c>
      <c r="H40" s="123">
        <f ca="1">IF(RegimeExecucao="Global","",ORÇAMENTO!W40)</f>
        <v>0</v>
      </c>
      <c r="I40" s="126">
        <f ca="1">ORÇAMENTO!X40</f>
        <v>0</v>
      </c>
      <c r="J40" s="334" t="e" cm="1">
        <f t="array" aca="1" ref="J40" ca="1">_xlfn.SINGLE(IF($A40="S",IF(CAIXA.Modo,BM.AFAnterior,BM.MEDAnterior),IF(AND(_xlfn.SINGLE(RegimeExecucao)="Global",$I40&gt;0,COUNTIF($AB$13:$AM$13,BM.medicao-1)&gt;0),M40/$I40*100,0)))</f>
        <v>#NAME?</v>
      </c>
      <c r="K40" s="123" t="e">
        <f t="shared" ca="1" si="3"/>
        <v>#NAME?</v>
      </c>
      <c r="L40" s="335" t="e" cm="1">
        <f t="array" aca="1" ref="L40" ca="1">_xlfn.SINGLE(IF($A40="S",IF(CAIXA.Modo,BM.AFAcumulado,BM.MEDAcumulado),IF(AND(_xlfn.SINGLE(RegimeExecucao)="Global",$I40&gt;0,COUNTIF($AB$13:$AM$13,BM.medicao)&gt;0),O40/$I40*100,0)))</f>
        <v>#NAME?</v>
      </c>
      <c r="M40" s="336">
        <f ca="1">IF($A40="S",VTOTALBM,IF($A40=0,0,ROUND(SomaAgrupBM,15-13*ORÇAMENTO!$AF$11)))</f>
        <v>0</v>
      </c>
      <c r="N40" s="337">
        <f t="shared" ca="1" si="4"/>
        <v>0</v>
      </c>
      <c r="O40" s="126">
        <f ca="1">IF($A40="S",VTOTALBM,IF($A40=0,0,ROUND(SomaAgrupBM,15-13*ORÇAMENTO!$AF$11)))</f>
        <v>0</v>
      </c>
      <c r="Q40" s="338"/>
      <c r="R40" s="339"/>
      <c r="T40" s="118" t="str">
        <f t="shared" ca="1" si="5"/>
        <v/>
      </c>
      <c r="U40" s="164" t="str">
        <f t="shared" ca="1" si="6"/>
        <v/>
      </c>
      <c r="V40" s="165" t="str">
        <f ca="1">IF(AND($W40&gt;0,RegimeExecucao="Unitário"),$F40,"")</f>
        <v/>
      </c>
      <c r="W40" s="455">
        <f ca="1">IF($Y40&gt;0,CHOOSE(MATCH(RegimeExecucao,{"Unitário","Global"},0),IF($A40="S",$Y40/$X40,""),($Y40/$X40)*100),0)</f>
        <v>0</v>
      </c>
      <c r="X40" s="340" t="str">
        <f ca="1">IF($Y40&gt;0,CHOOSE(MATCH(RegimeExecucao,{"Unitário","Global"},0),IF($A40="S",ROUND($H40,ORÇAMENTO!$AF$10),""),ROUND($I40,ORÇAMENTO!$AF$11)),"")</f>
        <v/>
      </c>
      <c r="Y40" s="340">
        <f t="shared" ca="1" si="7"/>
        <v>0</v>
      </c>
      <c r="Z40" s="474"/>
      <c r="AB40" s="338"/>
      <c r="AC40" s="438"/>
      <c r="AD40" s="438"/>
      <c r="AE40" s="438"/>
      <c r="AF40" s="438"/>
      <c r="AG40" s="438"/>
      <c r="AH40" s="438"/>
      <c r="AI40" s="438"/>
      <c r="AJ40" s="438"/>
      <c r="AK40" s="438"/>
      <c r="AL40" s="438"/>
      <c r="AM40" s="339"/>
      <c r="AO40">
        <f ca="1">IF($A40="S",IF(BM!$I40=0,0,CHOOSE(MATCH(RegimeExecucao,{"Global","Unitário"},0),ROUND(ROUND(BM.MEDAcumulado,15-13*BM!$A$9)/100*BM!$I40,15-13*ORÇAMENTO!$AF$11),ROUND(ROUND(BM.MEDAcumulado,15-13*BM!$A$9)*ROUND(BM!$H40,15-13*ORÇAMENTO!$AF$10),15-13*ORÇAMENTO!$AF$11))),IF($A40=0,0,ROUND(SomaAgrupBM,15-13*ORÇAMENTO!$AF$11)))</f>
        <v>0</v>
      </c>
    </row>
    <row r="41" spans="1:41" x14ac:dyDescent="0.2">
      <c r="A41">
        <f ca="1">ORÇAMENTO!C41</f>
        <v>2</v>
      </c>
      <c r="B41">
        <f ca="1">ORÇAMENTO!D41</f>
        <v>6</v>
      </c>
      <c r="C41" s="115" t="str">
        <f t="shared" ca="1" si="1"/>
        <v>F</v>
      </c>
      <c r="D41" s="118" t="str">
        <f ca="1">ORÇAMENTO!O41</f>
        <v>1.6.</v>
      </c>
      <c r="E41" s="164" t="str">
        <f t="shared" si="2"/>
        <v>COBERTURA DOS MÓDULOS</v>
      </c>
      <c r="F41" s="165" t="str">
        <f ca="1">IF(RegimeExecucao="Global","",ORÇAMENTO.Unidade)</f>
        <v>-</v>
      </c>
      <c r="G41" s="123">
        <f ca="1">IF(RegimeExecucao="Global","",ORÇAMENTO!T41)</f>
        <v>0</v>
      </c>
      <c r="H41" s="123">
        <f ca="1">IF(RegimeExecucao="Global","",ORÇAMENTO!W41)</f>
        <v>0</v>
      </c>
      <c r="I41" s="126">
        <f ca="1">ORÇAMENTO!X41</f>
        <v>0</v>
      </c>
      <c r="J41" s="334" t="e" cm="1">
        <f t="array" aca="1" ref="J41" ca="1">_xlfn.SINGLE(IF($A41="S",IF(CAIXA.Modo,BM.AFAnterior,BM.MEDAnterior),IF(AND(_xlfn.SINGLE(RegimeExecucao)="Global",$I41&gt;0,COUNTIF($AB$13:$AM$13,BM.medicao-1)&gt;0),M41/$I41*100,0)))</f>
        <v>#NAME?</v>
      </c>
      <c r="K41" s="123" t="e">
        <f t="shared" ca="1" si="3"/>
        <v>#NAME?</v>
      </c>
      <c r="L41" s="335" t="e" cm="1">
        <f t="array" aca="1" ref="L41" ca="1">_xlfn.SINGLE(IF($A41="S",IF(CAIXA.Modo,BM.AFAcumulado,BM.MEDAcumulado),IF(AND(_xlfn.SINGLE(RegimeExecucao)="Global",$I41&gt;0,COUNTIF($AB$13:$AM$13,BM.medicao)&gt;0),O41/$I41*100,0)))</f>
        <v>#NAME?</v>
      </c>
      <c r="M41" s="336">
        <f ca="1">IF($A41="S",VTOTALBM,IF($A41=0,0,ROUND(SomaAgrupBM,15-13*ORÇAMENTO!$AF$11)))</f>
        <v>0</v>
      </c>
      <c r="N41" s="337">
        <f t="shared" ca="1" si="4"/>
        <v>0</v>
      </c>
      <c r="O41" s="126">
        <f ca="1">IF($A41="S",VTOTALBM,IF($A41=0,0,ROUND(SomaAgrupBM,15-13*ORÇAMENTO!$AF$11)))</f>
        <v>0</v>
      </c>
      <c r="Q41" s="338"/>
      <c r="R41" s="339"/>
      <c r="T41" s="118" t="str">
        <f t="shared" ca="1" si="5"/>
        <v/>
      </c>
      <c r="U41" s="164" t="str">
        <f t="shared" ca="1" si="6"/>
        <v/>
      </c>
      <c r="V41" s="165" t="str">
        <f ca="1">IF(AND($W41&gt;0,RegimeExecucao="Unitário"),$F41,"")</f>
        <v/>
      </c>
      <c r="W41" s="455">
        <f ca="1">IF($Y41&gt;0,CHOOSE(MATCH(RegimeExecucao,{"Unitário","Global"},0),IF($A41="S",$Y41/$X41,""),($Y41/$X41)*100),0)</f>
        <v>0</v>
      </c>
      <c r="X41" s="340" t="str">
        <f ca="1">IF($Y41&gt;0,CHOOSE(MATCH(RegimeExecucao,{"Unitário","Global"},0),IF($A41="S",ROUND($H41,ORÇAMENTO!$AF$10),""),ROUND($I41,ORÇAMENTO!$AF$11)),"")</f>
        <v/>
      </c>
      <c r="Y41" s="340">
        <f t="shared" ca="1" si="7"/>
        <v>0</v>
      </c>
      <c r="Z41" s="474"/>
      <c r="AB41" s="338"/>
      <c r="AC41" s="438"/>
      <c r="AD41" s="438"/>
      <c r="AE41" s="438"/>
      <c r="AF41" s="438"/>
      <c r="AG41" s="438"/>
      <c r="AH41" s="438"/>
      <c r="AI41" s="438"/>
      <c r="AJ41" s="438"/>
      <c r="AK41" s="438"/>
      <c r="AL41" s="438"/>
      <c r="AM41" s="339"/>
      <c r="AO41">
        <f ca="1">IF($A41="S",IF(BM!$I41=0,0,CHOOSE(MATCH(RegimeExecucao,{"Global","Unitário"},0),ROUND(ROUND(BM.MEDAcumulado,15-13*BM!$A$9)/100*BM!$I41,15-13*ORÇAMENTO!$AF$11),ROUND(ROUND(BM.MEDAcumulado,15-13*BM!$A$9)*ROUND(BM!$H41,15-13*ORÇAMENTO!$AF$10),15-13*ORÇAMENTO!$AF$11))),IF($A41=0,0,ROUND(SomaAgrupBM,15-13*ORÇAMENTO!$AF$11)))</f>
        <v>0</v>
      </c>
    </row>
    <row r="42" spans="1:41" ht="25.5" x14ac:dyDescent="0.2">
      <c r="A42" t="str">
        <f ca="1">ORÇAMENTO!C42</f>
        <v>S</v>
      </c>
      <c r="B42">
        <f ca="1">ORÇAMENTO!D42</f>
        <v>0</v>
      </c>
      <c r="C42" s="115" t="str">
        <f t="shared" ca="1" si="1"/>
        <v/>
      </c>
      <c r="D42" s="118" t="str">
        <f ca="1">ORÇAMENTO!O42</f>
        <v>-</v>
      </c>
      <c r="E42" s="164" t="str">
        <f t="shared" si="2"/>
        <v>TELHAMENTO COM TELHA METÁLICA TERMOACÚSTICA E = 30 MM, COM ATÉ 2 ÁGUAS, INCLUSO IÇAMENTO. AF_07/2019</v>
      </c>
      <c r="F42" s="165" t="str">
        <f ca="1">IF(RegimeExecucao="Global","",ORÇAMENTO.Unidade)</f>
        <v>M2</v>
      </c>
      <c r="G42" s="123">
        <f ca="1">IF(RegimeExecucao="Global","",ORÇAMENTO!T42)</f>
        <v>1541.5</v>
      </c>
      <c r="H42" s="123">
        <f ca="1">IF(RegimeExecucao="Global","",ORÇAMENTO!W42)</f>
        <v>0</v>
      </c>
      <c r="I42" s="126">
        <f ca="1">ORÇAMENTO!X42</f>
        <v>0</v>
      </c>
      <c r="J42" s="334" t="e" cm="1">
        <f t="array" aca="1" ref="J42" ca="1">_xlfn.SINGLE(IF($A42="S",IF(CAIXA.Modo,BM.AFAnterior,BM.MEDAnterior),IF(AND(_xlfn.SINGLE(RegimeExecucao)="Global",$I42&gt;0,COUNTIF($AB$13:$AM$13,BM.medicao-1)&gt;0),M42/$I42*100,0)))</f>
        <v>#NAME?</v>
      </c>
      <c r="K42" s="123" t="e">
        <f t="shared" ca="1" si="3"/>
        <v>#NAME?</v>
      </c>
      <c r="L42" s="335" t="e" cm="1">
        <f t="array" aca="1" ref="L42" ca="1">_xlfn.SINGLE(IF($A42="S",IF(CAIXA.Modo,BM.AFAcumulado,BM.MEDAcumulado),IF(AND(_xlfn.SINGLE(RegimeExecucao)="Global",$I42&gt;0,COUNTIF($AB$13:$AM$13,BM.medicao)&gt;0),O42/$I42*100,0)))</f>
        <v>#NAME?</v>
      </c>
      <c r="M42" s="336">
        <f ca="1">IF($A42="S",VTOTALBM,IF($A42=0,0,ROUND(SomaAgrupBM,15-13*ORÇAMENTO!$AF$11)))</f>
        <v>0</v>
      </c>
      <c r="N42" s="337">
        <f t="shared" ca="1" si="4"/>
        <v>0</v>
      </c>
      <c r="O42" s="126">
        <f ca="1">IF($A42="S",VTOTALBM,IF($A42=0,0,ROUND(SomaAgrupBM,15-13*ORÇAMENTO!$AF$11)))</f>
        <v>0</v>
      </c>
      <c r="Q42" s="338"/>
      <c r="R42" s="339"/>
      <c r="T42" s="118" t="str">
        <f t="shared" ca="1" si="5"/>
        <v/>
      </c>
      <c r="U42" s="164" t="str">
        <f t="shared" ca="1" si="6"/>
        <v/>
      </c>
      <c r="V42" s="165" t="str">
        <f ca="1">IF(AND($W42&gt;0,RegimeExecucao="Unitário"),$F42,"")</f>
        <v/>
      </c>
      <c r="W42" s="455">
        <f ca="1">IF($Y42&gt;0,CHOOSE(MATCH(RegimeExecucao,{"Unitário","Global"},0),IF($A42="S",$Y42/$X42,""),($Y42/$X42)*100),0)</f>
        <v>0</v>
      </c>
      <c r="X42" s="340" t="str">
        <f ca="1">IF($Y42&gt;0,CHOOSE(MATCH(RegimeExecucao,{"Unitário","Global"},0),IF($A42="S",ROUND($H42,ORÇAMENTO!$AF$10),""),ROUND($I42,ORÇAMENTO!$AF$11)),"")</f>
        <v/>
      </c>
      <c r="Y42" s="340">
        <f t="shared" ca="1" si="7"/>
        <v>0</v>
      </c>
      <c r="Z42" s="474"/>
      <c r="AB42" s="338"/>
      <c r="AC42" s="438"/>
      <c r="AD42" s="438"/>
      <c r="AE42" s="438"/>
      <c r="AF42" s="438"/>
      <c r="AG42" s="438"/>
      <c r="AH42" s="438"/>
      <c r="AI42" s="438"/>
      <c r="AJ42" s="438"/>
      <c r="AK42" s="438"/>
      <c r="AL42" s="438"/>
      <c r="AM42" s="339"/>
      <c r="AO42">
        <f ca="1">IF($A42="S",IF(BM!$I42=0,0,CHOOSE(MATCH(RegimeExecucao,{"Global","Unitário"},0),ROUND(ROUND(BM.MEDAcumulado,15-13*BM!$A$9)/100*BM!$I42,15-13*ORÇAMENTO!$AF$11),ROUND(ROUND(BM.MEDAcumulado,15-13*BM!$A$9)*ROUND(BM!$H42,15-13*ORÇAMENTO!$AF$10),15-13*ORÇAMENTO!$AF$11))),IF($A42=0,0,ROUND(SomaAgrupBM,15-13*ORÇAMENTO!$AF$11)))</f>
        <v>0</v>
      </c>
    </row>
    <row r="43" spans="1:41" ht="38.25" x14ac:dyDescent="0.2">
      <c r="A43" t="str">
        <f ca="1">ORÇAMENTO!C43</f>
        <v>S</v>
      </c>
      <c r="B43">
        <f ca="1">ORÇAMENTO!D43</f>
        <v>0</v>
      </c>
      <c r="C43" s="115" t="str">
        <f t="shared" ca="1" si="1"/>
        <v/>
      </c>
      <c r="D43" s="118" t="str">
        <f ca="1">ORÇAMENTO!O43</f>
        <v>-</v>
      </c>
      <c r="E43" s="164" t="str">
        <f t="shared" si="2"/>
        <v>CALHA EM CHAPA DE AÇO GALVANIZADO NÚMERO 24, DESENVOLVIMENTO DE 50 CM, INCLUSO TRANSPORTE VERTICAL. AF_07/2019</v>
      </c>
      <c r="F43" s="165" t="str">
        <f ca="1">IF(RegimeExecucao="Global","",ORÇAMENTO.Unidade)</f>
        <v>M</v>
      </c>
      <c r="G43" s="123">
        <f ca="1">IF(RegimeExecucao="Global","",ORÇAMENTO!T43)</f>
        <v>352</v>
      </c>
      <c r="H43" s="123">
        <f ca="1">IF(RegimeExecucao="Global","",ORÇAMENTO!W43)</f>
        <v>0</v>
      </c>
      <c r="I43" s="126">
        <f ca="1">ORÇAMENTO!X43</f>
        <v>0</v>
      </c>
      <c r="J43" s="334" t="e" cm="1">
        <f t="array" aca="1" ref="J43" ca="1">_xlfn.SINGLE(IF($A43="S",IF(CAIXA.Modo,BM.AFAnterior,BM.MEDAnterior),IF(AND(_xlfn.SINGLE(RegimeExecucao)="Global",$I43&gt;0,COUNTIF($AB$13:$AM$13,BM.medicao-1)&gt;0),M43/$I43*100,0)))</f>
        <v>#NAME?</v>
      </c>
      <c r="K43" s="123" t="e">
        <f t="shared" ca="1" si="3"/>
        <v>#NAME?</v>
      </c>
      <c r="L43" s="335" t="e" cm="1">
        <f t="array" aca="1" ref="L43" ca="1">_xlfn.SINGLE(IF($A43="S",IF(CAIXA.Modo,BM.AFAcumulado,BM.MEDAcumulado),IF(AND(_xlfn.SINGLE(RegimeExecucao)="Global",$I43&gt;0,COUNTIF($AB$13:$AM$13,BM.medicao)&gt;0),O43/$I43*100,0)))</f>
        <v>#NAME?</v>
      </c>
      <c r="M43" s="336">
        <f ca="1">IF($A43="S",VTOTALBM,IF($A43=0,0,ROUND(SomaAgrupBM,15-13*ORÇAMENTO!$AF$11)))</f>
        <v>0</v>
      </c>
      <c r="N43" s="337">
        <f t="shared" ca="1" si="4"/>
        <v>0</v>
      </c>
      <c r="O43" s="126">
        <f ca="1">IF($A43="S",VTOTALBM,IF($A43=0,0,ROUND(SomaAgrupBM,15-13*ORÇAMENTO!$AF$11)))</f>
        <v>0</v>
      </c>
      <c r="Q43" s="338"/>
      <c r="R43" s="339"/>
      <c r="T43" s="118" t="str">
        <f t="shared" ca="1" si="5"/>
        <v/>
      </c>
      <c r="U43" s="164" t="str">
        <f t="shared" ca="1" si="6"/>
        <v/>
      </c>
      <c r="V43" s="165" t="str">
        <f ca="1">IF(AND($W43&gt;0,RegimeExecucao="Unitário"),$F43,"")</f>
        <v/>
      </c>
      <c r="W43" s="455">
        <f ca="1">IF($Y43&gt;0,CHOOSE(MATCH(RegimeExecucao,{"Unitário","Global"},0),IF($A43="S",$Y43/$X43,""),($Y43/$X43)*100),0)</f>
        <v>0</v>
      </c>
      <c r="X43" s="340" t="str">
        <f ca="1">IF($Y43&gt;0,CHOOSE(MATCH(RegimeExecucao,{"Unitário","Global"},0),IF($A43="S",ROUND($H43,ORÇAMENTO!$AF$10),""),ROUND($I43,ORÇAMENTO!$AF$11)),"")</f>
        <v/>
      </c>
      <c r="Y43" s="340">
        <f t="shared" ca="1" si="7"/>
        <v>0</v>
      </c>
      <c r="Z43" s="474"/>
      <c r="AB43" s="338"/>
      <c r="AC43" s="438"/>
      <c r="AD43" s="438"/>
      <c r="AE43" s="438"/>
      <c r="AF43" s="438"/>
      <c r="AG43" s="438"/>
      <c r="AH43" s="438"/>
      <c r="AI43" s="438"/>
      <c r="AJ43" s="438"/>
      <c r="AK43" s="438"/>
      <c r="AL43" s="438"/>
      <c r="AM43" s="339"/>
      <c r="AO43">
        <f ca="1">IF($A43="S",IF(BM!$I43=0,0,CHOOSE(MATCH(RegimeExecucao,{"Global","Unitário"},0),ROUND(ROUND(BM.MEDAcumulado,15-13*BM!$A$9)/100*BM!$I43,15-13*ORÇAMENTO!$AF$11),ROUND(ROUND(BM.MEDAcumulado,15-13*BM!$A$9)*ROUND(BM!$H43,15-13*ORÇAMENTO!$AF$10),15-13*ORÇAMENTO!$AF$11))),IF($A43=0,0,ROUND(SomaAgrupBM,15-13*ORÇAMENTO!$AF$11)))</f>
        <v>0</v>
      </c>
    </row>
    <row r="44" spans="1:41" ht="38.25" x14ac:dyDescent="0.2">
      <c r="A44" t="str">
        <f ca="1">ORÇAMENTO!C44</f>
        <v>S</v>
      </c>
      <c r="B44">
        <f ca="1">ORÇAMENTO!D44</f>
        <v>0</v>
      </c>
      <c r="C44" s="115" t="str">
        <f t="shared" ca="1" si="1"/>
        <v/>
      </c>
      <c r="D44" s="118" t="str">
        <f ca="1">ORÇAMENTO!O44</f>
        <v>-</v>
      </c>
      <c r="E44" s="164" t="str">
        <f t="shared" si="2"/>
        <v>CALHA EM CHAPA DE AÇO GALVANIZADO NÚMERO 24, DESENVOLVIMENTO DE 100 CM, INCLUSO TRANSPORTE VERTICAL. AF_07/2019</v>
      </c>
      <c r="F44" s="165" t="str">
        <f ca="1">IF(RegimeExecucao="Global","",ORÇAMENTO.Unidade)</f>
        <v>M</v>
      </c>
      <c r="G44" s="123">
        <f ca="1">IF(RegimeExecucao="Global","",ORÇAMENTO!T44)</f>
        <v>65</v>
      </c>
      <c r="H44" s="123">
        <f ca="1">IF(RegimeExecucao="Global","",ORÇAMENTO!W44)</f>
        <v>0</v>
      </c>
      <c r="I44" s="126">
        <f ca="1">ORÇAMENTO!X44</f>
        <v>0</v>
      </c>
      <c r="J44" s="334" t="e" cm="1">
        <f t="array" aca="1" ref="J44" ca="1">_xlfn.SINGLE(IF($A44="S",IF(CAIXA.Modo,BM.AFAnterior,BM.MEDAnterior),IF(AND(_xlfn.SINGLE(RegimeExecucao)="Global",$I44&gt;0,COUNTIF($AB$13:$AM$13,BM.medicao-1)&gt;0),M44/$I44*100,0)))</f>
        <v>#NAME?</v>
      </c>
      <c r="K44" s="123" t="e">
        <f t="shared" ca="1" si="3"/>
        <v>#NAME?</v>
      </c>
      <c r="L44" s="335" t="e" cm="1">
        <f t="array" aca="1" ref="L44" ca="1">_xlfn.SINGLE(IF($A44="S",IF(CAIXA.Modo,BM.AFAcumulado,BM.MEDAcumulado),IF(AND(_xlfn.SINGLE(RegimeExecucao)="Global",$I44&gt;0,COUNTIF($AB$13:$AM$13,BM.medicao)&gt;0),O44/$I44*100,0)))</f>
        <v>#NAME?</v>
      </c>
      <c r="M44" s="336">
        <f ca="1">IF($A44="S",VTOTALBM,IF($A44=0,0,ROUND(SomaAgrupBM,15-13*ORÇAMENTO!$AF$11)))</f>
        <v>0</v>
      </c>
      <c r="N44" s="337">
        <f t="shared" ca="1" si="4"/>
        <v>0</v>
      </c>
      <c r="O44" s="126">
        <f ca="1">IF($A44="S",VTOTALBM,IF($A44=0,0,ROUND(SomaAgrupBM,15-13*ORÇAMENTO!$AF$11)))</f>
        <v>0</v>
      </c>
      <c r="Q44" s="338"/>
      <c r="R44" s="339"/>
      <c r="T44" s="118" t="str">
        <f t="shared" ca="1" si="5"/>
        <v/>
      </c>
      <c r="U44" s="164" t="str">
        <f t="shared" ca="1" si="6"/>
        <v/>
      </c>
      <c r="V44" s="165" t="str">
        <f ca="1">IF(AND($W44&gt;0,RegimeExecucao="Unitário"),$F44,"")</f>
        <v/>
      </c>
      <c r="W44" s="455">
        <f ca="1">IF($Y44&gt;0,CHOOSE(MATCH(RegimeExecucao,{"Unitário","Global"},0),IF($A44="S",$Y44/$X44,""),($Y44/$X44)*100),0)</f>
        <v>0</v>
      </c>
      <c r="X44" s="340" t="str">
        <f ca="1">IF($Y44&gt;0,CHOOSE(MATCH(RegimeExecucao,{"Unitário","Global"},0),IF($A44="S",ROUND($H44,ORÇAMENTO!$AF$10),""),ROUND($I44,ORÇAMENTO!$AF$11)),"")</f>
        <v/>
      </c>
      <c r="Y44" s="340">
        <f t="shared" ca="1" si="7"/>
        <v>0</v>
      </c>
      <c r="Z44" s="474"/>
      <c r="AB44" s="338"/>
      <c r="AC44" s="438"/>
      <c r="AD44" s="438"/>
      <c r="AE44" s="438"/>
      <c r="AF44" s="438"/>
      <c r="AG44" s="438"/>
      <c r="AH44" s="438"/>
      <c r="AI44" s="438"/>
      <c r="AJ44" s="438"/>
      <c r="AK44" s="438"/>
      <c r="AL44" s="438"/>
      <c r="AM44" s="339"/>
      <c r="AO44">
        <f ca="1">IF($A44="S",IF(BM!$I44=0,0,CHOOSE(MATCH(RegimeExecucao,{"Global","Unitário"},0),ROUND(ROUND(BM.MEDAcumulado,15-13*BM!$A$9)/100*BM!$I44,15-13*ORÇAMENTO!$AF$11),ROUND(ROUND(BM.MEDAcumulado,15-13*BM!$A$9)*ROUND(BM!$H44,15-13*ORÇAMENTO!$AF$10),15-13*ORÇAMENTO!$AF$11))),IF($A44=0,0,ROUND(SomaAgrupBM,15-13*ORÇAMENTO!$AF$11)))</f>
        <v>0</v>
      </c>
    </row>
    <row r="45" spans="1:41" ht="25.5" x14ac:dyDescent="0.2">
      <c r="A45" t="str">
        <f ca="1">ORÇAMENTO!C45</f>
        <v>S</v>
      </c>
      <c r="B45">
        <f ca="1">ORÇAMENTO!D45</f>
        <v>0</v>
      </c>
      <c r="C45" s="115" t="str">
        <f t="shared" ca="1" si="1"/>
        <v/>
      </c>
      <c r="D45" s="118" t="str">
        <f ca="1">ORÇAMENTO!O45</f>
        <v>-</v>
      </c>
      <c r="E45" s="164" t="str">
        <f t="shared" si="2"/>
        <v>RUFO EXTERNO/INTERNO EM CHAPA DE AÇO GALVANIZADO NÚMERO 26, CORTE DE 33 CM, INCLUSO IÇAMENTO. AF_07/2019</v>
      </c>
      <c r="F45" s="165" t="str">
        <f ca="1">IF(RegimeExecucao="Global","",ORÇAMENTO.Unidade)</f>
        <v>M</v>
      </c>
      <c r="G45" s="123">
        <f ca="1">IF(RegimeExecucao="Global","",ORÇAMENTO!T45)</f>
        <v>999.1</v>
      </c>
      <c r="H45" s="123">
        <f ca="1">IF(RegimeExecucao="Global","",ORÇAMENTO!W45)</f>
        <v>0</v>
      </c>
      <c r="I45" s="126">
        <f ca="1">ORÇAMENTO!X45</f>
        <v>0</v>
      </c>
      <c r="J45" s="334" t="e" cm="1">
        <f t="array" aca="1" ref="J45" ca="1">_xlfn.SINGLE(IF($A45="S",IF(CAIXA.Modo,BM.AFAnterior,BM.MEDAnterior),IF(AND(_xlfn.SINGLE(RegimeExecucao)="Global",$I45&gt;0,COUNTIF($AB$13:$AM$13,BM.medicao-1)&gt;0),M45/$I45*100,0)))</f>
        <v>#NAME?</v>
      </c>
      <c r="K45" s="123" t="e">
        <f t="shared" ca="1" si="3"/>
        <v>#NAME?</v>
      </c>
      <c r="L45" s="335" t="e" cm="1">
        <f t="array" aca="1" ref="L45" ca="1">_xlfn.SINGLE(IF($A45="S",IF(CAIXA.Modo,BM.AFAcumulado,BM.MEDAcumulado),IF(AND(_xlfn.SINGLE(RegimeExecucao)="Global",$I45&gt;0,COUNTIF($AB$13:$AM$13,BM.medicao)&gt;0),O45/$I45*100,0)))</f>
        <v>#NAME?</v>
      </c>
      <c r="M45" s="336">
        <f ca="1">IF($A45="S",VTOTALBM,IF($A45=0,0,ROUND(SomaAgrupBM,15-13*ORÇAMENTO!$AF$11)))</f>
        <v>0</v>
      </c>
      <c r="N45" s="337">
        <f t="shared" ca="1" si="4"/>
        <v>0</v>
      </c>
      <c r="O45" s="126">
        <f ca="1">IF($A45="S",VTOTALBM,IF($A45=0,0,ROUND(SomaAgrupBM,15-13*ORÇAMENTO!$AF$11)))</f>
        <v>0</v>
      </c>
      <c r="Q45" s="338"/>
      <c r="R45" s="339"/>
      <c r="T45" s="118" t="str">
        <f t="shared" ca="1" si="5"/>
        <v/>
      </c>
      <c r="U45" s="164" t="str">
        <f t="shared" ca="1" si="6"/>
        <v/>
      </c>
      <c r="V45" s="165" t="str">
        <f ca="1">IF(AND($W45&gt;0,RegimeExecucao="Unitário"),$F45,"")</f>
        <v/>
      </c>
      <c r="W45" s="455">
        <f ca="1">IF($Y45&gt;0,CHOOSE(MATCH(RegimeExecucao,{"Unitário","Global"},0),IF($A45="S",$Y45/$X45,""),($Y45/$X45)*100),0)</f>
        <v>0</v>
      </c>
      <c r="X45" s="340" t="str">
        <f ca="1">IF($Y45&gt;0,CHOOSE(MATCH(RegimeExecucao,{"Unitário","Global"},0),IF($A45="S",ROUND($H45,ORÇAMENTO!$AF$10),""),ROUND($I45,ORÇAMENTO!$AF$11)),"")</f>
        <v/>
      </c>
      <c r="Y45" s="340">
        <f t="shared" ca="1" si="7"/>
        <v>0</v>
      </c>
      <c r="Z45" s="474"/>
      <c r="AB45" s="338"/>
      <c r="AC45" s="438"/>
      <c r="AD45" s="438"/>
      <c r="AE45" s="438"/>
      <c r="AF45" s="438"/>
      <c r="AG45" s="438"/>
      <c r="AH45" s="438"/>
      <c r="AI45" s="438"/>
      <c r="AJ45" s="438"/>
      <c r="AK45" s="438"/>
      <c r="AL45" s="438"/>
      <c r="AM45" s="339"/>
      <c r="AO45">
        <f ca="1">IF($A45="S",IF(BM!$I45=0,0,CHOOSE(MATCH(RegimeExecucao,{"Global","Unitário"},0),ROUND(ROUND(BM.MEDAcumulado,15-13*BM!$A$9)/100*BM!$I45,15-13*ORÇAMENTO!$AF$11),ROUND(ROUND(BM.MEDAcumulado,15-13*BM!$A$9)*ROUND(BM!$H45,15-13*ORÇAMENTO!$AF$10),15-13*ORÇAMENTO!$AF$11))),IF($A45=0,0,ROUND(SomaAgrupBM,15-13*ORÇAMENTO!$AF$11)))</f>
        <v>0</v>
      </c>
    </row>
    <row r="46" spans="1:41" ht="25.5" x14ac:dyDescent="0.2">
      <c r="A46" t="str">
        <f ca="1">ORÇAMENTO!C46</f>
        <v>S</v>
      </c>
      <c r="B46">
        <f ca="1">ORÇAMENTO!D46</f>
        <v>0</v>
      </c>
      <c r="C46" s="115" t="str">
        <f t="shared" ca="1" si="1"/>
        <v/>
      </c>
      <c r="D46" s="118" t="str">
        <f ca="1">ORÇAMENTO!O46</f>
        <v>-</v>
      </c>
      <c r="E46" s="164" t="str">
        <f t="shared" si="2"/>
        <v xml:space="preserve">SELANTE ELASTICO MONOCOMPONENTE A BASE DE POLIURETANO (PU) PARA JUNTAS DIVERSAS                                                                                                                                                                           </v>
      </c>
      <c r="F46" s="165" t="str">
        <f ca="1">IF(RegimeExecucao="Global","",ORÇAMENTO.Unidade)</f>
        <v xml:space="preserve">310ML </v>
      </c>
      <c r="G46" s="123">
        <f ca="1">IF(RegimeExecucao="Global","",ORÇAMENTO!T46)</f>
        <v>770.75</v>
      </c>
      <c r="H46" s="123">
        <f ca="1">IF(RegimeExecucao="Global","",ORÇAMENTO!W46)</f>
        <v>0</v>
      </c>
      <c r="I46" s="126">
        <f ca="1">ORÇAMENTO!X46</f>
        <v>0</v>
      </c>
      <c r="J46" s="334" t="e" cm="1">
        <f t="array" aca="1" ref="J46" ca="1">_xlfn.SINGLE(IF($A46="S",IF(CAIXA.Modo,BM.AFAnterior,BM.MEDAnterior),IF(AND(_xlfn.SINGLE(RegimeExecucao)="Global",$I46&gt;0,COUNTIF($AB$13:$AM$13,BM.medicao-1)&gt;0),M46/$I46*100,0)))</f>
        <v>#NAME?</v>
      </c>
      <c r="K46" s="123" t="e">
        <f t="shared" ca="1" si="3"/>
        <v>#NAME?</v>
      </c>
      <c r="L46" s="335" t="e" cm="1">
        <f t="array" aca="1" ref="L46" ca="1">_xlfn.SINGLE(IF($A46="S",IF(CAIXA.Modo,BM.AFAcumulado,BM.MEDAcumulado),IF(AND(_xlfn.SINGLE(RegimeExecucao)="Global",$I46&gt;0,COUNTIF($AB$13:$AM$13,BM.medicao)&gt;0),O46/$I46*100,0)))</f>
        <v>#NAME?</v>
      </c>
      <c r="M46" s="336">
        <f ca="1">IF($A46="S",VTOTALBM,IF($A46=0,0,ROUND(SomaAgrupBM,15-13*ORÇAMENTO!$AF$11)))</f>
        <v>0</v>
      </c>
      <c r="N46" s="337">
        <f t="shared" ca="1" si="4"/>
        <v>0</v>
      </c>
      <c r="O46" s="126">
        <f ca="1">IF($A46="S",VTOTALBM,IF($A46=0,0,ROUND(SomaAgrupBM,15-13*ORÇAMENTO!$AF$11)))</f>
        <v>0</v>
      </c>
      <c r="Q46" s="338"/>
      <c r="R46" s="339"/>
      <c r="T46" s="118" t="str">
        <f t="shared" ca="1" si="5"/>
        <v/>
      </c>
      <c r="U46" s="164" t="str">
        <f t="shared" ca="1" si="6"/>
        <v/>
      </c>
      <c r="V46" s="165" t="str">
        <f ca="1">IF(AND($W46&gt;0,RegimeExecucao="Unitário"),$F46,"")</f>
        <v/>
      </c>
      <c r="W46" s="455">
        <f ca="1">IF($Y46&gt;0,CHOOSE(MATCH(RegimeExecucao,{"Unitário","Global"},0),IF($A46="S",$Y46/$X46,""),($Y46/$X46)*100),0)</f>
        <v>0</v>
      </c>
      <c r="X46" s="340" t="str">
        <f ca="1">IF($Y46&gt;0,CHOOSE(MATCH(RegimeExecucao,{"Unitário","Global"},0),IF($A46="S",ROUND($H46,ORÇAMENTO!$AF$10),""),ROUND($I46,ORÇAMENTO!$AF$11)),"")</f>
        <v/>
      </c>
      <c r="Y46" s="340">
        <f t="shared" ca="1" si="7"/>
        <v>0</v>
      </c>
      <c r="Z46" s="474"/>
      <c r="AB46" s="338"/>
      <c r="AC46" s="438"/>
      <c r="AD46" s="438"/>
      <c r="AE46" s="438"/>
      <c r="AF46" s="438"/>
      <c r="AG46" s="438"/>
      <c r="AH46" s="438"/>
      <c r="AI46" s="438"/>
      <c r="AJ46" s="438"/>
      <c r="AK46" s="438"/>
      <c r="AL46" s="438"/>
      <c r="AM46" s="339"/>
      <c r="AO46">
        <f ca="1">IF($A46="S",IF(BM!$I46=0,0,CHOOSE(MATCH(RegimeExecucao,{"Global","Unitário"},0),ROUND(ROUND(BM.MEDAcumulado,15-13*BM!$A$9)/100*BM!$I46,15-13*ORÇAMENTO!$AF$11),ROUND(ROUND(BM.MEDAcumulado,15-13*BM!$A$9)*ROUND(BM!$H46,15-13*ORÇAMENTO!$AF$10),15-13*ORÇAMENTO!$AF$11))),IF($A46=0,0,ROUND(SomaAgrupBM,15-13*ORÇAMENTO!$AF$11)))</f>
        <v>0</v>
      </c>
    </row>
    <row r="47" spans="1:41" x14ac:dyDescent="0.2">
      <c r="A47">
        <f ca="1">ORÇAMENTO!C47</f>
        <v>2</v>
      </c>
      <c r="B47">
        <f ca="1">ORÇAMENTO!D47</f>
        <v>5</v>
      </c>
      <c r="C47" s="115" t="str">
        <f t="shared" ca="1" si="1"/>
        <v>F</v>
      </c>
      <c r="D47" s="118" t="str">
        <f ca="1">ORÇAMENTO!O47</f>
        <v>1.7.</v>
      </c>
      <c r="E47" s="164" t="str">
        <f t="shared" si="2"/>
        <v>FECHAMENTOS DOS MÓDULOS</v>
      </c>
      <c r="F47" s="165" t="str">
        <f ca="1">IF(RegimeExecucao="Global","",ORÇAMENTO.Unidade)</f>
        <v>-</v>
      </c>
      <c r="G47" s="123">
        <f ca="1">IF(RegimeExecucao="Global","",ORÇAMENTO!T47)</f>
        <v>0</v>
      </c>
      <c r="H47" s="123">
        <f ca="1">IF(RegimeExecucao="Global","",ORÇAMENTO!W47)</f>
        <v>0</v>
      </c>
      <c r="I47" s="126">
        <f ca="1">ORÇAMENTO!X47</f>
        <v>0</v>
      </c>
      <c r="J47" s="334" t="e" cm="1">
        <f t="array" aca="1" ref="J47" ca="1">_xlfn.SINGLE(IF($A47="S",IF(CAIXA.Modo,BM.AFAnterior,BM.MEDAnterior),IF(AND(_xlfn.SINGLE(RegimeExecucao)="Global",$I47&gt;0,COUNTIF($AB$13:$AM$13,BM.medicao-1)&gt;0),M47/$I47*100,0)))</f>
        <v>#NAME?</v>
      </c>
      <c r="K47" s="123" t="e">
        <f t="shared" ca="1" si="3"/>
        <v>#NAME?</v>
      </c>
      <c r="L47" s="335" t="e" cm="1">
        <f t="array" aca="1" ref="L47" ca="1">_xlfn.SINGLE(IF($A47="S",IF(CAIXA.Modo,BM.AFAcumulado,BM.MEDAcumulado),IF(AND(_xlfn.SINGLE(RegimeExecucao)="Global",$I47&gt;0,COUNTIF($AB$13:$AM$13,BM.medicao)&gt;0),O47/$I47*100,0)))</f>
        <v>#NAME?</v>
      </c>
      <c r="M47" s="336">
        <f ca="1">IF($A47="S",VTOTALBM,IF($A47=0,0,ROUND(SomaAgrupBM,15-13*ORÇAMENTO!$AF$11)))</f>
        <v>0</v>
      </c>
      <c r="N47" s="337">
        <f t="shared" ca="1" si="4"/>
        <v>0</v>
      </c>
      <c r="O47" s="126">
        <f ca="1">IF($A47="S",VTOTALBM,IF($A47=0,0,ROUND(SomaAgrupBM,15-13*ORÇAMENTO!$AF$11)))</f>
        <v>0</v>
      </c>
      <c r="Q47" s="338"/>
      <c r="R47" s="339"/>
      <c r="T47" s="118" t="str">
        <f t="shared" ca="1" si="5"/>
        <v/>
      </c>
      <c r="U47" s="164" t="str">
        <f t="shared" ca="1" si="6"/>
        <v/>
      </c>
      <c r="V47" s="165" t="str">
        <f ca="1">IF(AND($W47&gt;0,RegimeExecucao="Unitário"),$F47,"")</f>
        <v/>
      </c>
      <c r="W47" s="455">
        <f ca="1">IF($Y47&gt;0,CHOOSE(MATCH(RegimeExecucao,{"Unitário","Global"},0),IF($A47="S",$Y47/$X47,""),($Y47/$X47)*100),0)</f>
        <v>0</v>
      </c>
      <c r="X47" s="340" t="str">
        <f ca="1">IF($Y47&gt;0,CHOOSE(MATCH(RegimeExecucao,{"Unitário","Global"},0),IF($A47="S",ROUND($H47,ORÇAMENTO!$AF$10),""),ROUND($I47,ORÇAMENTO!$AF$11)),"")</f>
        <v/>
      </c>
      <c r="Y47" s="340">
        <f t="shared" ca="1" si="7"/>
        <v>0</v>
      </c>
      <c r="Z47" s="474"/>
      <c r="AB47" s="338"/>
      <c r="AC47" s="438"/>
      <c r="AD47" s="438"/>
      <c r="AE47" s="438"/>
      <c r="AF47" s="438"/>
      <c r="AG47" s="438"/>
      <c r="AH47" s="438"/>
      <c r="AI47" s="438"/>
      <c r="AJ47" s="438"/>
      <c r="AK47" s="438"/>
      <c r="AL47" s="438"/>
      <c r="AM47" s="339"/>
      <c r="AO47">
        <f ca="1">IF($A47="S",IF(BM!$I47=0,0,CHOOSE(MATCH(RegimeExecucao,{"Global","Unitário"},0),ROUND(ROUND(BM.MEDAcumulado,15-13*BM!$A$9)/100*BM!$I47,15-13*ORÇAMENTO!$AF$11),ROUND(ROUND(BM.MEDAcumulado,15-13*BM!$A$9)*ROUND(BM!$H47,15-13*ORÇAMENTO!$AF$10),15-13*ORÇAMENTO!$AF$11))),IF($A47=0,0,ROUND(SomaAgrupBM,15-13*ORÇAMENTO!$AF$11)))</f>
        <v>0</v>
      </c>
    </row>
    <row r="48" spans="1:41" ht="38.25" x14ac:dyDescent="0.2">
      <c r="A48" t="str">
        <f ca="1">ORÇAMENTO!C48</f>
        <v>S</v>
      </c>
      <c r="B48">
        <f ca="1">ORÇAMENTO!D48</f>
        <v>0</v>
      </c>
      <c r="C48" s="115" t="str">
        <f t="shared" ca="1" si="1"/>
        <v/>
      </c>
      <c r="D48" s="118" t="str">
        <f ca="1">ORÇAMENTO!O48</f>
        <v>-</v>
      </c>
      <c r="E48" s="164" t="str">
        <f t="shared" si="2"/>
        <v xml:space="preserve">PAINEL ESTRUTURAL PARA LAJE SECA REVESTIDO EM PLACA CIMENTICIA, DE 1,20 X 2,50 M, E = 40 MM - FORNECIMENTO E INSTALAÇÃO </v>
      </c>
      <c r="F48" s="165" t="str">
        <f ca="1">IF(RegimeExecucao="Global","",ORÇAMENTO.Unidade)</f>
        <v>M2</v>
      </c>
      <c r="G48" s="123">
        <f ca="1">IF(RegimeExecucao="Global","",ORÇAMENTO!T48)</f>
        <v>1042</v>
      </c>
      <c r="H48" s="123">
        <f ca="1">IF(RegimeExecucao="Global","",ORÇAMENTO!W48)</f>
        <v>0</v>
      </c>
      <c r="I48" s="126">
        <f ca="1">ORÇAMENTO!X48</f>
        <v>0</v>
      </c>
      <c r="J48" s="334" t="e" cm="1">
        <f t="array" aca="1" ref="J48" ca="1">_xlfn.SINGLE(IF($A48="S",IF(CAIXA.Modo,BM.AFAnterior,BM.MEDAnterior),IF(AND(_xlfn.SINGLE(RegimeExecucao)="Global",$I48&gt;0,COUNTIF($AB$13:$AM$13,BM.medicao-1)&gt;0),M48/$I48*100,0)))</f>
        <v>#NAME?</v>
      </c>
      <c r="K48" s="123" t="e">
        <f t="shared" ca="1" si="3"/>
        <v>#NAME?</v>
      </c>
      <c r="L48" s="335" t="e" cm="1">
        <f t="array" aca="1" ref="L48" ca="1">_xlfn.SINGLE(IF($A48="S",IF(CAIXA.Modo,BM.AFAcumulado,BM.MEDAcumulado),IF(AND(_xlfn.SINGLE(RegimeExecucao)="Global",$I48&gt;0,COUNTIF($AB$13:$AM$13,BM.medicao)&gt;0),O48/$I48*100,0)))</f>
        <v>#NAME?</v>
      </c>
      <c r="M48" s="336">
        <f ca="1">IF($A48="S",VTOTALBM,IF($A48=0,0,ROUND(SomaAgrupBM,15-13*ORÇAMENTO!$AF$11)))</f>
        <v>0</v>
      </c>
      <c r="N48" s="337">
        <f t="shared" ca="1" si="4"/>
        <v>0</v>
      </c>
      <c r="O48" s="126">
        <f ca="1">IF($A48="S",VTOTALBM,IF($A48=0,0,ROUND(SomaAgrupBM,15-13*ORÇAMENTO!$AF$11)))</f>
        <v>0</v>
      </c>
      <c r="Q48" s="338"/>
      <c r="R48" s="339"/>
      <c r="T48" s="118" t="str">
        <f t="shared" ca="1" si="5"/>
        <v/>
      </c>
      <c r="U48" s="164" t="str">
        <f t="shared" ca="1" si="6"/>
        <v/>
      </c>
      <c r="V48" s="165" t="str">
        <f ca="1">IF(AND($W48&gt;0,RegimeExecucao="Unitário"),$F48,"")</f>
        <v/>
      </c>
      <c r="W48" s="455">
        <f ca="1">IF($Y48&gt;0,CHOOSE(MATCH(RegimeExecucao,{"Unitário","Global"},0),IF($A48="S",$Y48/$X48,""),($Y48/$X48)*100),0)</f>
        <v>0</v>
      </c>
      <c r="X48" s="340" t="str">
        <f ca="1">IF($Y48&gt;0,CHOOSE(MATCH(RegimeExecucao,{"Unitário","Global"},0),IF($A48="S",ROUND($H48,ORÇAMENTO!$AF$10),""),ROUND($I48,ORÇAMENTO!$AF$11)),"")</f>
        <v/>
      </c>
      <c r="Y48" s="340">
        <f t="shared" ca="1" si="7"/>
        <v>0</v>
      </c>
      <c r="Z48" s="474"/>
      <c r="AB48" s="338"/>
      <c r="AC48" s="438"/>
      <c r="AD48" s="438"/>
      <c r="AE48" s="438"/>
      <c r="AF48" s="438"/>
      <c r="AG48" s="438"/>
      <c r="AH48" s="438"/>
      <c r="AI48" s="438"/>
      <c r="AJ48" s="438"/>
      <c r="AK48" s="438"/>
      <c r="AL48" s="438"/>
      <c r="AM48" s="339"/>
      <c r="AO48">
        <f ca="1">IF($A48="S",IF(BM!$I48=0,0,CHOOSE(MATCH(RegimeExecucao,{"Global","Unitário"},0),ROUND(ROUND(BM.MEDAcumulado,15-13*BM!$A$9)/100*BM!$I48,15-13*ORÇAMENTO!$AF$11),ROUND(ROUND(BM.MEDAcumulado,15-13*BM!$A$9)*ROUND(BM!$H48,15-13*ORÇAMENTO!$AF$10),15-13*ORÇAMENTO!$AF$11))),IF($A48=0,0,ROUND(SomaAgrupBM,15-13*ORÇAMENTO!$AF$11)))</f>
        <v>0</v>
      </c>
    </row>
    <row r="49" spans="1:41" ht="38.25" x14ac:dyDescent="0.2">
      <c r="A49" t="str">
        <f ca="1">ORÇAMENTO!C49</f>
        <v>S</v>
      </c>
      <c r="B49">
        <f ca="1">ORÇAMENTO!D49</f>
        <v>0</v>
      </c>
      <c r="C49" s="115" t="str">
        <f t="shared" ca="1" si="1"/>
        <v/>
      </c>
      <c r="D49" s="118" t="str">
        <f ca="1">ORÇAMENTO!O49</f>
        <v>-</v>
      </c>
      <c r="E49" s="164" t="str">
        <f t="shared" si="2"/>
        <v xml:space="preserve">PAINEL TERMOISOLANTE PARA FECHAMENTOS, LARGURA UTIL DE 1100 MM, COM ESPESSURA 40/50 MM (TETO) - FORNECIMENTO E INSTALAÇÃO </v>
      </c>
      <c r="F49" s="165" t="str">
        <f ca="1">IF(RegimeExecucao="Global","",ORÇAMENTO.Unidade)</f>
        <v>M2</v>
      </c>
      <c r="G49" s="123">
        <f ca="1">IF(RegimeExecucao="Global","",ORÇAMENTO!T49)</f>
        <v>1072.5</v>
      </c>
      <c r="H49" s="123">
        <f ca="1">IF(RegimeExecucao="Global","",ORÇAMENTO!W49)</f>
        <v>0</v>
      </c>
      <c r="I49" s="126">
        <f ca="1">ORÇAMENTO!X49</f>
        <v>0</v>
      </c>
      <c r="J49" s="334" t="e" cm="1">
        <f t="array" aca="1" ref="J49" ca="1">_xlfn.SINGLE(IF($A49="S",IF(CAIXA.Modo,BM.AFAnterior,BM.MEDAnterior),IF(AND(_xlfn.SINGLE(RegimeExecucao)="Global",$I49&gt;0,COUNTIF($AB$13:$AM$13,BM.medicao-1)&gt;0),M49/$I49*100,0)))</f>
        <v>#NAME?</v>
      </c>
      <c r="K49" s="123" t="e">
        <f t="shared" ca="1" si="3"/>
        <v>#NAME?</v>
      </c>
      <c r="L49" s="335" t="e" cm="1">
        <f t="array" aca="1" ref="L49" ca="1">_xlfn.SINGLE(IF($A49="S",IF(CAIXA.Modo,BM.AFAcumulado,BM.MEDAcumulado),IF(AND(_xlfn.SINGLE(RegimeExecucao)="Global",$I49&gt;0,COUNTIF($AB$13:$AM$13,BM.medicao)&gt;0),O49/$I49*100,0)))</f>
        <v>#NAME?</v>
      </c>
      <c r="M49" s="336">
        <f ca="1">IF($A49="S",VTOTALBM,IF($A49=0,0,ROUND(SomaAgrupBM,15-13*ORÇAMENTO!$AF$11)))</f>
        <v>0</v>
      </c>
      <c r="N49" s="337">
        <f t="shared" ca="1" si="4"/>
        <v>0</v>
      </c>
      <c r="O49" s="126">
        <f ca="1">IF($A49="S",VTOTALBM,IF($A49=0,0,ROUND(SomaAgrupBM,15-13*ORÇAMENTO!$AF$11)))</f>
        <v>0</v>
      </c>
      <c r="Q49" s="338"/>
      <c r="R49" s="339"/>
      <c r="T49" s="118" t="str">
        <f t="shared" ca="1" si="5"/>
        <v/>
      </c>
      <c r="U49" s="164" t="str">
        <f t="shared" ca="1" si="6"/>
        <v/>
      </c>
      <c r="V49" s="165" t="str">
        <f ca="1">IF(AND($W49&gt;0,RegimeExecucao="Unitário"),$F49,"")</f>
        <v/>
      </c>
      <c r="W49" s="455">
        <f ca="1">IF($Y49&gt;0,CHOOSE(MATCH(RegimeExecucao,{"Unitário","Global"},0),IF($A49="S",$Y49/$X49,""),($Y49/$X49)*100),0)</f>
        <v>0</v>
      </c>
      <c r="X49" s="340" t="str">
        <f ca="1">IF($Y49&gt;0,CHOOSE(MATCH(RegimeExecucao,{"Unitário","Global"},0),IF($A49="S",ROUND($H49,ORÇAMENTO!$AF$10),""),ROUND($I49,ORÇAMENTO!$AF$11)),"")</f>
        <v/>
      </c>
      <c r="Y49" s="340">
        <f t="shared" ca="1" si="7"/>
        <v>0</v>
      </c>
      <c r="Z49" s="474"/>
      <c r="AB49" s="338"/>
      <c r="AC49" s="438"/>
      <c r="AD49" s="438"/>
      <c r="AE49" s="438"/>
      <c r="AF49" s="438"/>
      <c r="AG49" s="438"/>
      <c r="AH49" s="438"/>
      <c r="AI49" s="438"/>
      <c r="AJ49" s="438"/>
      <c r="AK49" s="438"/>
      <c r="AL49" s="438"/>
      <c r="AM49" s="339"/>
      <c r="AO49">
        <f ca="1">IF($A49="S",IF(BM!$I49=0,0,CHOOSE(MATCH(RegimeExecucao,{"Global","Unitário"},0),ROUND(ROUND(BM.MEDAcumulado,15-13*BM!$A$9)/100*BM!$I49,15-13*ORÇAMENTO!$AF$11),ROUND(ROUND(BM.MEDAcumulado,15-13*BM!$A$9)*ROUND(BM!$H49,15-13*ORÇAMENTO!$AF$10),15-13*ORÇAMENTO!$AF$11))),IF($A49=0,0,ROUND(SomaAgrupBM,15-13*ORÇAMENTO!$AF$11)))</f>
        <v>0</v>
      </c>
    </row>
    <row r="50" spans="1:41" ht="38.25" x14ac:dyDescent="0.2">
      <c r="A50" t="str">
        <f ca="1">ORÇAMENTO!C50</f>
        <v>S</v>
      </c>
      <c r="B50">
        <f ca="1">ORÇAMENTO!D50</f>
        <v>0</v>
      </c>
      <c r="C50" s="115" t="str">
        <f t="shared" ca="1" si="1"/>
        <v/>
      </c>
      <c r="D50" s="118" t="str">
        <f ca="1">ORÇAMENTO!O50</f>
        <v>-</v>
      </c>
      <c r="E50" s="164" t="str">
        <f t="shared" si="2"/>
        <v xml:space="preserve">PAINEL TERMOISOLANTE PARA FECHAMENTOS, LARGURA UTIL DE 1100 MM, COM ESPESSURA 40/50 MM (PAREDE)- FORNECIMENTO E INSTALAÇÃO </v>
      </c>
      <c r="F50" s="165" t="str">
        <f ca="1">IF(RegimeExecucao="Global","",ORÇAMENTO.Unidade)</f>
        <v>M2</v>
      </c>
      <c r="G50" s="123">
        <f ca="1">IF(RegimeExecucao="Global","",ORÇAMENTO!T50)</f>
        <v>3042.6</v>
      </c>
      <c r="H50" s="123">
        <f ca="1">IF(RegimeExecucao="Global","",ORÇAMENTO!W50)</f>
        <v>0</v>
      </c>
      <c r="I50" s="126">
        <f ca="1">ORÇAMENTO!X50</f>
        <v>0</v>
      </c>
      <c r="J50" s="334" t="e" cm="1">
        <f t="array" aca="1" ref="J50" ca="1">_xlfn.SINGLE(IF($A50="S",IF(CAIXA.Modo,BM.AFAnterior,BM.MEDAnterior),IF(AND(_xlfn.SINGLE(RegimeExecucao)="Global",$I50&gt;0,COUNTIF($AB$13:$AM$13,BM.medicao-1)&gt;0),M50/$I50*100,0)))</f>
        <v>#NAME?</v>
      </c>
      <c r="K50" s="123" t="e">
        <f t="shared" ca="1" si="3"/>
        <v>#NAME?</v>
      </c>
      <c r="L50" s="335" t="e" cm="1">
        <f t="array" aca="1" ref="L50" ca="1">_xlfn.SINGLE(IF($A50="S",IF(CAIXA.Modo,BM.AFAcumulado,BM.MEDAcumulado),IF(AND(_xlfn.SINGLE(RegimeExecucao)="Global",$I50&gt;0,COUNTIF($AB$13:$AM$13,BM.medicao)&gt;0),O50/$I50*100,0)))</f>
        <v>#NAME?</v>
      </c>
      <c r="M50" s="336">
        <f ca="1">IF($A50="S",VTOTALBM,IF($A50=0,0,ROUND(SomaAgrupBM,15-13*ORÇAMENTO!$AF$11)))</f>
        <v>0</v>
      </c>
      <c r="N50" s="337">
        <f t="shared" ca="1" si="4"/>
        <v>0</v>
      </c>
      <c r="O50" s="126">
        <f ca="1">IF($A50="S",VTOTALBM,IF($A50=0,0,ROUND(SomaAgrupBM,15-13*ORÇAMENTO!$AF$11)))</f>
        <v>0</v>
      </c>
      <c r="Q50" s="338"/>
      <c r="R50" s="339"/>
      <c r="T50" s="118" t="str">
        <f t="shared" ca="1" si="5"/>
        <v/>
      </c>
      <c r="U50" s="164" t="str">
        <f t="shared" ca="1" si="6"/>
        <v/>
      </c>
      <c r="V50" s="165" t="str">
        <f ca="1">IF(AND($W50&gt;0,RegimeExecucao="Unitário"),$F50,"")</f>
        <v/>
      </c>
      <c r="W50" s="455">
        <f ca="1">IF($Y50&gt;0,CHOOSE(MATCH(RegimeExecucao,{"Unitário","Global"},0),IF($A50="S",$Y50/$X50,""),($Y50/$X50)*100),0)</f>
        <v>0</v>
      </c>
      <c r="X50" s="340" t="str">
        <f ca="1">IF($Y50&gt;0,CHOOSE(MATCH(RegimeExecucao,{"Unitário","Global"},0),IF($A50="S",ROUND($H50,ORÇAMENTO!$AF$10),""),ROUND($I50,ORÇAMENTO!$AF$11)),"")</f>
        <v/>
      </c>
      <c r="Y50" s="340">
        <f t="shared" ca="1" si="7"/>
        <v>0</v>
      </c>
      <c r="Z50" s="474"/>
      <c r="AB50" s="338"/>
      <c r="AC50" s="438"/>
      <c r="AD50" s="438"/>
      <c r="AE50" s="438"/>
      <c r="AF50" s="438"/>
      <c r="AG50" s="438"/>
      <c r="AH50" s="438"/>
      <c r="AI50" s="438"/>
      <c r="AJ50" s="438"/>
      <c r="AK50" s="438"/>
      <c r="AL50" s="438"/>
      <c r="AM50" s="339"/>
      <c r="AO50">
        <f ca="1">IF($A50="S",IF(BM!$I50=0,0,CHOOSE(MATCH(RegimeExecucao,{"Global","Unitário"},0),ROUND(ROUND(BM.MEDAcumulado,15-13*BM!$A$9)/100*BM!$I50,15-13*ORÇAMENTO!$AF$11),ROUND(ROUND(BM.MEDAcumulado,15-13*BM!$A$9)*ROUND(BM!$H50,15-13*ORÇAMENTO!$AF$10),15-13*ORÇAMENTO!$AF$11))),IF($A50=0,0,ROUND(SomaAgrupBM,15-13*ORÇAMENTO!$AF$11)))</f>
        <v>0</v>
      </c>
    </row>
    <row r="51" spans="1:41" ht="25.5" x14ac:dyDescent="0.2">
      <c r="A51" t="str">
        <f ca="1">ORÇAMENTO!C51</f>
        <v>S</v>
      </c>
      <c r="B51">
        <f ca="1">ORÇAMENTO!D51</f>
        <v>0</v>
      </c>
      <c r="C51" s="115" t="str">
        <f t="shared" ca="1" si="1"/>
        <v/>
      </c>
      <c r="D51" s="118" t="str">
        <f ca="1">ORÇAMENTO!O51</f>
        <v>-</v>
      </c>
      <c r="E51" s="164" t="str">
        <f t="shared" si="2"/>
        <v>ACABAMENTO DE RODAPÉ E RODAFORRO EM PERFIL METÁLICO -  FORNECIMENTO E INSTALAÇÃO</v>
      </c>
      <c r="F51" s="165" t="str">
        <f ca="1">IF(RegimeExecucao="Global","",ORÇAMENTO.Unidade)</f>
        <v>M</v>
      </c>
      <c r="G51" s="123">
        <f ca="1">IF(RegimeExecucao="Global","",ORÇAMENTO!T51)</f>
        <v>2101.2600000000002</v>
      </c>
      <c r="H51" s="123">
        <f ca="1">IF(RegimeExecucao="Global","",ORÇAMENTO!W51)</f>
        <v>0</v>
      </c>
      <c r="I51" s="126">
        <f ca="1">ORÇAMENTO!X51</f>
        <v>0</v>
      </c>
      <c r="J51" s="334" t="e" cm="1">
        <f t="array" aca="1" ref="J51" ca="1">_xlfn.SINGLE(IF($A51="S",IF(CAIXA.Modo,BM.AFAnterior,BM.MEDAnterior),IF(AND(_xlfn.SINGLE(RegimeExecucao)="Global",$I51&gt;0,COUNTIF($AB$13:$AM$13,BM.medicao-1)&gt;0),M51/$I51*100,0)))</f>
        <v>#NAME?</v>
      </c>
      <c r="K51" s="123" t="e">
        <f t="shared" ca="1" si="3"/>
        <v>#NAME?</v>
      </c>
      <c r="L51" s="335" t="e" cm="1">
        <f t="array" aca="1" ref="L51" ca="1">_xlfn.SINGLE(IF($A51="S",IF(CAIXA.Modo,BM.AFAcumulado,BM.MEDAcumulado),IF(AND(_xlfn.SINGLE(RegimeExecucao)="Global",$I51&gt;0,COUNTIF($AB$13:$AM$13,BM.medicao)&gt;0),O51/$I51*100,0)))</f>
        <v>#NAME?</v>
      </c>
      <c r="M51" s="336">
        <f ca="1">IF($A51="S",VTOTALBM,IF($A51=0,0,ROUND(SomaAgrupBM,15-13*ORÇAMENTO!$AF$11)))</f>
        <v>0</v>
      </c>
      <c r="N51" s="337">
        <f t="shared" ca="1" si="4"/>
        <v>0</v>
      </c>
      <c r="O51" s="126">
        <f ca="1">IF($A51="S",VTOTALBM,IF($A51=0,0,ROUND(SomaAgrupBM,15-13*ORÇAMENTO!$AF$11)))</f>
        <v>0</v>
      </c>
      <c r="Q51" s="338"/>
      <c r="R51" s="339"/>
      <c r="T51" s="118" t="str">
        <f t="shared" ca="1" si="5"/>
        <v/>
      </c>
      <c r="U51" s="164" t="str">
        <f t="shared" ca="1" si="6"/>
        <v/>
      </c>
      <c r="V51" s="165" t="str">
        <f ca="1">IF(AND($W51&gt;0,RegimeExecucao="Unitário"),$F51,"")</f>
        <v/>
      </c>
      <c r="W51" s="455">
        <f ca="1">IF($Y51&gt;0,CHOOSE(MATCH(RegimeExecucao,{"Unitário","Global"},0),IF($A51="S",$Y51/$X51,""),($Y51/$X51)*100),0)</f>
        <v>0</v>
      </c>
      <c r="X51" s="340" t="str">
        <f ca="1">IF($Y51&gt;0,CHOOSE(MATCH(RegimeExecucao,{"Unitário","Global"},0),IF($A51="S",ROUND($H51,ORÇAMENTO!$AF$10),""),ROUND($I51,ORÇAMENTO!$AF$11)),"")</f>
        <v/>
      </c>
      <c r="Y51" s="340">
        <f t="shared" ca="1" si="7"/>
        <v>0</v>
      </c>
      <c r="Z51" s="474"/>
      <c r="AB51" s="338"/>
      <c r="AC51" s="438"/>
      <c r="AD51" s="438"/>
      <c r="AE51" s="438"/>
      <c r="AF51" s="438"/>
      <c r="AG51" s="438"/>
      <c r="AH51" s="438"/>
      <c r="AI51" s="438"/>
      <c r="AJ51" s="438"/>
      <c r="AK51" s="438"/>
      <c r="AL51" s="438"/>
      <c r="AM51" s="339"/>
      <c r="AO51">
        <f ca="1">IF($A51="S",IF(BM!$I51=0,0,CHOOSE(MATCH(RegimeExecucao,{"Global","Unitário"},0),ROUND(ROUND(BM.MEDAcumulado,15-13*BM!$A$9)/100*BM!$I51,15-13*ORÇAMENTO!$AF$11),ROUND(ROUND(BM.MEDAcumulado,15-13*BM!$A$9)*ROUND(BM!$H51,15-13*ORÇAMENTO!$AF$10),15-13*ORÇAMENTO!$AF$11))),IF($A51=0,0,ROUND(SomaAgrupBM,15-13*ORÇAMENTO!$AF$11)))</f>
        <v>0</v>
      </c>
    </row>
    <row r="52" spans="1:41" x14ac:dyDescent="0.2">
      <c r="A52">
        <f ca="1">ORÇAMENTO!C52</f>
        <v>2</v>
      </c>
      <c r="B52">
        <f ca="1">ORÇAMENTO!D52</f>
        <v>2</v>
      </c>
      <c r="C52" s="115" t="str">
        <f t="shared" ca="1" si="1"/>
        <v>F</v>
      </c>
      <c r="D52" s="118" t="str">
        <f ca="1">ORÇAMENTO!O52</f>
        <v>1.8.</v>
      </c>
      <c r="E52" s="164" t="str">
        <f t="shared" si="2"/>
        <v>PINTURA DA ESTRUTURA DOS MÓDULOS</v>
      </c>
      <c r="F52" s="165" t="str">
        <f ca="1">IF(RegimeExecucao="Global","",ORÇAMENTO.Unidade)</f>
        <v>-</v>
      </c>
      <c r="G52" s="123">
        <f ca="1">IF(RegimeExecucao="Global","",ORÇAMENTO!T52)</f>
        <v>0</v>
      </c>
      <c r="H52" s="123">
        <f ca="1">IF(RegimeExecucao="Global","",ORÇAMENTO!W52)</f>
        <v>0</v>
      </c>
      <c r="I52" s="126">
        <f ca="1">ORÇAMENTO!X52</f>
        <v>0</v>
      </c>
      <c r="J52" s="334" t="e" cm="1">
        <f t="array" aca="1" ref="J52" ca="1">_xlfn.SINGLE(IF($A52="S",IF(CAIXA.Modo,BM.AFAnterior,BM.MEDAnterior),IF(AND(_xlfn.SINGLE(RegimeExecucao)="Global",$I52&gt;0,COUNTIF($AB$13:$AM$13,BM.medicao-1)&gt;0),M52/$I52*100,0)))</f>
        <v>#NAME?</v>
      </c>
      <c r="K52" s="123" t="e">
        <f t="shared" ca="1" si="3"/>
        <v>#NAME?</v>
      </c>
      <c r="L52" s="335" t="e" cm="1">
        <f t="array" aca="1" ref="L52" ca="1">_xlfn.SINGLE(IF($A52="S",IF(CAIXA.Modo,BM.AFAcumulado,BM.MEDAcumulado),IF(AND(_xlfn.SINGLE(RegimeExecucao)="Global",$I52&gt;0,COUNTIF($AB$13:$AM$13,BM.medicao)&gt;0),O52/$I52*100,0)))</f>
        <v>#NAME?</v>
      </c>
      <c r="M52" s="336">
        <f ca="1">IF($A52="S",VTOTALBM,IF($A52=0,0,ROUND(SomaAgrupBM,15-13*ORÇAMENTO!$AF$11)))</f>
        <v>0</v>
      </c>
      <c r="N52" s="337">
        <f t="shared" ca="1" si="4"/>
        <v>0</v>
      </c>
      <c r="O52" s="126">
        <f ca="1">IF($A52="S",VTOTALBM,IF($A52=0,0,ROUND(SomaAgrupBM,15-13*ORÇAMENTO!$AF$11)))</f>
        <v>0</v>
      </c>
      <c r="Q52" s="338"/>
      <c r="R52" s="339"/>
      <c r="T52" s="118" t="str">
        <f t="shared" ca="1" si="5"/>
        <v/>
      </c>
      <c r="U52" s="164" t="str">
        <f t="shared" ca="1" si="6"/>
        <v/>
      </c>
      <c r="V52" s="165" t="str">
        <f ca="1">IF(AND($W52&gt;0,RegimeExecucao="Unitário"),$F52,"")</f>
        <v/>
      </c>
      <c r="W52" s="455">
        <f ca="1">IF($Y52&gt;0,CHOOSE(MATCH(RegimeExecucao,{"Unitário","Global"},0),IF($A52="S",$Y52/$X52,""),($Y52/$X52)*100),0)</f>
        <v>0</v>
      </c>
      <c r="X52" s="340" t="str">
        <f ca="1">IF($Y52&gt;0,CHOOSE(MATCH(RegimeExecucao,{"Unitário","Global"},0),IF($A52="S",ROUND($H52,ORÇAMENTO!$AF$10),""),ROUND($I52,ORÇAMENTO!$AF$11)),"")</f>
        <v/>
      </c>
      <c r="Y52" s="340">
        <f t="shared" ca="1" si="7"/>
        <v>0</v>
      </c>
      <c r="Z52" s="474"/>
      <c r="AB52" s="338"/>
      <c r="AC52" s="438"/>
      <c r="AD52" s="438"/>
      <c r="AE52" s="438"/>
      <c r="AF52" s="438"/>
      <c r="AG52" s="438"/>
      <c r="AH52" s="438"/>
      <c r="AI52" s="438"/>
      <c r="AJ52" s="438"/>
      <c r="AK52" s="438"/>
      <c r="AL52" s="438"/>
      <c r="AM52" s="339"/>
      <c r="AO52">
        <f ca="1">IF($A52="S",IF(BM!$I52=0,0,CHOOSE(MATCH(RegimeExecucao,{"Global","Unitário"},0),ROUND(ROUND(BM.MEDAcumulado,15-13*BM!$A$9)/100*BM!$I52,15-13*ORÇAMENTO!$AF$11),ROUND(ROUND(BM.MEDAcumulado,15-13*BM!$A$9)*ROUND(BM!$H52,15-13*ORÇAMENTO!$AF$10),15-13*ORÇAMENTO!$AF$11))),IF($A52=0,0,ROUND(SomaAgrupBM,15-13*ORÇAMENTO!$AF$11)))</f>
        <v>0</v>
      </c>
    </row>
    <row r="53" spans="1:41" ht="38.25" x14ac:dyDescent="0.2">
      <c r="A53" t="str">
        <f ca="1">ORÇAMENTO!C53</f>
        <v>S</v>
      </c>
      <c r="B53">
        <f ca="1">ORÇAMENTO!D53</f>
        <v>0</v>
      </c>
      <c r="C53" s="115" t="str">
        <f t="shared" ca="1" si="1"/>
        <v/>
      </c>
      <c r="D53" s="118" t="str">
        <f ca="1">ORÇAMENTO!O53</f>
        <v>-</v>
      </c>
      <c r="E53" s="164" t="str">
        <f t="shared" si="2"/>
        <v>PINTURA COM TINTA EPOXÍDICA DE ACABAMENTO PULVERIZADA SOBRE PERFIL METÁLICO EXECUTADO EM FÁBRICA (02 DEMÃOS). AF_01/2020_PE</v>
      </c>
      <c r="F53" s="165" t="str">
        <f ca="1">IF(RegimeExecucao="Global","",ORÇAMENTO.Unidade)</f>
        <v>M2</v>
      </c>
      <c r="G53" s="123">
        <f ca="1">IF(RegimeExecucao="Global","",ORÇAMENTO!T53)</f>
        <v>1573.37</v>
      </c>
      <c r="H53" s="123">
        <f ca="1">IF(RegimeExecucao="Global","",ORÇAMENTO!W53)</f>
        <v>0</v>
      </c>
      <c r="I53" s="126">
        <f ca="1">ORÇAMENTO!X53</f>
        <v>0</v>
      </c>
      <c r="J53" s="334" t="e" cm="1">
        <f t="array" aca="1" ref="J53" ca="1">_xlfn.SINGLE(IF($A53="S",IF(CAIXA.Modo,BM.AFAnterior,BM.MEDAnterior),IF(AND(_xlfn.SINGLE(RegimeExecucao)="Global",$I53&gt;0,COUNTIF($AB$13:$AM$13,BM.medicao-1)&gt;0),M53/$I53*100,0)))</f>
        <v>#NAME?</v>
      </c>
      <c r="K53" s="123" t="e">
        <f t="shared" ca="1" si="3"/>
        <v>#NAME?</v>
      </c>
      <c r="L53" s="335" t="e" cm="1">
        <f t="array" aca="1" ref="L53" ca="1">_xlfn.SINGLE(IF($A53="S",IF(CAIXA.Modo,BM.AFAcumulado,BM.MEDAcumulado),IF(AND(_xlfn.SINGLE(RegimeExecucao)="Global",$I53&gt;0,COUNTIF($AB$13:$AM$13,BM.medicao)&gt;0),O53/$I53*100,0)))</f>
        <v>#NAME?</v>
      </c>
      <c r="M53" s="336">
        <f ca="1">IF($A53="S",VTOTALBM,IF($A53=0,0,ROUND(SomaAgrupBM,15-13*ORÇAMENTO!$AF$11)))</f>
        <v>0</v>
      </c>
      <c r="N53" s="337">
        <f t="shared" ca="1" si="4"/>
        <v>0</v>
      </c>
      <c r="O53" s="126">
        <f ca="1">IF($A53="S",VTOTALBM,IF($A53=0,0,ROUND(SomaAgrupBM,15-13*ORÇAMENTO!$AF$11)))</f>
        <v>0</v>
      </c>
      <c r="Q53" s="338"/>
      <c r="R53" s="339"/>
      <c r="T53" s="118" t="str">
        <f t="shared" ca="1" si="5"/>
        <v/>
      </c>
      <c r="U53" s="164" t="str">
        <f t="shared" ca="1" si="6"/>
        <v/>
      </c>
      <c r="V53" s="165" t="str">
        <f ca="1">IF(AND($W53&gt;0,RegimeExecucao="Unitário"),$F53,"")</f>
        <v/>
      </c>
      <c r="W53" s="455">
        <f ca="1">IF($Y53&gt;0,CHOOSE(MATCH(RegimeExecucao,{"Unitário","Global"},0),IF($A53="S",$Y53/$X53,""),($Y53/$X53)*100),0)</f>
        <v>0</v>
      </c>
      <c r="X53" s="340" t="str">
        <f ca="1">IF($Y53&gt;0,CHOOSE(MATCH(RegimeExecucao,{"Unitário","Global"},0),IF($A53="S",ROUND($H53,ORÇAMENTO!$AF$10),""),ROUND($I53,ORÇAMENTO!$AF$11)),"")</f>
        <v/>
      </c>
      <c r="Y53" s="340">
        <f t="shared" ca="1" si="7"/>
        <v>0</v>
      </c>
      <c r="Z53" s="474"/>
      <c r="AB53" s="338"/>
      <c r="AC53" s="438"/>
      <c r="AD53" s="438"/>
      <c r="AE53" s="438"/>
      <c r="AF53" s="438"/>
      <c r="AG53" s="438"/>
      <c r="AH53" s="438"/>
      <c r="AI53" s="438"/>
      <c r="AJ53" s="438"/>
      <c r="AK53" s="438"/>
      <c r="AL53" s="438"/>
      <c r="AM53" s="339"/>
      <c r="AO53">
        <f ca="1">IF($A53="S",IF(BM!$I53=0,0,CHOOSE(MATCH(RegimeExecucao,{"Global","Unitário"},0),ROUND(ROUND(BM.MEDAcumulado,15-13*BM!$A$9)/100*BM!$I53,15-13*ORÇAMENTO!$AF$11),ROUND(ROUND(BM.MEDAcumulado,15-13*BM!$A$9)*ROUND(BM!$H53,15-13*ORÇAMENTO!$AF$10),15-13*ORÇAMENTO!$AF$11))),IF($A53=0,0,ROUND(SomaAgrupBM,15-13*ORÇAMENTO!$AF$11)))</f>
        <v>0</v>
      </c>
    </row>
    <row r="54" spans="1:41" x14ac:dyDescent="0.2">
      <c r="A54">
        <f ca="1">ORÇAMENTO!C54</f>
        <v>2</v>
      </c>
      <c r="B54">
        <f ca="1">ORÇAMENTO!D54</f>
        <v>61</v>
      </c>
      <c r="C54" s="115" t="str">
        <f t="shared" ca="1" si="1"/>
        <v>F</v>
      </c>
      <c r="D54" s="118" t="str">
        <f ca="1">ORÇAMENTO!O54</f>
        <v>1.9.</v>
      </c>
      <c r="E54" s="164" t="str">
        <f t="shared" si="2"/>
        <v>INSTALAÇÕES ELÉTRICAS</v>
      </c>
      <c r="F54" s="165" t="str">
        <f ca="1">IF(RegimeExecucao="Global","",ORÇAMENTO.Unidade)</f>
        <v>-</v>
      </c>
      <c r="G54" s="123">
        <f ca="1">IF(RegimeExecucao="Global","",ORÇAMENTO!T54)</f>
        <v>0</v>
      </c>
      <c r="H54" s="123">
        <f ca="1">IF(RegimeExecucao="Global","",ORÇAMENTO!W54)</f>
        <v>0</v>
      </c>
      <c r="I54" s="126">
        <f ca="1">ORÇAMENTO!X54</f>
        <v>0</v>
      </c>
      <c r="J54" s="334" t="e" cm="1">
        <f t="array" aca="1" ref="J54" ca="1">_xlfn.SINGLE(IF($A54="S",IF(CAIXA.Modo,BM.AFAnterior,BM.MEDAnterior),IF(AND(_xlfn.SINGLE(RegimeExecucao)="Global",$I54&gt;0,COUNTIF($AB$13:$AM$13,BM.medicao-1)&gt;0),M54/$I54*100,0)))</f>
        <v>#NAME?</v>
      </c>
      <c r="K54" s="123" t="e">
        <f t="shared" ca="1" si="3"/>
        <v>#NAME?</v>
      </c>
      <c r="L54" s="335" t="e" cm="1">
        <f t="array" aca="1" ref="L54" ca="1">_xlfn.SINGLE(IF($A54="S",IF(CAIXA.Modo,BM.AFAcumulado,BM.MEDAcumulado),IF(AND(_xlfn.SINGLE(RegimeExecucao)="Global",$I54&gt;0,COUNTIF($AB$13:$AM$13,BM.medicao)&gt;0),O54/$I54*100,0)))</f>
        <v>#NAME?</v>
      </c>
      <c r="M54" s="336">
        <f ca="1">IF($A54="S",VTOTALBM,IF($A54=0,0,ROUND(SomaAgrupBM,15-13*ORÇAMENTO!$AF$11)))</f>
        <v>0</v>
      </c>
      <c r="N54" s="337">
        <f t="shared" ca="1" si="4"/>
        <v>0</v>
      </c>
      <c r="O54" s="126">
        <f ca="1">IF($A54="S",VTOTALBM,IF($A54=0,0,ROUND(SomaAgrupBM,15-13*ORÇAMENTO!$AF$11)))</f>
        <v>0</v>
      </c>
      <c r="Q54" s="338"/>
      <c r="R54" s="339"/>
      <c r="T54" s="118" t="str">
        <f t="shared" ca="1" si="5"/>
        <v/>
      </c>
      <c r="U54" s="164" t="str">
        <f t="shared" ca="1" si="6"/>
        <v/>
      </c>
      <c r="V54" s="165" t="str">
        <f ca="1">IF(AND($W54&gt;0,RegimeExecucao="Unitário"),$F54,"")</f>
        <v/>
      </c>
      <c r="W54" s="455">
        <f ca="1">IF($Y54&gt;0,CHOOSE(MATCH(RegimeExecucao,{"Unitário","Global"},0),IF($A54="S",$Y54/$X54,""),($Y54/$X54)*100),0)</f>
        <v>0</v>
      </c>
      <c r="X54" s="340" t="str">
        <f ca="1">IF($Y54&gt;0,CHOOSE(MATCH(RegimeExecucao,{"Unitário","Global"},0),IF($A54="S",ROUND($H54,ORÇAMENTO!$AF$10),""),ROUND($I54,ORÇAMENTO!$AF$11)),"")</f>
        <v/>
      </c>
      <c r="Y54" s="340">
        <f t="shared" ca="1" si="7"/>
        <v>0</v>
      </c>
      <c r="Z54" s="474"/>
      <c r="AB54" s="338"/>
      <c r="AC54" s="438"/>
      <c r="AD54" s="438"/>
      <c r="AE54" s="438"/>
      <c r="AF54" s="438"/>
      <c r="AG54" s="438"/>
      <c r="AH54" s="438"/>
      <c r="AI54" s="438"/>
      <c r="AJ54" s="438"/>
      <c r="AK54" s="438"/>
      <c r="AL54" s="438"/>
      <c r="AM54" s="339"/>
      <c r="AO54">
        <f ca="1">IF($A54="S",IF(BM!$I54=0,0,CHOOSE(MATCH(RegimeExecucao,{"Global","Unitário"},0),ROUND(ROUND(BM.MEDAcumulado,15-13*BM!$A$9)/100*BM!$I54,15-13*ORÇAMENTO!$AF$11),ROUND(ROUND(BM.MEDAcumulado,15-13*BM!$A$9)*ROUND(BM!$H54,15-13*ORÇAMENTO!$AF$10),15-13*ORÇAMENTO!$AF$11))),IF($A54=0,0,ROUND(SomaAgrupBM,15-13*ORÇAMENTO!$AF$11)))</f>
        <v>0</v>
      </c>
    </row>
    <row r="55" spans="1:41" ht="38.25" x14ac:dyDescent="0.2">
      <c r="A55" t="str">
        <f ca="1">ORÇAMENTO!C55</f>
        <v>S</v>
      </c>
      <c r="B55">
        <f ca="1">ORÇAMENTO!D55</f>
        <v>0</v>
      </c>
      <c r="C55" s="115" t="str">
        <f t="shared" ca="1" si="1"/>
        <v/>
      </c>
      <c r="D55" s="118" t="str">
        <f ca="1">ORÇAMENTO!O55</f>
        <v>-</v>
      </c>
      <c r="E55" s="164" t="str">
        <f t="shared" si="2"/>
        <v>INTERRUPTOR SIMPLES (1 MÓDULO) COM 1 TOMADA DE EMBUTIR 2P+T 10 A, INCLUINDO SUPORTE E PLACA - FORNECIMENTO E INSTALAÇÃO. AF_03/2023</v>
      </c>
      <c r="F55" s="165" t="str">
        <f ca="1">IF(RegimeExecucao="Global","",ORÇAMENTO.Unidade)</f>
        <v>UN</v>
      </c>
      <c r="G55" s="123">
        <f ca="1">IF(RegimeExecucao="Global","",ORÇAMENTO!T55)</f>
        <v>22</v>
      </c>
      <c r="H55" s="123">
        <f ca="1">IF(RegimeExecucao="Global","",ORÇAMENTO!W55)</f>
        <v>0</v>
      </c>
      <c r="I55" s="126">
        <f ca="1">ORÇAMENTO!X55</f>
        <v>0</v>
      </c>
      <c r="J55" s="334" t="e" cm="1">
        <f t="array" aca="1" ref="J55" ca="1">_xlfn.SINGLE(IF($A55="S",IF(CAIXA.Modo,BM.AFAnterior,BM.MEDAnterior),IF(AND(_xlfn.SINGLE(RegimeExecucao)="Global",$I55&gt;0,COUNTIF($AB$13:$AM$13,BM.medicao-1)&gt;0),M55/$I55*100,0)))</f>
        <v>#NAME?</v>
      </c>
      <c r="K55" s="123" t="e">
        <f t="shared" ca="1" si="3"/>
        <v>#NAME?</v>
      </c>
      <c r="L55" s="335" t="e" cm="1">
        <f t="array" aca="1" ref="L55" ca="1">_xlfn.SINGLE(IF($A55="S",IF(CAIXA.Modo,BM.AFAcumulado,BM.MEDAcumulado),IF(AND(_xlfn.SINGLE(RegimeExecucao)="Global",$I55&gt;0,COUNTIF($AB$13:$AM$13,BM.medicao)&gt;0),O55/$I55*100,0)))</f>
        <v>#NAME?</v>
      </c>
      <c r="M55" s="336">
        <f ca="1">IF($A55="S",VTOTALBM,IF($A55=0,0,ROUND(SomaAgrupBM,15-13*ORÇAMENTO!$AF$11)))</f>
        <v>0</v>
      </c>
      <c r="N55" s="337">
        <f t="shared" ca="1" si="4"/>
        <v>0</v>
      </c>
      <c r="O55" s="126">
        <f ca="1">IF($A55="S",VTOTALBM,IF($A55=0,0,ROUND(SomaAgrupBM,15-13*ORÇAMENTO!$AF$11)))</f>
        <v>0</v>
      </c>
      <c r="Q55" s="338"/>
      <c r="R55" s="339"/>
      <c r="T55" s="118" t="str">
        <f t="shared" ca="1" si="5"/>
        <v/>
      </c>
      <c r="U55" s="164" t="str">
        <f t="shared" ca="1" si="6"/>
        <v/>
      </c>
      <c r="V55" s="165" t="str">
        <f ca="1">IF(AND($W55&gt;0,RegimeExecucao="Unitário"),$F55,"")</f>
        <v/>
      </c>
      <c r="W55" s="455">
        <f ca="1">IF($Y55&gt;0,CHOOSE(MATCH(RegimeExecucao,{"Unitário","Global"},0),IF($A55="S",$Y55/$X55,""),($Y55/$X55)*100),0)</f>
        <v>0</v>
      </c>
      <c r="X55" s="340" t="str">
        <f ca="1">IF($Y55&gt;0,CHOOSE(MATCH(RegimeExecucao,{"Unitário","Global"},0),IF($A55="S",ROUND($H55,ORÇAMENTO!$AF$10),""),ROUND($I55,ORÇAMENTO!$AF$11)),"")</f>
        <v/>
      </c>
      <c r="Y55" s="340">
        <f t="shared" ca="1" si="7"/>
        <v>0</v>
      </c>
      <c r="Z55" s="474"/>
      <c r="AB55" s="338"/>
      <c r="AC55" s="438"/>
      <c r="AD55" s="438"/>
      <c r="AE55" s="438"/>
      <c r="AF55" s="438"/>
      <c r="AG55" s="438"/>
      <c r="AH55" s="438"/>
      <c r="AI55" s="438"/>
      <c r="AJ55" s="438"/>
      <c r="AK55" s="438"/>
      <c r="AL55" s="438"/>
      <c r="AM55" s="339"/>
      <c r="AO55">
        <f ca="1">IF($A55="S",IF(BM!$I55=0,0,CHOOSE(MATCH(RegimeExecucao,{"Global","Unitário"},0),ROUND(ROUND(BM.MEDAcumulado,15-13*BM!$A$9)/100*BM!$I55,15-13*ORÇAMENTO!$AF$11),ROUND(ROUND(BM.MEDAcumulado,15-13*BM!$A$9)*ROUND(BM!$H55,15-13*ORÇAMENTO!$AF$10),15-13*ORÇAMENTO!$AF$11))),IF($A55=0,0,ROUND(SomaAgrupBM,15-13*ORÇAMENTO!$AF$11)))</f>
        <v>0</v>
      </c>
    </row>
    <row r="56" spans="1:41" ht="38.25" x14ac:dyDescent="0.2">
      <c r="A56" t="str">
        <f ca="1">ORÇAMENTO!C56</f>
        <v>S</v>
      </c>
      <c r="B56">
        <f ca="1">ORÇAMENTO!D56</f>
        <v>0</v>
      </c>
      <c r="C56" s="115" t="str">
        <f t="shared" ca="1" si="1"/>
        <v/>
      </c>
      <c r="D56" s="118" t="str">
        <f ca="1">ORÇAMENTO!O56</f>
        <v>-</v>
      </c>
      <c r="E56" s="164" t="str">
        <f t="shared" si="2"/>
        <v>INTERRUPTOR PARALELO (1 MÓDULO) COM 1 TOMADA DE EMBUTIR 2P+T 10 A, INCLUINDO SUPORTE E PLACA - FORNECIMENTO E INSTALAÇÃO. AF_03/2023</v>
      </c>
      <c r="F56" s="165" t="str">
        <f ca="1">IF(RegimeExecucao="Global","",ORÇAMENTO.Unidade)</f>
        <v>UN</v>
      </c>
      <c r="G56" s="123">
        <f ca="1">IF(RegimeExecucao="Global","",ORÇAMENTO!T56)</f>
        <v>5</v>
      </c>
      <c r="H56" s="123">
        <f ca="1">IF(RegimeExecucao="Global","",ORÇAMENTO!W56)</f>
        <v>0</v>
      </c>
      <c r="I56" s="126">
        <f ca="1">ORÇAMENTO!X56</f>
        <v>0</v>
      </c>
      <c r="J56" s="334" t="e" cm="1">
        <f t="array" aca="1" ref="J56" ca="1">_xlfn.SINGLE(IF($A56="S",IF(CAIXA.Modo,BM.AFAnterior,BM.MEDAnterior),IF(AND(_xlfn.SINGLE(RegimeExecucao)="Global",$I56&gt;0,COUNTIF($AB$13:$AM$13,BM.medicao-1)&gt;0),M56/$I56*100,0)))</f>
        <v>#NAME?</v>
      </c>
      <c r="K56" s="123" t="e">
        <f t="shared" ca="1" si="3"/>
        <v>#NAME?</v>
      </c>
      <c r="L56" s="335" t="e" cm="1">
        <f t="array" aca="1" ref="L56" ca="1">_xlfn.SINGLE(IF($A56="S",IF(CAIXA.Modo,BM.AFAcumulado,BM.MEDAcumulado),IF(AND(_xlfn.SINGLE(RegimeExecucao)="Global",$I56&gt;0,COUNTIF($AB$13:$AM$13,BM.medicao)&gt;0),O56/$I56*100,0)))</f>
        <v>#NAME?</v>
      </c>
      <c r="M56" s="336">
        <f ca="1">IF($A56="S",VTOTALBM,IF($A56=0,0,ROUND(SomaAgrupBM,15-13*ORÇAMENTO!$AF$11)))</f>
        <v>0</v>
      </c>
      <c r="N56" s="337">
        <f t="shared" ca="1" si="4"/>
        <v>0</v>
      </c>
      <c r="O56" s="126">
        <f ca="1">IF($A56="S",VTOTALBM,IF($A56=0,0,ROUND(SomaAgrupBM,15-13*ORÇAMENTO!$AF$11)))</f>
        <v>0</v>
      </c>
      <c r="Q56" s="338"/>
      <c r="R56" s="339"/>
      <c r="T56" s="118" t="str">
        <f t="shared" ca="1" si="5"/>
        <v/>
      </c>
      <c r="U56" s="164" t="str">
        <f t="shared" ca="1" si="6"/>
        <v/>
      </c>
      <c r="V56" s="165" t="str">
        <f ca="1">IF(AND($W56&gt;0,RegimeExecucao="Unitário"),$F56,"")</f>
        <v/>
      </c>
      <c r="W56" s="455">
        <f ca="1">IF($Y56&gt;0,CHOOSE(MATCH(RegimeExecucao,{"Unitário","Global"},0),IF($A56="S",$Y56/$X56,""),($Y56/$X56)*100),0)</f>
        <v>0</v>
      </c>
      <c r="X56" s="340" t="str">
        <f ca="1">IF($Y56&gt;0,CHOOSE(MATCH(RegimeExecucao,{"Unitário","Global"},0),IF($A56="S",ROUND($H56,ORÇAMENTO!$AF$10),""),ROUND($I56,ORÇAMENTO!$AF$11)),"")</f>
        <v/>
      </c>
      <c r="Y56" s="340">
        <f t="shared" ca="1" si="7"/>
        <v>0</v>
      </c>
      <c r="Z56" s="474"/>
      <c r="AB56" s="338"/>
      <c r="AC56" s="438"/>
      <c r="AD56" s="438"/>
      <c r="AE56" s="438"/>
      <c r="AF56" s="438"/>
      <c r="AG56" s="438"/>
      <c r="AH56" s="438"/>
      <c r="AI56" s="438"/>
      <c r="AJ56" s="438"/>
      <c r="AK56" s="438"/>
      <c r="AL56" s="438"/>
      <c r="AM56" s="339"/>
      <c r="AO56">
        <f ca="1">IF($A56="S",IF(BM!$I56=0,0,CHOOSE(MATCH(RegimeExecucao,{"Global","Unitário"},0),ROUND(ROUND(BM.MEDAcumulado,15-13*BM!$A$9)/100*BM!$I56,15-13*ORÇAMENTO!$AF$11),ROUND(ROUND(BM.MEDAcumulado,15-13*BM!$A$9)*ROUND(BM!$H56,15-13*ORÇAMENTO!$AF$10),15-13*ORÇAMENTO!$AF$11))),IF($A56=0,0,ROUND(SomaAgrupBM,15-13*ORÇAMENTO!$AF$11)))</f>
        <v>0</v>
      </c>
    </row>
    <row r="57" spans="1:41" ht="38.25" x14ac:dyDescent="0.2">
      <c r="A57" t="str">
        <f ca="1">ORÇAMENTO!C57</f>
        <v>S</v>
      </c>
      <c r="B57">
        <f ca="1">ORÇAMENTO!D57</f>
        <v>0</v>
      </c>
      <c r="C57" s="115" t="str">
        <f t="shared" ca="1" si="1"/>
        <v/>
      </c>
      <c r="D57" s="118" t="str">
        <f ca="1">ORÇAMENTO!O57</f>
        <v>-</v>
      </c>
      <c r="E57" s="164" t="str">
        <f t="shared" si="2"/>
        <v>INTERRUPTOR SIMPLES (1 MÓDULO) COM INTERRUPTOR PARALELO (2 MÓDULOS), 10A/250V, INCLUINDO SUPORTE E PLACA - FORNECIMENTO E INSTALAÇÃO. AF_03/2023</v>
      </c>
      <c r="F57" s="165" t="str">
        <f ca="1">IF(RegimeExecucao="Global","",ORÇAMENTO.Unidade)</f>
        <v>UN</v>
      </c>
      <c r="G57" s="123">
        <f ca="1">IF(RegimeExecucao="Global","",ORÇAMENTO!T57)</f>
        <v>1</v>
      </c>
      <c r="H57" s="123">
        <f ca="1">IF(RegimeExecucao="Global","",ORÇAMENTO!W57)</f>
        <v>0</v>
      </c>
      <c r="I57" s="126">
        <f ca="1">ORÇAMENTO!X57</f>
        <v>0</v>
      </c>
      <c r="J57" s="334" t="e" cm="1">
        <f t="array" aca="1" ref="J57" ca="1">_xlfn.SINGLE(IF($A57="S",IF(CAIXA.Modo,BM.AFAnterior,BM.MEDAnterior),IF(AND(_xlfn.SINGLE(RegimeExecucao)="Global",$I57&gt;0,COUNTIF($AB$13:$AM$13,BM.medicao-1)&gt;0),M57/$I57*100,0)))</f>
        <v>#NAME?</v>
      </c>
      <c r="K57" s="123" t="e">
        <f t="shared" ca="1" si="3"/>
        <v>#NAME?</v>
      </c>
      <c r="L57" s="335" t="e" cm="1">
        <f t="array" aca="1" ref="L57" ca="1">_xlfn.SINGLE(IF($A57="S",IF(CAIXA.Modo,BM.AFAcumulado,BM.MEDAcumulado),IF(AND(_xlfn.SINGLE(RegimeExecucao)="Global",$I57&gt;0,COUNTIF($AB$13:$AM$13,BM.medicao)&gt;0),O57/$I57*100,0)))</f>
        <v>#NAME?</v>
      </c>
      <c r="M57" s="336">
        <f ca="1">IF($A57="S",VTOTALBM,IF($A57=0,0,ROUND(SomaAgrupBM,15-13*ORÇAMENTO!$AF$11)))</f>
        <v>0</v>
      </c>
      <c r="N57" s="337">
        <f t="shared" ca="1" si="4"/>
        <v>0</v>
      </c>
      <c r="O57" s="126">
        <f ca="1">IF($A57="S",VTOTALBM,IF($A57=0,0,ROUND(SomaAgrupBM,15-13*ORÇAMENTO!$AF$11)))</f>
        <v>0</v>
      </c>
      <c r="Q57" s="338"/>
      <c r="R57" s="339"/>
      <c r="T57" s="118" t="str">
        <f t="shared" ca="1" si="5"/>
        <v/>
      </c>
      <c r="U57" s="164" t="str">
        <f t="shared" ca="1" si="6"/>
        <v/>
      </c>
      <c r="V57" s="165" t="str">
        <f ca="1">IF(AND($W57&gt;0,RegimeExecucao="Unitário"),$F57,"")</f>
        <v/>
      </c>
      <c r="W57" s="455">
        <f ca="1">IF($Y57&gt;0,CHOOSE(MATCH(RegimeExecucao,{"Unitário","Global"},0),IF($A57="S",$Y57/$X57,""),($Y57/$X57)*100),0)</f>
        <v>0</v>
      </c>
      <c r="X57" s="340" t="str">
        <f ca="1">IF($Y57&gt;0,CHOOSE(MATCH(RegimeExecucao,{"Unitário","Global"},0),IF($A57="S",ROUND($H57,ORÇAMENTO!$AF$10),""),ROUND($I57,ORÇAMENTO!$AF$11)),"")</f>
        <v/>
      </c>
      <c r="Y57" s="340">
        <f t="shared" ca="1" si="7"/>
        <v>0</v>
      </c>
      <c r="Z57" s="474"/>
      <c r="AB57" s="338"/>
      <c r="AC57" s="438"/>
      <c r="AD57" s="438"/>
      <c r="AE57" s="438"/>
      <c r="AF57" s="438"/>
      <c r="AG57" s="438"/>
      <c r="AH57" s="438"/>
      <c r="AI57" s="438"/>
      <c r="AJ57" s="438"/>
      <c r="AK57" s="438"/>
      <c r="AL57" s="438"/>
      <c r="AM57" s="339"/>
      <c r="AO57">
        <f ca="1">IF($A57="S",IF(BM!$I57=0,0,CHOOSE(MATCH(RegimeExecucao,{"Global","Unitário"},0),ROUND(ROUND(BM.MEDAcumulado,15-13*BM!$A$9)/100*BM!$I57,15-13*ORÇAMENTO!$AF$11),ROUND(ROUND(BM.MEDAcumulado,15-13*BM!$A$9)*ROUND(BM!$H57,15-13*ORÇAMENTO!$AF$10),15-13*ORÇAMENTO!$AF$11))),IF($A57=0,0,ROUND(SomaAgrupBM,15-13*ORÇAMENTO!$AF$11)))</f>
        <v>0</v>
      </c>
    </row>
    <row r="58" spans="1:41" ht="38.25" x14ac:dyDescent="0.2">
      <c r="A58" t="str">
        <f ca="1">ORÇAMENTO!C58</f>
        <v>S</v>
      </c>
      <c r="B58">
        <f ca="1">ORÇAMENTO!D58</f>
        <v>0</v>
      </c>
      <c r="C58" s="115" t="str">
        <f t="shared" ca="1" si="1"/>
        <v/>
      </c>
      <c r="D58" s="118" t="str">
        <f ca="1">ORÇAMENTO!O58</f>
        <v>-</v>
      </c>
      <c r="E58" s="164" t="str">
        <f t="shared" si="2"/>
        <v>INTERRUPTOR PULSADOR MINUTERIA (1 MÓDULO), 10A/250V, INCLUINDO SUPORTE E PLACA - FORNECIMENTO E INSTALAÇÃO. AF_03/2023</v>
      </c>
      <c r="F58" s="165" t="str">
        <f ca="1">IF(RegimeExecucao="Global","",ORÇAMENTO.Unidade)</f>
        <v>UN</v>
      </c>
      <c r="G58" s="123">
        <f ca="1">IF(RegimeExecucao="Global","",ORÇAMENTO!T58)</f>
        <v>6</v>
      </c>
      <c r="H58" s="123">
        <f ca="1">IF(RegimeExecucao="Global","",ORÇAMENTO!W58)</f>
        <v>0</v>
      </c>
      <c r="I58" s="126">
        <f ca="1">ORÇAMENTO!X58</f>
        <v>0</v>
      </c>
      <c r="J58" s="334" t="e" cm="1">
        <f t="array" aca="1" ref="J58" ca="1">_xlfn.SINGLE(IF($A58="S",IF(CAIXA.Modo,BM.AFAnterior,BM.MEDAnterior),IF(AND(_xlfn.SINGLE(RegimeExecucao)="Global",$I58&gt;0,COUNTIF($AB$13:$AM$13,BM.medicao-1)&gt;0),M58/$I58*100,0)))</f>
        <v>#NAME?</v>
      </c>
      <c r="K58" s="123" t="e">
        <f t="shared" ca="1" si="3"/>
        <v>#NAME?</v>
      </c>
      <c r="L58" s="335" t="e" cm="1">
        <f t="array" aca="1" ref="L58" ca="1">_xlfn.SINGLE(IF($A58="S",IF(CAIXA.Modo,BM.AFAcumulado,BM.MEDAcumulado),IF(AND(_xlfn.SINGLE(RegimeExecucao)="Global",$I58&gt;0,COUNTIF($AB$13:$AM$13,BM.medicao)&gt;0),O58/$I58*100,0)))</f>
        <v>#NAME?</v>
      </c>
      <c r="M58" s="336">
        <f ca="1">IF($A58="S",VTOTALBM,IF($A58=0,0,ROUND(SomaAgrupBM,15-13*ORÇAMENTO!$AF$11)))</f>
        <v>0</v>
      </c>
      <c r="N58" s="337">
        <f t="shared" ca="1" si="4"/>
        <v>0</v>
      </c>
      <c r="O58" s="126">
        <f ca="1">IF($A58="S",VTOTALBM,IF($A58=0,0,ROUND(SomaAgrupBM,15-13*ORÇAMENTO!$AF$11)))</f>
        <v>0</v>
      </c>
      <c r="Q58" s="338"/>
      <c r="R58" s="339"/>
      <c r="T58" s="118" t="str">
        <f t="shared" ca="1" si="5"/>
        <v/>
      </c>
      <c r="U58" s="164" t="str">
        <f t="shared" ca="1" si="6"/>
        <v/>
      </c>
      <c r="V58" s="165" t="str">
        <f ca="1">IF(AND($W58&gt;0,RegimeExecucao="Unitário"),$F58,"")</f>
        <v/>
      </c>
      <c r="W58" s="455">
        <f ca="1">IF($Y58&gt;0,CHOOSE(MATCH(RegimeExecucao,{"Unitário","Global"},0),IF($A58="S",$Y58/$X58,""),($Y58/$X58)*100),0)</f>
        <v>0</v>
      </c>
      <c r="X58" s="340" t="str">
        <f ca="1">IF($Y58&gt;0,CHOOSE(MATCH(RegimeExecucao,{"Unitário","Global"},0),IF($A58="S",ROUND($H58,ORÇAMENTO!$AF$10),""),ROUND($I58,ORÇAMENTO!$AF$11)),"")</f>
        <v/>
      </c>
      <c r="Y58" s="340">
        <f t="shared" ca="1" si="7"/>
        <v>0</v>
      </c>
      <c r="Z58" s="474"/>
      <c r="AB58" s="338"/>
      <c r="AC58" s="438"/>
      <c r="AD58" s="438"/>
      <c r="AE58" s="438"/>
      <c r="AF58" s="438"/>
      <c r="AG58" s="438"/>
      <c r="AH58" s="438"/>
      <c r="AI58" s="438"/>
      <c r="AJ58" s="438"/>
      <c r="AK58" s="438"/>
      <c r="AL58" s="438"/>
      <c r="AM58" s="339"/>
      <c r="AO58">
        <f ca="1">IF($A58="S",IF(BM!$I58=0,0,CHOOSE(MATCH(RegimeExecucao,{"Global","Unitário"},0),ROUND(ROUND(BM.MEDAcumulado,15-13*BM!$A$9)/100*BM!$I58,15-13*ORÇAMENTO!$AF$11),ROUND(ROUND(BM.MEDAcumulado,15-13*BM!$A$9)*ROUND(BM!$H58,15-13*ORÇAMENTO!$AF$10),15-13*ORÇAMENTO!$AF$11))),IF($A58=0,0,ROUND(SomaAgrupBM,15-13*ORÇAMENTO!$AF$11)))</f>
        <v>0</v>
      </c>
    </row>
    <row r="59" spans="1:41" ht="25.5" x14ac:dyDescent="0.2">
      <c r="A59" t="str">
        <f ca="1">ORÇAMENTO!C59</f>
        <v>S</v>
      </c>
      <c r="B59">
        <f ca="1">ORÇAMENTO!D59</f>
        <v>0</v>
      </c>
      <c r="C59" s="115" t="str">
        <f t="shared" ca="1" si="1"/>
        <v/>
      </c>
      <c r="D59" s="118" t="str">
        <f ca="1">ORÇAMENTO!O59</f>
        <v>-</v>
      </c>
      <c r="E59" s="164" t="str">
        <f t="shared" si="2"/>
        <v>TOMADA ALTA DE EMBUTIR (1 MÓDULO), 2P+T 10 A, INCLUINDO SUPORTE E PLACA - FORNECIMENTO E INSTALAÇÃO. AF_03/2023</v>
      </c>
      <c r="F59" s="165" t="str">
        <f ca="1">IF(RegimeExecucao="Global","",ORÇAMENTO.Unidade)</f>
        <v>UN</v>
      </c>
      <c r="G59" s="123">
        <f ca="1">IF(RegimeExecucao="Global","",ORÇAMENTO!T59)</f>
        <v>121</v>
      </c>
      <c r="H59" s="123">
        <f ca="1">IF(RegimeExecucao="Global","",ORÇAMENTO!W59)</f>
        <v>0</v>
      </c>
      <c r="I59" s="126">
        <f ca="1">ORÇAMENTO!X59</f>
        <v>0</v>
      </c>
      <c r="J59" s="334" t="e" cm="1">
        <f t="array" aca="1" ref="J59" ca="1">_xlfn.SINGLE(IF($A59="S",IF(CAIXA.Modo,BM.AFAnterior,BM.MEDAnterior),IF(AND(_xlfn.SINGLE(RegimeExecucao)="Global",$I59&gt;0,COUNTIF($AB$13:$AM$13,BM.medicao-1)&gt;0),M59/$I59*100,0)))</f>
        <v>#NAME?</v>
      </c>
      <c r="K59" s="123" t="e">
        <f t="shared" ca="1" si="3"/>
        <v>#NAME?</v>
      </c>
      <c r="L59" s="335" t="e" cm="1">
        <f t="array" aca="1" ref="L59" ca="1">_xlfn.SINGLE(IF($A59="S",IF(CAIXA.Modo,BM.AFAcumulado,BM.MEDAcumulado),IF(AND(_xlfn.SINGLE(RegimeExecucao)="Global",$I59&gt;0,COUNTIF($AB$13:$AM$13,BM.medicao)&gt;0),O59/$I59*100,0)))</f>
        <v>#NAME?</v>
      </c>
      <c r="M59" s="336">
        <f ca="1">IF($A59="S",VTOTALBM,IF($A59=0,0,ROUND(SomaAgrupBM,15-13*ORÇAMENTO!$AF$11)))</f>
        <v>0</v>
      </c>
      <c r="N59" s="337">
        <f t="shared" ca="1" si="4"/>
        <v>0</v>
      </c>
      <c r="O59" s="126">
        <f ca="1">IF($A59="S",VTOTALBM,IF($A59=0,0,ROUND(SomaAgrupBM,15-13*ORÇAMENTO!$AF$11)))</f>
        <v>0</v>
      </c>
      <c r="Q59" s="338"/>
      <c r="R59" s="339"/>
      <c r="T59" s="118" t="str">
        <f t="shared" ca="1" si="5"/>
        <v/>
      </c>
      <c r="U59" s="164" t="str">
        <f t="shared" ca="1" si="6"/>
        <v/>
      </c>
      <c r="V59" s="165" t="str">
        <f ca="1">IF(AND($W59&gt;0,RegimeExecucao="Unitário"),$F59,"")</f>
        <v/>
      </c>
      <c r="W59" s="455">
        <f ca="1">IF($Y59&gt;0,CHOOSE(MATCH(RegimeExecucao,{"Unitário","Global"},0),IF($A59="S",$Y59/$X59,""),($Y59/$X59)*100),0)</f>
        <v>0</v>
      </c>
      <c r="X59" s="340" t="str">
        <f ca="1">IF($Y59&gt;0,CHOOSE(MATCH(RegimeExecucao,{"Unitário","Global"},0),IF($A59="S",ROUND($H59,ORÇAMENTO!$AF$10),""),ROUND($I59,ORÇAMENTO!$AF$11)),"")</f>
        <v/>
      </c>
      <c r="Y59" s="340">
        <f t="shared" ca="1" si="7"/>
        <v>0</v>
      </c>
      <c r="Z59" s="474"/>
      <c r="AB59" s="338"/>
      <c r="AC59" s="438"/>
      <c r="AD59" s="438"/>
      <c r="AE59" s="438"/>
      <c r="AF59" s="438"/>
      <c r="AG59" s="438"/>
      <c r="AH59" s="438"/>
      <c r="AI59" s="438"/>
      <c r="AJ59" s="438"/>
      <c r="AK59" s="438"/>
      <c r="AL59" s="438"/>
      <c r="AM59" s="339"/>
      <c r="AO59">
        <f ca="1">IF($A59="S",IF(BM!$I59=0,0,CHOOSE(MATCH(RegimeExecucao,{"Global","Unitário"},0),ROUND(ROUND(BM.MEDAcumulado,15-13*BM!$A$9)/100*BM!$I59,15-13*ORÇAMENTO!$AF$11),ROUND(ROUND(BM.MEDAcumulado,15-13*BM!$A$9)*ROUND(BM!$H59,15-13*ORÇAMENTO!$AF$10),15-13*ORÇAMENTO!$AF$11))),IF($A59=0,0,ROUND(SomaAgrupBM,15-13*ORÇAMENTO!$AF$11)))</f>
        <v>0</v>
      </c>
    </row>
    <row r="60" spans="1:41" ht="25.5" x14ac:dyDescent="0.2">
      <c r="A60" t="str">
        <f ca="1">ORÇAMENTO!C60</f>
        <v>S</v>
      </c>
      <c r="B60">
        <f ca="1">ORÇAMENTO!D60</f>
        <v>0</v>
      </c>
      <c r="C60" s="115" t="str">
        <f t="shared" ca="1" si="1"/>
        <v/>
      </c>
      <c r="D60" s="118" t="str">
        <f ca="1">ORÇAMENTO!O60</f>
        <v>-</v>
      </c>
      <c r="E60" s="164" t="str">
        <f t="shared" si="2"/>
        <v>TOMADA BAIXA DE EMBUTIR (2 MÓDULOS), 2P+T 10 A, INCLUINDO SUPORTE E PLACA - FORNECIMENTO E INSTALAÇÃO. AF_03/2023</v>
      </c>
      <c r="F60" s="165" t="str">
        <f ca="1">IF(RegimeExecucao="Global","",ORÇAMENTO.Unidade)</f>
        <v>UN</v>
      </c>
      <c r="G60" s="123">
        <f ca="1">IF(RegimeExecucao="Global","",ORÇAMENTO!T60)</f>
        <v>8</v>
      </c>
      <c r="H60" s="123">
        <f ca="1">IF(RegimeExecucao="Global","",ORÇAMENTO!W60)</f>
        <v>0</v>
      </c>
      <c r="I60" s="126">
        <f ca="1">ORÇAMENTO!X60</f>
        <v>0</v>
      </c>
      <c r="J60" s="334" t="e" cm="1">
        <f t="array" aca="1" ref="J60" ca="1">_xlfn.SINGLE(IF($A60="S",IF(CAIXA.Modo,BM.AFAnterior,BM.MEDAnterior),IF(AND(_xlfn.SINGLE(RegimeExecucao)="Global",$I60&gt;0,COUNTIF($AB$13:$AM$13,BM.medicao-1)&gt;0),M60/$I60*100,0)))</f>
        <v>#NAME?</v>
      </c>
      <c r="K60" s="123" t="e">
        <f t="shared" ca="1" si="3"/>
        <v>#NAME?</v>
      </c>
      <c r="L60" s="335" t="e" cm="1">
        <f t="array" aca="1" ref="L60" ca="1">_xlfn.SINGLE(IF($A60="S",IF(CAIXA.Modo,BM.AFAcumulado,BM.MEDAcumulado),IF(AND(_xlfn.SINGLE(RegimeExecucao)="Global",$I60&gt;0,COUNTIF($AB$13:$AM$13,BM.medicao)&gt;0),O60/$I60*100,0)))</f>
        <v>#NAME?</v>
      </c>
      <c r="M60" s="336">
        <f ca="1">IF($A60="S",VTOTALBM,IF($A60=0,0,ROUND(SomaAgrupBM,15-13*ORÇAMENTO!$AF$11)))</f>
        <v>0</v>
      </c>
      <c r="N60" s="337">
        <f t="shared" ca="1" si="4"/>
        <v>0</v>
      </c>
      <c r="O60" s="126">
        <f ca="1">IF($A60="S",VTOTALBM,IF($A60=0,0,ROUND(SomaAgrupBM,15-13*ORÇAMENTO!$AF$11)))</f>
        <v>0</v>
      </c>
      <c r="Q60" s="338"/>
      <c r="R60" s="339"/>
      <c r="T60" s="118" t="str">
        <f t="shared" ca="1" si="5"/>
        <v/>
      </c>
      <c r="U60" s="164" t="str">
        <f t="shared" ca="1" si="6"/>
        <v/>
      </c>
      <c r="V60" s="165" t="str">
        <f ca="1">IF(AND($W60&gt;0,RegimeExecucao="Unitário"),$F60,"")</f>
        <v/>
      </c>
      <c r="W60" s="455">
        <f ca="1">IF($Y60&gt;0,CHOOSE(MATCH(RegimeExecucao,{"Unitário","Global"},0),IF($A60="S",$Y60/$X60,""),($Y60/$X60)*100),0)</f>
        <v>0</v>
      </c>
      <c r="X60" s="340" t="str">
        <f ca="1">IF($Y60&gt;0,CHOOSE(MATCH(RegimeExecucao,{"Unitário","Global"},0),IF($A60="S",ROUND($H60,ORÇAMENTO!$AF$10),""),ROUND($I60,ORÇAMENTO!$AF$11)),"")</f>
        <v/>
      </c>
      <c r="Y60" s="340">
        <f t="shared" ca="1" si="7"/>
        <v>0</v>
      </c>
      <c r="Z60" s="474"/>
      <c r="AB60" s="338"/>
      <c r="AC60" s="438"/>
      <c r="AD60" s="438"/>
      <c r="AE60" s="438"/>
      <c r="AF60" s="438"/>
      <c r="AG60" s="438"/>
      <c r="AH60" s="438"/>
      <c r="AI60" s="438"/>
      <c r="AJ60" s="438"/>
      <c r="AK60" s="438"/>
      <c r="AL60" s="438"/>
      <c r="AM60" s="339"/>
      <c r="AO60">
        <f ca="1">IF($A60="S",IF(BM!$I60=0,0,CHOOSE(MATCH(RegimeExecucao,{"Global","Unitário"},0),ROUND(ROUND(BM.MEDAcumulado,15-13*BM!$A$9)/100*BM!$I60,15-13*ORÇAMENTO!$AF$11),ROUND(ROUND(BM.MEDAcumulado,15-13*BM!$A$9)*ROUND(BM!$H60,15-13*ORÇAMENTO!$AF$10),15-13*ORÇAMENTO!$AF$11))),IF($A60=0,0,ROUND(SomaAgrupBM,15-13*ORÇAMENTO!$AF$11)))</f>
        <v>0</v>
      </c>
    </row>
    <row r="61" spans="1:41" ht="25.5" x14ac:dyDescent="0.2">
      <c r="A61" t="str">
        <f ca="1">ORÇAMENTO!C61</f>
        <v>S</v>
      </c>
      <c r="B61">
        <f ca="1">ORÇAMENTO!D61</f>
        <v>0</v>
      </c>
      <c r="C61" s="115" t="str">
        <f t="shared" ca="1" si="1"/>
        <v/>
      </c>
      <c r="D61" s="118" t="str">
        <f ca="1">ORÇAMENTO!O61</f>
        <v>-</v>
      </c>
      <c r="E61" s="164" t="str">
        <f t="shared" si="2"/>
        <v>TOMADA ALTA DE EMBUTIR (1 MÓDULO), 2P+T 20 A, INCLUINDO SUPORTE E PLACA - FORNECIMENTO E INSTALAÇÃO. AF_03/2023</v>
      </c>
      <c r="F61" s="165" t="str">
        <f ca="1">IF(RegimeExecucao="Global","",ORÇAMENTO.Unidade)</f>
        <v>UN</v>
      </c>
      <c r="G61" s="123">
        <f ca="1">IF(RegimeExecucao="Global","",ORÇAMENTO!T61)</f>
        <v>2</v>
      </c>
      <c r="H61" s="123">
        <f ca="1">IF(RegimeExecucao="Global","",ORÇAMENTO!W61)</f>
        <v>0</v>
      </c>
      <c r="I61" s="126">
        <f ca="1">ORÇAMENTO!X61</f>
        <v>0</v>
      </c>
      <c r="J61" s="334" t="e" cm="1">
        <f t="array" aca="1" ref="J61" ca="1">_xlfn.SINGLE(IF($A61="S",IF(CAIXA.Modo,BM.AFAnterior,BM.MEDAnterior),IF(AND(_xlfn.SINGLE(RegimeExecucao)="Global",$I61&gt;0,COUNTIF($AB$13:$AM$13,BM.medicao-1)&gt;0),M61/$I61*100,0)))</f>
        <v>#NAME?</v>
      </c>
      <c r="K61" s="123" t="e">
        <f t="shared" ca="1" si="3"/>
        <v>#NAME?</v>
      </c>
      <c r="L61" s="335" t="e" cm="1">
        <f t="array" aca="1" ref="L61" ca="1">_xlfn.SINGLE(IF($A61="S",IF(CAIXA.Modo,BM.AFAcumulado,BM.MEDAcumulado),IF(AND(_xlfn.SINGLE(RegimeExecucao)="Global",$I61&gt;0,COUNTIF($AB$13:$AM$13,BM.medicao)&gt;0),O61/$I61*100,0)))</f>
        <v>#NAME?</v>
      </c>
      <c r="M61" s="336">
        <f ca="1">IF($A61="S",VTOTALBM,IF($A61=0,0,ROUND(SomaAgrupBM,15-13*ORÇAMENTO!$AF$11)))</f>
        <v>0</v>
      </c>
      <c r="N61" s="337">
        <f t="shared" ca="1" si="4"/>
        <v>0</v>
      </c>
      <c r="O61" s="126">
        <f ca="1">IF($A61="S",VTOTALBM,IF($A61=0,0,ROUND(SomaAgrupBM,15-13*ORÇAMENTO!$AF$11)))</f>
        <v>0</v>
      </c>
      <c r="Q61" s="338"/>
      <c r="R61" s="339"/>
      <c r="T61" s="118" t="str">
        <f t="shared" ca="1" si="5"/>
        <v/>
      </c>
      <c r="U61" s="164" t="str">
        <f t="shared" ca="1" si="6"/>
        <v/>
      </c>
      <c r="V61" s="165" t="str">
        <f ca="1">IF(AND($W61&gt;0,RegimeExecucao="Unitário"),$F61,"")</f>
        <v/>
      </c>
      <c r="W61" s="455">
        <f ca="1">IF($Y61&gt;0,CHOOSE(MATCH(RegimeExecucao,{"Unitário","Global"},0),IF($A61="S",$Y61/$X61,""),($Y61/$X61)*100),0)</f>
        <v>0</v>
      </c>
      <c r="X61" s="340" t="str">
        <f ca="1">IF($Y61&gt;0,CHOOSE(MATCH(RegimeExecucao,{"Unitário","Global"},0),IF($A61="S",ROUND($H61,ORÇAMENTO!$AF$10),""),ROUND($I61,ORÇAMENTO!$AF$11)),"")</f>
        <v/>
      </c>
      <c r="Y61" s="340">
        <f t="shared" ca="1" si="7"/>
        <v>0</v>
      </c>
      <c r="Z61" s="474"/>
      <c r="AB61" s="338"/>
      <c r="AC61" s="438"/>
      <c r="AD61" s="438"/>
      <c r="AE61" s="438"/>
      <c r="AF61" s="438"/>
      <c r="AG61" s="438"/>
      <c r="AH61" s="438"/>
      <c r="AI61" s="438"/>
      <c r="AJ61" s="438"/>
      <c r="AK61" s="438"/>
      <c r="AL61" s="438"/>
      <c r="AM61" s="339"/>
      <c r="AO61">
        <f ca="1">IF($A61="S",IF(BM!$I61=0,0,CHOOSE(MATCH(RegimeExecucao,{"Global","Unitário"},0),ROUND(ROUND(BM.MEDAcumulado,15-13*BM!$A$9)/100*BM!$I61,15-13*ORÇAMENTO!$AF$11),ROUND(ROUND(BM.MEDAcumulado,15-13*BM!$A$9)*ROUND(BM!$H61,15-13*ORÇAMENTO!$AF$10),15-13*ORÇAMENTO!$AF$11))),IF($A61=0,0,ROUND(SomaAgrupBM,15-13*ORÇAMENTO!$AF$11)))</f>
        <v>0</v>
      </c>
    </row>
    <row r="62" spans="1:41" ht="25.5" x14ac:dyDescent="0.2">
      <c r="A62" t="str">
        <f ca="1">ORÇAMENTO!C62</f>
        <v>S</v>
      </c>
      <c r="B62">
        <f ca="1">ORÇAMENTO!D62</f>
        <v>0</v>
      </c>
      <c r="C62" s="115" t="str">
        <f t="shared" ca="1" si="1"/>
        <v/>
      </c>
      <c r="D62" s="118" t="str">
        <f ca="1">ORÇAMENTO!O62</f>
        <v>-</v>
      </c>
      <c r="E62" s="164" t="str">
        <f t="shared" si="2"/>
        <v>CAMPAINHA CIGARRA (1 MÓDULO), 10A/250V, INCLUINDO SUPORTE E PLACA - FORNECIMENTO E INSTALAÇÃO. AF_03/2023</v>
      </c>
      <c r="F62" s="165" t="str">
        <f ca="1">IF(RegimeExecucao="Global","",ORÇAMENTO.Unidade)</f>
        <v>UN</v>
      </c>
      <c r="G62" s="123">
        <f ca="1">IF(RegimeExecucao="Global","",ORÇAMENTO!T62)</f>
        <v>6</v>
      </c>
      <c r="H62" s="123">
        <f ca="1">IF(RegimeExecucao="Global","",ORÇAMENTO!W62)</f>
        <v>0</v>
      </c>
      <c r="I62" s="126">
        <f ca="1">ORÇAMENTO!X62</f>
        <v>0</v>
      </c>
      <c r="J62" s="334" t="e" cm="1">
        <f t="array" aca="1" ref="J62" ca="1">_xlfn.SINGLE(IF($A62="S",IF(CAIXA.Modo,BM.AFAnterior,BM.MEDAnterior),IF(AND(_xlfn.SINGLE(RegimeExecucao)="Global",$I62&gt;0,COUNTIF($AB$13:$AM$13,BM.medicao-1)&gt;0),M62/$I62*100,0)))</f>
        <v>#NAME?</v>
      </c>
      <c r="K62" s="123" t="e">
        <f t="shared" ca="1" si="3"/>
        <v>#NAME?</v>
      </c>
      <c r="L62" s="335" t="e" cm="1">
        <f t="array" aca="1" ref="L62" ca="1">_xlfn.SINGLE(IF($A62="S",IF(CAIXA.Modo,BM.AFAcumulado,BM.MEDAcumulado),IF(AND(_xlfn.SINGLE(RegimeExecucao)="Global",$I62&gt;0,COUNTIF($AB$13:$AM$13,BM.medicao)&gt;0),O62/$I62*100,0)))</f>
        <v>#NAME?</v>
      </c>
      <c r="M62" s="336">
        <f ca="1">IF($A62="S",VTOTALBM,IF($A62=0,0,ROUND(SomaAgrupBM,15-13*ORÇAMENTO!$AF$11)))</f>
        <v>0</v>
      </c>
      <c r="N62" s="337">
        <f t="shared" ca="1" si="4"/>
        <v>0</v>
      </c>
      <c r="O62" s="126">
        <f ca="1">IF($A62="S",VTOTALBM,IF($A62=0,0,ROUND(SomaAgrupBM,15-13*ORÇAMENTO!$AF$11)))</f>
        <v>0</v>
      </c>
      <c r="Q62" s="338"/>
      <c r="R62" s="339"/>
      <c r="T62" s="118" t="str">
        <f t="shared" ca="1" si="5"/>
        <v/>
      </c>
      <c r="U62" s="164" t="str">
        <f t="shared" ca="1" si="6"/>
        <v/>
      </c>
      <c r="V62" s="165" t="str">
        <f ca="1">IF(AND($W62&gt;0,RegimeExecucao="Unitário"),$F62,"")</f>
        <v/>
      </c>
      <c r="W62" s="455">
        <f ca="1">IF($Y62&gt;0,CHOOSE(MATCH(RegimeExecucao,{"Unitário","Global"},0),IF($A62="S",$Y62/$X62,""),($Y62/$X62)*100),0)</f>
        <v>0</v>
      </c>
      <c r="X62" s="340" t="str">
        <f ca="1">IF($Y62&gt;0,CHOOSE(MATCH(RegimeExecucao,{"Unitário","Global"},0),IF($A62="S",ROUND($H62,ORÇAMENTO!$AF$10),""),ROUND($I62,ORÇAMENTO!$AF$11)),"")</f>
        <v/>
      </c>
      <c r="Y62" s="340">
        <f t="shared" ca="1" si="7"/>
        <v>0</v>
      </c>
      <c r="Z62" s="474"/>
      <c r="AB62" s="338"/>
      <c r="AC62" s="438"/>
      <c r="AD62" s="438"/>
      <c r="AE62" s="438"/>
      <c r="AF62" s="438"/>
      <c r="AG62" s="438"/>
      <c r="AH62" s="438"/>
      <c r="AI62" s="438"/>
      <c r="AJ62" s="438"/>
      <c r="AK62" s="438"/>
      <c r="AL62" s="438"/>
      <c r="AM62" s="339"/>
      <c r="AO62">
        <f ca="1">IF($A62="S",IF(BM!$I62=0,0,CHOOSE(MATCH(RegimeExecucao,{"Global","Unitário"},0),ROUND(ROUND(BM.MEDAcumulado,15-13*BM!$A$9)/100*BM!$I62,15-13*ORÇAMENTO!$AF$11),ROUND(ROUND(BM.MEDAcumulado,15-13*BM!$A$9)*ROUND(BM!$H62,15-13*ORÇAMENTO!$AF$10),15-13*ORÇAMENTO!$AF$11))),IF($A62=0,0,ROUND(SomaAgrupBM,15-13*ORÇAMENTO!$AF$11)))</f>
        <v>0</v>
      </c>
    </row>
    <row r="63" spans="1:41" x14ac:dyDescent="0.2">
      <c r="A63" t="str">
        <f ca="1">ORÇAMENTO!C63</f>
        <v>S</v>
      </c>
      <c r="B63">
        <f ca="1">ORÇAMENTO!D63</f>
        <v>0</v>
      </c>
      <c r="C63" s="115" t="str">
        <f t="shared" ca="1" si="1"/>
        <v/>
      </c>
      <c r="D63" s="118" t="str">
        <f ca="1">ORÇAMENTO!O63</f>
        <v>-</v>
      </c>
      <c r="E63" s="164" t="str">
        <f t="shared" si="2"/>
        <v>EXAUSTOR DE TETO PARA SANITÁRIOS - POTÊNCIA: 40W</v>
      </c>
      <c r="F63" s="165" t="str">
        <f ca="1">IF(RegimeExecucao="Global","",ORÇAMENTO.Unidade)</f>
        <v>UN</v>
      </c>
      <c r="G63" s="123">
        <f ca="1">IF(RegimeExecucao="Global","",ORÇAMENTO!T63)</f>
        <v>4</v>
      </c>
      <c r="H63" s="123">
        <f ca="1">IF(RegimeExecucao="Global","",ORÇAMENTO!W63)</f>
        <v>0</v>
      </c>
      <c r="I63" s="126">
        <f ca="1">ORÇAMENTO!X63</f>
        <v>0</v>
      </c>
      <c r="J63" s="334" t="e" cm="1">
        <f t="array" aca="1" ref="J63" ca="1">_xlfn.SINGLE(IF($A63="S",IF(CAIXA.Modo,BM.AFAnterior,BM.MEDAnterior),IF(AND(_xlfn.SINGLE(RegimeExecucao)="Global",$I63&gt;0,COUNTIF($AB$13:$AM$13,BM.medicao-1)&gt;0),M63/$I63*100,0)))</f>
        <v>#NAME?</v>
      </c>
      <c r="K63" s="123" t="e">
        <f t="shared" ca="1" si="3"/>
        <v>#NAME?</v>
      </c>
      <c r="L63" s="335" t="e" cm="1">
        <f t="array" aca="1" ref="L63" ca="1">_xlfn.SINGLE(IF($A63="S",IF(CAIXA.Modo,BM.AFAcumulado,BM.MEDAcumulado),IF(AND(_xlfn.SINGLE(RegimeExecucao)="Global",$I63&gt;0,COUNTIF($AB$13:$AM$13,BM.medicao)&gt;0),O63/$I63*100,0)))</f>
        <v>#NAME?</v>
      </c>
      <c r="M63" s="336">
        <f ca="1">IF($A63="S",VTOTALBM,IF($A63=0,0,ROUND(SomaAgrupBM,15-13*ORÇAMENTO!$AF$11)))</f>
        <v>0</v>
      </c>
      <c r="N63" s="337">
        <f t="shared" ca="1" si="4"/>
        <v>0</v>
      </c>
      <c r="O63" s="126">
        <f ca="1">IF($A63="S",VTOTALBM,IF($A63=0,0,ROUND(SomaAgrupBM,15-13*ORÇAMENTO!$AF$11)))</f>
        <v>0</v>
      </c>
      <c r="Q63" s="338"/>
      <c r="R63" s="339"/>
      <c r="T63" s="118" t="str">
        <f t="shared" ca="1" si="5"/>
        <v/>
      </c>
      <c r="U63" s="164" t="str">
        <f t="shared" ca="1" si="6"/>
        <v/>
      </c>
      <c r="V63" s="165" t="str">
        <f ca="1">IF(AND($W63&gt;0,RegimeExecucao="Unitário"),$F63,"")</f>
        <v/>
      </c>
      <c r="W63" s="455">
        <f ca="1">IF($Y63&gt;0,CHOOSE(MATCH(RegimeExecucao,{"Unitário","Global"},0),IF($A63="S",$Y63/$X63,""),($Y63/$X63)*100),0)</f>
        <v>0</v>
      </c>
      <c r="X63" s="340" t="str">
        <f ca="1">IF($Y63&gt;0,CHOOSE(MATCH(RegimeExecucao,{"Unitário","Global"},0),IF($A63="S",ROUND($H63,ORÇAMENTO!$AF$10),""),ROUND($I63,ORÇAMENTO!$AF$11)),"")</f>
        <v/>
      </c>
      <c r="Y63" s="340">
        <f t="shared" ca="1" si="7"/>
        <v>0</v>
      </c>
      <c r="Z63" s="474"/>
      <c r="AB63" s="338"/>
      <c r="AC63" s="438"/>
      <c r="AD63" s="438"/>
      <c r="AE63" s="438"/>
      <c r="AF63" s="438"/>
      <c r="AG63" s="438"/>
      <c r="AH63" s="438"/>
      <c r="AI63" s="438"/>
      <c r="AJ63" s="438"/>
      <c r="AK63" s="438"/>
      <c r="AL63" s="438"/>
      <c r="AM63" s="339"/>
      <c r="AO63">
        <f ca="1">IF($A63="S",IF(BM!$I63=0,0,CHOOSE(MATCH(RegimeExecucao,{"Global","Unitário"},0),ROUND(ROUND(BM.MEDAcumulado,15-13*BM!$A$9)/100*BM!$I63,15-13*ORÇAMENTO!$AF$11),ROUND(ROUND(BM.MEDAcumulado,15-13*BM!$A$9)*ROUND(BM!$H63,15-13*ORÇAMENTO!$AF$10),15-13*ORÇAMENTO!$AF$11))),IF($A63=0,0,ROUND(SomaAgrupBM,15-13*ORÇAMENTO!$AF$11)))</f>
        <v>0</v>
      </c>
    </row>
    <row r="64" spans="1:41" ht="38.25" x14ac:dyDescent="0.2">
      <c r="A64" t="str">
        <f ca="1">ORÇAMENTO!C64</f>
        <v>S</v>
      </c>
      <c r="B64">
        <f ca="1">ORÇAMENTO!D64</f>
        <v>0</v>
      </c>
      <c r="C64" s="115" t="str">
        <f t="shared" ca="1" si="1"/>
        <v/>
      </c>
      <c r="D64" s="118" t="str">
        <f ca="1">ORÇAMENTO!O64</f>
        <v>-</v>
      </c>
      <c r="E64" s="164" t="str">
        <f t="shared" si="2"/>
        <v>LUMINÁRIA ARANDELA TIPO MEIA LUA, DE SOBREPOR, COM 1 LÂMPADA LED DE 6 W, SEM REATOR - FORNECIMENTO E INSTALAÇÃO. AF_09/2024</v>
      </c>
      <c r="F64" s="165" t="str">
        <f ca="1">IF(RegimeExecucao="Global","",ORÇAMENTO.Unidade)</f>
        <v>UN</v>
      </c>
      <c r="G64" s="123">
        <f ca="1">IF(RegimeExecucao="Global","",ORÇAMENTO!T64)</f>
        <v>23</v>
      </c>
      <c r="H64" s="123">
        <f ca="1">IF(RegimeExecucao="Global","",ORÇAMENTO!W64)</f>
        <v>0</v>
      </c>
      <c r="I64" s="126">
        <f ca="1">ORÇAMENTO!X64</f>
        <v>0</v>
      </c>
      <c r="J64" s="334" t="e" cm="1">
        <f t="array" aca="1" ref="J64" ca="1">_xlfn.SINGLE(IF($A64="S",IF(CAIXA.Modo,BM.AFAnterior,BM.MEDAnterior),IF(AND(_xlfn.SINGLE(RegimeExecucao)="Global",$I64&gt;0,COUNTIF($AB$13:$AM$13,BM.medicao-1)&gt;0),M64/$I64*100,0)))</f>
        <v>#NAME?</v>
      </c>
      <c r="K64" s="123" t="e">
        <f t="shared" ca="1" si="3"/>
        <v>#NAME?</v>
      </c>
      <c r="L64" s="335" t="e" cm="1">
        <f t="array" aca="1" ref="L64" ca="1">_xlfn.SINGLE(IF($A64="S",IF(CAIXA.Modo,BM.AFAcumulado,BM.MEDAcumulado),IF(AND(_xlfn.SINGLE(RegimeExecucao)="Global",$I64&gt;0,COUNTIF($AB$13:$AM$13,BM.medicao)&gt;0),O64/$I64*100,0)))</f>
        <v>#NAME?</v>
      </c>
      <c r="M64" s="336">
        <f ca="1">IF($A64="S",VTOTALBM,IF($A64=0,0,ROUND(SomaAgrupBM,15-13*ORÇAMENTO!$AF$11)))</f>
        <v>0</v>
      </c>
      <c r="N64" s="337">
        <f t="shared" ca="1" si="4"/>
        <v>0</v>
      </c>
      <c r="O64" s="126">
        <f ca="1">IF($A64="S",VTOTALBM,IF($A64=0,0,ROUND(SomaAgrupBM,15-13*ORÇAMENTO!$AF$11)))</f>
        <v>0</v>
      </c>
      <c r="Q64" s="338"/>
      <c r="R64" s="339"/>
      <c r="T64" s="118" t="str">
        <f t="shared" ca="1" si="5"/>
        <v/>
      </c>
      <c r="U64" s="164" t="str">
        <f t="shared" ca="1" si="6"/>
        <v/>
      </c>
      <c r="V64" s="165" t="str">
        <f ca="1">IF(AND($W64&gt;0,RegimeExecucao="Unitário"),$F64,"")</f>
        <v/>
      </c>
      <c r="W64" s="455">
        <f ca="1">IF($Y64&gt;0,CHOOSE(MATCH(RegimeExecucao,{"Unitário","Global"},0),IF($A64="S",$Y64/$X64,""),($Y64/$X64)*100),0)</f>
        <v>0</v>
      </c>
      <c r="X64" s="340" t="str">
        <f ca="1">IF($Y64&gt;0,CHOOSE(MATCH(RegimeExecucao,{"Unitário","Global"},0),IF($A64="S",ROUND($H64,ORÇAMENTO!$AF$10),""),ROUND($I64,ORÇAMENTO!$AF$11)),"")</f>
        <v/>
      </c>
      <c r="Y64" s="340">
        <f t="shared" ca="1" si="7"/>
        <v>0</v>
      </c>
      <c r="Z64" s="474"/>
      <c r="AB64" s="338"/>
      <c r="AC64" s="438"/>
      <c r="AD64" s="438"/>
      <c r="AE64" s="438"/>
      <c r="AF64" s="438"/>
      <c r="AG64" s="438"/>
      <c r="AH64" s="438"/>
      <c r="AI64" s="438"/>
      <c r="AJ64" s="438"/>
      <c r="AK64" s="438"/>
      <c r="AL64" s="438"/>
      <c r="AM64" s="339"/>
      <c r="AO64">
        <f ca="1">IF($A64="S",IF(BM!$I64=0,0,CHOOSE(MATCH(RegimeExecucao,{"Global","Unitário"},0),ROUND(ROUND(BM.MEDAcumulado,15-13*BM!$A$9)/100*BM!$I64,15-13*ORÇAMENTO!$AF$11),ROUND(ROUND(BM.MEDAcumulado,15-13*BM!$A$9)*ROUND(BM!$H64,15-13*ORÇAMENTO!$AF$10),15-13*ORÇAMENTO!$AF$11))),IF($A64=0,0,ROUND(SomaAgrupBM,15-13*ORÇAMENTO!$AF$11)))</f>
        <v>0</v>
      </c>
    </row>
    <row r="65" spans="1:41" ht="38.25" x14ac:dyDescent="0.2">
      <c r="A65" t="str">
        <f ca="1">ORÇAMENTO!C65</f>
        <v>S</v>
      </c>
      <c r="B65">
        <f ca="1">ORÇAMENTO!D65</f>
        <v>0</v>
      </c>
      <c r="C65" s="115" t="str">
        <f t="shared" ca="1" si="1"/>
        <v/>
      </c>
      <c r="D65" s="118" t="str">
        <f ca="1">ORÇAMENTO!O65</f>
        <v>-</v>
      </c>
      <c r="E65" s="164" t="str">
        <f t="shared" si="2"/>
        <v xml:space="preserve">QUADRO DE DISTRIBUICAO COM BARRAMENTO TRIFASICO, DE SOBREPOR, EM CHAPA DE ACO GALVANIZADO, PARA 28 DISJUNTORES DIN, 100 A                                                                                                                                 </v>
      </c>
      <c r="F65" s="165" t="str">
        <f ca="1">IF(RegimeExecucao="Global","",ORÇAMENTO.Unidade)</f>
        <v xml:space="preserve">UN    </v>
      </c>
      <c r="G65" s="123">
        <f ca="1">IF(RegimeExecucao="Global","",ORÇAMENTO!T65)</f>
        <v>2</v>
      </c>
      <c r="H65" s="123">
        <f ca="1">IF(RegimeExecucao="Global","",ORÇAMENTO!W65)</f>
        <v>0</v>
      </c>
      <c r="I65" s="126">
        <f ca="1">ORÇAMENTO!X65</f>
        <v>0</v>
      </c>
      <c r="J65" s="334" t="e" cm="1">
        <f t="array" aca="1" ref="J65" ca="1">_xlfn.SINGLE(IF($A65="S",IF(CAIXA.Modo,BM.AFAnterior,BM.MEDAnterior),IF(AND(_xlfn.SINGLE(RegimeExecucao)="Global",$I65&gt;0,COUNTIF($AB$13:$AM$13,BM.medicao-1)&gt;0),M65/$I65*100,0)))</f>
        <v>#NAME?</v>
      </c>
      <c r="K65" s="123" t="e">
        <f t="shared" ca="1" si="3"/>
        <v>#NAME?</v>
      </c>
      <c r="L65" s="335" t="e" cm="1">
        <f t="array" aca="1" ref="L65" ca="1">_xlfn.SINGLE(IF($A65="S",IF(CAIXA.Modo,BM.AFAcumulado,BM.MEDAcumulado),IF(AND(_xlfn.SINGLE(RegimeExecucao)="Global",$I65&gt;0,COUNTIF($AB$13:$AM$13,BM.medicao)&gt;0),O65/$I65*100,0)))</f>
        <v>#NAME?</v>
      </c>
      <c r="M65" s="336">
        <f ca="1">IF($A65="S",VTOTALBM,IF($A65=0,0,ROUND(SomaAgrupBM,15-13*ORÇAMENTO!$AF$11)))</f>
        <v>0</v>
      </c>
      <c r="N65" s="337">
        <f t="shared" ca="1" si="4"/>
        <v>0</v>
      </c>
      <c r="O65" s="126">
        <f ca="1">IF($A65="S",VTOTALBM,IF($A65=0,0,ROUND(SomaAgrupBM,15-13*ORÇAMENTO!$AF$11)))</f>
        <v>0</v>
      </c>
      <c r="Q65" s="338"/>
      <c r="R65" s="339"/>
      <c r="T65" s="118" t="str">
        <f t="shared" ca="1" si="5"/>
        <v/>
      </c>
      <c r="U65" s="164" t="str">
        <f t="shared" ca="1" si="6"/>
        <v/>
      </c>
      <c r="V65" s="165" t="str">
        <f ca="1">IF(AND($W65&gt;0,RegimeExecucao="Unitário"),$F65,"")</f>
        <v/>
      </c>
      <c r="W65" s="455">
        <f ca="1">IF($Y65&gt;0,CHOOSE(MATCH(RegimeExecucao,{"Unitário","Global"},0),IF($A65="S",$Y65/$X65,""),($Y65/$X65)*100),0)</f>
        <v>0</v>
      </c>
      <c r="X65" s="340" t="str">
        <f ca="1">IF($Y65&gt;0,CHOOSE(MATCH(RegimeExecucao,{"Unitário","Global"},0),IF($A65="S",ROUND($H65,ORÇAMENTO!$AF$10),""),ROUND($I65,ORÇAMENTO!$AF$11)),"")</f>
        <v/>
      </c>
      <c r="Y65" s="340">
        <f t="shared" ca="1" si="7"/>
        <v>0</v>
      </c>
      <c r="Z65" s="474"/>
      <c r="AB65" s="338"/>
      <c r="AC65" s="438"/>
      <c r="AD65" s="438"/>
      <c r="AE65" s="438"/>
      <c r="AF65" s="438"/>
      <c r="AG65" s="438"/>
      <c r="AH65" s="438"/>
      <c r="AI65" s="438"/>
      <c r="AJ65" s="438"/>
      <c r="AK65" s="438"/>
      <c r="AL65" s="438"/>
      <c r="AM65" s="339"/>
      <c r="AO65">
        <f ca="1">IF($A65="S",IF(BM!$I65=0,0,CHOOSE(MATCH(RegimeExecucao,{"Global","Unitário"},0),ROUND(ROUND(BM.MEDAcumulado,15-13*BM!$A$9)/100*BM!$I65,15-13*ORÇAMENTO!$AF$11),ROUND(ROUND(BM.MEDAcumulado,15-13*BM!$A$9)*ROUND(BM!$H65,15-13*ORÇAMENTO!$AF$10),15-13*ORÇAMENTO!$AF$11))),IF($A65=0,0,ROUND(SomaAgrupBM,15-13*ORÇAMENTO!$AF$11)))</f>
        <v>0</v>
      </c>
    </row>
    <row r="66" spans="1:41" ht="38.25" x14ac:dyDescent="0.2">
      <c r="A66" t="str">
        <f ca="1">ORÇAMENTO!C66</f>
        <v>S</v>
      </c>
      <c r="B66">
        <f ca="1">ORÇAMENTO!D66</f>
        <v>0</v>
      </c>
      <c r="C66" s="115" t="str">
        <f t="shared" ca="1" si="1"/>
        <v/>
      </c>
      <c r="D66" s="118" t="str">
        <f ca="1">ORÇAMENTO!O66</f>
        <v>-</v>
      </c>
      <c r="E66" s="164" t="str">
        <f t="shared" si="2"/>
        <v xml:space="preserve">QUADRO DE DISTRIBUICAO COM BARRAMENTO TRIFASICO, DE SOBREPOR, EM CHAPA DE ACO GALVANIZADO, PARA 18 DISJUNTORES DIN, 100 A                                                                                                                                 </v>
      </c>
      <c r="F66" s="165" t="str">
        <f ca="1">IF(RegimeExecucao="Global","",ORÇAMENTO.Unidade)</f>
        <v xml:space="preserve">UN    </v>
      </c>
      <c r="G66" s="123">
        <f ca="1">IF(RegimeExecucao="Global","",ORÇAMENTO!T66)</f>
        <v>1</v>
      </c>
      <c r="H66" s="123">
        <f ca="1">IF(RegimeExecucao="Global","",ORÇAMENTO!W66)</f>
        <v>0</v>
      </c>
      <c r="I66" s="126">
        <f ca="1">ORÇAMENTO!X66</f>
        <v>0</v>
      </c>
      <c r="J66" s="334" t="e" cm="1">
        <f t="array" aca="1" ref="J66" ca="1">_xlfn.SINGLE(IF($A66="S",IF(CAIXA.Modo,BM.AFAnterior,BM.MEDAnterior),IF(AND(_xlfn.SINGLE(RegimeExecucao)="Global",$I66&gt;0,COUNTIF($AB$13:$AM$13,BM.medicao-1)&gt;0),M66/$I66*100,0)))</f>
        <v>#NAME?</v>
      </c>
      <c r="K66" s="123" t="e">
        <f t="shared" ca="1" si="3"/>
        <v>#NAME?</v>
      </c>
      <c r="L66" s="335" t="e" cm="1">
        <f t="array" aca="1" ref="L66" ca="1">_xlfn.SINGLE(IF($A66="S",IF(CAIXA.Modo,BM.AFAcumulado,BM.MEDAcumulado),IF(AND(_xlfn.SINGLE(RegimeExecucao)="Global",$I66&gt;0,COUNTIF($AB$13:$AM$13,BM.medicao)&gt;0),O66/$I66*100,0)))</f>
        <v>#NAME?</v>
      </c>
      <c r="M66" s="336">
        <f ca="1">IF($A66="S",VTOTALBM,IF($A66=0,0,ROUND(SomaAgrupBM,15-13*ORÇAMENTO!$AF$11)))</f>
        <v>0</v>
      </c>
      <c r="N66" s="337">
        <f t="shared" ca="1" si="4"/>
        <v>0</v>
      </c>
      <c r="O66" s="126">
        <f ca="1">IF($A66="S",VTOTALBM,IF($A66=0,0,ROUND(SomaAgrupBM,15-13*ORÇAMENTO!$AF$11)))</f>
        <v>0</v>
      </c>
      <c r="Q66" s="338"/>
      <c r="R66" s="339"/>
      <c r="T66" s="118" t="str">
        <f t="shared" ca="1" si="5"/>
        <v/>
      </c>
      <c r="U66" s="164" t="str">
        <f t="shared" ca="1" si="6"/>
        <v/>
      </c>
      <c r="V66" s="165" t="str">
        <f ca="1">IF(AND($W66&gt;0,RegimeExecucao="Unitário"),$F66,"")</f>
        <v/>
      </c>
      <c r="W66" s="455">
        <f ca="1">IF($Y66&gt;0,CHOOSE(MATCH(RegimeExecucao,{"Unitário","Global"},0),IF($A66="S",$Y66/$X66,""),($Y66/$X66)*100),0)</f>
        <v>0</v>
      </c>
      <c r="X66" s="340" t="str">
        <f ca="1">IF($Y66&gt;0,CHOOSE(MATCH(RegimeExecucao,{"Unitário","Global"},0),IF($A66="S",ROUND($H66,ORÇAMENTO!$AF$10),""),ROUND($I66,ORÇAMENTO!$AF$11)),"")</f>
        <v/>
      </c>
      <c r="Y66" s="340">
        <f t="shared" ca="1" si="7"/>
        <v>0</v>
      </c>
      <c r="Z66" s="474"/>
      <c r="AB66" s="338"/>
      <c r="AC66" s="438"/>
      <c r="AD66" s="438"/>
      <c r="AE66" s="438"/>
      <c r="AF66" s="438"/>
      <c r="AG66" s="438"/>
      <c r="AH66" s="438"/>
      <c r="AI66" s="438"/>
      <c r="AJ66" s="438"/>
      <c r="AK66" s="438"/>
      <c r="AL66" s="438"/>
      <c r="AM66" s="339"/>
      <c r="AO66">
        <f ca="1">IF($A66="S",IF(BM!$I66=0,0,CHOOSE(MATCH(RegimeExecucao,{"Global","Unitário"},0),ROUND(ROUND(BM.MEDAcumulado,15-13*BM!$A$9)/100*BM!$I66,15-13*ORÇAMENTO!$AF$11),ROUND(ROUND(BM.MEDAcumulado,15-13*BM!$A$9)*ROUND(BM!$H66,15-13*ORÇAMENTO!$AF$10),15-13*ORÇAMENTO!$AF$11))),IF($A66=0,0,ROUND(SomaAgrupBM,15-13*ORÇAMENTO!$AF$11)))</f>
        <v>0</v>
      </c>
    </row>
    <row r="67" spans="1:41" ht="38.25" x14ac:dyDescent="0.2">
      <c r="A67" t="str">
        <f ca="1">ORÇAMENTO!C67</f>
        <v>S</v>
      </c>
      <c r="B67">
        <f ca="1">ORÇAMENTO!D67</f>
        <v>0</v>
      </c>
      <c r="C67" s="115" t="str">
        <f t="shared" ca="1" si="1"/>
        <v/>
      </c>
      <c r="D67" s="118" t="str">
        <f ca="1">ORÇAMENTO!O67</f>
        <v>-</v>
      </c>
      <c r="E67" s="164" t="str">
        <f t="shared" si="2"/>
        <v xml:space="preserve">QUADRO DE DISTRIBUICAO COM BARRAMENTO TRIFASICO, DE SOBREPOR, EM CHAPA DE ACO GALVANIZADO, PARA 36 DISJUNTORES DIN, 100 A                                                                                                                                 </v>
      </c>
      <c r="F67" s="165" t="str">
        <f ca="1">IF(RegimeExecucao="Global","",ORÇAMENTO.Unidade)</f>
        <v xml:space="preserve">UN    </v>
      </c>
      <c r="G67" s="123">
        <f ca="1">IF(RegimeExecucao="Global","",ORÇAMENTO!T67)</f>
        <v>1</v>
      </c>
      <c r="H67" s="123">
        <f ca="1">IF(RegimeExecucao="Global","",ORÇAMENTO!W67)</f>
        <v>0</v>
      </c>
      <c r="I67" s="126">
        <f ca="1">ORÇAMENTO!X67</f>
        <v>0</v>
      </c>
      <c r="J67" s="334" t="e" cm="1">
        <f t="array" aca="1" ref="J67" ca="1">_xlfn.SINGLE(IF($A67="S",IF(CAIXA.Modo,BM.AFAnterior,BM.MEDAnterior),IF(AND(_xlfn.SINGLE(RegimeExecucao)="Global",$I67&gt;0,COUNTIF($AB$13:$AM$13,BM.medicao-1)&gt;0),M67/$I67*100,0)))</f>
        <v>#NAME?</v>
      </c>
      <c r="K67" s="123" t="e">
        <f t="shared" ca="1" si="3"/>
        <v>#NAME?</v>
      </c>
      <c r="L67" s="335" t="e" cm="1">
        <f t="array" aca="1" ref="L67" ca="1">_xlfn.SINGLE(IF($A67="S",IF(CAIXA.Modo,BM.AFAcumulado,BM.MEDAcumulado),IF(AND(_xlfn.SINGLE(RegimeExecucao)="Global",$I67&gt;0,COUNTIF($AB$13:$AM$13,BM.medicao)&gt;0),O67/$I67*100,0)))</f>
        <v>#NAME?</v>
      </c>
      <c r="M67" s="336">
        <f ca="1">IF($A67="S",VTOTALBM,IF($A67=0,0,ROUND(SomaAgrupBM,15-13*ORÇAMENTO!$AF$11)))</f>
        <v>0</v>
      </c>
      <c r="N67" s="337">
        <f t="shared" ca="1" si="4"/>
        <v>0</v>
      </c>
      <c r="O67" s="126">
        <f ca="1">IF($A67="S",VTOTALBM,IF($A67=0,0,ROUND(SomaAgrupBM,15-13*ORÇAMENTO!$AF$11)))</f>
        <v>0</v>
      </c>
      <c r="Q67" s="338"/>
      <c r="R67" s="339"/>
      <c r="T67" s="118" t="str">
        <f t="shared" ca="1" si="5"/>
        <v/>
      </c>
      <c r="U67" s="164" t="str">
        <f t="shared" ca="1" si="6"/>
        <v/>
      </c>
      <c r="V67" s="165" t="str">
        <f ca="1">IF(AND($W67&gt;0,RegimeExecucao="Unitário"),$F67,"")</f>
        <v/>
      </c>
      <c r="W67" s="455">
        <f ca="1">IF($Y67&gt;0,CHOOSE(MATCH(RegimeExecucao,{"Unitário","Global"},0),IF($A67="S",$Y67/$X67,""),($Y67/$X67)*100),0)</f>
        <v>0</v>
      </c>
      <c r="X67" s="340" t="str">
        <f ca="1">IF($Y67&gt;0,CHOOSE(MATCH(RegimeExecucao,{"Unitário","Global"},0),IF($A67="S",ROUND($H67,ORÇAMENTO!$AF$10),""),ROUND($I67,ORÇAMENTO!$AF$11)),"")</f>
        <v/>
      </c>
      <c r="Y67" s="340">
        <f t="shared" ca="1" si="7"/>
        <v>0</v>
      </c>
      <c r="Z67" s="474"/>
      <c r="AB67" s="338"/>
      <c r="AC67" s="438"/>
      <c r="AD67" s="438"/>
      <c r="AE67" s="438"/>
      <c r="AF67" s="438"/>
      <c r="AG67" s="438"/>
      <c r="AH67" s="438"/>
      <c r="AI67" s="438"/>
      <c r="AJ67" s="438"/>
      <c r="AK67" s="438"/>
      <c r="AL67" s="438"/>
      <c r="AM67" s="339"/>
      <c r="AO67">
        <f ca="1">IF($A67="S",IF(BM!$I67=0,0,CHOOSE(MATCH(RegimeExecucao,{"Global","Unitário"},0),ROUND(ROUND(BM.MEDAcumulado,15-13*BM!$A$9)/100*BM!$I67,15-13*ORÇAMENTO!$AF$11),ROUND(ROUND(BM.MEDAcumulado,15-13*BM!$A$9)*ROUND(BM!$H67,15-13*ORÇAMENTO!$AF$10),15-13*ORÇAMENTO!$AF$11))),IF($A67=0,0,ROUND(SomaAgrupBM,15-13*ORÇAMENTO!$AF$11)))</f>
        <v>0</v>
      </c>
    </row>
    <row r="68" spans="1:41" ht="38.25" x14ac:dyDescent="0.2">
      <c r="A68" t="str">
        <f ca="1">ORÇAMENTO!C68</f>
        <v>S</v>
      </c>
      <c r="B68">
        <f ca="1">ORÇAMENTO!D68</f>
        <v>0</v>
      </c>
      <c r="C68" s="115" t="str">
        <f t="shared" ca="1" si="1"/>
        <v/>
      </c>
      <c r="D68" s="118" t="str">
        <f ca="1">ORÇAMENTO!O68</f>
        <v>-</v>
      </c>
      <c r="E68" s="164" t="str">
        <f t="shared" si="2"/>
        <v xml:space="preserve">QUADRO DE DISTRIBUICAO COM BARRAMENTO TRIFASICO, DE SOBREPOR, EM CHAPA DE ACO GALVANIZADO, PARA 48 DISJUNTORES DIN, 100 A                                                                                                                                 </v>
      </c>
      <c r="F68" s="165" t="str">
        <f ca="1">IF(RegimeExecucao="Global","",ORÇAMENTO.Unidade)</f>
        <v xml:space="preserve">UN    </v>
      </c>
      <c r="G68" s="123">
        <f ca="1">IF(RegimeExecucao="Global","",ORÇAMENTO!T68)</f>
        <v>1</v>
      </c>
      <c r="H68" s="123">
        <f ca="1">IF(RegimeExecucao="Global","",ORÇAMENTO!W68)</f>
        <v>0</v>
      </c>
      <c r="I68" s="126">
        <f ca="1">ORÇAMENTO!X68</f>
        <v>0</v>
      </c>
      <c r="J68" s="334" t="e" cm="1">
        <f t="array" aca="1" ref="J68" ca="1">_xlfn.SINGLE(IF($A68="S",IF(CAIXA.Modo,BM.AFAnterior,BM.MEDAnterior),IF(AND(_xlfn.SINGLE(RegimeExecucao)="Global",$I68&gt;0,COUNTIF($AB$13:$AM$13,BM.medicao-1)&gt;0),M68/$I68*100,0)))</f>
        <v>#NAME?</v>
      </c>
      <c r="K68" s="123" t="e">
        <f t="shared" ca="1" si="3"/>
        <v>#NAME?</v>
      </c>
      <c r="L68" s="335" t="e" cm="1">
        <f t="array" aca="1" ref="L68" ca="1">_xlfn.SINGLE(IF($A68="S",IF(CAIXA.Modo,BM.AFAcumulado,BM.MEDAcumulado),IF(AND(_xlfn.SINGLE(RegimeExecucao)="Global",$I68&gt;0,COUNTIF($AB$13:$AM$13,BM.medicao)&gt;0),O68/$I68*100,0)))</f>
        <v>#NAME?</v>
      </c>
      <c r="M68" s="336">
        <f ca="1">IF($A68="S",VTOTALBM,IF($A68=0,0,ROUND(SomaAgrupBM,15-13*ORÇAMENTO!$AF$11)))</f>
        <v>0</v>
      </c>
      <c r="N68" s="337">
        <f t="shared" ca="1" si="4"/>
        <v>0</v>
      </c>
      <c r="O68" s="126">
        <f ca="1">IF($A68="S",VTOTALBM,IF($A68=0,0,ROUND(SomaAgrupBM,15-13*ORÇAMENTO!$AF$11)))</f>
        <v>0</v>
      </c>
      <c r="Q68" s="338"/>
      <c r="R68" s="339"/>
      <c r="T68" s="118" t="str">
        <f t="shared" ca="1" si="5"/>
        <v/>
      </c>
      <c r="U68" s="164" t="str">
        <f t="shared" ca="1" si="6"/>
        <v/>
      </c>
      <c r="V68" s="165" t="str">
        <f ca="1">IF(AND($W68&gt;0,RegimeExecucao="Unitário"),$F68,"")</f>
        <v/>
      </c>
      <c r="W68" s="455">
        <f ca="1">IF($Y68&gt;0,CHOOSE(MATCH(RegimeExecucao,{"Unitário","Global"},0),IF($A68="S",$Y68/$X68,""),($Y68/$X68)*100),0)</f>
        <v>0</v>
      </c>
      <c r="X68" s="340" t="str">
        <f ca="1">IF($Y68&gt;0,CHOOSE(MATCH(RegimeExecucao,{"Unitário","Global"},0),IF($A68="S",ROUND($H68,ORÇAMENTO!$AF$10),""),ROUND($I68,ORÇAMENTO!$AF$11)),"")</f>
        <v/>
      </c>
      <c r="Y68" s="340">
        <f t="shared" ca="1" si="7"/>
        <v>0</v>
      </c>
      <c r="Z68" s="474"/>
      <c r="AB68" s="338"/>
      <c r="AC68" s="438"/>
      <c r="AD68" s="438"/>
      <c r="AE68" s="438"/>
      <c r="AF68" s="438"/>
      <c r="AG68" s="438"/>
      <c r="AH68" s="438"/>
      <c r="AI68" s="438"/>
      <c r="AJ68" s="438"/>
      <c r="AK68" s="438"/>
      <c r="AL68" s="438"/>
      <c r="AM68" s="339"/>
      <c r="AO68">
        <f ca="1">IF($A68="S",IF(BM!$I68=0,0,CHOOSE(MATCH(RegimeExecucao,{"Global","Unitário"},0),ROUND(ROUND(BM.MEDAcumulado,15-13*BM!$A$9)/100*BM!$I68,15-13*ORÇAMENTO!$AF$11),ROUND(ROUND(BM.MEDAcumulado,15-13*BM!$A$9)*ROUND(BM!$H68,15-13*ORÇAMENTO!$AF$10),15-13*ORÇAMENTO!$AF$11))),IF($A68=0,0,ROUND(SomaAgrupBM,15-13*ORÇAMENTO!$AF$11)))</f>
        <v>0</v>
      </c>
    </row>
    <row r="69" spans="1:41" ht="38.25" x14ac:dyDescent="0.2">
      <c r="A69" t="str">
        <f ca="1">ORÇAMENTO!C69</f>
        <v>S</v>
      </c>
      <c r="B69">
        <f ca="1">ORÇAMENTO!D69</f>
        <v>0</v>
      </c>
      <c r="C69" s="115" t="str">
        <f t="shared" ca="1" si="1"/>
        <v/>
      </c>
      <c r="D69" s="118" t="str">
        <f ca="1">ORÇAMENTO!O69</f>
        <v>-</v>
      </c>
      <c r="E69" s="164" t="str">
        <f t="shared" si="2"/>
        <v>ENTRADA DE ENERGIA ELÉTRICA, AÉREA, TRIFÁSICA, COM CAIXA DE EMBUTIR, CABO DE 70 MM2 E DISJUNTOR 125A, INCLUSO O POSTE PADRÃO CELESC</v>
      </c>
      <c r="F69" s="165" t="str">
        <f ca="1">IF(RegimeExecucao="Global","",ORÇAMENTO.Unidade)</f>
        <v xml:space="preserve">UN    </v>
      </c>
      <c r="G69" s="123">
        <f ca="1">IF(RegimeExecucao="Global","",ORÇAMENTO!T69)</f>
        <v>1</v>
      </c>
      <c r="H69" s="123">
        <f ca="1">IF(RegimeExecucao="Global","",ORÇAMENTO!W69)</f>
        <v>0</v>
      </c>
      <c r="I69" s="126">
        <f ca="1">ORÇAMENTO!X69</f>
        <v>0</v>
      </c>
      <c r="J69" s="334" t="e" cm="1">
        <f t="array" aca="1" ref="J69" ca="1">_xlfn.SINGLE(IF($A69="S",IF(CAIXA.Modo,BM.AFAnterior,BM.MEDAnterior),IF(AND(_xlfn.SINGLE(RegimeExecucao)="Global",$I69&gt;0,COUNTIF($AB$13:$AM$13,BM.medicao-1)&gt;0),M69/$I69*100,0)))</f>
        <v>#NAME?</v>
      </c>
      <c r="K69" s="123" t="e">
        <f t="shared" ca="1" si="3"/>
        <v>#NAME?</v>
      </c>
      <c r="L69" s="335" t="e" cm="1">
        <f t="array" aca="1" ref="L69" ca="1">_xlfn.SINGLE(IF($A69="S",IF(CAIXA.Modo,BM.AFAcumulado,BM.MEDAcumulado),IF(AND(_xlfn.SINGLE(RegimeExecucao)="Global",$I69&gt;0,COUNTIF($AB$13:$AM$13,BM.medicao)&gt;0),O69/$I69*100,0)))</f>
        <v>#NAME?</v>
      </c>
      <c r="M69" s="336">
        <f ca="1">IF($A69="S",VTOTALBM,IF($A69=0,0,ROUND(SomaAgrupBM,15-13*ORÇAMENTO!$AF$11)))</f>
        <v>0</v>
      </c>
      <c r="N69" s="337">
        <f t="shared" ca="1" si="4"/>
        <v>0</v>
      </c>
      <c r="O69" s="126">
        <f ca="1">IF($A69="S",VTOTALBM,IF($A69=0,0,ROUND(SomaAgrupBM,15-13*ORÇAMENTO!$AF$11)))</f>
        <v>0</v>
      </c>
      <c r="Q69" s="338"/>
      <c r="R69" s="339"/>
      <c r="T69" s="118" t="str">
        <f t="shared" ca="1" si="5"/>
        <v/>
      </c>
      <c r="U69" s="164" t="str">
        <f t="shared" ca="1" si="6"/>
        <v/>
      </c>
      <c r="V69" s="165" t="str">
        <f ca="1">IF(AND($W69&gt;0,RegimeExecucao="Unitário"),$F69,"")</f>
        <v/>
      </c>
      <c r="W69" s="455">
        <f ca="1">IF($Y69&gt;0,CHOOSE(MATCH(RegimeExecucao,{"Unitário","Global"},0),IF($A69="S",$Y69/$X69,""),($Y69/$X69)*100),0)</f>
        <v>0</v>
      </c>
      <c r="X69" s="340" t="str">
        <f ca="1">IF($Y69&gt;0,CHOOSE(MATCH(RegimeExecucao,{"Unitário","Global"},0),IF($A69="S",ROUND($H69,ORÇAMENTO!$AF$10),""),ROUND($I69,ORÇAMENTO!$AF$11)),"")</f>
        <v/>
      </c>
      <c r="Y69" s="340">
        <f t="shared" ca="1" si="7"/>
        <v>0</v>
      </c>
      <c r="Z69" s="474"/>
      <c r="AB69" s="338"/>
      <c r="AC69" s="438"/>
      <c r="AD69" s="438"/>
      <c r="AE69" s="438"/>
      <c r="AF69" s="438"/>
      <c r="AG69" s="438"/>
      <c r="AH69" s="438"/>
      <c r="AI69" s="438"/>
      <c r="AJ69" s="438"/>
      <c r="AK69" s="438"/>
      <c r="AL69" s="438"/>
      <c r="AM69" s="339"/>
      <c r="AO69">
        <f ca="1">IF($A69="S",IF(BM!$I69=0,0,CHOOSE(MATCH(RegimeExecucao,{"Global","Unitário"},0),ROUND(ROUND(BM.MEDAcumulado,15-13*BM!$A$9)/100*BM!$I69,15-13*ORÇAMENTO!$AF$11),ROUND(ROUND(BM.MEDAcumulado,15-13*BM!$A$9)*ROUND(BM!$H69,15-13*ORÇAMENTO!$AF$10),15-13*ORÇAMENTO!$AF$11))),IF($A69=0,0,ROUND(SomaAgrupBM,15-13*ORÇAMENTO!$AF$11)))</f>
        <v>0</v>
      </c>
    </row>
    <row r="70" spans="1:41" ht="25.5" x14ac:dyDescent="0.2">
      <c r="A70" t="str">
        <f ca="1">ORÇAMENTO!C70</f>
        <v>S</v>
      </c>
      <c r="B70">
        <f ca="1">ORÇAMENTO!D70</f>
        <v>0</v>
      </c>
      <c r="C70" s="115" t="str">
        <f t="shared" ca="1" si="1"/>
        <v/>
      </c>
      <c r="D70" s="118" t="str">
        <f ca="1">ORÇAMENTO!O70</f>
        <v>-</v>
      </c>
      <c r="E70" s="164" t="str">
        <f t="shared" si="2"/>
        <v>DISJUNTOR TRIPOLAR TIPO DIN, CORRENTE NOMINAL DE 10A - FORNECIMENTO E INSTALAÇÃO. AF_10/2020</v>
      </c>
      <c r="F70" s="165" t="str">
        <f ca="1">IF(RegimeExecucao="Global","",ORÇAMENTO.Unidade)</f>
        <v>UN</v>
      </c>
      <c r="G70" s="123">
        <f ca="1">IF(RegimeExecucao="Global","",ORÇAMENTO!T70)</f>
        <v>3</v>
      </c>
      <c r="H70" s="123">
        <f ca="1">IF(RegimeExecucao="Global","",ORÇAMENTO!W70)</f>
        <v>0</v>
      </c>
      <c r="I70" s="126">
        <f ca="1">ORÇAMENTO!X70</f>
        <v>0</v>
      </c>
      <c r="J70" s="334" t="e" cm="1">
        <f t="array" aca="1" ref="J70" ca="1">_xlfn.SINGLE(IF($A70="S",IF(CAIXA.Modo,BM.AFAnterior,BM.MEDAnterior),IF(AND(_xlfn.SINGLE(RegimeExecucao)="Global",$I70&gt;0,COUNTIF($AB$13:$AM$13,BM.medicao-1)&gt;0),M70/$I70*100,0)))</f>
        <v>#NAME?</v>
      </c>
      <c r="K70" s="123" t="e">
        <f t="shared" ca="1" si="3"/>
        <v>#NAME?</v>
      </c>
      <c r="L70" s="335" t="e" cm="1">
        <f t="array" aca="1" ref="L70" ca="1">_xlfn.SINGLE(IF($A70="S",IF(CAIXA.Modo,BM.AFAcumulado,BM.MEDAcumulado),IF(AND(_xlfn.SINGLE(RegimeExecucao)="Global",$I70&gt;0,COUNTIF($AB$13:$AM$13,BM.medicao)&gt;0),O70/$I70*100,0)))</f>
        <v>#NAME?</v>
      </c>
      <c r="M70" s="336">
        <f ca="1">IF($A70="S",VTOTALBM,IF($A70=0,0,ROUND(SomaAgrupBM,15-13*ORÇAMENTO!$AF$11)))</f>
        <v>0</v>
      </c>
      <c r="N70" s="337">
        <f t="shared" ca="1" si="4"/>
        <v>0</v>
      </c>
      <c r="O70" s="126">
        <f ca="1">IF($A70="S",VTOTALBM,IF($A70=0,0,ROUND(SomaAgrupBM,15-13*ORÇAMENTO!$AF$11)))</f>
        <v>0</v>
      </c>
      <c r="Q70" s="338"/>
      <c r="R70" s="339"/>
      <c r="T70" s="118" t="str">
        <f t="shared" ca="1" si="5"/>
        <v/>
      </c>
      <c r="U70" s="164" t="str">
        <f t="shared" ca="1" si="6"/>
        <v/>
      </c>
      <c r="V70" s="165" t="str">
        <f ca="1">IF(AND($W70&gt;0,RegimeExecucao="Unitário"),$F70,"")</f>
        <v/>
      </c>
      <c r="W70" s="455">
        <f ca="1">IF($Y70&gt;0,CHOOSE(MATCH(RegimeExecucao,{"Unitário","Global"},0),IF($A70="S",$Y70/$X70,""),($Y70/$X70)*100),0)</f>
        <v>0</v>
      </c>
      <c r="X70" s="340" t="str">
        <f ca="1">IF($Y70&gt;0,CHOOSE(MATCH(RegimeExecucao,{"Unitário","Global"},0),IF($A70="S",ROUND($H70,ORÇAMENTO!$AF$10),""),ROUND($I70,ORÇAMENTO!$AF$11)),"")</f>
        <v/>
      </c>
      <c r="Y70" s="340">
        <f t="shared" ca="1" si="7"/>
        <v>0</v>
      </c>
      <c r="Z70" s="474"/>
      <c r="AB70" s="338"/>
      <c r="AC70" s="438"/>
      <c r="AD70" s="438"/>
      <c r="AE70" s="438"/>
      <c r="AF70" s="438"/>
      <c r="AG70" s="438"/>
      <c r="AH70" s="438"/>
      <c r="AI70" s="438"/>
      <c r="AJ70" s="438"/>
      <c r="AK70" s="438"/>
      <c r="AL70" s="438"/>
      <c r="AM70" s="339"/>
      <c r="AO70">
        <f ca="1">IF($A70="S",IF(BM!$I70=0,0,CHOOSE(MATCH(RegimeExecucao,{"Global","Unitário"},0),ROUND(ROUND(BM.MEDAcumulado,15-13*BM!$A$9)/100*BM!$I70,15-13*ORÇAMENTO!$AF$11),ROUND(ROUND(BM.MEDAcumulado,15-13*BM!$A$9)*ROUND(BM!$H70,15-13*ORÇAMENTO!$AF$10),15-13*ORÇAMENTO!$AF$11))),IF($A70=0,0,ROUND(SomaAgrupBM,15-13*ORÇAMENTO!$AF$11)))</f>
        <v>0</v>
      </c>
    </row>
    <row r="71" spans="1:41" ht="25.5" x14ac:dyDescent="0.2">
      <c r="A71" t="str">
        <f ca="1">ORÇAMENTO!C71</f>
        <v>S</v>
      </c>
      <c r="B71">
        <f ca="1">ORÇAMENTO!D71</f>
        <v>0</v>
      </c>
      <c r="C71" s="115" t="str">
        <f t="shared" ca="1" si="1"/>
        <v/>
      </c>
      <c r="D71" s="118" t="str">
        <f ca="1">ORÇAMENTO!O71</f>
        <v>-</v>
      </c>
      <c r="E71" s="164" t="str">
        <f t="shared" si="2"/>
        <v>DISJUNTOR TERMOMAGNÉTICO TRIPOLAR , CORRENTE NOMINAL DE 125A - FORNECIMENTO E INSTALAÇÃO. AF_10/2020</v>
      </c>
      <c r="F71" s="165" t="str">
        <f ca="1">IF(RegimeExecucao="Global","",ORÇAMENTO.Unidade)</f>
        <v>UN</v>
      </c>
      <c r="G71" s="123">
        <f ca="1">IF(RegimeExecucao="Global","",ORÇAMENTO!T71)</f>
        <v>1</v>
      </c>
      <c r="H71" s="123">
        <f ca="1">IF(RegimeExecucao="Global","",ORÇAMENTO!W71)</f>
        <v>0</v>
      </c>
      <c r="I71" s="126">
        <f ca="1">ORÇAMENTO!X71</f>
        <v>0</v>
      </c>
      <c r="J71" s="334" t="e" cm="1">
        <f t="array" aca="1" ref="J71" ca="1">_xlfn.SINGLE(IF($A71="S",IF(CAIXA.Modo,BM.AFAnterior,BM.MEDAnterior),IF(AND(_xlfn.SINGLE(RegimeExecucao)="Global",$I71&gt;0,COUNTIF($AB$13:$AM$13,BM.medicao-1)&gt;0),M71/$I71*100,0)))</f>
        <v>#NAME?</v>
      </c>
      <c r="K71" s="123" t="e">
        <f t="shared" ca="1" si="3"/>
        <v>#NAME?</v>
      </c>
      <c r="L71" s="335" t="e" cm="1">
        <f t="array" aca="1" ref="L71" ca="1">_xlfn.SINGLE(IF($A71="S",IF(CAIXA.Modo,BM.AFAcumulado,BM.MEDAcumulado),IF(AND(_xlfn.SINGLE(RegimeExecucao)="Global",$I71&gt;0,COUNTIF($AB$13:$AM$13,BM.medicao)&gt;0),O71/$I71*100,0)))</f>
        <v>#NAME?</v>
      </c>
      <c r="M71" s="336">
        <f ca="1">IF($A71="S",VTOTALBM,IF($A71=0,0,ROUND(SomaAgrupBM,15-13*ORÇAMENTO!$AF$11)))</f>
        <v>0</v>
      </c>
      <c r="N71" s="337">
        <f t="shared" ca="1" si="4"/>
        <v>0</v>
      </c>
      <c r="O71" s="126">
        <f ca="1">IF($A71="S",VTOTALBM,IF($A71=0,0,ROUND(SomaAgrupBM,15-13*ORÇAMENTO!$AF$11)))</f>
        <v>0</v>
      </c>
      <c r="Q71" s="338"/>
      <c r="R71" s="339"/>
      <c r="T71" s="118" t="str">
        <f t="shared" ca="1" si="5"/>
        <v/>
      </c>
      <c r="U71" s="164" t="str">
        <f t="shared" ca="1" si="6"/>
        <v/>
      </c>
      <c r="V71" s="165" t="str">
        <f ca="1">IF(AND($W71&gt;0,RegimeExecucao="Unitário"),$F71,"")</f>
        <v/>
      </c>
      <c r="W71" s="455">
        <f ca="1">IF($Y71&gt;0,CHOOSE(MATCH(RegimeExecucao,{"Unitário","Global"},0),IF($A71="S",$Y71/$X71,""),($Y71/$X71)*100),0)</f>
        <v>0</v>
      </c>
      <c r="X71" s="340" t="str">
        <f ca="1">IF($Y71&gt;0,CHOOSE(MATCH(RegimeExecucao,{"Unitário","Global"},0),IF($A71="S",ROUND($H71,ORÇAMENTO!$AF$10),""),ROUND($I71,ORÇAMENTO!$AF$11)),"")</f>
        <v/>
      </c>
      <c r="Y71" s="340">
        <f t="shared" ca="1" si="7"/>
        <v>0</v>
      </c>
      <c r="Z71" s="474"/>
      <c r="AB71" s="338"/>
      <c r="AC71" s="438"/>
      <c r="AD71" s="438"/>
      <c r="AE71" s="438"/>
      <c r="AF71" s="438"/>
      <c r="AG71" s="438"/>
      <c r="AH71" s="438"/>
      <c r="AI71" s="438"/>
      <c r="AJ71" s="438"/>
      <c r="AK71" s="438"/>
      <c r="AL71" s="438"/>
      <c r="AM71" s="339"/>
      <c r="AO71">
        <f ca="1">IF($A71="S",IF(BM!$I71=0,0,CHOOSE(MATCH(RegimeExecucao,{"Global","Unitário"},0),ROUND(ROUND(BM.MEDAcumulado,15-13*BM!$A$9)/100*BM!$I71,15-13*ORÇAMENTO!$AF$11),ROUND(ROUND(BM.MEDAcumulado,15-13*BM!$A$9)*ROUND(BM!$H71,15-13*ORÇAMENTO!$AF$10),15-13*ORÇAMENTO!$AF$11))),IF($A71=0,0,ROUND(SomaAgrupBM,15-13*ORÇAMENTO!$AF$11)))</f>
        <v>0</v>
      </c>
    </row>
    <row r="72" spans="1:41" ht="25.5" x14ac:dyDescent="0.2">
      <c r="A72" t="str">
        <f ca="1">ORÇAMENTO!C72</f>
        <v>S</v>
      </c>
      <c r="B72">
        <f ca="1">ORÇAMENTO!D72</f>
        <v>0</v>
      </c>
      <c r="C72" s="115" t="str">
        <f t="shared" ca="1" si="1"/>
        <v/>
      </c>
      <c r="D72" s="118" t="str">
        <f ca="1">ORÇAMENTO!O72</f>
        <v>-</v>
      </c>
      <c r="E72" s="164" t="str">
        <f t="shared" si="2"/>
        <v>DISJUNTOR TRIPOLAR TIPO DIN, CORRENTE NOMINAL DE 16A - FORNECIMENTO E INSTALAÇÃO. AF_10/2020</v>
      </c>
      <c r="F72" s="165" t="str">
        <f ca="1">IF(RegimeExecucao="Global","",ORÇAMENTO.Unidade)</f>
        <v>UN</v>
      </c>
      <c r="G72" s="123">
        <f ca="1">IF(RegimeExecucao="Global","",ORÇAMENTO!T72)</f>
        <v>1</v>
      </c>
      <c r="H72" s="123">
        <f ca="1">IF(RegimeExecucao="Global","",ORÇAMENTO!W72)</f>
        <v>0</v>
      </c>
      <c r="I72" s="126">
        <f ca="1">ORÇAMENTO!X72</f>
        <v>0</v>
      </c>
      <c r="J72" s="334" t="e" cm="1">
        <f t="array" aca="1" ref="J72" ca="1">_xlfn.SINGLE(IF($A72="S",IF(CAIXA.Modo,BM.AFAnterior,BM.MEDAnterior),IF(AND(_xlfn.SINGLE(RegimeExecucao)="Global",$I72&gt;0,COUNTIF($AB$13:$AM$13,BM.medicao-1)&gt;0),M72/$I72*100,0)))</f>
        <v>#NAME?</v>
      </c>
      <c r="K72" s="123" t="e">
        <f t="shared" ca="1" si="3"/>
        <v>#NAME?</v>
      </c>
      <c r="L72" s="335" t="e" cm="1">
        <f t="array" aca="1" ref="L72" ca="1">_xlfn.SINGLE(IF($A72="S",IF(CAIXA.Modo,BM.AFAcumulado,BM.MEDAcumulado),IF(AND(_xlfn.SINGLE(RegimeExecucao)="Global",$I72&gt;0,COUNTIF($AB$13:$AM$13,BM.medicao)&gt;0),O72/$I72*100,0)))</f>
        <v>#NAME?</v>
      </c>
      <c r="M72" s="336">
        <f ca="1">IF($A72="S",VTOTALBM,IF($A72=0,0,ROUND(SomaAgrupBM,15-13*ORÇAMENTO!$AF$11)))</f>
        <v>0</v>
      </c>
      <c r="N72" s="337">
        <f t="shared" ca="1" si="4"/>
        <v>0</v>
      </c>
      <c r="O72" s="126">
        <f ca="1">IF($A72="S",VTOTALBM,IF($A72=0,0,ROUND(SomaAgrupBM,15-13*ORÇAMENTO!$AF$11)))</f>
        <v>0</v>
      </c>
      <c r="Q72" s="338"/>
      <c r="R72" s="339"/>
      <c r="T72" s="118" t="str">
        <f t="shared" ca="1" si="5"/>
        <v/>
      </c>
      <c r="U72" s="164" t="str">
        <f t="shared" ca="1" si="6"/>
        <v/>
      </c>
      <c r="V72" s="165" t="str">
        <f ca="1">IF(AND($W72&gt;0,RegimeExecucao="Unitário"),$F72,"")</f>
        <v/>
      </c>
      <c r="W72" s="455">
        <f ca="1">IF($Y72&gt;0,CHOOSE(MATCH(RegimeExecucao,{"Unitário","Global"},0),IF($A72="S",$Y72/$X72,""),($Y72/$X72)*100),0)</f>
        <v>0</v>
      </c>
      <c r="X72" s="340" t="str">
        <f ca="1">IF($Y72&gt;0,CHOOSE(MATCH(RegimeExecucao,{"Unitário","Global"},0),IF($A72="S",ROUND($H72,ORÇAMENTO!$AF$10),""),ROUND($I72,ORÇAMENTO!$AF$11)),"")</f>
        <v/>
      </c>
      <c r="Y72" s="340">
        <f t="shared" ca="1" si="7"/>
        <v>0</v>
      </c>
      <c r="Z72" s="474"/>
      <c r="AB72" s="338"/>
      <c r="AC72" s="438"/>
      <c r="AD72" s="438"/>
      <c r="AE72" s="438"/>
      <c r="AF72" s="438"/>
      <c r="AG72" s="438"/>
      <c r="AH72" s="438"/>
      <c r="AI72" s="438"/>
      <c r="AJ72" s="438"/>
      <c r="AK72" s="438"/>
      <c r="AL72" s="438"/>
      <c r="AM72" s="339"/>
      <c r="AO72">
        <f ca="1">IF($A72="S",IF(BM!$I72=0,0,CHOOSE(MATCH(RegimeExecucao,{"Global","Unitário"},0),ROUND(ROUND(BM.MEDAcumulado,15-13*BM!$A$9)/100*BM!$I72,15-13*ORÇAMENTO!$AF$11),ROUND(ROUND(BM.MEDAcumulado,15-13*BM!$A$9)*ROUND(BM!$H72,15-13*ORÇAMENTO!$AF$10),15-13*ORÇAMENTO!$AF$11))),IF($A72=0,0,ROUND(SomaAgrupBM,15-13*ORÇAMENTO!$AF$11)))</f>
        <v>0</v>
      </c>
    </row>
    <row r="73" spans="1:41" ht="25.5" x14ac:dyDescent="0.2">
      <c r="A73" t="str">
        <f ca="1">ORÇAMENTO!C73</f>
        <v>S</v>
      </c>
      <c r="B73">
        <f ca="1">ORÇAMENTO!D73</f>
        <v>0</v>
      </c>
      <c r="C73" s="115" t="str">
        <f t="shared" ca="1" si="1"/>
        <v/>
      </c>
      <c r="D73" s="118" t="str">
        <f ca="1">ORÇAMENTO!O73</f>
        <v>-</v>
      </c>
      <c r="E73" s="164" t="str">
        <f t="shared" si="2"/>
        <v>DISJUNTOR TRIPOLAR TIPO DIN, CORRENTE NOMINAL DE 50A - FORNECIMENTO E INSTALAÇÃO. AF_10/2020</v>
      </c>
      <c r="F73" s="165" t="str">
        <f ca="1">IF(RegimeExecucao="Global","",ORÇAMENTO.Unidade)</f>
        <v>UN</v>
      </c>
      <c r="G73" s="123">
        <f ca="1">IF(RegimeExecucao="Global","",ORÇAMENTO!T73)</f>
        <v>3</v>
      </c>
      <c r="H73" s="123">
        <f ca="1">IF(RegimeExecucao="Global","",ORÇAMENTO!W73)</f>
        <v>0</v>
      </c>
      <c r="I73" s="126">
        <f ca="1">ORÇAMENTO!X73</f>
        <v>0</v>
      </c>
      <c r="J73" s="334" t="e" cm="1">
        <f t="array" aca="1" ref="J73" ca="1">_xlfn.SINGLE(IF($A73="S",IF(CAIXA.Modo,BM.AFAnterior,BM.MEDAnterior),IF(AND(_xlfn.SINGLE(RegimeExecucao)="Global",$I73&gt;0,COUNTIF($AB$13:$AM$13,BM.medicao-1)&gt;0),M73/$I73*100,0)))</f>
        <v>#NAME?</v>
      </c>
      <c r="K73" s="123" t="e">
        <f t="shared" ca="1" si="3"/>
        <v>#NAME?</v>
      </c>
      <c r="L73" s="335" t="e" cm="1">
        <f t="array" aca="1" ref="L73" ca="1">_xlfn.SINGLE(IF($A73="S",IF(CAIXA.Modo,BM.AFAcumulado,BM.MEDAcumulado),IF(AND(_xlfn.SINGLE(RegimeExecucao)="Global",$I73&gt;0,COUNTIF($AB$13:$AM$13,BM.medicao)&gt;0),O73/$I73*100,0)))</f>
        <v>#NAME?</v>
      </c>
      <c r="M73" s="336">
        <f ca="1">IF($A73="S",VTOTALBM,IF($A73=0,0,ROUND(SomaAgrupBM,15-13*ORÇAMENTO!$AF$11)))</f>
        <v>0</v>
      </c>
      <c r="N73" s="337">
        <f t="shared" ca="1" si="4"/>
        <v>0</v>
      </c>
      <c r="O73" s="126">
        <f ca="1">IF($A73="S",VTOTALBM,IF($A73=0,0,ROUND(SomaAgrupBM,15-13*ORÇAMENTO!$AF$11)))</f>
        <v>0</v>
      </c>
      <c r="Q73" s="338"/>
      <c r="R73" s="339"/>
      <c r="T73" s="118" t="str">
        <f t="shared" ca="1" si="5"/>
        <v/>
      </c>
      <c r="U73" s="164" t="str">
        <f t="shared" ca="1" si="6"/>
        <v/>
      </c>
      <c r="V73" s="165" t="str">
        <f ca="1">IF(AND($W73&gt;0,RegimeExecucao="Unitário"),$F73,"")</f>
        <v/>
      </c>
      <c r="W73" s="455">
        <f ca="1">IF($Y73&gt;0,CHOOSE(MATCH(RegimeExecucao,{"Unitário","Global"},0),IF($A73="S",$Y73/$X73,""),($Y73/$X73)*100),0)</f>
        <v>0</v>
      </c>
      <c r="X73" s="340" t="str">
        <f ca="1">IF($Y73&gt;0,CHOOSE(MATCH(RegimeExecucao,{"Unitário","Global"},0),IF($A73="S",ROUND($H73,ORÇAMENTO!$AF$10),""),ROUND($I73,ORÇAMENTO!$AF$11)),"")</f>
        <v/>
      </c>
      <c r="Y73" s="340">
        <f t="shared" ca="1" si="7"/>
        <v>0</v>
      </c>
      <c r="Z73" s="474"/>
      <c r="AB73" s="338"/>
      <c r="AC73" s="438"/>
      <c r="AD73" s="438"/>
      <c r="AE73" s="438"/>
      <c r="AF73" s="438"/>
      <c r="AG73" s="438"/>
      <c r="AH73" s="438"/>
      <c r="AI73" s="438"/>
      <c r="AJ73" s="438"/>
      <c r="AK73" s="438"/>
      <c r="AL73" s="438"/>
      <c r="AM73" s="339"/>
      <c r="AO73">
        <f ca="1">IF($A73="S",IF(BM!$I73=0,0,CHOOSE(MATCH(RegimeExecucao,{"Global","Unitário"},0),ROUND(ROUND(BM.MEDAcumulado,15-13*BM!$A$9)/100*BM!$I73,15-13*ORÇAMENTO!$AF$11),ROUND(ROUND(BM.MEDAcumulado,15-13*BM!$A$9)*ROUND(BM!$H73,15-13*ORÇAMENTO!$AF$10),15-13*ORÇAMENTO!$AF$11))),IF($A73=0,0,ROUND(SomaAgrupBM,15-13*ORÇAMENTO!$AF$11)))</f>
        <v>0</v>
      </c>
    </row>
    <row r="74" spans="1:41" ht="25.5" x14ac:dyDescent="0.2">
      <c r="A74" t="str">
        <f ca="1">ORÇAMENTO!C74</f>
        <v>S</v>
      </c>
      <c r="B74">
        <f ca="1">ORÇAMENTO!D74</f>
        <v>0</v>
      </c>
      <c r="C74" s="115" t="str">
        <f t="shared" ca="1" si="1"/>
        <v/>
      </c>
      <c r="D74" s="118" t="str">
        <f ca="1">ORÇAMENTO!O74</f>
        <v>-</v>
      </c>
      <c r="E74" s="164" t="str">
        <f t="shared" si="2"/>
        <v>DISJUNTOR MONOPOLAR TIPO DIN, CORRENTE NOMINAL DE 10A - FORNECIMENTO E INSTALAÇÃO. AF_10/2020</v>
      </c>
      <c r="F74" s="165" t="str">
        <f ca="1">IF(RegimeExecucao="Global","",ORÇAMENTO.Unidade)</f>
        <v>UN</v>
      </c>
      <c r="G74" s="123">
        <f ca="1">IF(RegimeExecucao="Global","",ORÇAMENTO!T74)</f>
        <v>25</v>
      </c>
      <c r="H74" s="123">
        <f ca="1">IF(RegimeExecucao="Global","",ORÇAMENTO!W74)</f>
        <v>0</v>
      </c>
      <c r="I74" s="126">
        <f ca="1">ORÇAMENTO!X74</f>
        <v>0</v>
      </c>
      <c r="J74" s="334" t="e" cm="1">
        <f t="array" aca="1" ref="J74" ca="1">_xlfn.SINGLE(IF($A74="S",IF(CAIXA.Modo,BM.AFAnterior,BM.MEDAnterior),IF(AND(_xlfn.SINGLE(RegimeExecucao)="Global",$I74&gt;0,COUNTIF($AB$13:$AM$13,BM.medicao-1)&gt;0),M74/$I74*100,0)))</f>
        <v>#NAME?</v>
      </c>
      <c r="K74" s="123" t="e">
        <f t="shared" ca="1" si="3"/>
        <v>#NAME?</v>
      </c>
      <c r="L74" s="335" t="e" cm="1">
        <f t="array" aca="1" ref="L74" ca="1">_xlfn.SINGLE(IF($A74="S",IF(CAIXA.Modo,BM.AFAcumulado,BM.MEDAcumulado),IF(AND(_xlfn.SINGLE(RegimeExecucao)="Global",$I74&gt;0,COUNTIF($AB$13:$AM$13,BM.medicao)&gt;0),O74/$I74*100,0)))</f>
        <v>#NAME?</v>
      </c>
      <c r="M74" s="336">
        <f ca="1">IF($A74="S",VTOTALBM,IF($A74=0,0,ROUND(SomaAgrupBM,15-13*ORÇAMENTO!$AF$11)))</f>
        <v>0</v>
      </c>
      <c r="N74" s="337">
        <f t="shared" ca="1" si="4"/>
        <v>0</v>
      </c>
      <c r="O74" s="126">
        <f ca="1">IF($A74="S",VTOTALBM,IF($A74=0,0,ROUND(SomaAgrupBM,15-13*ORÇAMENTO!$AF$11)))</f>
        <v>0</v>
      </c>
      <c r="Q74" s="338"/>
      <c r="R74" s="339"/>
      <c r="T74" s="118" t="str">
        <f t="shared" ca="1" si="5"/>
        <v/>
      </c>
      <c r="U74" s="164" t="str">
        <f t="shared" ca="1" si="6"/>
        <v/>
      </c>
      <c r="V74" s="165" t="str">
        <f ca="1">IF(AND($W74&gt;0,RegimeExecucao="Unitário"),$F74,"")</f>
        <v/>
      </c>
      <c r="W74" s="455">
        <f ca="1">IF($Y74&gt;0,CHOOSE(MATCH(RegimeExecucao,{"Unitário","Global"},0),IF($A74="S",$Y74/$X74,""),($Y74/$X74)*100),0)</f>
        <v>0</v>
      </c>
      <c r="X74" s="340" t="str">
        <f ca="1">IF($Y74&gt;0,CHOOSE(MATCH(RegimeExecucao,{"Unitário","Global"},0),IF($A74="S",ROUND($H74,ORÇAMENTO!$AF$10),""),ROUND($I74,ORÇAMENTO!$AF$11)),"")</f>
        <v/>
      </c>
      <c r="Y74" s="340">
        <f t="shared" ca="1" si="7"/>
        <v>0</v>
      </c>
      <c r="Z74" s="474"/>
      <c r="AB74" s="338"/>
      <c r="AC74" s="438"/>
      <c r="AD74" s="438"/>
      <c r="AE74" s="438"/>
      <c r="AF74" s="438"/>
      <c r="AG74" s="438"/>
      <c r="AH74" s="438"/>
      <c r="AI74" s="438"/>
      <c r="AJ74" s="438"/>
      <c r="AK74" s="438"/>
      <c r="AL74" s="438"/>
      <c r="AM74" s="339"/>
      <c r="AO74">
        <f ca="1">IF($A74="S",IF(BM!$I74=0,0,CHOOSE(MATCH(RegimeExecucao,{"Global","Unitário"},0),ROUND(ROUND(BM.MEDAcumulado,15-13*BM!$A$9)/100*BM!$I74,15-13*ORÇAMENTO!$AF$11),ROUND(ROUND(BM.MEDAcumulado,15-13*BM!$A$9)*ROUND(BM!$H74,15-13*ORÇAMENTO!$AF$10),15-13*ORÇAMENTO!$AF$11))),IF($A74=0,0,ROUND(SomaAgrupBM,15-13*ORÇAMENTO!$AF$11)))</f>
        <v>0</v>
      </c>
    </row>
    <row r="75" spans="1:41" ht="25.5" x14ac:dyDescent="0.2">
      <c r="A75" t="str">
        <f ca="1">ORÇAMENTO!C75</f>
        <v>S</v>
      </c>
      <c r="B75">
        <f ca="1">ORÇAMENTO!D75</f>
        <v>0</v>
      </c>
      <c r="C75" s="115" t="str">
        <f t="shared" ca="1" si="1"/>
        <v/>
      </c>
      <c r="D75" s="118" t="str">
        <f ca="1">ORÇAMENTO!O75</f>
        <v>-</v>
      </c>
      <c r="E75" s="164" t="str">
        <f t="shared" si="2"/>
        <v>DISJUNTOR MONOPOLAR TIPO DIN, CORRENTE NOMINAL DE 16A - FORNECIMENTO E INSTALAÇÃO. AF_10/2020</v>
      </c>
      <c r="F75" s="165" t="str">
        <f ca="1">IF(RegimeExecucao="Global","",ORÇAMENTO.Unidade)</f>
        <v>UN</v>
      </c>
      <c r="G75" s="123">
        <f ca="1">IF(RegimeExecucao="Global","",ORÇAMENTO!T75)</f>
        <v>19</v>
      </c>
      <c r="H75" s="123">
        <f ca="1">IF(RegimeExecucao="Global","",ORÇAMENTO!W75)</f>
        <v>0</v>
      </c>
      <c r="I75" s="126">
        <f ca="1">ORÇAMENTO!X75</f>
        <v>0</v>
      </c>
      <c r="J75" s="334" t="e" cm="1">
        <f t="array" aca="1" ref="J75" ca="1">_xlfn.SINGLE(IF($A75="S",IF(CAIXA.Modo,BM.AFAnterior,BM.MEDAnterior),IF(AND(_xlfn.SINGLE(RegimeExecucao)="Global",$I75&gt;0,COUNTIF($AB$13:$AM$13,BM.medicao-1)&gt;0),M75/$I75*100,0)))</f>
        <v>#NAME?</v>
      </c>
      <c r="K75" s="123" t="e">
        <f t="shared" ca="1" si="3"/>
        <v>#NAME?</v>
      </c>
      <c r="L75" s="335" t="e" cm="1">
        <f t="array" aca="1" ref="L75" ca="1">_xlfn.SINGLE(IF($A75="S",IF(CAIXA.Modo,BM.AFAcumulado,BM.MEDAcumulado),IF(AND(_xlfn.SINGLE(RegimeExecucao)="Global",$I75&gt;0,COUNTIF($AB$13:$AM$13,BM.medicao)&gt;0),O75/$I75*100,0)))</f>
        <v>#NAME?</v>
      </c>
      <c r="M75" s="336">
        <f ca="1">IF($A75="S",VTOTALBM,IF($A75=0,0,ROUND(SomaAgrupBM,15-13*ORÇAMENTO!$AF$11)))</f>
        <v>0</v>
      </c>
      <c r="N75" s="337">
        <f t="shared" ca="1" si="4"/>
        <v>0</v>
      </c>
      <c r="O75" s="126">
        <f ca="1">IF($A75="S",VTOTALBM,IF($A75=0,0,ROUND(SomaAgrupBM,15-13*ORÇAMENTO!$AF$11)))</f>
        <v>0</v>
      </c>
      <c r="Q75" s="338"/>
      <c r="R75" s="339"/>
      <c r="T75" s="118" t="str">
        <f t="shared" ca="1" si="5"/>
        <v/>
      </c>
      <c r="U75" s="164" t="str">
        <f t="shared" ca="1" si="6"/>
        <v/>
      </c>
      <c r="V75" s="165" t="str">
        <f ca="1">IF(AND($W75&gt;0,RegimeExecucao="Unitário"),$F75,"")</f>
        <v/>
      </c>
      <c r="W75" s="455">
        <f ca="1">IF($Y75&gt;0,CHOOSE(MATCH(RegimeExecucao,{"Unitário","Global"},0),IF($A75="S",$Y75/$X75,""),($Y75/$X75)*100),0)</f>
        <v>0</v>
      </c>
      <c r="X75" s="340" t="str">
        <f ca="1">IF($Y75&gt;0,CHOOSE(MATCH(RegimeExecucao,{"Unitário","Global"},0),IF($A75="S",ROUND($H75,ORÇAMENTO!$AF$10),""),ROUND($I75,ORÇAMENTO!$AF$11)),"")</f>
        <v/>
      </c>
      <c r="Y75" s="340">
        <f t="shared" ca="1" si="7"/>
        <v>0</v>
      </c>
      <c r="Z75" s="474"/>
      <c r="AB75" s="338"/>
      <c r="AC75" s="438"/>
      <c r="AD75" s="438"/>
      <c r="AE75" s="438"/>
      <c r="AF75" s="438"/>
      <c r="AG75" s="438"/>
      <c r="AH75" s="438"/>
      <c r="AI75" s="438"/>
      <c r="AJ75" s="438"/>
      <c r="AK75" s="438"/>
      <c r="AL75" s="438"/>
      <c r="AM75" s="339"/>
      <c r="AO75">
        <f ca="1">IF($A75="S",IF(BM!$I75=0,0,CHOOSE(MATCH(RegimeExecucao,{"Global","Unitário"},0),ROUND(ROUND(BM.MEDAcumulado,15-13*BM!$A$9)/100*BM!$I75,15-13*ORÇAMENTO!$AF$11),ROUND(ROUND(BM.MEDAcumulado,15-13*BM!$A$9)*ROUND(BM!$H75,15-13*ORÇAMENTO!$AF$10),15-13*ORÇAMENTO!$AF$11))),IF($A75=0,0,ROUND(SomaAgrupBM,15-13*ORÇAMENTO!$AF$11)))</f>
        <v>0</v>
      </c>
    </row>
    <row r="76" spans="1:41" ht="25.5" x14ac:dyDescent="0.2">
      <c r="A76" t="str">
        <f ca="1">ORÇAMENTO!C76</f>
        <v>S</v>
      </c>
      <c r="B76">
        <f ca="1">ORÇAMENTO!D76</f>
        <v>0</v>
      </c>
      <c r="C76" s="115" t="str">
        <f t="shared" ca="1" si="1"/>
        <v/>
      </c>
      <c r="D76" s="118" t="str">
        <f ca="1">ORÇAMENTO!O76</f>
        <v>-</v>
      </c>
      <c r="E76" s="164" t="str">
        <f t="shared" si="2"/>
        <v>DISJUNTOR MONOPOLAR TIPO DIN, CORRENTE NOMINAL DE 25A - FORNECIMENTO E INSTALAÇÃO. AF_10/2020</v>
      </c>
      <c r="F76" s="165" t="str">
        <f ca="1">IF(RegimeExecucao="Global","",ORÇAMENTO.Unidade)</f>
        <v>UN</v>
      </c>
      <c r="G76" s="123">
        <f ca="1">IF(RegimeExecucao="Global","",ORÇAMENTO!T76)</f>
        <v>10</v>
      </c>
      <c r="H76" s="123">
        <f ca="1">IF(RegimeExecucao="Global","",ORÇAMENTO!W76)</f>
        <v>0</v>
      </c>
      <c r="I76" s="126">
        <f ca="1">ORÇAMENTO!X76</f>
        <v>0</v>
      </c>
      <c r="J76" s="334" t="e" cm="1">
        <f t="array" aca="1" ref="J76" ca="1">_xlfn.SINGLE(IF($A76="S",IF(CAIXA.Modo,BM.AFAnterior,BM.MEDAnterior),IF(AND(_xlfn.SINGLE(RegimeExecucao)="Global",$I76&gt;0,COUNTIF($AB$13:$AM$13,BM.medicao-1)&gt;0),M76/$I76*100,0)))</f>
        <v>#NAME?</v>
      </c>
      <c r="K76" s="123" t="e">
        <f t="shared" ca="1" si="3"/>
        <v>#NAME?</v>
      </c>
      <c r="L76" s="335" t="e" cm="1">
        <f t="array" aca="1" ref="L76" ca="1">_xlfn.SINGLE(IF($A76="S",IF(CAIXA.Modo,BM.AFAcumulado,BM.MEDAcumulado),IF(AND(_xlfn.SINGLE(RegimeExecucao)="Global",$I76&gt;0,COUNTIF($AB$13:$AM$13,BM.medicao)&gt;0),O76/$I76*100,0)))</f>
        <v>#NAME?</v>
      </c>
      <c r="M76" s="336">
        <f ca="1">IF($A76="S",VTOTALBM,IF($A76=0,0,ROUND(SomaAgrupBM,15-13*ORÇAMENTO!$AF$11)))</f>
        <v>0</v>
      </c>
      <c r="N76" s="337">
        <f t="shared" ca="1" si="4"/>
        <v>0</v>
      </c>
      <c r="O76" s="126">
        <f ca="1">IF($A76="S",VTOTALBM,IF($A76=0,0,ROUND(SomaAgrupBM,15-13*ORÇAMENTO!$AF$11)))</f>
        <v>0</v>
      </c>
      <c r="Q76" s="338"/>
      <c r="R76" s="339"/>
      <c r="T76" s="118" t="str">
        <f t="shared" ca="1" si="5"/>
        <v/>
      </c>
      <c r="U76" s="164" t="str">
        <f t="shared" ca="1" si="6"/>
        <v/>
      </c>
      <c r="V76" s="165" t="str">
        <f ca="1">IF(AND($W76&gt;0,RegimeExecucao="Unitário"),$F76,"")</f>
        <v/>
      </c>
      <c r="W76" s="455">
        <f ca="1">IF($Y76&gt;0,CHOOSE(MATCH(RegimeExecucao,{"Unitário","Global"},0),IF($A76="S",$Y76/$X76,""),($Y76/$X76)*100),0)</f>
        <v>0</v>
      </c>
      <c r="X76" s="340" t="str">
        <f ca="1">IF($Y76&gt;0,CHOOSE(MATCH(RegimeExecucao,{"Unitário","Global"},0),IF($A76="S",ROUND($H76,ORÇAMENTO!$AF$10),""),ROUND($I76,ORÇAMENTO!$AF$11)),"")</f>
        <v/>
      </c>
      <c r="Y76" s="340">
        <f t="shared" ca="1" si="7"/>
        <v>0</v>
      </c>
      <c r="Z76" s="474"/>
      <c r="AB76" s="338"/>
      <c r="AC76" s="438"/>
      <c r="AD76" s="438"/>
      <c r="AE76" s="438"/>
      <c r="AF76" s="438"/>
      <c r="AG76" s="438"/>
      <c r="AH76" s="438"/>
      <c r="AI76" s="438"/>
      <c r="AJ76" s="438"/>
      <c r="AK76" s="438"/>
      <c r="AL76" s="438"/>
      <c r="AM76" s="339"/>
      <c r="AO76">
        <f ca="1">IF($A76="S",IF(BM!$I76=0,0,CHOOSE(MATCH(RegimeExecucao,{"Global","Unitário"},0),ROUND(ROUND(BM.MEDAcumulado,15-13*BM!$A$9)/100*BM!$I76,15-13*ORÇAMENTO!$AF$11),ROUND(ROUND(BM.MEDAcumulado,15-13*BM!$A$9)*ROUND(BM!$H76,15-13*ORÇAMENTO!$AF$10),15-13*ORÇAMENTO!$AF$11))),IF($A76=0,0,ROUND(SomaAgrupBM,15-13*ORÇAMENTO!$AF$11)))</f>
        <v>0</v>
      </c>
    </row>
    <row r="77" spans="1:41" ht="25.5" x14ac:dyDescent="0.2">
      <c r="A77" t="str">
        <f ca="1">ORÇAMENTO!C77</f>
        <v>S</v>
      </c>
      <c r="B77">
        <f ca="1">ORÇAMENTO!D77</f>
        <v>0</v>
      </c>
      <c r="C77" s="115" t="str">
        <f t="shared" ca="1" si="1"/>
        <v/>
      </c>
      <c r="D77" s="118" t="str">
        <f ca="1">ORÇAMENTO!O77</f>
        <v>-</v>
      </c>
      <c r="E77" s="164" t="str">
        <f t="shared" si="2"/>
        <v>DISJUNTOR MONOPOLAR TIPO DIN, CORRENTE NOMINAL DE 32A - FORNECIMENTO E INSTALAÇÃO. AF_10/2020</v>
      </c>
      <c r="F77" s="165" t="str">
        <f ca="1">IF(RegimeExecucao="Global","",ORÇAMENTO.Unidade)</f>
        <v>UN</v>
      </c>
      <c r="G77" s="123">
        <f ca="1">IF(RegimeExecucao="Global","",ORÇAMENTO!T77)</f>
        <v>2</v>
      </c>
      <c r="H77" s="123">
        <f ca="1">IF(RegimeExecucao="Global","",ORÇAMENTO!W77)</f>
        <v>0</v>
      </c>
      <c r="I77" s="126">
        <f ca="1">ORÇAMENTO!X77</f>
        <v>0</v>
      </c>
      <c r="J77" s="334" t="e" cm="1">
        <f t="array" aca="1" ref="J77" ca="1">_xlfn.SINGLE(IF($A77="S",IF(CAIXA.Modo,BM.AFAnterior,BM.MEDAnterior),IF(AND(_xlfn.SINGLE(RegimeExecucao)="Global",$I77&gt;0,COUNTIF($AB$13:$AM$13,BM.medicao-1)&gt;0),M77/$I77*100,0)))</f>
        <v>#NAME?</v>
      </c>
      <c r="K77" s="123" t="e">
        <f t="shared" ca="1" si="3"/>
        <v>#NAME?</v>
      </c>
      <c r="L77" s="335" t="e" cm="1">
        <f t="array" aca="1" ref="L77" ca="1">_xlfn.SINGLE(IF($A77="S",IF(CAIXA.Modo,BM.AFAcumulado,BM.MEDAcumulado),IF(AND(_xlfn.SINGLE(RegimeExecucao)="Global",$I77&gt;0,COUNTIF($AB$13:$AM$13,BM.medicao)&gt;0),O77/$I77*100,0)))</f>
        <v>#NAME?</v>
      </c>
      <c r="M77" s="336">
        <f ca="1">IF($A77="S",VTOTALBM,IF($A77=0,0,ROUND(SomaAgrupBM,15-13*ORÇAMENTO!$AF$11)))</f>
        <v>0</v>
      </c>
      <c r="N77" s="337">
        <f t="shared" ca="1" si="4"/>
        <v>0</v>
      </c>
      <c r="O77" s="126">
        <f ca="1">IF($A77="S",VTOTALBM,IF($A77=0,0,ROUND(SomaAgrupBM,15-13*ORÇAMENTO!$AF$11)))</f>
        <v>0</v>
      </c>
      <c r="Q77" s="338"/>
      <c r="R77" s="339"/>
      <c r="T77" s="118" t="str">
        <f t="shared" ca="1" si="5"/>
        <v/>
      </c>
      <c r="U77" s="164" t="str">
        <f t="shared" ca="1" si="6"/>
        <v/>
      </c>
      <c r="V77" s="165" t="str">
        <f ca="1">IF(AND($W77&gt;0,RegimeExecucao="Unitário"),$F77,"")</f>
        <v/>
      </c>
      <c r="W77" s="455">
        <f ca="1">IF($Y77&gt;0,CHOOSE(MATCH(RegimeExecucao,{"Unitário","Global"},0),IF($A77="S",$Y77/$X77,""),($Y77/$X77)*100),0)</f>
        <v>0</v>
      </c>
      <c r="X77" s="340" t="str">
        <f ca="1">IF($Y77&gt;0,CHOOSE(MATCH(RegimeExecucao,{"Unitário","Global"},0),IF($A77="S",ROUND($H77,ORÇAMENTO!$AF$10),""),ROUND($I77,ORÇAMENTO!$AF$11)),"")</f>
        <v/>
      </c>
      <c r="Y77" s="340">
        <f t="shared" ca="1" si="7"/>
        <v>0</v>
      </c>
      <c r="Z77" s="474"/>
      <c r="AB77" s="338"/>
      <c r="AC77" s="438"/>
      <c r="AD77" s="438"/>
      <c r="AE77" s="438"/>
      <c r="AF77" s="438"/>
      <c r="AG77" s="438"/>
      <c r="AH77" s="438"/>
      <c r="AI77" s="438"/>
      <c r="AJ77" s="438"/>
      <c r="AK77" s="438"/>
      <c r="AL77" s="438"/>
      <c r="AM77" s="339"/>
      <c r="AO77">
        <f ca="1">IF($A77="S",IF(BM!$I77=0,0,CHOOSE(MATCH(RegimeExecucao,{"Global","Unitário"},0),ROUND(ROUND(BM.MEDAcumulado,15-13*BM!$A$9)/100*BM!$I77,15-13*ORÇAMENTO!$AF$11),ROUND(ROUND(BM.MEDAcumulado,15-13*BM!$A$9)*ROUND(BM!$H77,15-13*ORÇAMENTO!$AF$10),15-13*ORÇAMENTO!$AF$11))),IF($A77=0,0,ROUND(SomaAgrupBM,15-13*ORÇAMENTO!$AF$11)))</f>
        <v>0</v>
      </c>
    </row>
    <row r="78" spans="1:41" ht="25.5" x14ac:dyDescent="0.2">
      <c r="A78" t="str">
        <f ca="1">ORÇAMENTO!C78</f>
        <v>S</v>
      </c>
      <c r="B78">
        <f ca="1">ORÇAMENTO!D78</f>
        <v>0</v>
      </c>
      <c r="C78" s="115" t="str">
        <f t="shared" ca="1" si="1"/>
        <v/>
      </c>
      <c r="D78" s="118" t="str">
        <f ca="1">ORÇAMENTO!O78</f>
        <v>-</v>
      </c>
      <c r="E78" s="164" t="str">
        <f t="shared" si="2"/>
        <v xml:space="preserve">DISPOSITIVO DR, 4 POLOS, SENSIBILIDADE DE 30 MA, CORRENTE DE 25 A, TIPO AC                                                                                                                                                                                </v>
      </c>
      <c r="F78" s="165" t="str">
        <f ca="1">IF(RegimeExecucao="Global","",ORÇAMENTO.Unidade)</f>
        <v xml:space="preserve">UN    </v>
      </c>
      <c r="G78" s="123">
        <f ca="1">IF(RegimeExecucao="Global","",ORÇAMENTO!T78)</f>
        <v>1</v>
      </c>
      <c r="H78" s="123">
        <f ca="1">IF(RegimeExecucao="Global","",ORÇAMENTO!W78)</f>
        <v>0</v>
      </c>
      <c r="I78" s="126">
        <f ca="1">ORÇAMENTO!X78</f>
        <v>0</v>
      </c>
      <c r="J78" s="334" t="e" cm="1">
        <f t="array" aca="1" ref="J78" ca="1">_xlfn.SINGLE(IF($A78="S",IF(CAIXA.Modo,BM.AFAnterior,BM.MEDAnterior),IF(AND(_xlfn.SINGLE(RegimeExecucao)="Global",$I78&gt;0,COUNTIF($AB$13:$AM$13,BM.medicao-1)&gt;0),M78/$I78*100,0)))</f>
        <v>#NAME?</v>
      </c>
      <c r="K78" s="123" t="e">
        <f t="shared" ca="1" si="3"/>
        <v>#NAME?</v>
      </c>
      <c r="L78" s="335" t="e" cm="1">
        <f t="array" aca="1" ref="L78" ca="1">_xlfn.SINGLE(IF($A78="S",IF(CAIXA.Modo,BM.AFAcumulado,BM.MEDAcumulado),IF(AND(_xlfn.SINGLE(RegimeExecucao)="Global",$I78&gt;0,COUNTIF($AB$13:$AM$13,BM.medicao)&gt;0),O78/$I78*100,0)))</f>
        <v>#NAME?</v>
      </c>
      <c r="M78" s="336">
        <f ca="1">IF($A78="S",VTOTALBM,IF($A78=0,0,ROUND(SomaAgrupBM,15-13*ORÇAMENTO!$AF$11)))</f>
        <v>0</v>
      </c>
      <c r="N78" s="337">
        <f t="shared" ca="1" si="4"/>
        <v>0</v>
      </c>
      <c r="O78" s="126">
        <f ca="1">IF($A78="S",VTOTALBM,IF($A78=0,0,ROUND(SomaAgrupBM,15-13*ORÇAMENTO!$AF$11)))</f>
        <v>0</v>
      </c>
      <c r="Q78" s="338"/>
      <c r="R78" s="339"/>
      <c r="T78" s="118" t="str">
        <f t="shared" ca="1" si="5"/>
        <v/>
      </c>
      <c r="U78" s="164" t="str">
        <f t="shared" ca="1" si="6"/>
        <v/>
      </c>
      <c r="V78" s="165" t="str">
        <f ca="1">IF(AND($W78&gt;0,RegimeExecucao="Unitário"),$F78,"")</f>
        <v/>
      </c>
      <c r="W78" s="455">
        <f ca="1">IF($Y78&gt;0,CHOOSE(MATCH(RegimeExecucao,{"Unitário","Global"},0),IF($A78="S",$Y78/$X78,""),($Y78/$X78)*100),0)</f>
        <v>0</v>
      </c>
      <c r="X78" s="340" t="str">
        <f ca="1">IF($Y78&gt;0,CHOOSE(MATCH(RegimeExecucao,{"Unitário","Global"},0),IF($A78="S",ROUND($H78,ORÇAMENTO!$AF$10),""),ROUND($I78,ORÇAMENTO!$AF$11)),"")</f>
        <v/>
      </c>
      <c r="Y78" s="340">
        <f t="shared" ca="1" si="7"/>
        <v>0</v>
      </c>
      <c r="Z78" s="474"/>
      <c r="AB78" s="338"/>
      <c r="AC78" s="438"/>
      <c r="AD78" s="438"/>
      <c r="AE78" s="438"/>
      <c r="AF78" s="438"/>
      <c r="AG78" s="438"/>
      <c r="AH78" s="438"/>
      <c r="AI78" s="438"/>
      <c r="AJ78" s="438"/>
      <c r="AK78" s="438"/>
      <c r="AL78" s="438"/>
      <c r="AM78" s="339"/>
      <c r="AO78">
        <f ca="1">IF($A78="S",IF(BM!$I78=0,0,CHOOSE(MATCH(RegimeExecucao,{"Global","Unitário"},0),ROUND(ROUND(BM.MEDAcumulado,15-13*BM!$A$9)/100*BM!$I78,15-13*ORÇAMENTO!$AF$11),ROUND(ROUND(BM.MEDAcumulado,15-13*BM!$A$9)*ROUND(BM!$H78,15-13*ORÇAMENTO!$AF$10),15-13*ORÇAMENTO!$AF$11))),IF($A78=0,0,ROUND(SomaAgrupBM,15-13*ORÇAMENTO!$AF$11)))</f>
        <v>0</v>
      </c>
    </row>
    <row r="79" spans="1:41" ht="25.5" x14ac:dyDescent="0.2">
      <c r="A79" t="str">
        <f ca="1">ORÇAMENTO!C79</f>
        <v>S</v>
      </c>
      <c r="B79">
        <f ca="1">ORÇAMENTO!D79</f>
        <v>0</v>
      </c>
      <c r="C79" s="115" t="str">
        <f t="shared" ref="C79:C142" ca="1" si="8">IF(OR($I79&gt;0,$A79=1,$A79=2,$A79=3,$A79=4),"F","")</f>
        <v/>
      </c>
      <c r="D79" s="118" t="str">
        <f ca="1">ORÇAMENTO!O79</f>
        <v>-</v>
      </c>
      <c r="E79" s="164" t="str">
        <f t="shared" ref="E79:E142" si="9">ORÇAMENTO.Descricao</f>
        <v xml:space="preserve">DISPOSITIVO DR, 2 POLOS, SENSIBILIDADE DE 30 MA, CORRENTE DE 40 A, TIPO AC                                                                                                                                                                                </v>
      </c>
      <c r="F79" s="165" t="str">
        <f ca="1">IF(RegimeExecucao="Global","",ORÇAMENTO.Unidade)</f>
        <v xml:space="preserve">UN    </v>
      </c>
      <c r="G79" s="123">
        <f ca="1">IF(RegimeExecucao="Global","",ORÇAMENTO!T79)</f>
        <v>25</v>
      </c>
      <c r="H79" s="123">
        <f ca="1">IF(RegimeExecucao="Global","",ORÇAMENTO!W79)</f>
        <v>0</v>
      </c>
      <c r="I79" s="126">
        <f ca="1">ORÇAMENTO!X79</f>
        <v>0</v>
      </c>
      <c r="J79" s="334" t="e" cm="1">
        <f t="array" aca="1" ref="J79" ca="1">_xlfn.SINGLE(IF($A79="S",IF(CAIXA.Modo,BM.AFAnterior,BM.MEDAnterior),IF(AND(_xlfn.SINGLE(RegimeExecucao)="Global",$I79&gt;0,COUNTIF($AB$13:$AM$13,BM.medicao-1)&gt;0),M79/$I79*100,0)))</f>
        <v>#NAME?</v>
      </c>
      <c r="K79" s="123" t="e">
        <f t="shared" ref="K79:K142" ca="1" si="10">L79-J79</f>
        <v>#NAME?</v>
      </c>
      <c r="L79" s="335" t="e" cm="1">
        <f t="array" aca="1" ref="L79" ca="1">_xlfn.SINGLE(IF($A79="S",IF(CAIXA.Modo,BM.AFAcumulado,BM.MEDAcumulado),IF(AND(_xlfn.SINGLE(RegimeExecucao)="Global",$I79&gt;0,COUNTIF($AB$13:$AM$13,BM.medicao)&gt;0),O79/$I79*100,0)))</f>
        <v>#NAME?</v>
      </c>
      <c r="M79" s="336">
        <f ca="1">IF($A79="S",VTOTALBM,IF($A79=0,0,ROUND(SomaAgrupBM,15-13*ORÇAMENTO!$AF$11)))</f>
        <v>0</v>
      </c>
      <c r="N79" s="337">
        <f t="shared" ref="N79:N142" ca="1" si="11">O79-M79</f>
        <v>0</v>
      </c>
      <c r="O79" s="126">
        <f ca="1">IF($A79="S",VTOTALBM,IF($A79=0,0,ROUND(SomaAgrupBM,15-13*ORÇAMENTO!$AF$11)))</f>
        <v>0</v>
      </c>
      <c r="Q79" s="338"/>
      <c r="R79" s="339"/>
      <c r="T79" s="118" t="str">
        <f t="shared" ref="T79:T142" ca="1" si="12">IF($W79&gt;0,$D79,"")</f>
        <v/>
      </c>
      <c r="U79" s="164" t="str">
        <f t="shared" ref="U79:U142" ca="1" si="13">IF($W79&gt;0,$E79,"")</f>
        <v/>
      </c>
      <c r="V79" s="165" t="str">
        <f ca="1">IF(AND($W79&gt;0,RegimeExecucao="Unitário"),$F79,"")</f>
        <v/>
      </c>
      <c r="W79" s="455">
        <f ca="1">IF($Y79&gt;0,CHOOSE(MATCH(RegimeExecucao,{"Unitário","Global"},0),IF($A79="S",$Y79/$X79,""),($Y79/$X79)*100),0)</f>
        <v>0</v>
      </c>
      <c r="X79" s="340" t="str">
        <f ca="1">IF($Y79&gt;0,CHOOSE(MATCH(RegimeExecucao,{"Unitário","Global"},0),IF($A79="S",ROUND($H79,ORÇAMENTO!$AF$10),""),ROUND($I79,ORÇAMENTO!$AF$11)),"")</f>
        <v/>
      </c>
      <c r="Y79" s="340">
        <f t="shared" ref="Y79:Y142" ca="1" si="14">AO79-O79</f>
        <v>0</v>
      </c>
      <c r="Z79" s="474"/>
      <c r="AB79" s="338"/>
      <c r="AC79" s="438"/>
      <c r="AD79" s="438"/>
      <c r="AE79" s="438"/>
      <c r="AF79" s="438"/>
      <c r="AG79" s="438"/>
      <c r="AH79" s="438"/>
      <c r="AI79" s="438"/>
      <c r="AJ79" s="438"/>
      <c r="AK79" s="438"/>
      <c r="AL79" s="438"/>
      <c r="AM79" s="339"/>
      <c r="AO79">
        <f ca="1">IF($A79="S",IF(BM!$I79=0,0,CHOOSE(MATCH(RegimeExecucao,{"Global","Unitário"},0),ROUND(ROUND(BM.MEDAcumulado,15-13*BM!$A$9)/100*BM!$I79,15-13*ORÇAMENTO!$AF$11),ROUND(ROUND(BM.MEDAcumulado,15-13*BM!$A$9)*ROUND(BM!$H79,15-13*ORÇAMENTO!$AF$10),15-13*ORÇAMENTO!$AF$11))),IF($A79=0,0,ROUND(SomaAgrupBM,15-13*ORÇAMENTO!$AF$11)))</f>
        <v>0</v>
      </c>
    </row>
    <row r="80" spans="1:41" ht="25.5" x14ac:dyDescent="0.2">
      <c r="A80" t="str">
        <f ca="1">ORÇAMENTO!C80</f>
        <v>S</v>
      </c>
      <c r="B80">
        <f ca="1">ORÇAMENTO!D80</f>
        <v>0</v>
      </c>
      <c r="C80" s="115" t="str">
        <f t="shared" ca="1" si="8"/>
        <v/>
      </c>
      <c r="D80" s="118" t="str">
        <f ca="1">ORÇAMENTO!O80</f>
        <v>-</v>
      </c>
      <c r="E80" s="164" t="str">
        <f t="shared" si="9"/>
        <v xml:space="preserve">DISPOSITIVO DPS CLASSE II, 1 POLO, TENSAO MAXIMA DE 275 V, CORRENTE MAXIMA DE *90* KA (TIPO AC)                                                                                                                                                           </v>
      </c>
      <c r="F80" s="165" t="str">
        <f ca="1">IF(RegimeExecucao="Global","",ORÇAMENTO.Unidade)</f>
        <v xml:space="preserve">UN    </v>
      </c>
      <c r="G80" s="123">
        <f ca="1">IF(RegimeExecucao="Global","",ORÇAMENTO!T80)</f>
        <v>4</v>
      </c>
      <c r="H80" s="123">
        <f ca="1">IF(RegimeExecucao="Global","",ORÇAMENTO!W80)</f>
        <v>0</v>
      </c>
      <c r="I80" s="126">
        <f ca="1">ORÇAMENTO!X80</f>
        <v>0</v>
      </c>
      <c r="J80" s="334" t="e" cm="1">
        <f t="array" aca="1" ref="J80" ca="1">_xlfn.SINGLE(IF($A80="S",IF(CAIXA.Modo,BM.AFAnterior,BM.MEDAnterior),IF(AND(_xlfn.SINGLE(RegimeExecucao)="Global",$I80&gt;0,COUNTIF($AB$13:$AM$13,BM.medicao-1)&gt;0),M80/$I80*100,0)))</f>
        <v>#NAME?</v>
      </c>
      <c r="K80" s="123" t="e">
        <f t="shared" ca="1" si="10"/>
        <v>#NAME?</v>
      </c>
      <c r="L80" s="335" t="e" cm="1">
        <f t="array" aca="1" ref="L80" ca="1">_xlfn.SINGLE(IF($A80="S",IF(CAIXA.Modo,BM.AFAcumulado,BM.MEDAcumulado),IF(AND(_xlfn.SINGLE(RegimeExecucao)="Global",$I80&gt;0,COUNTIF($AB$13:$AM$13,BM.medicao)&gt;0),O80/$I80*100,0)))</f>
        <v>#NAME?</v>
      </c>
      <c r="M80" s="336">
        <f ca="1">IF($A80="S",VTOTALBM,IF($A80=0,0,ROUND(SomaAgrupBM,15-13*ORÇAMENTO!$AF$11)))</f>
        <v>0</v>
      </c>
      <c r="N80" s="337">
        <f t="shared" ca="1" si="11"/>
        <v>0</v>
      </c>
      <c r="O80" s="126">
        <f ca="1">IF($A80="S",VTOTALBM,IF($A80=0,0,ROUND(SomaAgrupBM,15-13*ORÇAMENTO!$AF$11)))</f>
        <v>0</v>
      </c>
      <c r="Q80" s="338"/>
      <c r="R80" s="339"/>
      <c r="T80" s="118" t="str">
        <f t="shared" ca="1" si="12"/>
        <v/>
      </c>
      <c r="U80" s="164" t="str">
        <f t="shared" ca="1" si="13"/>
        <v/>
      </c>
      <c r="V80" s="165" t="str">
        <f ca="1">IF(AND($W80&gt;0,RegimeExecucao="Unitário"),$F80,"")</f>
        <v/>
      </c>
      <c r="W80" s="455">
        <f ca="1">IF($Y80&gt;0,CHOOSE(MATCH(RegimeExecucao,{"Unitário","Global"},0),IF($A80="S",$Y80/$X80,""),($Y80/$X80)*100),0)</f>
        <v>0</v>
      </c>
      <c r="X80" s="340" t="str">
        <f ca="1">IF($Y80&gt;0,CHOOSE(MATCH(RegimeExecucao,{"Unitário","Global"},0),IF($A80="S",ROUND($H80,ORÇAMENTO!$AF$10),""),ROUND($I80,ORÇAMENTO!$AF$11)),"")</f>
        <v/>
      </c>
      <c r="Y80" s="340">
        <f t="shared" ca="1" si="14"/>
        <v>0</v>
      </c>
      <c r="Z80" s="474"/>
      <c r="AB80" s="338"/>
      <c r="AC80" s="438"/>
      <c r="AD80" s="438"/>
      <c r="AE80" s="438"/>
      <c r="AF80" s="438"/>
      <c r="AG80" s="438"/>
      <c r="AH80" s="438"/>
      <c r="AI80" s="438"/>
      <c r="AJ80" s="438"/>
      <c r="AK80" s="438"/>
      <c r="AL80" s="438"/>
      <c r="AM80" s="339"/>
      <c r="AO80">
        <f ca="1">IF($A80="S",IF(BM!$I80=0,0,CHOOSE(MATCH(RegimeExecucao,{"Global","Unitário"},0),ROUND(ROUND(BM.MEDAcumulado,15-13*BM!$A$9)/100*BM!$I80,15-13*ORÇAMENTO!$AF$11),ROUND(ROUND(BM.MEDAcumulado,15-13*BM!$A$9)*ROUND(BM!$H80,15-13*ORÇAMENTO!$AF$10),15-13*ORÇAMENTO!$AF$11))),IF($A80=0,0,ROUND(SomaAgrupBM,15-13*ORÇAMENTO!$AF$11)))</f>
        <v>0</v>
      </c>
    </row>
    <row r="81" spans="1:41" ht="38.25" x14ac:dyDescent="0.2">
      <c r="A81" t="str">
        <f ca="1">ORÇAMENTO!C81</f>
        <v>S</v>
      </c>
      <c r="B81">
        <f ca="1">ORÇAMENTO!D81</f>
        <v>0</v>
      </c>
      <c r="C81" s="115" t="str">
        <f t="shared" ca="1" si="8"/>
        <v/>
      </c>
      <c r="D81" s="118" t="str">
        <f ca="1">ORÇAMENTO!O81</f>
        <v>-</v>
      </c>
      <c r="E81" s="164" t="str">
        <f t="shared" si="9"/>
        <v>ELETRODUTO FLEXÍVEL CORRUGADO, PVC, DN 20 MM (1/2"), PARA CIRCUITOS TERMINAIS, INSTALADO EM FORRO - FORNECIMENTO E INSTALAÇÃO. AF_03/2023_PA</v>
      </c>
      <c r="F81" s="165" t="str">
        <f ca="1">IF(RegimeExecucao="Global","",ORÇAMENTO.Unidade)</f>
        <v>M</v>
      </c>
      <c r="G81" s="123">
        <f ca="1">IF(RegimeExecucao="Global","",ORÇAMENTO!T81)</f>
        <v>1400</v>
      </c>
      <c r="H81" s="123">
        <f ca="1">IF(RegimeExecucao="Global","",ORÇAMENTO!W81)</f>
        <v>0</v>
      </c>
      <c r="I81" s="126">
        <f ca="1">ORÇAMENTO!X81</f>
        <v>0</v>
      </c>
      <c r="J81" s="334" t="e" cm="1">
        <f t="array" aca="1" ref="J81" ca="1">_xlfn.SINGLE(IF($A81="S",IF(CAIXA.Modo,BM.AFAnterior,BM.MEDAnterior),IF(AND(_xlfn.SINGLE(RegimeExecucao)="Global",$I81&gt;0,COUNTIF($AB$13:$AM$13,BM.medicao-1)&gt;0),M81/$I81*100,0)))</f>
        <v>#NAME?</v>
      </c>
      <c r="K81" s="123" t="e">
        <f t="shared" ca="1" si="10"/>
        <v>#NAME?</v>
      </c>
      <c r="L81" s="335" t="e" cm="1">
        <f t="array" aca="1" ref="L81" ca="1">_xlfn.SINGLE(IF($A81="S",IF(CAIXA.Modo,BM.AFAcumulado,BM.MEDAcumulado),IF(AND(_xlfn.SINGLE(RegimeExecucao)="Global",$I81&gt;0,COUNTIF($AB$13:$AM$13,BM.medicao)&gt;0),O81/$I81*100,0)))</f>
        <v>#NAME?</v>
      </c>
      <c r="M81" s="336">
        <f ca="1">IF($A81="S",VTOTALBM,IF($A81=0,0,ROUND(SomaAgrupBM,15-13*ORÇAMENTO!$AF$11)))</f>
        <v>0</v>
      </c>
      <c r="N81" s="337">
        <f t="shared" ca="1" si="11"/>
        <v>0</v>
      </c>
      <c r="O81" s="126">
        <f ca="1">IF($A81="S",VTOTALBM,IF($A81=0,0,ROUND(SomaAgrupBM,15-13*ORÇAMENTO!$AF$11)))</f>
        <v>0</v>
      </c>
      <c r="Q81" s="338"/>
      <c r="R81" s="339"/>
      <c r="T81" s="118" t="str">
        <f t="shared" ca="1" si="12"/>
        <v/>
      </c>
      <c r="U81" s="164" t="str">
        <f t="shared" ca="1" si="13"/>
        <v/>
      </c>
      <c r="V81" s="165" t="str">
        <f ca="1">IF(AND($W81&gt;0,RegimeExecucao="Unitário"),$F81,"")</f>
        <v/>
      </c>
      <c r="W81" s="455">
        <f ca="1">IF($Y81&gt;0,CHOOSE(MATCH(RegimeExecucao,{"Unitário","Global"},0),IF($A81="S",$Y81/$X81,""),($Y81/$X81)*100),0)</f>
        <v>0</v>
      </c>
      <c r="X81" s="340" t="str">
        <f ca="1">IF($Y81&gt;0,CHOOSE(MATCH(RegimeExecucao,{"Unitário","Global"},0),IF($A81="S",ROUND($H81,ORÇAMENTO!$AF$10),""),ROUND($I81,ORÇAMENTO!$AF$11)),"")</f>
        <v/>
      </c>
      <c r="Y81" s="340">
        <f t="shared" ca="1" si="14"/>
        <v>0</v>
      </c>
      <c r="Z81" s="474"/>
      <c r="AB81" s="338"/>
      <c r="AC81" s="438"/>
      <c r="AD81" s="438"/>
      <c r="AE81" s="438"/>
      <c r="AF81" s="438"/>
      <c r="AG81" s="438"/>
      <c r="AH81" s="438"/>
      <c r="AI81" s="438"/>
      <c r="AJ81" s="438"/>
      <c r="AK81" s="438"/>
      <c r="AL81" s="438"/>
      <c r="AM81" s="339"/>
      <c r="AO81">
        <f ca="1">IF($A81="S",IF(BM!$I81=0,0,CHOOSE(MATCH(RegimeExecucao,{"Global","Unitário"},0),ROUND(ROUND(BM.MEDAcumulado,15-13*BM!$A$9)/100*BM!$I81,15-13*ORÇAMENTO!$AF$11),ROUND(ROUND(BM.MEDAcumulado,15-13*BM!$A$9)*ROUND(BM!$H81,15-13*ORÇAMENTO!$AF$10),15-13*ORÇAMENTO!$AF$11))),IF($A81=0,0,ROUND(SomaAgrupBM,15-13*ORÇAMENTO!$AF$11)))</f>
        <v>0</v>
      </c>
    </row>
    <row r="82" spans="1:41" ht="38.25" x14ac:dyDescent="0.2">
      <c r="A82" t="str">
        <f ca="1">ORÇAMENTO!C82</f>
        <v>S</v>
      </c>
      <c r="B82">
        <f ca="1">ORÇAMENTO!D82</f>
        <v>0</v>
      </c>
      <c r="C82" s="115" t="str">
        <f t="shared" ca="1" si="8"/>
        <v/>
      </c>
      <c r="D82" s="118" t="str">
        <f ca="1">ORÇAMENTO!O82</f>
        <v>-</v>
      </c>
      <c r="E82" s="164" t="str">
        <f t="shared" si="9"/>
        <v>ELETRODUTO FLEXÍVEL CORRUGADO, PVC, DN 32 MM (1"), PARA CIRCUITOS TERMINAIS, INSTALADO EM FORRO - FORNECIMENTO E INSTALAÇÃO. AF_03/2023_PA</v>
      </c>
      <c r="F82" s="165" t="str">
        <f ca="1">IF(RegimeExecucao="Global","",ORÇAMENTO.Unidade)</f>
        <v>M</v>
      </c>
      <c r="G82" s="123">
        <f ca="1">IF(RegimeExecucao="Global","",ORÇAMENTO!T82)</f>
        <v>135</v>
      </c>
      <c r="H82" s="123">
        <f ca="1">IF(RegimeExecucao="Global","",ORÇAMENTO!W82)</f>
        <v>0</v>
      </c>
      <c r="I82" s="126">
        <f ca="1">ORÇAMENTO!X82</f>
        <v>0</v>
      </c>
      <c r="J82" s="334" t="e" cm="1">
        <f t="array" aca="1" ref="J82" ca="1">_xlfn.SINGLE(IF($A82="S",IF(CAIXA.Modo,BM.AFAnterior,BM.MEDAnterior),IF(AND(_xlfn.SINGLE(RegimeExecucao)="Global",$I82&gt;0,COUNTIF($AB$13:$AM$13,BM.medicao-1)&gt;0),M82/$I82*100,0)))</f>
        <v>#NAME?</v>
      </c>
      <c r="K82" s="123" t="e">
        <f t="shared" ca="1" si="10"/>
        <v>#NAME?</v>
      </c>
      <c r="L82" s="335" t="e" cm="1">
        <f t="array" aca="1" ref="L82" ca="1">_xlfn.SINGLE(IF($A82="S",IF(CAIXA.Modo,BM.AFAcumulado,BM.MEDAcumulado),IF(AND(_xlfn.SINGLE(RegimeExecucao)="Global",$I82&gt;0,COUNTIF($AB$13:$AM$13,BM.medicao)&gt;0),O82/$I82*100,0)))</f>
        <v>#NAME?</v>
      </c>
      <c r="M82" s="336">
        <f ca="1">IF($A82="S",VTOTALBM,IF($A82=0,0,ROUND(SomaAgrupBM,15-13*ORÇAMENTO!$AF$11)))</f>
        <v>0</v>
      </c>
      <c r="N82" s="337">
        <f t="shared" ca="1" si="11"/>
        <v>0</v>
      </c>
      <c r="O82" s="126">
        <f ca="1">IF($A82="S",VTOTALBM,IF($A82=0,0,ROUND(SomaAgrupBM,15-13*ORÇAMENTO!$AF$11)))</f>
        <v>0</v>
      </c>
      <c r="Q82" s="338"/>
      <c r="R82" s="339"/>
      <c r="T82" s="118" t="str">
        <f t="shared" ca="1" si="12"/>
        <v/>
      </c>
      <c r="U82" s="164" t="str">
        <f t="shared" ca="1" si="13"/>
        <v/>
      </c>
      <c r="V82" s="165" t="str">
        <f ca="1">IF(AND($W82&gt;0,RegimeExecucao="Unitário"),$F82,"")</f>
        <v/>
      </c>
      <c r="W82" s="455">
        <f ca="1">IF($Y82&gt;0,CHOOSE(MATCH(RegimeExecucao,{"Unitário","Global"},0),IF($A82="S",$Y82/$X82,""),($Y82/$X82)*100),0)</f>
        <v>0</v>
      </c>
      <c r="X82" s="340" t="str">
        <f ca="1">IF($Y82&gt;0,CHOOSE(MATCH(RegimeExecucao,{"Unitário","Global"},0),IF($A82="S",ROUND($H82,ORÇAMENTO!$AF$10),""),ROUND($I82,ORÇAMENTO!$AF$11)),"")</f>
        <v/>
      </c>
      <c r="Y82" s="340">
        <f t="shared" ca="1" si="14"/>
        <v>0</v>
      </c>
      <c r="Z82" s="474"/>
      <c r="AB82" s="338"/>
      <c r="AC82" s="438"/>
      <c r="AD82" s="438"/>
      <c r="AE82" s="438"/>
      <c r="AF82" s="438"/>
      <c r="AG82" s="438"/>
      <c r="AH82" s="438"/>
      <c r="AI82" s="438"/>
      <c r="AJ82" s="438"/>
      <c r="AK82" s="438"/>
      <c r="AL82" s="438"/>
      <c r="AM82" s="339"/>
      <c r="AO82">
        <f ca="1">IF($A82="S",IF(BM!$I82=0,0,CHOOSE(MATCH(RegimeExecucao,{"Global","Unitário"},0),ROUND(ROUND(BM.MEDAcumulado,15-13*BM!$A$9)/100*BM!$I82,15-13*ORÇAMENTO!$AF$11),ROUND(ROUND(BM.MEDAcumulado,15-13*BM!$A$9)*ROUND(BM!$H82,15-13*ORÇAMENTO!$AF$10),15-13*ORÇAMENTO!$AF$11))),IF($A82=0,0,ROUND(SomaAgrupBM,15-13*ORÇAMENTO!$AF$11)))</f>
        <v>0</v>
      </c>
    </row>
    <row r="83" spans="1:41" ht="38.25" x14ac:dyDescent="0.2">
      <c r="A83" t="str">
        <f ca="1">ORÇAMENTO!C83</f>
        <v>S</v>
      </c>
      <c r="B83">
        <f ca="1">ORÇAMENTO!D83</f>
        <v>0</v>
      </c>
      <c r="C83" s="115" t="str">
        <f t="shared" ca="1" si="8"/>
        <v/>
      </c>
      <c r="D83" s="118" t="str">
        <f ca="1">ORÇAMENTO!O83</f>
        <v>-</v>
      </c>
      <c r="E83" s="164" t="str">
        <f t="shared" si="9"/>
        <v>ELETRODUTO FLEXÍVEL CORRUGADO, PEAD, DN 50 (1 1/2"), PARA REDE ENTERRADA DE DISTRIBUIÇÃO DE ENERGIA ELÉTRICA - FORNECIMENTO E INSTALAÇÃO. AF_12/2021</v>
      </c>
      <c r="F83" s="165" t="str">
        <f ca="1">IF(RegimeExecucao="Global","",ORÇAMENTO.Unidade)</f>
        <v>M</v>
      </c>
      <c r="G83" s="123">
        <f ca="1">IF(RegimeExecucao="Global","",ORÇAMENTO!T83)</f>
        <v>13</v>
      </c>
      <c r="H83" s="123">
        <f ca="1">IF(RegimeExecucao="Global","",ORÇAMENTO!W83)</f>
        <v>0</v>
      </c>
      <c r="I83" s="126">
        <f ca="1">ORÇAMENTO!X83</f>
        <v>0</v>
      </c>
      <c r="J83" s="334" t="e" cm="1">
        <f t="array" aca="1" ref="J83" ca="1">_xlfn.SINGLE(IF($A83="S",IF(CAIXA.Modo,BM.AFAnterior,BM.MEDAnterior),IF(AND(_xlfn.SINGLE(RegimeExecucao)="Global",$I83&gt;0,COUNTIF($AB$13:$AM$13,BM.medicao-1)&gt;0),M83/$I83*100,0)))</f>
        <v>#NAME?</v>
      </c>
      <c r="K83" s="123" t="e">
        <f t="shared" ca="1" si="10"/>
        <v>#NAME?</v>
      </c>
      <c r="L83" s="335" t="e" cm="1">
        <f t="array" aca="1" ref="L83" ca="1">_xlfn.SINGLE(IF($A83="S",IF(CAIXA.Modo,BM.AFAcumulado,BM.MEDAcumulado),IF(AND(_xlfn.SINGLE(RegimeExecucao)="Global",$I83&gt;0,COUNTIF($AB$13:$AM$13,BM.medicao)&gt;0),O83/$I83*100,0)))</f>
        <v>#NAME?</v>
      </c>
      <c r="M83" s="336">
        <f ca="1">IF($A83="S",VTOTALBM,IF($A83=0,0,ROUND(SomaAgrupBM,15-13*ORÇAMENTO!$AF$11)))</f>
        <v>0</v>
      </c>
      <c r="N83" s="337">
        <f t="shared" ca="1" si="11"/>
        <v>0</v>
      </c>
      <c r="O83" s="126">
        <f ca="1">IF($A83="S",VTOTALBM,IF($A83=0,0,ROUND(SomaAgrupBM,15-13*ORÇAMENTO!$AF$11)))</f>
        <v>0</v>
      </c>
      <c r="Q83" s="338"/>
      <c r="R83" s="339"/>
      <c r="T83" s="118" t="str">
        <f t="shared" ca="1" si="12"/>
        <v/>
      </c>
      <c r="U83" s="164" t="str">
        <f t="shared" ca="1" si="13"/>
        <v/>
      </c>
      <c r="V83" s="165" t="str">
        <f ca="1">IF(AND($W83&gt;0,RegimeExecucao="Unitário"),$F83,"")</f>
        <v/>
      </c>
      <c r="W83" s="455">
        <f ca="1">IF($Y83&gt;0,CHOOSE(MATCH(RegimeExecucao,{"Unitário","Global"},0),IF($A83="S",$Y83/$X83,""),($Y83/$X83)*100),0)</f>
        <v>0</v>
      </c>
      <c r="X83" s="340" t="str">
        <f ca="1">IF($Y83&gt;0,CHOOSE(MATCH(RegimeExecucao,{"Unitário","Global"},0),IF($A83="S",ROUND($H83,ORÇAMENTO!$AF$10),""),ROUND($I83,ORÇAMENTO!$AF$11)),"")</f>
        <v/>
      </c>
      <c r="Y83" s="340">
        <f t="shared" ca="1" si="14"/>
        <v>0</v>
      </c>
      <c r="Z83" s="474"/>
      <c r="AB83" s="338"/>
      <c r="AC83" s="438"/>
      <c r="AD83" s="438"/>
      <c r="AE83" s="438"/>
      <c r="AF83" s="438"/>
      <c r="AG83" s="438"/>
      <c r="AH83" s="438"/>
      <c r="AI83" s="438"/>
      <c r="AJ83" s="438"/>
      <c r="AK83" s="438"/>
      <c r="AL83" s="438"/>
      <c r="AM83" s="339"/>
      <c r="AO83">
        <f ca="1">IF($A83="S",IF(BM!$I83=0,0,CHOOSE(MATCH(RegimeExecucao,{"Global","Unitário"},0),ROUND(ROUND(BM.MEDAcumulado,15-13*BM!$A$9)/100*BM!$I83,15-13*ORÇAMENTO!$AF$11),ROUND(ROUND(BM.MEDAcumulado,15-13*BM!$A$9)*ROUND(BM!$H83,15-13*ORÇAMENTO!$AF$10),15-13*ORÇAMENTO!$AF$11))),IF($A83=0,0,ROUND(SomaAgrupBM,15-13*ORÇAMENTO!$AF$11)))</f>
        <v>0</v>
      </c>
    </row>
    <row r="84" spans="1:41" ht="38.25" x14ac:dyDescent="0.2">
      <c r="A84" t="str">
        <f ca="1">ORÇAMENTO!C84</f>
        <v>S</v>
      </c>
      <c r="B84">
        <f ca="1">ORÇAMENTO!D84</f>
        <v>0</v>
      </c>
      <c r="C84" s="115" t="str">
        <f t="shared" ca="1" si="8"/>
        <v/>
      </c>
      <c r="D84" s="118" t="str">
        <f ca="1">ORÇAMENTO!O84</f>
        <v>-</v>
      </c>
      <c r="E84" s="164" t="str">
        <f t="shared" si="9"/>
        <v>ELETRODUTO FLEXÍVEL CORRUGADO, PVC, DN 25 MM (3/4"), PARA CIRCUITOS TERMINAIS, INSTALADO EM FORRO - FORNECIMENTO E INSTALAÇÃO. AF_03/2023_PA</v>
      </c>
      <c r="F84" s="165" t="str">
        <f ca="1">IF(RegimeExecucao="Global","",ORÇAMENTO.Unidade)</f>
        <v>M</v>
      </c>
      <c r="G84" s="123">
        <f ca="1">IF(RegimeExecucao="Global","",ORÇAMENTO!T84)</f>
        <v>145</v>
      </c>
      <c r="H84" s="123">
        <f ca="1">IF(RegimeExecucao="Global","",ORÇAMENTO!W84)</f>
        <v>0</v>
      </c>
      <c r="I84" s="126">
        <f ca="1">ORÇAMENTO!X84</f>
        <v>0</v>
      </c>
      <c r="J84" s="334" t="e" cm="1">
        <f t="array" aca="1" ref="J84" ca="1">_xlfn.SINGLE(IF($A84="S",IF(CAIXA.Modo,BM.AFAnterior,BM.MEDAnterior),IF(AND(_xlfn.SINGLE(RegimeExecucao)="Global",$I84&gt;0,COUNTIF($AB$13:$AM$13,BM.medicao-1)&gt;0),M84/$I84*100,0)))</f>
        <v>#NAME?</v>
      </c>
      <c r="K84" s="123" t="e">
        <f t="shared" ca="1" si="10"/>
        <v>#NAME?</v>
      </c>
      <c r="L84" s="335" t="e" cm="1">
        <f t="array" aca="1" ref="L84" ca="1">_xlfn.SINGLE(IF($A84="S",IF(CAIXA.Modo,BM.AFAcumulado,BM.MEDAcumulado),IF(AND(_xlfn.SINGLE(RegimeExecucao)="Global",$I84&gt;0,COUNTIF($AB$13:$AM$13,BM.medicao)&gt;0),O84/$I84*100,0)))</f>
        <v>#NAME?</v>
      </c>
      <c r="M84" s="336">
        <f ca="1">IF($A84="S",VTOTALBM,IF($A84=0,0,ROUND(SomaAgrupBM,15-13*ORÇAMENTO!$AF$11)))</f>
        <v>0</v>
      </c>
      <c r="N84" s="337">
        <f t="shared" ca="1" si="11"/>
        <v>0</v>
      </c>
      <c r="O84" s="126">
        <f ca="1">IF($A84="S",VTOTALBM,IF($A84=0,0,ROUND(SomaAgrupBM,15-13*ORÇAMENTO!$AF$11)))</f>
        <v>0</v>
      </c>
      <c r="Q84" s="338"/>
      <c r="R84" s="339"/>
      <c r="T84" s="118" t="str">
        <f t="shared" ca="1" si="12"/>
        <v/>
      </c>
      <c r="U84" s="164" t="str">
        <f t="shared" ca="1" si="13"/>
        <v/>
      </c>
      <c r="V84" s="165" t="str">
        <f ca="1">IF(AND($W84&gt;0,RegimeExecucao="Unitário"),$F84,"")</f>
        <v/>
      </c>
      <c r="W84" s="455">
        <f ca="1">IF($Y84&gt;0,CHOOSE(MATCH(RegimeExecucao,{"Unitário","Global"},0),IF($A84="S",$Y84/$X84,""),($Y84/$X84)*100),0)</f>
        <v>0</v>
      </c>
      <c r="X84" s="340" t="str">
        <f ca="1">IF($Y84&gt;0,CHOOSE(MATCH(RegimeExecucao,{"Unitário","Global"},0),IF($A84="S",ROUND($H84,ORÇAMENTO!$AF$10),""),ROUND($I84,ORÇAMENTO!$AF$11)),"")</f>
        <v/>
      </c>
      <c r="Y84" s="340">
        <f t="shared" ca="1" si="14"/>
        <v>0</v>
      </c>
      <c r="Z84" s="474"/>
      <c r="AB84" s="338"/>
      <c r="AC84" s="438"/>
      <c r="AD84" s="438"/>
      <c r="AE84" s="438"/>
      <c r="AF84" s="438"/>
      <c r="AG84" s="438"/>
      <c r="AH84" s="438"/>
      <c r="AI84" s="438"/>
      <c r="AJ84" s="438"/>
      <c r="AK84" s="438"/>
      <c r="AL84" s="438"/>
      <c r="AM84" s="339"/>
      <c r="AO84">
        <f ca="1">IF($A84="S",IF(BM!$I84=0,0,CHOOSE(MATCH(RegimeExecucao,{"Global","Unitário"},0),ROUND(ROUND(BM.MEDAcumulado,15-13*BM!$A$9)/100*BM!$I84,15-13*ORÇAMENTO!$AF$11),ROUND(ROUND(BM.MEDAcumulado,15-13*BM!$A$9)*ROUND(BM!$H84,15-13*ORÇAMENTO!$AF$10),15-13*ORÇAMENTO!$AF$11))),IF($A84=0,0,ROUND(SomaAgrupBM,15-13*ORÇAMENTO!$AF$11)))</f>
        <v>0</v>
      </c>
    </row>
    <row r="85" spans="1:41" ht="38.25" x14ac:dyDescent="0.2">
      <c r="A85" t="str">
        <f ca="1">ORÇAMENTO!C85</f>
        <v>S</v>
      </c>
      <c r="B85">
        <f ca="1">ORÇAMENTO!D85</f>
        <v>0</v>
      </c>
      <c r="C85" s="115" t="str">
        <f t="shared" ca="1" si="8"/>
        <v/>
      </c>
      <c r="D85" s="118" t="str">
        <f ca="1">ORÇAMENTO!O85</f>
        <v>-</v>
      </c>
      <c r="E85" s="164" t="str">
        <f t="shared" si="9"/>
        <v>ELETRODUTO FLEXÍVEL CORRUGADO, PEAD, DN 63 (2"), PARA REDE ENTERRADA DE DISTRIBUIÇÃO DE ENERGIA ELÉTRICA - FORNECIMENTO E INSTALAÇÃO. AF_12/2021</v>
      </c>
      <c r="F85" s="165" t="str">
        <f ca="1">IF(RegimeExecucao="Global","",ORÇAMENTO.Unidade)</f>
        <v>M</v>
      </c>
      <c r="G85" s="123">
        <f ca="1">IF(RegimeExecucao="Global","",ORÇAMENTO!T85)</f>
        <v>90</v>
      </c>
      <c r="H85" s="123">
        <f ca="1">IF(RegimeExecucao="Global","",ORÇAMENTO!W85)</f>
        <v>0</v>
      </c>
      <c r="I85" s="126">
        <f ca="1">ORÇAMENTO!X85</f>
        <v>0</v>
      </c>
      <c r="J85" s="334" t="e" cm="1">
        <f t="array" aca="1" ref="J85" ca="1">_xlfn.SINGLE(IF($A85="S",IF(CAIXA.Modo,BM.AFAnterior,BM.MEDAnterior),IF(AND(_xlfn.SINGLE(RegimeExecucao)="Global",$I85&gt;0,COUNTIF($AB$13:$AM$13,BM.medicao-1)&gt;0),M85/$I85*100,0)))</f>
        <v>#NAME?</v>
      </c>
      <c r="K85" s="123" t="e">
        <f t="shared" ca="1" si="10"/>
        <v>#NAME?</v>
      </c>
      <c r="L85" s="335" t="e" cm="1">
        <f t="array" aca="1" ref="L85" ca="1">_xlfn.SINGLE(IF($A85="S",IF(CAIXA.Modo,BM.AFAcumulado,BM.MEDAcumulado),IF(AND(_xlfn.SINGLE(RegimeExecucao)="Global",$I85&gt;0,COUNTIF($AB$13:$AM$13,BM.medicao)&gt;0),O85/$I85*100,0)))</f>
        <v>#NAME?</v>
      </c>
      <c r="M85" s="336">
        <f ca="1">IF($A85="S",VTOTALBM,IF($A85=0,0,ROUND(SomaAgrupBM,15-13*ORÇAMENTO!$AF$11)))</f>
        <v>0</v>
      </c>
      <c r="N85" s="337">
        <f t="shared" ca="1" si="11"/>
        <v>0</v>
      </c>
      <c r="O85" s="126">
        <f ca="1">IF($A85="S",VTOTALBM,IF($A85=0,0,ROUND(SomaAgrupBM,15-13*ORÇAMENTO!$AF$11)))</f>
        <v>0</v>
      </c>
      <c r="Q85" s="338"/>
      <c r="R85" s="339"/>
      <c r="T85" s="118" t="str">
        <f t="shared" ca="1" si="12"/>
        <v/>
      </c>
      <c r="U85" s="164" t="str">
        <f t="shared" ca="1" si="13"/>
        <v/>
      </c>
      <c r="V85" s="165" t="str">
        <f ca="1">IF(AND($W85&gt;0,RegimeExecucao="Unitário"),$F85,"")</f>
        <v/>
      </c>
      <c r="W85" s="455">
        <f ca="1">IF($Y85&gt;0,CHOOSE(MATCH(RegimeExecucao,{"Unitário","Global"},0),IF($A85="S",$Y85/$X85,""),($Y85/$X85)*100),0)</f>
        <v>0</v>
      </c>
      <c r="X85" s="340" t="str">
        <f ca="1">IF($Y85&gt;0,CHOOSE(MATCH(RegimeExecucao,{"Unitário","Global"},0),IF($A85="S",ROUND($H85,ORÇAMENTO!$AF$10),""),ROUND($I85,ORÇAMENTO!$AF$11)),"")</f>
        <v/>
      </c>
      <c r="Y85" s="340">
        <f t="shared" ca="1" si="14"/>
        <v>0</v>
      </c>
      <c r="Z85" s="474"/>
      <c r="AB85" s="338"/>
      <c r="AC85" s="438"/>
      <c r="AD85" s="438"/>
      <c r="AE85" s="438"/>
      <c r="AF85" s="438"/>
      <c r="AG85" s="438"/>
      <c r="AH85" s="438"/>
      <c r="AI85" s="438"/>
      <c r="AJ85" s="438"/>
      <c r="AK85" s="438"/>
      <c r="AL85" s="438"/>
      <c r="AM85" s="339"/>
      <c r="AO85">
        <f ca="1">IF($A85="S",IF(BM!$I85=0,0,CHOOSE(MATCH(RegimeExecucao,{"Global","Unitário"},0),ROUND(ROUND(BM.MEDAcumulado,15-13*BM!$A$9)/100*BM!$I85,15-13*ORÇAMENTO!$AF$11),ROUND(ROUND(BM.MEDAcumulado,15-13*BM!$A$9)*ROUND(BM!$H85,15-13*ORÇAMENTO!$AF$10),15-13*ORÇAMENTO!$AF$11))),IF($A85=0,0,ROUND(SomaAgrupBM,15-13*ORÇAMENTO!$AF$11)))</f>
        <v>0</v>
      </c>
    </row>
    <row r="86" spans="1:41" ht="38.25" x14ac:dyDescent="0.2">
      <c r="A86" t="str">
        <f ca="1">ORÇAMENTO!C86</f>
        <v>S</v>
      </c>
      <c r="B86">
        <f ca="1">ORÇAMENTO!D86</f>
        <v>0</v>
      </c>
      <c r="C86" s="115" t="str">
        <f t="shared" ca="1" si="8"/>
        <v/>
      </c>
      <c r="D86" s="118" t="str">
        <f ca="1">ORÇAMENTO!O86</f>
        <v>-</v>
      </c>
      <c r="E86" s="164" t="str">
        <f t="shared" si="9"/>
        <v>ELETRODUTO FLEXÍVEL CORRUGADO, PEAD, DN 40 MM (1 1/4"), PARA CIRCUITOS TERMINAIS, INSTALADO EM FORRO - FORNECIMENTO E INSTALAÇÃO. AF_03/2023_PA</v>
      </c>
      <c r="F86" s="165" t="str">
        <f ca="1">IF(RegimeExecucao="Global","",ORÇAMENTO.Unidade)</f>
        <v>M</v>
      </c>
      <c r="G86" s="123">
        <f ca="1">IF(RegimeExecucao="Global","",ORÇAMENTO!T86)</f>
        <v>60</v>
      </c>
      <c r="H86" s="123">
        <f ca="1">IF(RegimeExecucao="Global","",ORÇAMENTO!W86)</f>
        <v>0</v>
      </c>
      <c r="I86" s="126">
        <f ca="1">ORÇAMENTO!X86</f>
        <v>0</v>
      </c>
      <c r="J86" s="334" t="e" cm="1">
        <f t="array" aca="1" ref="J86" ca="1">_xlfn.SINGLE(IF($A86="S",IF(CAIXA.Modo,BM.AFAnterior,BM.MEDAnterior),IF(AND(_xlfn.SINGLE(RegimeExecucao)="Global",$I86&gt;0,COUNTIF($AB$13:$AM$13,BM.medicao-1)&gt;0),M86/$I86*100,0)))</f>
        <v>#NAME?</v>
      </c>
      <c r="K86" s="123" t="e">
        <f t="shared" ca="1" si="10"/>
        <v>#NAME?</v>
      </c>
      <c r="L86" s="335" t="e" cm="1">
        <f t="array" aca="1" ref="L86" ca="1">_xlfn.SINGLE(IF($A86="S",IF(CAIXA.Modo,BM.AFAcumulado,BM.MEDAcumulado),IF(AND(_xlfn.SINGLE(RegimeExecucao)="Global",$I86&gt;0,COUNTIF($AB$13:$AM$13,BM.medicao)&gt;0),O86/$I86*100,0)))</f>
        <v>#NAME?</v>
      </c>
      <c r="M86" s="336">
        <f ca="1">IF($A86="S",VTOTALBM,IF($A86=0,0,ROUND(SomaAgrupBM,15-13*ORÇAMENTO!$AF$11)))</f>
        <v>0</v>
      </c>
      <c r="N86" s="337">
        <f t="shared" ca="1" si="11"/>
        <v>0</v>
      </c>
      <c r="O86" s="126">
        <f ca="1">IF($A86="S",VTOTALBM,IF($A86=0,0,ROUND(SomaAgrupBM,15-13*ORÇAMENTO!$AF$11)))</f>
        <v>0</v>
      </c>
      <c r="Q86" s="338"/>
      <c r="R86" s="339"/>
      <c r="T86" s="118" t="str">
        <f t="shared" ca="1" si="12"/>
        <v/>
      </c>
      <c r="U86" s="164" t="str">
        <f t="shared" ca="1" si="13"/>
        <v/>
      </c>
      <c r="V86" s="165" t="str">
        <f ca="1">IF(AND($W86&gt;0,RegimeExecucao="Unitário"),$F86,"")</f>
        <v/>
      </c>
      <c r="W86" s="455">
        <f ca="1">IF($Y86&gt;0,CHOOSE(MATCH(RegimeExecucao,{"Unitário","Global"},0),IF($A86="S",$Y86/$X86,""),($Y86/$X86)*100),0)</f>
        <v>0</v>
      </c>
      <c r="X86" s="340" t="str">
        <f ca="1">IF($Y86&gt;0,CHOOSE(MATCH(RegimeExecucao,{"Unitário","Global"},0),IF($A86="S",ROUND($H86,ORÇAMENTO!$AF$10),""),ROUND($I86,ORÇAMENTO!$AF$11)),"")</f>
        <v/>
      </c>
      <c r="Y86" s="340">
        <f t="shared" ca="1" si="14"/>
        <v>0</v>
      </c>
      <c r="Z86" s="474"/>
      <c r="AB86" s="338"/>
      <c r="AC86" s="438"/>
      <c r="AD86" s="438"/>
      <c r="AE86" s="438"/>
      <c r="AF86" s="438"/>
      <c r="AG86" s="438"/>
      <c r="AH86" s="438"/>
      <c r="AI86" s="438"/>
      <c r="AJ86" s="438"/>
      <c r="AK86" s="438"/>
      <c r="AL86" s="438"/>
      <c r="AM86" s="339"/>
      <c r="AO86">
        <f ca="1">IF($A86="S",IF(BM!$I86=0,0,CHOOSE(MATCH(RegimeExecucao,{"Global","Unitário"},0),ROUND(ROUND(BM.MEDAcumulado,15-13*BM!$A$9)/100*BM!$I86,15-13*ORÇAMENTO!$AF$11),ROUND(ROUND(BM.MEDAcumulado,15-13*BM!$A$9)*ROUND(BM!$H86,15-13*ORÇAMENTO!$AF$10),15-13*ORÇAMENTO!$AF$11))),IF($A86=0,0,ROUND(SomaAgrupBM,15-13*ORÇAMENTO!$AF$11)))</f>
        <v>0</v>
      </c>
    </row>
    <row r="87" spans="1:41" ht="25.5" x14ac:dyDescent="0.2">
      <c r="A87" t="str">
        <f ca="1">ORÇAMENTO!C87</f>
        <v>S</v>
      </c>
      <c r="B87">
        <f ca="1">ORÇAMENTO!D87</f>
        <v>0</v>
      </c>
      <c r="C87" s="115" t="str">
        <f t="shared" ca="1" si="8"/>
        <v/>
      </c>
      <c r="D87" s="118" t="str">
        <f ca="1">ORÇAMENTO!O87</f>
        <v>-</v>
      </c>
      <c r="E87" s="164" t="str">
        <f t="shared" si="9"/>
        <v>ELETROCALHA PERFURADA TIPO C, 50x50x3000mm, CHAPA 18 GALVANIZADA</v>
      </c>
      <c r="F87" s="165" t="str">
        <f ca="1">IF(RegimeExecucao="Global","",ORÇAMENTO.Unidade)</f>
        <v>UN</v>
      </c>
      <c r="G87" s="123">
        <f ca="1">IF(RegimeExecucao="Global","",ORÇAMENTO!T87)</f>
        <v>21</v>
      </c>
      <c r="H87" s="123">
        <f ca="1">IF(RegimeExecucao="Global","",ORÇAMENTO!W87)</f>
        <v>0</v>
      </c>
      <c r="I87" s="126">
        <f ca="1">ORÇAMENTO!X87</f>
        <v>0</v>
      </c>
      <c r="J87" s="334" t="e" cm="1">
        <f t="array" aca="1" ref="J87" ca="1">_xlfn.SINGLE(IF($A87="S",IF(CAIXA.Modo,BM.AFAnterior,BM.MEDAnterior),IF(AND(_xlfn.SINGLE(RegimeExecucao)="Global",$I87&gt;0,COUNTIF($AB$13:$AM$13,BM.medicao-1)&gt;0),M87/$I87*100,0)))</f>
        <v>#NAME?</v>
      </c>
      <c r="K87" s="123" t="e">
        <f t="shared" ca="1" si="10"/>
        <v>#NAME?</v>
      </c>
      <c r="L87" s="335" t="e" cm="1">
        <f t="array" aca="1" ref="L87" ca="1">_xlfn.SINGLE(IF($A87="S",IF(CAIXA.Modo,BM.AFAcumulado,BM.MEDAcumulado),IF(AND(_xlfn.SINGLE(RegimeExecucao)="Global",$I87&gt;0,COUNTIF($AB$13:$AM$13,BM.medicao)&gt;0),O87/$I87*100,0)))</f>
        <v>#NAME?</v>
      </c>
      <c r="M87" s="336">
        <f ca="1">IF($A87="S",VTOTALBM,IF($A87=0,0,ROUND(SomaAgrupBM,15-13*ORÇAMENTO!$AF$11)))</f>
        <v>0</v>
      </c>
      <c r="N87" s="337">
        <f t="shared" ca="1" si="11"/>
        <v>0</v>
      </c>
      <c r="O87" s="126">
        <f ca="1">IF($A87="S",VTOTALBM,IF($A87=0,0,ROUND(SomaAgrupBM,15-13*ORÇAMENTO!$AF$11)))</f>
        <v>0</v>
      </c>
      <c r="Q87" s="338"/>
      <c r="R87" s="339"/>
      <c r="T87" s="118" t="str">
        <f t="shared" ca="1" si="12"/>
        <v/>
      </c>
      <c r="U87" s="164" t="str">
        <f t="shared" ca="1" si="13"/>
        <v/>
      </c>
      <c r="V87" s="165" t="str">
        <f ca="1">IF(AND($W87&gt;0,RegimeExecucao="Unitário"),$F87,"")</f>
        <v/>
      </c>
      <c r="W87" s="455">
        <f ca="1">IF($Y87&gt;0,CHOOSE(MATCH(RegimeExecucao,{"Unitário","Global"},0),IF($A87="S",$Y87/$X87,""),($Y87/$X87)*100),0)</f>
        <v>0</v>
      </c>
      <c r="X87" s="340" t="str">
        <f ca="1">IF($Y87&gt;0,CHOOSE(MATCH(RegimeExecucao,{"Unitário","Global"},0),IF($A87="S",ROUND($H87,ORÇAMENTO!$AF$10),""),ROUND($I87,ORÇAMENTO!$AF$11)),"")</f>
        <v/>
      </c>
      <c r="Y87" s="340">
        <f t="shared" ca="1" si="14"/>
        <v>0</v>
      </c>
      <c r="Z87" s="474"/>
      <c r="AB87" s="338"/>
      <c r="AC87" s="438"/>
      <c r="AD87" s="438"/>
      <c r="AE87" s="438"/>
      <c r="AF87" s="438"/>
      <c r="AG87" s="438"/>
      <c r="AH87" s="438"/>
      <c r="AI87" s="438"/>
      <c r="AJ87" s="438"/>
      <c r="AK87" s="438"/>
      <c r="AL87" s="438"/>
      <c r="AM87" s="339"/>
      <c r="AO87">
        <f ca="1">IF($A87="S",IF(BM!$I87=0,0,CHOOSE(MATCH(RegimeExecucao,{"Global","Unitário"},0),ROUND(ROUND(BM.MEDAcumulado,15-13*BM!$A$9)/100*BM!$I87,15-13*ORÇAMENTO!$AF$11),ROUND(ROUND(BM.MEDAcumulado,15-13*BM!$A$9)*ROUND(BM!$H87,15-13*ORÇAMENTO!$AF$10),15-13*ORÇAMENTO!$AF$11))),IF($A87=0,0,ROUND(SomaAgrupBM,15-13*ORÇAMENTO!$AF$11)))</f>
        <v>0</v>
      </c>
    </row>
    <row r="88" spans="1:41" ht="25.5" x14ac:dyDescent="0.2">
      <c r="A88" t="str">
        <f ca="1">ORÇAMENTO!C88</f>
        <v>S</v>
      </c>
      <c r="B88">
        <f ca="1">ORÇAMENTO!D88</f>
        <v>0</v>
      </c>
      <c r="C88" s="115" t="str">
        <f t="shared" ca="1" si="8"/>
        <v/>
      </c>
      <c r="D88" s="118" t="str">
        <f ca="1">ORÇAMENTO!O88</f>
        <v>-</v>
      </c>
      <c r="E88" s="164" t="str">
        <f t="shared" si="9"/>
        <v>ELETROCALHA PERFURADA TIPO C, 50x250x3000mm, CHAPA 18 GALVANIZADA</v>
      </c>
      <c r="F88" s="165" t="str">
        <f ca="1">IF(RegimeExecucao="Global","",ORÇAMENTO.Unidade)</f>
        <v>UN</v>
      </c>
      <c r="G88" s="123">
        <f ca="1">IF(RegimeExecucao="Global","",ORÇAMENTO!T88)</f>
        <v>34</v>
      </c>
      <c r="H88" s="123">
        <f ca="1">IF(RegimeExecucao="Global","",ORÇAMENTO!W88)</f>
        <v>0</v>
      </c>
      <c r="I88" s="126">
        <f ca="1">ORÇAMENTO!X88</f>
        <v>0</v>
      </c>
      <c r="J88" s="334" t="e" cm="1">
        <f t="array" aca="1" ref="J88" ca="1">_xlfn.SINGLE(IF($A88="S",IF(CAIXA.Modo,BM.AFAnterior,BM.MEDAnterior),IF(AND(_xlfn.SINGLE(RegimeExecucao)="Global",$I88&gt;0,COUNTIF($AB$13:$AM$13,BM.medicao-1)&gt;0),M88/$I88*100,0)))</f>
        <v>#NAME?</v>
      </c>
      <c r="K88" s="123" t="e">
        <f t="shared" ca="1" si="10"/>
        <v>#NAME?</v>
      </c>
      <c r="L88" s="335" t="e" cm="1">
        <f t="array" aca="1" ref="L88" ca="1">_xlfn.SINGLE(IF($A88="S",IF(CAIXA.Modo,BM.AFAcumulado,BM.MEDAcumulado),IF(AND(_xlfn.SINGLE(RegimeExecucao)="Global",$I88&gt;0,COUNTIF($AB$13:$AM$13,BM.medicao)&gt;0),O88/$I88*100,0)))</f>
        <v>#NAME?</v>
      </c>
      <c r="M88" s="336">
        <f ca="1">IF($A88="S",VTOTALBM,IF($A88=0,0,ROUND(SomaAgrupBM,15-13*ORÇAMENTO!$AF$11)))</f>
        <v>0</v>
      </c>
      <c r="N88" s="337">
        <f t="shared" ca="1" si="11"/>
        <v>0</v>
      </c>
      <c r="O88" s="126">
        <f ca="1">IF($A88="S",VTOTALBM,IF($A88=0,0,ROUND(SomaAgrupBM,15-13*ORÇAMENTO!$AF$11)))</f>
        <v>0</v>
      </c>
      <c r="Q88" s="338"/>
      <c r="R88" s="339"/>
      <c r="T88" s="118" t="str">
        <f t="shared" ca="1" si="12"/>
        <v/>
      </c>
      <c r="U88" s="164" t="str">
        <f t="shared" ca="1" si="13"/>
        <v/>
      </c>
      <c r="V88" s="165" t="str">
        <f ca="1">IF(AND($W88&gt;0,RegimeExecucao="Unitário"),$F88,"")</f>
        <v/>
      </c>
      <c r="W88" s="455">
        <f ca="1">IF($Y88&gt;0,CHOOSE(MATCH(RegimeExecucao,{"Unitário","Global"},0),IF($A88="S",$Y88/$X88,""),($Y88/$X88)*100),0)</f>
        <v>0</v>
      </c>
      <c r="X88" s="340" t="str">
        <f ca="1">IF($Y88&gt;0,CHOOSE(MATCH(RegimeExecucao,{"Unitário","Global"},0),IF($A88="S",ROUND($H88,ORÇAMENTO!$AF$10),""),ROUND($I88,ORÇAMENTO!$AF$11)),"")</f>
        <v/>
      </c>
      <c r="Y88" s="340">
        <f t="shared" ca="1" si="14"/>
        <v>0</v>
      </c>
      <c r="Z88" s="474"/>
      <c r="AB88" s="338"/>
      <c r="AC88" s="438"/>
      <c r="AD88" s="438"/>
      <c r="AE88" s="438"/>
      <c r="AF88" s="438"/>
      <c r="AG88" s="438"/>
      <c r="AH88" s="438"/>
      <c r="AI88" s="438"/>
      <c r="AJ88" s="438"/>
      <c r="AK88" s="438"/>
      <c r="AL88" s="438"/>
      <c r="AM88" s="339"/>
      <c r="AO88">
        <f ca="1">IF($A88="S",IF(BM!$I88=0,0,CHOOSE(MATCH(RegimeExecucao,{"Global","Unitário"},0),ROUND(ROUND(BM.MEDAcumulado,15-13*BM!$A$9)/100*BM!$I88,15-13*ORÇAMENTO!$AF$11),ROUND(ROUND(BM.MEDAcumulado,15-13*BM!$A$9)*ROUND(BM!$H88,15-13*ORÇAMENTO!$AF$10),15-13*ORÇAMENTO!$AF$11))),IF($A88=0,0,ROUND(SomaAgrupBM,15-13*ORÇAMENTO!$AF$11)))</f>
        <v>0</v>
      </c>
    </row>
    <row r="89" spans="1:41" ht="51" x14ac:dyDescent="0.2">
      <c r="A89" t="str">
        <f ca="1">ORÇAMENTO!C89</f>
        <v>S</v>
      </c>
      <c r="B89">
        <f ca="1">ORÇAMENTO!D89</f>
        <v>0</v>
      </c>
      <c r="C89" s="115" t="str">
        <f t="shared" ca="1" si="8"/>
        <v/>
      </c>
      <c r="D89" s="118" t="str">
        <f ca="1">ORÇAMENTO!O89</f>
        <v>-</v>
      </c>
      <c r="E89" s="164" t="str">
        <f t="shared" si="9"/>
        <v>SUPORTE PARA ELETROCALHA LISA OU PERFURADA EM AÇO GALVANIZADO, LARGURA 400 MM, EM PERFILADO COM COMPRIMENTO DE 45 CM FIXADO EM LAJE, POR METRO DE ELETROCALHA FIXADA. AF_09/2023</v>
      </c>
      <c r="F89" s="165" t="str">
        <f ca="1">IF(RegimeExecucao="Global","",ORÇAMENTO.Unidade)</f>
        <v>M</v>
      </c>
      <c r="G89" s="123">
        <f ca="1">IF(RegimeExecucao="Global","",ORÇAMENTO!T89)</f>
        <v>50</v>
      </c>
      <c r="H89" s="123">
        <f ca="1">IF(RegimeExecucao="Global","",ORÇAMENTO!W89)</f>
        <v>0</v>
      </c>
      <c r="I89" s="126">
        <f ca="1">ORÇAMENTO!X89</f>
        <v>0</v>
      </c>
      <c r="J89" s="334" t="e" cm="1">
        <f t="array" aca="1" ref="J89" ca="1">_xlfn.SINGLE(IF($A89="S",IF(CAIXA.Modo,BM.AFAnterior,BM.MEDAnterior),IF(AND(_xlfn.SINGLE(RegimeExecucao)="Global",$I89&gt;0,COUNTIF($AB$13:$AM$13,BM.medicao-1)&gt;0),M89/$I89*100,0)))</f>
        <v>#NAME?</v>
      </c>
      <c r="K89" s="123" t="e">
        <f t="shared" ca="1" si="10"/>
        <v>#NAME?</v>
      </c>
      <c r="L89" s="335" t="e" cm="1">
        <f t="array" aca="1" ref="L89" ca="1">_xlfn.SINGLE(IF($A89="S",IF(CAIXA.Modo,BM.AFAcumulado,BM.MEDAcumulado),IF(AND(_xlfn.SINGLE(RegimeExecucao)="Global",$I89&gt;0,COUNTIF($AB$13:$AM$13,BM.medicao)&gt;0),O89/$I89*100,0)))</f>
        <v>#NAME?</v>
      </c>
      <c r="M89" s="336">
        <f ca="1">IF($A89="S",VTOTALBM,IF($A89=0,0,ROUND(SomaAgrupBM,15-13*ORÇAMENTO!$AF$11)))</f>
        <v>0</v>
      </c>
      <c r="N89" s="337">
        <f t="shared" ca="1" si="11"/>
        <v>0</v>
      </c>
      <c r="O89" s="126">
        <f ca="1">IF($A89="S",VTOTALBM,IF($A89=0,0,ROUND(SomaAgrupBM,15-13*ORÇAMENTO!$AF$11)))</f>
        <v>0</v>
      </c>
      <c r="Q89" s="338"/>
      <c r="R89" s="339"/>
      <c r="T89" s="118" t="str">
        <f t="shared" ca="1" si="12"/>
        <v/>
      </c>
      <c r="U89" s="164" t="str">
        <f t="shared" ca="1" si="13"/>
        <v/>
      </c>
      <c r="V89" s="165" t="str">
        <f ca="1">IF(AND($W89&gt;0,RegimeExecucao="Unitário"),$F89,"")</f>
        <v/>
      </c>
      <c r="W89" s="455">
        <f ca="1">IF($Y89&gt;0,CHOOSE(MATCH(RegimeExecucao,{"Unitário","Global"},0),IF($A89="S",$Y89/$X89,""),($Y89/$X89)*100),0)</f>
        <v>0</v>
      </c>
      <c r="X89" s="340" t="str">
        <f ca="1">IF($Y89&gt;0,CHOOSE(MATCH(RegimeExecucao,{"Unitário","Global"},0),IF($A89="S",ROUND($H89,ORÇAMENTO!$AF$10),""),ROUND($I89,ORÇAMENTO!$AF$11)),"")</f>
        <v/>
      </c>
      <c r="Y89" s="340">
        <f t="shared" ca="1" si="14"/>
        <v>0</v>
      </c>
      <c r="Z89" s="474"/>
      <c r="AB89" s="338"/>
      <c r="AC89" s="438"/>
      <c r="AD89" s="438"/>
      <c r="AE89" s="438"/>
      <c r="AF89" s="438"/>
      <c r="AG89" s="438"/>
      <c r="AH89" s="438"/>
      <c r="AI89" s="438"/>
      <c r="AJ89" s="438"/>
      <c r="AK89" s="438"/>
      <c r="AL89" s="438"/>
      <c r="AM89" s="339"/>
      <c r="AO89">
        <f ca="1">IF($A89="S",IF(BM!$I89=0,0,CHOOSE(MATCH(RegimeExecucao,{"Global","Unitário"},0),ROUND(ROUND(BM.MEDAcumulado,15-13*BM!$A$9)/100*BM!$I89,15-13*ORÇAMENTO!$AF$11),ROUND(ROUND(BM.MEDAcumulado,15-13*BM!$A$9)*ROUND(BM!$H89,15-13*ORÇAMENTO!$AF$10),15-13*ORÇAMENTO!$AF$11))),IF($A89=0,0,ROUND(SomaAgrupBM,15-13*ORÇAMENTO!$AF$11)))</f>
        <v>0</v>
      </c>
    </row>
    <row r="90" spans="1:41" ht="25.5" x14ac:dyDescent="0.2">
      <c r="A90" t="str">
        <f ca="1">ORÇAMENTO!C90</f>
        <v>S</v>
      </c>
      <c r="B90">
        <f ca="1">ORÇAMENTO!D90</f>
        <v>0</v>
      </c>
      <c r="C90" s="115" t="str">
        <f t="shared" ca="1" si="8"/>
        <v/>
      </c>
      <c r="D90" s="118" t="str">
        <f ca="1">ORÇAMENTO!O90</f>
        <v>-</v>
      </c>
      <c r="E90" s="164" t="str">
        <f t="shared" si="9"/>
        <v>LUMINÁRIA LED QUADRADA, DE SOBREPOR, 25 W - FORNECIMENTO E INSTALAÇÃO</v>
      </c>
      <c r="F90" s="165" t="str">
        <f ca="1">IF(RegimeExecucao="Global","",ORÇAMENTO.Unidade)</f>
        <v xml:space="preserve">UN    </v>
      </c>
      <c r="G90" s="123">
        <f ca="1">IF(RegimeExecucao="Global","",ORÇAMENTO!T90)</f>
        <v>166</v>
      </c>
      <c r="H90" s="123">
        <f ca="1">IF(RegimeExecucao="Global","",ORÇAMENTO!W90)</f>
        <v>0</v>
      </c>
      <c r="I90" s="126">
        <f ca="1">ORÇAMENTO!X90</f>
        <v>0</v>
      </c>
      <c r="J90" s="334" t="e" cm="1">
        <f t="array" aca="1" ref="J90" ca="1">_xlfn.SINGLE(IF($A90="S",IF(CAIXA.Modo,BM.AFAnterior,BM.MEDAnterior),IF(AND(_xlfn.SINGLE(RegimeExecucao)="Global",$I90&gt;0,COUNTIF($AB$13:$AM$13,BM.medicao-1)&gt;0),M90/$I90*100,0)))</f>
        <v>#NAME?</v>
      </c>
      <c r="K90" s="123" t="e">
        <f t="shared" ca="1" si="10"/>
        <v>#NAME?</v>
      </c>
      <c r="L90" s="335" t="e" cm="1">
        <f t="array" aca="1" ref="L90" ca="1">_xlfn.SINGLE(IF($A90="S",IF(CAIXA.Modo,BM.AFAcumulado,BM.MEDAcumulado),IF(AND(_xlfn.SINGLE(RegimeExecucao)="Global",$I90&gt;0,COUNTIF($AB$13:$AM$13,BM.medicao)&gt;0),O90/$I90*100,0)))</f>
        <v>#NAME?</v>
      </c>
      <c r="M90" s="336">
        <f ca="1">IF($A90="S",VTOTALBM,IF($A90=0,0,ROUND(SomaAgrupBM,15-13*ORÇAMENTO!$AF$11)))</f>
        <v>0</v>
      </c>
      <c r="N90" s="337">
        <f t="shared" ca="1" si="11"/>
        <v>0</v>
      </c>
      <c r="O90" s="126">
        <f ca="1">IF($A90="S",VTOTALBM,IF($A90=0,0,ROUND(SomaAgrupBM,15-13*ORÇAMENTO!$AF$11)))</f>
        <v>0</v>
      </c>
      <c r="Q90" s="338"/>
      <c r="R90" s="339"/>
      <c r="T90" s="118" t="str">
        <f t="shared" ca="1" si="12"/>
        <v/>
      </c>
      <c r="U90" s="164" t="str">
        <f t="shared" ca="1" si="13"/>
        <v/>
      </c>
      <c r="V90" s="165" t="str">
        <f ca="1">IF(AND($W90&gt;0,RegimeExecucao="Unitário"),$F90,"")</f>
        <v/>
      </c>
      <c r="W90" s="455">
        <f ca="1">IF($Y90&gt;0,CHOOSE(MATCH(RegimeExecucao,{"Unitário","Global"},0),IF($A90="S",$Y90/$X90,""),($Y90/$X90)*100),0)</f>
        <v>0</v>
      </c>
      <c r="X90" s="340" t="str">
        <f ca="1">IF($Y90&gt;0,CHOOSE(MATCH(RegimeExecucao,{"Unitário","Global"},0),IF($A90="S",ROUND($H90,ORÇAMENTO!$AF$10),""),ROUND($I90,ORÇAMENTO!$AF$11)),"")</f>
        <v/>
      </c>
      <c r="Y90" s="340">
        <f t="shared" ca="1" si="14"/>
        <v>0</v>
      </c>
      <c r="Z90" s="474"/>
      <c r="AB90" s="338"/>
      <c r="AC90" s="438"/>
      <c r="AD90" s="438"/>
      <c r="AE90" s="438"/>
      <c r="AF90" s="438"/>
      <c r="AG90" s="438"/>
      <c r="AH90" s="438"/>
      <c r="AI90" s="438"/>
      <c r="AJ90" s="438"/>
      <c r="AK90" s="438"/>
      <c r="AL90" s="438"/>
      <c r="AM90" s="339"/>
      <c r="AO90">
        <f ca="1">IF($A90="S",IF(BM!$I90=0,0,CHOOSE(MATCH(RegimeExecucao,{"Global","Unitário"},0),ROUND(ROUND(BM.MEDAcumulado,15-13*BM!$A$9)/100*BM!$I90,15-13*ORÇAMENTO!$AF$11),ROUND(ROUND(BM.MEDAcumulado,15-13*BM!$A$9)*ROUND(BM!$H90,15-13*ORÇAMENTO!$AF$10),15-13*ORÇAMENTO!$AF$11))),IF($A90=0,0,ROUND(SomaAgrupBM,15-13*ORÇAMENTO!$AF$11)))</f>
        <v>0</v>
      </c>
    </row>
    <row r="91" spans="1:41" ht="25.5" x14ac:dyDescent="0.2">
      <c r="A91" t="str">
        <f ca="1">ORÇAMENTO!C91</f>
        <v>S</v>
      </c>
      <c r="B91">
        <f ca="1">ORÇAMENTO!D91</f>
        <v>0</v>
      </c>
      <c r="C91" s="115" t="str">
        <f t="shared" ca="1" si="8"/>
        <v/>
      </c>
      <c r="D91" s="118" t="str">
        <f ca="1">ORÇAMENTO!O91</f>
        <v>-</v>
      </c>
      <c r="E91" s="164" t="str">
        <f t="shared" si="9"/>
        <v>LUMINÁRIA LED QUADRADA, DE SOBREPOR, 15 W - FORNECIMENTO E INSTALAÇÃO</v>
      </c>
      <c r="F91" s="165" t="str">
        <f ca="1">IF(RegimeExecucao="Global","",ORÇAMENTO.Unidade)</f>
        <v xml:space="preserve">UN    </v>
      </c>
      <c r="G91" s="123">
        <f ca="1">IF(RegimeExecucao="Global","",ORÇAMENTO!T91)</f>
        <v>2</v>
      </c>
      <c r="H91" s="123">
        <f ca="1">IF(RegimeExecucao="Global","",ORÇAMENTO!W91)</f>
        <v>0</v>
      </c>
      <c r="I91" s="126">
        <f ca="1">ORÇAMENTO!X91</f>
        <v>0</v>
      </c>
      <c r="J91" s="334" t="e" cm="1">
        <f t="array" aca="1" ref="J91" ca="1">_xlfn.SINGLE(IF($A91="S",IF(CAIXA.Modo,BM.AFAnterior,BM.MEDAnterior),IF(AND(_xlfn.SINGLE(RegimeExecucao)="Global",$I91&gt;0,COUNTIF($AB$13:$AM$13,BM.medicao-1)&gt;0),M91/$I91*100,0)))</f>
        <v>#NAME?</v>
      </c>
      <c r="K91" s="123" t="e">
        <f t="shared" ca="1" si="10"/>
        <v>#NAME?</v>
      </c>
      <c r="L91" s="335" t="e" cm="1">
        <f t="array" aca="1" ref="L91" ca="1">_xlfn.SINGLE(IF($A91="S",IF(CAIXA.Modo,BM.AFAcumulado,BM.MEDAcumulado),IF(AND(_xlfn.SINGLE(RegimeExecucao)="Global",$I91&gt;0,COUNTIF($AB$13:$AM$13,BM.medicao)&gt;0),O91/$I91*100,0)))</f>
        <v>#NAME?</v>
      </c>
      <c r="M91" s="336">
        <f ca="1">IF($A91="S",VTOTALBM,IF($A91=0,0,ROUND(SomaAgrupBM,15-13*ORÇAMENTO!$AF$11)))</f>
        <v>0</v>
      </c>
      <c r="N91" s="337">
        <f t="shared" ca="1" si="11"/>
        <v>0</v>
      </c>
      <c r="O91" s="126">
        <f ca="1">IF($A91="S",VTOTALBM,IF($A91=0,0,ROUND(SomaAgrupBM,15-13*ORÇAMENTO!$AF$11)))</f>
        <v>0</v>
      </c>
      <c r="Q91" s="338"/>
      <c r="R91" s="339"/>
      <c r="T91" s="118" t="str">
        <f t="shared" ca="1" si="12"/>
        <v/>
      </c>
      <c r="U91" s="164" t="str">
        <f t="shared" ca="1" si="13"/>
        <v/>
      </c>
      <c r="V91" s="165" t="str">
        <f ca="1">IF(AND($W91&gt;0,RegimeExecucao="Unitário"),$F91,"")</f>
        <v/>
      </c>
      <c r="W91" s="455">
        <f ca="1">IF($Y91&gt;0,CHOOSE(MATCH(RegimeExecucao,{"Unitário","Global"},0),IF($A91="S",$Y91/$X91,""),($Y91/$X91)*100),0)</f>
        <v>0</v>
      </c>
      <c r="X91" s="340" t="str">
        <f ca="1">IF($Y91&gt;0,CHOOSE(MATCH(RegimeExecucao,{"Unitário","Global"},0),IF($A91="S",ROUND($H91,ORÇAMENTO!$AF$10),""),ROUND($I91,ORÇAMENTO!$AF$11)),"")</f>
        <v/>
      </c>
      <c r="Y91" s="340">
        <f t="shared" ca="1" si="14"/>
        <v>0</v>
      </c>
      <c r="Z91" s="474"/>
      <c r="AB91" s="338"/>
      <c r="AC91" s="438"/>
      <c r="AD91" s="438"/>
      <c r="AE91" s="438"/>
      <c r="AF91" s="438"/>
      <c r="AG91" s="438"/>
      <c r="AH91" s="438"/>
      <c r="AI91" s="438"/>
      <c r="AJ91" s="438"/>
      <c r="AK91" s="438"/>
      <c r="AL91" s="438"/>
      <c r="AM91" s="339"/>
      <c r="AO91">
        <f ca="1">IF($A91="S",IF(BM!$I91=0,0,CHOOSE(MATCH(RegimeExecucao,{"Global","Unitário"},0),ROUND(ROUND(BM.MEDAcumulado,15-13*BM!$A$9)/100*BM!$I91,15-13*ORÇAMENTO!$AF$11),ROUND(ROUND(BM.MEDAcumulado,15-13*BM!$A$9)*ROUND(BM!$H91,15-13*ORÇAMENTO!$AF$10),15-13*ORÇAMENTO!$AF$11))),IF($A91=0,0,ROUND(SomaAgrupBM,15-13*ORÇAMENTO!$AF$11)))</f>
        <v>0</v>
      </c>
    </row>
    <row r="92" spans="1:41" ht="25.5" x14ac:dyDescent="0.2">
      <c r="A92" t="str">
        <f ca="1">ORÇAMENTO!C92</f>
        <v>S</v>
      </c>
      <c r="B92">
        <f ca="1">ORÇAMENTO!D92</f>
        <v>0</v>
      </c>
      <c r="C92" s="115" t="str">
        <f t="shared" ca="1" si="8"/>
        <v/>
      </c>
      <c r="D92" s="118" t="str">
        <f ca="1">ORÇAMENTO!O92</f>
        <v>-</v>
      </c>
      <c r="E92" s="164" t="str">
        <f t="shared" si="9"/>
        <v>LUMINÁRIA LED SLIM DE SOBREPOR, 40 W - FORNECIMENTO E INSTALAÇÃO</v>
      </c>
      <c r="F92" s="165" t="str">
        <f ca="1">IF(RegimeExecucao="Global","",ORÇAMENTO.Unidade)</f>
        <v xml:space="preserve">UN    </v>
      </c>
      <c r="G92" s="123">
        <f ca="1">IF(RegimeExecucao="Global","",ORÇAMENTO!T92)</f>
        <v>25</v>
      </c>
      <c r="H92" s="123">
        <f ca="1">IF(RegimeExecucao="Global","",ORÇAMENTO!W92)</f>
        <v>0</v>
      </c>
      <c r="I92" s="126">
        <f ca="1">ORÇAMENTO!X92</f>
        <v>0</v>
      </c>
      <c r="J92" s="334" t="e" cm="1">
        <f t="array" aca="1" ref="J92" ca="1">_xlfn.SINGLE(IF($A92="S",IF(CAIXA.Modo,BM.AFAnterior,BM.MEDAnterior),IF(AND(_xlfn.SINGLE(RegimeExecucao)="Global",$I92&gt;0,COUNTIF($AB$13:$AM$13,BM.medicao-1)&gt;0),M92/$I92*100,0)))</f>
        <v>#NAME?</v>
      </c>
      <c r="K92" s="123" t="e">
        <f t="shared" ca="1" si="10"/>
        <v>#NAME?</v>
      </c>
      <c r="L92" s="335" t="e" cm="1">
        <f t="array" aca="1" ref="L92" ca="1">_xlfn.SINGLE(IF($A92="S",IF(CAIXA.Modo,BM.AFAcumulado,BM.MEDAcumulado),IF(AND(_xlfn.SINGLE(RegimeExecucao)="Global",$I92&gt;0,COUNTIF($AB$13:$AM$13,BM.medicao)&gt;0),O92/$I92*100,0)))</f>
        <v>#NAME?</v>
      </c>
      <c r="M92" s="336">
        <f ca="1">IF($A92="S",VTOTALBM,IF($A92=0,0,ROUND(SomaAgrupBM,15-13*ORÇAMENTO!$AF$11)))</f>
        <v>0</v>
      </c>
      <c r="N92" s="337">
        <f t="shared" ca="1" si="11"/>
        <v>0</v>
      </c>
      <c r="O92" s="126">
        <f ca="1">IF($A92="S",VTOTALBM,IF($A92=0,0,ROUND(SomaAgrupBM,15-13*ORÇAMENTO!$AF$11)))</f>
        <v>0</v>
      </c>
      <c r="Q92" s="338"/>
      <c r="R92" s="339"/>
      <c r="T92" s="118" t="str">
        <f t="shared" ca="1" si="12"/>
        <v/>
      </c>
      <c r="U92" s="164" t="str">
        <f t="shared" ca="1" si="13"/>
        <v/>
      </c>
      <c r="V92" s="165" t="str">
        <f ca="1">IF(AND($W92&gt;0,RegimeExecucao="Unitário"),$F92,"")</f>
        <v/>
      </c>
      <c r="W92" s="455">
        <f ca="1">IF($Y92&gt;0,CHOOSE(MATCH(RegimeExecucao,{"Unitário","Global"},0),IF($A92="S",$Y92/$X92,""),($Y92/$X92)*100),0)</f>
        <v>0</v>
      </c>
      <c r="X92" s="340" t="str">
        <f ca="1">IF($Y92&gt;0,CHOOSE(MATCH(RegimeExecucao,{"Unitário","Global"},0),IF($A92="S",ROUND($H92,ORÇAMENTO!$AF$10),""),ROUND($I92,ORÇAMENTO!$AF$11)),"")</f>
        <v/>
      </c>
      <c r="Y92" s="340">
        <f t="shared" ca="1" si="14"/>
        <v>0</v>
      </c>
      <c r="Z92" s="474"/>
      <c r="AB92" s="338"/>
      <c r="AC92" s="438"/>
      <c r="AD92" s="438"/>
      <c r="AE92" s="438"/>
      <c r="AF92" s="438"/>
      <c r="AG92" s="438"/>
      <c r="AH92" s="438"/>
      <c r="AI92" s="438"/>
      <c r="AJ92" s="438"/>
      <c r="AK92" s="438"/>
      <c r="AL92" s="438"/>
      <c r="AM92" s="339"/>
      <c r="AO92">
        <f ca="1">IF($A92="S",IF(BM!$I92=0,0,CHOOSE(MATCH(RegimeExecucao,{"Global","Unitário"},0),ROUND(ROUND(BM.MEDAcumulado,15-13*BM!$A$9)/100*BM!$I92,15-13*ORÇAMENTO!$AF$11),ROUND(ROUND(BM.MEDAcumulado,15-13*BM!$A$9)*ROUND(BM!$H92,15-13*ORÇAMENTO!$AF$10),15-13*ORÇAMENTO!$AF$11))),IF($A92=0,0,ROUND(SomaAgrupBM,15-13*ORÇAMENTO!$AF$11)))</f>
        <v>0</v>
      </c>
    </row>
    <row r="93" spans="1:41" x14ac:dyDescent="0.2">
      <c r="A93" t="str">
        <f ca="1">ORÇAMENTO!C93</f>
        <v>S</v>
      </c>
      <c r="B93">
        <f ca="1">ORÇAMENTO!D93</f>
        <v>0</v>
      </c>
      <c r="C93" s="115" t="str">
        <f t="shared" ca="1" si="8"/>
        <v/>
      </c>
      <c r="D93" s="118" t="str">
        <f ca="1">ORÇAMENTO!O93</f>
        <v>-</v>
      </c>
      <c r="E93" s="164" t="str">
        <f t="shared" si="9"/>
        <v>LUMINÁRIA FLOODLIGHT 50W</v>
      </c>
      <c r="F93" s="165" t="str">
        <f ca="1">IF(RegimeExecucao="Global","",ORÇAMENTO.Unidade)</f>
        <v>UN</v>
      </c>
      <c r="G93" s="123">
        <f ca="1">IF(RegimeExecucao="Global","",ORÇAMENTO!T93)</f>
        <v>3</v>
      </c>
      <c r="H93" s="123">
        <f ca="1">IF(RegimeExecucao="Global","",ORÇAMENTO!W93)</f>
        <v>0</v>
      </c>
      <c r="I93" s="126">
        <f ca="1">ORÇAMENTO!X93</f>
        <v>0</v>
      </c>
      <c r="J93" s="334" t="e" cm="1">
        <f t="array" aca="1" ref="J93" ca="1">_xlfn.SINGLE(IF($A93="S",IF(CAIXA.Modo,BM.AFAnterior,BM.MEDAnterior),IF(AND(_xlfn.SINGLE(RegimeExecucao)="Global",$I93&gt;0,COUNTIF($AB$13:$AM$13,BM.medicao-1)&gt;0),M93/$I93*100,0)))</f>
        <v>#NAME?</v>
      </c>
      <c r="K93" s="123" t="e">
        <f t="shared" ca="1" si="10"/>
        <v>#NAME?</v>
      </c>
      <c r="L93" s="335" t="e" cm="1">
        <f t="array" aca="1" ref="L93" ca="1">_xlfn.SINGLE(IF($A93="S",IF(CAIXA.Modo,BM.AFAcumulado,BM.MEDAcumulado),IF(AND(_xlfn.SINGLE(RegimeExecucao)="Global",$I93&gt;0,COUNTIF($AB$13:$AM$13,BM.medicao)&gt;0),O93/$I93*100,0)))</f>
        <v>#NAME?</v>
      </c>
      <c r="M93" s="336">
        <f ca="1">IF($A93="S",VTOTALBM,IF($A93=0,0,ROUND(SomaAgrupBM,15-13*ORÇAMENTO!$AF$11)))</f>
        <v>0</v>
      </c>
      <c r="N93" s="337">
        <f t="shared" ca="1" si="11"/>
        <v>0</v>
      </c>
      <c r="O93" s="126">
        <f ca="1">IF($A93="S",VTOTALBM,IF($A93=0,0,ROUND(SomaAgrupBM,15-13*ORÇAMENTO!$AF$11)))</f>
        <v>0</v>
      </c>
      <c r="Q93" s="338"/>
      <c r="R93" s="339"/>
      <c r="T93" s="118" t="str">
        <f t="shared" ca="1" si="12"/>
        <v/>
      </c>
      <c r="U93" s="164" t="str">
        <f t="shared" ca="1" si="13"/>
        <v/>
      </c>
      <c r="V93" s="165" t="str">
        <f ca="1">IF(AND($W93&gt;0,RegimeExecucao="Unitário"),$F93,"")</f>
        <v/>
      </c>
      <c r="W93" s="455">
        <f ca="1">IF($Y93&gt;0,CHOOSE(MATCH(RegimeExecucao,{"Unitário","Global"},0),IF($A93="S",$Y93/$X93,""),($Y93/$X93)*100),0)</f>
        <v>0</v>
      </c>
      <c r="X93" s="340" t="str">
        <f ca="1">IF($Y93&gt;0,CHOOSE(MATCH(RegimeExecucao,{"Unitário","Global"},0),IF($A93="S",ROUND($H93,ORÇAMENTO!$AF$10),""),ROUND($I93,ORÇAMENTO!$AF$11)),"")</f>
        <v/>
      </c>
      <c r="Y93" s="340">
        <f t="shared" ca="1" si="14"/>
        <v>0</v>
      </c>
      <c r="Z93" s="474"/>
      <c r="AB93" s="338"/>
      <c r="AC93" s="438"/>
      <c r="AD93" s="438"/>
      <c r="AE93" s="438"/>
      <c r="AF93" s="438"/>
      <c r="AG93" s="438"/>
      <c r="AH93" s="438"/>
      <c r="AI93" s="438"/>
      <c r="AJ93" s="438"/>
      <c r="AK93" s="438"/>
      <c r="AL93" s="438"/>
      <c r="AM93" s="339"/>
      <c r="AO93">
        <f ca="1">IF($A93="S",IF(BM!$I93=0,0,CHOOSE(MATCH(RegimeExecucao,{"Global","Unitário"},0),ROUND(ROUND(BM.MEDAcumulado,15-13*BM!$A$9)/100*BM!$I93,15-13*ORÇAMENTO!$AF$11),ROUND(ROUND(BM.MEDAcumulado,15-13*BM!$A$9)*ROUND(BM!$H93,15-13*ORÇAMENTO!$AF$10),15-13*ORÇAMENTO!$AF$11))),IF($A93=0,0,ROUND(SomaAgrupBM,15-13*ORÇAMENTO!$AF$11)))</f>
        <v>0</v>
      </c>
    </row>
    <row r="94" spans="1:41" ht="25.5" x14ac:dyDescent="0.2">
      <c r="A94" t="str">
        <f ca="1">ORÇAMENTO!C94</f>
        <v>S</v>
      </c>
      <c r="B94">
        <f ca="1">ORÇAMENTO!D94</f>
        <v>0</v>
      </c>
      <c r="C94" s="115" t="str">
        <f t="shared" ca="1" si="8"/>
        <v/>
      </c>
      <c r="D94" s="118" t="str">
        <f ca="1">ORÇAMENTO!O94</f>
        <v>-</v>
      </c>
      <c r="E94" s="164" t="str">
        <f t="shared" si="9"/>
        <v>LUMINÁRIA ARANDELA, DE SOBREPOR, 24 W, EXTERNA IP65 - FORNECIMENTO E INSTALAÇÃO. AF_09/2024</v>
      </c>
      <c r="F94" s="165" t="str">
        <f ca="1">IF(RegimeExecucao="Global","",ORÇAMENTO.Unidade)</f>
        <v xml:space="preserve">UN    </v>
      </c>
      <c r="G94" s="123">
        <f ca="1">IF(RegimeExecucao="Global","",ORÇAMENTO!T94)</f>
        <v>22</v>
      </c>
      <c r="H94" s="123">
        <f ca="1">IF(RegimeExecucao="Global","",ORÇAMENTO!W94)</f>
        <v>0</v>
      </c>
      <c r="I94" s="126">
        <f ca="1">ORÇAMENTO!X94</f>
        <v>0</v>
      </c>
      <c r="J94" s="334" t="e" cm="1">
        <f t="array" aca="1" ref="J94" ca="1">_xlfn.SINGLE(IF($A94="S",IF(CAIXA.Modo,BM.AFAnterior,BM.MEDAnterior),IF(AND(_xlfn.SINGLE(RegimeExecucao)="Global",$I94&gt;0,COUNTIF($AB$13:$AM$13,BM.medicao-1)&gt;0),M94/$I94*100,0)))</f>
        <v>#NAME?</v>
      </c>
      <c r="K94" s="123" t="e">
        <f t="shared" ca="1" si="10"/>
        <v>#NAME?</v>
      </c>
      <c r="L94" s="335" t="e" cm="1">
        <f t="array" aca="1" ref="L94" ca="1">_xlfn.SINGLE(IF($A94="S",IF(CAIXA.Modo,BM.AFAcumulado,BM.MEDAcumulado),IF(AND(_xlfn.SINGLE(RegimeExecucao)="Global",$I94&gt;0,COUNTIF($AB$13:$AM$13,BM.medicao)&gt;0),O94/$I94*100,0)))</f>
        <v>#NAME?</v>
      </c>
      <c r="M94" s="336">
        <f ca="1">IF($A94="S",VTOTALBM,IF($A94=0,0,ROUND(SomaAgrupBM,15-13*ORÇAMENTO!$AF$11)))</f>
        <v>0</v>
      </c>
      <c r="N94" s="337">
        <f t="shared" ca="1" si="11"/>
        <v>0</v>
      </c>
      <c r="O94" s="126">
        <f ca="1">IF($A94="S",VTOTALBM,IF($A94=0,0,ROUND(SomaAgrupBM,15-13*ORÇAMENTO!$AF$11)))</f>
        <v>0</v>
      </c>
      <c r="Q94" s="338"/>
      <c r="R94" s="339"/>
      <c r="T94" s="118" t="str">
        <f t="shared" ca="1" si="12"/>
        <v/>
      </c>
      <c r="U94" s="164" t="str">
        <f t="shared" ca="1" si="13"/>
        <v/>
      </c>
      <c r="V94" s="165" t="str">
        <f ca="1">IF(AND($W94&gt;0,RegimeExecucao="Unitário"),$F94,"")</f>
        <v/>
      </c>
      <c r="W94" s="455">
        <f ca="1">IF($Y94&gt;0,CHOOSE(MATCH(RegimeExecucao,{"Unitário","Global"},0),IF($A94="S",$Y94/$X94,""),($Y94/$X94)*100),0)</f>
        <v>0</v>
      </c>
      <c r="X94" s="340" t="str">
        <f ca="1">IF($Y94&gt;0,CHOOSE(MATCH(RegimeExecucao,{"Unitário","Global"},0),IF($A94="S",ROUND($H94,ORÇAMENTO!$AF$10),""),ROUND($I94,ORÇAMENTO!$AF$11)),"")</f>
        <v/>
      </c>
      <c r="Y94" s="340">
        <f t="shared" ca="1" si="14"/>
        <v>0</v>
      </c>
      <c r="Z94" s="474"/>
      <c r="AB94" s="338"/>
      <c r="AC94" s="438"/>
      <c r="AD94" s="438"/>
      <c r="AE94" s="438"/>
      <c r="AF94" s="438"/>
      <c r="AG94" s="438"/>
      <c r="AH94" s="438"/>
      <c r="AI94" s="438"/>
      <c r="AJ94" s="438"/>
      <c r="AK94" s="438"/>
      <c r="AL94" s="438"/>
      <c r="AM94" s="339"/>
      <c r="AO94">
        <f ca="1">IF($A94="S",IF(BM!$I94=0,0,CHOOSE(MATCH(RegimeExecucao,{"Global","Unitário"},0),ROUND(ROUND(BM.MEDAcumulado,15-13*BM!$A$9)/100*BM!$I94,15-13*ORÇAMENTO!$AF$11),ROUND(ROUND(BM.MEDAcumulado,15-13*BM!$A$9)*ROUND(BM!$H94,15-13*ORÇAMENTO!$AF$10),15-13*ORÇAMENTO!$AF$11))),IF($A94=0,0,ROUND(SomaAgrupBM,15-13*ORÇAMENTO!$AF$11)))</f>
        <v>0</v>
      </c>
    </row>
    <row r="95" spans="1:41" ht="25.5" x14ac:dyDescent="0.2">
      <c r="A95" t="str">
        <f ca="1">ORÇAMENTO!C95</f>
        <v>S</v>
      </c>
      <c r="B95">
        <f ca="1">ORÇAMENTO!D95</f>
        <v>0</v>
      </c>
      <c r="C95" s="115" t="str">
        <f t="shared" ca="1" si="8"/>
        <v/>
      </c>
      <c r="D95" s="118" t="str">
        <f ca="1">ORÇAMENTO!O95</f>
        <v>-</v>
      </c>
      <c r="E95" s="164" t="str">
        <f t="shared" si="9"/>
        <v xml:space="preserve">SOQUETE DE PORCELANA BASE E27, PARA USO AO TEMPO, PARA LAMPADAS                                                                                                                                                                                           </v>
      </c>
      <c r="F95" s="165" t="str">
        <f ca="1">IF(RegimeExecucao="Global","",ORÇAMENTO.Unidade)</f>
        <v xml:space="preserve">UN    </v>
      </c>
      <c r="G95" s="123">
        <f ca="1">IF(RegimeExecucao="Global","",ORÇAMENTO!T95)</f>
        <v>9</v>
      </c>
      <c r="H95" s="123">
        <f ca="1">IF(RegimeExecucao="Global","",ORÇAMENTO!W95)</f>
        <v>0</v>
      </c>
      <c r="I95" s="126">
        <f ca="1">ORÇAMENTO!X95</f>
        <v>0</v>
      </c>
      <c r="J95" s="334" t="e" cm="1">
        <f t="array" aca="1" ref="J95" ca="1">_xlfn.SINGLE(IF($A95="S",IF(CAIXA.Modo,BM.AFAnterior,BM.MEDAnterior),IF(AND(_xlfn.SINGLE(RegimeExecucao)="Global",$I95&gt;0,COUNTIF($AB$13:$AM$13,BM.medicao-1)&gt;0),M95/$I95*100,0)))</f>
        <v>#NAME?</v>
      </c>
      <c r="K95" s="123" t="e">
        <f t="shared" ca="1" si="10"/>
        <v>#NAME?</v>
      </c>
      <c r="L95" s="335" t="e" cm="1">
        <f t="array" aca="1" ref="L95" ca="1">_xlfn.SINGLE(IF($A95="S",IF(CAIXA.Modo,BM.AFAcumulado,BM.MEDAcumulado),IF(AND(_xlfn.SINGLE(RegimeExecucao)="Global",$I95&gt;0,COUNTIF($AB$13:$AM$13,BM.medicao)&gt;0),O95/$I95*100,0)))</f>
        <v>#NAME?</v>
      </c>
      <c r="M95" s="336">
        <f ca="1">IF($A95="S",VTOTALBM,IF($A95=0,0,ROUND(SomaAgrupBM,15-13*ORÇAMENTO!$AF$11)))</f>
        <v>0</v>
      </c>
      <c r="N95" s="337">
        <f t="shared" ca="1" si="11"/>
        <v>0</v>
      </c>
      <c r="O95" s="126">
        <f ca="1">IF($A95="S",VTOTALBM,IF($A95=0,0,ROUND(SomaAgrupBM,15-13*ORÇAMENTO!$AF$11)))</f>
        <v>0</v>
      </c>
      <c r="Q95" s="338"/>
      <c r="R95" s="339"/>
      <c r="T95" s="118" t="str">
        <f t="shared" ca="1" si="12"/>
        <v/>
      </c>
      <c r="U95" s="164" t="str">
        <f t="shared" ca="1" si="13"/>
        <v/>
      </c>
      <c r="V95" s="165" t="str">
        <f ca="1">IF(AND($W95&gt;0,RegimeExecucao="Unitário"),$F95,"")</f>
        <v/>
      </c>
      <c r="W95" s="455">
        <f ca="1">IF($Y95&gt;0,CHOOSE(MATCH(RegimeExecucao,{"Unitário","Global"},0),IF($A95="S",$Y95/$X95,""),($Y95/$X95)*100),0)</f>
        <v>0</v>
      </c>
      <c r="X95" s="340" t="str">
        <f ca="1">IF($Y95&gt;0,CHOOSE(MATCH(RegimeExecucao,{"Unitário","Global"},0),IF($A95="S",ROUND($H95,ORÇAMENTO!$AF$10),""),ROUND($I95,ORÇAMENTO!$AF$11)),"")</f>
        <v/>
      </c>
      <c r="Y95" s="340">
        <f t="shared" ca="1" si="14"/>
        <v>0</v>
      </c>
      <c r="Z95" s="474"/>
      <c r="AB95" s="338"/>
      <c r="AC95" s="438"/>
      <c r="AD95" s="438"/>
      <c r="AE95" s="438"/>
      <c r="AF95" s="438"/>
      <c r="AG95" s="438"/>
      <c r="AH95" s="438"/>
      <c r="AI95" s="438"/>
      <c r="AJ95" s="438"/>
      <c r="AK95" s="438"/>
      <c r="AL95" s="438"/>
      <c r="AM95" s="339"/>
      <c r="AO95">
        <f ca="1">IF($A95="S",IF(BM!$I95=0,0,CHOOSE(MATCH(RegimeExecucao,{"Global","Unitário"},0),ROUND(ROUND(BM.MEDAcumulado,15-13*BM!$A$9)/100*BM!$I95,15-13*ORÇAMENTO!$AF$11),ROUND(ROUND(BM.MEDAcumulado,15-13*BM!$A$9)*ROUND(BM!$H95,15-13*ORÇAMENTO!$AF$10),15-13*ORÇAMENTO!$AF$11))),IF($A95=0,0,ROUND(SomaAgrupBM,15-13*ORÇAMENTO!$AF$11)))</f>
        <v>0</v>
      </c>
    </row>
    <row r="96" spans="1:41" x14ac:dyDescent="0.2">
      <c r="A96" t="str">
        <f ca="1">ORÇAMENTO!C96</f>
        <v>S</v>
      </c>
      <c r="B96">
        <f ca="1">ORÇAMENTO!D96</f>
        <v>0</v>
      </c>
      <c r="C96" s="115" t="str">
        <f t="shared" ca="1" si="8"/>
        <v/>
      </c>
      <c r="D96" s="118" t="str">
        <f ca="1">ORÇAMENTO!O96</f>
        <v>-</v>
      </c>
      <c r="E96" s="164" t="str">
        <f t="shared" si="9"/>
        <v>SPOT DE EMBUTIR NO PISO 9W, PARA ÁREA EXTERNA</v>
      </c>
      <c r="F96" s="165" t="str">
        <f ca="1">IF(RegimeExecucao="Global","",ORÇAMENTO.Unidade)</f>
        <v>UN</v>
      </c>
      <c r="G96" s="123">
        <f ca="1">IF(RegimeExecucao="Global","",ORÇAMENTO!T96)</f>
        <v>9</v>
      </c>
      <c r="H96" s="123">
        <f ca="1">IF(RegimeExecucao="Global","",ORÇAMENTO!W96)</f>
        <v>0</v>
      </c>
      <c r="I96" s="126">
        <f ca="1">ORÇAMENTO!X96</f>
        <v>0</v>
      </c>
      <c r="J96" s="334" t="e" cm="1">
        <f t="array" aca="1" ref="J96" ca="1">_xlfn.SINGLE(IF($A96="S",IF(CAIXA.Modo,BM.AFAnterior,BM.MEDAnterior),IF(AND(_xlfn.SINGLE(RegimeExecucao)="Global",$I96&gt;0,COUNTIF($AB$13:$AM$13,BM.medicao-1)&gt;0),M96/$I96*100,0)))</f>
        <v>#NAME?</v>
      </c>
      <c r="K96" s="123" t="e">
        <f t="shared" ca="1" si="10"/>
        <v>#NAME?</v>
      </c>
      <c r="L96" s="335" t="e" cm="1">
        <f t="array" aca="1" ref="L96" ca="1">_xlfn.SINGLE(IF($A96="S",IF(CAIXA.Modo,BM.AFAcumulado,BM.MEDAcumulado),IF(AND(_xlfn.SINGLE(RegimeExecucao)="Global",$I96&gt;0,COUNTIF($AB$13:$AM$13,BM.medicao)&gt;0),O96/$I96*100,0)))</f>
        <v>#NAME?</v>
      </c>
      <c r="M96" s="336">
        <f ca="1">IF($A96="S",VTOTALBM,IF($A96=0,0,ROUND(SomaAgrupBM,15-13*ORÇAMENTO!$AF$11)))</f>
        <v>0</v>
      </c>
      <c r="N96" s="337">
        <f t="shared" ca="1" si="11"/>
        <v>0</v>
      </c>
      <c r="O96" s="126">
        <f ca="1">IF($A96="S",VTOTALBM,IF($A96=0,0,ROUND(SomaAgrupBM,15-13*ORÇAMENTO!$AF$11)))</f>
        <v>0</v>
      </c>
      <c r="Q96" s="338"/>
      <c r="R96" s="339"/>
      <c r="T96" s="118" t="str">
        <f t="shared" ca="1" si="12"/>
        <v/>
      </c>
      <c r="U96" s="164" t="str">
        <f t="shared" ca="1" si="13"/>
        <v/>
      </c>
      <c r="V96" s="165" t="str">
        <f ca="1">IF(AND($W96&gt;0,RegimeExecucao="Unitário"),$F96,"")</f>
        <v/>
      </c>
      <c r="W96" s="455">
        <f ca="1">IF($Y96&gt;0,CHOOSE(MATCH(RegimeExecucao,{"Unitário","Global"},0),IF($A96="S",$Y96/$X96,""),($Y96/$X96)*100),0)</f>
        <v>0</v>
      </c>
      <c r="X96" s="340" t="str">
        <f ca="1">IF($Y96&gt;0,CHOOSE(MATCH(RegimeExecucao,{"Unitário","Global"},0),IF($A96="S",ROUND($H96,ORÇAMENTO!$AF$10),""),ROUND($I96,ORÇAMENTO!$AF$11)),"")</f>
        <v/>
      </c>
      <c r="Y96" s="340">
        <f t="shared" ca="1" si="14"/>
        <v>0</v>
      </c>
      <c r="Z96" s="474"/>
      <c r="AB96" s="338"/>
      <c r="AC96" s="438"/>
      <c r="AD96" s="438"/>
      <c r="AE96" s="438"/>
      <c r="AF96" s="438"/>
      <c r="AG96" s="438"/>
      <c r="AH96" s="438"/>
      <c r="AI96" s="438"/>
      <c r="AJ96" s="438"/>
      <c r="AK96" s="438"/>
      <c r="AL96" s="438"/>
      <c r="AM96" s="339"/>
      <c r="AO96">
        <f ca="1">IF($A96="S",IF(BM!$I96=0,0,CHOOSE(MATCH(RegimeExecucao,{"Global","Unitário"},0),ROUND(ROUND(BM.MEDAcumulado,15-13*BM!$A$9)/100*BM!$I96,15-13*ORÇAMENTO!$AF$11),ROUND(ROUND(BM.MEDAcumulado,15-13*BM!$A$9)*ROUND(BM!$H96,15-13*ORÇAMENTO!$AF$10),15-13*ORÇAMENTO!$AF$11))),IF($A96=0,0,ROUND(SomaAgrupBM,15-13*ORÇAMENTO!$AF$11)))</f>
        <v>0</v>
      </c>
    </row>
    <row r="97" spans="1:41" ht="25.5" x14ac:dyDescent="0.2">
      <c r="A97" t="str">
        <f ca="1">ORÇAMENTO!C97</f>
        <v>S</v>
      </c>
      <c r="B97">
        <f ca="1">ORÇAMENTO!D97</f>
        <v>0</v>
      </c>
      <c r="C97" s="115" t="str">
        <f t="shared" ca="1" si="8"/>
        <v/>
      </c>
      <c r="D97" s="118" t="str">
        <f ca="1">ORÇAMENTO!O97</f>
        <v>-</v>
      </c>
      <c r="E97" s="164" t="str">
        <f t="shared" si="9"/>
        <v>HASTE DE ATERRAMENTO, DIÂMETRO 3/4", COM 3 METROS - FORNECIMENTO E INSTALAÇÃO. AF_08/2023</v>
      </c>
      <c r="F97" s="165" t="str">
        <f ca="1">IF(RegimeExecucao="Global","",ORÇAMENTO.Unidade)</f>
        <v>UN</v>
      </c>
      <c r="G97" s="123">
        <f ca="1">IF(RegimeExecucao="Global","",ORÇAMENTO!T97)</f>
        <v>50</v>
      </c>
      <c r="H97" s="123">
        <f ca="1">IF(RegimeExecucao="Global","",ORÇAMENTO!W97)</f>
        <v>0</v>
      </c>
      <c r="I97" s="126">
        <f ca="1">ORÇAMENTO!X97</f>
        <v>0</v>
      </c>
      <c r="J97" s="334" t="e" cm="1">
        <f t="array" aca="1" ref="J97" ca="1">_xlfn.SINGLE(IF($A97="S",IF(CAIXA.Modo,BM.AFAnterior,BM.MEDAnterior),IF(AND(_xlfn.SINGLE(RegimeExecucao)="Global",$I97&gt;0,COUNTIF($AB$13:$AM$13,BM.medicao-1)&gt;0),M97/$I97*100,0)))</f>
        <v>#NAME?</v>
      </c>
      <c r="K97" s="123" t="e">
        <f t="shared" ca="1" si="10"/>
        <v>#NAME?</v>
      </c>
      <c r="L97" s="335" t="e" cm="1">
        <f t="array" aca="1" ref="L97" ca="1">_xlfn.SINGLE(IF($A97="S",IF(CAIXA.Modo,BM.AFAcumulado,BM.MEDAcumulado),IF(AND(_xlfn.SINGLE(RegimeExecucao)="Global",$I97&gt;0,COUNTIF($AB$13:$AM$13,BM.medicao)&gt;0),O97/$I97*100,0)))</f>
        <v>#NAME?</v>
      </c>
      <c r="M97" s="336">
        <f ca="1">IF($A97="S",VTOTALBM,IF($A97=0,0,ROUND(SomaAgrupBM,15-13*ORÇAMENTO!$AF$11)))</f>
        <v>0</v>
      </c>
      <c r="N97" s="337">
        <f t="shared" ca="1" si="11"/>
        <v>0</v>
      </c>
      <c r="O97" s="126">
        <f ca="1">IF($A97="S",VTOTALBM,IF($A97=0,0,ROUND(SomaAgrupBM,15-13*ORÇAMENTO!$AF$11)))</f>
        <v>0</v>
      </c>
      <c r="Q97" s="338"/>
      <c r="R97" s="339"/>
      <c r="T97" s="118" t="str">
        <f t="shared" ca="1" si="12"/>
        <v/>
      </c>
      <c r="U97" s="164" t="str">
        <f t="shared" ca="1" si="13"/>
        <v/>
      </c>
      <c r="V97" s="165" t="str">
        <f ca="1">IF(AND($W97&gt;0,RegimeExecucao="Unitário"),$F97,"")</f>
        <v/>
      </c>
      <c r="W97" s="455">
        <f ca="1">IF($Y97&gt;0,CHOOSE(MATCH(RegimeExecucao,{"Unitário","Global"},0),IF($A97="S",$Y97/$X97,""),($Y97/$X97)*100),0)</f>
        <v>0</v>
      </c>
      <c r="X97" s="340" t="str">
        <f ca="1">IF($Y97&gt;0,CHOOSE(MATCH(RegimeExecucao,{"Unitário","Global"},0),IF($A97="S",ROUND($H97,ORÇAMENTO!$AF$10),""),ROUND($I97,ORÇAMENTO!$AF$11)),"")</f>
        <v/>
      </c>
      <c r="Y97" s="340">
        <f t="shared" ca="1" si="14"/>
        <v>0</v>
      </c>
      <c r="Z97" s="474"/>
      <c r="AB97" s="338"/>
      <c r="AC97" s="438"/>
      <c r="AD97" s="438"/>
      <c r="AE97" s="438"/>
      <c r="AF97" s="438"/>
      <c r="AG97" s="438"/>
      <c r="AH97" s="438"/>
      <c r="AI97" s="438"/>
      <c r="AJ97" s="438"/>
      <c r="AK97" s="438"/>
      <c r="AL97" s="438"/>
      <c r="AM97" s="339"/>
      <c r="AO97">
        <f ca="1">IF($A97="S",IF(BM!$I97=0,0,CHOOSE(MATCH(RegimeExecucao,{"Global","Unitário"},0),ROUND(ROUND(BM.MEDAcumulado,15-13*BM!$A$9)/100*BM!$I97,15-13*ORÇAMENTO!$AF$11),ROUND(ROUND(BM.MEDAcumulado,15-13*BM!$A$9)*ROUND(BM!$H97,15-13*ORÇAMENTO!$AF$10),15-13*ORÇAMENTO!$AF$11))),IF($A97=0,0,ROUND(SomaAgrupBM,15-13*ORÇAMENTO!$AF$11)))</f>
        <v>0</v>
      </c>
    </row>
    <row r="98" spans="1:41" ht="25.5" x14ac:dyDescent="0.2">
      <c r="A98" t="str">
        <f ca="1">ORÇAMENTO!C98</f>
        <v>S</v>
      </c>
      <c r="B98">
        <f ca="1">ORÇAMENTO!D98</f>
        <v>0</v>
      </c>
      <c r="C98" s="115" t="str">
        <f t="shared" ca="1" si="8"/>
        <v/>
      </c>
      <c r="D98" s="118" t="str">
        <f ca="1">ORÇAMENTO!O98</f>
        <v>-</v>
      </c>
      <c r="E98" s="164" t="str">
        <f t="shared" si="9"/>
        <v>CAIXA DE INSPEÇÃO PARA ATERRAMENTO, CIRCULAR, EM POLIETILENO, DIÂMETRO INTERNO = 0,3 M. AF_12/2020</v>
      </c>
      <c r="F98" s="165" t="str">
        <f ca="1">IF(RegimeExecucao="Global","",ORÇAMENTO.Unidade)</f>
        <v>UN</v>
      </c>
      <c r="G98" s="123">
        <f ca="1">IF(RegimeExecucao="Global","",ORÇAMENTO!T98)</f>
        <v>50</v>
      </c>
      <c r="H98" s="123">
        <f ca="1">IF(RegimeExecucao="Global","",ORÇAMENTO!W98)</f>
        <v>0</v>
      </c>
      <c r="I98" s="126">
        <f ca="1">ORÇAMENTO!X98</f>
        <v>0</v>
      </c>
      <c r="J98" s="334" t="e" cm="1">
        <f t="array" aca="1" ref="J98" ca="1">_xlfn.SINGLE(IF($A98="S",IF(CAIXA.Modo,BM.AFAnterior,BM.MEDAnterior),IF(AND(_xlfn.SINGLE(RegimeExecucao)="Global",$I98&gt;0,COUNTIF($AB$13:$AM$13,BM.medicao-1)&gt;0),M98/$I98*100,0)))</f>
        <v>#NAME?</v>
      </c>
      <c r="K98" s="123" t="e">
        <f t="shared" ca="1" si="10"/>
        <v>#NAME?</v>
      </c>
      <c r="L98" s="335" t="e" cm="1">
        <f t="array" aca="1" ref="L98" ca="1">_xlfn.SINGLE(IF($A98="S",IF(CAIXA.Modo,BM.AFAcumulado,BM.MEDAcumulado),IF(AND(_xlfn.SINGLE(RegimeExecucao)="Global",$I98&gt;0,COUNTIF($AB$13:$AM$13,BM.medicao)&gt;0),O98/$I98*100,0)))</f>
        <v>#NAME?</v>
      </c>
      <c r="M98" s="336">
        <f ca="1">IF($A98="S",VTOTALBM,IF($A98=0,0,ROUND(SomaAgrupBM,15-13*ORÇAMENTO!$AF$11)))</f>
        <v>0</v>
      </c>
      <c r="N98" s="337">
        <f t="shared" ca="1" si="11"/>
        <v>0</v>
      </c>
      <c r="O98" s="126">
        <f ca="1">IF($A98="S",VTOTALBM,IF($A98=0,0,ROUND(SomaAgrupBM,15-13*ORÇAMENTO!$AF$11)))</f>
        <v>0</v>
      </c>
      <c r="Q98" s="338"/>
      <c r="R98" s="339"/>
      <c r="T98" s="118" t="str">
        <f t="shared" ca="1" si="12"/>
        <v/>
      </c>
      <c r="U98" s="164" t="str">
        <f t="shared" ca="1" si="13"/>
        <v/>
      </c>
      <c r="V98" s="165" t="str">
        <f ca="1">IF(AND($W98&gt;0,RegimeExecucao="Unitário"),$F98,"")</f>
        <v/>
      </c>
      <c r="W98" s="455">
        <f ca="1">IF($Y98&gt;0,CHOOSE(MATCH(RegimeExecucao,{"Unitário","Global"},0),IF($A98="S",$Y98/$X98,""),($Y98/$X98)*100),0)</f>
        <v>0</v>
      </c>
      <c r="X98" s="340" t="str">
        <f ca="1">IF($Y98&gt;0,CHOOSE(MATCH(RegimeExecucao,{"Unitário","Global"},0),IF($A98="S",ROUND($H98,ORÇAMENTO!$AF$10),""),ROUND($I98,ORÇAMENTO!$AF$11)),"")</f>
        <v/>
      </c>
      <c r="Y98" s="340">
        <f t="shared" ca="1" si="14"/>
        <v>0</v>
      </c>
      <c r="Z98" s="474"/>
      <c r="AB98" s="338"/>
      <c r="AC98" s="438"/>
      <c r="AD98" s="438"/>
      <c r="AE98" s="438"/>
      <c r="AF98" s="438"/>
      <c r="AG98" s="438"/>
      <c r="AH98" s="438"/>
      <c r="AI98" s="438"/>
      <c r="AJ98" s="438"/>
      <c r="AK98" s="438"/>
      <c r="AL98" s="438"/>
      <c r="AM98" s="339"/>
      <c r="AO98">
        <f ca="1">IF($A98="S",IF(BM!$I98=0,0,CHOOSE(MATCH(RegimeExecucao,{"Global","Unitário"},0),ROUND(ROUND(BM.MEDAcumulado,15-13*BM!$A$9)/100*BM!$I98,15-13*ORÇAMENTO!$AF$11),ROUND(ROUND(BM.MEDAcumulado,15-13*BM!$A$9)*ROUND(BM!$H98,15-13*ORÇAMENTO!$AF$10),15-13*ORÇAMENTO!$AF$11))),IF($A98=0,0,ROUND(SomaAgrupBM,15-13*ORÇAMENTO!$AF$11)))</f>
        <v>0</v>
      </c>
    </row>
    <row r="99" spans="1:41" ht="25.5" x14ac:dyDescent="0.2">
      <c r="A99" t="str">
        <f ca="1">ORÇAMENTO!C99</f>
        <v>S</v>
      </c>
      <c r="B99">
        <f ca="1">ORÇAMENTO!D99</f>
        <v>0</v>
      </c>
      <c r="C99" s="115" t="str">
        <f t="shared" ca="1" si="8"/>
        <v/>
      </c>
      <c r="D99" s="118" t="str">
        <f ca="1">ORÇAMENTO!O99</f>
        <v>-</v>
      </c>
      <c r="E99" s="164" t="str">
        <f t="shared" si="9"/>
        <v xml:space="preserve">CAIXA DE PASSAGEM ELETRICA, PARA PISO, EM PVC, DIMENSOES DE 3/4" A 4"                                                                                                                                                                                     </v>
      </c>
      <c r="F99" s="165" t="str">
        <f ca="1">IF(RegimeExecucao="Global","",ORÇAMENTO.Unidade)</f>
        <v xml:space="preserve">UN    </v>
      </c>
      <c r="G99" s="123">
        <f ca="1">IF(RegimeExecucao="Global","",ORÇAMENTO!T99)</f>
        <v>4</v>
      </c>
      <c r="H99" s="123">
        <f ca="1">IF(RegimeExecucao="Global","",ORÇAMENTO!W99)</f>
        <v>0</v>
      </c>
      <c r="I99" s="126">
        <f ca="1">ORÇAMENTO!X99</f>
        <v>0</v>
      </c>
      <c r="J99" s="334" t="e" cm="1">
        <f t="array" aca="1" ref="J99" ca="1">_xlfn.SINGLE(IF($A99="S",IF(CAIXA.Modo,BM.AFAnterior,BM.MEDAnterior),IF(AND(_xlfn.SINGLE(RegimeExecucao)="Global",$I99&gt;0,COUNTIF($AB$13:$AM$13,BM.medicao-1)&gt;0),M99/$I99*100,0)))</f>
        <v>#NAME?</v>
      </c>
      <c r="K99" s="123" t="e">
        <f t="shared" ca="1" si="10"/>
        <v>#NAME?</v>
      </c>
      <c r="L99" s="335" t="e" cm="1">
        <f t="array" aca="1" ref="L99" ca="1">_xlfn.SINGLE(IF($A99="S",IF(CAIXA.Modo,BM.AFAcumulado,BM.MEDAcumulado),IF(AND(_xlfn.SINGLE(RegimeExecucao)="Global",$I99&gt;0,COUNTIF($AB$13:$AM$13,BM.medicao)&gt;0),O99/$I99*100,0)))</f>
        <v>#NAME?</v>
      </c>
      <c r="M99" s="336">
        <f ca="1">IF($A99="S",VTOTALBM,IF($A99=0,0,ROUND(SomaAgrupBM,15-13*ORÇAMENTO!$AF$11)))</f>
        <v>0</v>
      </c>
      <c r="N99" s="337">
        <f t="shared" ca="1" si="11"/>
        <v>0</v>
      </c>
      <c r="O99" s="126">
        <f ca="1">IF($A99="S",VTOTALBM,IF($A99=0,0,ROUND(SomaAgrupBM,15-13*ORÇAMENTO!$AF$11)))</f>
        <v>0</v>
      </c>
      <c r="Q99" s="338"/>
      <c r="R99" s="339"/>
      <c r="T99" s="118" t="str">
        <f t="shared" ca="1" si="12"/>
        <v/>
      </c>
      <c r="U99" s="164" t="str">
        <f t="shared" ca="1" si="13"/>
        <v/>
      </c>
      <c r="V99" s="165" t="str">
        <f ca="1">IF(AND($W99&gt;0,RegimeExecucao="Unitário"),$F99,"")</f>
        <v/>
      </c>
      <c r="W99" s="455">
        <f ca="1">IF($Y99&gt;0,CHOOSE(MATCH(RegimeExecucao,{"Unitário","Global"},0),IF($A99="S",$Y99/$X99,""),($Y99/$X99)*100),0)</f>
        <v>0</v>
      </c>
      <c r="X99" s="340" t="str">
        <f ca="1">IF($Y99&gt;0,CHOOSE(MATCH(RegimeExecucao,{"Unitário","Global"},0),IF($A99="S",ROUND($H99,ORÇAMENTO!$AF$10),""),ROUND($I99,ORÇAMENTO!$AF$11)),"")</f>
        <v/>
      </c>
      <c r="Y99" s="340">
        <f t="shared" ca="1" si="14"/>
        <v>0</v>
      </c>
      <c r="Z99" s="474"/>
      <c r="AB99" s="338"/>
      <c r="AC99" s="438"/>
      <c r="AD99" s="438"/>
      <c r="AE99" s="438"/>
      <c r="AF99" s="438"/>
      <c r="AG99" s="438"/>
      <c r="AH99" s="438"/>
      <c r="AI99" s="438"/>
      <c r="AJ99" s="438"/>
      <c r="AK99" s="438"/>
      <c r="AL99" s="438"/>
      <c r="AM99" s="339"/>
      <c r="AO99">
        <f ca="1">IF($A99="S",IF(BM!$I99=0,0,CHOOSE(MATCH(RegimeExecucao,{"Global","Unitário"},0),ROUND(ROUND(BM.MEDAcumulado,15-13*BM!$A$9)/100*BM!$I99,15-13*ORÇAMENTO!$AF$11),ROUND(ROUND(BM.MEDAcumulado,15-13*BM!$A$9)*ROUND(BM!$H99,15-13*ORÇAMENTO!$AF$10),15-13*ORÇAMENTO!$AF$11))),IF($A99=0,0,ROUND(SomaAgrupBM,15-13*ORÇAMENTO!$AF$11)))</f>
        <v>0</v>
      </c>
    </row>
    <row r="100" spans="1:41" ht="38.25" x14ac:dyDescent="0.2">
      <c r="A100" t="str">
        <f ca="1">ORÇAMENTO!C100</f>
        <v>S</v>
      </c>
      <c r="B100">
        <f ca="1">ORÇAMENTO!D100</f>
        <v>0</v>
      </c>
      <c r="C100" s="115" t="str">
        <f t="shared" ca="1" si="8"/>
        <v/>
      </c>
      <c r="D100" s="118" t="str">
        <f ca="1">ORÇAMENTO!O100</f>
        <v>-</v>
      </c>
      <c r="E100" s="164" t="str">
        <f t="shared" si="9"/>
        <v>CABO DE COBRE FLEXÍVEL ISOLADO, 1,5 MM², ANTI-CHAMA 0,6/1,0 KV, PARA CIRCUITOS TERMINAIS - FORNECIMENTO E INSTALAÇÃO. AF_03/2023</v>
      </c>
      <c r="F100" s="165" t="str">
        <f ca="1">IF(RegimeExecucao="Global","",ORÇAMENTO.Unidade)</f>
        <v>M</v>
      </c>
      <c r="G100" s="123">
        <f ca="1">IF(RegimeExecucao="Global","",ORÇAMENTO!T100)</f>
        <v>155</v>
      </c>
      <c r="H100" s="123">
        <f ca="1">IF(RegimeExecucao="Global","",ORÇAMENTO!W100)</f>
        <v>0</v>
      </c>
      <c r="I100" s="126">
        <f ca="1">ORÇAMENTO!X100</f>
        <v>0</v>
      </c>
      <c r="J100" s="334" t="e" cm="1">
        <f t="array" aca="1" ref="J100" ca="1">_xlfn.SINGLE(IF($A100="S",IF(CAIXA.Modo,BM.AFAnterior,BM.MEDAnterior),IF(AND(_xlfn.SINGLE(RegimeExecucao)="Global",$I100&gt;0,COUNTIF($AB$13:$AM$13,BM.medicao-1)&gt;0),M100/$I100*100,0)))</f>
        <v>#NAME?</v>
      </c>
      <c r="K100" s="123" t="e">
        <f t="shared" ca="1" si="10"/>
        <v>#NAME?</v>
      </c>
      <c r="L100" s="335" t="e" cm="1">
        <f t="array" aca="1" ref="L100" ca="1">_xlfn.SINGLE(IF($A100="S",IF(CAIXA.Modo,BM.AFAcumulado,BM.MEDAcumulado),IF(AND(_xlfn.SINGLE(RegimeExecucao)="Global",$I100&gt;0,COUNTIF($AB$13:$AM$13,BM.medicao)&gt;0),O100/$I100*100,0)))</f>
        <v>#NAME?</v>
      </c>
      <c r="M100" s="336">
        <f ca="1">IF($A100="S",VTOTALBM,IF($A100=0,0,ROUND(SomaAgrupBM,15-13*ORÇAMENTO!$AF$11)))</f>
        <v>0</v>
      </c>
      <c r="N100" s="337">
        <f t="shared" ca="1" si="11"/>
        <v>0</v>
      </c>
      <c r="O100" s="126">
        <f ca="1">IF($A100="S",VTOTALBM,IF($A100=0,0,ROUND(SomaAgrupBM,15-13*ORÇAMENTO!$AF$11)))</f>
        <v>0</v>
      </c>
      <c r="Q100" s="338"/>
      <c r="R100" s="339"/>
      <c r="T100" s="118" t="str">
        <f t="shared" ca="1" si="12"/>
        <v/>
      </c>
      <c r="U100" s="164" t="str">
        <f t="shared" ca="1" si="13"/>
        <v/>
      </c>
      <c r="V100" s="165" t="str">
        <f ca="1">IF(AND($W100&gt;0,RegimeExecucao="Unitário"),$F100,"")</f>
        <v/>
      </c>
      <c r="W100" s="455">
        <f ca="1">IF($Y100&gt;0,CHOOSE(MATCH(RegimeExecucao,{"Unitário","Global"},0),IF($A100="S",$Y100/$X100,""),($Y100/$X100)*100),0)</f>
        <v>0</v>
      </c>
      <c r="X100" s="340" t="str">
        <f ca="1">IF($Y100&gt;0,CHOOSE(MATCH(RegimeExecucao,{"Unitário","Global"},0),IF($A100="S",ROUND($H100,ORÇAMENTO!$AF$10),""),ROUND($I100,ORÇAMENTO!$AF$11)),"")</f>
        <v/>
      </c>
      <c r="Y100" s="340">
        <f t="shared" ca="1" si="14"/>
        <v>0</v>
      </c>
      <c r="Z100" s="474"/>
      <c r="AB100" s="338"/>
      <c r="AC100" s="438"/>
      <c r="AD100" s="438"/>
      <c r="AE100" s="438"/>
      <c r="AF100" s="438"/>
      <c r="AG100" s="438"/>
      <c r="AH100" s="438"/>
      <c r="AI100" s="438"/>
      <c r="AJ100" s="438"/>
      <c r="AK100" s="438"/>
      <c r="AL100" s="438"/>
      <c r="AM100" s="339"/>
      <c r="AO100">
        <f ca="1">IF($A100="S",IF(BM!$I100=0,0,CHOOSE(MATCH(RegimeExecucao,{"Global","Unitário"},0),ROUND(ROUND(BM.MEDAcumulado,15-13*BM!$A$9)/100*BM!$I100,15-13*ORÇAMENTO!$AF$11),ROUND(ROUND(BM.MEDAcumulado,15-13*BM!$A$9)*ROUND(BM!$H100,15-13*ORÇAMENTO!$AF$10),15-13*ORÇAMENTO!$AF$11))),IF($A100=0,0,ROUND(SomaAgrupBM,15-13*ORÇAMENTO!$AF$11)))</f>
        <v>0</v>
      </c>
    </row>
    <row r="101" spans="1:41" ht="38.25" x14ac:dyDescent="0.2">
      <c r="A101" t="str">
        <f ca="1">ORÇAMENTO!C101</f>
        <v>S</v>
      </c>
      <c r="B101">
        <f ca="1">ORÇAMENTO!D101</f>
        <v>0</v>
      </c>
      <c r="C101" s="115" t="str">
        <f t="shared" ca="1" si="8"/>
        <v/>
      </c>
      <c r="D101" s="118" t="str">
        <f ca="1">ORÇAMENTO!O101</f>
        <v>-</v>
      </c>
      <c r="E101" s="164" t="str">
        <f t="shared" si="9"/>
        <v>CABO DE COBRE FLEXÍVEL ISOLADO, 10 MM², ANTI-CHAMA 0,6/1,0 KV, PARA CIRCUITOS TERMINAIS - FORNECIMENTO E INSTALAÇÃO. AF_03/2023</v>
      </c>
      <c r="F101" s="165" t="str">
        <f ca="1">IF(RegimeExecucao="Global","",ORÇAMENTO.Unidade)</f>
        <v>M</v>
      </c>
      <c r="G101" s="123">
        <f ca="1">IF(RegimeExecucao="Global","",ORÇAMENTO!T101)</f>
        <v>480</v>
      </c>
      <c r="H101" s="123">
        <f ca="1">IF(RegimeExecucao="Global","",ORÇAMENTO!W101)</f>
        <v>0</v>
      </c>
      <c r="I101" s="126">
        <f ca="1">ORÇAMENTO!X101</f>
        <v>0</v>
      </c>
      <c r="J101" s="334" t="e" cm="1">
        <f t="array" aca="1" ref="J101" ca="1">_xlfn.SINGLE(IF($A101="S",IF(CAIXA.Modo,BM.AFAnterior,BM.MEDAnterior),IF(AND(_xlfn.SINGLE(RegimeExecucao)="Global",$I101&gt;0,COUNTIF($AB$13:$AM$13,BM.medicao-1)&gt;0),M101/$I101*100,0)))</f>
        <v>#NAME?</v>
      </c>
      <c r="K101" s="123" t="e">
        <f t="shared" ca="1" si="10"/>
        <v>#NAME?</v>
      </c>
      <c r="L101" s="335" t="e" cm="1">
        <f t="array" aca="1" ref="L101" ca="1">_xlfn.SINGLE(IF($A101="S",IF(CAIXA.Modo,BM.AFAcumulado,BM.MEDAcumulado),IF(AND(_xlfn.SINGLE(RegimeExecucao)="Global",$I101&gt;0,COUNTIF($AB$13:$AM$13,BM.medicao)&gt;0),O101/$I101*100,0)))</f>
        <v>#NAME?</v>
      </c>
      <c r="M101" s="336">
        <f ca="1">IF($A101="S",VTOTALBM,IF($A101=0,0,ROUND(SomaAgrupBM,15-13*ORÇAMENTO!$AF$11)))</f>
        <v>0</v>
      </c>
      <c r="N101" s="337">
        <f t="shared" ca="1" si="11"/>
        <v>0</v>
      </c>
      <c r="O101" s="126">
        <f ca="1">IF($A101="S",VTOTALBM,IF($A101=0,0,ROUND(SomaAgrupBM,15-13*ORÇAMENTO!$AF$11)))</f>
        <v>0</v>
      </c>
      <c r="Q101" s="338"/>
      <c r="R101" s="339"/>
      <c r="T101" s="118" t="str">
        <f t="shared" ca="1" si="12"/>
        <v/>
      </c>
      <c r="U101" s="164" t="str">
        <f t="shared" ca="1" si="13"/>
        <v/>
      </c>
      <c r="V101" s="165" t="str">
        <f ca="1">IF(AND($W101&gt;0,RegimeExecucao="Unitário"),$F101,"")</f>
        <v/>
      </c>
      <c r="W101" s="455">
        <f ca="1">IF($Y101&gt;0,CHOOSE(MATCH(RegimeExecucao,{"Unitário","Global"},0),IF($A101="S",$Y101/$X101,""),($Y101/$X101)*100),0)</f>
        <v>0</v>
      </c>
      <c r="X101" s="340" t="str">
        <f ca="1">IF($Y101&gt;0,CHOOSE(MATCH(RegimeExecucao,{"Unitário","Global"},0),IF($A101="S",ROUND($H101,ORÇAMENTO!$AF$10),""),ROUND($I101,ORÇAMENTO!$AF$11)),"")</f>
        <v/>
      </c>
      <c r="Y101" s="340">
        <f t="shared" ca="1" si="14"/>
        <v>0</v>
      </c>
      <c r="Z101" s="474"/>
      <c r="AB101" s="338"/>
      <c r="AC101" s="438"/>
      <c r="AD101" s="438"/>
      <c r="AE101" s="438"/>
      <c r="AF101" s="438"/>
      <c r="AG101" s="438"/>
      <c r="AH101" s="438"/>
      <c r="AI101" s="438"/>
      <c r="AJ101" s="438"/>
      <c r="AK101" s="438"/>
      <c r="AL101" s="438"/>
      <c r="AM101" s="339"/>
      <c r="AO101">
        <f ca="1">IF($A101="S",IF(BM!$I101=0,0,CHOOSE(MATCH(RegimeExecucao,{"Global","Unitário"},0),ROUND(ROUND(BM.MEDAcumulado,15-13*BM!$A$9)/100*BM!$I101,15-13*ORÇAMENTO!$AF$11),ROUND(ROUND(BM.MEDAcumulado,15-13*BM!$A$9)*ROUND(BM!$H101,15-13*ORÇAMENTO!$AF$10),15-13*ORÇAMENTO!$AF$11))),IF($A101=0,0,ROUND(SomaAgrupBM,15-13*ORÇAMENTO!$AF$11)))</f>
        <v>0</v>
      </c>
    </row>
    <row r="102" spans="1:41" ht="38.25" x14ac:dyDescent="0.2">
      <c r="A102" t="str">
        <f ca="1">ORÇAMENTO!C102</f>
        <v>S</v>
      </c>
      <c r="B102">
        <f ca="1">ORÇAMENTO!D102</f>
        <v>0</v>
      </c>
      <c r="C102" s="115" t="str">
        <f t="shared" ca="1" si="8"/>
        <v/>
      </c>
      <c r="D102" s="118" t="str">
        <f ca="1">ORÇAMENTO!O102</f>
        <v>-</v>
      </c>
      <c r="E102" s="164" t="str">
        <f t="shared" si="9"/>
        <v>CABO DE COBRE FLEXÍVEL ISOLADO, 16 MM², ANTI-CHAMA 0,6/1,0 KV, PARA CIRCUITOS TERMINAIS - FORNECIMENTO E INSTALAÇÃO. AF_03/2023</v>
      </c>
      <c r="F102" s="165" t="str">
        <f ca="1">IF(RegimeExecucao="Global","",ORÇAMENTO.Unidade)</f>
        <v>M</v>
      </c>
      <c r="G102" s="123">
        <f ca="1">IF(RegimeExecucao="Global","",ORÇAMENTO!T102)</f>
        <v>155</v>
      </c>
      <c r="H102" s="123">
        <f ca="1">IF(RegimeExecucao="Global","",ORÇAMENTO!W102)</f>
        <v>0</v>
      </c>
      <c r="I102" s="126">
        <f ca="1">ORÇAMENTO!X102</f>
        <v>0</v>
      </c>
      <c r="J102" s="334" t="e" cm="1">
        <f t="array" aca="1" ref="J102" ca="1">_xlfn.SINGLE(IF($A102="S",IF(CAIXA.Modo,BM.AFAnterior,BM.MEDAnterior),IF(AND(_xlfn.SINGLE(RegimeExecucao)="Global",$I102&gt;0,COUNTIF($AB$13:$AM$13,BM.medicao-1)&gt;0),M102/$I102*100,0)))</f>
        <v>#NAME?</v>
      </c>
      <c r="K102" s="123" t="e">
        <f t="shared" ca="1" si="10"/>
        <v>#NAME?</v>
      </c>
      <c r="L102" s="335" t="e" cm="1">
        <f t="array" aca="1" ref="L102" ca="1">_xlfn.SINGLE(IF($A102="S",IF(CAIXA.Modo,BM.AFAcumulado,BM.MEDAcumulado),IF(AND(_xlfn.SINGLE(RegimeExecucao)="Global",$I102&gt;0,COUNTIF($AB$13:$AM$13,BM.medicao)&gt;0),O102/$I102*100,0)))</f>
        <v>#NAME?</v>
      </c>
      <c r="M102" s="336">
        <f ca="1">IF($A102="S",VTOTALBM,IF($A102=0,0,ROUND(SomaAgrupBM,15-13*ORÇAMENTO!$AF$11)))</f>
        <v>0</v>
      </c>
      <c r="N102" s="337">
        <f t="shared" ca="1" si="11"/>
        <v>0</v>
      </c>
      <c r="O102" s="126">
        <f ca="1">IF($A102="S",VTOTALBM,IF($A102=0,0,ROUND(SomaAgrupBM,15-13*ORÇAMENTO!$AF$11)))</f>
        <v>0</v>
      </c>
      <c r="Q102" s="338"/>
      <c r="R102" s="339"/>
      <c r="T102" s="118" t="str">
        <f t="shared" ca="1" si="12"/>
        <v/>
      </c>
      <c r="U102" s="164" t="str">
        <f t="shared" ca="1" si="13"/>
        <v/>
      </c>
      <c r="V102" s="165" t="str">
        <f ca="1">IF(AND($W102&gt;0,RegimeExecucao="Unitário"),$F102,"")</f>
        <v/>
      </c>
      <c r="W102" s="455">
        <f ca="1">IF($Y102&gt;0,CHOOSE(MATCH(RegimeExecucao,{"Unitário","Global"},0),IF($A102="S",$Y102/$X102,""),($Y102/$X102)*100),0)</f>
        <v>0</v>
      </c>
      <c r="X102" s="340" t="str">
        <f ca="1">IF($Y102&gt;0,CHOOSE(MATCH(RegimeExecucao,{"Unitário","Global"},0),IF($A102="S",ROUND($H102,ORÇAMENTO!$AF$10),""),ROUND($I102,ORÇAMENTO!$AF$11)),"")</f>
        <v/>
      </c>
      <c r="Y102" s="340">
        <f t="shared" ca="1" si="14"/>
        <v>0</v>
      </c>
      <c r="Z102" s="474"/>
      <c r="AB102" s="338"/>
      <c r="AC102" s="438"/>
      <c r="AD102" s="438"/>
      <c r="AE102" s="438"/>
      <c r="AF102" s="438"/>
      <c r="AG102" s="438"/>
      <c r="AH102" s="438"/>
      <c r="AI102" s="438"/>
      <c r="AJ102" s="438"/>
      <c r="AK102" s="438"/>
      <c r="AL102" s="438"/>
      <c r="AM102" s="339"/>
      <c r="AO102">
        <f ca="1">IF($A102="S",IF(BM!$I102=0,0,CHOOSE(MATCH(RegimeExecucao,{"Global","Unitário"},0),ROUND(ROUND(BM.MEDAcumulado,15-13*BM!$A$9)/100*BM!$I102,15-13*ORÇAMENTO!$AF$11),ROUND(ROUND(BM.MEDAcumulado,15-13*BM!$A$9)*ROUND(BM!$H102,15-13*ORÇAMENTO!$AF$10),15-13*ORÇAMENTO!$AF$11))),IF($A102=0,0,ROUND(SomaAgrupBM,15-13*ORÇAMENTO!$AF$11)))</f>
        <v>0</v>
      </c>
    </row>
    <row r="103" spans="1:41" ht="38.25" x14ac:dyDescent="0.2">
      <c r="A103" t="str">
        <f ca="1">ORÇAMENTO!C103</f>
        <v>S</v>
      </c>
      <c r="B103">
        <f ca="1">ORÇAMENTO!D103</f>
        <v>0</v>
      </c>
      <c r="C103" s="115" t="str">
        <f t="shared" ca="1" si="8"/>
        <v/>
      </c>
      <c r="D103" s="118" t="str">
        <f ca="1">ORÇAMENTO!O103</f>
        <v>-</v>
      </c>
      <c r="E103" s="164" t="str">
        <f t="shared" si="9"/>
        <v>CABO DE COBRE FLEXÍVEL ISOLADO, 35 MM², ANTI-CHAMA 0,6/1,0 KV, PARA REDE ENTERRADA DE DISTRIBUIÇÃO DE ENERGIA ELÉTRICA - FORNECIMENTO E INSTALAÇÃO. AF_12/2021</v>
      </c>
      <c r="F103" s="165" t="str">
        <f ca="1">IF(RegimeExecucao="Global","",ORÇAMENTO.Unidade)</f>
        <v>M</v>
      </c>
      <c r="G103" s="123">
        <f ca="1">IF(RegimeExecucao="Global","",ORÇAMENTO!T103)</f>
        <v>65</v>
      </c>
      <c r="H103" s="123">
        <f ca="1">IF(RegimeExecucao="Global","",ORÇAMENTO!W103)</f>
        <v>0</v>
      </c>
      <c r="I103" s="126">
        <f ca="1">ORÇAMENTO!X103</f>
        <v>0</v>
      </c>
      <c r="J103" s="334" t="e" cm="1">
        <f t="array" aca="1" ref="J103" ca="1">_xlfn.SINGLE(IF($A103="S",IF(CAIXA.Modo,BM.AFAnterior,BM.MEDAnterior),IF(AND(_xlfn.SINGLE(RegimeExecucao)="Global",$I103&gt;0,COUNTIF($AB$13:$AM$13,BM.medicao-1)&gt;0),M103/$I103*100,0)))</f>
        <v>#NAME?</v>
      </c>
      <c r="K103" s="123" t="e">
        <f t="shared" ca="1" si="10"/>
        <v>#NAME?</v>
      </c>
      <c r="L103" s="335" t="e" cm="1">
        <f t="array" aca="1" ref="L103" ca="1">_xlfn.SINGLE(IF($A103="S",IF(CAIXA.Modo,BM.AFAcumulado,BM.MEDAcumulado),IF(AND(_xlfn.SINGLE(RegimeExecucao)="Global",$I103&gt;0,COUNTIF($AB$13:$AM$13,BM.medicao)&gt;0),O103/$I103*100,0)))</f>
        <v>#NAME?</v>
      </c>
      <c r="M103" s="336">
        <f ca="1">IF($A103="S",VTOTALBM,IF($A103=0,0,ROUND(SomaAgrupBM,15-13*ORÇAMENTO!$AF$11)))</f>
        <v>0</v>
      </c>
      <c r="N103" s="337">
        <f t="shared" ca="1" si="11"/>
        <v>0</v>
      </c>
      <c r="O103" s="126">
        <f ca="1">IF($A103="S",VTOTALBM,IF($A103=0,0,ROUND(SomaAgrupBM,15-13*ORÇAMENTO!$AF$11)))</f>
        <v>0</v>
      </c>
      <c r="Q103" s="338"/>
      <c r="R103" s="339"/>
      <c r="T103" s="118" t="str">
        <f t="shared" ca="1" si="12"/>
        <v/>
      </c>
      <c r="U103" s="164" t="str">
        <f t="shared" ca="1" si="13"/>
        <v/>
      </c>
      <c r="V103" s="165" t="str">
        <f ca="1">IF(AND($W103&gt;0,RegimeExecucao="Unitário"),$F103,"")</f>
        <v/>
      </c>
      <c r="W103" s="455">
        <f ca="1">IF($Y103&gt;0,CHOOSE(MATCH(RegimeExecucao,{"Unitário","Global"},0),IF($A103="S",$Y103/$X103,""),($Y103/$X103)*100),0)</f>
        <v>0</v>
      </c>
      <c r="X103" s="340" t="str">
        <f ca="1">IF($Y103&gt;0,CHOOSE(MATCH(RegimeExecucao,{"Unitário","Global"},0),IF($A103="S",ROUND($H103,ORÇAMENTO!$AF$10),""),ROUND($I103,ORÇAMENTO!$AF$11)),"")</f>
        <v/>
      </c>
      <c r="Y103" s="340">
        <f t="shared" ca="1" si="14"/>
        <v>0</v>
      </c>
      <c r="Z103" s="474"/>
      <c r="AB103" s="338"/>
      <c r="AC103" s="438"/>
      <c r="AD103" s="438"/>
      <c r="AE103" s="438"/>
      <c r="AF103" s="438"/>
      <c r="AG103" s="438"/>
      <c r="AH103" s="438"/>
      <c r="AI103" s="438"/>
      <c r="AJ103" s="438"/>
      <c r="AK103" s="438"/>
      <c r="AL103" s="438"/>
      <c r="AM103" s="339"/>
      <c r="AO103">
        <f ca="1">IF($A103="S",IF(BM!$I103=0,0,CHOOSE(MATCH(RegimeExecucao,{"Global","Unitário"},0),ROUND(ROUND(BM.MEDAcumulado,15-13*BM!$A$9)/100*BM!$I103,15-13*ORÇAMENTO!$AF$11),ROUND(ROUND(BM.MEDAcumulado,15-13*BM!$A$9)*ROUND(BM!$H103,15-13*ORÇAMENTO!$AF$10),15-13*ORÇAMENTO!$AF$11))),IF($A103=0,0,ROUND(SomaAgrupBM,15-13*ORÇAMENTO!$AF$11)))</f>
        <v>0</v>
      </c>
    </row>
    <row r="104" spans="1:41" ht="38.25" x14ac:dyDescent="0.2">
      <c r="A104" t="str">
        <f ca="1">ORÇAMENTO!C104</f>
        <v>S</v>
      </c>
      <c r="B104">
        <f ca="1">ORÇAMENTO!D104</f>
        <v>0</v>
      </c>
      <c r="C104" s="115" t="str">
        <f t="shared" ca="1" si="8"/>
        <v/>
      </c>
      <c r="D104" s="118" t="str">
        <f ca="1">ORÇAMENTO!O104</f>
        <v>-</v>
      </c>
      <c r="E104" s="164" t="str">
        <f t="shared" si="9"/>
        <v>CABO DE COBRE FLEXÍVEL ISOLADO, 4 MM², ANTI-CHAMA 0,6/1,0 KV, PARA CIRCUITOS TERMINAIS - FORNECIMENTO E INSTALAÇÃO. AF_03/2023</v>
      </c>
      <c r="F104" s="165" t="str">
        <f ca="1">IF(RegimeExecucao="Global","",ORÇAMENTO.Unidade)</f>
        <v>M</v>
      </c>
      <c r="G104" s="123">
        <f ca="1">IF(RegimeExecucao="Global","",ORÇAMENTO!T104)</f>
        <v>312</v>
      </c>
      <c r="H104" s="123">
        <f ca="1">IF(RegimeExecucao="Global","",ORÇAMENTO!W104)</f>
        <v>0</v>
      </c>
      <c r="I104" s="126">
        <f ca="1">ORÇAMENTO!X104</f>
        <v>0</v>
      </c>
      <c r="J104" s="334" t="e" cm="1">
        <f t="array" aca="1" ref="J104" ca="1">_xlfn.SINGLE(IF($A104="S",IF(CAIXA.Modo,BM.AFAnterior,BM.MEDAnterior),IF(AND(_xlfn.SINGLE(RegimeExecucao)="Global",$I104&gt;0,COUNTIF($AB$13:$AM$13,BM.medicao-1)&gt;0),M104/$I104*100,0)))</f>
        <v>#NAME?</v>
      </c>
      <c r="K104" s="123" t="e">
        <f t="shared" ca="1" si="10"/>
        <v>#NAME?</v>
      </c>
      <c r="L104" s="335" t="e" cm="1">
        <f t="array" aca="1" ref="L104" ca="1">_xlfn.SINGLE(IF($A104="S",IF(CAIXA.Modo,BM.AFAcumulado,BM.MEDAcumulado),IF(AND(_xlfn.SINGLE(RegimeExecucao)="Global",$I104&gt;0,COUNTIF($AB$13:$AM$13,BM.medicao)&gt;0),O104/$I104*100,0)))</f>
        <v>#NAME?</v>
      </c>
      <c r="M104" s="336">
        <f ca="1">IF($A104="S",VTOTALBM,IF($A104=0,0,ROUND(SomaAgrupBM,15-13*ORÇAMENTO!$AF$11)))</f>
        <v>0</v>
      </c>
      <c r="N104" s="337">
        <f t="shared" ca="1" si="11"/>
        <v>0</v>
      </c>
      <c r="O104" s="126">
        <f ca="1">IF($A104="S",VTOTALBM,IF($A104=0,0,ROUND(SomaAgrupBM,15-13*ORÇAMENTO!$AF$11)))</f>
        <v>0</v>
      </c>
      <c r="Q104" s="338"/>
      <c r="R104" s="339"/>
      <c r="T104" s="118" t="str">
        <f t="shared" ca="1" si="12"/>
        <v/>
      </c>
      <c r="U104" s="164" t="str">
        <f t="shared" ca="1" si="13"/>
        <v/>
      </c>
      <c r="V104" s="165" t="str">
        <f ca="1">IF(AND($W104&gt;0,RegimeExecucao="Unitário"),$F104,"")</f>
        <v/>
      </c>
      <c r="W104" s="455">
        <f ca="1">IF($Y104&gt;0,CHOOSE(MATCH(RegimeExecucao,{"Unitário","Global"},0),IF($A104="S",$Y104/$X104,""),($Y104/$X104)*100),0)</f>
        <v>0</v>
      </c>
      <c r="X104" s="340" t="str">
        <f ca="1">IF($Y104&gt;0,CHOOSE(MATCH(RegimeExecucao,{"Unitário","Global"},0),IF($A104="S",ROUND($H104,ORÇAMENTO!$AF$10),""),ROUND($I104,ORÇAMENTO!$AF$11)),"")</f>
        <v/>
      </c>
      <c r="Y104" s="340">
        <f t="shared" ca="1" si="14"/>
        <v>0</v>
      </c>
      <c r="Z104" s="474"/>
      <c r="AB104" s="338"/>
      <c r="AC104" s="438"/>
      <c r="AD104" s="438"/>
      <c r="AE104" s="438"/>
      <c r="AF104" s="438"/>
      <c r="AG104" s="438"/>
      <c r="AH104" s="438"/>
      <c r="AI104" s="438"/>
      <c r="AJ104" s="438"/>
      <c r="AK104" s="438"/>
      <c r="AL104" s="438"/>
      <c r="AM104" s="339"/>
      <c r="AO104">
        <f ca="1">IF($A104="S",IF(BM!$I104=0,0,CHOOSE(MATCH(RegimeExecucao,{"Global","Unitário"},0),ROUND(ROUND(BM.MEDAcumulado,15-13*BM!$A$9)/100*BM!$I104,15-13*ORÇAMENTO!$AF$11),ROUND(ROUND(BM.MEDAcumulado,15-13*BM!$A$9)*ROUND(BM!$H104,15-13*ORÇAMENTO!$AF$10),15-13*ORÇAMENTO!$AF$11))),IF($A104=0,0,ROUND(SomaAgrupBM,15-13*ORÇAMENTO!$AF$11)))</f>
        <v>0</v>
      </c>
    </row>
    <row r="105" spans="1:41" ht="38.25" x14ac:dyDescent="0.2">
      <c r="A105" t="str">
        <f ca="1">ORÇAMENTO!C105</f>
        <v>S</v>
      </c>
      <c r="B105">
        <f ca="1">ORÇAMENTO!D105</f>
        <v>0</v>
      </c>
      <c r="C105" s="115" t="str">
        <f t="shared" ca="1" si="8"/>
        <v/>
      </c>
      <c r="D105" s="118" t="str">
        <f ca="1">ORÇAMENTO!O105</f>
        <v>-</v>
      </c>
      <c r="E105" s="164" t="str">
        <f t="shared" si="9"/>
        <v>CABO DE COBRE FLEXÍVEL ISOLADO, 70 MM², ANTI-CHAMA 0,6/1,0 KV, PARA REDE ENTERRADA DE DISTRIBUIÇÃO DE ENERGIA ELÉTRICA - FORNECIMENTO E INSTALAÇÃO. AF_12/2021</v>
      </c>
      <c r="F105" s="165" t="str">
        <f ca="1">IF(RegimeExecucao="Global","",ORÇAMENTO.Unidade)</f>
        <v>M</v>
      </c>
      <c r="G105" s="123">
        <f ca="1">IF(RegimeExecucao="Global","",ORÇAMENTO!T105)</f>
        <v>175</v>
      </c>
      <c r="H105" s="123">
        <f ca="1">IF(RegimeExecucao="Global","",ORÇAMENTO!W105)</f>
        <v>0</v>
      </c>
      <c r="I105" s="126">
        <f ca="1">ORÇAMENTO!X105</f>
        <v>0</v>
      </c>
      <c r="J105" s="334" t="e" cm="1">
        <f t="array" aca="1" ref="J105" ca="1">_xlfn.SINGLE(IF($A105="S",IF(CAIXA.Modo,BM.AFAnterior,BM.MEDAnterior),IF(AND(_xlfn.SINGLE(RegimeExecucao)="Global",$I105&gt;0,COUNTIF($AB$13:$AM$13,BM.medicao-1)&gt;0),M105/$I105*100,0)))</f>
        <v>#NAME?</v>
      </c>
      <c r="K105" s="123" t="e">
        <f t="shared" ca="1" si="10"/>
        <v>#NAME?</v>
      </c>
      <c r="L105" s="335" t="e" cm="1">
        <f t="array" aca="1" ref="L105" ca="1">_xlfn.SINGLE(IF($A105="S",IF(CAIXA.Modo,BM.AFAcumulado,BM.MEDAcumulado),IF(AND(_xlfn.SINGLE(RegimeExecucao)="Global",$I105&gt;0,COUNTIF($AB$13:$AM$13,BM.medicao)&gt;0),O105/$I105*100,0)))</f>
        <v>#NAME?</v>
      </c>
      <c r="M105" s="336">
        <f ca="1">IF($A105="S",VTOTALBM,IF($A105=0,0,ROUND(SomaAgrupBM,15-13*ORÇAMENTO!$AF$11)))</f>
        <v>0</v>
      </c>
      <c r="N105" s="337">
        <f t="shared" ca="1" si="11"/>
        <v>0</v>
      </c>
      <c r="O105" s="126">
        <f ca="1">IF($A105="S",VTOTALBM,IF($A105=0,0,ROUND(SomaAgrupBM,15-13*ORÇAMENTO!$AF$11)))</f>
        <v>0</v>
      </c>
      <c r="Q105" s="338"/>
      <c r="R105" s="339"/>
      <c r="T105" s="118" t="str">
        <f t="shared" ca="1" si="12"/>
        <v/>
      </c>
      <c r="U105" s="164" t="str">
        <f t="shared" ca="1" si="13"/>
        <v/>
      </c>
      <c r="V105" s="165" t="str">
        <f ca="1">IF(AND($W105&gt;0,RegimeExecucao="Unitário"),$F105,"")</f>
        <v/>
      </c>
      <c r="W105" s="455">
        <f ca="1">IF($Y105&gt;0,CHOOSE(MATCH(RegimeExecucao,{"Unitário","Global"},0),IF($A105="S",$Y105/$X105,""),($Y105/$X105)*100),0)</f>
        <v>0</v>
      </c>
      <c r="X105" s="340" t="str">
        <f ca="1">IF($Y105&gt;0,CHOOSE(MATCH(RegimeExecucao,{"Unitário","Global"},0),IF($A105="S",ROUND($H105,ORÇAMENTO!$AF$10),""),ROUND($I105,ORÇAMENTO!$AF$11)),"")</f>
        <v/>
      </c>
      <c r="Y105" s="340">
        <f t="shared" ca="1" si="14"/>
        <v>0</v>
      </c>
      <c r="Z105" s="474"/>
      <c r="AB105" s="338"/>
      <c r="AC105" s="438"/>
      <c r="AD105" s="438"/>
      <c r="AE105" s="438"/>
      <c r="AF105" s="438"/>
      <c r="AG105" s="438"/>
      <c r="AH105" s="438"/>
      <c r="AI105" s="438"/>
      <c r="AJ105" s="438"/>
      <c r="AK105" s="438"/>
      <c r="AL105" s="438"/>
      <c r="AM105" s="339"/>
      <c r="AO105">
        <f ca="1">IF($A105="S",IF(BM!$I105=0,0,CHOOSE(MATCH(RegimeExecucao,{"Global","Unitário"},0),ROUND(ROUND(BM.MEDAcumulado,15-13*BM!$A$9)/100*BM!$I105,15-13*ORÇAMENTO!$AF$11),ROUND(ROUND(BM.MEDAcumulado,15-13*BM!$A$9)*ROUND(BM!$H105,15-13*ORÇAMENTO!$AF$10),15-13*ORÇAMENTO!$AF$11))),IF($A105=0,0,ROUND(SomaAgrupBM,15-13*ORÇAMENTO!$AF$11)))</f>
        <v>0</v>
      </c>
    </row>
    <row r="106" spans="1:41" ht="38.25" x14ac:dyDescent="0.2">
      <c r="A106" t="str">
        <f ca="1">ORÇAMENTO!C106</f>
        <v>S</v>
      </c>
      <c r="B106">
        <f ca="1">ORÇAMENTO!D106</f>
        <v>0</v>
      </c>
      <c r="C106" s="115" t="str">
        <f t="shared" ca="1" si="8"/>
        <v/>
      </c>
      <c r="D106" s="118" t="str">
        <f ca="1">ORÇAMENTO!O106</f>
        <v>-</v>
      </c>
      <c r="E106" s="164" t="str">
        <f t="shared" si="9"/>
        <v>CABO DE COBRE FLEXÍVEL ISOLADO, 1,5 MM², ANTI-CHAMA 450/750 V, PARA CIRCUITOS TERMINAIS - FORNECIMENTO E INSTALAÇÃO. AF_03/2023</v>
      </c>
      <c r="F106" s="165" t="str">
        <f ca="1">IF(RegimeExecucao="Global","",ORÇAMENTO.Unidade)</f>
        <v>M</v>
      </c>
      <c r="G106" s="123">
        <f ca="1">IF(RegimeExecucao="Global","",ORÇAMENTO!T106)</f>
        <v>430</v>
      </c>
      <c r="H106" s="123">
        <f ca="1">IF(RegimeExecucao="Global","",ORÇAMENTO!W106)</f>
        <v>0</v>
      </c>
      <c r="I106" s="126">
        <f ca="1">ORÇAMENTO!X106</f>
        <v>0</v>
      </c>
      <c r="J106" s="334" t="e" cm="1">
        <f t="array" aca="1" ref="J106" ca="1">_xlfn.SINGLE(IF($A106="S",IF(CAIXA.Modo,BM.AFAnterior,BM.MEDAnterior),IF(AND(_xlfn.SINGLE(RegimeExecucao)="Global",$I106&gt;0,COUNTIF($AB$13:$AM$13,BM.medicao-1)&gt;0),M106/$I106*100,0)))</f>
        <v>#NAME?</v>
      </c>
      <c r="K106" s="123" t="e">
        <f t="shared" ca="1" si="10"/>
        <v>#NAME?</v>
      </c>
      <c r="L106" s="335" t="e" cm="1">
        <f t="array" aca="1" ref="L106" ca="1">_xlfn.SINGLE(IF($A106="S",IF(CAIXA.Modo,BM.AFAcumulado,BM.MEDAcumulado),IF(AND(_xlfn.SINGLE(RegimeExecucao)="Global",$I106&gt;0,COUNTIF($AB$13:$AM$13,BM.medicao)&gt;0),O106/$I106*100,0)))</f>
        <v>#NAME?</v>
      </c>
      <c r="M106" s="336">
        <f ca="1">IF($A106="S",VTOTALBM,IF($A106=0,0,ROUND(SomaAgrupBM,15-13*ORÇAMENTO!$AF$11)))</f>
        <v>0</v>
      </c>
      <c r="N106" s="337">
        <f t="shared" ca="1" si="11"/>
        <v>0</v>
      </c>
      <c r="O106" s="126">
        <f ca="1">IF($A106="S",VTOTALBM,IF($A106=0,0,ROUND(SomaAgrupBM,15-13*ORÇAMENTO!$AF$11)))</f>
        <v>0</v>
      </c>
      <c r="Q106" s="338"/>
      <c r="R106" s="339"/>
      <c r="T106" s="118" t="str">
        <f t="shared" ca="1" si="12"/>
        <v/>
      </c>
      <c r="U106" s="164" t="str">
        <f t="shared" ca="1" si="13"/>
        <v/>
      </c>
      <c r="V106" s="165" t="str">
        <f ca="1">IF(AND($W106&gt;0,RegimeExecucao="Unitário"),$F106,"")</f>
        <v/>
      </c>
      <c r="W106" s="455">
        <f ca="1">IF($Y106&gt;0,CHOOSE(MATCH(RegimeExecucao,{"Unitário","Global"},0),IF($A106="S",$Y106/$X106,""),($Y106/$X106)*100),0)</f>
        <v>0</v>
      </c>
      <c r="X106" s="340" t="str">
        <f ca="1">IF($Y106&gt;0,CHOOSE(MATCH(RegimeExecucao,{"Unitário","Global"},0),IF($A106="S",ROUND($H106,ORÇAMENTO!$AF$10),""),ROUND($I106,ORÇAMENTO!$AF$11)),"")</f>
        <v/>
      </c>
      <c r="Y106" s="340">
        <f t="shared" ca="1" si="14"/>
        <v>0</v>
      </c>
      <c r="Z106" s="474"/>
      <c r="AB106" s="338"/>
      <c r="AC106" s="438"/>
      <c r="AD106" s="438"/>
      <c r="AE106" s="438"/>
      <c r="AF106" s="438"/>
      <c r="AG106" s="438"/>
      <c r="AH106" s="438"/>
      <c r="AI106" s="438"/>
      <c r="AJ106" s="438"/>
      <c r="AK106" s="438"/>
      <c r="AL106" s="438"/>
      <c r="AM106" s="339"/>
      <c r="AO106">
        <f ca="1">IF($A106="S",IF(BM!$I106=0,0,CHOOSE(MATCH(RegimeExecucao,{"Global","Unitário"},0),ROUND(ROUND(BM.MEDAcumulado,15-13*BM!$A$9)/100*BM!$I106,15-13*ORÇAMENTO!$AF$11),ROUND(ROUND(BM.MEDAcumulado,15-13*BM!$A$9)*ROUND(BM!$H106,15-13*ORÇAMENTO!$AF$10),15-13*ORÇAMENTO!$AF$11))),IF($A106=0,0,ROUND(SomaAgrupBM,15-13*ORÇAMENTO!$AF$11)))</f>
        <v>0</v>
      </c>
    </row>
    <row r="107" spans="1:41" ht="38.25" x14ac:dyDescent="0.2">
      <c r="A107" t="str">
        <f ca="1">ORÇAMENTO!C107</f>
        <v>S</v>
      </c>
      <c r="B107">
        <f ca="1">ORÇAMENTO!D107</f>
        <v>0</v>
      </c>
      <c r="C107" s="115" t="str">
        <f t="shared" ca="1" si="8"/>
        <v/>
      </c>
      <c r="D107" s="118" t="str">
        <f ca="1">ORÇAMENTO!O107</f>
        <v>-</v>
      </c>
      <c r="E107" s="164" t="str">
        <f t="shared" si="9"/>
        <v>CABO DE COBRE FLEXÍVEL ISOLADO, 10 MM², ANTI-CHAMA 450/750 V, PARA CIRCUITOS TERMINAIS - FORNECIMENTO E INSTALAÇÃO. AF_03/2023</v>
      </c>
      <c r="F107" s="165" t="str">
        <f ca="1">IF(RegimeExecucao="Global","",ORÇAMENTO.Unidade)</f>
        <v>M</v>
      </c>
      <c r="G107" s="123">
        <f ca="1">IF(RegimeExecucao="Global","",ORÇAMENTO!T107)</f>
        <v>595</v>
      </c>
      <c r="H107" s="123">
        <f ca="1">IF(RegimeExecucao="Global","",ORÇAMENTO!W107)</f>
        <v>0</v>
      </c>
      <c r="I107" s="126">
        <f ca="1">ORÇAMENTO!X107</f>
        <v>0</v>
      </c>
      <c r="J107" s="334" t="e" cm="1">
        <f t="array" aca="1" ref="J107" ca="1">_xlfn.SINGLE(IF($A107="S",IF(CAIXA.Modo,BM.AFAnterior,BM.MEDAnterior),IF(AND(_xlfn.SINGLE(RegimeExecucao)="Global",$I107&gt;0,COUNTIF($AB$13:$AM$13,BM.medicao-1)&gt;0),M107/$I107*100,0)))</f>
        <v>#NAME?</v>
      </c>
      <c r="K107" s="123" t="e">
        <f t="shared" ca="1" si="10"/>
        <v>#NAME?</v>
      </c>
      <c r="L107" s="335" t="e" cm="1">
        <f t="array" aca="1" ref="L107" ca="1">_xlfn.SINGLE(IF($A107="S",IF(CAIXA.Modo,BM.AFAcumulado,BM.MEDAcumulado),IF(AND(_xlfn.SINGLE(RegimeExecucao)="Global",$I107&gt;0,COUNTIF($AB$13:$AM$13,BM.medicao)&gt;0),O107/$I107*100,0)))</f>
        <v>#NAME?</v>
      </c>
      <c r="M107" s="336">
        <f ca="1">IF($A107="S",VTOTALBM,IF($A107=0,0,ROUND(SomaAgrupBM,15-13*ORÇAMENTO!$AF$11)))</f>
        <v>0</v>
      </c>
      <c r="N107" s="337">
        <f t="shared" ca="1" si="11"/>
        <v>0</v>
      </c>
      <c r="O107" s="126">
        <f ca="1">IF($A107="S",VTOTALBM,IF($A107=0,0,ROUND(SomaAgrupBM,15-13*ORÇAMENTO!$AF$11)))</f>
        <v>0</v>
      </c>
      <c r="Q107" s="338"/>
      <c r="R107" s="339"/>
      <c r="T107" s="118" t="str">
        <f t="shared" ca="1" si="12"/>
        <v/>
      </c>
      <c r="U107" s="164" t="str">
        <f t="shared" ca="1" si="13"/>
        <v/>
      </c>
      <c r="V107" s="165" t="str">
        <f ca="1">IF(AND($W107&gt;0,RegimeExecucao="Unitário"),$F107,"")</f>
        <v/>
      </c>
      <c r="W107" s="455">
        <f ca="1">IF($Y107&gt;0,CHOOSE(MATCH(RegimeExecucao,{"Unitário","Global"},0),IF($A107="S",$Y107/$X107,""),($Y107/$X107)*100),0)</f>
        <v>0</v>
      </c>
      <c r="X107" s="340" t="str">
        <f ca="1">IF($Y107&gt;0,CHOOSE(MATCH(RegimeExecucao,{"Unitário","Global"},0),IF($A107="S",ROUND($H107,ORÇAMENTO!$AF$10),""),ROUND($I107,ORÇAMENTO!$AF$11)),"")</f>
        <v/>
      </c>
      <c r="Y107" s="340">
        <f t="shared" ca="1" si="14"/>
        <v>0</v>
      </c>
      <c r="Z107" s="474"/>
      <c r="AB107" s="338"/>
      <c r="AC107" s="438"/>
      <c r="AD107" s="438"/>
      <c r="AE107" s="438"/>
      <c r="AF107" s="438"/>
      <c r="AG107" s="438"/>
      <c r="AH107" s="438"/>
      <c r="AI107" s="438"/>
      <c r="AJ107" s="438"/>
      <c r="AK107" s="438"/>
      <c r="AL107" s="438"/>
      <c r="AM107" s="339"/>
      <c r="AO107">
        <f ca="1">IF($A107="S",IF(BM!$I107=0,0,CHOOSE(MATCH(RegimeExecucao,{"Global","Unitário"},0),ROUND(ROUND(BM.MEDAcumulado,15-13*BM!$A$9)/100*BM!$I107,15-13*ORÇAMENTO!$AF$11),ROUND(ROUND(BM.MEDAcumulado,15-13*BM!$A$9)*ROUND(BM!$H107,15-13*ORÇAMENTO!$AF$10),15-13*ORÇAMENTO!$AF$11))),IF($A107=0,0,ROUND(SomaAgrupBM,15-13*ORÇAMENTO!$AF$11)))</f>
        <v>0</v>
      </c>
    </row>
    <row r="108" spans="1:41" ht="38.25" x14ac:dyDescent="0.2">
      <c r="A108" t="str">
        <f ca="1">ORÇAMENTO!C108</f>
        <v>S</v>
      </c>
      <c r="B108">
        <f ca="1">ORÇAMENTO!D108</f>
        <v>0</v>
      </c>
      <c r="C108" s="115" t="str">
        <f t="shared" ca="1" si="8"/>
        <v/>
      </c>
      <c r="D108" s="118" t="str">
        <f ca="1">ORÇAMENTO!O108</f>
        <v>-</v>
      </c>
      <c r="E108" s="164" t="str">
        <f t="shared" si="9"/>
        <v>CABO DE COBRE FLEXÍVEL ISOLADO, 2,5 MM², ANTI-CHAMA 450/750 V, PARA CIRCUITOS TERMINAIS - FORNECIMENTO E INSTALAÇÃO. AF_03/2023</v>
      </c>
      <c r="F108" s="165" t="str">
        <f ca="1">IF(RegimeExecucao="Global","",ORÇAMENTO.Unidade)</f>
        <v>M</v>
      </c>
      <c r="G108" s="123">
        <f ca="1">IF(RegimeExecucao="Global","",ORÇAMENTO!T108)</f>
        <v>3576.4</v>
      </c>
      <c r="H108" s="123">
        <f ca="1">IF(RegimeExecucao="Global","",ORÇAMENTO!W108)</f>
        <v>0</v>
      </c>
      <c r="I108" s="126">
        <f ca="1">ORÇAMENTO!X108</f>
        <v>0</v>
      </c>
      <c r="J108" s="334" t="e" cm="1">
        <f t="array" aca="1" ref="J108" ca="1">_xlfn.SINGLE(IF($A108="S",IF(CAIXA.Modo,BM.AFAnterior,BM.MEDAnterior),IF(AND(_xlfn.SINGLE(RegimeExecucao)="Global",$I108&gt;0,COUNTIF($AB$13:$AM$13,BM.medicao-1)&gt;0),M108/$I108*100,0)))</f>
        <v>#NAME?</v>
      </c>
      <c r="K108" s="123" t="e">
        <f t="shared" ca="1" si="10"/>
        <v>#NAME?</v>
      </c>
      <c r="L108" s="335" t="e" cm="1">
        <f t="array" aca="1" ref="L108" ca="1">_xlfn.SINGLE(IF($A108="S",IF(CAIXA.Modo,BM.AFAcumulado,BM.MEDAcumulado),IF(AND(_xlfn.SINGLE(RegimeExecucao)="Global",$I108&gt;0,COUNTIF($AB$13:$AM$13,BM.medicao)&gt;0),O108/$I108*100,0)))</f>
        <v>#NAME?</v>
      </c>
      <c r="M108" s="336">
        <f ca="1">IF($A108="S",VTOTALBM,IF($A108=0,0,ROUND(SomaAgrupBM,15-13*ORÇAMENTO!$AF$11)))</f>
        <v>0</v>
      </c>
      <c r="N108" s="337">
        <f t="shared" ca="1" si="11"/>
        <v>0</v>
      </c>
      <c r="O108" s="126">
        <f ca="1">IF($A108="S",VTOTALBM,IF($A108=0,0,ROUND(SomaAgrupBM,15-13*ORÇAMENTO!$AF$11)))</f>
        <v>0</v>
      </c>
      <c r="Q108" s="338"/>
      <c r="R108" s="339"/>
      <c r="T108" s="118" t="str">
        <f t="shared" ca="1" si="12"/>
        <v/>
      </c>
      <c r="U108" s="164" t="str">
        <f t="shared" ca="1" si="13"/>
        <v/>
      </c>
      <c r="V108" s="165" t="str">
        <f ca="1">IF(AND($W108&gt;0,RegimeExecucao="Unitário"),$F108,"")</f>
        <v/>
      </c>
      <c r="W108" s="455">
        <f ca="1">IF($Y108&gt;0,CHOOSE(MATCH(RegimeExecucao,{"Unitário","Global"},0),IF($A108="S",$Y108/$X108,""),($Y108/$X108)*100),0)</f>
        <v>0</v>
      </c>
      <c r="X108" s="340" t="str">
        <f ca="1">IF($Y108&gt;0,CHOOSE(MATCH(RegimeExecucao,{"Unitário","Global"},0),IF($A108="S",ROUND($H108,ORÇAMENTO!$AF$10),""),ROUND($I108,ORÇAMENTO!$AF$11)),"")</f>
        <v/>
      </c>
      <c r="Y108" s="340">
        <f t="shared" ca="1" si="14"/>
        <v>0</v>
      </c>
      <c r="Z108" s="474"/>
      <c r="AB108" s="338"/>
      <c r="AC108" s="438"/>
      <c r="AD108" s="438"/>
      <c r="AE108" s="438"/>
      <c r="AF108" s="438"/>
      <c r="AG108" s="438"/>
      <c r="AH108" s="438"/>
      <c r="AI108" s="438"/>
      <c r="AJ108" s="438"/>
      <c r="AK108" s="438"/>
      <c r="AL108" s="438"/>
      <c r="AM108" s="339"/>
      <c r="AO108">
        <f ca="1">IF($A108="S",IF(BM!$I108=0,0,CHOOSE(MATCH(RegimeExecucao,{"Global","Unitário"},0),ROUND(ROUND(BM.MEDAcumulado,15-13*BM!$A$9)/100*BM!$I108,15-13*ORÇAMENTO!$AF$11),ROUND(ROUND(BM.MEDAcumulado,15-13*BM!$A$9)*ROUND(BM!$H108,15-13*ORÇAMENTO!$AF$10),15-13*ORÇAMENTO!$AF$11))),IF($A108=0,0,ROUND(SomaAgrupBM,15-13*ORÇAMENTO!$AF$11)))</f>
        <v>0</v>
      </c>
    </row>
    <row r="109" spans="1:41" ht="38.25" x14ac:dyDescent="0.2">
      <c r="A109" t="str">
        <f ca="1">ORÇAMENTO!C109</f>
        <v>S</v>
      </c>
      <c r="B109">
        <f ca="1">ORÇAMENTO!D109</f>
        <v>0</v>
      </c>
      <c r="C109" s="115" t="str">
        <f t="shared" ca="1" si="8"/>
        <v/>
      </c>
      <c r="D109" s="118" t="str">
        <f ca="1">ORÇAMENTO!O109</f>
        <v>-</v>
      </c>
      <c r="E109" s="164" t="str">
        <f t="shared" si="9"/>
        <v>CABO DE COBRE FLEXÍVEL ISOLADO, 4 MM², ANTI-CHAMA 450/750 V, PARA CIRCUITOS TERMINAIS - FORNECIMENTO E INSTALAÇÃO. AF_03/2023</v>
      </c>
      <c r="F109" s="165" t="str">
        <f ca="1">IF(RegimeExecucao="Global","",ORÇAMENTO.Unidade)</f>
        <v>M</v>
      </c>
      <c r="G109" s="123">
        <f ca="1">IF(RegimeExecucao="Global","",ORÇAMENTO!T109)</f>
        <v>1900</v>
      </c>
      <c r="H109" s="123">
        <f ca="1">IF(RegimeExecucao="Global","",ORÇAMENTO!W109)</f>
        <v>0</v>
      </c>
      <c r="I109" s="126">
        <f ca="1">ORÇAMENTO!X109</f>
        <v>0</v>
      </c>
      <c r="J109" s="334" t="e" cm="1">
        <f t="array" aca="1" ref="J109" ca="1">_xlfn.SINGLE(IF($A109="S",IF(CAIXA.Modo,BM.AFAnterior,BM.MEDAnterior),IF(AND(_xlfn.SINGLE(RegimeExecucao)="Global",$I109&gt;0,COUNTIF($AB$13:$AM$13,BM.medicao-1)&gt;0),M109/$I109*100,0)))</f>
        <v>#NAME?</v>
      </c>
      <c r="K109" s="123" t="e">
        <f t="shared" ca="1" si="10"/>
        <v>#NAME?</v>
      </c>
      <c r="L109" s="335" t="e" cm="1">
        <f t="array" aca="1" ref="L109" ca="1">_xlfn.SINGLE(IF($A109="S",IF(CAIXA.Modo,BM.AFAcumulado,BM.MEDAcumulado),IF(AND(_xlfn.SINGLE(RegimeExecucao)="Global",$I109&gt;0,COUNTIF($AB$13:$AM$13,BM.medicao)&gt;0),O109/$I109*100,0)))</f>
        <v>#NAME?</v>
      </c>
      <c r="M109" s="336">
        <f ca="1">IF($A109="S",VTOTALBM,IF($A109=0,0,ROUND(SomaAgrupBM,15-13*ORÇAMENTO!$AF$11)))</f>
        <v>0</v>
      </c>
      <c r="N109" s="337">
        <f t="shared" ca="1" si="11"/>
        <v>0</v>
      </c>
      <c r="O109" s="126">
        <f ca="1">IF($A109="S",VTOTALBM,IF($A109=0,0,ROUND(SomaAgrupBM,15-13*ORÇAMENTO!$AF$11)))</f>
        <v>0</v>
      </c>
      <c r="Q109" s="338"/>
      <c r="R109" s="339"/>
      <c r="T109" s="118" t="str">
        <f t="shared" ca="1" si="12"/>
        <v/>
      </c>
      <c r="U109" s="164" t="str">
        <f t="shared" ca="1" si="13"/>
        <v/>
      </c>
      <c r="V109" s="165" t="str">
        <f ca="1">IF(AND($W109&gt;0,RegimeExecucao="Unitário"),$F109,"")</f>
        <v/>
      </c>
      <c r="W109" s="455">
        <f ca="1">IF($Y109&gt;0,CHOOSE(MATCH(RegimeExecucao,{"Unitário","Global"},0),IF($A109="S",$Y109/$X109,""),($Y109/$X109)*100),0)</f>
        <v>0</v>
      </c>
      <c r="X109" s="340" t="str">
        <f ca="1">IF($Y109&gt;0,CHOOSE(MATCH(RegimeExecucao,{"Unitário","Global"},0),IF($A109="S",ROUND($H109,ORÇAMENTO!$AF$10),""),ROUND($I109,ORÇAMENTO!$AF$11)),"")</f>
        <v/>
      </c>
      <c r="Y109" s="340">
        <f t="shared" ca="1" si="14"/>
        <v>0</v>
      </c>
      <c r="Z109" s="474"/>
      <c r="AB109" s="338"/>
      <c r="AC109" s="438"/>
      <c r="AD109" s="438"/>
      <c r="AE109" s="438"/>
      <c r="AF109" s="438"/>
      <c r="AG109" s="438"/>
      <c r="AH109" s="438"/>
      <c r="AI109" s="438"/>
      <c r="AJ109" s="438"/>
      <c r="AK109" s="438"/>
      <c r="AL109" s="438"/>
      <c r="AM109" s="339"/>
      <c r="AO109">
        <f ca="1">IF($A109="S",IF(BM!$I109=0,0,CHOOSE(MATCH(RegimeExecucao,{"Global","Unitário"},0),ROUND(ROUND(BM.MEDAcumulado,15-13*BM!$A$9)/100*BM!$I109,15-13*ORÇAMENTO!$AF$11),ROUND(ROUND(BM.MEDAcumulado,15-13*BM!$A$9)*ROUND(BM!$H109,15-13*ORÇAMENTO!$AF$10),15-13*ORÇAMENTO!$AF$11))),IF($A109=0,0,ROUND(SomaAgrupBM,15-13*ORÇAMENTO!$AF$11)))</f>
        <v>0</v>
      </c>
    </row>
    <row r="110" spans="1:41" ht="38.25" x14ac:dyDescent="0.2">
      <c r="A110" t="str">
        <f ca="1">ORÇAMENTO!C110</f>
        <v>S</v>
      </c>
      <c r="B110">
        <f ca="1">ORÇAMENTO!D110</f>
        <v>0</v>
      </c>
      <c r="C110" s="115" t="str">
        <f t="shared" ca="1" si="8"/>
        <v/>
      </c>
      <c r="D110" s="118" t="str">
        <f ca="1">ORÇAMENTO!O110</f>
        <v>-</v>
      </c>
      <c r="E110" s="164" t="str">
        <f t="shared" si="9"/>
        <v>CABO DE COBRE FLEXÍVEL ISOLADO, 6 MM², ANTI-CHAMA 450/750 V, PARA CIRCUITOS TERMINAIS - FORNECIMENTO E INSTALAÇÃO. AF_03/2023</v>
      </c>
      <c r="F110" s="165" t="str">
        <f ca="1">IF(RegimeExecucao="Global","",ORÇAMENTO.Unidade)</f>
        <v>M</v>
      </c>
      <c r="G110" s="123">
        <f ca="1">IF(RegimeExecucao="Global","",ORÇAMENTO!T110)</f>
        <v>90</v>
      </c>
      <c r="H110" s="123">
        <f ca="1">IF(RegimeExecucao="Global","",ORÇAMENTO!W110)</f>
        <v>0</v>
      </c>
      <c r="I110" s="126">
        <f ca="1">ORÇAMENTO!X110</f>
        <v>0</v>
      </c>
      <c r="J110" s="334" t="e" cm="1">
        <f t="array" aca="1" ref="J110" ca="1">_xlfn.SINGLE(IF($A110="S",IF(CAIXA.Modo,BM.AFAnterior,BM.MEDAnterior),IF(AND(_xlfn.SINGLE(RegimeExecucao)="Global",$I110&gt;0,COUNTIF($AB$13:$AM$13,BM.medicao-1)&gt;0),M110/$I110*100,0)))</f>
        <v>#NAME?</v>
      </c>
      <c r="K110" s="123" t="e">
        <f t="shared" ca="1" si="10"/>
        <v>#NAME?</v>
      </c>
      <c r="L110" s="335" t="e" cm="1">
        <f t="array" aca="1" ref="L110" ca="1">_xlfn.SINGLE(IF($A110="S",IF(CAIXA.Modo,BM.AFAcumulado,BM.MEDAcumulado),IF(AND(_xlfn.SINGLE(RegimeExecucao)="Global",$I110&gt;0,COUNTIF($AB$13:$AM$13,BM.medicao)&gt;0),O110/$I110*100,0)))</f>
        <v>#NAME?</v>
      </c>
      <c r="M110" s="336">
        <f ca="1">IF($A110="S",VTOTALBM,IF($A110=0,0,ROUND(SomaAgrupBM,15-13*ORÇAMENTO!$AF$11)))</f>
        <v>0</v>
      </c>
      <c r="N110" s="337">
        <f t="shared" ca="1" si="11"/>
        <v>0</v>
      </c>
      <c r="O110" s="126">
        <f ca="1">IF($A110="S",VTOTALBM,IF($A110=0,0,ROUND(SomaAgrupBM,15-13*ORÇAMENTO!$AF$11)))</f>
        <v>0</v>
      </c>
      <c r="Q110" s="338"/>
      <c r="R110" s="339"/>
      <c r="T110" s="118" t="str">
        <f t="shared" ca="1" si="12"/>
        <v/>
      </c>
      <c r="U110" s="164" t="str">
        <f t="shared" ca="1" si="13"/>
        <v/>
      </c>
      <c r="V110" s="165" t="str">
        <f ca="1">IF(AND($W110&gt;0,RegimeExecucao="Unitário"),$F110,"")</f>
        <v/>
      </c>
      <c r="W110" s="455">
        <f ca="1">IF($Y110&gt;0,CHOOSE(MATCH(RegimeExecucao,{"Unitário","Global"},0),IF($A110="S",$Y110/$X110,""),($Y110/$X110)*100),0)</f>
        <v>0</v>
      </c>
      <c r="X110" s="340" t="str">
        <f ca="1">IF($Y110&gt;0,CHOOSE(MATCH(RegimeExecucao,{"Unitário","Global"},0),IF($A110="S",ROUND($H110,ORÇAMENTO!$AF$10),""),ROUND($I110,ORÇAMENTO!$AF$11)),"")</f>
        <v/>
      </c>
      <c r="Y110" s="340">
        <f t="shared" ca="1" si="14"/>
        <v>0</v>
      </c>
      <c r="Z110" s="474"/>
      <c r="AB110" s="338"/>
      <c r="AC110" s="438"/>
      <c r="AD110" s="438"/>
      <c r="AE110" s="438"/>
      <c r="AF110" s="438"/>
      <c r="AG110" s="438"/>
      <c r="AH110" s="438"/>
      <c r="AI110" s="438"/>
      <c r="AJ110" s="438"/>
      <c r="AK110" s="438"/>
      <c r="AL110" s="438"/>
      <c r="AM110" s="339"/>
      <c r="AO110">
        <f ca="1">IF($A110="S",IF(BM!$I110=0,0,CHOOSE(MATCH(RegimeExecucao,{"Global","Unitário"},0),ROUND(ROUND(BM.MEDAcumulado,15-13*BM!$A$9)/100*BM!$I110,15-13*ORÇAMENTO!$AF$11),ROUND(ROUND(BM.MEDAcumulado,15-13*BM!$A$9)*ROUND(BM!$H110,15-13*ORÇAMENTO!$AF$10),15-13*ORÇAMENTO!$AF$11))),IF($A110=0,0,ROUND(SomaAgrupBM,15-13*ORÇAMENTO!$AF$11)))</f>
        <v>0</v>
      </c>
    </row>
    <row r="111" spans="1:41" ht="25.5" x14ac:dyDescent="0.2">
      <c r="A111" t="str">
        <f ca="1">ORÇAMENTO!C111</f>
        <v>S</v>
      </c>
      <c r="B111">
        <f ca="1">ORÇAMENTO!D111</f>
        <v>0</v>
      </c>
      <c r="C111" s="115" t="str">
        <f t="shared" ca="1" si="8"/>
        <v/>
      </c>
      <c r="D111" s="118" t="str">
        <f ca="1">ORÇAMENTO!O111</f>
        <v>-</v>
      </c>
      <c r="E111" s="164" t="str">
        <f t="shared" si="9"/>
        <v>CABO DE ALUMÍNIO FLEXÍVEL ISOLADO, 70 MM², ANTI-CHAMA 0,6/1,0 KV- FORNECIMENTO E INSTALAÇÃO</v>
      </c>
      <c r="F111" s="165" t="str">
        <f ca="1">IF(RegimeExecucao="Global","",ORÇAMENTO.Unidade)</f>
        <v>M</v>
      </c>
      <c r="G111" s="123">
        <f ca="1">IF(RegimeExecucao="Global","",ORÇAMENTO!T111)</f>
        <v>90</v>
      </c>
      <c r="H111" s="123">
        <f ca="1">IF(RegimeExecucao="Global","",ORÇAMENTO!W111)</f>
        <v>0</v>
      </c>
      <c r="I111" s="126">
        <f ca="1">ORÇAMENTO!X111</f>
        <v>0</v>
      </c>
      <c r="J111" s="334" t="e" cm="1">
        <f t="array" aca="1" ref="J111" ca="1">_xlfn.SINGLE(IF($A111="S",IF(CAIXA.Modo,BM.AFAnterior,BM.MEDAnterior),IF(AND(_xlfn.SINGLE(RegimeExecucao)="Global",$I111&gt;0,COUNTIF($AB$13:$AM$13,BM.medicao-1)&gt;0),M111/$I111*100,0)))</f>
        <v>#NAME?</v>
      </c>
      <c r="K111" s="123" t="e">
        <f t="shared" ca="1" si="10"/>
        <v>#NAME?</v>
      </c>
      <c r="L111" s="335" t="e" cm="1">
        <f t="array" aca="1" ref="L111" ca="1">_xlfn.SINGLE(IF($A111="S",IF(CAIXA.Modo,BM.AFAcumulado,BM.MEDAcumulado),IF(AND(_xlfn.SINGLE(RegimeExecucao)="Global",$I111&gt;0,COUNTIF($AB$13:$AM$13,BM.medicao)&gt;0),O111/$I111*100,0)))</f>
        <v>#NAME?</v>
      </c>
      <c r="M111" s="336">
        <f ca="1">IF($A111="S",VTOTALBM,IF($A111=0,0,ROUND(SomaAgrupBM,15-13*ORÇAMENTO!$AF$11)))</f>
        <v>0</v>
      </c>
      <c r="N111" s="337">
        <f t="shared" ca="1" si="11"/>
        <v>0</v>
      </c>
      <c r="O111" s="126">
        <f ca="1">IF($A111="S",VTOTALBM,IF($A111=0,0,ROUND(SomaAgrupBM,15-13*ORÇAMENTO!$AF$11)))</f>
        <v>0</v>
      </c>
      <c r="Q111" s="338"/>
      <c r="R111" s="339"/>
      <c r="T111" s="118" t="str">
        <f t="shared" ca="1" si="12"/>
        <v/>
      </c>
      <c r="U111" s="164" t="str">
        <f t="shared" ca="1" si="13"/>
        <v/>
      </c>
      <c r="V111" s="165" t="str">
        <f ca="1">IF(AND($W111&gt;0,RegimeExecucao="Unitário"),$F111,"")</f>
        <v/>
      </c>
      <c r="W111" s="455">
        <f ca="1">IF($Y111&gt;0,CHOOSE(MATCH(RegimeExecucao,{"Unitário","Global"},0),IF($A111="S",$Y111/$X111,""),($Y111/$X111)*100),0)</f>
        <v>0</v>
      </c>
      <c r="X111" s="340" t="str">
        <f ca="1">IF($Y111&gt;0,CHOOSE(MATCH(RegimeExecucao,{"Unitário","Global"},0),IF($A111="S",ROUND($H111,ORÇAMENTO!$AF$10),""),ROUND($I111,ORÇAMENTO!$AF$11)),"")</f>
        <v/>
      </c>
      <c r="Y111" s="340">
        <f t="shared" ca="1" si="14"/>
        <v>0</v>
      </c>
      <c r="Z111" s="474"/>
      <c r="AB111" s="338"/>
      <c r="AC111" s="438"/>
      <c r="AD111" s="438"/>
      <c r="AE111" s="438"/>
      <c r="AF111" s="438"/>
      <c r="AG111" s="438"/>
      <c r="AH111" s="438"/>
      <c r="AI111" s="438"/>
      <c r="AJ111" s="438"/>
      <c r="AK111" s="438"/>
      <c r="AL111" s="438"/>
      <c r="AM111" s="339"/>
      <c r="AO111">
        <f ca="1">IF($A111="S",IF(BM!$I111=0,0,CHOOSE(MATCH(RegimeExecucao,{"Global","Unitário"},0),ROUND(ROUND(BM.MEDAcumulado,15-13*BM!$A$9)/100*BM!$I111,15-13*ORÇAMENTO!$AF$11),ROUND(ROUND(BM.MEDAcumulado,15-13*BM!$A$9)*ROUND(BM!$H111,15-13*ORÇAMENTO!$AF$10),15-13*ORÇAMENTO!$AF$11))),IF($A111=0,0,ROUND(SomaAgrupBM,15-13*ORÇAMENTO!$AF$11)))</f>
        <v>0</v>
      </c>
    </row>
    <row r="112" spans="1:41" ht="25.5" x14ac:dyDescent="0.2">
      <c r="A112" t="str">
        <f ca="1">ORÇAMENTO!C112</f>
        <v>S</v>
      </c>
      <c r="B112">
        <f ca="1">ORÇAMENTO!D112</f>
        <v>0</v>
      </c>
      <c r="C112" s="115" t="str">
        <f t="shared" ca="1" si="8"/>
        <v/>
      </c>
      <c r="D112" s="118" t="str">
        <f ca="1">ORÇAMENTO!O112</f>
        <v>-</v>
      </c>
      <c r="E112" s="164" t="str">
        <f t="shared" si="9"/>
        <v xml:space="preserve">FITA ISOLANTE ADESIVA ANTICHAMA, USO ATE 750 V, EM ROLO DE 19 MM X 20 M                                                                                                                                                                                   </v>
      </c>
      <c r="F112" s="165" t="str">
        <f ca="1">IF(RegimeExecucao="Global","",ORÇAMENTO.Unidade)</f>
        <v xml:space="preserve">UN    </v>
      </c>
      <c r="G112" s="123">
        <f ca="1">IF(RegimeExecucao="Global","",ORÇAMENTO!T112)</f>
        <v>20</v>
      </c>
      <c r="H112" s="123">
        <f ca="1">IF(RegimeExecucao="Global","",ORÇAMENTO!W112)</f>
        <v>0</v>
      </c>
      <c r="I112" s="126">
        <f ca="1">ORÇAMENTO!X112</f>
        <v>0</v>
      </c>
      <c r="J112" s="334" t="e" cm="1">
        <f t="array" aca="1" ref="J112" ca="1">_xlfn.SINGLE(IF($A112="S",IF(CAIXA.Modo,BM.AFAnterior,BM.MEDAnterior),IF(AND(_xlfn.SINGLE(RegimeExecucao)="Global",$I112&gt;0,COUNTIF($AB$13:$AM$13,BM.medicao-1)&gt;0),M112/$I112*100,0)))</f>
        <v>#NAME?</v>
      </c>
      <c r="K112" s="123" t="e">
        <f t="shared" ca="1" si="10"/>
        <v>#NAME?</v>
      </c>
      <c r="L112" s="335" t="e" cm="1">
        <f t="array" aca="1" ref="L112" ca="1">_xlfn.SINGLE(IF($A112="S",IF(CAIXA.Modo,BM.AFAcumulado,BM.MEDAcumulado),IF(AND(_xlfn.SINGLE(RegimeExecucao)="Global",$I112&gt;0,COUNTIF($AB$13:$AM$13,BM.medicao)&gt;0),O112/$I112*100,0)))</f>
        <v>#NAME?</v>
      </c>
      <c r="M112" s="336">
        <f ca="1">IF($A112="S",VTOTALBM,IF($A112=0,0,ROUND(SomaAgrupBM,15-13*ORÇAMENTO!$AF$11)))</f>
        <v>0</v>
      </c>
      <c r="N112" s="337">
        <f t="shared" ca="1" si="11"/>
        <v>0</v>
      </c>
      <c r="O112" s="126">
        <f ca="1">IF($A112="S",VTOTALBM,IF($A112=0,0,ROUND(SomaAgrupBM,15-13*ORÇAMENTO!$AF$11)))</f>
        <v>0</v>
      </c>
      <c r="Q112" s="338"/>
      <c r="R112" s="339"/>
      <c r="T112" s="118" t="str">
        <f t="shared" ca="1" si="12"/>
        <v/>
      </c>
      <c r="U112" s="164" t="str">
        <f t="shared" ca="1" si="13"/>
        <v/>
      </c>
      <c r="V112" s="165" t="str">
        <f ca="1">IF(AND($W112&gt;0,RegimeExecucao="Unitário"),$F112,"")</f>
        <v/>
      </c>
      <c r="W112" s="455">
        <f ca="1">IF($Y112&gt;0,CHOOSE(MATCH(RegimeExecucao,{"Unitário","Global"},0),IF($A112="S",$Y112/$X112,""),($Y112/$X112)*100),0)</f>
        <v>0</v>
      </c>
      <c r="X112" s="340" t="str">
        <f ca="1">IF($Y112&gt;0,CHOOSE(MATCH(RegimeExecucao,{"Unitário","Global"},0),IF($A112="S",ROUND($H112,ORÇAMENTO!$AF$10),""),ROUND($I112,ORÇAMENTO!$AF$11)),"")</f>
        <v/>
      </c>
      <c r="Y112" s="340">
        <f t="shared" ca="1" si="14"/>
        <v>0</v>
      </c>
      <c r="Z112" s="474"/>
      <c r="AB112" s="338"/>
      <c r="AC112" s="438"/>
      <c r="AD112" s="438"/>
      <c r="AE112" s="438"/>
      <c r="AF112" s="438"/>
      <c r="AG112" s="438"/>
      <c r="AH112" s="438"/>
      <c r="AI112" s="438"/>
      <c r="AJ112" s="438"/>
      <c r="AK112" s="438"/>
      <c r="AL112" s="438"/>
      <c r="AM112" s="339"/>
      <c r="AO112">
        <f ca="1">IF($A112="S",IF(BM!$I112=0,0,CHOOSE(MATCH(RegimeExecucao,{"Global","Unitário"},0),ROUND(ROUND(BM.MEDAcumulado,15-13*BM!$A$9)/100*BM!$I112,15-13*ORÇAMENTO!$AF$11),ROUND(ROUND(BM.MEDAcumulado,15-13*BM!$A$9)*ROUND(BM!$H112,15-13*ORÇAMENTO!$AF$10),15-13*ORÇAMENTO!$AF$11))),IF($A112=0,0,ROUND(SomaAgrupBM,15-13*ORÇAMENTO!$AF$11)))</f>
        <v>0</v>
      </c>
    </row>
    <row r="113" spans="1:41" x14ac:dyDescent="0.2">
      <c r="A113" t="str">
        <f ca="1">ORÇAMENTO!C113</f>
        <v>S</v>
      </c>
      <c r="B113">
        <f ca="1">ORÇAMENTO!D113</f>
        <v>0</v>
      </c>
      <c r="C113" s="115" t="str">
        <f t="shared" ca="1" si="8"/>
        <v/>
      </c>
      <c r="D113" s="118" t="str">
        <f ca="1">ORÇAMENTO!O113</f>
        <v>-</v>
      </c>
      <c r="E113" s="164" t="str">
        <f t="shared" si="9"/>
        <v>AUXILIAR DE ELETRICISTA COM ENCARGOS COMPLEMENTARES</v>
      </c>
      <c r="F113" s="165" t="str">
        <f ca="1">IF(RegimeExecucao="Global","",ORÇAMENTO.Unidade)</f>
        <v>H</v>
      </c>
      <c r="G113" s="123">
        <f ca="1">IF(RegimeExecucao="Global","",ORÇAMENTO!T113)</f>
        <v>48</v>
      </c>
      <c r="H113" s="123">
        <f ca="1">IF(RegimeExecucao="Global","",ORÇAMENTO!W113)</f>
        <v>0</v>
      </c>
      <c r="I113" s="126">
        <f ca="1">ORÇAMENTO!X113</f>
        <v>0</v>
      </c>
      <c r="J113" s="334" t="e" cm="1">
        <f t="array" aca="1" ref="J113" ca="1">_xlfn.SINGLE(IF($A113="S",IF(CAIXA.Modo,BM.AFAnterior,BM.MEDAnterior),IF(AND(_xlfn.SINGLE(RegimeExecucao)="Global",$I113&gt;0,COUNTIF($AB$13:$AM$13,BM.medicao-1)&gt;0),M113/$I113*100,0)))</f>
        <v>#NAME?</v>
      </c>
      <c r="K113" s="123" t="e">
        <f t="shared" ca="1" si="10"/>
        <v>#NAME?</v>
      </c>
      <c r="L113" s="335" t="e" cm="1">
        <f t="array" aca="1" ref="L113" ca="1">_xlfn.SINGLE(IF($A113="S",IF(CAIXA.Modo,BM.AFAcumulado,BM.MEDAcumulado),IF(AND(_xlfn.SINGLE(RegimeExecucao)="Global",$I113&gt;0,COUNTIF($AB$13:$AM$13,BM.medicao)&gt;0),O113/$I113*100,0)))</f>
        <v>#NAME?</v>
      </c>
      <c r="M113" s="336">
        <f ca="1">IF($A113="S",VTOTALBM,IF($A113=0,0,ROUND(SomaAgrupBM,15-13*ORÇAMENTO!$AF$11)))</f>
        <v>0</v>
      </c>
      <c r="N113" s="337">
        <f t="shared" ca="1" si="11"/>
        <v>0</v>
      </c>
      <c r="O113" s="126">
        <f ca="1">IF($A113="S",VTOTALBM,IF($A113=0,0,ROUND(SomaAgrupBM,15-13*ORÇAMENTO!$AF$11)))</f>
        <v>0</v>
      </c>
      <c r="Q113" s="338"/>
      <c r="R113" s="339"/>
      <c r="T113" s="118" t="str">
        <f t="shared" ca="1" si="12"/>
        <v/>
      </c>
      <c r="U113" s="164" t="str">
        <f t="shared" ca="1" si="13"/>
        <v/>
      </c>
      <c r="V113" s="165" t="str">
        <f ca="1">IF(AND($W113&gt;0,RegimeExecucao="Unitário"),$F113,"")</f>
        <v/>
      </c>
      <c r="W113" s="455">
        <f ca="1">IF($Y113&gt;0,CHOOSE(MATCH(RegimeExecucao,{"Unitário","Global"},0),IF($A113="S",$Y113/$X113,""),($Y113/$X113)*100),0)</f>
        <v>0</v>
      </c>
      <c r="X113" s="340" t="str">
        <f ca="1">IF($Y113&gt;0,CHOOSE(MATCH(RegimeExecucao,{"Unitário","Global"},0),IF($A113="S",ROUND($H113,ORÇAMENTO!$AF$10),""),ROUND($I113,ORÇAMENTO!$AF$11)),"")</f>
        <v/>
      </c>
      <c r="Y113" s="340">
        <f t="shared" ca="1" si="14"/>
        <v>0</v>
      </c>
      <c r="Z113" s="474"/>
      <c r="AB113" s="338"/>
      <c r="AC113" s="438"/>
      <c r="AD113" s="438"/>
      <c r="AE113" s="438"/>
      <c r="AF113" s="438"/>
      <c r="AG113" s="438"/>
      <c r="AH113" s="438"/>
      <c r="AI113" s="438"/>
      <c r="AJ113" s="438"/>
      <c r="AK113" s="438"/>
      <c r="AL113" s="438"/>
      <c r="AM113" s="339"/>
      <c r="AO113">
        <f ca="1">IF($A113="S",IF(BM!$I113=0,0,CHOOSE(MATCH(RegimeExecucao,{"Global","Unitário"},0),ROUND(ROUND(BM.MEDAcumulado,15-13*BM!$A$9)/100*BM!$I113,15-13*ORÇAMENTO!$AF$11),ROUND(ROUND(BM.MEDAcumulado,15-13*BM!$A$9)*ROUND(BM!$H113,15-13*ORÇAMENTO!$AF$10),15-13*ORÇAMENTO!$AF$11))),IF($A113=0,0,ROUND(SomaAgrupBM,15-13*ORÇAMENTO!$AF$11)))</f>
        <v>0</v>
      </c>
    </row>
    <row r="114" spans="1:41" x14ac:dyDescent="0.2">
      <c r="A114" t="str">
        <f ca="1">ORÇAMENTO!C114</f>
        <v>S</v>
      </c>
      <c r="B114">
        <f ca="1">ORÇAMENTO!D114</f>
        <v>0</v>
      </c>
      <c r="C114" s="115" t="str">
        <f t="shared" ca="1" si="8"/>
        <v/>
      </c>
      <c r="D114" s="118" t="str">
        <f ca="1">ORÇAMENTO!O114</f>
        <v>-</v>
      </c>
      <c r="E114" s="164" t="str">
        <f t="shared" si="9"/>
        <v>ELETRICISTA COM ENCARGOS COMPLEMENTARES</v>
      </c>
      <c r="F114" s="165" t="str">
        <f ca="1">IF(RegimeExecucao="Global","",ORÇAMENTO.Unidade)</f>
        <v>H</v>
      </c>
      <c r="G114" s="123">
        <f ca="1">IF(RegimeExecucao="Global","",ORÇAMENTO!T114)</f>
        <v>48</v>
      </c>
      <c r="H114" s="123">
        <f ca="1">IF(RegimeExecucao="Global","",ORÇAMENTO!W114)</f>
        <v>0</v>
      </c>
      <c r="I114" s="126">
        <f ca="1">ORÇAMENTO!X114</f>
        <v>0</v>
      </c>
      <c r="J114" s="334" t="e" cm="1">
        <f t="array" aca="1" ref="J114" ca="1">_xlfn.SINGLE(IF($A114="S",IF(CAIXA.Modo,BM.AFAnterior,BM.MEDAnterior),IF(AND(_xlfn.SINGLE(RegimeExecucao)="Global",$I114&gt;0,COUNTIF($AB$13:$AM$13,BM.medicao-1)&gt;0),M114/$I114*100,0)))</f>
        <v>#NAME?</v>
      </c>
      <c r="K114" s="123" t="e">
        <f t="shared" ca="1" si="10"/>
        <v>#NAME?</v>
      </c>
      <c r="L114" s="335" t="e" cm="1">
        <f t="array" aca="1" ref="L114" ca="1">_xlfn.SINGLE(IF($A114="S",IF(CAIXA.Modo,BM.AFAcumulado,BM.MEDAcumulado),IF(AND(_xlfn.SINGLE(RegimeExecucao)="Global",$I114&gt;0,COUNTIF($AB$13:$AM$13,BM.medicao)&gt;0),O114/$I114*100,0)))</f>
        <v>#NAME?</v>
      </c>
      <c r="M114" s="336">
        <f ca="1">IF($A114="S",VTOTALBM,IF($A114=0,0,ROUND(SomaAgrupBM,15-13*ORÇAMENTO!$AF$11)))</f>
        <v>0</v>
      </c>
      <c r="N114" s="337">
        <f t="shared" ca="1" si="11"/>
        <v>0</v>
      </c>
      <c r="O114" s="126">
        <f ca="1">IF($A114="S",VTOTALBM,IF($A114=0,0,ROUND(SomaAgrupBM,15-13*ORÇAMENTO!$AF$11)))</f>
        <v>0</v>
      </c>
      <c r="Q114" s="338"/>
      <c r="R114" s="339"/>
      <c r="T114" s="118" t="str">
        <f t="shared" ca="1" si="12"/>
        <v/>
      </c>
      <c r="U114" s="164" t="str">
        <f t="shared" ca="1" si="13"/>
        <v/>
      </c>
      <c r="V114" s="165" t="str">
        <f ca="1">IF(AND($W114&gt;0,RegimeExecucao="Unitário"),$F114,"")</f>
        <v/>
      </c>
      <c r="W114" s="455">
        <f ca="1">IF($Y114&gt;0,CHOOSE(MATCH(RegimeExecucao,{"Unitário","Global"},0),IF($A114="S",$Y114/$X114,""),($Y114/$X114)*100),0)</f>
        <v>0</v>
      </c>
      <c r="X114" s="340" t="str">
        <f ca="1">IF($Y114&gt;0,CHOOSE(MATCH(RegimeExecucao,{"Unitário","Global"},0),IF($A114="S",ROUND($H114,ORÇAMENTO!$AF$10),""),ROUND($I114,ORÇAMENTO!$AF$11)),"")</f>
        <v/>
      </c>
      <c r="Y114" s="340">
        <f t="shared" ca="1" si="14"/>
        <v>0</v>
      </c>
      <c r="Z114" s="474"/>
      <c r="AB114" s="338"/>
      <c r="AC114" s="438"/>
      <c r="AD114" s="438"/>
      <c r="AE114" s="438"/>
      <c r="AF114" s="438"/>
      <c r="AG114" s="438"/>
      <c r="AH114" s="438"/>
      <c r="AI114" s="438"/>
      <c r="AJ114" s="438"/>
      <c r="AK114" s="438"/>
      <c r="AL114" s="438"/>
      <c r="AM114" s="339"/>
      <c r="AO114">
        <f ca="1">IF($A114="S",IF(BM!$I114=0,0,CHOOSE(MATCH(RegimeExecucao,{"Global","Unitário"},0),ROUND(ROUND(BM.MEDAcumulado,15-13*BM!$A$9)/100*BM!$I114,15-13*ORÇAMENTO!$AF$11),ROUND(ROUND(BM.MEDAcumulado,15-13*BM!$A$9)*ROUND(BM!$H114,15-13*ORÇAMENTO!$AF$10),15-13*ORÇAMENTO!$AF$11))),IF($A114=0,0,ROUND(SomaAgrupBM,15-13*ORÇAMENTO!$AF$11)))</f>
        <v>0</v>
      </c>
    </row>
    <row r="115" spans="1:41" x14ac:dyDescent="0.2">
      <c r="A115">
        <f ca="1">ORÇAMENTO!C115</f>
        <v>2</v>
      </c>
      <c r="B115">
        <f ca="1">ORÇAMENTO!D115</f>
        <v>14</v>
      </c>
      <c r="C115" s="115" t="str">
        <f t="shared" ca="1" si="8"/>
        <v>F</v>
      </c>
      <c r="D115" s="118" t="str">
        <f ca="1">ORÇAMENTO!O115</f>
        <v>1.10.</v>
      </c>
      <c r="E115" s="164" t="str">
        <f t="shared" si="9"/>
        <v>VOZ E DADOS</v>
      </c>
      <c r="F115" s="165" t="str">
        <f ca="1">IF(RegimeExecucao="Global","",ORÇAMENTO.Unidade)</f>
        <v>-</v>
      </c>
      <c r="G115" s="123">
        <f ca="1">IF(RegimeExecucao="Global","",ORÇAMENTO!T115)</f>
        <v>0</v>
      </c>
      <c r="H115" s="123">
        <f ca="1">IF(RegimeExecucao="Global","",ORÇAMENTO!W115)</f>
        <v>0</v>
      </c>
      <c r="I115" s="126">
        <f ca="1">ORÇAMENTO!X115</f>
        <v>0</v>
      </c>
      <c r="J115" s="334" t="e" cm="1">
        <f t="array" aca="1" ref="J115" ca="1">_xlfn.SINGLE(IF($A115="S",IF(CAIXA.Modo,BM.AFAnterior,BM.MEDAnterior),IF(AND(_xlfn.SINGLE(RegimeExecucao)="Global",$I115&gt;0,COUNTIF($AB$13:$AM$13,BM.medicao-1)&gt;0),M115/$I115*100,0)))</f>
        <v>#NAME?</v>
      </c>
      <c r="K115" s="123" t="e">
        <f t="shared" ca="1" si="10"/>
        <v>#NAME?</v>
      </c>
      <c r="L115" s="335" t="e" cm="1">
        <f t="array" aca="1" ref="L115" ca="1">_xlfn.SINGLE(IF($A115="S",IF(CAIXA.Modo,BM.AFAcumulado,BM.MEDAcumulado),IF(AND(_xlfn.SINGLE(RegimeExecucao)="Global",$I115&gt;0,COUNTIF($AB$13:$AM$13,BM.medicao)&gt;0),O115/$I115*100,0)))</f>
        <v>#NAME?</v>
      </c>
      <c r="M115" s="336">
        <f ca="1">IF($A115="S",VTOTALBM,IF($A115=0,0,ROUND(SomaAgrupBM,15-13*ORÇAMENTO!$AF$11)))</f>
        <v>0</v>
      </c>
      <c r="N115" s="337">
        <f t="shared" ca="1" si="11"/>
        <v>0</v>
      </c>
      <c r="O115" s="126">
        <f ca="1">IF($A115="S",VTOTALBM,IF($A115=0,0,ROUND(SomaAgrupBM,15-13*ORÇAMENTO!$AF$11)))</f>
        <v>0</v>
      </c>
      <c r="Q115" s="338"/>
      <c r="R115" s="339"/>
      <c r="T115" s="118" t="str">
        <f t="shared" ca="1" si="12"/>
        <v/>
      </c>
      <c r="U115" s="164" t="str">
        <f t="shared" ca="1" si="13"/>
        <v/>
      </c>
      <c r="V115" s="165" t="str">
        <f ca="1">IF(AND($W115&gt;0,RegimeExecucao="Unitário"),$F115,"")</f>
        <v/>
      </c>
      <c r="W115" s="455">
        <f ca="1">IF($Y115&gt;0,CHOOSE(MATCH(RegimeExecucao,{"Unitário","Global"},0),IF($A115="S",$Y115/$X115,""),($Y115/$X115)*100),0)</f>
        <v>0</v>
      </c>
      <c r="X115" s="340" t="str">
        <f ca="1">IF($Y115&gt;0,CHOOSE(MATCH(RegimeExecucao,{"Unitário","Global"},0),IF($A115="S",ROUND($H115,ORÇAMENTO!$AF$10),""),ROUND($I115,ORÇAMENTO!$AF$11)),"")</f>
        <v/>
      </c>
      <c r="Y115" s="340">
        <f t="shared" ca="1" si="14"/>
        <v>0</v>
      </c>
      <c r="Z115" s="474"/>
      <c r="AB115" s="338"/>
      <c r="AC115" s="438"/>
      <c r="AD115" s="438"/>
      <c r="AE115" s="438"/>
      <c r="AF115" s="438"/>
      <c r="AG115" s="438"/>
      <c r="AH115" s="438"/>
      <c r="AI115" s="438"/>
      <c r="AJ115" s="438"/>
      <c r="AK115" s="438"/>
      <c r="AL115" s="438"/>
      <c r="AM115" s="339"/>
      <c r="AO115">
        <f ca="1">IF($A115="S",IF(BM!$I115=0,0,CHOOSE(MATCH(RegimeExecucao,{"Global","Unitário"},0),ROUND(ROUND(BM.MEDAcumulado,15-13*BM!$A$9)/100*BM!$I115,15-13*ORÇAMENTO!$AF$11),ROUND(ROUND(BM.MEDAcumulado,15-13*BM!$A$9)*ROUND(BM!$H115,15-13*ORÇAMENTO!$AF$10),15-13*ORÇAMENTO!$AF$11))),IF($A115=0,0,ROUND(SomaAgrupBM,15-13*ORÇAMENTO!$AF$11)))</f>
        <v>0</v>
      </c>
    </row>
    <row r="116" spans="1:41" ht="25.5" x14ac:dyDescent="0.2">
      <c r="A116" t="str">
        <f ca="1">ORÇAMENTO!C116</f>
        <v>S</v>
      </c>
      <c r="B116">
        <f ca="1">ORÇAMENTO!D116</f>
        <v>0</v>
      </c>
      <c r="C116" s="115" t="str">
        <f t="shared" ca="1" si="8"/>
        <v/>
      </c>
      <c r="D116" s="118" t="str">
        <f ca="1">ORÇAMENTO!O116</f>
        <v>-</v>
      </c>
      <c r="E116" s="164" t="str">
        <f t="shared" si="9"/>
        <v xml:space="preserve">CAIXA DE PASSAGEM ELETRICA DE PAREDE, DE SOBREPOR, EM PVC, COM TAMPA APARAFUSADA, DIMENSOES 300 X 300 X *100* MM                                                                                                                                          </v>
      </c>
      <c r="F116" s="165" t="str">
        <f ca="1">IF(RegimeExecucao="Global","",ORÇAMENTO.Unidade)</f>
        <v xml:space="preserve">UN    </v>
      </c>
      <c r="G116" s="123">
        <f ca="1">IF(RegimeExecucao="Global","",ORÇAMENTO!T116)</f>
        <v>2</v>
      </c>
      <c r="H116" s="123">
        <f ca="1">IF(RegimeExecucao="Global","",ORÇAMENTO!W116)</f>
        <v>0</v>
      </c>
      <c r="I116" s="126">
        <f ca="1">ORÇAMENTO!X116</f>
        <v>0</v>
      </c>
      <c r="J116" s="334" t="e" cm="1">
        <f t="array" aca="1" ref="J116" ca="1">_xlfn.SINGLE(IF($A116="S",IF(CAIXA.Modo,BM.AFAnterior,BM.MEDAnterior),IF(AND(_xlfn.SINGLE(RegimeExecucao)="Global",$I116&gt;0,COUNTIF($AB$13:$AM$13,BM.medicao-1)&gt;0),M116/$I116*100,0)))</f>
        <v>#NAME?</v>
      </c>
      <c r="K116" s="123" t="e">
        <f t="shared" ca="1" si="10"/>
        <v>#NAME?</v>
      </c>
      <c r="L116" s="335" t="e" cm="1">
        <f t="array" aca="1" ref="L116" ca="1">_xlfn.SINGLE(IF($A116="S",IF(CAIXA.Modo,BM.AFAcumulado,BM.MEDAcumulado),IF(AND(_xlfn.SINGLE(RegimeExecucao)="Global",$I116&gt;0,COUNTIF($AB$13:$AM$13,BM.medicao)&gt;0),O116/$I116*100,0)))</f>
        <v>#NAME?</v>
      </c>
      <c r="M116" s="336">
        <f ca="1">IF($A116="S",VTOTALBM,IF($A116=0,0,ROUND(SomaAgrupBM,15-13*ORÇAMENTO!$AF$11)))</f>
        <v>0</v>
      </c>
      <c r="N116" s="337">
        <f t="shared" ca="1" si="11"/>
        <v>0</v>
      </c>
      <c r="O116" s="126">
        <f ca="1">IF($A116="S",VTOTALBM,IF($A116=0,0,ROUND(SomaAgrupBM,15-13*ORÇAMENTO!$AF$11)))</f>
        <v>0</v>
      </c>
      <c r="Q116" s="338"/>
      <c r="R116" s="339"/>
      <c r="T116" s="118" t="str">
        <f t="shared" ca="1" si="12"/>
        <v/>
      </c>
      <c r="U116" s="164" t="str">
        <f t="shared" ca="1" si="13"/>
        <v/>
      </c>
      <c r="V116" s="165" t="str">
        <f ca="1">IF(AND($W116&gt;0,RegimeExecucao="Unitário"),$F116,"")</f>
        <v/>
      </c>
      <c r="W116" s="455">
        <f ca="1">IF($Y116&gt;0,CHOOSE(MATCH(RegimeExecucao,{"Unitário","Global"},0),IF($A116="S",$Y116/$X116,""),($Y116/$X116)*100),0)</f>
        <v>0</v>
      </c>
      <c r="X116" s="340" t="str">
        <f ca="1">IF($Y116&gt;0,CHOOSE(MATCH(RegimeExecucao,{"Unitário","Global"},0),IF($A116="S",ROUND($H116,ORÇAMENTO!$AF$10),""),ROUND($I116,ORÇAMENTO!$AF$11)),"")</f>
        <v/>
      </c>
      <c r="Y116" s="340">
        <f t="shared" ca="1" si="14"/>
        <v>0</v>
      </c>
      <c r="Z116" s="474"/>
      <c r="AB116" s="338"/>
      <c r="AC116" s="438"/>
      <c r="AD116" s="438"/>
      <c r="AE116" s="438"/>
      <c r="AF116" s="438"/>
      <c r="AG116" s="438"/>
      <c r="AH116" s="438"/>
      <c r="AI116" s="438"/>
      <c r="AJ116" s="438"/>
      <c r="AK116" s="438"/>
      <c r="AL116" s="438"/>
      <c r="AM116" s="339"/>
      <c r="AO116">
        <f ca="1">IF($A116="S",IF(BM!$I116=0,0,CHOOSE(MATCH(RegimeExecucao,{"Global","Unitário"},0),ROUND(ROUND(BM.MEDAcumulado,15-13*BM!$A$9)/100*BM!$I116,15-13*ORÇAMENTO!$AF$11),ROUND(ROUND(BM.MEDAcumulado,15-13*BM!$A$9)*ROUND(BM!$H116,15-13*ORÇAMENTO!$AF$10),15-13*ORÇAMENTO!$AF$11))),IF($A116=0,0,ROUND(SomaAgrupBM,15-13*ORÇAMENTO!$AF$11)))</f>
        <v>0</v>
      </c>
    </row>
    <row r="117" spans="1:41" ht="25.5" x14ac:dyDescent="0.2">
      <c r="A117" t="str">
        <f ca="1">ORÇAMENTO!C117</f>
        <v>S</v>
      </c>
      <c r="B117">
        <f ca="1">ORÇAMENTO!D117</f>
        <v>0</v>
      </c>
      <c r="C117" s="115" t="str">
        <f t="shared" ca="1" si="8"/>
        <v/>
      </c>
      <c r="D117" s="118" t="str">
        <f ca="1">ORÇAMENTO!O117</f>
        <v>-</v>
      </c>
      <c r="E117" s="164" t="str">
        <f t="shared" si="9"/>
        <v xml:space="preserve">CAIXA DE PASSAGEM ELETRICA DE PAREDE, DE SOBREPOR, EM PVC, COM TAMPA APARAFUSADA, DIMENSOES, 400 X 400 X *120* MM                                                                                                                                         </v>
      </c>
      <c r="F117" s="165" t="str">
        <f ca="1">IF(RegimeExecucao="Global","",ORÇAMENTO.Unidade)</f>
        <v xml:space="preserve">UN    </v>
      </c>
      <c r="G117" s="123">
        <f ca="1">IF(RegimeExecucao="Global","",ORÇAMENTO!T117)</f>
        <v>1</v>
      </c>
      <c r="H117" s="123">
        <f ca="1">IF(RegimeExecucao="Global","",ORÇAMENTO!W117)</f>
        <v>0</v>
      </c>
      <c r="I117" s="126">
        <f ca="1">ORÇAMENTO!X117</f>
        <v>0</v>
      </c>
      <c r="J117" s="334" t="e" cm="1">
        <f t="array" aca="1" ref="J117" ca="1">_xlfn.SINGLE(IF($A117="S",IF(CAIXA.Modo,BM.AFAnterior,BM.MEDAnterior),IF(AND(_xlfn.SINGLE(RegimeExecucao)="Global",$I117&gt;0,COUNTIF($AB$13:$AM$13,BM.medicao-1)&gt;0),M117/$I117*100,0)))</f>
        <v>#NAME?</v>
      </c>
      <c r="K117" s="123" t="e">
        <f t="shared" ca="1" si="10"/>
        <v>#NAME?</v>
      </c>
      <c r="L117" s="335" t="e" cm="1">
        <f t="array" aca="1" ref="L117" ca="1">_xlfn.SINGLE(IF($A117="S",IF(CAIXA.Modo,BM.AFAcumulado,BM.MEDAcumulado),IF(AND(_xlfn.SINGLE(RegimeExecucao)="Global",$I117&gt;0,COUNTIF($AB$13:$AM$13,BM.medicao)&gt;0),O117/$I117*100,0)))</f>
        <v>#NAME?</v>
      </c>
      <c r="M117" s="336">
        <f ca="1">IF($A117="S",VTOTALBM,IF($A117=0,0,ROUND(SomaAgrupBM,15-13*ORÇAMENTO!$AF$11)))</f>
        <v>0</v>
      </c>
      <c r="N117" s="337">
        <f t="shared" ca="1" si="11"/>
        <v>0</v>
      </c>
      <c r="O117" s="126">
        <f ca="1">IF($A117="S",VTOTALBM,IF($A117=0,0,ROUND(SomaAgrupBM,15-13*ORÇAMENTO!$AF$11)))</f>
        <v>0</v>
      </c>
      <c r="Q117" s="338"/>
      <c r="R117" s="339"/>
      <c r="T117" s="118" t="str">
        <f t="shared" ca="1" si="12"/>
        <v/>
      </c>
      <c r="U117" s="164" t="str">
        <f t="shared" ca="1" si="13"/>
        <v/>
      </c>
      <c r="V117" s="165" t="str">
        <f ca="1">IF(AND($W117&gt;0,RegimeExecucao="Unitário"),$F117,"")</f>
        <v/>
      </c>
      <c r="W117" s="455">
        <f ca="1">IF($Y117&gt;0,CHOOSE(MATCH(RegimeExecucao,{"Unitário","Global"},0),IF($A117="S",$Y117/$X117,""),($Y117/$X117)*100),0)</f>
        <v>0</v>
      </c>
      <c r="X117" s="340" t="str">
        <f ca="1">IF($Y117&gt;0,CHOOSE(MATCH(RegimeExecucao,{"Unitário","Global"},0),IF($A117="S",ROUND($H117,ORÇAMENTO!$AF$10),""),ROUND($I117,ORÇAMENTO!$AF$11)),"")</f>
        <v/>
      </c>
      <c r="Y117" s="340">
        <f t="shared" ca="1" si="14"/>
        <v>0</v>
      </c>
      <c r="Z117" s="474"/>
      <c r="AB117" s="338"/>
      <c r="AC117" s="438"/>
      <c r="AD117" s="438"/>
      <c r="AE117" s="438"/>
      <c r="AF117" s="438"/>
      <c r="AG117" s="438"/>
      <c r="AH117" s="438"/>
      <c r="AI117" s="438"/>
      <c r="AJ117" s="438"/>
      <c r="AK117" s="438"/>
      <c r="AL117" s="438"/>
      <c r="AM117" s="339"/>
      <c r="AO117">
        <f ca="1">IF($A117="S",IF(BM!$I117=0,0,CHOOSE(MATCH(RegimeExecucao,{"Global","Unitário"},0),ROUND(ROUND(BM.MEDAcumulado,15-13*BM!$A$9)/100*BM!$I117,15-13*ORÇAMENTO!$AF$11),ROUND(ROUND(BM.MEDAcumulado,15-13*BM!$A$9)*ROUND(BM!$H117,15-13*ORÇAMENTO!$AF$10),15-13*ORÇAMENTO!$AF$11))),IF($A117=0,0,ROUND(SomaAgrupBM,15-13*ORÇAMENTO!$AF$11)))</f>
        <v>0</v>
      </c>
    </row>
    <row r="118" spans="1:41" ht="25.5" x14ac:dyDescent="0.2">
      <c r="A118" t="str">
        <f ca="1">ORÇAMENTO!C118</f>
        <v>S</v>
      </c>
      <c r="B118">
        <f ca="1">ORÇAMENTO!D118</f>
        <v>0</v>
      </c>
      <c r="C118" s="115" t="str">
        <f t="shared" ca="1" si="8"/>
        <v/>
      </c>
      <c r="D118" s="118" t="str">
        <f ca="1">ORÇAMENTO!O118</f>
        <v>-</v>
      </c>
      <c r="E118" s="164" t="str">
        <f t="shared" si="9"/>
        <v xml:space="preserve">CAIXA DE PASSAGEM ELETRICA, PARA PISO, EM PVC, DIMENSOES DE 3/4" A 4"                                                                                                                                                                                     </v>
      </c>
      <c r="F118" s="165" t="str">
        <f ca="1">IF(RegimeExecucao="Global","",ORÇAMENTO.Unidade)</f>
        <v xml:space="preserve">UN    </v>
      </c>
      <c r="G118" s="123">
        <f ca="1">IF(RegimeExecucao="Global","",ORÇAMENTO!T118)</f>
        <v>3</v>
      </c>
      <c r="H118" s="123">
        <f ca="1">IF(RegimeExecucao="Global","",ORÇAMENTO!W118)</f>
        <v>0</v>
      </c>
      <c r="I118" s="126">
        <f ca="1">ORÇAMENTO!X118</f>
        <v>0</v>
      </c>
      <c r="J118" s="334" t="e" cm="1">
        <f t="array" aca="1" ref="J118" ca="1">_xlfn.SINGLE(IF($A118="S",IF(CAIXA.Modo,BM.AFAnterior,BM.MEDAnterior),IF(AND(_xlfn.SINGLE(RegimeExecucao)="Global",$I118&gt;0,COUNTIF($AB$13:$AM$13,BM.medicao-1)&gt;0),M118/$I118*100,0)))</f>
        <v>#NAME?</v>
      </c>
      <c r="K118" s="123" t="e">
        <f t="shared" ca="1" si="10"/>
        <v>#NAME?</v>
      </c>
      <c r="L118" s="335" t="e" cm="1">
        <f t="array" aca="1" ref="L118" ca="1">_xlfn.SINGLE(IF($A118="S",IF(CAIXA.Modo,BM.AFAcumulado,BM.MEDAcumulado),IF(AND(_xlfn.SINGLE(RegimeExecucao)="Global",$I118&gt;0,COUNTIF($AB$13:$AM$13,BM.medicao)&gt;0),O118/$I118*100,0)))</f>
        <v>#NAME?</v>
      </c>
      <c r="M118" s="336">
        <f ca="1">IF($A118="S",VTOTALBM,IF($A118=0,0,ROUND(SomaAgrupBM,15-13*ORÇAMENTO!$AF$11)))</f>
        <v>0</v>
      </c>
      <c r="N118" s="337">
        <f t="shared" ca="1" si="11"/>
        <v>0</v>
      </c>
      <c r="O118" s="126">
        <f ca="1">IF($A118="S",VTOTALBM,IF($A118=0,0,ROUND(SomaAgrupBM,15-13*ORÇAMENTO!$AF$11)))</f>
        <v>0</v>
      </c>
      <c r="Q118" s="338"/>
      <c r="R118" s="339"/>
      <c r="T118" s="118" t="str">
        <f t="shared" ca="1" si="12"/>
        <v/>
      </c>
      <c r="U118" s="164" t="str">
        <f t="shared" ca="1" si="13"/>
        <v/>
      </c>
      <c r="V118" s="165" t="str">
        <f ca="1">IF(AND($W118&gt;0,RegimeExecucao="Unitário"),$F118,"")</f>
        <v/>
      </c>
      <c r="W118" s="455">
        <f ca="1">IF($Y118&gt;0,CHOOSE(MATCH(RegimeExecucao,{"Unitário","Global"},0),IF($A118="S",$Y118/$X118,""),($Y118/$X118)*100),0)</f>
        <v>0</v>
      </c>
      <c r="X118" s="340" t="str">
        <f ca="1">IF($Y118&gt;0,CHOOSE(MATCH(RegimeExecucao,{"Unitário","Global"},0),IF($A118="S",ROUND($H118,ORÇAMENTO!$AF$10),""),ROUND($I118,ORÇAMENTO!$AF$11)),"")</f>
        <v/>
      </c>
      <c r="Y118" s="340">
        <f t="shared" ca="1" si="14"/>
        <v>0</v>
      </c>
      <c r="Z118" s="474"/>
      <c r="AB118" s="338"/>
      <c r="AC118" s="438"/>
      <c r="AD118" s="438"/>
      <c r="AE118" s="438"/>
      <c r="AF118" s="438"/>
      <c r="AG118" s="438"/>
      <c r="AH118" s="438"/>
      <c r="AI118" s="438"/>
      <c r="AJ118" s="438"/>
      <c r="AK118" s="438"/>
      <c r="AL118" s="438"/>
      <c r="AM118" s="339"/>
      <c r="AO118">
        <f ca="1">IF($A118="S",IF(BM!$I118=0,0,CHOOSE(MATCH(RegimeExecucao,{"Global","Unitário"},0),ROUND(ROUND(BM.MEDAcumulado,15-13*BM!$A$9)/100*BM!$I118,15-13*ORÇAMENTO!$AF$11),ROUND(ROUND(BM.MEDAcumulado,15-13*BM!$A$9)*ROUND(BM!$H118,15-13*ORÇAMENTO!$AF$10),15-13*ORÇAMENTO!$AF$11))),IF($A118=0,0,ROUND(SomaAgrupBM,15-13*ORÇAMENTO!$AF$11)))</f>
        <v>0</v>
      </c>
    </row>
    <row r="119" spans="1:41" ht="25.5" x14ac:dyDescent="0.2">
      <c r="A119" t="str">
        <f ca="1">ORÇAMENTO!C119</f>
        <v>S</v>
      </c>
      <c r="B119">
        <f ca="1">ORÇAMENTO!D119</f>
        <v>0</v>
      </c>
      <c r="C119" s="115" t="str">
        <f t="shared" ca="1" si="8"/>
        <v/>
      </c>
      <c r="D119" s="118" t="str">
        <f ca="1">ORÇAMENTO!O119</f>
        <v>-</v>
      </c>
      <c r="E119" s="164" t="str">
        <f t="shared" si="9"/>
        <v>CABO ELETRÔNICO CATEGORIA 5E, INSTALADO EM EDIFICAÇÃO INSTITUCIONAL - FORNECIMENTO E INSTALAÇÃO. AF_11/2019</v>
      </c>
      <c r="F119" s="165" t="str">
        <f ca="1">IF(RegimeExecucao="Global","",ORÇAMENTO.Unidade)</f>
        <v>M</v>
      </c>
      <c r="G119" s="123">
        <f ca="1">IF(RegimeExecucao="Global","",ORÇAMENTO!T119)</f>
        <v>600</v>
      </c>
      <c r="H119" s="123">
        <f ca="1">IF(RegimeExecucao="Global","",ORÇAMENTO!W119)</f>
        <v>0</v>
      </c>
      <c r="I119" s="126">
        <f ca="1">ORÇAMENTO!X119</f>
        <v>0</v>
      </c>
      <c r="J119" s="334" t="e" cm="1">
        <f t="array" aca="1" ref="J119" ca="1">_xlfn.SINGLE(IF($A119="S",IF(CAIXA.Modo,BM.AFAnterior,BM.MEDAnterior),IF(AND(_xlfn.SINGLE(RegimeExecucao)="Global",$I119&gt;0,COUNTIF($AB$13:$AM$13,BM.medicao-1)&gt;0),M119/$I119*100,0)))</f>
        <v>#NAME?</v>
      </c>
      <c r="K119" s="123" t="e">
        <f t="shared" ca="1" si="10"/>
        <v>#NAME?</v>
      </c>
      <c r="L119" s="335" t="e" cm="1">
        <f t="array" aca="1" ref="L119" ca="1">_xlfn.SINGLE(IF($A119="S",IF(CAIXA.Modo,BM.AFAcumulado,BM.MEDAcumulado),IF(AND(_xlfn.SINGLE(RegimeExecucao)="Global",$I119&gt;0,COUNTIF($AB$13:$AM$13,BM.medicao)&gt;0),O119/$I119*100,0)))</f>
        <v>#NAME?</v>
      </c>
      <c r="M119" s="336">
        <f ca="1">IF($A119="S",VTOTALBM,IF($A119=0,0,ROUND(SomaAgrupBM,15-13*ORÇAMENTO!$AF$11)))</f>
        <v>0</v>
      </c>
      <c r="N119" s="337">
        <f t="shared" ca="1" si="11"/>
        <v>0</v>
      </c>
      <c r="O119" s="126">
        <f ca="1">IF($A119="S",VTOTALBM,IF($A119=0,0,ROUND(SomaAgrupBM,15-13*ORÇAMENTO!$AF$11)))</f>
        <v>0</v>
      </c>
      <c r="Q119" s="338"/>
      <c r="R119" s="339"/>
      <c r="T119" s="118" t="str">
        <f t="shared" ca="1" si="12"/>
        <v/>
      </c>
      <c r="U119" s="164" t="str">
        <f t="shared" ca="1" si="13"/>
        <v/>
      </c>
      <c r="V119" s="165" t="str">
        <f ca="1">IF(AND($W119&gt;0,RegimeExecucao="Unitário"),$F119,"")</f>
        <v/>
      </c>
      <c r="W119" s="455">
        <f ca="1">IF($Y119&gt;0,CHOOSE(MATCH(RegimeExecucao,{"Unitário","Global"},0),IF($A119="S",$Y119/$X119,""),($Y119/$X119)*100),0)</f>
        <v>0</v>
      </c>
      <c r="X119" s="340" t="str">
        <f ca="1">IF($Y119&gt;0,CHOOSE(MATCH(RegimeExecucao,{"Unitário","Global"},0),IF($A119="S",ROUND($H119,ORÇAMENTO!$AF$10),""),ROUND($I119,ORÇAMENTO!$AF$11)),"")</f>
        <v/>
      </c>
      <c r="Y119" s="340">
        <f t="shared" ca="1" si="14"/>
        <v>0</v>
      </c>
      <c r="Z119" s="474"/>
      <c r="AB119" s="338"/>
      <c r="AC119" s="438"/>
      <c r="AD119" s="438"/>
      <c r="AE119" s="438"/>
      <c r="AF119" s="438"/>
      <c r="AG119" s="438"/>
      <c r="AH119" s="438"/>
      <c r="AI119" s="438"/>
      <c r="AJ119" s="438"/>
      <c r="AK119" s="438"/>
      <c r="AL119" s="438"/>
      <c r="AM119" s="339"/>
      <c r="AO119">
        <f ca="1">IF($A119="S",IF(BM!$I119=0,0,CHOOSE(MATCH(RegimeExecucao,{"Global","Unitário"},0),ROUND(ROUND(BM.MEDAcumulado,15-13*BM!$A$9)/100*BM!$I119,15-13*ORÇAMENTO!$AF$11),ROUND(ROUND(BM.MEDAcumulado,15-13*BM!$A$9)*ROUND(BM!$H119,15-13*ORÇAMENTO!$AF$10),15-13*ORÇAMENTO!$AF$11))),IF($A119=0,0,ROUND(SomaAgrupBM,15-13*ORÇAMENTO!$AF$11)))</f>
        <v>0</v>
      </c>
    </row>
    <row r="120" spans="1:41" ht="25.5" x14ac:dyDescent="0.2">
      <c r="A120" t="str">
        <f ca="1">ORÇAMENTO!C120</f>
        <v>S</v>
      </c>
      <c r="B120">
        <f ca="1">ORÇAMENTO!D120</f>
        <v>0</v>
      </c>
      <c r="C120" s="115" t="str">
        <f t="shared" ca="1" si="8"/>
        <v/>
      </c>
      <c r="D120" s="118" t="str">
        <f ca="1">ORÇAMENTO!O120</f>
        <v>-</v>
      </c>
      <c r="E120" s="164" t="str">
        <f t="shared" si="9"/>
        <v>TOMADA DE REDE RJ45 - FORNECIMENTO E INSTALAÇÃO. AF_11/2019</v>
      </c>
      <c r="F120" s="165" t="str">
        <f ca="1">IF(RegimeExecucao="Global","",ORÇAMENTO.Unidade)</f>
        <v>UN</v>
      </c>
      <c r="G120" s="123">
        <f ca="1">IF(RegimeExecucao="Global","",ORÇAMENTO!T120)</f>
        <v>18</v>
      </c>
      <c r="H120" s="123">
        <f ca="1">IF(RegimeExecucao="Global","",ORÇAMENTO!W120)</f>
        <v>0</v>
      </c>
      <c r="I120" s="126">
        <f ca="1">ORÇAMENTO!X120</f>
        <v>0</v>
      </c>
      <c r="J120" s="334" t="e" cm="1">
        <f t="array" aca="1" ref="J120" ca="1">_xlfn.SINGLE(IF($A120="S",IF(CAIXA.Modo,BM.AFAnterior,BM.MEDAnterior),IF(AND(_xlfn.SINGLE(RegimeExecucao)="Global",$I120&gt;0,COUNTIF($AB$13:$AM$13,BM.medicao-1)&gt;0),M120/$I120*100,0)))</f>
        <v>#NAME?</v>
      </c>
      <c r="K120" s="123" t="e">
        <f t="shared" ca="1" si="10"/>
        <v>#NAME?</v>
      </c>
      <c r="L120" s="335" t="e" cm="1">
        <f t="array" aca="1" ref="L120" ca="1">_xlfn.SINGLE(IF($A120="S",IF(CAIXA.Modo,BM.AFAcumulado,BM.MEDAcumulado),IF(AND(_xlfn.SINGLE(RegimeExecucao)="Global",$I120&gt;0,COUNTIF($AB$13:$AM$13,BM.medicao)&gt;0),O120/$I120*100,0)))</f>
        <v>#NAME?</v>
      </c>
      <c r="M120" s="336">
        <f ca="1">IF($A120="S",VTOTALBM,IF($A120=0,0,ROUND(SomaAgrupBM,15-13*ORÇAMENTO!$AF$11)))</f>
        <v>0</v>
      </c>
      <c r="N120" s="337">
        <f t="shared" ca="1" si="11"/>
        <v>0</v>
      </c>
      <c r="O120" s="126">
        <f ca="1">IF($A120="S",VTOTALBM,IF($A120=0,0,ROUND(SomaAgrupBM,15-13*ORÇAMENTO!$AF$11)))</f>
        <v>0</v>
      </c>
      <c r="Q120" s="338"/>
      <c r="R120" s="339"/>
      <c r="T120" s="118" t="str">
        <f t="shared" ca="1" si="12"/>
        <v/>
      </c>
      <c r="U120" s="164" t="str">
        <f t="shared" ca="1" si="13"/>
        <v/>
      </c>
      <c r="V120" s="165" t="str">
        <f ca="1">IF(AND($W120&gt;0,RegimeExecucao="Unitário"),$F120,"")</f>
        <v/>
      </c>
      <c r="W120" s="455">
        <f ca="1">IF($Y120&gt;0,CHOOSE(MATCH(RegimeExecucao,{"Unitário","Global"},0),IF($A120="S",$Y120/$X120,""),($Y120/$X120)*100),0)</f>
        <v>0</v>
      </c>
      <c r="X120" s="340" t="str">
        <f ca="1">IF($Y120&gt;0,CHOOSE(MATCH(RegimeExecucao,{"Unitário","Global"},0),IF($A120="S",ROUND($H120,ORÇAMENTO!$AF$10),""),ROUND($I120,ORÇAMENTO!$AF$11)),"")</f>
        <v/>
      </c>
      <c r="Y120" s="340">
        <f t="shared" ca="1" si="14"/>
        <v>0</v>
      </c>
      <c r="Z120" s="474"/>
      <c r="AB120" s="338"/>
      <c r="AC120" s="438"/>
      <c r="AD120" s="438"/>
      <c r="AE120" s="438"/>
      <c r="AF120" s="438"/>
      <c r="AG120" s="438"/>
      <c r="AH120" s="438"/>
      <c r="AI120" s="438"/>
      <c r="AJ120" s="438"/>
      <c r="AK120" s="438"/>
      <c r="AL120" s="438"/>
      <c r="AM120" s="339"/>
      <c r="AO120">
        <f ca="1">IF($A120="S",IF(BM!$I120=0,0,CHOOSE(MATCH(RegimeExecucao,{"Global","Unitário"},0),ROUND(ROUND(BM.MEDAcumulado,15-13*BM!$A$9)/100*BM!$I120,15-13*ORÇAMENTO!$AF$11),ROUND(ROUND(BM.MEDAcumulado,15-13*BM!$A$9)*ROUND(BM!$H120,15-13*ORÇAMENTO!$AF$10),15-13*ORÇAMENTO!$AF$11))),IF($A120=0,0,ROUND(SomaAgrupBM,15-13*ORÇAMENTO!$AF$11)))</f>
        <v>0</v>
      </c>
    </row>
    <row r="121" spans="1:41" x14ac:dyDescent="0.2">
      <c r="A121" t="str">
        <f ca="1">ORÇAMENTO!C121</f>
        <v>S</v>
      </c>
      <c r="B121">
        <f ca="1">ORÇAMENTO!D121</f>
        <v>0</v>
      </c>
      <c r="C121" s="115" t="str">
        <f t="shared" ca="1" si="8"/>
        <v/>
      </c>
      <c r="D121" s="118" t="str">
        <f ca="1">ORÇAMENTO!O121</f>
        <v>-</v>
      </c>
      <c r="E121" s="164" t="str">
        <f t="shared" si="9"/>
        <v>ADAPTADOR RJ45 - HDMI</v>
      </c>
      <c r="F121" s="165" t="str">
        <f ca="1">IF(RegimeExecucao="Global","",ORÇAMENTO.Unidade)</f>
        <v>UN</v>
      </c>
      <c r="G121" s="123">
        <f ca="1">IF(RegimeExecucao="Global","",ORÇAMENTO!T121)</f>
        <v>22</v>
      </c>
      <c r="H121" s="123">
        <f ca="1">IF(RegimeExecucao="Global","",ORÇAMENTO!W121)</f>
        <v>0</v>
      </c>
      <c r="I121" s="126">
        <f ca="1">ORÇAMENTO!X121</f>
        <v>0</v>
      </c>
      <c r="J121" s="334" t="e" cm="1">
        <f t="array" aca="1" ref="J121" ca="1">_xlfn.SINGLE(IF($A121="S",IF(CAIXA.Modo,BM.AFAnterior,BM.MEDAnterior),IF(AND(_xlfn.SINGLE(RegimeExecucao)="Global",$I121&gt;0,COUNTIF($AB$13:$AM$13,BM.medicao-1)&gt;0),M121/$I121*100,0)))</f>
        <v>#NAME?</v>
      </c>
      <c r="K121" s="123" t="e">
        <f t="shared" ca="1" si="10"/>
        <v>#NAME?</v>
      </c>
      <c r="L121" s="335" t="e" cm="1">
        <f t="array" aca="1" ref="L121" ca="1">_xlfn.SINGLE(IF($A121="S",IF(CAIXA.Modo,BM.AFAcumulado,BM.MEDAcumulado),IF(AND(_xlfn.SINGLE(RegimeExecucao)="Global",$I121&gt;0,COUNTIF($AB$13:$AM$13,BM.medicao)&gt;0),O121/$I121*100,0)))</f>
        <v>#NAME?</v>
      </c>
      <c r="M121" s="336">
        <f ca="1">IF($A121="S",VTOTALBM,IF($A121=0,0,ROUND(SomaAgrupBM,15-13*ORÇAMENTO!$AF$11)))</f>
        <v>0</v>
      </c>
      <c r="N121" s="337">
        <f t="shared" ca="1" si="11"/>
        <v>0</v>
      </c>
      <c r="O121" s="126">
        <f ca="1">IF($A121="S",VTOTALBM,IF($A121=0,0,ROUND(SomaAgrupBM,15-13*ORÇAMENTO!$AF$11)))</f>
        <v>0</v>
      </c>
      <c r="Q121" s="338"/>
      <c r="R121" s="339"/>
      <c r="T121" s="118" t="str">
        <f t="shared" ca="1" si="12"/>
        <v/>
      </c>
      <c r="U121" s="164" t="str">
        <f t="shared" ca="1" si="13"/>
        <v/>
      </c>
      <c r="V121" s="165" t="str">
        <f ca="1">IF(AND($W121&gt;0,RegimeExecucao="Unitário"),$F121,"")</f>
        <v/>
      </c>
      <c r="W121" s="455">
        <f ca="1">IF($Y121&gt;0,CHOOSE(MATCH(RegimeExecucao,{"Unitário","Global"},0),IF($A121="S",$Y121/$X121,""),($Y121/$X121)*100),0)</f>
        <v>0</v>
      </c>
      <c r="X121" s="340" t="str">
        <f ca="1">IF($Y121&gt;0,CHOOSE(MATCH(RegimeExecucao,{"Unitário","Global"},0),IF($A121="S",ROUND($H121,ORÇAMENTO!$AF$10),""),ROUND($I121,ORÇAMENTO!$AF$11)),"")</f>
        <v/>
      </c>
      <c r="Y121" s="340">
        <f t="shared" ca="1" si="14"/>
        <v>0</v>
      </c>
      <c r="Z121" s="474"/>
      <c r="AB121" s="338"/>
      <c r="AC121" s="438"/>
      <c r="AD121" s="438"/>
      <c r="AE121" s="438"/>
      <c r="AF121" s="438"/>
      <c r="AG121" s="438"/>
      <c r="AH121" s="438"/>
      <c r="AI121" s="438"/>
      <c r="AJ121" s="438"/>
      <c r="AK121" s="438"/>
      <c r="AL121" s="438"/>
      <c r="AM121" s="339"/>
      <c r="AO121">
        <f ca="1">IF($A121="S",IF(BM!$I121=0,0,CHOOSE(MATCH(RegimeExecucao,{"Global","Unitário"},0),ROUND(ROUND(BM.MEDAcumulado,15-13*BM!$A$9)/100*BM!$I121,15-13*ORÇAMENTO!$AF$11),ROUND(ROUND(BM.MEDAcumulado,15-13*BM!$A$9)*ROUND(BM!$H121,15-13*ORÇAMENTO!$AF$10),15-13*ORÇAMENTO!$AF$11))),IF($A121=0,0,ROUND(SomaAgrupBM,15-13*ORÇAMENTO!$AF$11)))</f>
        <v>0</v>
      </c>
    </row>
    <row r="122" spans="1:41" ht="25.5" x14ac:dyDescent="0.2">
      <c r="A122" t="str">
        <f ca="1">ORÇAMENTO!C122</f>
        <v>S</v>
      </c>
      <c r="B122">
        <f ca="1">ORÇAMENTO!D122</f>
        <v>0</v>
      </c>
      <c r="C122" s="115" t="str">
        <f t="shared" ca="1" si="8"/>
        <v/>
      </c>
      <c r="D122" s="118" t="str">
        <f ca="1">ORÇAMENTO!O122</f>
        <v>-</v>
      </c>
      <c r="E122" s="164" t="str">
        <f t="shared" si="9"/>
        <v xml:space="preserve">ESPELHO / PLACA CEGA 4" X 2", PARA INSTALACAO DE TOMADAS E INTERRUPTORES                                                                                                                                                                                  </v>
      </c>
      <c r="F122" s="165" t="str">
        <f ca="1">IF(RegimeExecucao="Global","",ORÇAMENTO.Unidade)</f>
        <v xml:space="preserve">UN    </v>
      </c>
      <c r="G122" s="123">
        <f ca="1">IF(RegimeExecucao="Global","",ORÇAMENTO!T122)</f>
        <v>22</v>
      </c>
      <c r="H122" s="123">
        <f ca="1">IF(RegimeExecucao="Global","",ORÇAMENTO!W122)</f>
        <v>0</v>
      </c>
      <c r="I122" s="126">
        <f ca="1">ORÇAMENTO!X122</f>
        <v>0</v>
      </c>
      <c r="J122" s="334" t="e" cm="1">
        <f t="array" aca="1" ref="J122" ca="1">_xlfn.SINGLE(IF($A122="S",IF(CAIXA.Modo,BM.AFAnterior,BM.MEDAnterior),IF(AND(_xlfn.SINGLE(RegimeExecucao)="Global",$I122&gt;0,COUNTIF($AB$13:$AM$13,BM.medicao-1)&gt;0),M122/$I122*100,0)))</f>
        <v>#NAME?</v>
      </c>
      <c r="K122" s="123" t="e">
        <f t="shared" ca="1" si="10"/>
        <v>#NAME?</v>
      </c>
      <c r="L122" s="335" t="e" cm="1">
        <f t="array" aca="1" ref="L122" ca="1">_xlfn.SINGLE(IF($A122="S",IF(CAIXA.Modo,BM.AFAcumulado,BM.MEDAcumulado),IF(AND(_xlfn.SINGLE(RegimeExecucao)="Global",$I122&gt;0,COUNTIF($AB$13:$AM$13,BM.medicao)&gt;0),O122/$I122*100,0)))</f>
        <v>#NAME?</v>
      </c>
      <c r="M122" s="336">
        <f ca="1">IF($A122="S",VTOTALBM,IF($A122=0,0,ROUND(SomaAgrupBM,15-13*ORÇAMENTO!$AF$11)))</f>
        <v>0</v>
      </c>
      <c r="N122" s="337">
        <f t="shared" ca="1" si="11"/>
        <v>0</v>
      </c>
      <c r="O122" s="126">
        <f ca="1">IF($A122="S",VTOTALBM,IF($A122=0,0,ROUND(SomaAgrupBM,15-13*ORÇAMENTO!$AF$11)))</f>
        <v>0</v>
      </c>
      <c r="Q122" s="338"/>
      <c r="R122" s="339"/>
      <c r="T122" s="118" t="str">
        <f t="shared" ca="1" si="12"/>
        <v/>
      </c>
      <c r="U122" s="164" t="str">
        <f t="shared" ca="1" si="13"/>
        <v/>
      </c>
      <c r="V122" s="165" t="str">
        <f ca="1">IF(AND($W122&gt;0,RegimeExecucao="Unitário"),$F122,"")</f>
        <v/>
      </c>
      <c r="W122" s="455">
        <f ca="1">IF($Y122&gt;0,CHOOSE(MATCH(RegimeExecucao,{"Unitário","Global"},0),IF($A122="S",$Y122/$X122,""),($Y122/$X122)*100),0)</f>
        <v>0</v>
      </c>
      <c r="X122" s="340" t="str">
        <f ca="1">IF($Y122&gt;0,CHOOSE(MATCH(RegimeExecucao,{"Unitário","Global"},0),IF($A122="S",ROUND($H122,ORÇAMENTO!$AF$10),""),ROUND($I122,ORÇAMENTO!$AF$11)),"")</f>
        <v/>
      </c>
      <c r="Y122" s="340">
        <f t="shared" ca="1" si="14"/>
        <v>0</v>
      </c>
      <c r="Z122" s="474"/>
      <c r="AB122" s="338"/>
      <c r="AC122" s="438"/>
      <c r="AD122" s="438"/>
      <c r="AE122" s="438"/>
      <c r="AF122" s="438"/>
      <c r="AG122" s="438"/>
      <c r="AH122" s="438"/>
      <c r="AI122" s="438"/>
      <c r="AJ122" s="438"/>
      <c r="AK122" s="438"/>
      <c r="AL122" s="438"/>
      <c r="AM122" s="339"/>
      <c r="AO122">
        <f ca="1">IF($A122="S",IF(BM!$I122=0,0,CHOOSE(MATCH(RegimeExecucao,{"Global","Unitário"},0),ROUND(ROUND(BM.MEDAcumulado,15-13*BM!$A$9)/100*BM!$I122,15-13*ORÇAMENTO!$AF$11),ROUND(ROUND(BM.MEDAcumulado,15-13*BM!$A$9)*ROUND(BM!$H122,15-13*ORÇAMENTO!$AF$10),15-13*ORÇAMENTO!$AF$11))),IF($A122=0,0,ROUND(SomaAgrupBM,15-13*ORÇAMENTO!$AF$11)))</f>
        <v>0</v>
      </c>
    </row>
    <row r="123" spans="1:41" ht="38.25" x14ac:dyDescent="0.2">
      <c r="A123" t="str">
        <f ca="1">ORÇAMENTO!C123</f>
        <v>S</v>
      </c>
      <c r="B123">
        <f ca="1">ORÇAMENTO!D123</f>
        <v>0</v>
      </c>
      <c r="C123" s="115" t="str">
        <f t="shared" ca="1" si="8"/>
        <v/>
      </c>
      <c r="D123" s="118" t="str">
        <f ca="1">ORÇAMENTO!O123</f>
        <v>-</v>
      </c>
      <c r="E123" s="164" t="str">
        <f t="shared" si="9"/>
        <v>CABO TELEFÔNICO CCI-50 2 PARES, SEM BLINDAGEM, INSTALADO EM DISTRIBUIÇÃO DE EDIFICAÇÃO INSTITUCIONAL - FORNECIMENTO E INSTALAÇÃO. AF_11/2019</v>
      </c>
      <c r="F123" s="165" t="str">
        <f ca="1">IF(RegimeExecucao="Global","",ORÇAMENTO.Unidade)</f>
        <v>M</v>
      </c>
      <c r="G123" s="123">
        <f ca="1">IF(RegimeExecucao="Global","",ORÇAMENTO!T123)</f>
        <v>250</v>
      </c>
      <c r="H123" s="123">
        <f ca="1">IF(RegimeExecucao="Global","",ORÇAMENTO!W123)</f>
        <v>0</v>
      </c>
      <c r="I123" s="126">
        <f ca="1">ORÇAMENTO!X123</f>
        <v>0</v>
      </c>
      <c r="J123" s="334" t="e" cm="1">
        <f t="array" aca="1" ref="J123" ca="1">_xlfn.SINGLE(IF($A123="S",IF(CAIXA.Modo,BM.AFAnterior,BM.MEDAnterior),IF(AND(_xlfn.SINGLE(RegimeExecucao)="Global",$I123&gt;0,COUNTIF($AB$13:$AM$13,BM.medicao-1)&gt;0),M123/$I123*100,0)))</f>
        <v>#NAME?</v>
      </c>
      <c r="K123" s="123" t="e">
        <f t="shared" ca="1" si="10"/>
        <v>#NAME?</v>
      </c>
      <c r="L123" s="335" t="e" cm="1">
        <f t="array" aca="1" ref="L123" ca="1">_xlfn.SINGLE(IF($A123="S",IF(CAIXA.Modo,BM.AFAcumulado,BM.MEDAcumulado),IF(AND(_xlfn.SINGLE(RegimeExecucao)="Global",$I123&gt;0,COUNTIF($AB$13:$AM$13,BM.medicao)&gt;0),O123/$I123*100,0)))</f>
        <v>#NAME?</v>
      </c>
      <c r="M123" s="336">
        <f ca="1">IF($A123="S",VTOTALBM,IF($A123=0,0,ROUND(SomaAgrupBM,15-13*ORÇAMENTO!$AF$11)))</f>
        <v>0</v>
      </c>
      <c r="N123" s="337">
        <f t="shared" ca="1" si="11"/>
        <v>0</v>
      </c>
      <c r="O123" s="126">
        <f ca="1">IF($A123="S",VTOTALBM,IF($A123=0,0,ROUND(SomaAgrupBM,15-13*ORÇAMENTO!$AF$11)))</f>
        <v>0</v>
      </c>
      <c r="Q123" s="338"/>
      <c r="R123" s="339"/>
      <c r="T123" s="118" t="str">
        <f t="shared" ca="1" si="12"/>
        <v/>
      </c>
      <c r="U123" s="164" t="str">
        <f t="shared" ca="1" si="13"/>
        <v/>
      </c>
      <c r="V123" s="165" t="str">
        <f ca="1">IF(AND($W123&gt;0,RegimeExecucao="Unitário"),$F123,"")</f>
        <v/>
      </c>
      <c r="W123" s="455">
        <f ca="1">IF($Y123&gt;0,CHOOSE(MATCH(RegimeExecucao,{"Unitário","Global"},0),IF($A123="S",$Y123/$X123,""),($Y123/$X123)*100),0)</f>
        <v>0</v>
      </c>
      <c r="X123" s="340" t="str">
        <f ca="1">IF($Y123&gt;0,CHOOSE(MATCH(RegimeExecucao,{"Unitário","Global"},0),IF($A123="S",ROUND($H123,ORÇAMENTO!$AF$10),""),ROUND($I123,ORÇAMENTO!$AF$11)),"")</f>
        <v/>
      </c>
      <c r="Y123" s="340">
        <f t="shared" ca="1" si="14"/>
        <v>0</v>
      </c>
      <c r="Z123" s="474"/>
      <c r="AB123" s="338"/>
      <c r="AC123" s="438"/>
      <c r="AD123" s="438"/>
      <c r="AE123" s="438"/>
      <c r="AF123" s="438"/>
      <c r="AG123" s="438"/>
      <c r="AH123" s="438"/>
      <c r="AI123" s="438"/>
      <c r="AJ123" s="438"/>
      <c r="AK123" s="438"/>
      <c r="AL123" s="438"/>
      <c r="AM123" s="339"/>
      <c r="AO123">
        <f ca="1">IF($A123="S",IF(BM!$I123=0,0,CHOOSE(MATCH(RegimeExecucao,{"Global","Unitário"},0),ROUND(ROUND(BM.MEDAcumulado,15-13*BM!$A$9)/100*BM!$I123,15-13*ORÇAMENTO!$AF$11),ROUND(ROUND(BM.MEDAcumulado,15-13*BM!$A$9)*ROUND(BM!$H123,15-13*ORÇAMENTO!$AF$10),15-13*ORÇAMENTO!$AF$11))),IF($A123=0,0,ROUND(SomaAgrupBM,15-13*ORÇAMENTO!$AF$11)))</f>
        <v>0</v>
      </c>
    </row>
    <row r="124" spans="1:41" ht="25.5" x14ac:dyDescent="0.2">
      <c r="A124" t="str">
        <f ca="1">ORÇAMENTO!C124</f>
        <v>S</v>
      </c>
      <c r="B124">
        <f ca="1">ORÇAMENTO!D124</f>
        <v>0</v>
      </c>
      <c r="C124" s="115" t="str">
        <f t="shared" ca="1" si="8"/>
        <v/>
      </c>
      <c r="D124" s="118" t="str">
        <f ca="1">ORÇAMENTO!O124</f>
        <v>-</v>
      </c>
      <c r="E124" s="164" t="str">
        <f t="shared" si="9"/>
        <v>TOMADA PARA TELEFONE RJ11 - FORNECIMENTO E INSTALAÇÃO. AF_11/2019</v>
      </c>
      <c r="F124" s="165" t="str">
        <f ca="1">IF(RegimeExecucao="Global","",ORÇAMENTO.Unidade)</f>
        <v>UN</v>
      </c>
      <c r="G124" s="123">
        <f ca="1">IF(RegimeExecucao="Global","",ORÇAMENTO!T124)</f>
        <v>8</v>
      </c>
      <c r="H124" s="123">
        <f ca="1">IF(RegimeExecucao="Global","",ORÇAMENTO!W124)</f>
        <v>0</v>
      </c>
      <c r="I124" s="126">
        <f ca="1">ORÇAMENTO!X124</f>
        <v>0</v>
      </c>
      <c r="J124" s="334" t="e" cm="1">
        <f t="array" aca="1" ref="J124" ca="1">_xlfn.SINGLE(IF($A124="S",IF(CAIXA.Modo,BM.AFAnterior,BM.MEDAnterior),IF(AND(_xlfn.SINGLE(RegimeExecucao)="Global",$I124&gt;0,COUNTIF($AB$13:$AM$13,BM.medicao-1)&gt;0),M124/$I124*100,0)))</f>
        <v>#NAME?</v>
      </c>
      <c r="K124" s="123" t="e">
        <f t="shared" ca="1" si="10"/>
        <v>#NAME?</v>
      </c>
      <c r="L124" s="335" t="e" cm="1">
        <f t="array" aca="1" ref="L124" ca="1">_xlfn.SINGLE(IF($A124="S",IF(CAIXA.Modo,BM.AFAcumulado,BM.MEDAcumulado),IF(AND(_xlfn.SINGLE(RegimeExecucao)="Global",$I124&gt;0,COUNTIF($AB$13:$AM$13,BM.medicao)&gt;0),O124/$I124*100,0)))</f>
        <v>#NAME?</v>
      </c>
      <c r="M124" s="336">
        <f ca="1">IF($A124="S",VTOTALBM,IF($A124=0,0,ROUND(SomaAgrupBM,15-13*ORÇAMENTO!$AF$11)))</f>
        <v>0</v>
      </c>
      <c r="N124" s="337">
        <f t="shared" ca="1" si="11"/>
        <v>0</v>
      </c>
      <c r="O124" s="126">
        <f ca="1">IF($A124="S",VTOTALBM,IF($A124=0,0,ROUND(SomaAgrupBM,15-13*ORÇAMENTO!$AF$11)))</f>
        <v>0</v>
      </c>
      <c r="Q124" s="338"/>
      <c r="R124" s="339"/>
      <c r="T124" s="118" t="str">
        <f t="shared" ca="1" si="12"/>
        <v/>
      </c>
      <c r="U124" s="164" t="str">
        <f t="shared" ca="1" si="13"/>
        <v/>
      </c>
      <c r="V124" s="165" t="str">
        <f ca="1">IF(AND($W124&gt;0,RegimeExecucao="Unitário"),$F124,"")</f>
        <v/>
      </c>
      <c r="W124" s="455">
        <f ca="1">IF($Y124&gt;0,CHOOSE(MATCH(RegimeExecucao,{"Unitário","Global"},0),IF($A124="S",$Y124/$X124,""),($Y124/$X124)*100),0)</f>
        <v>0</v>
      </c>
      <c r="X124" s="340" t="str">
        <f ca="1">IF($Y124&gt;0,CHOOSE(MATCH(RegimeExecucao,{"Unitário","Global"},0),IF($A124="S",ROUND($H124,ORÇAMENTO!$AF$10),""),ROUND($I124,ORÇAMENTO!$AF$11)),"")</f>
        <v/>
      </c>
      <c r="Y124" s="340">
        <f t="shared" ca="1" si="14"/>
        <v>0</v>
      </c>
      <c r="Z124" s="474"/>
      <c r="AB124" s="338"/>
      <c r="AC124" s="438"/>
      <c r="AD124" s="438"/>
      <c r="AE124" s="438"/>
      <c r="AF124" s="438"/>
      <c r="AG124" s="438"/>
      <c r="AH124" s="438"/>
      <c r="AI124" s="438"/>
      <c r="AJ124" s="438"/>
      <c r="AK124" s="438"/>
      <c r="AL124" s="438"/>
      <c r="AM124" s="339"/>
      <c r="AO124">
        <f ca="1">IF($A124="S",IF(BM!$I124=0,0,CHOOSE(MATCH(RegimeExecucao,{"Global","Unitário"},0),ROUND(ROUND(BM.MEDAcumulado,15-13*BM!$A$9)/100*BM!$I124,15-13*ORÇAMENTO!$AF$11),ROUND(ROUND(BM.MEDAcumulado,15-13*BM!$A$9)*ROUND(BM!$H124,15-13*ORÇAMENTO!$AF$10),15-13*ORÇAMENTO!$AF$11))),IF($A124=0,0,ROUND(SomaAgrupBM,15-13*ORÇAMENTO!$AF$11)))</f>
        <v>0</v>
      </c>
    </row>
    <row r="125" spans="1:41" ht="38.25" x14ac:dyDescent="0.2">
      <c r="A125" t="str">
        <f ca="1">ORÇAMENTO!C125</f>
        <v>S</v>
      </c>
      <c r="B125">
        <f ca="1">ORÇAMENTO!D125</f>
        <v>0</v>
      </c>
      <c r="C125" s="115" t="str">
        <f t="shared" ca="1" si="8"/>
        <v/>
      </c>
      <c r="D125" s="118" t="str">
        <f ca="1">ORÇAMENTO!O125</f>
        <v>-</v>
      </c>
      <c r="E125" s="164" t="str">
        <f t="shared" si="9"/>
        <v>ELETRODUTO FLEXÍVEL CORRUGADO, PVC, DN 25 MM (3/4"), PARA CIRCUITOS TERMINAIS, INSTALADO EM FORRO - FORNECIMENTO E INSTALAÇÃO. AF_03/2023_PA</v>
      </c>
      <c r="F125" s="165" t="str">
        <f ca="1">IF(RegimeExecucao="Global","",ORÇAMENTO.Unidade)</f>
        <v>M</v>
      </c>
      <c r="G125" s="123">
        <f ca="1">IF(RegimeExecucao="Global","",ORÇAMENTO!T125)</f>
        <v>128</v>
      </c>
      <c r="H125" s="123">
        <f ca="1">IF(RegimeExecucao="Global","",ORÇAMENTO!W125)</f>
        <v>0</v>
      </c>
      <c r="I125" s="126">
        <f ca="1">ORÇAMENTO!X125</f>
        <v>0</v>
      </c>
      <c r="J125" s="334" t="e" cm="1">
        <f t="array" aca="1" ref="J125" ca="1">_xlfn.SINGLE(IF($A125="S",IF(CAIXA.Modo,BM.AFAnterior,BM.MEDAnterior),IF(AND(_xlfn.SINGLE(RegimeExecucao)="Global",$I125&gt;0,COUNTIF($AB$13:$AM$13,BM.medicao-1)&gt;0),M125/$I125*100,0)))</f>
        <v>#NAME?</v>
      </c>
      <c r="K125" s="123" t="e">
        <f t="shared" ca="1" si="10"/>
        <v>#NAME?</v>
      </c>
      <c r="L125" s="335" t="e" cm="1">
        <f t="array" aca="1" ref="L125" ca="1">_xlfn.SINGLE(IF($A125="S",IF(CAIXA.Modo,BM.AFAcumulado,BM.MEDAcumulado),IF(AND(_xlfn.SINGLE(RegimeExecucao)="Global",$I125&gt;0,COUNTIF($AB$13:$AM$13,BM.medicao)&gt;0),O125/$I125*100,0)))</f>
        <v>#NAME?</v>
      </c>
      <c r="M125" s="336">
        <f ca="1">IF($A125="S",VTOTALBM,IF($A125=0,0,ROUND(SomaAgrupBM,15-13*ORÇAMENTO!$AF$11)))</f>
        <v>0</v>
      </c>
      <c r="N125" s="337">
        <f t="shared" ca="1" si="11"/>
        <v>0</v>
      </c>
      <c r="O125" s="126">
        <f ca="1">IF($A125="S",VTOTALBM,IF($A125=0,0,ROUND(SomaAgrupBM,15-13*ORÇAMENTO!$AF$11)))</f>
        <v>0</v>
      </c>
      <c r="Q125" s="338"/>
      <c r="R125" s="339"/>
      <c r="T125" s="118" t="str">
        <f t="shared" ca="1" si="12"/>
        <v/>
      </c>
      <c r="U125" s="164" t="str">
        <f t="shared" ca="1" si="13"/>
        <v/>
      </c>
      <c r="V125" s="165" t="str">
        <f ca="1">IF(AND($W125&gt;0,RegimeExecucao="Unitário"),$F125,"")</f>
        <v/>
      </c>
      <c r="W125" s="455">
        <f ca="1">IF($Y125&gt;0,CHOOSE(MATCH(RegimeExecucao,{"Unitário","Global"},0),IF($A125="S",$Y125/$X125,""),($Y125/$X125)*100),0)</f>
        <v>0</v>
      </c>
      <c r="X125" s="340" t="str">
        <f ca="1">IF($Y125&gt;0,CHOOSE(MATCH(RegimeExecucao,{"Unitário","Global"},0),IF($A125="S",ROUND($H125,ORÇAMENTO!$AF$10),""),ROUND($I125,ORÇAMENTO!$AF$11)),"")</f>
        <v/>
      </c>
      <c r="Y125" s="340">
        <f t="shared" ca="1" si="14"/>
        <v>0</v>
      </c>
      <c r="Z125" s="474"/>
      <c r="AB125" s="338"/>
      <c r="AC125" s="438"/>
      <c r="AD125" s="438"/>
      <c r="AE125" s="438"/>
      <c r="AF125" s="438"/>
      <c r="AG125" s="438"/>
      <c r="AH125" s="438"/>
      <c r="AI125" s="438"/>
      <c r="AJ125" s="438"/>
      <c r="AK125" s="438"/>
      <c r="AL125" s="438"/>
      <c r="AM125" s="339"/>
      <c r="AO125">
        <f ca="1">IF($A125="S",IF(BM!$I125=0,0,CHOOSE(MATCH(RegimeExecucao,{"Global","Unitário"},0),ROUND(ROUND(BM.MEDAcumulado,15-13*BM!$A$9)/100*BM!$I125,15-13*ORÇAMENTO!$AF$11),ROUND(ROUND(BM.MEDAcumulado,15-13*BM!$A$9)*ROUND(BM!$H125,15-13*ORÇAMENTO!$AF$10),15-13*ORÇAMENTO!$AF$11))),IF($A125=0,0,ROUND(SomaAgrupBM,15-13*ORÇAMENTO!$AF$11)))</f>
        <v>0</v>
      </c>
    </row>
    <row r="126" spans="1:41" ht="38.25" x14ac:dyDescent="0.2">
      <c r="A126" t="str">
        <f ca="1">ORÇAMENTO!C126</f>
        <v>S</v>
      </c>
      <c r="B126">
        <f ca="1">ORÇAMENTO!D126</f>
        <v>0</v>
      </c>
      <c r="C126" s="115" t="str">
        <f t="shared" ca="1" si="8"/>
        <v/>
      </c>
      <c r="D126" s="118" t="str">
        <f ca="1">ORÇAMENTO!O126</f>
        <v>-</v>
      </c>
      <c r="E126" s="164" t="str">
        <f t="shared" si="9"/>
        <v>ELETRODUTO FLEXÍVEL CORRUGADO REFORÇADO, PVC, DN 20 MM (1/2"), PARA CIRCUITOS TERMINAIS, INSTALADO EM FORRO - FORNECIMENTO E INSTALAÇÃO. AF_03/2023_PA</v>
      </c>
      <c r="F126" s="165" t="str">
        <f ca="1">IF(RegimeExecucao="Global","",ORÇAMENTO.Unidade)</f>
        <v>M</v>
      </c>
      <c r="G126" s="123">
        <f ca="1">IF(RegimeExecucao="Global","",ORÇAMENTO!T126)</f>
        <v>45</v>
      </c>
      <c r="H126" s="123">
        <f ca="1">IF(RegimeExecucao="Global","",ORÇAMENTO!W126)</f>
        <v>0</v>
      </c>
      <c r="I126" s="126">
        <f ca="1">ORÇAMENTO!X126</f>
        <v>0</v>
      </c>
      <c r="J126" s="334" t="e" cm="1">
        <f t="array" aca="1" ref="J126" ca="1">_xlfn.SINGLE(IF($A126="S",IF(CAIXA.Modo,BM.AFAnterior,BM.MEDAnterior),IF(AND(_xlfn.SINGLE(RegimeExecucao)="Global",$I126&gt;0,COUNTIF($AB$13:$AM$13,BM.medicao-1)&gt;0),M126/$I126*100,0)))</f>
        <v>#NAME?</v>
      </c>
      <c r="K126" s="123" t="e">
        <f t="shared" ca="1" si="10"/>
        <v>#NAME?</v>
      </c>
      <c r="L126" s="335" t="e" cm="1">
        <f t="array" aca="1" ref="L126" ca="1">_xlfn.SINGLE(IF($A126="S",IF(CAIXA.Modo,BM.AFAcumulado,BM.MEDAcumulado),IF(AND(_xlfn.SINGLE(RegimeExecucao)="Global",$I126&gt;0,COUNTIF($AB$13:$AM$13,BM.medicao)&gt;0),O126/$I126*100,0)))</f>
        <v>#NAME?</v>
      </c>
      <c r="M126" s="336">
        <f ca="1">IF($A126="S",VTOTALBM,IF($A126=0,0,ROUND(SomaAgrupBM,15-13*ORÇAMENTO!$AF$11)))</f>
        <v>0</v>
      </c>
      <c r="N126" s="337">
        <f t="shared" ca="1" si="11"/>
        <v>0</v>
      </c>
      <c r="O126" s="126">
        <f ca="1">IF($A126="S",VTOTALBM,IF($A126=0,0,ROUND(SomaAgrupBM,15-13*ORÇAMENTO!$AF$11)))</f>
        <v>0</v>
      </c>
      <c r="Q126" s="338"/>
      <c r="R126" s="339"/>
      <c r="T126" s="118" t="str">
        <f t="shared" ca="1" si="12"/>
        <v/>
      </c>
      <c r="U126" s="164" t="str">
        <f t="shared" ca="1" si="13"/>
        <v/>
      </c>
      <c r="V126" s="165" t="str">
        <f ca="1">IF(AND($W126&gt;0,RegimeExecucao="Unitário"),$F126,"")</f>
        <v/>
      </c>
      <c r="W126" s="455">
        <f ca="1">IF($Y126&gt;0,CHOOSE(MATCH(RegimeExecucao,{"Unitário","Global"},0),IF($A126="S",$Y126/$X126,""),($Y126/$X126)*100),0)</f>
        <v>0</v>
      </c>
      <c r="X126" s="340" t="str">
        <f ca="1">IF($Y126&gt;0,CHOOSE(MATCH(RegimeExecucao,{"Unitário","Global"},0),IF($A126="S",ROUND($H126,ORÇAMENTO!$AF$10),""),ROUND($I126,ORÇAMENTO!$AF$11)),"")</f>
        <v/>
      </c>
      <c r="Y126" s="340">
        <f t="shared" ca="1" si="14"/>
        <v>0</v>
      </c>
      <c r="Z126" s="474"/>
      <c r="AB126" s="338"/>
      <c r="AC126" s="438"/>
      <c r="AD126" s="438"/>
      <c r="AE126" s="438"/>
      <c r="AF126" s="438"/>
      <c r="AG126" s="438"/>
      <c r="AH126" s="438"/>
      <c r="AI126" s="438"/>
      <c r="AJ126" s="438"/>
      <c r="AK126" s="438"/>
      <c r="AL126" s="438"/>
      <c r="AM126" s="339"/>
      <c r="AO126">
        <f ca="1">IF($A126="S",IF(BM!$I126=0,0,CHOOSE(MATCH(RegimeExecucao,{"Global","Unitário"},0),ROUND(ROUND(BM.MEDAcumulado,15-13*BM!$A$9)/100*BM!$I126,15-13*ORÇAMENTO!$AF$11),ROUND(ROUND(BM.MEDAcumulado,15-13*BM!$A$9)*ROUND(BM!$H126,15-13*ORÇAMENTO!$AF$10),15-13*ORÇAMENTO!$AF$11))),IF($A126=0,0,ROUND(SomaAgrupBM,15-13*ORÇAMENTO!$AF$11)))</f>
        <v>0</v>
      </c>
    </row>
    <row r="127" spans="1:41" ht="38.25" x14ac:dyDescent="0.2">
      <c r="A127" t="str">
        <f ca="1">ORÇAMENTO!C127</f>
        <v>S</v>
      </c>
      <c r="B127">
        <f ca="1">ORÇAMENTO!D127</f>
        <v>0</v>
      </c>
      <c r="C127" s="115" t="str">
        <f t="shared" ca="1" si="8"/>
        <v/>
      </c>
      <c r="D127" s="118" t="str">
        <f ca="1">ORÇAMENTO!O127</f>
        <v>-</v>
      </c>
      <c r="E127" s="164" t="str">
        <f t="shared" si="9"/>
        <v>ELETRODUTO FLEXÍVEL CORRUGADO REFORÇADO, PVC, DN 32 MM (1"), PARA CIRCUITOS TERMINAIS, INSTALADO EM FORRO - FORNECIMENTO E INSTALAÇÃO. AF_03/2023_PA</v>
      </c>
      <c r="F127" s="165" t="str">
        <f ca="1">IF(RegimeExecucao="Global","",ORÇAMENTO.Unidade)</f>
        <v>M</v>
      </c>
      <c r="G127" s="123">
        <f ca="1">IF(RegimeExecucao="Global","",ORÇAMENTO!T127)</f>
        <v>80</v>
      </c>
      <c r="H127" s="123">
        <f ca="1">IF(RegimeExecucao="Global","",ORÇAMENTO!W127)</f>
        <v>0</v>
      </c>
      <c r="I127" s="126">
        <f ca="1">ORÇAMENTO!X127</f>
        <v>0</v>
      </c>
      <c r="J127" s="334" t="e" cm="1">
        <f t="array" aca="1" ref="J127" ca="1">_xlfn.SINGLE(IF($A127="S",IF(CAIXA.Modo,BM.AFAnterior,BM.MEDAnterior),IF(AND(_xlfn.SINGLE(RegimeExecucao)="Global",$I127&gt;0,COUNTIF($AB$13:$AM$13,BM.medicao-1)&gt;0),M127/$I127*100,0)))</f>
        <v>#NAME?</v>
      </c>
      <c r="K127" s="123" t="e">
        <f t="shared" ca="1" si="10"/>
        <v>#NAME?</v>
      </c>
      <c r="L127" s="335" t="e" cm="1">
        <f t="array" aca="1" ref="L127" ca="1">_xlfn.SINGLE(IF($A127="S",IF(CAIXA.Modo,BM.AFAcumulado,BM.MEDAcumulado),IF(AND(_xlfn.SINGLE(RegimeExecucao)="Global",$I127&gt;0,COUNTIF($AB$13:$AM$13,BM.medicao)&gt;0),O127/$I127*100,0)))</f>
        <v>#NAME?</v>
      </c>
      <c r="M127" s="336">
        <f ca="1">IF($A127="S",VTOTALBM,IF($A127=0,0,ROUND(SomaAgrupBM,15-13*ORÇAMENTO!$AF$11)))</f>
        <v>0</v>
      </c>
      <c r="N127" s="337">
        <f t="shared" ca="1" si="11"/>
        <v>0</v>
      </c>
      <c r="O127" s="126">
        <f ca="1">IF($A127="S",VTOTALBM,IF($A127=0,0,ROUND(SomaAgrupBM,15-13*ORÇAMENTO!$AF$11)))</f>
        <v>0</v>
      </c>
      <c r="Q127" s="338"/>
      <c r="R127" s="339"/>
      <c r="T127" s="118" t="str">
        <f t="shared" ca="1" si="12"/>
        <v/>
      </c>
      <c r="U127" s="164" t="str">
        <f t="shared" ca="1" si="13"/>
        <v/>
      </c>
      <c r="V127" s="165" t="str">
        <f ca="1">IF(AND($W127&gt;0,RegimeExecucao="Unitário"),$F127,"")</f>
        <v/>
      </c>
      <c r="W127" s="455">
        <f ca="1">IF($Y127&gt;0,CHOOSE(MATCH(RegimeExecucao,{"Unitário","Global"},0),IF($A127="S",$Y127/$X127,""),($Y127/$X127)*100),0)</f>
        <v>0</v>
      </c>
      <c r="X127" s="340" t="str">
        <f ca="1">IF($Y127&gt;0,CHOOSE(MATCH(RegimeExecucao,{"Unitário","Global"},0),IF($A127="S",ROUND($H127,ORÇAMENTO!$AF$10),""),ROUND($I127,ORÇAMENTO!$AF$11)),"")</f>
        <v/>
      </c>
      <c r="Y127" s="340">
        <f t="shared" ca="1" si="14"/>
        <v>0</v>
      </c>
      <c r="Z127" s="474"/>
      <c r="AB127" s="338"/>
      <c r="AC127" s="438"/>
      <c r="AD127" s="438"/>
      <c r="AE127" s="438"/>
      <c r="AF127" s="438"/>
      <c r="AG127" s="438"/>
      <c r="AH127" s="438"/>
      <c r="AI127" s="438"/>
      <c r="AJ127" s="438"/>
      <c r="AK127" s="438"/>
      <c r="AL127" s="438"/>
      <c r="AM127" s="339"/>
      <c r="AO127">
        <f ca="1">IF($A127="S",IF(BM!$I127=0,0,CHOOSE(MATCH(RegimeExecucao,{"Global","Unitário"},0),ROUND(ROUND(BM.MEDAcumulado,15-13*BM!$A$9)/100*BM!$I127,15-13*ORÇAMENTO!$AF$11),ROUND(ROUND(BM.MEDAcumulado,15-13*BM!$A$9)*ROUND(BM!$H127,15-13*ORÇAMENTO!$AF$10),15-13*ORÇAMENTO!$AF$11))),IF($A127=0,0,ROUND(SomaAgrupBM,15-13*ORÇAMENTO!$AF$11)))</f>
        <v>0</v>
      </c>
    </row>
    <row r="128" spans="1:41" x14ac:dyDescent="0.2">
      <c r="A128" t="str">
        <f ca="1">ORÇAMENTO!C128</f>
        <v>S</v>
      </c>
      <c r="B128">
        <f ca="1">ORÇAMENTO!D128</f>
        <v>0</v>
      </c>
      <c r="C128" s="115" t="str">
        <f t="shared" ca="1" si="8"/>
        <v/>
      </c>
      <c r="D128" s="118" t="str">
        <f ca="1">ORÇAMENTO!O128</f>
        <v>-</v>
      </c>
      <c r="E128" s="164" t="str">
        <f t="shared" si="9"/>
        <v>ELETRICISTA COM ENCARGOS COMPLEMENTARES</v>
      </c>
      <c r="F128" s="165" t="str">
        <f ca="1">IF(RegimeExecucao="Global","",ORÇAMENTO.Unidade)</f>
        <v>H</v>
      </c>
      <c r="G128" s="123">
        <f ca="1">IF(RegimeExecucao="Global","",ORÇAMENTO!T128)</f>
        <v>12</v>
      </c>
      <c r="H128" s="123">
        <f ca="1">IF(RegimeExecucao="Global","",ORÇAMENTO!W128)</f>
        <v>0</v>
      </c>
      <c r="I128" s="126">
        <f ca="1">ORÇAMENTO!X128</f>
        <v>0</v>
      </c>
      <c r="J128" s="334" t="e" cm="1">
        <f t="array" aca="1" ref="J128" ca="1">_xlfn.SINGLE(IF($A128="S",IF(CAIXA.Modo,BM.AFAnterior,BM.MEDAnterior),IF(AND(_xlfn.SINGLE(RegimeExecucao)="Global",$I128&gt;0,COUNTIF($AB$13:$AM$13,BM.medicao-1)&gt;0),M128/$I128*100,0)))</f>
        <v>#NAME?</v>
      </c>
      <c r="K128" s="123" t="e">
        <f t="shared" ca="1" si="10"/>
        <v>#NAME?</v>
      </c>
      <c r="L128" s="335" t="e" cm="1">
        <f t="array" aca="1" ref="L128" ca="1">_xlfn.SINGLE(IF($A128="S",IF(CAIXA.Modo,BM.AFAcumulado,BM.MEDAcumulado),IF(AND(_xlfn.SINGLE(RegimeExecucao)="Global",$I128&gt;0,COUNTIF($AB$13:$AM$13,BM.medicao)&gt;0),O128/$I128*100,0)))</f>
        <v>#NAME?</v>
      </c>
      <c r="M128" s="336">
        <f ca="1">IF($A128="S",VTOTALBM,IF($A128=0,0,ROUND(SomaAgrupBM,15-13*ORÇAMENTO!$AF$11)))</f>
        <v>0</v>
      </c>
      <c r="N128" s="337">
        <f t="shared" ca="1" si="11"/>
        <v>0</v>
      </c>
      <c r="O128" s="126">
        <f ca="1">IF($A128="S",VTOTALBM,IF($A128=0,0,ROUND(SomaAgrupBM,15-13*ORÇAMENTO!$AF$11)))</f>
        <v>0</v>
      </c>
      <c r="Q128" s="338"/>
      <c r="R128" s="339"/>
      <c r="T128" s="118" t="str">
        <f t="shared" ca="1" si="12"/>
        <v/>
      </c>
      <c r="U128" s="164" t="str">
        <f t="shared" ca="1" si="13"/>
        <v/>
      </c>
      <c r="V128" s="165" t="str">
        <f ca="1">IF(AND($W128&gt;0,RegimeExecucao="Unitário"),$F128,"")</f>
        <v/>
      </c>
      <c r="W128" s="455">
        <f ca="1">IF($Y128&gt;0,CHOOSE(MATCH(RegimeExecucao,{"Unitário","Global"},0),IF($A128="S",$Y128/$X128,""),($Y128/$X128)*100),0)</f>
        <v>0</v>
      </c>
      <c r="X128" s="340" t="str">
        <f ca="1">IF($Y128&gt;0,CHOOSE(MATCH(RegimeExecucao,{"Unitário","Global"},0),IF($A128="S",ROUND($H128,ORÇAMENTO!$AF$10),""),ROUND($I128,ORÇAMENTO!$AF$11)),"")</f>
        <v/>
      </c>
      <c r="Y128" s="340">
        <f t="shared" ca="1" si="14"/>
        <v>0</v>
      </c>
      <c r="Z128" s="474"/>
      <c r="AB128" s="338"/>
      <c r="AC128" s="438"/>
      <c r="AD128" s="438"/>
      <c r="AE128" s="438"/>
      <c r="AF128" s="438"/>
      <c r="AG128" s="438"/>
      <c r="AH128" s="438"/>
      <c r="AI128" s="438"/>
      <c r="AJ128" s="438"/>
      <c r="AK128" s="438"/>
      <c r="AL128" s="438"/>
      <c r="AM128" s="339"/>
      <c r="AO128">
        <f ca="1">IF($A128="S",IF(BM!$I128=0,0,CHOOSE(MATCH(RegimeExecucao,{"Global","Unitário"},0),ROUND(ROUND(BM.MEDAcumulado,15-13*BM!$A$9)/100*BM!$I128,15-13*ORÇAMENTO!$AF$11),ROUND(ROUND(BM.MEDAcumulado,15-13*BM!$A$9)*ROUND(BM!$H128,15-13*ORÇAMENTO!$AF$10),15-13*ORÇAMENTO!$AF$11))),IF($A128=0,0,ROUND(SomaAgrupBM,15-13*ORÇAMENTO!$AF$11)))</f>
        <v>0</v>
      </c>
    </row>
    <row r="129" spans="1:41" x14ac:dyDescent="0.2">
      <c r="A129">
        <f ca="1">ORÇAMENTO!C129</f>
        <v>2</v>
      </c>
      <c r="B129">
        <f ca="1">ORÇAMENTO!D129</f>
        <v>89</v>
      </c>
      <c r="C129" s="115" t="str">
        <f t="shared" ca="1" si="8"/>
        <v>F</v>
      </c>
      <c r="D129" s="118" t="str">
        <f ca="1">ORÇAMENTO!O129</f>
        <v>1.11.</v>
      </c>
      <c r="E129" s="164" t="str">
        <f t="shared" si="9"/>
        <v>INSTALAÇÕES HIDROSSANITÁRIAS</v>
      </c>
      <c r="F129" s="165" t="str">
        <f ca="1">IF(RegimeExecucao="Global","",ORÇAMENTO.Unidade)</f>
        <v>-</v>
      </c>
      <c r="G129" s="123">
        <f ca="1">IF(RegimeExecucao="Global","",ORÇAMENTO!T129)</f>
        <v>0</v>
      </c>
      <c r="H129" s="123">
        <f ca="1">IF(RegimeExecucao="Global","",ORÇAMENTO!W129)</f>
        <v>0</v>
      </c>
      <c r="I129" s="126">
        <f ca="1">ORÇAMENTO!X129</f>
        <v>0</v>
      </c>
      <c r="J129" s="334" t="e" cm="1">
        <f t="array" aca="1" ref="J129" ca="1">_xlfn.SINGLE(IF($A129="S",IF(CAIXA.Modo,BM.AFAnterior,BM.MEDAnterior),IF(AND(_xlfn.SINGLE(RegimeExecucao)="Global",$I129&gt;0,COUNTIF($AB$13:$AM$13,BM.medicao-1)&gt;0),M129/$I129*100,0)))</f>
        <v>#NAME?</v>
      </c>
      <c r="K129" s="123" t="e">
        <f t="shared" ca="1" si="10"/>
        <v>#NAME?</v>
      </c>
      <c r="L129" s="335" t="e" cm="1">
        <f t="array" aca="1" ref="L129" ca="1">_xlfn.SINGLE(IF($A129="S",IF(CAIXA.Modo,BM.AFAcumulado,BM.MEDAcumulado),IF(AND(_xlfn.SINGLE(RegimeExecucao)="Global",$I129&gt;0,COUNTIF($AB$13:$AM$13,BM.medicao)&gt;0),O129/$I129*100,0)))</f>
        <v>#NAME?</v>
      </c>
      <c r="M129" s="336">
        <f ca="1">IF($A129="S",VTOTALBM,IF($A129=0,0,ROUND(SomaAgrupBM,15-13*ORÇAMENTO!$AF$11)))</f>
        <v>0</v>
      </c>
      <c r="N129" s="337">
        <f t="shared" ca="1" si="11"/>
        <v>0</v>
      </c>
      <c r="O129" s="126">
        <f ca="1">IF($A129="S",VTOTALBM,IF($A129=0,0,ROUND(SomaAgrupBM,15-13*ORÇAMENTO!$AF$11)))</f>
        <v>0</v>
      </c>
      <c r="Q129" s="338"/>
      <c r="R129" s="339"/>
      <c r="T129" s="118" t="str">
        <f t="shared" ca="1" si="12"/>
        <v/>
      </c>
      <c r="U129" s="164" t="str">
        <f t="shared" ca="1" si="13"/>
        <v/>
      </c>
      <c r="V129" s="165" t="str">
        <f ca="1">IF(AND($W129&gt;0,RegimeExecucao="Unitário"),$F129,"")</f>
        <v/>
      </c>
      <c r="W129" s="455">
        <f ca="1">IF($Y129&gt;0,CHOOSE(MATCH(RegimeExecucao,{"Unitário","Global"},0),IF($A129="S",$Y129/$X129,""),($Y129/$X129)*100),0)</f>
        <v>0</v>
      </c>
      <c r="X129" s="340" t="str">
        <f ca="1">IF($Y129&gt;0,CHOOSE(MATCH(RegimeExecucao,{"Unitário","Global"},0),IF($A129="S",ROUND($H129,ORÇAMENTO!$AF$10),""),ROUND($I129,ORÇAMENTO!$AF$11)),"")</f>
        <v/>
      </c>
      <c r="Y129" s="340">
        <f t="shared" ca="1" si="14"/>
        <v>0</v>
      </c>
      <c r="Z129" s="474"/>
      <c r="AB129" s="338"/>
      <c r="AC129" s="438"/>
      <c r="AD129" s="438"/>
      <c r="AE129" s="438"/>
      <c r="AF129" s="438"/>
      <c r="AG129" s="438"/>
      <c r="AH129" s="438"/>
      <c r="AI129" s="438"/>
      <c r="AJ129" s="438"/>
      <c r="AK129" s="438"/>
      <c r="AL129" s="438"/>
      <c r="AM129" s="339"/>
      <c r="AO129">
        <f ca="1">IF($A129="S",IF(BM!$I129=0,0,CHOOSE(MATCH(RegimeExecucao,{"Global","Unitário"},0),ROUND(ROUND(BM.MEDAcumulado,15-13*BM!$A$9)/100*BM!$I129,15-13*ORÇAMENTO!$AF$11),ROUND(ROUND(BM.MEDAcumulado,15-13*BM!$A$9)*ROUND(BM!$H129,15-13*ORÇAMENTO!$AF$10),15-13*ORÇAMENTO!$AF$11))),IF($A129=0,0,ROUND(SomaAgrupBM,15-13*ORÇAMENTO!$AF$11)))</f>
        <v>0</v>
      </c>
    </row>
    <row r="130" spans="1:41" x14ac:dyDescent="0.2">
      <c r="A130">
        <f ca="1">ORÇAMENTO!C130</f>
        <v>3</v>
      </c>
      <c r="B130">
        <f ca="1">ORÇAMENTO!D130</f>
        <v>38</v>
      </c>
      <c r="C130" s="115" t="str">
        <f t="shared" ca="1" si="8"/>
        <v>F</v>
      </c>
      <c r="D130" s="118" t="str">
        <f ca="1">ORÇAMENTO!O130</f>
        <v>1.11.1.</v>
      </c>
      <c r="E130" s="164" t="str">
        <f t="shared" si="9"/>
        <v>ESGOTO</v>
      </c>
      <c r="F130" s="165" t="str">
        <f ca="1">IF(RegimeExecucao="Global","",ORÇAMENTO.Unidade)</f>
        <v>-</v>
      </c>
      <c r="G130" s="123">
        <f ca="1">IF(RegimeExecucao="Global","",ORÇAMENTO!T130)</f>
        <v>0</v>
      </c>
      <c r="H130" s="123">
        <f ca="1">IF(RegimeExecucao="Global","",ORÇAMENTO!W130)</f>
        <v>0</v>
      </c>
      <c r="I130" s="126">
        <f ca="1">ORÇAMENTO!X130</f>
        <v>0</v>
      </c>
      <c r="J130" s="334" t="e" cm="1">
        <f t="array" aca="1" ref="J130" ca="1">_xlfn.SINGLE(IF($A130="S",IF(CAIXA.Modo,BM.AFAnterior,BM.MEDAnterior),IF(AND(_xlfn.SINGLE(RegimeExecucao)="Global",$I130&gt;0,COUNTIF($AB$13:$AM$13,BM.medicao-1)&gt;0),M130/$I130*100,0)))</f>
        <v>#NAME?</v>
      </c>
      <c r="K130" s="123" t="e">
        <f t="shared" ca="1" si="10"/>
        <v>#NAME?</v>
      </c>
      <c r="L130" s="335" t="e" cm="1">
        <f t="array" aca="1" ref="L130" ca="1">_xlfn.SINGLE(IF($A130="S",IF(CAIXA.Modo,BM.AFAcumulado,BM.MEDAcumulado),IF(AND(_xlfn.SINGLE(RegimeExecucao)="Global",$I130&gt;0,COUNTIF($AB$13:$AM$13,BM.medicao)&gt;0),O130/$I130*100,0)))</f>
        <v>#NAME?</v>
      </c>
      <c r="M130" s="336">
        <f ca="1">IF($A130="S",VTOTALBM,IF($A130=0,0,ROUND(SomaAgrupBM,15-13*ORÇAMENTO!$AF$11)))</f>
        <v>0</v>
      </c>
      <c r="N130" s="337">
        <f t="shared" ca="1" si="11"/>
        <v>0</v>
      </c>
      <c r="O130" s="126">
        <f ca="1">IF($A130="S",VTOTALBM,IF($A130=0,0,ROUND(SomaAgrupBM,15-13*ORÇAMENTO!$AF$11)))</f>
        <v>0</v>
      </c>
      <c r="Q130" s="338"/>
      <c r="R130" s="339"/>
      <c r="T130" s="118" t="str">
        <f t="shared" ca="1" si="12"/>
        <v/>
      </c>
      <c r="U130" s="164" t="str">
        <f t="shared" ca="1" si="13"/>
        <v/>
      </c>
      <c r="V130" s="165" t="str">
        <f ca="1">IF(AND($W130&gt;0,RegimeExecucao="Unitário"),$F130,"")</f>
        <v/>
      </c>
      <c r="W130" s="455">
        <f ca="1">IF($Y130&gt;0,CHOOSE(MATCH(RegimeExecucao,{"Unitário","Global"},0),IF($A130="S",$Y130/$X130,""),($Y130/$X130)*100),0)</f>
        <v>0</v>
      </c>
      <c r="X130" s="340" t="str">
        <f ca="1">IF($Y130&gt;0,CHOOSE(MATCH(RegimeExecucao,{"Unitário","Global"},0),IF($A130="S",ROUND($H130,ORÇAMENTO!$AF$10),""),ROUND($I130,ORÇAMENTO!$AF$11)),"")</f>
        <v/>
      </c>
      <c r="Y130" s="340">
        <f t="shared" ca="1" si="14"/>
        <v>0</v>
      </c>
      <c r="Z130" s="474"/>
      <c r="AB130" s="338"/>
      <c r="AC130" s="438"/>
      <c r="AD130" s="438"/>
      <c r="AE130" s="438"/>
      <c r="AF130" s="438"/>
      <c r="AG130" s="438"/>
      <c r="AH130" s="438"/>
      <c r="AI130" s="438"/>
      <c r="AJ130" s="438"/>
      <c r="AK130" s="438"/>
      <c r="AL130" s="438"/>
      <c r="AM130" s="339"/>
      <c r="AO130">
        <f ca="1">IF($A130="S",IF(BM!$I130=0,0,CHOOSE(MATCH(RegimeExecucao,{"Global","Unitário"},0),ROUND(ROUND(BM.MEDAcumulado,15-13*BM!$A$9)/100*BM!$I130,15-13*ORÇAMENTO!$AF$11),ROUND(ROUND(BM.MEDAcumulado,15-13*BM!$A$9)*ROUND(BM!$H130,15-13*ORÇAMENTO!$AF$10),15-13*ORÇAMENTO!$AF$11))),IF($A130=0,0,ROUND(SomaAgrupBM,15-13*ORÇAMENTO!$AF$11)))</f>
        <v>0</v>
      </c>
    </row>
    <row r="131" spans="1:41" ht="38.25" x14ac:dyDescent="0.2">
      <c r="A131" t="str">
        <f ca="1">ORÇAMENTO!C131</f>
        <v>S</v>
      </c>
      <c r="B131">
        <f ca="1">ORÇAMENTO!D131</f>
        <v>0</v>
      </c>
      <c r="C131" s="115" t="str">
        <f t="shared" ca="1" si="8"/>
        <v/>
      </c>
      <c r="D131" s="118" t="str">
        <f ca="1">ORÇAMENTO!O131</f>
        <v>-</v>
      </c>
      <c r="E131" s="164" t="str">
        <f t="shared" si="9"/>
        <v>CAIXA SIFONADA, PVC, DN 100 X 100 X 50 MM, JUNTA ELÁSTICA, FORNECIDA E INSTALADA EM RAMAL DE DESCARGA OU EM RAMAL DE ESGOTO SANITÁRIO. AF_08/2022</v>
      </c>
      <c r="F131" s="165" t="str">
        <f ca="1">IF(RegimeExecucao="Global","",ORÇAMENTO.Unidade)</f>
        <v>UN</v>
      </c>
      <c r="G131" s="123">
        <f ca="1">IF(RegimeExecucao="Global","",ORÇAMENTO!T131)</f>
        <v>24</v>
      </c>
      <c r="H131" s="123">
        <f ca="1">IF(RegimeExecucao="Global","",ORÇAMENTO!W131)</f>
        <v>0</v>
      </c>
      <c r="I131" s="126">
        <f ca="1">ORÇAMENTO!X131</f>
        <v>0</v>
      </c>
      <c r="J131" s="334" t="e" cm="1">
        <f t="array" aca="1" ref="J131" ca="1">_xlfn.SINGLE(IF($A131="S",IF(CAIXA.Modo,BM.AFAnterior,BM.MEDAnterior),IF(AND(_xlfn.SINGLE(RegimeExecucao)="Global",$I131&gt;0,COUNTIF($AB$13:$AM$13,BM.medicao-1)&gt;0),M131/$I131*100,0)))</f>
        <v>#NAME?</v>
      </c>
      <c r="K131" s="123" t="e">
        <f t="shared" ca="1" si="10"/>
        <v>#NAME?</v>
      </c>
      <c r="L131" s="335" t="e" cm="1">
        <f t="array" aca="1" ref="L131" ca="1">_xlfn.SINGLE(IF($A131="S",IF(CAIXA.Modo,BM.AFAcumulado,BM.MEDAcumulado),IF(AND(_xlfn.SINGLE(RegimeExecucao)="Global",$I131&gt;0,COUNTIF($AB$13:$AM$13,BM.medicao)&gt;0),O131/$I131*100,0)))</f>
        <v>#NAME?</v>
      </c>
      <c r="M131" s="336">
        <f ca="1">IF($A131="S",VTOTALBM,IF($A131=0,0,ROUND(SomaAgrupBM,15-13*ORÇAMENTO!$AF$11)))</f>
        <v>0</v>
      </c>
      <c r="N131" s="337">
        <f t="shared" ca="1" si="11"/>
        <v>0</v>
      </c>
      <c r="O131" s="126">
        <f ca="1">IF($A131="S",VTOTALBM,IF($A131=0,0,ROUND(SomaAgrupBM,15-13*ORÇAMENTO!$AF$11)))</f>
        <v>0</v>
      </c>
      <c r="Q131" s="338"/>
      <c r="R131" s="339"/>
      <c r="T131" s="118" t="str">
        <f t="shared" ca="1" si="12"/>
        <v/>
      </c>
      <c r="U131" s="164" t="str">
        <f t="shared" ca="1" si="13"/>
        <v/>
      </c>
      <c r="V131" s="165" t="str">
        <f ca="1">IF(AND($W131&gt;0,RegimeExecucao="Unitário"),$F131,"")</f>
        <v/>
      </c>
      <c r="W131" s="455">
        <f ca="1">IF($Y131&gt;0,CHOOSE(MATCH(RegimeExecucao,{"Unitário","Global"},0),IF($A131="S",$Y131/$X131,""),($Y131/$X131)*100),0)</f>
        <v>0</v>
      </c>
      <c r="X131" s="340" t="str">
        <f ca="1">IF($Y131&gt;0,CHOOSE(MATCH(RegimeExecucao,{"Unitário","Global"},0),IF($A131="S",ROUND($H131,ORÇAMENTO!$AF$10),""),ROUND($I131,ORÇAMENTO!$AF$11)),"")</f>
        <v/>
      </c>
      <c r="Y131" s="340">
        <f t="shared" ca="1" si="14"/>
        <v>0</v>
      </c>
      <c r="Z131" s="474"/>
      <c r="AB131" s="338"/>
      <c r="AC131" s="438"/>
      <c r="AD131" s="438"/>
      <c r="AE131" s="438"/>
      <c r="AF131" s="438"/>
      <c r="AG131" s="438"/>
      <c r="AH131" s="438"/>
      <c r="AI131" s="438"/>
      <c r="AJ131" s="438"/>
      <c r="AK131" s="438"/>
      <c r="AL131" s="438"/>
      <c r="AM131" s="339"/>
      <c r="AO131">
        <f ca="1">IF($A131="S",IF(BM!$I131=0,0,CHOOSE(MATCH(RegimeExecucao,{"Global","Unitário"},0),ROUND(ROUND(BM.MEDAcumulado,15-13*BM!$A$9)/100*BM!$I131,15-13*ORÇAMENTO!$AF$11),ROUND(ROUND(BM.MEDAcumulado,15-13*BM!$A$9)*ROUND(BM!$H131,15-13*ORÇAMENTO!$AF$10),15-13*ORÇAMENTO!$AF$11))),IF($A131=0,0,ROUND(SomaAgrupBM,15-13*ORÇAMENTO!$AF$11)))</f>
        <v>0</v>
      </c>
    </row>
    <row r="132" spans="1:41" x14ac:dyDescent="0.2">
      <c r="A132" t="str">
        <f ca="1">ORÇAMENTO!C132</f>
        <v>S</v>
      </c>
      <c r="B132">
        <f ca="1">ORÇAMENTO!D132</f>
        <v>0</v>
      </c>
      <c r="C132" s="115" t="str">
        <f t="shared" ca="1" si="8"/>
        <v/>
      </c>
      <c r="D132" s="118" t="str">
        <f ca="1">ORÇAMENTO!O132</f>
        <v>-</v>
      </c>
      <c r="E132" s="164" t="str">
        <f t="shared" si="9"/>
        <v xml:space="preserve">RALO LINEAR GRELHA 70 CM </v>
      </c>
      <c r="F132" s="165" t="str">
        <f ca="1">IF(RegimeExecucao="Global","",ORÇAMENTO.Unidade)</f>
        <v>UN</v>
      </c>
      <c r="G132" s="123">
        <f ca="1">IF(RegimeExecucao="Global","",ORÇAMENTO!T132)</f>
        <v>2</v>
      </c>
      <c r="H132" s="123">
        <f ca="1">IF(RegimeExecucao="Global","",ORÇAMENTO!W132)</f>
        <v>0</v>
      </c>
      <c r="I132" s="126">
        <f ca="1">ORÇAMENTO!X132</f>
        <v>0</v>
      </c>
      <c r="J132" s="334" t="e" cm="1">
        <f t="array" aca="1" ref="J132" ca="1">_xlfn.SINGLE(IF($A132="S",IF(CAIXA.Modo,BM.AFAnterior,BM.MEDAnterior),IF(AND(_xlfn.SINGLE(RegimeExecucao)="Global",$I132&gt;0,COUNTIF($AB$13:$AM$13,BM.medicao-1)&gt;0),M132/$I132*100,0)))</f>
        <v>#NAME?</v>
      </c>
      <c r="K132" s="123" t="e">
        <f t="shared" ca="1" si="10"/>
        <v>#NAME?</v>
      </c>
      <c r="L132" s="335" t="e" cm="1">
        <f t="array" aca="1" ref="L132" ca="1">_xlfn.SINGLE(IF($A132="S",IF(CAIXA.Modo,BM.AFAcumulado,BM.MEDAcumulado),IF(AND(_xlfn.SINGLE(RegimeExecucao)="Global",$I132&gt;0,COUNTIF($AB$13:$AM$13,BM.medicao)&gt;0),O132/$I132*100,0)))</f>
        <v>#NAME?</v>
      </c>
      <c r="M132" s="336">
        <f ca="1">IF($A132="S",VTOTALBM,IF($A132=0,0,ROUND(SomaAgrupBM,15-13*ORÇAMENTO!$AF$11)))</f>
        <v>0</v>
      </c>
      <c r="N132" s="337">
        <f t="shared" ca="1" si="11"/>
        <v>0</v>
      </c>
      <c r="O132" s="126">
        <f ca="1">IF($A132="S",VTOTALBM,IF($A132=0,0,ROUND(SomaAgrupBM,15-13*ORÇAMENTO!$AF$11)))</f>
        <v>0</v>
      </c>
      <c r="Q132" s="338"/>
      <c r="R132" s="339"/>
      <c r="T132" s="118" t="str">
        <f t="shared" ca="1" si="12"/>
        <v/>
      </c>
      <c r="U132" s="164" t="str">
        <f t="shared" ca="1" si="13"/>
        <v/>
      </c>
      <c r="V132" s="165" t="str">
        <f ca="1">IF(AND($W132&gt;0,RegimeExecucao="Unitário"),$F132,"")</f>
        <v/>
      </c>
      <c r="W132" s="455">
        <f ca="1">IF($Y132&gt;0,CHOOSE(MATCH(RegimeExecucao,{"Unitário","Global"},0),IF($A132="S",$Y132/$X132,""),($Y132/$X132)*100),0)</f>
        <v>0</v>
      </c>
      <c r="X132" s="340" t="str">
        <f ca="1">IF($Y132&gt;0,CHOOSE(MATCH(RegimeExecucao,{"Unitário","Global"},0),IF($A132="S",ROUND($H132,ORÇAMENTO!$AF$10),""),ROUND($I132,ORÇAMENTO!$AF$11)),"")</f>
        <v/>
      </c>
      <c r="Y132" s="340">
        <f t="shared" ca="1" si="14"/>
        <v>0</v>
      </c>
      <c r="Z132" s="474"/>
      <c r="AB132" s="338"/>
      <c r="AC132" s="438"/>
      <c r="AD132" s="438"/>
      <c r="AE132" s="438"/>
      <c r="AF132" s="438"/>
      <c r="AG132" s="438"/>
      <c r="AH132" s="438"/>
      <c r="AI132" s="438"/>
      <c r="AJ132" s="438"/>
      <c r="AK132" s="438"/>
      <c r="AL132" s="438"/>
      <c r="AM132" s="339"/>
      <c r="AO132">
        <f ca="1">IF($A132="S",IF(BM!$I132=0,0,CHOOSE(MATCH(RegimeExecucao,{"Global","Unitário"},0),ROUND(ROUND(BM.MEDAcumulado,15-13*BM!$A$9)/100*BM!$I132,15-13*ORÇAMENTO!$AF$11),ROUND(ROUND(BM.MEDAcumulado,15-13*BM!$A$9)*ROUND(BM!$H132,15-13*ORÇAMENTO!$AF$10),15-13*ORÇAMENTO!$AF$11))),IF($A132=0,0,ROUND(SomaAgrupBM,15-13*ORÇAMENTO!$AF$11)))</f>
        <v>0</v>
      </c>
    </row>
    <row r="133" spans="1:41" x14ac:dyDescent="0.2">
      <c r="A133" t="str">
        <f ca="1">ORÇAMENTO!C133</f>
        <v>S</v>
      </c>
      <c r="B133">
        <f ca="1">ORÇAMENTO!D133</f>
        <v>0</v>
      </c>
      <c r="C133" s="115" t="str">
        <f t="shared" ca="1" si="8"/>
        <v/>
      </c>
      <c r="D133" s="118" t="str">
        <f ca="1">ORÇAMENTO!O133</f>
        <v>-</v>
      </c>
      <c r="E133" s="164" t="str">
        <f t="shared" si="9"/>
        <v xml:space="preserve">RALO LINEAR GRELHA 90 CM </v>
      </c>
      <c r="F133" s="165" t="str">
        <f ca="1">IF(RegimeExecucao="Global","",ORÇAMENTO.Unidade)</f>
        <v>UN</v>
      </c>
      <c r="G133" s="123">
        <f ca="1">IF(RegimeExecucao="Global","",ORÇAMENTO!T133)</f>
        <v>4</v>
      </c>
      <c r="H133" s="123">
        <f ca="1">IF(RegimeExecucao="Global","",ORÇAMENTO!W133)</f>
        <v>0</v>
      </c>
      <c r="I133" s="126">
        <f ca="1">ORÇAMENTO!X133</f>
        <v>0</v>
      </c>
      <c r="J133" s="334" t="e" cm="1">
        <f t="array" aca="1" ref="J133" ca="1">_xlfn.SINGLE(IF($A133="S",IF(CAIXA.Modo,BM.AFAnterior,BM.MEDAnterior),IF(AND(_xlfn.SINGLE(RegimeExecucao)="Global",$I133&gt;0,COUNTIF($AB$13:$AM$13,BM.medicao-1)&gt;0),M133/$I133*100,0)))</f>
        <v>#NAME?</v>
      </c>
      <c r="K133" s="123" t="e">
        <f t="shared" ca="1" si="10"/>
        <v>#NAME?</v>
      </c>
      <c r="L133" s="335" t="e" cm="1">
        <f t="array" aca="1" ref="L133" ca="1">_xlfn.SINGLE(IF($A133="S",IF(CAIXA.Modo,BM.AFAcumulado,BM.MEDAcumulado),IF(AND(_xlfn.SINGLE(RegimeExecucao)="Global",$I133&gt;0,COUNTIF($AB$13:$AM$13,BM.medicao)&gt;0),O133/$I133*100,0)))</f>
        <v>#NAME?</v>
      </c>
      <c r="M133" s="336">
        <f ca="1">IF($A133="S",VTOTALBM,IF($A133=0,0,ROUND(SomaAgrupBM,15-13*ORÇAMENTO!$AF$11)))</f>
        <v>0</v>
      </c>
      <c r="N133" s="337">
        <f t="shared" ca="1" si="11"/>
        <v>0</v>
      </c>
      <c r="O133" s="126">
        <f ca="1">IF($A133="S",VTOTALBM,IF($A133=0,0,ROUND(SomaAgrupBM,15-13*ORÇAMENTO!$AF$11)))</f>
        <v>0</v>
      </c>
      <c r="Q133" s="338"/>
      <c r="R133" s="339"/>
      <c r="T133" s="118" t="str">
        <f t="shared" ca="1" si="12"/>
        <v/>
      </c>
      <c r="U133" s="164" t="str">
        <f t="shared" ca="1" si="13"/>
        <v/>
      </c>
      <c r="V133" s="165" t="str">
        <f ca="1">IF(AND($W133&gt;0,RegimeExecucao="Unitário"),$F133,"")</f>
        <v/>
      </c>
      <c r="W133" s="455">
        <f ca="1">IF($Y133&gt;0,CHOOSE(MATCH(RegimeExecucao,{"Unitário","Global"},0),IF($A133="S",$Y133/$X133,""),($Y133/$X133)*100),0)</f>
        <v>0</v>
      </c>
      <c r="X133" s="340" t="str">
        <f ca="1">IF($Y133&gt;0,CHOOSE(MATCH(RegimeExecucao,{"Unitário","Global"},0),IF($A133="S",ROUND($H133,ORÇAMENTO!$AF$10),""),ROUND($I133,ORÇAMENTO!$AF$11)),"")</f>
        <v/>
      </c>
      <c r="Y133" s="340">
        <f t="shared" ca="1" si="14"/>
        <v>0</v>
      </c>
      <c r="Z133" s="474"/>
      <c r="AB133" s="338"/>
      <c r="AC133" s="438"/>
      <c r="AD133" s="438"/>
      <c r="AE133" s="438"/>
      <c r="AF133" s="438"/>
      <c r="AG133" s="438"/>
      <c r="AH133" s="438"/>
      <c r="AI133" s="438"/>
      <c r="AJ133" s="438"/>
      <c r="AK133" s="438"/>
      <c r="AL133" s="438"/>
      <c r="AM133" s="339"/>
      <c r="AO133">
        <f ca="1">IF($A133="S",IF(BM!$I133=0,0,CHOOSE(MATCH(RegimeExecucao,{"Global","Unitário"},0),ROUND(ROUND(BM.MEDAcumulado,15-13*BM!$A$9)/100*BM!$I133,15-13*ORÇAMENTO!$AF$11),ROUND(ROUND(BM.MEDAcumulado,15-13*BM!$A$9)*ROUND(BM!$H133,15-13*ORÇAMENTO!$AF$10),15-13*ORÇAMENTO!$AF$11))),IF($A133=0,0,ROUND(SomaAgrupBM,15-13*ORÇAMENTO!$AF$11)))</f>
        <v>0</v>
      </c>
    </row>
    <row r="134" spans="1:41" ht="38.25" x14ac:dyDescent="0.2">
      <c r="A134" t="str">
        <f ca="1">ORÇAMENTO!C134</f>
        <v>S</v>
      </c>
      <c r="B134">
        <f ca="1">ORÇAMENTO!D134</f>
        <v>0</v>
      </c>
      <c r="C134" s="115" t="str">
        <f t="shared" ca="1" si="8"/>
        <v/>
      </c>
      <c r="D134" s="118" t="str">
        <f ca="1">ORÇAMENTO!O134</f>
        <v>-</v>
      </c>
      <c r="E134" s="164" t="str">
        <f t="shared" si="9"/>
        <v>BUCHA DE REDUÇÃO, CURTA, PVC, SOLDÁVEL, DN 50 X 40 MM, INSTALADO EM RAMAL DE DISTRIBUIÇÃO DE ÁGUA - FORNECIMENTO E INSTALAÇÃO. AF_06/2022</v>
      </c>
      <c r="F134" s="165" t="str">
        <f ca="1">IF(RegimeExecucao="Global","",ORÇAMENTO.Unidade)</f>
        <v>UN</v>
      </c>
      <c r="G134" s="123">
        <f ca="1">IF(RegimeExecucao="Global","",ORÇAMENTO!T134)</f>
        <v>4</v>
      </c>
      <c r="H134" s="123">
        <f ca="1">IF(RegimeExecucao="Global","",ORÇAMENTO!W134)</f>
        <v>0</v>
      </c>
      <c r="I134" s="126">
        <f ca="1">ORÇAMENTO!X134</f>
        <v>0</v>
      </c>
      <c r="J134" s="334" t="e" cm="1">
        <f t="array" aca="1" ref="J134" ca="1">_xlfn.SINGLE(IF($A134="S",IF(CAIXA.Modo,BM.AFAnterior,BM.MEDAnterior),IF(AND(_xlfn.SINGLE(RegimeExecucao)="Global",$I134&gt;0,COUNTIF($AB$13:$AM$13,BM.medicao-1)&gt;0),M134/$I134*100,0)))</f>
        <v>#NAME?</v>
      </c>
      <c r="K134" s="123" t="e">
        <f t="shared" ca="1" si="10"/>
        <v>#NAME?</v>
      </c>
      <c r="L134" s="335" t="e" cm="1">
        <f t="array" aca="1" ref="L134" ca="1">_xlfn.SINGLE(IF($A134="S",IF(CAIXA.Modo,BM.AFAcumulado,BM.MEDAcumulado),IF(AND(_xlfn.SINGLE(RegimeExecucao)="Global",$I134&gt;0,COUNTIF($AB$13:$AM$13,BM.medicao)&gt;0),O134/$I134*100,0)))</f>
        <v>#NAME?</v>
      </c>
      <c r="M134" s="336">
        <f ca="1">IF($A134="S",VTOTALBM,IF($A134=0,0,ROUND(SomaAgrupBM,15-13*ORÇAMENTO!$AF$11)))</f>
        <v>0</v>
      </c>
      <c r="N134" s="337">
        <f t="shared" ca="1" si="11"/>
        <v>0</v>
      </c>
      <c r="O134" s="126">
        <f ca="1">IF($A134="S",VTOTALBM,IF($A134=0,0,ROUND(SomaAgrupBM,15-13*ORÇAMENTO!$AF$11)))</f>
        <v>0</v>
      </c>
      <c r="Q134" s="338"/>
      <c r="R134" s="339"/>
      <c r="T134" s="118" t="str">
        <f t="shared" ca="1" si="12"/>
        <v/>
      </c>
      <c r="U134" s="164" t="str">
        <f t="shared" ca="1" si="13"/>
        <v/>
      </c>
      <c r="V134" s="165" t="str">
        <f ca="1">IF(AND($W134&gt;0,RegimeExecucao="Unitário"),$F134,"")</f>
        <v/>
      </c>
      <c r="W134" s="455">
        <f ca="1">IF($Y134&gt;0,CHOOSE(MATCH(RegimeExecucao,{"Unitário","Global"},0),IF($A134="S",$Y134/$X134,""),($Y134/$X134)*100),0)</f>
        <v>0</v>
      </c>
      <c r="X134" s="340" t="str">
        <f ca="1">IF($Y134&gt;0,CHOOSE(MATCH(RegimeExecucao,{"Unitário","Global"},0),IF($A134="S",ROUND($H134,ORÇAMENTO!$AF$10),""),ROUND($I134,ORÇAMENTO!$AF$11)),"")</f>
        <v/>
      </c>
      <c r="Y134" s="340">
        <f t="shared" ca="1" si="14"/>
        <v>0</v>
      </c>
      <c r="Z134" s="474"/>
      <c r="AB134" s="338"/>
      <c r="AC134" s="438"/>
      <c r="AD134" s="438"/>
      <c r="AE134" s="438"/>
      <c r="AF134" s="438"/>
      <c r="AG134" s="438"/>
      <c r="AH134" s="438"/>
      <c r="AI134" s="438"/>
      <c r="AJ134" s="438"/>
      <c r="AK134" s="438"/>
      <c r="AL134" s="438"/>
      <c r="AM134" s="339"/>
      <c r="AO134">
        <f ca="1">IF($A134="S",IF(BM!$I134=0,0,CHOOSE(MATCH(RegimeExecucao,{"Global","Unitário"},0),ROUND(ROUND(BM.MEDAcumulado,15-13*BM!$A$9)/100*BM!$I134,15-13*ORÇAMENTO!$AF$11),ROUND(ROUND(BM.MEDAcumulado,15-13*BM!$A$9)*ROUND(BM!$H134,15-13*ORÇAMENTO!$AF$10),15-13*ORÇAMENTO!$AF$11))),IF($A134=0,0,ROUND(SomaAgrupBM,15-13*ORÇAMENTO!$AF$11)))</f>
        <v>0</v>
      </c>
    </row>
    <row r="135" spans="1:41" ht="25.5" x14ac:dyDescent="0.2">
      <c r="A135" t="str">
        <f ca="1">ORÇAMENTO!C135</f>
        <v>S</v>
      </c>
      <c r="B135">
        <f ca="1">ORÇAMENTO!D135</f>
        <v>0</v>
      </c>
      <c r="C135" s="115" t="str">
        <f t="shared" ca="1" si="8"/>
        <v/>
      </c>
      <c r="D135" s="118" t="str">
        <f ca="1">ORÇAMENTO!O135</f>
        <v>-</v>
      </c>
      <c r="E135" s="164" t="str">
        <f t="shared" si="9"/>
        <v xml:space="preserve">CAP PVC, SOLDAVEL, DN 50 MM, SERIE NORMAL, PARA ESGOTO PREDIAL                                                                                                                                                                                            </v>
      </c>
      <c r="F135" s="165" t="str">
        <f ca="1">IF(RegimeExecucao="Global","",ORÇAMENTO.Unidade)</f>
        <v xml:space="preserve">UN    </v>
      </c>
      <c r="G135" s="123">
        <f ca="1">IF(RegimeExecucao="Global","",ORÇAMENTO!T135)</f>
        <v>2</v>
      </c>
      <c r="H135" s="123">
        <f ca="1">IF(RegimeExecucao="Global","",ORÇAMENTO!W135)</f>
        <v>0</v>
      </c>
      <c r="I135" s="126">
        <f ca="1">ORÇAMENTO!X135</f>
        <v>0</v>
      </c>
      <c r="J135" s="334" t="e" cm="1">
        <f t="array" aca="1" ref="J135" ca="1">_xlfn.SINGLE(IF($A135="S",IF(CAIXA.Modo,BM.AFAnterior,BM.MEDAnterior),IF(AND(_xlfn.SINGLE(RegimeExecucao)="Global",$I135&gt;0,COUNTIF($AB$13:$AM$13,BM.medicao-1)&gt;0),M135/$I135*100,0)))</f>
        <v>#NAME?</v>
      </c>
      <c r="K135" s="123" t="e">
        <f t="shared" ca="1" si="10"/>
        <v>#NAME?</v>
      </c>
      <c r="L135" s="335" t="e" cm="1">
        <f t="array" aca="1" ref="L135" ca="1">_xlfn.SINGLE(IF($A135="S",IF(CAIXA.Modo,BM.AFAcumulado,BM.MEDAcumulado),IF(AND(_xlfn.SINGLE(RegimeExecucao)="Global",$I135&gt;0,COUNTIF($AB$13:$AM$13,BM.medicao)&gt;0),O135/$I135*100,0)))</f>
        <v>#NAME?</v>
      </c>
      <c r="M135" s="336">
        <f ca="1">IF($A135="S",VTOTALBM,IF($A135=0,0,ROUND(SomaAgrupBM,15-13*ORÇAMENTO!$AF$11)))</f>
        <v>0</v>
      </c>
      <c r="N135" s="337">
        <f t="shared" ca="1" si="11"/>
        <v>0</v>
      </c>
      <c r="O135" s="126">
        <f ca="1">IF($A135="S",VTOTALBM,IF($A135=0,0,ROUND(SomaAgrupBM,15-13*ORÇAMENTO!$AF$11)))</f>
        <v>0</v>
      </c>
      <c r="Q135" s="338"/>
      <c r="R135" s="339"/>
      <c r="T135" s="118" t="str">
        <f t="shared" ca="1" si="12"/>
        <v/>
      </c>
      <c r="U135" s="164" t="str">
        <f t="shared" ca="1" si="13"/>
        <v/>
      </c>
      <c r="V135" s="165" t="str">
        <f ca="1">IF(AND($W135&gt;0,RegimeExecucao="Unitário"),$F135,"")</f>
        <v/>
      </c>
      <c r="W135" s="455">
        <f ca="1">IF($Y135&gt;0,CHOOSE(MATCH(RegimeExecucao,{"Unitário","Global"},0),IF($A135="S",$Y135/$X135,""),($Y135/$X135)*100),0)</f>
        <v>0</v>
      </c>
      <c r="X135" s="340" t="str">
        <f ca="1">IF($Y135&gt;0,CHOOSE(MATCH(RegimeExecucao,{"Unitário","Global"},0),IF($A135="S",ROUND($H135,ORÇAMENTO!$AF$10),""),ROUND($I135,ORÇAMENTO!$AF$11)),"")</f>
        <v/>
      </c>
      <c r="Y135" s="340">
        <f t="shared" ca="1" si="14"/>
        <v>0</v>
      </c>
      <c r="Z135" s="474"/>
      <c r="AB135" s="338"/>
      <c r="AC135" s="438"/>
      <c r="AD135" s="438"/>
      <c r="AE135" s="438"/>
      <c r="AF135" s="438"/>
      <c r="AG135" s="438"/>
      <c r="AH135" s="438"/>
      <c r="AI135" s="438"/>
      <c r="AJ135" s="438"/>
      <c r="AK135" s="438"/>
      <c r="AL135" s="438"/>
      <c r="AM135" s="339"/>
      <c r="AO135">
        <f ca="1">IF($A135="S",IF(BM!$I135=0,0,CHOOSE(MATCH(RegimeExecucao,{"Global","Unitário"},0),ROUND(ROUND(BM.MEDAcumulado,15-13*BM!$A$9)/100*BM!$I135,15-13*ORÇAMENTO!$AF$11),ROUND(ROUND(BM.MEDAcumulado,15-13*BM!$A$9)*ROUND(BM!$H135,15-13*ORÇAMENTO!$AF$10),15-13*ORÇAMENTO!$AF$11))),IF($A135=0,0,ROUND(SomaAgrupBM,15-13*ORÇAMENTO!$AF$11)))</f>
        <v>0</v>
      </c>
    </row>
    <row r="136" spans="1:41" x14ac:dyDescent="0.2">
      <c r="A136" t="str">
        <f ca="1">ORÇAMENTO!C136</f>
        <v>S</v>
      </c>
      <c r="B136">
        <f ca="1">ORÇAMENTO!D136</f>
        <v>0</v>
      </c>
      <c r="C136" s="115" t="str">
        <f t="shared" ca="1" si="8"/>
        <v/>
      </c>
      <c r="D136" s="118" t="str">
        <f ca="1">ORÇAMENTO!O136</f>
        <v>-</v>
      </c>
      <c r="E136" s="164" t="str">
        <f t="shared" si="9"/>
        <v xml:space="preserve">CAP PVC, SOLDAVEL, 40 MM, PARA AGUA FRIA PREDIAL                                                                                                                                                                                                          </v>
      </c>
      <c r="F136" s="165" t="str">
        <f ca="1">IF(RegimeExecucao="Global","",ORÇAMENTO.Unidade)</f>
        <v xml:space="preserve">UN    </v>
      </c>
      <c r="G136" s="123">
        <f ca="1">IF(RegimeExecucao="Global","",ORÇAMENTO!T136)</f>
        <v>39</v>
      </c>
      <c r="H136" s="123">
        <f ca="1">IF(RegimeExecucao="Global","",ORÇAMENTO!W136)</f>
        <v>0</v>
      </c>
      <c r="I136" s="126">
        <f ca="1">ORÇAMENTO!X136</f>
        <v>0</v>
      </c>
      <c r="J136" s="334" t="e" cm="1">
        <f t="array" aca="1" ref="J136" ca="1">_xlfn.SINGLE(IF($A136="S",IF(CAIXA.Modo,BM.AFAnterior,BM.MEDAnterior),IF(AND(_xlfn.SINGLE(RegimeExecucao)="Global",$I136&gt;0,COUNTIF($AB$13:$AM$13,BM.medicao-1)&gt;0),M136/$I136*100,0)))</f>
        <v>#NAME?</v>
      </c>
      <c r="K136" s="123" t="e">
        <f t="shared" ca="1" si="10"/>
        <v>#NAME?</v>
      </c>
      <c r="L136" s="335" t="e" cm="1">
        <f t="array" aca="1" ref="L136" ca="1">_xlfn.SINGLE(IF($A136="S",IF(CAIXA.Modo,BM.AFAcumulado,BM.MEDAcumulado),IF(AND(_xlfn.SINGLE(RegimeExecucao)="Global",$I136&gt;0,COUNTIF($AB$13:$AM$13,BM.medicao)&gt;0),O136/$I136*100,0)))</f>
        <v>#NAME?</v>
      </c>
      <c r="M136" s="336">
        <f ca="1">IF($A136="S",VTOTALBM,IF($A136=0,0,ROUND(SomaAgrupBM,15-13*ORÇAMENTO!$AF$11)))</f>
        <v>0</v>
      </c>
      <c r="N136" s="337">
        <f t="shared" ca="1" si="11"/>
        <v>0</v>
      </c>
      <c r="O136" s="126">
        <f ca="1">IF($A136="S",VTOTALBM,IF($A136=0,0,ROUND(SomaAgrupBM,15-13*ORÇAMENTO!$AF$11)))</f>
        <v>0</v>
      </c>
      <c r="Q136" s="338"/>
      <c r="R136" s="339"/>
      <c r="T136" s="118" t="str">
        <f t="shared" ca="1" si="12"/>
        <v/>
      </c>
      <c r="U136" s="164" t="str">
        <f t="shared" ca="1" si="13"/>
        <v/>
      </c>
      <c r="V136" s="165" t="str">
        <f ca="1">IF(AND($W136&gt;0,RegimeExecucao="Unitário"),$F136,"")</f>
        <v/>
      </c>
      <c r="W136" s="455">
        <f ca="1">IF($Y136&gt;0,CHOOSE(MATCH(RegimeExecucao,{"Unitário","Global"},0),IF($A136="S",$Y136/$X136,""),($Y136/$X136)*100),0)</f>
        <v>0</v>
      </c>
      <c r="X136" s="340" t="str">
        <f ca="1">IF($Y136&gt;0,CHOOSE(MATCH(RegimeExecucao,{"Unitário","Global"},0),IF($A136="S",ROUND($H136,ORÇAMENTO!$AF$10),""),ROUND($I136,ORÇAMENTO!$AF$11)),"")</f>
        <v/>
      </c>
      <c r="Y136" s="340">
        <f t="shared" ca="1" si="14"/>
        <v>0</v>
      </c>
      <c r="Z136" s="474"/>
      <c r="AB136" s="338"/>
      <c r="AC136" s="438"/>
      <c r="AD136" s="438"/>
      <c r="AE136" s="438"/>
      <c r="AF136" s="438"/>
      <c r="AG136" s="438"/>
      <c r="AH136" s="438"/>
      <c r="AI136" s="438"/>
      <c r="AJ136" s="438"/>
      <c r="AK136" s="438"/>
      <c r="AL136" s="438"/>
      <c r="AM136" s="339"/>
      <c r="AO136">
        <f ca="1">IF($A136="S",IF(BM!$I136=0,0,CHOOSE(MATCH(RegimeExecucao,{"Global","Unitário"},0),ROUND(ROUND(BM.MEDAcumulado,15-13*BM!$A$9)/100*BM!$I136,15-13*ORÇAMENTO!$AF$11),ROUND(ROUND(BM.MEDAcumulado,15-13*BM!$A$9)*ROUND(BM!$H136,15-13*ORÇAMENTO!$AF$10),15-13*ORÇAMENTO!$AF$11))),IF($A136=0,0,ROUND(SomaAgrupBM,15-13*ORÇAMENTO!$AF$11)))</f>
        <v>0</v>
      </c>
    </row>
    <row r="137" spans="1:41" ht="38.25" x14ac:dyDescent="0.2">
      <c r="A137" t="str">
        <f ca="1">ORÇAMENTO!C137</f>
        <v>S</v>
      </c>
      <c r="B137">
        <f ca="1">ORÇAMENTO!D137</f>
        <v>0</v>
      </c>
      <c r="C137" s="115" t="str">
        <f t="shared" ca="1" si="8"/>
        <v/>
      </c>
      <c r="D137" s="118" t="str">
        <f ca="1">ORÇAMENTO!O137</f>
        <v>-</v>
      </c>
      <c r="E137" s="164" t="str">
        <f t="shared" si="9"/>
        <v>JOELHO 45 GRAUS, PVC, SERIE NORMAL, ESGOTO PREDIAL, DN 100 MM, JUNTA ELÁSTICA, FORNECIDO E INSTALADO EM RAMAL DE DESCARGA OU RAMAL DE ESGOTO SANITÁRIO. AF_08/2022</v>
      </c>
      <c r="F137" s="165" t="str">
        <f ca="1">IF(RegimeExecucao="Global","",ORÇAMENTO.Unidade)</f>
        <v>UN</v>
      </c>
      <c r="G137" s="123">
        <f ca="1">IF(RegimeExecucao="Global","",ORÇAMENTO!T137)</f>
        <v>18</v>
      </c>
      <c r="H137" s="123">
        <f ca="1">IF(RegimeExecucao="Global","",ORÇAMENTO!W137)</f>
        <v>0</v>
      </c>
      <c r="I137" s="126">
        <f ca="1">ORÇAMENTO!X137</f>
        <v>0</v>
      </c>
      <c r="J137" s="334" t="e" cm="1">
        <f t="array" aca="1" ref="J137" ca="1">_xlfn.SINGLE(IF($A137="S",IF(CAIXA.Modo,BM.AFAnterior,BM.MEDAnterior),IF(AND(_xlfn.SINGLE(RegimeExecucao)="Global",$I137&gt;0,COUNTIF($AB$13:$AM$13,BM.medicao-1)&gt;0),M137/$I137*100,0)))</f>
        <v>#NAME?</v>
      </c>
      <c r="K137" s="123" t="e">
        <f t="shared" ca="1" si="10"/>
        <v>#NAME?</v>
      </c>
      <c r="L137" s="335" t="e" cm="1">
        <f t="array" aca="1" ref="L137" ca="1">_xlfn.SINGLE(IF($A137="S",IF(CAIXA.Modo,BM.AFAcumulado,BM.MEDAcumulado),IF(AND(_xlfn.SINGLE(RegimeExecucao)="Global",$I137&gt;0,COUNTIF($AB$13:$AM$13,BM.medicao)&gt;0),O137/$I137*100,0)))</f>
        <v>#NAME?</v>
      </c>
      <c r="M137" s="336">
        <f ca="1">IF($A137="S",VTOTALBM,IF($A137=0,0,ROUND(SomaAgrupBM,15-13*ORÇAMENTO!$AF$11)))</f>
        <v>0</v>
      </c>
      <c r="N137" s="337">
        <f t="shared" ca="1" si="11"/>
        <v>0</v>
      </c>
      <c r="O137" s="126">
        <f ca="1">IF($A137="S",VTOTALBM,IF($A137=0,0,ROUND(SomaAgrupBM,15-13*ORÇAMENTO!$AF$11)))</f>
        <v>0</v>
      </c>
      <c r="Q137" s="338"/>
      <c r="R137" s="339"/>
      <c r="T137" s="118" t="str">
        <f t="shared" ca="1" si="12"/>
        <v/>
      </c>
      <c r="U137" s="164" t="str">
        <f t="shared" ca="1" si="13"/>
        <v/>
      </c>
      <c r="V137" s="165" t="str">
        <f ca="1">IF(AND($W137&gt;0,RegimeExecucao="Unitário"),$F137,"")</f>
        <v/>
      </c>
      <c r="W137" s="455">
        <f ca="1">IF($Y137&gt;0,CHOOSE(MATCH(RegimeExecucao,{"Unitário","Global"},0),IF($A137="S",$Y137/$X137,""),($Y137/$X137)*100),0)</f>
        <v>0</v>
      </c>
      <c r="X137" s="340" t="str">
        <f ca="1">IF($Y137&gt;0,CHOOSE(MATCH(RegimeExecucao,{"Unitário","Global"},0),IF($A137="S",ROUND($H137,ORÇAMENTO!$AF$10),""),ROUND($I137,ORÇAMENTO!$AF$11)),"")</f>
        <v/>
      </c>
      <c r="Y137" s="340">
        <f t="shared" ca="1" si="14"/>
        <v>0</v>
      </c>
      <c r="Z137" s="474"/>
      <c r="AB137" s="338"/>
      <c r="AC137" s="438"/>
      <c r="AD137" s="438"/>
      <c r="AE137" s="438"/>
      <c r="AF137" s="438"/>
      <c r="AG137" s="438"/>
      <c r="AH137" s="438"/>
      <c r="AI137" s="438"/>
      <c r="AJ137" s="438"/>
      <c r="AK137" s="438"/>
      <c r="AL137" s="438"/>
      <c r="AM137" s="339"/>
      <c r="AO137">
        <f ca="1">IF($A137="S",IF(BM!$I137=0,0,CHOOSE(MATCH(RegimeExecucao,{"Global","Unitário"},0),ROUND(ROUND(BM.MEDAcumulado,15-13*BM!$A$9)/100*BM!$I137,15-13*ORÇAMENTO!$AF$11),ROUND(ROUND(BM.MEDAcumulado,15-13*BM!$A$9)*ROUND(BM!$H137,15-13*ORÇAMENTO!$AF$10),15-13*ORÇAMENTO!$AF$11))),IF($A137=0,0,ROUND(SomaAgrupBM,15-13*ORÇAMENTO!$AF$11)))</f>
        <v>0</v>
      </c>
    </row>
    <row r="138" spans="1:41" ht="38.25" x14ac:dyDescent="0.2">
      <c r="A138" t="str">
        <f ca="1">ORÇAMENTO!C138</f>
        <v>S</v>
      </c>
      <c r="B138">
        <f ca="1">ORÇAMENTO!D138</f>
        <v>0</v>
      </c>
      <c r="C138" s="115" t="str">
        <f t="shared" ca="1" si="8"/>
        <v/>
      </c>
      <c r="D138" s="118" t="str">
        <f ca="1">ORÇAMENTO!O138</f>
        <v>-</v>
      </c>
      <c r="E138" s="164" t="str">
        <f t="shared" si="9"/>
        <v>JOELHO 45 GRAUS, PVC, SERIE NORMAL, ESGOTO PREDIAL, DN 150 MM, JUNTA ELÁSTICA, FORNECIDO E INSTALADO EM SUBCOLETOR AÉREO DE ESGOTO SANITÁRIO. AF_08/2022</v>
      </c>
      <c r="F138" s="165" t="str">
        <f ca="1">IF(RegimeExecucao="Global","",ORÇAMENTO.Unidade)</f>
        <v>UN</v>
      </c>
      <c r="G138" s="123">
        <f ca="1">IF(RegimeExecucao="Global","",ORÇAMENTO!T138)</f>
        <v>1</v>
      </c>
      <c r="H138" s="123">
        <f ca="1">IF(RegimeExecucao="Global","",ORÇAMENTO!W138)</f>
        <v>0</v>
      </c>
      <c r="I138" s="126">
        <f ca="1">ORÇAMENTO!X138</f>
        <v>0</v>
      </c>
      <c r="J138" s="334" t="e" cm="1">
        <f t="array" aca="1" ref="J138" ca="1">_xlfn.SINGLE(IF($A138="S",IF(CAIXA.Modo,BM.AFAnterior,BM.MEDAnterior),IF(AND(_xlfn.SINGLE(RegimeExecucao)="Global",$I138&gt;0,COUNTIF($AB$13:$AM$13,BM.medicao-1)&gt;0),M138/$I138*100,0)))</f>
        <v>#NAME?</v>
      </c>
      <c r="K138" s="123" t="e">
        <f t="shared" ca="1" si="10"/>
        <v>#NAME?</v>
      </c>
      <c r="L138" s="335" t="e" cm="1">
        <f t="array" aca="1" ref="L138" ca="1">_xlfn.SINGLE(IF($A138="S",IF(CAIXA.Modo,BM.AFAcumulado,BM.MEDAcumulado),IF(AND(_xlfn.SINGLE(RegimeExecucao)="Global",$I138&gt;0,COUNTIF($AB$13:$AM$13,BM.medicao)&gt;0),O138/$I138*100,0)))</f>
        <v>#NAME?</v>
      </c>
      <c r="M138" s="336">
        <f ca="1">IF($A138="S",VTOTALBM,IF($A138=0,0,ROUND(SomaAgrupBM,15-13*ORÇAMENTO!$AF$11)))</f>
        <v>0</v>
      </c>
      <c r="N138" s="337">
        <f t="shared" ca="1" si="11"/>
        <v>0</v>
      </c>
      <c r="O138" s="126">
        <f ca="1">IF($A138="S",VTOTALBM,IF($A138=0,0,ROUND(SomaAgrupBM,15-13*ORÇAMENTO!$AF$11)))</f>
        <v>0</v>
      </c>
      <c r="Q138" s="338"/>
      <c r="R138" s="339"/>
      <c r="T138" s="118" t="str">
        <f t="shared" ca="1" si="12"/>
        <v/>
      </c>
      <c r="U138" s="164" t="str">
        <f t="shared" ca="1" si="13"/>
        <v/>
      </c>
      <c r="V138" s="165" t="str">
        <f ca="1">IF(AND($W138&gt;0,RegimeExecucao="Unitário"),$F138,"")</f>
        <v/>
      </c>
      <c r="W138" s="455">
        <f ca="1">IF($Y138&gt;0,CHOOSE(MATCH(RegimeExecucao,{"Unitário","Global"},0),IF($A138="S",$Y138/$X138,""),($Y138/$X138)*100),0)</f>
        <v>0</v>
      </c>
      <c r="X138" s="340" t="str">
        <f ca="1">IF($Y138&gt;0,CHOOSE(MATCH(RegimeExecucao,{"Unitário","Global"},0),IF($A138="S",ROUND($H138,ORÇAMENTO!$AF$10),""),ROUND($I138,ORÇAMENTO!$AF$11)),"")</f>
        <v/>
      </c>
      <c r="Y138" s="340">
        <f t="shared" ca="1" si="14"/>
        <v>0</v>
      </c>
      <c r="Z138" s="474"/>
      <c r="AB138" s="338"/>
      <c r="AC138" s="438"/>
      <c r="AD138" s="438"/>
      <c r="AE138" s="438"/>
      <c r="AF138" s="438"/>
      <c r="AG138" s="438"/>
      <c r="AH138" s="438"/>
      <c r="AI138" s="438"/>
      <c r="AJ138" s="438"/>
      <c r="AK138" s="438"/>
      <c r="AL138" s="438"/>
      <c r="AM138" s="339"/>
      <c r="AO138">
        <f ca="1">IF($A138="S",IF(BM!$I138=0,0,CHOOSE(MATCH(RegimeExecucao,{"Global","Unitário"},0),ROUND(ROUND(BM.MEDAcumulado,15-13*BM!$A$9)/100*BM!$I138,15-13*ORÇAMENTO!$AF$11),ROUND(ROUND(BM.MEDAcumulado,15-13*BM!$A$9)*ROUND(BM!$H138,15-13*ORÇAMENTO!$AF$10),15-13*ORÇAMENTO!$AF$11))),IF($A138=0,0,ROUND(SomaAgrupBM,15-13*ORÇAMENTO!$AF$11)))</f>
        <v>0</v>
      </c>
    </row>
    <row r="139" spans="1:41" ht="38.25" x14ac:dyDescent="0.2">
      <c r="A139" t="str">
        <f ca="1">ORÇAMENTO!C139</f>
        <v>S</v>
      </c>
      <c r="B139">
        <f ca="1">ORÇAMENTO!D139</f>
        <v>0</v>
      </c>
      <c r="C139" s="115" t="str">
        <f t="shared" ca="1" si="8"/>
        <v/>
      </c>
      <c r="D139" s="118" t="str">
        <f ca="1">ORÇAMENTO!O139</f>
        <v>-</v>
      </c>
      <c r="E139" s="164" t="str">
        <f t="shared" si="9"/>
        <v>JOELHO 45 GRAUS, PVC, SERIE NORMAL, ESGOTO PREDIAL, DN 40 MM, JUNTA SOLDÁVEL, FORNECIDO E INSTALADO EM RAMAL DE DESCARGA OU RAMAL DE ESGOTO SANITÁRIO. AF_08/2022</v>
      </c>
      <c r="F139" s="165" t="str">
        <f ca="1">IF(RegimeExecucao="Global","",ORÇAMENTO.Unidade)</f>
        <v>UN</v>
      </c>
      <c r="G139" s="123">
        <f ca="1">IF(RegimeExecucao="Global","",ORÇAMENTO!T139)</f>
        <v>38</v>
      </c>
      <c r="H139" s="123">
        <f ca="1">IF(RegimeExecucao="Global","",ORÇAMENTO!W139)</f>
        <v>0</v>
      </c>
      <c r="I139" s="126">
        <f ca="1">ORÇAMENTO!X139</f>
        <v>0</v>
      </c>
      <c r="J139" s="334" t="e" cm="1">
        <f t="array" aca="1" ref="J139" ca="1">_xlfn.SINGLE(IF($A139="S",IF(CAIXA.Modo,BM.AFAnterior,BM.MEDAnterior),IF(AND(_xlfn.SINGLE(RegimeExecucao)="Global",$I139&gt;0,COUNTIF($AB$13:$AM$13,BM.medicao-1)&gt;0),M139/$I139*100,0)))</f>
        <v>#NAME?</v>
      </c>
      <c r="K139" s="123" t="e">
        <f t="shared" ca="1" si="10"/>
        <v>#NAME?</v>
      </c>
      <c r="L139" s="335" t="e" cm="1">
        <f t="array" aca="1" ref="L139" ca="1">_xlfn.SINGLE(IF($A139="S",IF(CAIXA.Modo,BM.AFAcumulado,BM.MEDAcumulado),IF(AND(_xlfn.SINGLE(RegimeExecucao)="Global",$I139&gt;0,COUNTIF($AB$13:$AM$13,BM.medicao)&gt;0),O139/$I139*100,0)))</f>
        <v>#NAME?</v>
      </c>
      <c r="M139" s="336">
        <f ca="1">IF($A139="S",VTOTALBM,IF($A139=0,0,ROUND(SomaAgrupBM,15-13*ORÇAMENTO!$AF$11)))</f>
        <v>0</v>
      </c>
      <c r="N139" s="337">
        <f t="shared" ca="1" si="11"/>
        <v>0</v>
      </c>
      <c r="O139" s="126">
        <f ca="1">IF($A139="S",VTOTALBM,IF($A139=0,0,ROUND(SomaAgrupBM,15-13*ORÇAMENTO!$AF$11)))</f>
        <v>0</v>
      </c>
      <c r="Q139" s="338"/>
      <c r="R139" s="339"/>
      <c r="T139" s="118" t="str">
        <f t="shared" ca="1" si="12"/>
        <v/>
      </c>
      <c r="U139" s="164" t="str">
        <f t="shared" ca="1" si="13"/>
        <v/>
      </c>
      <c r="V139" s="165" t="str">
        <f ca="1">IF(AND($W139&gt;0,RegimeExecucao="Unitário"),$F139,"")</f>
        <v/>
      </c>
      <c r="W139" s="455">
        <f ca="1">IF($Y139&gt;0,CHOOSE(MATCH(RegimeExecucao,{"Unitário","Global"},0),IF($A139="S",$Y139/$X139,""),($Y139/$X139)*100),0)</f>
        <v>0</v>
      </c>
      <c r="X139" s="340" t="str">
        <f ca="1">IF($Y139&gt;0,CHOOSE(MATCH(RegimeExecucao,{"Unitário","Global"},0),IF($A139="S",ROUND($H139,ORÇAMENTO!$AF$10),""),ROUND($I139,ORÇAMENTO!$AF$11)),"")</f>
        <v/>
      </c>
      <c r="Y139" s="340">
        <f t="shared" ca="1" si="14"/>
        <v>0</v>
      </c>
      <c r="Z139" s="474"/>
      <c r="AB139" s="338"/>
      <c r="AC139" s="438"/>
      <c r="AD139" s="438"/>
      <c r="AE139" s="438"/>
      <c r="AF139" s="438"/>
      <c r="AG139" s="438"/>
      <c r="AH139" s="438"/>
      <c r="AI139" s="438"/>
      <c r="AJ139" s="438"/>
      <c r="AK139" s="438"/>
      <c r="AL139" s="438"/>
      <c r="AM139" s="339"/>
      <c r="AO139">
        <f ca="1">IF($A139="S",IF(BM!$I139=0,0,CHOOSE(MATCH(RegimeExecucao,{"Global","Unitário"},0),ROUND(ROUND(BM.MEDAcumulado,15-13*BM!$A$9)/100*BM!$I139,15-13*ORÇAMENTO!$AF$11),ROUND(ROUND(BM.MEDAcumulado,15-13*BM!$A$9)*ROUND(BM!$H139,15-13*ORÇAMENTO!$AF$10),15-13*ORÇAMENTO!$AF$11))),IF($A139=0,0,ROUND(SomaAgrupBM,15-13*ORÇAMENTO!$AF$11)))</f>
        <v>0</v>
      </c>
    </row>
    <row r="140" spans="1:41" ht="38.25" x14ac:dyDescent="0.2">
      <c r="A140" t="str">
        <f ca="1">ORÇAMENTO!C140</f>
        <v>S</v>
      </c>
      <c r="B140">
        <f ca="1">ORÇAMENTO!D140</f>
        <v>0</v>
      </c>
      <c r="C140" s="115" t="str">
        <f t="shared" ca="1" si="8"/>
        <v/>
      </c>
      <c r="D140" s="118" t="str">
        <f ca="1">ORÇAMENTO!O140</f>
        <v>-</v>
      </c>
      <c r="E140" s="164" t="str">
        <f t="shared" si="9"/>
        <v>JOELHO 45 GRAUS, PVC, SERIE NORMAL, ESGOTO PREDIAL, DN 50 MM, JUNTA ELÁSTICA, FORNECIDO E INSTALADO EM RAMAL DE DESCARGA OU RAMAL DE ESGOTO SANITÁRIO. AF_08/2022</v>
      </c>
      <c r="F140" s="165" t="str">
        <f ca="1">IF(RegimeExecucao="Global","",ORÇAMENTO.Unidade)</f>
        <v>UN</v>
      </c>
      <c r="G140" s="123">
        <f ca="1">IF(RegimeExecucao="Global","",ORÇAMENTO!T140)</f>
        <v>42</v>
      </c>
      <c r="H140" s="123">
        <f ca="1">IF(RegimeExecucao="Global","",ORÇAMENTO!W140)</f>
        <v>0</v>
      </c>
      <c r="I140" s="126">
        <f ca="1">ORÇAMENTO!X140</f>
        <v>0</v>
      </c>
      <c r="J140" s="334" t="e" cm="1">
        <f t="array" aca="1" ref="J140" ca="1">_xlfn.SINGLE(IF($A140="S",IF(CAIXA.Modo,BM.AFAnterior,BM.MEDAnterior),IF(AND(_xlfn.SINGLE(RegimeExecucao)="Global",$I140&gt;0,COUNTIF($AB$13:$AM$13,BM.medicao-1)&gt;0),M140/$I140*100,0)))</f>
        <v>#NAME?</v>
      </c>
      <c r="K140" s="123" t="e">
        <f t="shared" ca="1" si="10"/>
        <v>#NAME?</v>
      </c>
      <c r="L140" s="335" t="e" cm="1">
        <f t="array" aca="1" ref="L140" ca="1">_xlfn.SINGLE(IF($A140="S",IF(CAIXA.Modo,BM.AFAcumulado,BM.MEDAcumulado),IF(AND(_xlfn.SINGLE(RegimeExecucao)="Global",$I140&gt;0,COUNTIF($AB$13:$AM$13,BM.medicao)&gt;0),O140/$I140*100,0)))</f>
        <v>#NAME?</v>
      </c>
      <c r="M140" s="336">
        <f ca="1">IF($A140="S",VTOTALBM,IF($A140=0,0,ROUND(SomaAgrupBM,15-13*ORÇAMENTO!$AF$11)))</f>
        <v>0</v>
      </c>
      <c r="N140" s="337">
        <f t="shared" ca="1" si="11"/>
        <v>0</v>
      </c>
      <c r="O140" s="126">
        <f ca="1">IF($A140="S",VTOTALBM,IF($A140=0,0,ROUND(SomaAgrupBM,15-13*ORÇAMENTO!$AF$11)))</f>
        <v>0</v>
      </c>
      <c r="Q140" s="338"/>
      <c r="R140" s="339"/>
      <c r="T140" s="118" t="str">
        <f t="shared" ca="1" si="12"/>
        <v/>
      </c>
      <c r="U140" s="164" t="str">
        <f t="shared" ca="1" si="13"/>
        <v/>
      </c>
      <c r="V140" s="165" t="str">
        <f ca="1">IF(AND($W140&gt;0,RegimeExecucao="Unitário"),$F140,"")</f>
        <v/>
      </c>
      <c r="W140" s="455">
        <f ca="1">IF($Y140&gt;0,CHOOSE(MATCH(RegimeExecucao,{"Unitário","Global"},0),IF($A140="S",$Y140/$X140,""),($Y140/$X140)*100),0)</f>
        <v>0</v>
      </c>
      <c r="X140" s="340" t="str">
        <f ca="1">IF($Y140&gt;0,CHOOSE(MATCH(RegimeExecucao,{"Unitário","Global"},0),IF($A140="S",ROUND($H140,ORÇAMENTO!$AF$10),""),ROUND($I140,ORÇAMENTO!$AF$11)),"")</f>
        <v/>
      </c>
      <c r="Y140" s="340">
        <f t="shared" ca="1" si="14"/>
        <v>0</v>
      </c>
      <c r="Z140" s="474"/>
      <c r="AB140" s="338"/>
      <c r="AC140" s="438"/>
      <c r="AD140" s="438"/>
      <c r="AE140" s="438"/>
      <c r="AF140" s="438"/>
      <c r="AG140" s="438"/>
      <c r="AH140" s="438"/>
      <c r="AI140" s="438"/>
      <c r="AJ140" s="438"/>
      <c r="AK140" s="438"/>
      <c r="AL140" s="438"/>
      <c r="AM140" s="339"/>
      <c r="AO140">
        <f ca="1">IF($A140="S",IF(BM!$I140=0,0,CHOOSE(MATCH(RegimeExecucao,{"Global","Unitário"},0),ROUND(ROUND(BM.MEDAcumulado,15-13*BM!$A$9)/100*BM!$I140,15-13*ORÇAMENTO!$AF$11),ROUND(ROUND(BM.MEDAcumulado,15-13*BM!$A$9)*ROUND(BM!$H140,15-13*ORÇAMENTO!$AF$10),15-13*ORÇAMENTO!$AF$11))),IF($A140=0,0,ROUND(SomaAgrupBM,15-13*ORÇAMENTO!$AF$11)))</f>
        <v>0</v>
      </c>
    </row>
    <row r="141" spans="1:41" ht="38.25" x14ac:dyDescent="0.2">
      <c r="A141" t="str">
        <f ca="1">ORÇAMENTO!C141</f>
        <v>S</v>
      </c>
      <c r="B141">
        <f ca="1">ORÇAMENTO!D141</f>
        <v>0</v>
      </c>
      <c r="C141" s="115" t="str">
        <f t="shared" ca="1" si="8"/>
        <v/>
      </c>
      <c r="D141" s="118" t="str">
        <f ca="1">ORÇAMENTO!O141</f>
        <v>-</v>
      </c>
      <c r="E141" s="164" t="str">
        <f t="shared" si="9"/>
        <v>JOELHO 45 GRAUS, PVC, SERIE NORMAL, ESGOTO PREDIAL, DN 75 MM, JUNTA ELÁSTICA, FORNECIDO E INSTALADO EM RAMAL DE DESCARGA OU RAMAL DE ESGOTO SANITÁRIO. AF_08/2022</v>
      </c>
      <c r="F141" s="165" t="str">
        <f ca="1">IF(RegimeExecucao="Global","",ORÇAMENTO.Unidade)</f>
        <v>UN</v>
      </c>
      <c r="G141" s="123">
        <f ca="1">IF(RegimeExecucao="Global","",ORÇAMENTO!T141)</f>
        <v>5</v>
      </c>
      <c r="H141" s="123">
        <f ca="1">IF(RegimeExecucao="Global","",ORÇAMENTO!W141)</f>
        <v>0</v>
      </c>
      <c r="I141" s="126">
        <f ca="1">ORÇAMENTO!X141</f>
        <v>0</v>
      </c>
      <c r="J141" s="334" t="e" cm="1">
        <f t="array" aca="1" ref="J141" ca="1">_xlfn.SINGLE(IF($A141="S",IF(CAIXA.Modo,BM.AFAnterior,BM.MEDAnterior),IF(AND(_xlfn.SINGLE(RegimeExecucao)="Global",$I141&gt;0,COUNTIF($AB$13:$AM$13,BM.medicao-1)&gt;0),M141/$I141*100,0)))</f>
        <v>#NAME?</v>
      </c>
      <c r="K141" s="123" t="e">
        <f t="shared" ca="1" si="10"/>
        <v>#NAME?</v>
      </c>
      <c r="L141" s="335" t="e" cm="1">
        <f t="array" aca="1" ref="L141" ca="1">_xlfn.SINGLE(IF($A141="S",IF(CAIXA.Modo,BM.AFAcumulado,BM.MEDAcumulado),IF(AND(_xlfn.SINGLE(RegimeExecucao)="Global",$I141&gt;0,COUNTIF($AB$13:$AM$13,BM.medicao)&gt;0),O141/$I141*100,0)))</f>
        <v>#NAME?</v>
      </c>
      <c r="M141" s="336">
        <f ca="1">IF($A141="S",VTOTALBM,IF($A141=0,0,ROUND(SomaAgrupBM,15-13*ORÇAMENTO!$AF$11)))</f>
        <v>0</v>
      </c>
      <c r="N141" s="337">
        <f t="shared" ca="1" si="11"/>
        <v>0</v>
      </c>
      <c r="O141" s="126">
        <f ca="1">IF($A141="S",VTOTALBM,IF($A141=0,0,ROUND(SomaAgrupBM,15-13*ORÇAMENTO!$AF$11)))</f>
        <v>0</v>
      </c>
      <c r="Q141" s="338"/>
      <c r="R141" s="339"/>
      <c r="T141" s="118" t="str">
        <f t="shared" ca="1" si="12"/>
        <v/>
      </c>
      <c r="U141" s="164" t="str">
        <f t="shared" ca="1" si="13"/>
        <v/>
      </c>
      <c r="V141" s="165" t="str">
        <f ca="1">IF(AND($W141&gt;0,RegimeExecucao="Unitário"),$F141,"")</f>
        <v/>
      </c>
      <c r="W141" s="455">
        <f ca="1">IF($Y141&gt;0,CHOOSE(MATCH(RegimeExecucao,{"Unitário","Global"},0),IF($A141="S",$Y141/$X141,""),($Y141/$X141)*100),0)</f>
        <v>0</v>
      </c>
      <c r="X141" s="340" t="str">
        <f ca="1">IF($Y141&gt;0,CHOOSE(MATCH(RegimeExecucao,{"Unitário","Global"},0),IF($A141="S",ROUND($H141,ORÇAMENTO!$AF$10),""),ROUND($I141,ORÇAMENTO!$AF$11)),"")</f>
        <v/>
      </c>
      <c r="Y141" s="340">
        <f t="shared" ca="1" si="14"/>
        <v>0</v>
      </c>
      <c r="Z141" s="474"/>
      <c r="AB141" s="338"/>
      <c r="AC141" s="438"/>
      <c r="AD141" s="438"/>
      <c r="AE141" s="438"/>
      <c r="AF141" s="438"/>
      <c r="AG141" s="438"/>
      <c r="AH141" s="438"/>
      <c r="AI141" s="438"/>
      <c r="AJ141" s="438"/>
      <c r="AK141" s="438"/>
      <c r="AL141" s="438"/>
      <c r="AM141" s="339"/>
      <c r="AO141">
        <f ca="1">IF($A141="S",IF(BM!$I141=0,0,CHOOSE(MATCH(RegimeExecucao,{"Global","Unitário"},0),ROUND(ROUND(BM.MEDAcumulado,15-13*BM!$A$9)/100*BM!$I141,15-13*ORÇAMENTO!$AF$11),ROUND(ROUND(BM.MEDAcumulado,15-13*BM!$A$9)*ROUND(BM!$H141,15-13*ORÇAMENTO!$AF$10),15-13*ORÇAMENTO!$AF$11))),IF($A141=0,0,ROUND(SomaAgrupBM,15-13*ORÇAMENTO!$AF$11)))</f>
        <v>0</v>
      </c>
    </row>
    <row r="142" spans="1:41" ht="38.25" x14ac:dyDescent="0.2">
      <c r="A142" t="str">
        <f ca="1">ORÇAMENTO!C142</f>
        <v>S</v>
      </c>
      <c r="B142">
        <f ca="1">ORÇAMENTO!D142</f>
        <v>0</v>
      </c>
      <c r="C142" s="115" t="str">
        <f t="shared" ca="1" si="8"/>
        <v/>
      </c>
      <c r="D142" s="118" t="str">
        <f ca="1">ORÇAMENTO!O142</f>
        <v>-</v>
      </c>
      <c r="E142" s="164" t="str">
        <f t="shared" si="9"/>
        <v>JOELHO 90 GRAUS, PVC, SERIE NORMAL, ESGOTO PREDIAL, DN 40 MM, JUNTA SOLDÁVEL, FORNECIDO E INSTALADO EM RAMAL DE DESCARGA OU RAMAL DE ESGOTO SANITÁRIO. AF_08/2022</v>
      </c>
      <c r="F142" s="165" t="str">
        <f ca="1">IF(RegimeExecucao="Global","",ORÇAMENTO.Unidade)</f>
        <v>UN</v>
      </c>
      <c r="G142" s="123">
        <f ca="1">IF(RegimeExecucao="Global","",ORÇAMENTO!T142)</f>
        <v>5</v>
      </c>
      <c r="H142" s="123">
        <f ca="1">IF(RegimeExecucao="Global","",ORÇAMENTO!W142)</f>
        <v>0</v>
      </c>
      <c r="I142" s="126">
        <f ca="1">ORÇAMENTO!X142</f>
        <v>0</v>
      </c>
      <c r="J142" s="334" t="e" cm="1">
        <f t="array" aca="1" ref="J142" ca="1">_xlfn.SINGLE(IF($A142="S",IF(CAIXA.Modo,BM.AFAnterior,BM.MEDAnterior),IF(AND(_xlfn.SINGLE(RegimeExecucao)="Global",$I142&gt;0,COUNTIF($AB$13:$AM$13,BM.medicao-1)&gt;0),M142/$I142*100,0)))</f>
        <v>#NAME?</v>
      </c>
      <c r="K142" s="123" t="e">
        <f t="shared" ca="1" si="10"/>
        <v>#NAME?</v>
      </c>
      <c r="L142" s="335" t="e" cm="1">
        <f t="array" aca="1" ref="L142" ca="1">_xlfn.SINGLE(IF($A142="S",IF(CAIXA.Modo,BM.AFAcumulado,BM.MEDAcumulado),IF(AND(_xlfn.SINGLE(RegimeExecucao)="Global",$I142&gt;0,COUNTIF($AB$13:$AM$13,BM.medicao)&gt;0),O142/$I142*100,0)))</f>
        <v>#NAME?</v>
      </c>
      <c r="M142" s="336">
        <f ca="1">IF($A142="S",VTOTALBM,IF($A142=0,0,ROUND(SomaAgrupBM,15-13*ORÇAMENTO!$AF$11)))</f>
        <v>0</v>
      </c>
      <c r="N142" s="337">
        <f t="shared" ca="1" si="11"/>
        <v>0</v>
      </c>
      <c r="O142" s="126">
        <f ca="1">IF($A142="S",VTOTALBM,IF($A142=0,0,ROUND(SomaAgrupBM,15-13*ORÇAMENTO!$AF$11)))</f>
        <v>0</v>
      </c>
      <c r="Q142" s="338"/>
      <c r="R142" s="339"/>
      <c r="T142" s="118" t="str">
        <f t="shared" ca="1" si="12"/>
        <v/>
      </c>
      <c r="U142" s="164" t="str">
        <f t="shared" ca="1" si="13"/>
        <v/>
      </c>
      <c r="V142" s="165" t="str">
        <f ca="1">IF(AND($W142&gt;0,RegimeExecucao="Unitário"),$F142,"")</f>
        <v/>
      </c>
      <c r="W142" s="455">
        <f ca="1">IF($Y142&gt;0,CHOOSE(MATCH(RegimeExecucao,{"Unitário","Global"},0),IF($A142="S",$Y142/$X142,""),($Y142/$X142)*100),0)</f>
        <v>0</v>
      </c>
      <c r="X142" s="340" t="str">
        <f ca="1">IF($Y142&gt;0,CHOOSE(MATCH(RegimeExecucao,{"Unitário","Global"},0),IF($A142="S",ROUND($H142,ORÇAMENTO!$AF$10),""),ROUND($I142,ORÇAMENTO!$AF$11)),"")</f>
        <v/>
      </c>
      <c r="Y142" s="340">
        <f t="shared" ca="1" si="14"/>
        <v>0</v>
      </c>
      <c r="Z142" s="474"/>
      <c r="AB142" s="338"/>
      <c r="AC142" s="438"/>
      <c r="AD142" s="438"/>
      <c r="AE142" s="438"/>
      <c r="AF142" s="438"/>
      <c r="AG142" s="438"/>
      <c r="AH142" s="438"/>
      <c r="AI142" s="438"/>
      <c r="AJ142" s="438"/>
      <c r="AK142" s="438"/>
      <c r="AL142" s="438"/>
      <c r="AM142" s="339"/>
      <c r="AO142">
        <f ca="1">IF($A142="S",IF(BM!$I142=0,0,CHOOSE(MATCH(RegimeExecucao,{"Global","Unitário"},0),ROUND(ROUND(BM.MEDAcumulado,15-13*BM!$A$9)/100*BM!$I142,15-13*ORÇAMENTO!$AF$11),ROUND(ROUND(BM.MEDAcumulado,15-13*BM!$A$9)*ROUND(BM!$H142,15-13*ORÇAMENTO!$AF$10),15-13*ORÇAMENTO!$AF$11))),IF($A142=0,0,ROUND(SomaAgrupBM,15-13*ORÇAMENTO!$AF$11)))</f>
        <v>0</v>
      </c>
    </row>
    <row r="143" spans="1:41" ht="38.25" x14ac:dyDescent="0.2">
      <c r="A143" t="str">
        <f ca="1">ORÇAMENTO!C143</f>
        <v>S</v>
      </c>
      <c r="B143">
        <f ca="1">ORÇAMENTO!D143</f>
        <v>0</v>
      </c>
      <c r="C143" s="115" t="str">
        <f t="shared" ref="C143:C206" ca="1" si="15">IF(OR($I143&gt;0,$A143=1,$A143=2,$A143=3,$A143=4),"F","")</f>
        <v/>
      </c>
      <c r="D143" s="118" t="str">
        <f ca="1">ORÇAMENTO!O143</f>
        <v>-</v>
      </c>
      <c r="E143" s="164" t="str">
        <f t="shared" ref="E143:E206" si="16">ORÇAMENTO.Descricao</f>
        <v>JOELHO 90 GRAUS, PVC, SERIE NORMAL, ESGOTO PREDIAL, DN 40 MM, JUNTA SOLDÁVEL, FORNECIDO E INSTALADO EM RAMAL DE DESCARGA OU RAMAL DE ESGOTO SANITÁRIO. AF_08/2022</v>
      </c>
      <c r="F143" s="165" t="str">
        <f ca="1">IF(RegimeExecucao="Global","",ORÇAMENTO.Unidade)</f>
        <v>UN</v>
      </c>
      <c r="G143" s="123">
        <f ca="1">IF(RegimeExecucao="Global","",ORÇAMENTO!T143)</f>
        <v>49</v>
      </c>
      <c r="H143" s="123">
        <f ca="1">IF(RegimeExecucao="Global","",ORÇAMENTO!W143)</f>
        <v>0</v>
      </c>
      <c r="I143" s="126">
        <f ca="1">ORÇAMENTO!X143</f>
        <v>0</v>
      </c>
      <c r="J143" s="334" t="e" cm="1">
        <f t="array" aca="1" ref="J143" ca="1">_xlfn.SINGLE(IF($A143="S",IF(CAIXA.Modo,BM.AFAnterior,BM.MEDAnterior),IF(AND(_xlfn.SINGLE(RegimeExecucao)="Global",$I143&gt;0,COUNTIF($AB$13:$AM$13,BM.medicao-1)&gt;0),M143/$I143*100,0)))</f>
        <v>#NAME?</v>
      </c>
      <c r="K143" s="123" t="e">
        <f t="shared" ref="K143:K206" ca="1" si="17">L143-J143</f>
        <v>#NAME?</v>
      </c>
      <c r="L143" s="335" t="e" cm="1">
        <f t="array" aca="1" ref="L143" ca="1">_xlfn.SINGLE(IF($A143="S",IF(CAIXA.Modo,BM.AFAcumulado,BM.MEDAcumulado),IF(AND(_xlfn.SINGLE(RegimeExecucao)="Global",$I143&gt;0,COUNTIF($AB$13:$AM$13,BM.medicao)&gt;0),O143/$I143*100,0)))</f>
        <v>#NAME?</v>
      </c>
      <c r="M143" s="336">
        <f ca="1">IF($A143="S",VTOTALBM,IF($A143=0,0,ROUND(SomaAgrupBM,15-13*ORÇAMENTO!$AF$11)))</f>
        <v>0</v>
      </c>
      <c r="N143" s="337">
        <f t="shared" ref="N143:N206" ca="1" si="18">O143-M143</f>
        <v>0</v>
      </c>
      <c r="O143" s="126">
        <f ca="1">IF($A143="S",VTOTALBM,IF($A143=0,0,ROUND(SomaAgrupBM,15-13*ORÇAMENTO!$AF$11)))</f>
        <v>0</v>
      </c>
      <c r="Q143" s="338"/>
      <c r="R143" s="339"/>
      <c r="T143" s="118" t="str">
        <f t="shared" ref="T143:T206" ca="1" si="19">IF($W143&gt;0,$D143,"")</f>
        <v/>
      </c>
      <c r="U143" s="164" t="str">
        <f t="shared" ref="U143:U206" ca="1" si="20">IF($W143&gt;0,$E143,"")</f>
        <v/>
      </c>
      <c r="V143" s="165" t="str">
        <f ca="1">IF(AND($W143&gt;0,RegimeExecucao="Unitário"),$F143,"")</f>
        <v/>
      </c>
      <c r="W143" s="455">
        <f ca="1">IF($Y143&gt;0,CHOOSE(MATCH(RegimeExecucao,{"Unitário","Global"},0),IF($A143="S",$Y143/$X143,""),($Y143/$X143)*100),0)</f>
        <v>0</v>
      </c>
      <c r="X143" s="340" t="str">
        <f ca="1">IF($Y143&gt;0,CHOOSE(MATCH(RegimeExecucao,{"Unitário","Global"},0),IF($A143="S",ROUND($H143,ORÇAMENTO!$AF$10),""),ROUND($I143,ORÇAMENTO!$AF$11)),"")</f>
        <v/>
      </c>
      <c r="Y143" s="340">
        <f t="shared" ref="Y143:Y206" ca="1" si="21">AO143-O143</f>
        <v>0</v>
      </c>
      <c r="Z143" s="474"/>
      <c r="AB143" s="338"/>
      <c r="AC143" s="438"/>
      <c r="AD143" s="438"/>
      <c r="AE143" s="438"/>
      <c r="AF143" s="438"/>
      <c r="AG143" s="438"/>
      <c r="AH143" s="438"/>
      <c r="AI143" s="438"/>
      <c r="AJ143" s="438"/>
      <c r="AK143" s="438"/>
      <c r="AL143" s="438"/>
      <c r="AM143" s="339"/>
      <c r="AO143">
        <f ca="1">IF($A143="S",IF(BM!$I143=0,0,CHOOSE(MATCH(RegimeExecucao,{"Global","Unitário"},0),ROUND(ROUND(BM.MEDAcumulado,15-13*BM!$A$9)/100*BM!$I143,15-13*ORÇAMENTO!$AF$11),ROUND(ROUND(BM.MEDAcumulado,15-13*BM!$A$9)*ROUND(BM!$H143,15-13*ORÇAMENTO!$AF$10),15-13*ORÇAMENTO!$AF$11))),IF($A143=0,0,ROUND(SomaAgrupBM,15-13*ORÇAMENTO!$AF$11)))</f>
        <v>0</v>
      </c>
    </row>
    <row r="144" spans="1:41" ht="38.25" x14ac:dyDescent="0.2">
      <c r="A144" t="str">
        <f ca="1">ORÇAMENTO!C144</f>
        <v>S</v>
      </c>
      <c r="B144">
        <f ca="1">ORÇAMENTO!D144</f>
        <v>0</v>
      </c>
      <c r="C144" s="115" t="str">
        <f t="shared" ca="1" si="15"/>
        <v/>
      </c>
      <c r="D144" s="118" t="str">
        <f ca="1">ORÇAMENTO!O144</f>
        <v>-</v>
      </c>
      <c r="E144" s="164" t="str">
        <f t="shared" si="16"/>
        <v>JOELHO 90 GRAUS, PVC, SERIE NORMAL, ESGOTO PREDIAL, DN 100 MM, JUNTA ELÁSTICA, FORNECIDO E INSTALADO EM RAMAL DE DESCARGA OU RAMAL DE ESGOTO SANITÁRIO. AF_08/2022</v>
      </c>
      <c r="F144" s="165" t="str">
        <f ca="1">IF(RegimeExecucao="Global","",ORÇAMENTO.Unidade)</f>
        <v>UN</v>
      </c>
      <c r="G144" s="123">
        <f ca="1">IF(RegimeExecucao="Global","",ORÇAMENTO!T144)</f>
        <v>37</v>
      </c>
      <c r="H144" s="123">
        <f ca="1">IF(RegimeExecucao="Global","",ORÇAMENTO!W144)</f>
        <v>0</v>
      </c>
      <c r="I144" s="126">
        <f ca="1">ORÇAMENTO!X144</f>
        <v>0</v>
      </c>
      <c r="J144" s="334" t="e" cm="1">
        <f t="array" aca="1" ref="J144" ca="1">_xlfn.SINGLE(IF($A144="S",IF(CAIXA.Modo,BM.AFAnterior,BM.MEDAnterior),IF(AND(_xlfn.SINGLE(RegimeExecucao)="Global",$I144&gt;0,COUNTIF($AB$13:$AM$13,BM.medicao-1)&gt;0),M144/$I144*100,0)))</f>
        <v>#NAME?</v>
      </c>
      <c r="K144" s="123" t="e">
        <f t="shared" ca="1" si="17"/>
        <v>#NAME?</v>
      </c>
      <c r="L144" s="335" t="e" cm="1">
        <f t="array" aca="1" ref="L144" ca="1">_xlfn.SINGLE(IF($A144="S",IF(CAIXA.Modo,BM.AFAcumulado,BM.MEDAcumulado),IF(AND(_xlfn.SINGLE(RegimeExecucao)="Global",$I144&gt;0,COUNTIF($AB$13:$AM$13,BM.medicao)&gt;0),O144/$I144*100,0)))</f>
        <v>#NAME?</v>
      </c>
      <c r="M144" s="336">
        <f ca="1">IF($A144="S",VTOTALBM,IF($A144=0,0,ROUND(SomaAgrupBM,15-13*ORÇAMENTO!$AF$11)))</f>
        <v>0</v>
      </c>
      <c r="N144" s="337">
        <f t="shared" ca="1" si="18"/>
        <v>0</v>
      </c>
      <c r="O144" s="126">
        <f ca="1">IF($A144="S",VTOTALBM,IF($A144=0,0,ROUND(SomaAgrupBM,15-13*ORÇAMENTO!$AF$11)))</f>
        <v>0</v>
      </c>
      <c r="Q144" s="338"/>
      <c r="R144" s="339"/>
      <c r="T144" s="118" t="str">
        <f t="shared" ca="1" si="19"/>
        <v/>
      </c>
      <c r="U144" s="164" t="str">
        <f t="shared" ca="1" si="20"/>
        <v/>
      </c>
      <c r="V144" s="165" t="str">
        <f ca="1">IF(AND($W144&gt;0,RegimeExecucao="Unitário"),$F144,"")</f>
        <v/>
      </c>
      <c r="W144" s="455">
        <f ca="1">IF($Y144&gt;0,CHOOSE(MATCH(RegimeExecucao,{"Unitário","Global"},0),IF($A144="S",$Y144/$X144,""),($Y144/$X144)*100),0)</f>
        <v>0</v>
      </c>
      <c r="X144" s="340" t="str">
        <f ca="1">IF($Y144&gt;0,CHOOSE(MATCH(RegimeExecucao,{"Unitário","Global"},0),IF($A144="S",ROUND($H144,ORÇAMENTO!$AF$10),""),ROUND($I144,ORÇAMENTO!$AF$11)),"")</f>
        <v/>
      </c>
      <c r="Y144" s="340">
        <f t="shared" ca="1" si="21"/>
        <v>0</v>
      </c>
      <c r="Z144" s="474"/>
      <c r="AB144" s="338"/>
      <c r="AC144" s="438"/>
      <c r="AD144" s="438"/>
      <c r="AE144" s="438"/>
      <c r="AF144" s="438"/>
      <c r="AG144" s="438"/>
      <c r="AH144" s="438"/>
      <c r="AI144" s="438"/>
      <c r="AJ144" s="438"/>
      <c r="AK144" s="438"/>
      <c r="AL144" s="438"/>
      <c r="AM144" s="339"/>
      <c r="AO144">
        <f ca="1">IF($A144="S",IF(BM!$I144=0,0,CHOOSE(MATCH(RegimeExecucao,{"Global","Unitário"},0),ROUND(ROUND(BM.MEDAcumulado,15-13*BM!$A$9)/100*BM!$I144,15-13*ORÇAMENTO!$AF$11),ROUND(ROUND(BM.MEDAcumulado,15-13*BM!$A$9)*ROUND(BM!$H144,15-13*ORÇAMENTO!$AF$10),15-13*ORÇAMENTO!$AF$11))),IF($A144=0,0,ROUND(SomaAgrupBM,15-13*ORÇAMENTO!$AF$11)))</f>
        <v>0</v>
      </c>
    </row>
    <row r="145" spans="1:41" ht="38.25" x14ac:dyDescent="0.2">
      <c r="A145" t="str">
        <f ca="1">ORÇAMENTO!C145</f>
        <v>S</v>
      </c>
      <c r="B145">
        <f ca="1">ORÇAMENTO!D145</f>
        <v>0</v>
      </c>
      <c r="C145" s="115" t="str">
        <f t="shared" ca="1" si="15"/>
        <v/>
      </c>
      <c r="D145" s="118" t="str">
        <f ca="1">ORÇAMENTO!O145</f>
        <v>-</v>
      </c>
      <c r="E145" s="164" t="str">
        <f t="shared" si="16"/>
        <v>JOELHO 90 GRAUS, PVC, SERIE NORMAL, ESGOTO PREDIAL, DN 40 MM, JUNTA SOLDÁVEL, FORNECIDO E INSTALADO EM RAMAL DE DESCARGA OU RAMAL DE ESGOTO SANITÁRIO. AF_08/2022</v>
      </c>
      <c r="F145" s="165" t="str">
        <f ca="1">IF(RegimeExecucao="Global","",ORÇAMENTO.Unidade)</f>
        <v>UN</v>
      </c>
      <c r="G145" s="123">
        <f ca="1">IF(RegimeExecucao="Global","",ORÇAMENTO!T145)</f>
        <v>8</v>
      </c>
      <c r="H145" s="123">
        <f ca="1">IF(RegimeExecucao="Global","",ORÇAMENTO!W145)</f>
        <v>0</v>
      </c>
      <c r="I145" s="126">
        <f ca="1">ORÇAMENTO!X145</f>
        <v>0</v>
      </c>
      <c r="J145" s="334" t="e" cm="1">
        <f t="array" aca="1" ref="J145" ca="1">_xlfn.SINGLE(IF($A145="S",IF(CAIXA.Modo,BM.AFAnterior,BM.MEDAnterior),IF(AND(_xlfn.SINGLE(RegimeExecucao)="Global",$I145&gt;0,COUNTIF($AB$13:$AM$13,BM.medicao-1)&gt;0),M145/$I145*100,0)))</f>
        <v>#NAME?</v>
      </c>
      <c r="K145" s="123" t="e">
        <f t="shared" ca="1" si="17"/>
        <v>#NAME?</v>
      </c>
      <c r="L145" s="335" t="e" cm="1">
        <f t="array" aca="1" ref="L145" ca="1">_xlfn.SINGLE(IF($A145="S",IF(CAIXA.Modo,BM.AFAcumulado,BM.MEDAcumulado),IF(AND(_xlfn.SINGLE(RegimeExecucao)="Global",$I145&gt;0,COUNTIF($AB$13:$AM$13,BM.medicao)&gt;0),O145/$I145*100,0)))</f>
        <v>#NAME?</v>
      </c>
      <c r="M145" s="336">
        <f ca="1">IF($A145="S",VTOTALBM,IF($A145=0,0,ROUND(SomaAgrupBM,15-13*ORÇAMENTO!$AF$11)))</f>
        <v>0</v>
      </c>
      <c r="N145" s="337">
        <f t="shared" ca="1" si="18"/>
        <v>0</v>
      </c>
      <c r="O145" s="126">
        <f ca="1">IF($A145="S",VTOTALBM,IF($A145=0,0,ROUND(SomaAgrupBM,15-13*ORÇAMENTO!$AF$11)))</f>
        <v>0</v>
      </c>
      <c r="Q145" s="338"/>
      <c r="R145" s="339"/>
      <c r="T145" s="118" t="str">
        <f t="shared" ca="1" si="19"/>
        <v/>
      </c>
      <c r="U145" s="164" t="str">
        <f t="shared" ca="1" si="20"/>
        <v/>
      </c>
      <c r="V145" s="165" t="str">
        <f ca="1">IF(AND($W145&gt;0,RegimeExecucao="Unitário"),$F145,"")</f>
        <v/>
      </c>
      <c r="W145" s="455">
        <f ca="1">IF($Y145&gt;0,CHOOSE(MATCH(RegimeExecucao,{"Unitário","Global"},0),IF($A145="S",$Y145/$X145,""),($Y145/$X145)*100),0)</f>
        <v>0</v>
      </c>
      <c r="X145" s="340" t="str">
        <f ca="1">IF($Y145&gt;0,CHOOSE(MATCH(RegimeExecucao,{"Unitário","Global"},0),IF($A145="S",ROUND($H145,ORÇAMENTO!$AF$10),""),ROUND($I145,ORÇAMENTO!$AF$11)),"")</f>
        <v/>
      </c>
      <c r="Y145" s="340">
        <f t="shared" ca="1" si="21"/>
        <v>0</v>
      </c>
      <c r="Z145" s="474"/>
      <c r="AB145" s="338"/>
      <c r="AC145" s="438"/>
      <c r="AD145" s="438"/>
      <c r="AE145" s="438"/>
      <c r="AF145" s="438"/>
      <c r="AG145" s="438"/>
      <c r="AH145" s="438"/>
      <c r="AI145" s="438"/>
      <c r="AJ145" s="438"/>
      <c r="AK145" s="438"/>
      <c r="AL145" s="438"/>
      <c r="AM145" s="339"/>
      <c r="AO145">
        <f ca="1">IF($A145="S",IF(BM!$I145=0,0,CHOOSE(MATCH(RegimeExecucao,{"Global","Unitário"},0),ROUND(ROUND(BM.MEDAcumulado,15-13*BM!$A$9)/100*BM!$I145,15-13*ORÇAMENTO!$AF$11),ROUND(ROUND(BM.MEDAcumulado,15-13*BM!$A$9)*ROUND(BM!$H145,15-13*ORÇAMENTO!$AF$10),15-13*ORÇAMENTO!$AF$11))),IF($A145=0,0,ROUND(SomaAgrupBM,15-13*ORÇAMENTO!$AF$11)))</f>
        <v>0</v>
      </c>
    </row>
    <row r="146" spans="1:41" ht="38.25" x14ac:dyDescent="0.2">
      <c r="A146" t="str">
        <f ca="1">ORÇAMENTO!C146</f>
        <v>S</v>
      </c>
      <c r="B146">
        <f ca="1">ORÇAMENTO!D146</f>
        <v>0</v>
      </c>
      <c r="C146" s="115" t="str">
        <f t="shared" ca="1" si="15"/>
        <v/>
      </c>
      <c r="D146" s="118" t="str">
        <f ca="1">ORÇAMENTO!O146</f>
        <v>-</v>
      </c>
      <c r="E146" s="164" t="str">
        <f t="shared" si="16"/>
        <v>JOELHO 90 GRAUS, PVC, SERIE NORMAL, ESGOTO PREDIAL, DN 50 MM, JUNTA ELÁSTICA, FORNECIDO E INSTALADO EM RAMAL DE DESCARGA OU RAMAL DE ESGOTO SANITÁRIO. AF_08/2022</v>
      </c>
      <c r="F146" s="165" t="str">
        <f ca="1">IF(RegimeExecucao="Global","",ORÇAMENTO.Unidade)</f>
        <v>UN</v>
      </c>
      <c r="G146" s="123">
        <f ca="1">IF(RegimeExecucao="Global","",ORÇAMENTO!T146)</f>
        <v>18</v>
      </c>
      <c r="H146" s="123">
        <f ca="1">IF(RegimeExecucao="Global","",ORÇAMENTO!W146)</f>
        <v>0</v>
      </c>
      <c r="I146" s="126">
        <f ca="1">ORÇAMENTO!X146</f>
        <v>0</v>
      </c>
      <c r="J146" s="334" t="e" cm="1">
        <f t="array" aca="1" ref="J146" ca="1">_xlfn.SINGLE(IF($A146="S",IF(CAIXA.Modo,BM.AFAnterior,BM.MEDAnterior),IF(AND(_xlfn.SINGLE(RegimeExecucao)="Global",$I146&gt;0,COUNTIF($AB$13:$AM$13,BM.medicao-1)&gt;0),M146/$I146*100,0)))</f>
        <v>#NAME?</v>
      </c>
      <c r="K146" s="123" t="e">
        <f t="shared" ca="1" si="17"/>
        <v>#NAME?</v>
      </c>
      <c r="L146" s="335" t="e" cm="1">
        <f t="array" aca="1" ref="L146" ca="1">_xlfn.SINGLE(IF($A146="S",IF(CAIXA.Modo,BM.AFAcumulado,BM.MEDAcumulado),IF(AND(_xlfn.SINGLE(RegimeExecucao)="Global",$I146&gt;0,COUNTIF($AB$13:$AM$13,BM.medicao)&gt;0),O146/$I146*100,0)))</f>
        <v>#NAME?</v>
      </c>
      <c r="M146" s="336">
        <f ca="1">IF($A146="S",VTOTALBM,IF($A146=0,0,ROUND(SomaAgrupBM,15-13*ORÇAMENTO!$AF$11)))</f>
        <v>0</v>
      </c>
      <c r="N146" s="337">
        <f t="shared" ca="1" si="18"/>
        <v>0</v>
      </c>
      <c r="O146" s="126">
        <f ca="1">IF($A146="S",VTOTALBM,IF($A146=0,0,ROUND(SomaAgrupBM,15-13*ORÇAMENTO!$AF$11)))</f>
        <v>0</v>
      </c>
      <c r="Q146" s="338"/>
      <c r="R146" s="339"/>
      <c r="T146" s="118" t="str">
        <f t="shared" ca="1" si="19"/>
        <v/>
      </c>
      <c r="U146" s="164" t="str">
        <f t="shared" ca="1" si="20"/>
        <v/>
      </c>
      <c r="V146" s="165" t="str">
        <f ca="1">IF(AND($W146&gt;0,RegimeExecucao="Unitário"),$F146,"")</f>
        <v/>
      </c>
      <c r="W146" s="455">
        <f ca="1">IF($Y146&gt;0,CHOOSE(MATCH(RegimeExecucao,{"Unitário","Global"},0),IF($A146="S",$Y146/$X146,""),($Y146/$X146)*100),0)</f>
        <v>0</v>
      </c>
      <c r="X146" s="340" t="str">
        <f ca="1">IF($Y146&gt;0,CHOOSE(MATCH(RegimeExecucao,{"Unitário","Global"},0),IF($A146="S",ROUND($H146,ORÇAMENTO!$AF$10),""),ROUND($I146,ORÇAMENTO!$AF$11)),"")</f>
        <v/>
      </c>
      <c r="Y146" s="340">
        <f t="shared" ca="1" si="21"/>
        <v>0</v>
      </c>
      <c r="Z146" s="474"/>
      <c r="AB146" s="338"/>
      <c r="AC146" s="438"/>
      <c r="AD146" s="438"/>
      <c r="AE146" s="438"/>
      <c r="AF146" s="438"/>
      <c r="AG146" s="438"/>
      <c r="AH146" s="438"/>
      <c r="AI146" s="438"/>
      <c r="AJ146" s="438"/>
      <c r="AK146" s="438"/>
      <c r="AL146" s="438"/>
      <c r="AM146" s="339"/>
      <c r="AO146">
        <f ca="1">IF($A146="S",IF(BM!$I146=0,0,CHOOSE(MATCH(RegimeExecucao,{"Global","Unitário"},0),ROUND(ROUND(BM.MEDAcumulado,15-13*BM!$A$9)/100*BM!$I146,15-13*ORÇAMENTO!$AF$11),ROUND(ROUND(BM.MEDAcumulado,15-13*BM!$A$9)*ROUND(BM!$H146,15-13*ORÇAMENTO!$AF$10),15-13*ORÇAMENTO!$AF$11))),IF($A146=0,0,ROUND(SomaAgrupBM,15-13*ORÇAMENTO!$AF$11)))</f>
        <v>0</v>
      </c>
    </row>
    <row r="147" spans="1:41" ht="38.25" x14ac:dyDescent="0.2">
      <c r="A147" t="str">
        <f ca="1">ORÇAMENTO!C147</f>
        <v>S</v>
      </c>
      <c r="B147">
        <f ca="1">ORÇAMENTO!D147</f>
        <v>0</v>
      </c>
      <c r="C147" s="115" t="str">
        <f t="shared" ca="1" si="15"/>
        <v/>
      </c>
      <c r="D147" s="118" t="str">
        <f ca="1">ORÇAMENTO!O147</f>
        <v>-</v>
      </c>
      <c r="E147" s="164" t="str">
        <f t="shared" si="16"/>
        <v>JUNÇÃO SIMPLES DE REDUÇÃO, PVC, SERIE NORMAL, ESGOTO PREDIAL, DN 100 X 50 MM, JUNTA ELÁSTICA, FORNECIDO E INSTALADO EM PRUMADA DE ESGOTO SANITÁRIO OU VENTILAÇÃO</v>
      </c>
      <c r="F147" s="165" t="str">
        <f ca="1">IF(RegimeExecucao="Global","",ORÇAMENTO.Unidade)</f>
        <v xml:space="preserve">UN    </v>
      </c>
      <c r="G147" s="123">
        <f ca="1">IF(RegimeExecucao="Global","",ORÇAMENTO!T147)</f>
        <v>42</v>
      </c>
      <c r="H147" s="123">
        <f ca="1">IF(RegimeExecucao="Global","",ORÇAMENTO!W147)</f>
        <v>0</v>
      </c>
      <c r="I147" s="126">
        <f ca="1">ORÇAMENTO!X147</f>
        <v>0</v>
      </c>
      <c r="J147" s="334" t="e" cm="1">
        <f t="array" aca="1" ref="J147" ca="1">_xlfn.SINGLE(IF($A147="S",IF(CAIXA.Modo,BM.AFAnterior,BM.MEDAnterior),IF(AND(_xlfn.SINGLE(RegimeExecucao)="Global",$I147&gt;0,COUNTIF($AB$13:$AM$13,BM.medicao-1)&gt;0),M147/$I147*100,0)))</f>
        <v>#NAME?</v>
      </c>
      <c r="K147" s="123" t="e">
        <f t="shared" ca="1" si="17"/>
        <v>#NAME?</v>
      </c>
      <c r="L147" s="335" t="e" cm="1">
        <f t="array" aca="1" ref="L147" ca="1">_xlfn.SINGLE(IF($A147="S",IF(CAIXA.Modo,BM.AFAcumulado,BM.MEDAcumulado),IF(AND(_xlfn.SINGLE(RegimeExecucao)="Global",$I147&gt;0,COUNTIF($AB$13:$AM$13,BM.medicao)&gt;0),O147/$I147*100,0)))</f>
        <v>#NAME?</v>
      </c>
      <c r="M147" s="336">
        <f ca="1">IF($A147="S",VTOTALBM,IF($A147=0,0,ROUND(SomaAgrupBM,15-13*ORÇAMENTO!$AF$11)))</f>
        <v>0</v>
      </c>
      <c r="N147" s="337">
        <f t="shared" ca="1" si="18"/>
        <v>0</v>
      </c>
      <c r="O147" s="126">
        <f ca="1">IF($A147="S",VTOTALBM,IF($A147=0,0,ROUND(SomaAgrupBM,15-13*ORÇAMENTO!$AF$11)))</f>
        <v>0</v>
      </c>
      <c r="Q147" s="338"/>
      <c r="R147" s="339"/>
      <c r="T147" s="118" t="str">
        <f t="shared" ca="1" si="19"/>
        <v/>
      </c>
      <c r="U147" s="164" t="str">
        <f t="shared" ca="1" si="20"/>
        <v/>
      </c>
      <c r="V147" s="165" t="str">
        <f ca="1">IF(AND($W147&gt;0,RegimeExecucao="Unitário"),$F147,"")</f>
        <v/>
      </c>
      <c r="W147" s="455">
        <f ca="1">IF($Y147&gt;0,CHOOSE(MATCH(RegimeExecucao,{"Unitário","Global"},0),IF($A147="S",$Y147/$X147,""),($Y147/$X147)*100),0)</f>
        <v>0</v>
      </c>
      <c r="X147" s="340" t="str">
        <f ca="1">IF($Y147&gt;0,CHOOSE(MATCH(RegimeExecucao,{"Unitário","Global"},0),IF($A147="S",ROUND($H147,ORÇAMENTO!$AF$10),""),ROUND($I147,ORÇAMENTO!$AF$11)),"")</f>
        <v/>
      </c>
      <c r="Y147" s="340">
        <f t="shared" ca="1" si="21"/>
        <v>0</v>
      </c>
      <c r="Z147" s="474"/>
      <c r="AB147" s="338"/>
      <c r="AC147" s="438"/>
      <c r="AD147" s="438"/>
      <c r="AE147" s="438"/>
      <c r="AF147" s="438"/>
      <c r="AG147" s="438"/>
      <c r="AH147" s="438"/>
      <c r="AI147" s="438"/>
      <c r="AJ147" s="438"/>
      <c r="AK147" s="438"/>
      <c r="AL147" s="438"/>
      <c r="AM147" s="339"/>
      <c r="AO147">
        <f ca="1">IF($A147="S",IF(BM!$I147=0,0,CHOOSE(MATCH(RegimeExecucao,{"Global","Unitário"},0),ROUND(ROUND(BM.MEDAcumulado,15-13*BM!$A$9)/100*BM!$I147,15-13*ORÇAMENTO!$AF$11),ROUND(ROUND(BM.MEDAcumulado,15-13*BM!$A$9)*ROUND(BM!$H147,15-13*ORÇAMENTO!$AF$10),15-13*ORÇAMENTO!$AF$11))),IF($A147=0,0,ROUND(SomaAgrupBM,15-13*ORÇAMENTO!$AF$11)))</f>
        <v>0</v>
      </c>
    </row>
    <row r="148" spans="1:41" ht="38.25" x14ac:dyDescent="0.2">
      <c r="A148" t="str">
        <f ca="1">ORÇAMENTO!C148</f>
        <v>S</v>
      </c>
      <c r="B148">
        <f ca="1">ORÇAMENTO!D148</f>
        <v>0</v>
      </c>
      <c r="C148" s="115" t="str">
        <f t="shared" ca="1" si="15"/>
        <v/>
      </c>
      <c r="D148" s="118" t="str">
        <f ca="1">ORÇAMENTO!O148</f>
        <v>-</v>
      </c>
      <c r="E148" s="164" t="str">
        <f t="shared" si="16"/>
        <v>JUNÇÃO SIMPLES DE REDUÇÃO, PVC, SERIE NORMAL, ESGOTO PREDIAL, DN 100 X 75 MM, JUNTA ELÁSTICA, FORNECIDO E INSTALADO EM PRUMADA DE ESGOTO SANITÁRIO OU VENTILAÇÃO</v>
      </c>
      <c r="F148" s="165" t="str">
        <f ca="1">IF(RegimeExecucao="Global","",ORÇAMENTO.Unidade)</f>
        <v xml:space="preserve">UN    </v>
      </c>
      <c r="G148" s="123">
        <f ca="1">IF(RegimeExecucao="Global","",ORÇAMENTO!T148)</f>
        <v>4</v>
      </c>
      <c r="H148" s="123">
        <f ca="1">IF(RegimeExecucao="Global","",ORÇAMENTO!W148)</f>
        <v>0</v>
      </c>
      <c r="I148" s="126">
        <f ca="1">ORÇAMENTO!X148</f>
        <v>0</v>
      </c>
      <c r="J148" s="334" t="e" cm="1">
        <f t="array" aca="1" ref="J148" ca="1">_xlfn.SINGLE(IF($A148="S",IF(CAIXA.Modo,BM.AFAnterior,BM.MEDAnterior),IF(AND(_xlfn.SINGLE(RegimeExecucao)="Global",$I148&gt;0,COUNTIF($AB$13:$AM$13,BM.medicao-1)&gt;0),M148/$I148*100,0)))</f>
        <v>#NAME?</v>
      </c>
      <c r="K148" s="123" t="e">
        <f t="shared" ca="1" si="17"/>
        <v>#NAME?</v>
      </c>
      <c r="L148" s="335" t="e" cm="1">
        <f t="array" aca="1" ref="L148" ca="1">_xlfn.SINGLE(IF($A148="S",IF(CAIXA.Modo,BM.AFAcumulado,BM.MEDAcumulado),IF(AND(_xlfn.SINGLE(RegimeExecucao)="Global",$I148&gt;0,COUNTIF($AB$13:$AM$13,BM.medicao)&gt;0),O148/$I148*100,0)))</f>
        <v>#NAME?</v>
      </c>
      <c r="M148" s="336">
        <f ca="1">IF($A148="S",VTOTALBM,IF($A148=0,0,ROUND(SomaAgrupBM,15-13*ORÇAMENTO!$AF$11)))</f>
        <v>0</v>
      </c>
      <c r="N148" s="337">
        <f t="shared" ca="1" si="18"/>
        <v>0</v>
      </c>
      <c r="O148" s="126">
        <f ca="1">IF($A148="S",VTOTALBM,IF($A148=0,0,ROUND(SomaAgrupBM,15-13*ORÇAMENTO!$AF$11)))</f>
        <v>0</v>
      </c>
      <c r="Q148" s="338"/>
      <c r="R148" s="339"/>
      <c r="T148" s="118" t="str">
        <f t="shared" ca="1" si="19"/>
        <v/>
      </c>
      <c r="U148" s="164" t="str">
        <f t="shared" ca="1" si="20"/>
        <v/>
      </c>
      <c r="V148" s="165" t="str">
        <f ca="1">IF(AND($W148&gt;0,RegimeExecucao="Unitário"),$F148,"")</f>
        <v/>
      </c>
      <c r="W148" s="455">
        <f ca="1">IF($Y148&gt;0,CHOOSE(MATCH(RegimeExecucao,{"Unitário","Global"},0),IF($A148="S",$Y148/$X148,""),($Y148/$X148)*100),0)</f>
        <v>0</v>
      </c>
      <c r="X148" s="340" t="str">
        <f ca="1">IF($Y148&gt;0,CHOOSE(MATCH(RegimeExecucao,{"Unitário","Global"},0),IF($A148="S",ROUND($H148,ORÇAMENTO!$AF$10),""),ROUND($I148,ORÇAMENTO!$AF$11)),"")</f>
        <v/>
      </c>
      <c r="Y148" s="340">
        <f t="shared" ca="1" si="21"/>
        <v>0</v>
      </c>
      <c r="Z148" s="474"/>
      <c r="AB148" s="338"/>
      <c r="AC148" s="438"/>
      <c r="AD148" s="438"/>
      <c r="AE148" s="438"/>
      <c r="AF148" s="438"/>
      <c r="AG148" s="438"/>
      <c r="AH148" s="438"/>
      <c r="AI148" s="438"/>
      <c r="AJ148" s="438"/>
      <c r="AK148" s="438"/>
      <c r="AL148" s="438"/>
      <c r="AM148" s="339"/>
      <c r="AO148">
        <f ca="1">IF($A148="S",IF(BM!$I148=0,0,CHOOSE(MATCH(RegimeExecucao,{"Global","Unitário"},0),ROUND(ROUND(BM.MEDAcumulado,15-13*BM!$A$9)/100*BM!$I148,15-13*ORÇAMENTO!$AF$11),ROUND(ROUND(BM.MEDAcumulado,15-13*BM!$A$9)*ROUND(BM!$H148,15-13*ORÇAMENTO!$AF$10),15-13*ORÇAMENTO!$AF$11))),IF($A148=0,0,ROUND(SomaAgrupBM,15-13*ORÇAMENTO!$AF$11)))</f>
        <v>0</v>
      </c>
    </row>
    <row r="149" spans="1:41" ht="38.25" x14ac:dyDescent="0.2">
      <c r="A149" t="str">
        <f ca="1">ORÇAMENTO!C149</f>
        <v>S</v>
      </c>
      <c r="B149">
        <f ca="1">ORÇAMENTO!D149</f>
        <v>0</v>
      </c>
      <c r="C149" s="115" t="str">
        <f t="shared" ca="1" si="15"/>
        <v/>
      </c>
      <c r="D149" s="118" t="str">
        <f ca="1">ORÇAMENTO!O149</f>
        <v>-</v>
      </c>
      <c r="E149" s="164" t="str">
        <f t="shared" si="16"/>
        <v>JUNÇÃO SIMPLES, PVC, SERIE NORMAL, ESGOTO PREDIAL, DN 100 X 100 MM, JUNTA ELÁSTICA, FORNECIDO E INSTALADO EM RAMAL DE DESCARGA OU RAMAL DE ESGOTO SANITÁRIO. AF_08/2022</v>
      </c>
      <c r="F149" s="165" t="str">
        <f ca="1">IF(RegimeExecucao="Global","",ORÇAMENTO.Unidade)</f>
        <v>UN</v>
      </c>
      <c r="G149" s="123">
        <f ca="1">IF(RegimeExecucao="Global","",ORÇAMENTO!T149)</f>
        <v>14</v>
      </c>
      <c r="H149" s="123">
        <f ca="1">IF(RegimeExecucao="Global","",ORÇAMENTO!W149)</f>
        <v>0</v>
      </c>
      <c r="I149" s="126">
        <f ca="1">ORÇAMENTO!X149</f>
        <v>0</v>
      </c>
      <c r="J149" s="334" t="e" cm="1">
        <f t="array" aca="1" ref="J149" ca="1">_xlfn.SINGLE(IF($A149="S",IF(CAIXA.Modo,BM.AFAnterior,BM.MEDAnterior),IF(AND(_xlfn.SINGLE(RegimeExecucao)="Global",$I149&gt;0,COUNTIF($AB$13:$AM$13,BM.medicao-1)&gt;0),M149/$I149*100,0)))</f>
        <v>#NAME?</v>
      </c>
      <c r="K149" s="123" t="e">
        <f t="shared" ca="1" si="17"/>
        <v>#NAME?</v>
      </c>
      <c r="L149" s="335" t="e" cm="1">
        <f t="array" aca="1" ref="L149" ca="1">_xlfn.SINGLE(IF($A149="S",IF(CAIXA.Modo,BM.AFAcumulado,BM.MEDAcumulado),IF(AND(_xlfn.SINGLE(RegimeExecucao)="Global",$I149&gt;0,COUNTIF($AB$13:$AM$13,BM.medicao)&gt;0),O149/$I149*100,0)))</f>
        <v>#NAME?</v>
      </c>
      <c r="M149" s="336">
        <f ca="1">IF($A149="S",VTOTALBM,IF($A149=0,0,ROUND(SomaAgrupBM,15-13*ORÇAMENTO!$AF$11)))</f>
        <v>0</v>
      </c>
      <c r="N149" s="337">
        <f t="shared" ca="1" si="18"/>
        <v>0</v>
      </c>
      <c r="O149" s="126">
        <f ca="1">IF($A149="S",VTOTALBM,IF($A149=0,0,ROUND(SomaAgrupBM,15-13*ORÇAMENTO!$AF$11)))</f>
        <v>0</v>
      </c>
      <c r="Q149" s="338"/>
      <c r="R149" s="339"/>
      <c r="T149" s="118" t="str">
        <f t="shared" ca="1" si="19"/>
        <v/>
      </c>
      <c r="U149" s="164" t="str">
        <f t="shared" ca="1" si="20"/>
        <v/>
      </c>
      <c r="V149" s="165" t="str">
        <f ca="1">IF(AND($W149&gt;0,RegimeExecucao="Unitário"),$F149,"")</f>
        <v/>
      </c>
      <c r="W149" s="455">
        <f ca="1">IF($Y149&gt;0,CHOOSE(MATCH(RegimeExecucao,{"Unitário","Global"},0),IF($A149="S",$Y149/$X149,""),($Y149/$X149)*100),0)</f>
        <v>0</v>
      </c>
      <c r="X149" s="340" t="str">
        <f ca="1">IF($Y149&gt;0,CHOOSE(MATCH(RegimeExecucao,{"Unitário","Global"},0),IF($A149="S",ROUND($H149,ORÇAMENTO!$AF$10),""),ROUND($I149,ORÇAMENTO!$AF$11)),"")</f>
        <v/>
      </c>
      <c r="Y149" s="340">
        <f t="shared" ca="1" si="21"/>
        <v>0</v>
      </c>
      <c r="Z149" s="474"/>
      <c r="AB149" s="338"/>
      <c r="AC149" s="438"/>
      <c r="AD149" s="438"/>
      <c r="AE149" s="438"/>
      <c r="AF149" s="438"/>
      <c r="AG149" s="438"/>
      <c r="AH149" s="438"/>
      <c r="AI149" s="438"/>
      <c r="AJ149" s="438"/>
      <c r="AK149" s="438"/>
      <c r="AL149" s="438"/>
      <c r="AM149" s="339"/>
      <c r="AO149">
        <f ca="1">IF($A149="S",IF(BM!$I149=0,0,CHOOSE(MATCH(RegimeExecucao,{"Global","Unitário"},0),ROUND(ROUND(BM.MEDAcumulado,15-13*BM!$A$9)/100*BM!$I149,15-13*ORÇAMENTO!$AF$11),ROUND(ROUND(BM.MEDAcumulado,15-13*BM!$A$9)*ROUND(BM!$H149,15-13*ORÇAMENTO!$AF$10),15-13*ORÇAMENTO!$AF$11))),IF($A149=0,0,ROUND(SomaAgrupBM,15-13*ORÇAMENTO!$AF$11)))</f>
        <v>0</v>
      </c>
    </row>
    <row r="150" spans="1:41" ht="38.25" x14ac:dyDescent="0.2">
      <c r="A150" t="str">
        <f ca="1">ORÇAMENTO!C150</f>
        <v>S</v>
      </c>
      <c r="B150">
        <f ca="1">ORÇAMENTO!D150</f>
        <v>0</v>
      </c>
      <c r="C150" s="115" t="str">
        <f t="shared" ca="1" si="15"/>
        <v/>
      </c>
      <c r="D150" s="118" t="str">
        <f ca="1">ORÇAMENTO!O150</f>
        <v>-</v>
      </c>
      <c r="E150" s="164" t="str">
        <f t="shared" si="16"/>
        <v>JUNÇÃO SIMPLES, PVC, SERIE NORMAL, ESGOTO PREDIAL, DN 40 MM, JUNTA SOLDÁVEL, FORNECIDO E INSTALADO EM RAMAL DE DESCARGA OU RAMAL DE ESGOTO SANITÁRIO. AF_08/2022</v>
      </c>
      <c r="F150" s="165" t="str">
        <f ca="1">IF(RegimeExecucao="Global","",ORÇAMENTO.Unidade)</f>
        <v>UN</v>
      </c>
      <c r="G150" s="123">
        <f ca="1">IF(RegimeExecucao="Global","",ORÇAMENTO!T150)</f>
        <v>12</v>
      </c>
      <c r="H150" s="123">
        <f ca="1">IF(RegimeExecucao="Global","",ORÇAMENTO!W150)</f>
        <v>0</v>
      </c>
      <c r="I150" s="126">
        <f ca="1">ORÇAMENTO!X150</f>
        <v>0</v>
      </c>
      <c r="J150" s="334" t="e" cm="1">
        <f t="array" aca="1" ref="J150" ca="1">_xlfn.SINGLE(IF($A150="S",IF(CAIXA.Modo,BM.AFAnterior,BM.MEDAnterior),IF(AND(_xlfn.SINGLE(RegimeExecucao)="Global",$I150&gt;0,COUNTIF($AB$13:$AM$13,BM.medicao-1)&gt;0),M150/$I150*100,0)))</f>
        <v>#NAME?</v>
      </c>
      <c r="K150" s="123" t="e">
        <f t="shared" ca="1" si="17"/>
        <v>#NAME?</v>
      </c>
      <c r="L150" s="335" t="e" cm="1">
        <f t="array" aca="1" ref="L150" ca="1">_xlfn.SINGLE(IF($A150="S",IF(CAIXA.Modo,BM.AFAcumulado,BM.MEDAcumulado),IF(AND(_xlfn.SINGLE(RegimeExecucao)="Global",$I150&gt;0,COUNTIF($AB$13:$AM$13,BM.medicao)&gt;0),O150/$I150*100,0)))</f>
        <v>#NAME?</v>
      </c>
      <c r="M150" s="336">
        <f ca="1">IF($A150="S",VTOTALBM,IF($A150=0,0,ROUND(SomaAgrupBM,15-13*ORÇAMENTO!$AF$11)))</f>
        <v>0</v>
      </c>
      <c r="N150" s="337">
        <f t="shared" ca="1" si="18"/>
        <v>0</v>
      </c>
      <c r="O150" s="126">
        <f ca="1">IF($A150="S",VTOTALBM,IF($A150=0,0,ROUND(SomaAgrupBM,15-13*ORÇAMENTO!$AF$11)))</f>
        <v>0</v>
      </c>
      <c r="Q150" s="338"/>
      <c r="R150" s="339"/>
      <c r="T150" s="118" t="str">
        <f t="shared" ca="1" si="19"/>
        <v/>
      </c>
      <c r="U150" s="164" t="str">
        <f t="shared" ca="1" si="20"/>
        <v/>
      </c>
      <c r="V150" s="165" t="str">
        <f ca="1">IF(AND($W150&gt;0,RegimeExecucao="Unitário"),$F150,"")</f>
        <v/>
      </c>
      <c r="W150" s="455">
        <f ca="1">IF($Y150&gt;0,CHOOSE(MATCH(RegimeExecucao,{"Unitário","Global"},0),IF($A150="S",$Y150/$X150,""),($Y150/$X150)*100),0)</f>
        <v>0</v>
      </c>
      <c r="X150" s="340" t="str">
        <f ca="1">IF($Y150&gt;0,CHOOSE(MATCH(RegimeExecucao,{"Unitário","Global"},0),IF($A150="S",ROUND($H150,ORÇAMENTO!$AF$10),""),ROUND($I150,ORÇAMENTO!$AF$11)),"")</f>
        <v/>
      </c>
      <c r="Y150" s="340">
        <f t="shared" ca="1" si="21"/>
        <v>0</v>
      </c>
      <c r="Z150" s="474"/>
      <c r="AB150" s="338"/>
      <c r="AC150" s="438"/>
      <c r="AD150" s="438"/>
      <c r="AE150" s="438"/>
      <c r="AF150" s="438"/>
      <c r="AG150" s="438"/>
      <c r="AH150" s="438"/>
      <c r="AI150" s="438"/>
      <c r="AJ150" s="438"/>
      <c r="AK150" s="438"/>
      <c r="AL150" s="438"/>
      <c r="AM150" s="339"/>
      <c r="AO150">
        <f ca="1">IF($A150="S",IF(BM!$I150=0,0,CHOOSE(MATCH(RegimeExecucao,{"Global","Unitário"},0),ROUND(ROUND(BM.MEDAcumulado,15-13*BM!$A$9)/100*BM!$I150,15-13*ORÇAMENTO!$AF$11),ROUND(ROUND(BM.MEDAcumulado,15-13*BM!$A$9)*ROUND(BM!$H150,15-13*ORÇAMENTO!$AF$10),15-13*ORÇAMENTO!$AF$11))),IF($A150=0,0,ROUND(SomaAgrupBM,15-13*ORÇAMENTO!$AF$11)))</f>
        <v>0</v>
      </c>
    </row>
    <row r="151" spans="1:41" ht="38.25" x14ac:dyDescent="0.2">
      <c r="A151" t="str">
        <f ca="1">ORÇAMENTO!C151</f>
        <v>S</v>
      </c>
      <c r="B151">
        <f ca="1">ORÇAMENTO!D151</f>
        <v>0</v>
      </c>
      <c r="C151" s="115" t="str">
        <f t="shared" ca="1" si="15"/>
        <v/>
      </c>
      <c r="D151" s="118" t="str">
        <f ca="1">ORÇAMENTO!O151</f>
        <v>-</v>
      </c>
      <c r="E151" s="164" t="str">
        <f t="shared" si="16"/>
        <v>JUNÇÃO SIMPLES, PVC, SERIE NORMAL, ESGOTO PREDIAL, DN 50 X 50 MM, JUNTA ELÁSTICA, FORNECIDO E INSTALADO EM RAMAL DE DESCARGA OU RAMAL DE ESGOTO SANITÁRIO. AF_08/2022</v>
      </c>
      <c r="F151" s="165" t="str">
        <f ca="1">IF(RegimeExecucao="Global","",ORÇAMENTO.Unidade)</f>
        <v>UN</v>
      </c>
      <c r="G151" s="123">
        <f ca="1">IF(RegimeExecucao="Global","",ORÇAMENTO!T151)</f>
        <v>14</v>
      </c>
      <c r="H151" s="123">
        <f ca="1">IF(RegimeExecucao="Global","",ORÇAMENTO!W151)</f>
        <v>0</v>
      </c>
      <c r="I151" s="126">
        <f ca="1">ORÇAMENTO!X151</f>
        <v>0</v>
      </c>
      <c r="J151" s="334" t="e" cm="1">
        <f t="array" aca="1" ref="J151" ca="1">_xlfn.SINGLE(IF($A151="S",IF(CAIXA.Modo,BM.AFAnterior,BM.MEDAnterior),IF(AND(_xlfn.SINGLE(RegimeExecucao)="Global",$I151&gt;0,COUNTIF($AB$13:$AM$13,BM.medicao-1)&gt;0),M151/$I151*100,0)))</f>
        <v>#NAME?</v>
      </c>
      <c r="K151" s="123" t="e">
        <f t="shared" ca="1" si="17"/>
        <v>#NAME?</v>
      </c>
      <c r="L151" s="335" t="e" cm="1">
        <f t="array" aca="1" ref="L151" ca="1">_xlfn.SINGLE(IF($A151="S",IF(CAIXA.Modo,BM.AFAcumulado,BM.MEDAcumulado),IF(AND(_xlfn.SINGLE(RegimeExecucao)="Global",$I151&gt;0,COUNTIF($AB$13:$AM$13,BM.medicao)&gt;0),O151/$I151*100,0)))</f>
        <v>#NAME?</v>
      </c>
      <c r="M151" s="336">
        <f ca="1">IF($A151="S",VTOTALBM,IF($A151=0,0,ROUND(SomaAgrupBM,15-13*ORÇAMENTO!$AF$11)))</f>
        <v>0</v>
      </c>
      <c r="N151" s="337">
        <f t="shared" ca="1" si="18"/>
        <v>0</v>
      </c>
      <c r="O151" s="126">
        <f ca="1">IF($A151="S",VTOTALBM,IF($A151=0,0,ROUND(SomaAgrupBM,15-13*ORÇAMENTO!$AF$11)))</f>
        <v>0</v>
      </c>
      <c r="Q151" s="338"/>
      <c r="R151" s="339"/>
      <c r="T151" s="118" t="str">
        <f t="shared" ca="1" si="19"/>
        <v/>
      </c>
      <c r="U151" s="164" t="str">
        <f t="shared" ca="1" si="20"/>
        <v/>
      </c>
      <c r="V151" s="165" t="str">
        <f ca="1">IF(AND($W151&gt;0,RegimeExecucao="Unitário"),$F151,"")</f>
        <v/>
      </c>
      <c r="W151" s="455">
        <f ca="1">IF($Y151&gt;0,CHOOSE(MATCH(RegimeExecucao,{"Unitário","Global"},0),IF($A151="S",$Y151/$X151,""),($Y151/$X151)*100),0)</f>
        <v>0</v>
      </c>
      <c r="X151" s="340" t="str">
        <f ca="1">IF($Y151&gt;0,CHOOSE(MATCH(RegimeExecucao,{"Unitário","Global"},0),IF($A151="S",ROUND($H151,ORÇAMENTO!$AF$10),""),ROUND($I151,ORÇAMENTO!$AF$11)),"")</f>
        <v/>
      </c>
      <c r="Y151" s="340">
        <f t="shared" ca="1" si="21"/>
        <v>0</v>
      </c>
      <c r="Z151" s="474"/>
      <c r="AB151" s="338"/>
      <c r="AC151" s="438"/>
      <c r="AD151" s="438"/>
      <c r="AE151" s="438"/>
      <c r="AF151" s="438"/>
      <c r="AG151" s="438"/>
      <c r="AH151" s="438"/>
      <c r="AI151" s="438"/>
      <c r="AJ151" s="438"/>
      <c r="AK151" s="438"/>
      <c r="AL151" s="438"/>
      <c r="AM151" s="339"/>
      <c r="AO151">
        <f ca="1">IF($A151="S",IF(BM!$I151=0,0,CHOOSE(MATCH(RegimeExecucao,{"Global","Unitário"},0),ROUND(ROUND(BM.MEDAcumulado,15-13*BM!$A$9)/100*BM!$I151,15-13*ORÇAMENTO!$AF$11),ROUND(ROUND(BM.MEDAcumulado,15-13*BM!$A$9)*ROUND(BM!$H151,15-13*ORÇAMENTO!$AF$10),15-13*ORÇAMENTO!$AF$11))),IF($A151=0,0,ROUND(SomaAgrupBM,15-13*ORÇAMENTO!$AF$11)))</f>
        <v>0</v>
      </c>
    </row>
    <row r="152" spans="1:41" ht="38.25" x14ac:dyDescent="0.2">
      <c r="A152" t="str">
        <f ca="1">ORÇAMENTO!C152</f>
        <v>S</v>
      </c>
      <c r="B152">
        <f ca="1">ORÇAMENTO!D152</f>
        <v>0</v>
      </c>
      <c r="C152" s="115" t="str">
        <f t="shared" ca="1" si="15"/>
        <v/>
      </c>
      <c r="D152" s="118" t="str">
        <f ca="1">ORÇAMENTO!O152</f>
        <v>-</v>
      </c>
      <c r="E152" s="164" t="str">
        <f t="shared" si="16"/>
        <v>JUNÇÃO SIMPLES, PVC, SERIE R, ÁGUA PLUVIAL, DN 100 X 75 MM, JUNTA ELÁSTICA, FORNECIDO E INSTALADO EM RAMAL DE ENCAMINHAMENTO. AF_06/2022</v>
      </c>
      <c r="F152" s="165" t="str">
        <f ca="1">IF(RegimeExecucao="Global","",ORÇAMENTO.Unidade)</f>
        <v>UN</v>
      </c>
      <c r="G152" s="123">
        <f ca="1">IF(RegimeExecucao="Global","",ORÇAMENTO!T152)</f>
        <v>1</v>
      </c>
      <c r="H152" s="123">
        <f ca="1">IF(RegimeExecucao="Global","",ORÇAMENTO!W152)</f>
        <v>0</v>
      </c>
      <c r="I152" s="126">
        <f ca="1">ORÇAMENTO!X152</f>
        <v>0</v>
      </c>
      <c r="J152" s="334" t="e" cm="1">
        <f t="array" aca="1" ref="J152" ca="1">_xlfn.SINGLE(IF($A152="S",IF(CAIXA.Modo,BM.AFAnterior,BM.MEDAnterior),IF(AND(_xlfn.SINGLE(RegimeExecucao)="Global",$I152&gt;0,COUNTIF($AB$13:$AM$13,BM.medicao-1)&gt;0),M152/$I152*100,0)))</f>
        <v>#NAME?</v>
      </c>
      <c r="K152" s="123" t="e">
        <f t="shared" ca="1" si="17"/>
        <v>#NAME?</v>
      </c>
      <c r="L152" s="335" t="e" cm="1">
        <f t="array" aca="1" ref="L152" ca="1">_xlfn.SINGLE(IF($A152="S",IF(CAIXA.Modo,BM.AFAcumulado,BM.MEDAcumulado),IF(AND(_xlfn.SINGLE(RegimeExecucao)="Global",$I152&gt;0,COUNTIF($AB$13:$AM$13,BM.medicao)&gt;0),O152/$I152*100,0)))</f>
        <v>#NAME?</v>
      </c>
      <c r="M152" s="336">
        <f ca="1">IF($A152="S",VTOTALBM,IF($A152=0,0,ROUND(SomaAgrupBM,15-13*ORÇAMENTO!$AF$11)))</f>
        <v>0</v>
      </c>
      <c r="N152" s="337">
        <f t="shared" ca="1" si="18"/>
        <v>0</v>
      </c>
      <c r="O152" s="126">
        <f ca="1">IF($A152="S",VTOTALBM,IF($A152=0,0,ROUND(SomaAgrupBM,15-13*ORÇAMENTO!$AF$11)))</f>
        <v>0</v>
      </c>
      <c r="Q152" s="338"/>
      <c r="R152" s="339"/>
      <c r="T152" s="118" t="str">
        <f t="shared" ca="1" si="19"/>
        <v/>
      </c>
      <c r="U152" s="164" t="str">
        <f t="shared" ca="1" si="20"/>
        <v/>
      </c>
      <c r="V152" s="165" t="str">
        <f ca="1">IF(AND($W152&gt;0,RegimeExecucao="Unitário"),$F152,"")</f>
        <v/>
      </c>
      <c r="W152" s="455">
        <f ca="1">IF($Y152&gt;0,CHOOSE(MATCH(RegimeExecucao,{"Unitário","Global"},0),IF($A152="S",$Y152/$X152,""),($Y152/$X152)*100),0)</f>
        <v>0</v>
      </c>
      <c r="X152" s="340" t="str">
        <f ca="1">IF($Y152&gt;0,CHOOSE(MATCH(RegimeExecucao,{"Unitário","Global"},0),IF($A152="S",ROUND($H152,ORÇAMENTO!$AF$10),""),ROUND($I152,ORÇAMENTO!$AF$11)),"")</f>
        <v/>
      </c>
      <c r="Y152" s="340">
        <f t="shared" ca="1" si="21"/>
        <v>0</v>
      </c>
      <c r="Z152" s="474"/>
      <c r="AB152" s="338"/>
      <c r="AC152" s="438"/>
      <c r="AD152" s="438"/>
      <c r="AE152" s="438"/>
      <c r="AF152" s="438"/>
      <c r="AG152" s="438"/>
      <c r="AH152" s="438"/>
      <c r="AI152" s="438"/>
      <c r="AJ152" s="438"/>
      <c r="AK152" s="438"/>
      <c r="AL152" s="438"/>
      <c r="AM152" s="339"/>
      <c r="AO152">
        <f ca="1">IF($A152="S",IF(BM!$I152=0,0,CHOOSE(MATCH(RegimeExecucao,{"Global","Unitário"},0),ROUND(ROUND(BM.MEDAcumulado,15-13*BM!$A$9)/100*BM!$I152,15-13*ORÇAMENTO!$AF$11),ROUND(ROUND(BM.MEDAcumulado,15-13*BM!$A$9)*ROUND(BM!$H152,15-13*ORÇAMENTO!$AF$10),15-13*ORÇAMENTO!$AF$11))),IF($A152=0,0,ROUND(SomaAgrupBM,15-13*ORÇAMENTO!$AF$11)))</f>
        <v>0</v>
      </c>
    </row>
    <row r="153" spans="1:41" ht="51" x14ac:dyDescent="0.2">
      <c r="A153" t="str">
        <f ca="1">ORÇAMENTO!C153</f>
        <v>S</v>
      </c>
      <c r="B153">
        <f ca="1">ORÇAMENTO!D153</f>
        <v>0</v>
      </c>
      <c r="C153" s="115" t="str">
        <f t="shared" ca="1" si="15"/>
        <v/>
      </c>
      <c r="D153" s="118" t="str">
        <f ca="1">ORÇAMENTO!O153</f>
        <v>-</v>
      </c>
      <c r="E153" s="164" t="str">
        <f t="shared" si="16"/>
        <v>JUNÇÃO DE REDUÇÃO INVERTIDA, PVC, SÉRIE NORMAL, ESGOTO PREDIAL, DN 75 X 50 MM, JUNTA ELÁSTICA, FORNECIDO E INSTALADO EM PRUMADA DE ESGOTO SANITÁRIO OU VENTILAÇÃO. AF_08/2022</v>
      </c>
      <c r="F153" s="165" t="str">
        <f ca="1">IF(RegimeExecucao="Global","",ORÇAMENTO.Unidade)</f>
        <v>UN</v>
      </c>
      <c r="G153" s="123">
        <f ca="1">IF(RegimeExecucao="Global","",ORÇAMENTO!T153)</f>
        <v>4</v>
      </c>
      <c r="H153" s="123">
        <f ca="1">IF(RegimeExecucao="Global","",ORÇAMENTO!W153)</f>
        <v>0</v>
      </c>
      <c r="I153" s="126">
        <f ca="1">ORÇAMENTO!X153</f>
        <v>0</v>
      </c>
      <c r="J153" s="334" t="e" cm="1">
        <f t="array" aca="1" ref="J153" ca="1">_xlfn.SINGLE(IF($A153="S",IF(CAIXA.Modo,BM.AFAnterior,BM.MEDAnterior),IF(AND(_xlfn.SINGLE(RegimeExecucao)="Global",$I153&gt;0,COUNTIF($AB$13:$AM$13,BM.medicao-1)&gt;0),M153/$I153*100,0)))</f>
        <v>#NAME?</v>
      </c>
      <c r="K153" s="123" t="e">
        <f t="shared" ca="1" si="17"/>
        <v>#NAME?</v>
      </c>
      <c r="L153" s="335" t="e" cm="1">
        <f t="array" aca="1" ref="L153" ca="1">_xlfn.SINGLE(IF($A153="S",IF(CAIXA.Modo,BM.AFAcumulado,BM.MEDAcumulado),IF(AND(_xlfn.SINGLE(RegimeExecucao)="Global",$I153&gt;0,COUNTIF($AB$13:$AM$13,BM.medicao)&gt;0),O153/$I153*100,0)))</f>
        <v>#NAME?</v>
      </c>
      <c r="M153" s="336">
        <f ca="1">IF($A153="S",VTOTALBM,IF($A153=0,0,ROUND(SomaAgrupBM,15-13*ORÇAMENTO!$AF$11)))</f>
        <v>0</v>
      </c>
      <c r="N153" s="337">
        <f t="shared" ca="1" si="18"/>
        <v>0</v>
      </c>
      <c r="O153" s="126">
        <f ca="1">IF($A153="S",VTOTALBM,IF($A153=0,0,ROUND(SomaAgrupBM,15-13*ORÇAMENTO!$AF$11)))</f>
        <v>0</v>
      </c>
      <c r="Q153" s="338"/>
      <c r="R153" s="339"/>
      <c r="T153" s="118" t="str">
        <f t="shared" ca="1" si="19"/>
        <v/>
      </c>
      <c r="U153" s="164" t="str">
        <f t="shared" ca="1" si="20"/>
        <v/>
      </c>
      <c r="V153" s="165" t="str">
        <f ca="1">IF(AND($W153&gt;0,RegimeExecucao="Unitário"),$F153,"")</f>
        <v/>
      </c>
      <c r="W153" s="455">
        <f ca="1">IF($Y153&gt;0,CHOOSE(MATCH(RegimeExecucao,{"Unitário","Global"},0),IF($A153="S",$Y153/$X153,""),($Y153/$X153)*100),0)</f>
        <v>0</v>
      </c>
      <c r="X153" s="340" t="str">
        <f ca="1">IF($Y153&gt;0,CHOOSE(MATCH(RegimeExecucao,{"Unitário","Global"},0),IF($A153="S",ROUND($H153,ORÇAMENTO!$AF$10),""),ROUND($I153,ORÇAMENTO!$AF$11)),"")</f>
        <v/>
      </c>
      <c r="Y153" s="340">
        <f t="shared" ca="1" si="21"/>
        <v>0</v>
      </c>
      <c r="Z153" s="474"/>
      <c r="AB153" s="338"/>
      <c r="AC153" s="438"/>
      <c r="AD153" s="438"/>
      <c r="AE153" s="438"/>
      <c r="AF153" s="438"/>
      <c r="AG153" s="438"/>
      <c r="AH153" s="438"/>
      <c r="AI153" s="438"/>
      <c r="AJ153" s="438"/>
      <c r="AK153" s="438"/>
      <c r="AL153" s="438"/>
      <c r="AM153" s="339"/>
      <c r="AO153">
        <f ca="1">IF($A153="S",IF(BM!$I153=0,0,CHOOSE(MATCH(RegimeExecucao,{"Global","Unitário"},0),ROUND(ROUND(BM.MEDAcumulado,15-13*BM!$A$9)/100*BM!$I153,15-13*ORÇAMENTO!$AF$11),ROUND(ROUND(BM.MEDAcumulado,15-13*BM!$A$9)*ROUND(BM!$H153,15-13*ORÇAMENTO!$AF$10),15-13*ORÇAMENTO!$AF$11))),IF($A153=0,0,ROUND(SomaAgrupBM,15-13*ORÇAMENTO!$AF$11)))</f>
        <v>0</v>
      </c>
    </row>
    <row r="154" spans="1:41" ht="38.25" x14ac:dyDescent="0.2">
      <c r="A154" t="str">
        <f ca="1">ORÇAMENTO!C154</f>
        <v>S</v>
      </c>
      <c r="B154">
        <f ca="1">ORÇAMENTO!D154</f>
        <v>0</v>
      </c>
      <c r="C154" s="115" t="str">
        <f t="shared" ca="1" si="15"/>
        <v/>
      </c>
      <c r="D154" s="118" t="str">
        <f ca="1">ORÇAMENTO!O154</f>
        <v>-</v>
      </c>
      <c r="E154" s="164" t="str">
        <f t="shared" si="16"/>
        <v>JUNÇÃO SIMPLES, PVC, SERIE NORMAL, ESGOTO PREDIAL, DN 75 X 75 MM, JUNTA ELÁSTICA, FORNECIDO E INSTALADO EM PRUMADA DE ESGOTO SANITÁRIO OU VENTILAÇÃO. AF_08/2022</v>
      </c>
      <c r="F154" s="165" t="str">
        <f ca="1">IF(RegimeExecucao="Global","",ORÇAMENTO.Unidade)</f>
        <v>UN</v>
      </c>
      <c r="G154" s="123">
        <f ca="1">IF(RegimeExecucao="Global","",ORÇAMENTO!T154)</f>
        <v>1</v>
      </c>
      <c r="H154" s="123">
        <f ca="1">IF(RegimeExecucao="Global","",ORÇAMENTO!W154)</f>
        <v>0</v>
      </c>
      <c r="I154" s="126">
        <f ca="1">ORÇAMENTO!X154</f>
        <v>0</v>
      </c>
      <c r="J154" s="334" t="e" cm="1">
        <f t="array" aca="1" ref="J154" ca="1">_xlfn.SINGLE(IF($A154="S",IF(CAIXA.Modo,BM.AFAnterior,BM.MEDAnterior),IF(AND(_xlfn.SINGLE(RegimeExecucao)="Global",$I154&gt;0,COUNTIF($AB$13:$AM$13,BM.medicao-1)&gt;0),M154/$I154*100,0)))</f>
        <v>#NAME?</v>
      </c>
      <c r="K154" s="123" t="e">
        <f t="shared" ca="1" si="17"/>
        <v>#NAME?</v>
      </c>
      <c r="L154" s="335" t="e" cm="1">
        <f t="array" aca="1" ref="L154" ca="1">_xlfn.SINGLE(IF($A154="S",IF(CAIXA.Modo,BM.AFAcumulado,BM.MEDAcumulado),IF(AND(_xlfn.SINGLE(RegimeExecucao)="Global",$I154&gt;0,COUNTIF($AB$13:$AM$13,BM.medicao)&gt;0),O154/$I154*100,0)))</f>
        <v>#NAME?</v>
      </c>
      <c r="M154" s="336">
        <f ca="1">IF($A154="S",VTOTALBM,IF($A154=0,0,ROUND(SomaAgrupBM,15-13*ORÇAMENTO!$AF$11)))</f>
        <v>0</v>
      </c>
      <c r="N154" s="337">
        <f t="shared" ca="1" si="18"/>
        <v>0</v>
      </c>
      <c r="O154" s="126">
        <f ca="1">IF($A154="S",VTOTALBM,IF($A154=0,0,ROUND(SomaAgrupBM,15-13*ORÇAMENTO!$AF$11)))</f>
        <v>0</v>
      </c>
      <c r="Q154" s="338"/>
      <c r="R154" s="339"/>
      <c r="T154" s="118" t="str">
        <f t="shared" ca="1" si="19"/>
        <v/>
      </c>
      <c r="U154" s="164" t="str">
        <f t="shared" ca="1" si="20"/>
        <v/>
      </c>
      <c r="V154" s="165" t="str">
        <f ca="1">IF(AND($W154&gt;0,RegimeExecucao="Unitário"),$F154,"")</f>
        <v/>
      </c>
      <c r="W154" s="455">
        <f ca="1">IF($Y154&gt;0,CHOOSE(MATCH(RegimeExecucao,{"Unitário","Global"},0),IF($A154="S",$Y154/$X154,""),($Y154/$X154)*100),0)</f>
        <v>0</v>
      </c>
      <c r="X154" s="340" t="str">
        <f ca="1">IF($Y154&gt;0,CHOOSE(MATCH(RegimeExecucao,{"Unitário","Global"},0),IF($A154="S",ROUND($H154,ORÇAMENTO!$AF$10),""),ROUND($I154,ORÇAMENTO!$AF$11)),"")</f>
        <v/>
      </c>
      <c r="Y154" s="340">
        <f t="shared" ca="1" si="21"/>
        <v>0</v>
      </c>
      <c r="Z154" s="474"/>
      <c r="AB154" s="338"/>
      <c r="AC154" s="438"/>
      <c r="AD154" s="438"/>
      <c r="AE154" s="438"/>
      <c r="AF154" s="438"/>
      <c r="AG154" s="438"/>
      <c r="AH154" s="438"/>
      <c r="AI154" s="438"/>
      <c r="AJ154" s="438"/>
      <c r="AK154" s="438"/>
      <c r="AL154" s="438"/>
      <c r="AM154" s="339"/>
      <c r="AO154">
        <f ca="1">IF($A154="S",IF(BM!$I154=0,0,CHOOSE(MATCH(RegimeExecucao,{"Global","Unitário"},0),ROUND(ROUND(BM.MEDAcumulado,15-13*BM!$A$9)/100*BM!$I154,15-13*ORÇAMENTO!$AF$11),ROUND(ROUND(BM.MEDAcumulado,15-13*BM!$A$9)*ROUND(BM!$H154,15-13*ORÇAMENTO!$AF$10),15-13*ORÇAMENTO!$AF$11))),IF($A154=0,0,ROUND(SomaAgrupBM,15-13*ORÇAMENTO!$AF$11)))</f>
        <v>0</v>
      </c>
    </row>
    <row r="155" spans="1:41" ht="38.25" x14ac:dyDescent="0.2">
      <c r="A155" t="str">
        <f ca="1">ORÇAMENTO!C155</f>
        <v>S</v>
      </c>
      <c r="B155">
        <f ca="1">ORÇAMENTO!D155</f>
        <v>0</v>
      </c>
      <c r="C155" s="115" t="str">
        <f t="shared" ca="1" si="15"/>
        <v/>
      </c>
      <c r="D155" s="118" t="str">
        <f ca="1">ORÇAMENTO!O155</f>
        <v>-</v>
      </c>
      <c r="E155" s="164" t="str">
        <f t="shared" si="16"/>
        <v>REDUÇÃO EXCÊNTRICA, PVC, SERIE R, ESGOTO PREDIAL, DN 100 X 75 MM, JUNTA ELÁSTICA, FORNECIDO E INSTALADO EM PRUMADA DE ESGOTO SANITÁRIO</v>
      </c>
      <c r="F155" s="165" t="str">
        <f ca="1">IF(RegimeExecucao="Global","",ORÇAMENTO.Unidade)</f>
        <v xml:space="preserve">UN    </v>
      </c>
      <c r="G155" s="123">
        <f ca="1">IF(RegimeExecucao="Global","",ORÇAMENTO!T155)</f>
        <v>7</v>
      </c>
      <c r="H155" s="123">
        <f ca="1">IF(RegimeExecucao="Global","",ORÇAMENTO!W155)</f>
        <v>0</v>
      </c>
      <c r="I155" s="126">
        <f ca="1">ORÇAMENTO!X155</f>
        <v>0</v>
      </c>
      <c r="J155" s="334" t="e" cm="1">
        <f t="array" aca="1" ref="J155" ca="1">_xlfn.SINGLE(IF($A155="S",IF(CAIXA.Modo,BM.AFAnterior,BM.MEDAnterior),IF(AND(_xlfn.SINGLE(RegimeExecucao)="Global",$I155&gt;0,COUNTIF($AB$13:$AM$13,BM.medicao-1)&gt;0),M155/$I155*100,0)))</f>
        <v>#NAME?</v>
      </c>
      <c r="K155" s="123" t="e">
        <f t="shared" ca="1" si="17"/>
        <v>#NAME?</v>
      </c>
      <c r="L155" s="335" t="e" cm="1">
        <f t="array" aca="1" ref="L155" ca="1">_xlfn.SINGLE(IF($A155="S",IF(CAIXA.Modo,BM.AFAcumulado,BM.MEDAcumulado),IF(AND(_xlfn.SINGLE(RegimeExecucao)="Global",$I155&gt;0,COUNTIF($AB$13:$AM$13,BM.medicao)&gt;0),O155/$I155*100,0)))</f>
        <v>#NAME?</v>
      </c>
      <c r="M155" s="336">
        <f ca="1">IF($A155="S",VTOTALBM,IF($A155=0,0,ROUND(SomaAgrupBM,15-13*ORÇAMENTO!$AF$11)))</f>
        <v>0</v>
      </c>
      <c r="N155" s="337">
        <f t="shared" ca="1" si="18"/>
        <v>0</v>
      </c>
      <c r="O155" s="126">
        <f ca="1">IF($A155="S",VTOTALBM,IF($A155=0,0,ROUND(SomaAgrupBM,15-13*ORÇAMENTO!$AF$11)))</f>
        <v>0</v>
      </c>
      <c r="Q155" s="338"/>
      <c r="R155" s="339"/>
      <c r="T155" s="118" t="str">
        <f t="shared" ca="1" si="19"/>
        <v/>
      </c>
      <c r="U155" s="164" t="str">
        <f t="shared" ca="1" si="20"/>
        <v/>
      </c>
      <c r="V155" s="165" t="str">
        <f ca="1">IF(AND($W155&gt;0,RegimeExecucao="Unitário"),$F155,"")</f>
        <v/>
      </c>
      <c r="W155" s="455">
        <f ca="1">IF($Y155&gt;0,CHOOSE(MATCH(RegimeExecucao,{"Unitário","Global"},0),IF($A155="S",$Y155/$X155,""),($Y155/$X155)*100),0)</f>
        <v>0</v>
      </c>
      <c r="X155" s="340" t="str">
        <f ca="1">IF($Y155&gt;0,CHOOSE(MATCH(RegimeExecucao,{"Unitário","Global"},0),IF($A155="S",ROUND($H155,ORÇAMENTO!$AF$10),""),ROUND($I155,ORÇAMENTO!$AF$11)),"")</f>
        <v/>
      </c>
      <c r="Y155" s="340">
        <f t="shared" ca="1" si="21"/>
        <v>0</v>
      </c>
      <c r="Z155" s="474"/>
      <c r="AB155" s="338"/>
      <c r="AC155" s="438"/>
      <c r="AD155" s="438"/>
      <c r="AE155" s="438"/>
      <c r="AF155" s="438"/>
      <c r="AG155" s="438"/>
      <c r="AH155" s="438"/>
      <c r="AI155" s="438"/>
      <c r="AJ155" s="438"/>
      <c r="AK155" s="438"/>
      <c r="AL155" s="438"/>
      <c r="AM155" s="339"/>
      <c r="AO155">
        <f ca="1">IF($A155="S",IF(BM!$I155=0,0,CHOOSE(MATCH(RegimeExecucao,{"Global","Unitário"},0),ROUND(ROUND(BM.MEDAcumulado,15-13*BM!$A$9)/100*BM!$I155,15-13*ORÇAMENTO!$AF$11),ROUND(ROUND(BM.MEDAcumulado,15-13*BM!$A$9)*ROUND(BM!$H155,15-13*ORÇAMENTO!$AF$10),15-13*ORÇAMENTO!$AF$11))),IF($A155=0,0,ROUND(SomaAgrupBM,15-13*ORÇAMENTO!$AF$11)))</f>
        <v>0</v>
      </c>
    </row>
    <row r="156" spans="1:41" ht="38.25" x14ac:dyDescent="0.2">
      <c r="A156" t="str">
        <f ca="1">ORÇAMENTO!C156</f>
        <v>S</v>
      </c>
      <c r="B156">
        <f ca="1">ORÇAMENTO!D156</f>
        <v>0</v>
      </c>
      <c r="C156" s="115" t="str">
        <f t="shared" ca="1" si="15"/>
        <v/>
      </c>
      <c r="D156" s="118" t="str">
        <f ca="1">ORÇAMENTO!O156</f>
        <v>-</v>
      </c>
      <c r="E156" s="164" t="str">
        <f t="shared" si="16"/>
        <v>TUBO PVC, SERIE NORMAL, ESGOTO PREDIAL, DN 100 MM, FORNECIDO E INSTALADO EM RAMAL DE DESCARGA OU RAMAL DE ESGOTO SANITÁRIO. AF_08/2022</v>
      </c>
      <c r="F156" s="165" t="str">
        <f ca="1">IF(RegimeExecucao="Global","",ORÇAMENTO.Unidade)</f>
        <v>M</v>
      </c>
      <c r="G156" s="123">
        <f ca="1">IF(RegimeExecucao="Global","",ORÇAMENTO!T156)</f>
        <v>312.2</v>
      </c>
      <c r="H156" s="123">
        <f ca="1">IF(RegimeExecucao="Global","",ORÇAMENTO!W156)</f>
        <v>0</v>
      </c>
      <c r="I156" s="126">
        <f ca="1">ORÇAMENTO!X156</f>
        <v>0</v>
      </c>
      <c r="J156" s="334" t="e" cm="1">
        <f t="array" aca="1" ref="J156" ca="1">_xlfn.SINGLE(IF($A156="S",IF(CAIXA.Modo,BM.AFAnterior,BM.MEDAnterior),IF(AND(_xlfn.SINGLE(RegimeExecucao)="Global",$I156&gt;0,COUNTIF($AB$13:$AM$13,BM.medicao-1)&gt;0),M156/$I156*100,0)))</f>
        <v>#NAME?</v>
      </c>
      <c r="K156" s="123" t="e">
        <f t="shared" ca="1" si="17"/>
        <v>#NAME?</v>
      </c>
      <c r="L156" s="335" t="e" cm="1">
        <f t="array" aca="1" ref="L156" ca="1">_xlfn.SINGLE(IF($A156="S",IF(CAIXA.Modo,BM.AFAcumulado,BM.MEDAcumulado),IF(AND(_xlfn.SINGLE(RegimeExecucao)="Global",$I156&gt;0,COUNTIF($AB$13:$AM$13,BM.medicao)&gt;0),O156/$I156*100,0)))</f>
        <v>#NAME?</v>
      </c>
      <c r="M156" s="336">
        <f ca="1">IF($A156="S",VTOTALBM,IF($A156=0,0,ROUND(SomaAgrupBM,15-13*ORÇAMENTO!$AF$11)))</f>
        <v>0</v>
      </c>
      <c r="N156" s="337">
        <f t="shared" ca="1" si="18"/>
        <v>0</v>
      </c>
      <c r="O156" s="126">
        <f ca="1">IF($A156="S",VTOTALBM,IF($A156=0,0,ROUND(SomaAgrupBM,15-13*ORÇAMENTO!$AF$11)))</f>
        <v>0</v>
      </c>
      <c r="Q156" s="338"/>
      <c r="R156" s="339"/>
      <c r="T156" s="118" t="str">
        <f t="shared" ca="1" si="19"/>
        <v/>
      </c>
      <c r="U156" s="164" t="str">
        <f t="shared" ca="1" si="20"/>
        <v/>
      </c>
      <c r="V156" s="165" t="str">
        <f ca="1">IF(AND($W156&gt;0,RegimeExecucao="Unitário"),$F156,"")</f>
        <v/>
      </c>
      <c r="W156" s="455">
        <f ca="1">IF($Y156&gt;0,CHOOSE(MATCH(RegimeExecucao,{"Unitário","Global"},0),IF($A156="S",$Y156/$X156,""),($Y156/$X156)*100),0)</f>
        <v>0</v>
      </c>
      <c r="X156" s="340" t="str">
        <f ca="1">IF($Y156&gt;0,CHOOSE(MATCH(RegimeExecucao,{"Unitário","Global"},0),IF($A156="S",ROUND($H156,ORÇAMENTO!$AF$10),""),ROUND($I156,ORÇAMENTO!$AF$11)),"")</f>
        <v/>
      </c>
      <c r="Y156" s="340">
        <f t="shared" ca="1" si="21"/>
        <v>0</v>
      </c>
      <c r="Z156" s="474"/>
      <c r="AB156" s="338"/>
      <c r="AC156" s="438"/>
      <c r="AD156" s="438"/>
      <c r="AE156" s="438"/>
      <c r="AF156" s="438"/>
      <c r="AG156" s="438"/>
      <c r="AH156" s="438"/>
      <c r="AI156" s="438"/>
      <c r="AJ156" s="438"/>
      <c r="AK156" s="438"/>
      <c r="AL156" s="438"/>
      <c r="AM156" s="339"/>
      <c r="AO156">
        <f ca="1">IF($A156="S",IF(BM!$I156=0,0,CHOOSE(MATCH(RegimeExecucao,{"Global","Unitário"},0),ROUND(ROUND(BM.MEDAcumulado,15-13*BM!$A$9)/100*BM!$I156,15-13*ORÇAMENTO!$AF$11),ROUND(ROUND(BM.MEDAcumulado,15-13*BM!$A$9)*ROUND(BM!$H156,15-13*ORÇAMENTO!$AF$10),15-13*ORÇAMENTO!$AF$11))),IF($A156=0,0,ROUND(SomaAgrupBM,15-13*ORÇAMENTO!$AF$11)))</f>
        <v>0</v>
      </c>
    </row>
    <row r="157" spans="1:41" ht="38.25" x14ac:dyDescent="0.2">
      <c r="A157" t="str">
        <f ca="1">ORÇAMENTO!C157</f>
        <v>S</v>
      </c>
      <c r="B157">
        <f ca="1">ORÇAMENTO!D157</f>
        <v>0</v>
      </c>
      <c r="C157" s="115" t="str">
        <f t="shared" ca="1" si="15"/>
        <v/>
      </c>
      <c r="D157" s="118" t="str">
        <f ca="1">ORÇAMENTO!O157</f>
        <v>-</v>
      </c>
      <c r="E157" s="164" t="str">
        <f t="shared" si="16"/>
        <v>TUBO PVC, SERIE NORMAL, ESGOTO PREDIAL, DN 150 MM, FORNECIDO E INSTALADO EM SUBCOLETOR AÉREO DE ESGOTO SANITÁRIO. AF_08/2022</v>
      </c>
      <c r="F157" s="165" t="str">
        <f ca="1">IF(RegimeExecucao="Global","",ORÇAMENTO.Unidade)</f>
        <v>M</v>
      </c>
      <c r="G157" s="123">
        <f ca="1">IF(RegimeExecucao="Global","",ORÇAMENTO!T157)</f>
        <v>16.399999999999999</v>
      </c>
      <c r="H157" s="123">
        <f ca="1">IF(RegimeExecucao="Global","",ORÇAMENTO!W157)</f>
        <v>0</v>
      </c>
      <c r="I157" s="126">
        <f ca="1">ORÇAMENTO!X157</f>
        <v>0</v>
      </c>
      <c r="J157" s="334" t="e" cm="1">
        <f t="array" aca="1" ref="J157" ca="1">_xlfn.SINGLE(IF($A157="S",IF(CAIXA.Modo,BM.AFAnterior,BM.MEDAnterior),IF(AND(_xlfn.SINGLE(RegimeExecucao)="Global",$I157&gt;0,COUNTIF($AB$13:$AM$13,BM.medicao-1)&gt;0),M157/$I157*100,0)))</f>
        <v>#NAME?</v>
      </c>
      <c r="K157" s="123" t="e">
        <f t="shared" ca="1" si="17"/>
        <v>#NAME?</v>
      </c>
      <c r="L157" s="335" t="e" cm="1">
        <f t="array" aca="1" ref="L157" ca="1">_xlfn.SINGLE(IF($A157="S",IF(CAIXA.Modo,BM.AFAcumulado,BM.MEDAcumulado),IF(AND(_xlfn.SINGLE(RegimeExecucao)="Global",$I157&gt;0,COUNTIF($AB$13:$AM$13,BM.medicao)&gt;0),O157/$I157*100,0)))</f>
        <v>#NAME?</v>
      </c>
      <c r="M157" s="336">
        <f ca="1">IF($A157="S",VTOTALBM,IF($A157=0,0,ROUND(SomaAgrupBM,15-13*ORÇAMENTO!$AF$11)))</f>
        <v>0</v>
      </c>
      <c r="N157" s="337">
        <f t="shared" ca="1" si="18"/>
        <v>0</v>
      </c>
      <c r="O157" s="126">
        <f ca="1">IF($A157="S",VTOTALBM,IF($A157=0,0,ROUND(SomaAgrupBM,15-13*ORÇAMENTO!$AF$11)))</f>
        <v>0</v>
      </c>
      <c r="Q157" s="338"/>
      <c r="R157" s="339"/>
      <c r="T157" s="118" t="str">
        <f t="shared" ca="1" si="19"/>
        <v/>
      </c>
      <c r="U157" s="164" t="str">
        <f t="shared" ca="1" si="20"/>
        <v/>
      </c>
      <c r="V157" s="165" t="str">
        <f ca="1">IF(AND($W157&gt;0,RegimeExecucao="Unitário"),$F157,"")</f>
        <v/>
      </c>
      <c r="W157" s="455">
        <f ca="1">IF($Y157&gt;0,CHOOSE(MATCH(RegimeExecucao,{"Unitário","Global"},0),IF($A157="S",$Y157/$X157,""),($Y157/$X157)*100),0)</f>
        <v>0</v>
      </c>
      <c r="X157" s="340" t="str">
        <f ca="1">IF($Y157&gt;0,CHOOSE(MATCH(RegimeExecucao,{"Unitário","Global"},0),IF($A157="S",ROUND($H157,ORÇAMENTO!$AF$10),""),ROUND($I157,ORÇAMENTO!$AF$11)),"")</f>
        <v/>
      </c>
      <c r="Y157" s="340">
        <f t="shared" ca="1" si="21"/>
        <v>0</v>
      </c>
      <c r="Z157" s="474"/>
      <c r="AB157" s="338"/>
      <c r="AC157" s="438"/>
      <c r="AD157" s="438"/>
      <c r="AE157" s="438"/>
      <c r="AF157" s="438"/>
      <c r="AG157" s="438"/>
      <c r="AH157" s="438"/>
      <c r="AI157" s="438"/>
      <c r="AJ157" s="438"/>
      <c r="AK157" s="438"/>
      <c r="AL157" s="438"/>
      <c r="AM157" s="339"/>
      <c r="AO157">
        <f ca="1">IF($A157="S",IF(BM!$I157=0,0,CHOOSE(MATCH(RegimeExecucao,{"Global","Unitário"},0),ROUND(ROUND(BM.MEDAcumulado,15-13*BM!$A$9)/100*BM!$I157,15-13*ORÇAMENTO!$AF$11),ROUND(ROUND(BM.MEDAcumulado,15-13*BM!$A$9)*ROUND(BM!$H157,15-13*ORÇAMENTO!$AF$10),15-13*ORÇAMENTO!$AF$11))),IF($A157=0,0,ROUND(SomaAgrupBM,15-13*ORÇAMENTO!$AF$11)))</f>
        <v>0</v>
      </c>
    </row>
    <row r="158" spans="1:41" ht="38.25" x14ac:dyDescent="0.2">
      <c r="A158" t="str">
        <f ca="1">ORÇAMENTO!C158</f>
        <v>S</v>
      </c>
      <c r="B158">
        <f ca="1">ORÇAMENTO!D158</f>
        <v>0</v>
      </c>
      <c r="C158" s="115" t="str">
        <f t="shared" ca="1" si="15"/>
        <v/>
      </c>
      <c r="D158" s="118" t="str">
        <f ca="1">ORÇAMENTO!O158</f>
        <v>-</v>
      </c>
      <c r="E158" s="164" t="str">
        <f t="shared" si="16"/>
        <v>TUBO PVC, SERIE NORMAL, ESGOTO PREDIAL, DN 50 MM, FORNECIDO E INSTALADO EM RAMAL DE DESCARGA OU RAMAL DE ESGOTO SANITÁRIO. AF_08/2022</v>
      </c>
      <c r="F158" s="165" t="str">
        <f ca="1">IF(RegimeExecucao="Global","",ORÇAMENTO.Unidade)</f>
        <v>M</v>
      </c>
      <c r="G158" s="123">
        <f ca="1">IF(RegimeExecucao="Global","",ORÇAMENTO!T158)</f>
        <v>135.19999999999999</v>
      </c>
      <c r="H158" s="123">
        <f ca="1">IF(RegimeExecucao="Global","",ORÇAMENTO!W158)</f>
        <v>0</v>
      </c>
      <c r="I158" s="126">
        <f ca="1">ORÇAMENTO!X158</f>
        <v>0</v>
      </c>
      <c r="J158" s="334" t="e" cm="1">
        <f t="array" aca="1" ref="J158" ca="1">_xlfn.SINGLE(IF($A158="S",IF(CAIXA.Modo,BM.AFAnterior,BM.MEDAnterior),IF(AND(_xlfn.SINGLE(RegimeExecucao)="Global",$I158&gt;0,COUNTIF($AB$13:$AM$13,BM.medicao-1)&gt;0),M158/$I158*100,0)))</f>
        <v>#NAME?</v>
      </c>
      <c r="K158" s="123" t="e">
        <f t="shared" ca="1" si="17"/>
        <v>#NAME?</v>
      </c>
      <c r="L158" s="335" t="e" cm="1">
        <f t="array" aca="1" ref="L158" ca="1">_xlfn.SINGLE(IF($A158="S",IF(CAIXA.Modo,BM.AFAcumulado,BM.MEDAcumulado),IF(AND(_xlfn.SINGLE(RegimeExecucao)="Global",$I158&gt;0,COUNTIF($AB$13:$AM$13,BM.medicao)&gt;0),O158/$I158*100,0)))</f>
        <v>#NAME?</v>
      </c>
      <c r="M158" s="336">
        <f ca="1">IF($A158="S",VTOTALBM,IF($A158=0,0,ROUND(SomaAgrupBM,15-13*ORÇAMENTO!$AF$11)))</f>
        <v>0</v>
      </c>
      <c r="N158" s="337">
        <f t="shared" ca="1" si="18"/>
        <v>0</v>
      </c>
      <c r="O158" s="126">
        <f ca="1">IF($A158="S",VTOTALBM,IF($A158=0,0,ROUND(SomaAgrupBM,15-13*ORÇAMENTO!$AF$11)))</f>
        <v>0</v>
      </c>
      <c r="Q158" s="338"/>
      <c r="R158" s="339"/>
      <c r="T158" s="118" t="str">
        <f t="shared" ca="1" si="19"/>
        <v/>
      </c>
      <c r="U158" s="164" t="str">
        <f t="shared" ca="1" si="20"/>
        <v/>
      </c>
      <c r="V158" s="165" t="str">
        <f ca="1">IF(AND($W158&gt;0,RegimeExecucao="Unitário"),$F158,"")</f>
        <v/>
      </c>
      <c r="W158" s="455">
        <f ca="1">IF($Y158&gt;0,CHOOSE(MATCH(RegimeExecucao,{"Unitário","Global"},0),IF($A158="S",$Y158/$X158,""),($Y158/$X158)*100),0)</f>
        <v>0</v>
      </c>
      <c r="X158" s="340" t="str">
        <f ca="1">IF($Y158&gt;0,CHOOSE(MATCH(RegimeExecucao,{"Unitário","Global"},0),IF($A158="S",ROUND($H158,ORÇAMENTO!$AF$10),""),ROUND($I158,ORÇAMENTO!$AF$11)),"")</f>
        <v/>
      </c>
      <c r="Y158" s="340">
        <f t="shared" ca="1" si="21"/>
        <v>0</v>
      </c>
      <c r="Z158" s="474"/>
      <c r="AB158" s="338"/>
      <c r="AC158" s="438"/>
      <c r="AD158" s="438"/>
      <c r="AE158" s="438"/>
      <c r="AF158" s="438"/>
      <c r="AG158" s="438"/>
      <c r="AH158" s="438"/>
      <c r="AI158" s="438"/>
      <c r="AJ158" s="438"/>
      <c r="AK158" s="438"/>
      <c r="AL158" s="438"/>
      <c r="AM158" s="339"/>
      <c r="AO158">
        <f ca="1">IF($A158="S",IF(BM!$I158=0,0,CHOOSE(MATCH(RegimeExecucao,{"Global","Unitário"},0),ROUND(ROUND(BM.MEDAcumulado,15-13*BM!$A$9)/100*BM!$I158,15-13*ORÇAMENTO!$AF$11),ROUND(ROUND(BM.MEDAcumulado,15-13*BM!$A$9)*ROUND(BM!$H158,15-13*ORÇAMENTO!$AF$10),15-13*ORÇAMENTO!$AF$11))),IF($A158=0,0,ROUND(SomaAgrupBM,15-13*ORÇAMENTO!$AF$11)))</f>
        <v>0</v>
      </c>
    </row>
    <row r="159" spans="1:41" ht="38.25" x14ac:dyDescent="0.2">
      <c r="A159" t="str">
        <f ca="1">ORÇAMENTO!C159</f>
        <v>S</v>
      </c>
      <c r="B159">
        <f ca="1">ORÇAMENTO!D159</f>
        <v>0</v>
      </c>
      <c r="C159" s="115" t="str">
        <f t="shared" ca="1" si="15"/>
        <v/>
      </c>
      <c r="D159" s="118" t="str">
        <f ca="1">ORÇAMENTO!O159</f>
        <v>-</v>
      </c>
      <c r="E159" s="164" t="str">
        <f t="shared" si="16"/>
        <v>TUBO PVC, SERIE NORMAL, ESGOTO PREDIAL, DN 75 MM, FORNECIDO E INSTALADO EM RAMAL DE DESCARGA OU RAMAL DE ESGOTO SANITÁRIO. AF_08/2022</v>
      </c>
      <c r="F159" s="165" t="str">
        <f ca="1">IF(RegimeExecucao="Global","",ORÇAMENTO.Unidade)</f>
        <v>M</v>
      </c>
      <c r="G159" s="123">
        <f ca="1">IF(RegimeExecucao="Global","",ORÇAMENTO!T159)</f>
        <v>48.9</v>
      </c>
      <c r="H159" s="123">
        <f ca="1">IF(RegimeExecucao="Global","",ORÇAMENTO!W159)</f>
        <v>0</v>
      </c>
      <c r="I159" s="126">
        <f ca="1">ORÇAMENTO!X159</f>
        <v>0</v>
      </c>
      <c r="J159" s="334" t="e" cm="1">
        <f t="array" aca="1" ref="J159" ca="1">_xlfn.SINGLE(IF($A159="S",IF(CAIXA.Modo,BM.AFAnterior,BM.MEDAnterior),IF(AND(_xlfn.SINGLE(RegimeExecucao)="Global",$I159&gt;0,COUNTIF($AB$13:$AM$13,BM.medicao-1)&gt;0),M159/$I159*100,0)))</f>
        <v>#NAME?</v>
      </c>
      <c r="K159" s="123" t="e">
        <f t="shared" ca="1" si="17"/>
        <v>#NAME?</v>
      </c>
      <c r="L159" s="335" t="e" cm="1">
        <f t="array" aca="1" ref="L159" ca="1">_xlfn.SINGLE(IF($A159="S",IF(CAIXA.Modo,BM.AFAcumulado,BM.MEDAcumulado),IF(AND(_xlfn.SINGLE(RegimeExecucao)="Global",$I159&gt;0,COUNTIF($AB$13:$AM$13,BM.medicao)&gt;0),O159/$I159*100,0)))</f>
        <v>#NAME?</v>
      </c>
      <c r="M159" s="336">
        <f ca="1">IF($A159="S",VTOTALBM,IF($A159=0,0,ROUND(SomaAgrupBM,15-13*ORÇAMENTO!$AF$11)))</f>
        <v>0</v>
      </c>
      <c r="N159" s="337">
        <f t="shared" ca="1" si="18"/>
        <v>0</v>
      </c>
      <c r="O159" s="126">
        <f ca="1">IF($A159="S",VTOTALBM,IF($A159=0,0,ROUND(SomaAgrupBM,15-13*ORÇAMENTO!$AF$11)))</f>
        <v>0</v>
      </c>
      <c r="Q159" s="338"/>
      <c r="R159" s="339"/>
      <c r="T159" s="118" t="str">
        <f t="shared" ca="1" si="19"/>
        <v/>
      </c>
      <c r="U159" s="164" t="str">
        <f t="shared" ca="1" si="20"/>
        <v/>
      </c>
      <c r="V159" s="165" t="str">
        <f ca="1">IF(AND($W159&gt;0,RegimeExecucao="Unitário"),$F159,"")</f>
        <v/>
      </c>
      <c r="W159" s="455">
        <f ca="1">IF($Y159&gt;0,CHOOSE(MATCH(RegimeExecucao,{"Unitário","Global"},0),IF($A159="S",$Y159/$X159,""),($Y159/$X159)*100),0)</f>
        <v>0</v>
      </c>
      <c r="X159" s="340" t="str">
        <f ca="1">IF($Y159&gt;0,CHOOSE(MATCH(RegimeExecucao,{"Unitário","Global"},0),IF($A159="S",ROUND($H159,ORÇAMENTO!$AF$10),""),ROUND($I159,ORÇAMENTO!$AF$11)),"")</f>
        <v/>
      </c>
      <c r="Y159" s="340">
        <f t="shared" ca="1" si="21"/>
        <v>0</v>
      </c>
      <c r="Z159" s="474"/>
      <c r="AB159" s="338"/>
      <c r="AC159" s="438"/>
      <c r="AD159" s="438"/>
      <c r="AE159" s="438"/>
      <c r="AF159" s="438"/>
      <c r="AG159" s="438"/>
      <c r="AH159" s="438"/>
      <c r="AI159" s="438"/>
      <c r="AJ159" s="438"/>
      <c r="AK159" s="438"/>
      <c r="AL159" s="438"/>
      <c r="AM159" s="339"/>
      <c r="AO159">
        <f ca="1">IF($A159="S",IF(BM!$I159=0,0,CHOOSE(MATCH(RegimeExecucao,{"Global","Unitário"},0),ROUND(ROUND(BM.MEDAcumulado,15-13*BM!$A$9)/100*BM!$I159,15-13*ORÇAMENTO!$AF$11),ROUND(ROUND(BM.MEDAcumulado,15-13*BM!$A$9)*ROUND(BM!$H159,15-13*ORÇAMENTO!$AF$10),15-13*ORÇAMENTO!$AF$11))),IF($A159=0,0,ROUND(SomaAgrupBM,15-13*ORÇAMENTO!$AF$11)))</f>
        <v>0</v>
      </c>
    </row>
    <row r="160" spans="1:41" ht="38.25" x14ac:dyDescent="0.2">
      <c r="A160" t="str">
        <f ca="1">ORÇAMENTO!C160</f>
        <v>S</v>
      </c>
      <c r="B160">
        <f ca="1">ORÇAMENTO!D160</f>
        <v>0</v>
      </c>
      <c r="C160" s="115" t="str">
        <f t="shared" ca="1" si="15"/>
        <v/>
      </c>
      <c r="D160" s="118" t="str">
        <f ca="1">ORÇAMENTO!O160</f>
        <v>-</v>
      </c>
      <c r="E160" s="164" t="str">
        <f t="shared" si="16"/>
        <v>TUBO PVC, SERIE NORMAL, ESGOTO PREDIAL, DN 40 MM, FORNECIDO E INSTALADO EM RAMAL DE DESCARGA OU RAMAL DE ESGOTO SANITÁRIO. AF_08/2022</v>
      </c>
      <c r="F160" s="165" t="str">
        <f ca="1">IF(RegimeExecucao="Global","",ORÇAMENTO.Unidade)</f>
        <v>M</v>
      </c>
      <c r="G160" s="123">
        <f ca="1">IF(RegimeExecucao="Global","",ORÇAMENTO!T160)</f>
        <v>73.2</v>
      </c>
      <c r="H160" s="123">
        <f ca="1">IF(RegimeExecucao="Global","",ORÇAMENTO!W160)</f>
        <v>0</v>
      </c>
      <c r="I160" s="126">
        <f ca="1">ORÇAMENTO!X160</f>
        <v>0</v>
      </c>
      <c r="J160" s="334" t="e" cm="1">
        <f t="array" aca="1" ref="J160" ca="1">_xlfn.SINGLE(IF($A160="S",IF(CAIXA.Modo,BM.AFAnterior,BM.MEDAnterior),IF(AND(_xlfn.SINGLE(RegimeExecucao)="Global",$I160&gt;0,COUNTIF($AB$13:$AM$13,BM.medicao-1)&gt;0),M160/$I160*100,0)))</f>
        <v>#NAME?</v>
      </c>
      <c r="K160" s="123" t="e">
        <f t="shared" ca="1" si="17"/>
        <v>#NAME?</v>
      </c>
      <c r="L160" s="335" t="e" cm="1">
        <f t="array" aca="1" ref="L160" ca="1">_xlfn.SINGLE(IF($A160="S",IF(CAIXA.Modo,BM.AFAcumulado,BM.MEDAcumulado),IF(AND(_xlfn.SINGLE(RegimeExecucao)="Global",$I160&gt;0,COUNTIF($AB$13:$AM$13,BM.medicao)&gt;0),O160/$I160*100,0)))</f>
        <v>#NAME?</v>
      </c>
      <c r="M160" s="336">
        <f ca="1">IF($A160="S",VTOTALBM,IF($A160=0,0,ROUND(SomaAgrupBM,15-13*ORÇAMENTO!$AF$11)))</f>
        <v>0</v>
      </c>
      <c r="N160" s="337">
        <f t="shared" ca="1" si="18"/>
        <v>0</v>
      </c>
      <c r="O160" s="126">
        <f ca="1">IF($A160="S",VTOTALBM,IF($A160=0,0,ROUND(SomaAgrupBM,15-13*ORÇAMENTO!$AF$11)))</f>
        <v>0</v>
      </c>
      <c r="Q160" s="338"/>
      <c r="R160" s="339"/>
      <c r="T160" s="118" t="str">
        <f t="shared" ca="1" si="19"/>
        <v/>
      </c>
      <c r="U160" s="164" t="str">
        <f t="shared" ca="1" si="20"/>
        <v/>
      </c>
      <c r="V160" s="165" t="str">
        <f ca="1">IF(AND($W160&gt;0,RegimeExecucao="Unitário"),$F160,"")</f>
        <v/>
      </c>
      <c r="W160" s="455">
        <f ca="1">IF($Y160&gt;0,CHOOSE(MATCH(RegimeExecucao,{"Unitário","Global"},0),IF($A160="S",$Y160/$X160,""),($Y160/$X160)*100),0)</f>
        <v>0</v>
      </c>
      <c r="X160" s="340" t="str">
        <f ca="1">IF($Y160&gt;0,CHOOSE(MATCH(RegimeExecucao,{"Unitário","Global"},0),IF($A160="S",ROUND($H160,ORÇAMENTO!$AF$10),""),ROUND($I160,ORÇAMENTO!$AF$11)),"")</f>
        <v/>
      </c>
      <c r="Y160" s="340">
        <f t="shared" ca="1" si="21"/>
        <v>0</v>
      </c>
      <c r="Z160" s="474"/>
      <c r="AB160" s="338"/>
      <c r="AC160" s="438"/>
      <c r="AD160" s="438"/>
      <c r="AE160" s="438"/>
      <c r="AF160" s="438"/>
      <c r="AG160" s="438"/>
      <c r="AH160" s="438"/>
      <c r="AI160" s="438"/>
      <c r="AJ160" s="438"/>
      <c r="AK160" s="438"/>
      <c r="AL160" s="438"/>
      <c r="AM160" s="339"/>
      <c r="AO160">
        <f ca="1">IF($A160="S",IF(BM!$I160=0,0,CHOOSE(MATCH(RegimeExecucao,{"Global","Unitário"},0),ROUND(ROUND(BM.MEDAcumulado,15-13*BM!$A$9)/100*BM!$I160,15-13*ORÇAMENTO!$AF$11),ROUND(ROUND(BM.MEDAcumulado,15-13*BM!$A$9)*ROUND(BM!$H160,15-13*ORÇAMENTO!$AF$10),15-13*ORÇAMENTO!$AF$11))),IF($A160=0,0,ROUND(SomaAgrupBM,15-13*ORÇAMENTO!$AF$11)))</f>
        <v>0</v>
      </c>
    </row>
    <row r="161" spans="1:41" ht="38.25" x14ac:dyDescent="0.2">
      <c r="A161" t="str">
        <f ca="1">ORÇAMENTO!C161</f>
        <v>S</v>
      </c>
      <c r="B161">
        <f ca="1">ORÇAMENTO!D161</f>
        <v>0</v>
      </c>
      <c r="C161" s="115" t="str">
        <f t="shared" ca="1" si="15"/>
        <v/>
      </c>
      <c r="D161" s="118" t="str">
        <f ca="1">ORÇAMENTO!O161</f>
        <v>-</v>
      </c>
      <c r="E161" s="164" t="str">
        <f t="shared" si="16"/>
        <v>TE, PVC, SERIE NORMAL, ESGOTO PREDIAL, DN 40 X 40 MM, JUNTA SOLDÁVEL, FORNECIDO E INSTALADO EM RAMAL DE DESCARGA OU RAMAL DE ESGOTO SANITÁRIO. AF_08/2022</v>
      </c>
      <c r="F161" s="165" t="str">
        <f ca="1">IF(RegimeExecucao="Global","",ORÇAMENTO.Unidade)</f>
        <v>UN</v>
      </c>
      <c r="G161" s="123">
        <f ca="1">IF(RegimeExecucao="Global","",ORÇAMENTO!T161)</f>
        <v>6</v>
      </c>
      <c r="H161" s="123">
        <f ca="1">IF(RegimeExecucao="Global","",ORÇAMENTO!W161)</f>
        <v>0</v>
      </c>
      <c r="I161" s="126">
        <f ca="1">ORÇAMENTO!X161</f>
        <v>0</v>
      </c>
      <c r="J161" s="334" t="e" cm="1">
        <f t="array" aca="1" ref="J161" ca="1">_xlfn.SINGLE(IF($A161="S",IF(CAIXA.Modo,BM.AFAnterior,BM.MEDAnterior),IF(AND(_xlfn.SINGLE(RegimeExecucao)="Global",$I161&gt;0,COUNTIF($AB$13:$AM$13,BM.medicao-1)&gt;0),M161/$I161*100,0)))</f>
        <v>#NAME?</v>
      </c>
      <c r="K161" s="123" t="e">
        <f t="shared" ca="1" si="17"/>
        <v>#NAME?</v>
      </c>
      <c r="L161" s="335" t="e" cm="1">
        <f t="array" aca="1" ref="L161" ca="1">_xlfn.SINGLE(IF($A161="S",IF(CAIXA.Modo,BM.AFAcumulado,BM.MEDAcumulado),IF(AND(_xlfn.SINGLE(RegimeExecucao)="Global",$I161&gt;0,COUNTIF($AB$13:$AM$13,BM.medicao)&gt;0),O161/$I161*100,0)))</f>
        <v>#NAME?</v>
      </c>
      <c r="M161" s="336">
        <f ca="1">IF($A161="S",VTOTALBM,IF($A161=0,0,ROUND(SomaAgrupBM,15-13*ORÇAMENTO!$AF$11)))</f>
        <v>0</v>
      </c>
      <c r="N161" s="337">
        <f t="shared" ca="1" si="18"/>
        <v>0</v>
      </c>
      <c r="O161" s="126">
        <f ca="1">IF($A161="S",VTOTALBM,IF($A161=0,0,ROUND(SomaAgrupBM,15-13*ORÇAMENTO!$AF$11)))</f>
        <v>0</v>
      </c>
      <c r="Q161" s="338"/>
      <c r="R161" s="339"/>
      <c r="T161" s="118" t="str">
        <f t="shared" ca="1" si="19"/>
        <v/>
      </c>
      <c r="U161" s="164" t="str">
        <f t="shared" ca="1" si="20"/>
        <v/>
      </c>
      <c r="V161" s="165" t="str">
        <f ca="1">IF(AND($W161&gt;0,RegimeExecucao="Unitário"),$F161,"")</f>
        <v/>
      </c>
      <c r="W161" s="455">
        <f ca="1">IF($Y161&gt;0,CHOOSE(MATCH(RegimeExecucao,{"Unitário","Global"},0),IF($A161="S",$Y161/$X161,""),($Y161/$X161)*100),0)</f>
        <v>0</v>
      </c>
      <c r="X161" s="340" t="str">
        <f ca="1">IF($Y161&gt;0,CHOOSE(MATCH(RegimeExecucao,{"Unitário","Global"},0),IF($A161="S",ROUND($H161,ORÇAMENTO!$AF$10),""),ROUND($I161,ORÇAMENTO!$AF$11)),"")</f>
        <v/>
      </c>
      <c r="Y161" s="340">
        <f t="shared" ca="1" si="21"/>
        <v>0</v>
      </c>
      <c r="Z161" s="474"/>
      <c r="AB161" s="338"/>
      <c r="AC161" s="438"/>
      <c r="AD161" s="438"/>
      <c r="AE161" s="438"/>
      <c r="AF161" s="438"/>
      <c r="AG161" s="438"/>
      <c r="AH161" s="438"/>
      <c r="AI161" s="438"/>
      <c r="AJ161" s="438"/>
      <c r="AK161" s="438"/>
      <c r="AL161" s="438"/>
      <c r="AM161" s="339"/>
      <c r="AO161">
        <f ca="1">IF($A161="S",IF(BM!$I161=0,0,CHOOSE(MATCH(RegimeExecucao,{"Global","Unitário"},0),ROUND(ROUND(BM.MEDAcumulado,15-13*BM!$A$9)/100*BM!$I161,15-13*ORÇAMENTO!$AF$11),ROUND(ROUND(BM.MEDAcumulado,15-13*BM!$A$9)*ROUND(BM!$H161,15-13*ORÇAMENTO!$AF$10),15-13*ORÇAMENTO!$AF$11))),IF($A161=0,0,ROUND(SomaAgrupBM,15-13*ORÇAMENTO!$AF$11)))</f>
        <v>0</v>
      </c>
    </row>
    <row r="162" spans="1:41" ht="38.25" x14ac:dyDescent="0.2">
      <c r="A162" t="str">
        <f ca="1">ORÇAMENTO!C162</f>
        <v>S</v>
      </c>
      <c r="B162">
        <f ca="1">ORÇAMENTO!D162</f>
        <v>0</v>
      </c>
      <c r="C162" s="115" t="str">
        <f t="shared" ca="1" si="15"/>
        <v/>
      </c>
      <c r="D162" s="118" t="str">
        <f ca="1">ORÇAMENTO!O162</f>
        <v>-</v>
      </c>
      <c r="E162" s="164" t="str">
        <f t="shared" si="16"/>
        <v>REDUÇÃO EXCÊNTRICA, PVC, SERIE R, ÁGUA PLUVIAL, DN 75 X 50 MM, JUNTA ELÁSTICA, FORNECIDO E INSTALADO EM RAMAL DE ENCAMINHAMENTO. AF_06/2022</v>
      </c>
      <c r="F162" s="165" t="str">
        <f ca="1">IF(RegimeExecucao="Global","",ORÇAMENTO.Unidade)</f>
        <v>UN</v>
      </c>
      <c r="G162" s="123">
        <f ca="1">IF(RegimeExecucao="Global","",ORÇAMENTO!T162)</f>
        <v>3</v>
      </c>
      <c r="H162" s="123">
        <f ca="1">IF(RegimeExecucao="Global","",ORÇAMENTO!W162)</f>
        <v>0</v>
      </c>
      <c r="I162" s="126">
        <f ca="1">ORÇAMENTO!X162</f>
        <v>0</v>
      </c>
      <c r="J162" s="334" t="e" cm="1">
        <f t="array" aca="1" ref="J162" ca="1">_xlfn.SINGLE(IF($A162="S",IF(CAIXA.Modo,BM.AFAnterior,BM.MEDAnterior),IF(AND(_xlfn.SINGLE(RegimeExecucao)="Global",$I162&gt;0,COUNTIF($AB$13:$AM$13,BM.medicao-1)&gt;0),M162/$I162*100,0)))</f>
        <v>#NAME?</v>
      </c>
      <c r="K162" s="123" t="e">
        <f t="shared" ca="1" si="17"/>
        <v>#NAME?</v>
      </c>
      <c r="L162" s="335" t="e" cm="1">
        <f t="array" aca="1" ref="L162" ca="1">_xlfn.SINGLE(IF($A162="S",IF(CAIXA.Modo,BM.AFAcumulado,BM.MEDAcumulado),IF(AND(_xlfn.SINGLE(RegimeExecucao)="Global",$I162&gt;0,COUNTIF($AB$13:$AM$13,BM.medicao)&gt;0),O162/$I162*100,0)))</f>
        <v>#NAME?</v>
      </c>
      <c r="M162" s="336">
        <f ca="1">IF($A162="S",VTOTALBM,IF($A162=0,0,ROUND(SomaAgrupBM,15-13*ORÇAMENTO!$AF$11)))</f>
        <v>0</v>
      </c>
      <c r="N162" s="337">
        <f t="shared" ca="1" si="18"/>
        <v>0</v>
      </c>
      <c r="O162" s="126">
        <f ca="1">IF($A162="S",VTOTALBM,IF($A162=0,0,ROUND(SomaAgrupBM,15-13*ORÇAMENTO!$AF$11)))</f>
        <v>0</v>
      </c>
      <c r="Q162" s="338"/>
      <c r="R162" s="339"/>
      <c r="T162" s="118" t="str">
        <f t="shared" ca="1" si="19"/>
        <v/>
      </c>
      <c r="U162" s="164" t="str">
        <f t="shared" ca="1" si="20"/>
        <v/>
      </c>
      <c r="V162" s="165" t="str">
        <f ca="1">IF(AND($W162&gt;0,RegimeExecucao="Unitário"),$F162,"")</f>
        <v/>
      </c>
      <c r="W162" s="455">
        <f ca="1">IF($Y162&gt;0,CHOOSE(MATCH(RegimeExecucao,{"Unitário","Global"},0),IF($A162="S",$Y162/$X162,""),($Y162/$X162)*100),0)</f>
        <v>0</v>
      </c>
      <c r="X162" s="340" t="str">
        <f ca="1">IF($Y162&gt;0,CHOOSE(MATCH(RegimeExecucao,{"Unitário","Global"},0),IF($A162="S",ROUND($H162,ORÇAMENTO!$AF$10),""),ROUND($I162,ORÇAMENTO!$AF$11)),"")</f>
        <v/>
      </c>
      <c r="Y162" s="340">
        <f t="shared" ca="1" si="21"/>
        <v>0</v>
      </c>
      <c r="Z162" s="474"/>
      <c r="AB162" s="338"/>
      <c r="AC162" s="438"/>
      <c r="AD162" s="438"/>
      <c r="AE162" s="438"/>
      <c r="AF162" s="438"/>
      <c r="AG162" s="438"/>
      <c r="AH162" s="438"/>
      <c r="AI162" s="438"/>
      <c r="AJ162" s="438"/>
      <c r="AK162" s="438"/>
      <c r="AL162" s="438"/>
      <c r="AM162" s="339"/>
      <c r="AO162">
        <f ca="1">IF($A162="S",IF(BM!$I162=0,0,CHOOSE(MATCH(RegimeExecucao,{"Global","Unitário"},0),ROUND(ROUND(BM.MEDAcumulado,15-13*BM!$A$9)/100*BM!$I162,15-13*ORÇAMENTO!$AF$11),ROUND(ROUND(BM.MEDAcumulado,15-13*BM!$A$9)*ROUND(BM!$H162,15-13*ORÇAMENTO!$AF$10),15-13*ORÇAMENTO!$AF$11))),IF($A162=0,0,ROUND(SomaAgrupBM,15-13*ORÇAMENTO!$AF$11)))</f>
        <v>0</v>
      </c>
    </row>
    <row r="163" spans="1:41" ht="38.25" x14ac:dyDescent="0.2">
      <c r="A163" t="str">
        <f ca="1">ORÇAMENTO!C163</f>
        <v>S</v>
      </c>
      <c r="B163">
        <f ca="1">ORÇAMENTO!D163</f>
        <v>0</v>
      </c>
      <c r="C163" s="115" t="str">
        <f t="shared" ca="1" si="15"/>
        <v/>
      </c>
      <c r="D163" s="118" t="str">
        <f ca="1">ORÇAMENTO!O163</f>
        <v>-</v>
      </c>
      <c r="E163" s="164" t="str">
        <f t="shared" si="16"/>
        <v>TERMINAL DE VENTILAÇÃO, PVC, SÉRIE NORMAL, ESGOTO PREDIAL, DN 50 MM, JUNTA SOLDÁVEL, FORNECIDO E INSTALADO EM PRUMADA DE ESGOTO SANITÁRIO OU VENTILAÇÃO. AF_08/2022</v>
      </c>
      <c r="F163" s="165" t="str">
        <f ca="1">IF(RegimeExecucao="Global","",ORÇAMENTO.Unidade)</f>
        <v>UN</v>
      </c>
      <c r="G163" s="123">
        <f ca="1">IF(RegimeExecucao="Global","",ORÇAMENTO!T163)</f>
        <v>12</v>
      </c>
      <c r="H163" s="123">
        <f ca="1">IF(RegimeExecucao="Global","",ORÇAMENTO!W163)</f>
        <v>0</v>
      </c>
      <c r="I163" s="126">
        <f ca="1">ORÇAMENTO!X163</f>
        <v>0</v>
      </c>
      <c r="J163" s="334" t="e" cm="1">
        <f t="array" aca="1" ref="J163" ca="1">_xlfn.SINGLE(IF($A163="S",IF(CAIXA.Modo,BM.AFAnterior,BM.MEDAnterior),IF(AND(_xlfn.SINGLE(RegimeExecucao)="Global",$I163&gt;0,COUNTIF($AB$13:$AM$13,BM.medicao-1)&gt;0),M163/$I163*100,0)))</f>
        <v>#NAME?</v>
      </c>
      <c r="K163" s="123" t="e">
        <f t="shared" ca="1" si="17"/>
        <v>#NAME?</v>
      </c>
      <c r="L163" s="335" t="e" cm="1">
        <f t="array" aca="1" ref="L163" ca="1">_xlfn.SINGLE(IF($A163="S",IF(CAIXA.Modo,BM.AFAcumulado,BM.MEDAcumulado),IF(AND(_xlfn.SINGLE(RegimeExecucao)="Global",$I163&gt;0,COUNTIF($AB$13:$AM$13,BM.medicao)&gt;0),O163/$I163*100,0)))</f>
        <v>#NAME?</v>
      </c>
      <c r="M163" s="336">
        <f ca="1">IF($A163="S",VTOTALBM,IF($A163=0,0,ROUND(SomaAgrupBM,15-13*ORÇAMENTO!$AF$11)))</f>
        <v>0</v>
      </c>
      <c r="N163" s="337">
        <f t="shared" ca="1" si="18"/>
        <v>0</v>
      </c>
      <c r="O163" s="126">
        <f ca="1">IF($A163="S",VTOTALBM,IF($A163=0,0,ROUND(SomaAgrupBM,15-13*ORÇAMENTO!$AF$11)))</f>
        <v>0</v>
      </c>
      <c r="Q163" s="338"/>
      <c r="R163" s="339"/>
      <c r="T163" s="118" t="str">
        <f t="shared" ca="1" si="19"/>
        <v/>
      </c>
      <c r="U163" s="164" t="str">
        <f t="shared" ca="1" si="20"/>
        <v/>
      </c>
      <c r="V163" s="165" t="str">
        <f ca="1">IF(AND($W163&gt;0,RegimeExecucao="Unitário"),$F163,"")</f>
        <v/>
      </c>
      <c r="W163" s="455">
        <f ca="1">IF($Y163&gt;0,CHOOSE(MATCH(RegimeExecucao,{"Unitário","Global"},0),IF($A163="S",$Y163/$X163,""),($Y163/$X163)*100),0)</f>
        <v>0</v>
      </c>
      <c r="X163" s="340" t="str">
        <f ca="1">IF($Y163&gt;0,CHOOSE(MATCH(RegimeExecucao,{"Unitário","Global"},0),IF($A163="S",ROUND($H163,ORÇAMENTO!$AF$10),""),ROUND($I163,ORÇAMENTO!$AF$11)),"")</f>
        <v/>
      </c>
      <c r="Y163" s="340">
        <f t="shared" ca="1" si="21"/>
        <v>0</v>
      </c>
      <c r="Z163" s="474"/>
      <c r="AB163" s="338"/>
      <c r="AC163" s="438"/>
      <c r="AD163" s="438"/>
      <c r="AE163" s="438"/>
      <c r="AF163" s="438"/>
      <c r="AG163" s="438"/>
      <c r="AH163" s="438"/>
      <c r="AI163" s="438"/>
      <c r="AJ163" s="438"/>
      <c r="AK163" s="438"/>
      <c r="AL163" s="438"/>
      <c r="AM163" s="339"/>
      <c r="AO163">
        <f ca="1">IF($A163="S",IF(BM!$I163=0,0,CHOOSE(MATCH(RegimeExecucao,{"Global","Unitário"},0),ROUND(ROUND(BM.MEDAcumulado,15-13*BM!$A$9)/100*BM!$I163,15-13*ORÇAMENTO!$AF$11),ROUND(ROUND(BM.MEDAcumulado,15-13*BM!$A$9)*ROUND(BM!$H163,15-13*ORÇAMENTO!$AF$10),15-13*ORÇAMENTO!$AF$11))),IF($A163=0,0,ROUND(SomaAgrupBM,15-13*ORÇAMENTO!$AF$11)))</f>
        <v>0</v>
      </c>
    </row>
    <row r="164" spans="1:41" ht="38.25" x14ac:dyDescent="0.2">
      <c r="A164" t="str">
        <f ca="1">ORÇAMENTO!C164</f>
        <v>S</v>
      </c>
      <c r="B164">
        <f ca="1">ORÇAMENTO!D164</f>
        <v>0</v>
      </c>
      <c r="C164" s="115" t="str">
        <f t="shared" ca="1" si="15"/>
        <v/>
      </c>
      <c r="D164" s="118" t="str">
        <f ca="1">ORÇAMENTO!O164</f>
        <v>-</v>
      </c>
      <c r="E164" s="164" t="str">
        <f t="shared" si="16"/>
        <v>TERMINAL DE VENTILAÇÃO, PVC, SÉRIE NORMAL, ESGOTO PREDIAL, DN 75 MM, JUNTA SOLDÁVEL, FORNECIDO E INSTALADO EM PRUMADA DE ESGOTO SANITÁRIO OU VENTILAÇÃO. AF_08/2022</v>
      </c>
      <c r="F164" s="165" t="str">
        <f ca="1">IF(RegimeExecucao="Global","",ORÇAMENTO.Unidade)</f>
        <v>UN</v>
      </c>
      <c r="G164" s="123">
        <f ca="1">IF(RegimeExecucao="Global","",ORÇAMENTO!T164)</f>
        <v>5</v>
      </c>
      <c r="H164" s="123">
        <f ca="1">IF(RegimeExecucao="Global","",ORÇAMENTO!W164)</f>
        <v>0</v>
      </c>
      <c r="I164" s="126">
        <f ca="1">ORÇAMENTO!X164</f>
        <v>0</v>
      </c>
      <c r="J164" s="334" t="e" cm="1">
        <f t="array" aca="1" ref="J164" ca="1">_xlfn.SINGLE(IF($A164="S",IF(CAIXA.Modo,BM.AFAnterior,BM.MEDAnterior),IF(AND(_xlfn.SINGLE(RegimeExecucao)="Global",$I164&gt;0,COUNTIF($AB$13:$AM$13,BM.medicao-1)&gt;0),M164/$I164*100,0)))</f>
        <v>#NAME?</v>
      </c>
      <c r="K164" s="123" t="e">
        <f t="shared" ca="1" si="17"/>
        <v>#NAME?</v>
      </c>
      <c r="L164" s="335" t="e" cm="1">
        <f t="array" aca="1" ref="L164" ca="1">_xlfn.SINGLE(IF($A164="S",IF(CAIXA.Modo,BM.AFAcumulado,BM.MEDAcumulado),IF(AND(_xlfn.SINGLE(RegimeExecucao)="Global",$I164&gt;0,COUNTIF($AB$13:$AM$13,BM.medicao)&gt;0),O164/$I164*100,0)))</f>
        <v>#NAME?</v>
      </c>
      <c r="M164" s="336">
        <f ca="1">IF($A164="S",VTOTALBM,IF($A164=0,0,ROUND(SomaAgrupBM,15-13*ORÇAMENTO!$AF$11)))</f>
        <v>0</v>
      </c>
      <c r="N164" s="337">
        <f t="shared" ca="1" si="18"/>
        <v>0</v>
      </c>
      <c r="O164" s="126">
        <f ca="1">IF($A164="S",VTOTALBM,IF($A164=0,0,ROUND(SomaAgrupBM,15-13*ORÇAMENTO!$AF$11)))</f>
        <v>0</v>
      </c>
      <c r="Q164" s="338"/>
      <c r="R164" s="339"/>
      <c r="T164" s="118" t="str">
        <f t="shared" ca="1" si="19"/>
        <v/>
      </c>
      <c r="U164" s="164" t="str">
        <f t="shared" ca="1" si="20"/>
        <v/>
      </c>
      <c r="V164" s="165" t="str">
        <f ca="1">IF(AND($W164&gt;0,RegimeExecucao="Unitário"),$F164,"")</f>
        <v/>
      </c>
      <c r="W164" s="455">
        <f ca="1">IF($Y164&gt;0,CHOOSE(MATCH(RegimeExecucao,{"Unitário","Global"},0),IF($A164="S",$Y164/$X164,""),($Y164/$X164)*100),0)</f>
        <v>0</v>
      </c>
      <c r="X164" s="340" t="str">
        <f ca="1">IF($Y164&gt;0,CHOOSE(MATCH(RegimeExecucao,{"Unitário","Global"},0),IF($A164="S",ROUND($H164,ORÇAMENTO!$AF$10),""),ROUND($I164,ORÇAMENTO!$AF$11)),"")</f>
        <v/>
      </c>
      <c r="Y164" s="340">
        <f t="shared" ca="1" si="21"/>
        <v>0</v>
      </c>
      <c r="Z164" s="474"/>
      <c r="AB164" s="338"/>
      <c r="AC164" s="438"/>
      <c r="AD164" s="438"/>
      <c r="AE164" s="438"/>
      <c r="AF164" s="438"/>
      <c r="AG164" s="438"/>
      <c r="AH164" s="438"/>
      <c r="AI164" s="438"/>
      <c r="AJ164" s="438"/>
      <c r="AK164" s="438"/>
      <c r="AL164" s="438"/>
      <c r="AM164" s="339"/>
      <c r="AO164">
        <f ca="1">IF($A164="S",IF(BM!$I164=0,0,CHOOSE(MATCH(RegimeExecucao,{"Global","Unitário"},0),ROUND(ROUND(BM.MEDAcumulado,15-13*BM!$A$9)/100*BM!$I164,15-13*ORÇAMENTO!$AF$11),ROUND(ROUND(BM.MEDAcumulado,15-13*BM!$A$9)*ROUND(BM!$H164,15-13*ORÇAMENTO!$AF$10),15-13*ORÇAMENTO!$AF$11))),IF($A164=0,0,ROUND(SomaAgrupBM,15-13*ORÇAMENTO!$AF$11)))</f>
        <v>0</v>
      </c>
    </row>
    <row r="165" spans="1:41" ht="38.25" x14ac:dyDescent="0.2">
      <c r="A165" t="str">
        <f ca="1">ORÇAMENTO!C165</f>
        <v>S</v>
      </c>
      <c r="B165">
        <f ca="1">ORÇAMENTO!D165</f>
        <v>0</v>
      </c>
      <c r="C165" s="115" t="str">
        <f t="shared" ca="1" si="15"/>
        <v/>
      </c>
      <c r="D165" s="118" t="str">
        <f ca="1">ORÇAMENTO!O165</f>
        <v>-</v>
      </c>
      <c r="E165" s="164" t="str">
        <f t="shared" si="16"/>
        <v>TE, PVC, SÉRIE NORMAL, ESGOTO PREDIAL, DN 100 X 50 MM, JUNTA ELÁSTICA, FORNECIDO E INSTALADO EM RAMAL DE DESCARGA OU RAMAL DE ESGOTO SANITÁRIO. AF_08/2022</v>
      </c>
      <c r="F165" s="165" t="str">
        <f ca="1">IF(RegimeExecucao="Global","",ORÇAMENTO.Unidade)</f>
        <v>UN</v>
      </c>
      <c r="G165" s="123">
        <f ca="1">IF(RegimeExecucao="Global","",ORÇAMENTO!T165)</f>
        <v>6</v>
      </c>
      <c r="H165" s="123">
        <f ca="1">IF(RegimeExecucao="Global","",ORÇAMENTO!W165)</f>
        <v>0</v>
      </c>
      <c r="I165" s="126">
        <f ca="1">ORÇAMENTO!X165</f>
        <v>0</v>
      </c>
      <c r="J165" s="334" t="e" cm="1">
        <f t="array" aca="1" ref="J165" ca="1">_xlfn.SINGLE(IF($A165="S",IF(CAIXA.Modo,BM.AFAnterior,BM.MEDAnterior),IF(AND(_xlfn.SINGLE(RegimeExecucao)="Global",$I165&gt;0,COUNTIF($AB$13:$AM$13,BM.medicao-1)&gt;0),M165/$I165*100,0)))</f>
        <v>#NAME?</v>
      </c>
      <c r="K165" s="123" t="e">
        <f t="shared" ca="1" si="17"/>
        <v>#NAME?</v>
      </c>
      <c r="L165" s="335" t="e" cm="1">
        <f t="array" aca="1" ref="L165" ca="1">_xlfn.SINGLE(IF($A165="S",IF(CAIXA.Modo,BM.AFAcumulado,BM.MEDAcumulado),IF(AND(_xlfn.SINGLE(RegimeExecucao)="Global",$I165&gt;0,COUNTIF($AB$13:$AM$13,BM.medicao)&gt;0),O165/$I165*100,0)))</f>
        <v>#NAME?</v>
      </c>
      <c r="M165" s="336">
        <f ca="1">IF($A165="S",VTOTALBM,IF($A165=0,0,ROUND(SomaAgrupBM,15-13*ORÇAMENTO!$AF$11)))</f>
        <v>0</v>
      </c>
      <c r="N165" s="337">
        <f t="shared" ca="1" si="18"/>
        <v>0</v>
      </c>
      <c r="O165" s="126">
        <f ca="1">IF($A165="S",VTOTALBM,IF($A165=0,0,ROUND(SomaAgrupBM,15-13*ORÇAMENTO!$AF$11)))</f>
        <v>0</v>
      </c>
      <c r="Q165" s="338"/>
      <c r="R165" s="339"/>
      <c r="T165" s="118" t="str">
        <f t="shared" ca="1" si="19"/>
        <v/>
      </c>
      <c r="U165" s="164" t="str">
        <f t="shared" ca="1" si="20"/>
        <v/>
      </c>
      <c r="V165" s="165" t="str">
        <f ca="1">IF(AND($W165&gt;0,RegimeExecucao="Unitário"),$F165,"")</f>
        <v/>
      </c>
      <c r="W165" s="455">
        <f ca="1">IF($Y165&gt;0,CHOOSE(MATCH(RegimeExecucao,{"Unitário","Global"},0),IF($A165="S",$Y165/$X165,""),($Y165/$X165)*100),0)</f>
        <v>0</v>
      </c>
      <c r="X165" s="340" t="str">
        <f ca="1">IF($Y165&gt;0,CHOOSE(MATCH(RegimeExecucao,{"Unitário","Global"},0),IF($A165="S",ROUND($H165,ORÇAMENTO!$AF$10),""),ROUND($I165,ORÇAMENTO!$AF$11)),"")</f>
        <v/>
      </c>
      <c r="Y165" s="340">
        <f t="shared" ca="1" si="21"/>
        <v>0</v>
      </c>
      <c r="Z165" s="474"/>
      <c r="AB165" s="338"/>
      <c r="AC165" s="438"/>
      <c r="AD165" s="438"/>
      <c r="AE165" s="438"/>
      <c r="AF165" s="438"/>
      <c r="AG165" s="438"/>
      <c r="AH165" s="438"/>
      <c r="AI165" s="438"/>
      <c r="AJ165" s="438"/>
      <c r="AK165" s="438"/>
      <c r="AL165" s="438"/>
      <c r="AM165" s="339"/>
      <c r="AO165">
        <f ca="1">IF($A165="S",IF(BM!$I165=0,0,CHOOSE(MATCH(RegimeExecucao,{"Global","Unitário"},0),ROUND(ROUND(BM.MEDAcumulado,15-13*BM!$A$9)/100*BM!$I165,15-13*ORÇAMENTO!$AF$11),ROUND(ROUND(BM.MEDAcumulado,15-13*BM!$A$9)*ROUND(BM!$H165,15-13*ORÇAMENTO!$AF$10),15-13*ORÇAMENTO!$AF$11))),IF($A165=0,0,ROUND(SomaAgrupBM,15-13*ORÇAMENTO!$AF$11)))</f>
        <v>0</v>
      </c>
    </row>
    <row r="166" spans="1:41" ht="38.25" x14ac:dyDescent="0.2">
      <c r="A166" t="str">
        <f ca="1">ORÇAMENTO!C166</f>
        <v>S</v>
      </c>
      <c r="B166">
        <f ca="1">ORÇAMENTO!D166</f>
        <v>0</v>
      </c>
      <c r="C166" s="115" t="str">
        <f t="shared" ca="1" si="15"/>
        <v/>
      </c>
      <c r="D166" s="118" t="str">
        <f ca="1">ORÇAMENTO!O166</f>
        <v>-</v>
      </c>
      <c r="E166" s="164" t="str">
        <f t="shared" si="16"/>
        <v>TE, PVC, SÉRIE NORMAL, ESGOTO PREDIAL, DN 100 X 50 MM, JUNTA ELÁSTICA, FORNECIDO E INSTALADO EM RAMAL DE DESCARGA OU RAMAL DE ESGOTO SANITÁRIO. AF_08/2022</v>
      </c>
      <c r="F166" s="165" t="str">
        <f ca="1">IF(RegimeExecucao="Global","",ORÇAMENTO.Unidade)</f>
        <v>UN</v>
      </c>
      <c r="G166" s="123">
        <f ca="1">IF(RegimeExecucao="Global","",ORÇAMENTO!T166)</f>
        <v>5</v>
      </c>
      <c r="H166" s="123">
        <f ca="1">IF(RegimeExecucao="Global","",ORÇAMENTO!W166)</f>
        <v>0</v>
      </c>
      <c r="I166" s="126">
        <f ca="1">ORÇAMENTO!X166</f>
        <v>0</v>
      </c>
      <c r="J166" s="334" t="e" cm="1">
        <f t="array" aca="1" ref="J166" ca="1">_xlfn.SINGLE(IF($A166="S",IF(CAIXA.Modo,BM.AFAnterior,BM.MEDAnterior),IF(AND(_xlfn.SINGLE(RegimeExecucao)="Global",$I166&gt;0,COUNTIF($AB$13:$AM$13,BM.medicao-1)&gt;0),M166/$I166*100,0)))</f>
        <v>#NAME?</v>
      </c>
      <c r="K166" s="123" t="e">
        <f t="shared" ca="1" si="17"/>
        <v>#NAME?</v>
      </c>
      <c r="L166" s="335" t="e" cm="1">
        <f t="array" aca="1" ref="L166" ca="1">_xlfn.SINGLE(IF($A166="S",IF(CAIXA.Modo,BM.AFAcumulado,BM.MEDAcumulado),IF(AND(_xlfn.SINGLE(RegimeExecucao)="Global",$I166&gt;0,COUNTIF($AB$13:$AM$13,BM.medicao)&gt;0),O166/$I166*100,0)))</f>
        <v>#NAME?</v>
      </c>
      <c r="M166" s="336">
        <f ca="1">IF($A166="S",VTOTALBM,IF($A166=0,0,ROUND(SomaAgrupBM,15-13*ORÇAMENTO!$AF$11)))</f>
        <v>0</v>
      </c>
      <c r="N166" s="337">
        <f t="shared" ca="1" si="18"/>
        <v>0</v>
      </c>
      <c r="O166" s="126">
        <f ca="1">IF($A166="S",VTOTALBM,IF($A166=0,0,ROUND(SomaAgrupBM,15-13*ORÇAMENTO!$AF$11)))</f>
        <v>0</v>
      </c>
      <c r="Q166" s="338"/>
      <c r="R166" s="339"/>
      <c r="T166" s="118" t="str">
        <f t="shared" ca="1" si="19"/>
        <v/>
      </c>
      <c r="U166" s="164" t="str">
        <f t="shared" ca="1" si="20"/>
        <v/>
      </c>
      <c r="V166" s="165" t="str">
        <f ca="1">IF(AND($W166&gt;0,RegimeExecucao="Unitário"),$F166,"")</f>
        <v/>
      </c>
      <c r="W166" s="455">
        <f ca="1">IF($Y166&gt;0,CHOOSE(MATCH(RegimeExecucao,{"Unitário","Global"},0),IF($A166="S",$Y166/$X166,""),($Y166/$X166)*100),0)</f>
        <v>0</v>
      </c>
      <c r="X166" s="340" t="str">
        <f ca="1">IF($Y166&gt;0,CHOOSE(MATCH(RegimeExecucao,{"Unitário","Global"},0),IF($A166="S",ROUND($H166,ORÇAMENTO!$AF$10),""),ROUND($I166,ORÇAMENTO!$AF$11)),"")</f>
        <v/>
      </c>
      <c r="Y166" s="340">
        <f t="shared" ca="1" si="21"/>
        <v>0</v>
      </c>
      <c r="Z166" s="474"/>
      <c r="AB166" s="338"/>
      <c r="AC166" s="438"/>
      <c r="AD166" s="438"/>
      <c r="AE166" s="438"/>
      <c r="AF166" s="438"/>
      <c r="AG166" s="438"/>
      <c r="AH166" s="438"/>
      <c r="AI166" s="438"/>
      <c r="AJ166" s="438"/>
      <c r="AK166" s="438"/>
      <c r="AL166" s="438"/>
      <c r="AM166" s="339"/>
      <c r="AO166">
        <f ca="1">IF($A166="S",IF(BM!$I166=0,0,CHOOSE(MATCH(RegimeExecucao,{"Global","Unitário"},0),ROUND(ROUND(BM.MEDAcumulado,15-13*BM!$A$9)/100*BM!$I166,15-13*ORÇAMENTO!$AF$11),ROUND(ROUND(BM.MEDAcumulado,15-13*BM!$A$9)*ROUND(BM!$H166,15-13*ORÇAMENTO!$AF$10),15-13*ORÇAMENTO!$AF$11))),IF($A166=0,0,ROUND(SomaAgrupBM,15-13*ORÇAMENTO!$AF$11)))</f>
        <v>0</v>
      </c>
    </row>
    <row r="167" spans="1:41" ht="38.25" x14ac:dyDescent="0.2">
      <c r="A167" t="str">
        <f ca="1">ORÇAMENTO!C167</f>
        <v>S</v>
      </c>
      <c r="B167">
        <f ca="1">ORÇAMENTO!D167</f>
        <v>0</v>
      </c>
      <c r="C167" s="115" t="str">
        <f t="shared" ca="1" si="15"/>
        <v/>
      </c>
      <c r="D167" s="118" t="str">
        <f ca="1">ORÇAMENTO!O167</f>
        <v>-</v>
      </c>
      <c r="E167" s="164" t="str">
        <f t="shared" si="16"/>
        <v>TE, PVC, SERIE NORMAL, ESGOTO PREDIAL, DN 50 X 50 MM, JUNTA ELÁSTICA, FORNECIDO E INSTALADO EM RAMAL DE DESCARGA OU RAMAL DE ESGOTO SANITÁRIO. AF_08/2022</v>
      </c>
      <c r="F167" s="165" t="str">
        <f ca="1">IF(RegimeExecucao="Global","",ORÇAMENTO.Unidade)</f>
        <v>UN</v>
      </c>
      <c r="G167" s="123">
        <f ca="1">IF(RegimeExecucao="Global","",ORÇAMENTO!T167)</f>
        <v>5</v>
      </c>
      <c r="H167" s="123">
        <f ca="1">IF(RegimeExecucao="Global","",ORÇAMENTO!W167)</f>
        <v>0</v>
      </c>
      <c r="I167" s="126">
        <f ca="1">ORÇAMENTO!X167</f>
        <v>0</v>
      </c>
      <c r="J167" s="334" t="e" cm="1">
        <f t="array" aca="1" ref="J167" ca="1">_xlfn.SINGLE(IF($A167="S",IF(CAIXA.Modo,BM.AFAnterior,BM.MEDAnterior),IF(AND(_xlfn.SINGLE(RegimeExecucao)="Global",$I167&gt;0,COUNTIF($AB$13:$AM$13,BM.medicao-1)&gt;0),M167/$I167*100,0)))</f>
        <v>#NAME?</v>
      </c>
      <c r="K167" s="123" t="e">
        <f t="shared" ca="1" si="17"/>
        <v>#NAME?</v>
      </c>
      <c r="L167" s="335" t="e" cm="1">
        <f t="array" aca="1" ref="L167" ca="1">_xlfn.SINGLE(IF($A167="S",IF(CAIXA.Modo,BM.AFAcumulado,BM.MEDAcumulado),IF(AND(_xlfn.SINGLE(RegimeExecucao)="Global",$I167&gt;0,COUNTIF($AB$13:$AM$13,BM.medicao)&gt;0),O167/$I167*100,0)))</f>
        <v>#NAME?</v>
      </c>
      <c r="M167" s="336">
        <f ca="1">IF($A167="S",VTOTALBM,IF($A167=0,0,ROUND(SomaAgrupBM,15-13*ORÇAMENTO!$AF$11)))</f>
        <v>0</v>
      </c>
      <c r="N167" s="337">
        <f t="shared" ca="1" si="18"/>
        <v>0</v>
      </c>
      <c r="O167" s="126">
        <f ca="1">IF($A167="S",VTOTALBM,IF($A167=0,0,ROUND(SomaAgrupBM,15-13*ORÇAMENTO!$AF$11)))</f>
        <v>0</v>
      </c>
      <c r="Q167" s="338"/>
      <c r="R167" s="339"/>
      <c r="T167" s="118" t="str">
        <f t="shared" ca="1" si="19"/>
        <v/>
      </c>
      <c r="U167" s="164" t="str">
        <f t="shared" ca="1" si="20"/>
        <v/>
      </c>
      <c r="V167" s="165" t="str">
        <f ca="1">IF(AND($W167&gt;0,RegimeExecucao="Unitário"),$F167,"")</f>
        <v/>
      </c>
      <c r="W167" s="455">
        <f ca="1">IF($Y167&gt;0,CHOOSE(MATCH(RegimeExecucao,{"Unitário","Global"},0),IF($A167="S",$Y167/$X167,""),($Y167/$X167)*100),0)</f>
        <v>0</v>
      </c>
      <c r="X167" s="340" t="str">
        <f ca="1">IF($Y167&gt;0,CHOOSE(MATCH(RegimeExecucao,{"Unitário","Global"},0),IF($A167="S",ROUND($H167,ORÇAMENTO!$AF$10),""),ROUND($I167,ORÇAMENTO!$AF$11)),"")</f>
        <v/>
      </c>
      <c r="Y167" s="340">
        <f t="shared" ca="1" si="21"/>
        <v>0</v>
      </c>
      <c r="Z167" s="474"/>
      <c r="AB167" s="338"/>
      <c r="AC167" s="438"/>
      <c r="AD167" s="438"/>
      <c r="AE167" s="438"/>
      <c r="AF167" s="438"/>
      <c r="AG167" s="438"/>
      <c r="AH167" s="438"/>
      <c r="AI167" s="438"/>
      <c r="AJ167" s="438"/>
      <c r="AK167" s="438"/>
      <c r="AL167" s="438"/>
      <c r="AM167" s="339"/>
      <c r="AO167">
        <f ca="1">IF($A167="S",IF(BM!$I167=0,0,CHOOSE(MATCH(RegimeExecucao,{"Global","Unitário"},0),ROUND(ROUND(BM.MEDAcumulado,15-13*BM!$A$9)/100*BM!$I167,15-13*ORÇAMENTO!$AF$11),ROUND(ROUND(BM.MEDAcumulado,15-13*BM!$A$9)*ROUND(BM!$H167,15-13*ORÇAMENTO!$AF$10),15-13*ORÇAMENTO!$AF$11))),IF($A167=0,0,ROUND(SomaAgrupBM,15-13*ORÇAMENTO!$AF$11)))</f>
        <v>0</v>
      </c>
    </row>
    <row r="168" spans="1:41" x14ac:dyDescent="0.2">
      <c r="A168">
        <f ca="1">ORÇAMENTO!C168</f>
        <v>3</v>
      </c>
      <c r="B168">
        <f ca="1">ORÇAMENTO!D168</f>
        <v>50</v>
      </c>
      <c r="C168" s="115" t="str">
        <f t="shared" ca="1" si="15"/>
        <v>F</v>
      </c>
      <c r="D168" s="118" t="str">
        <f ca="1">ORÇAMENTO!O168</f>
        <v>1.11.2.</v>
      </c>
      <c r="E168" s="164" t="str">
        <f t="shared" si="16"/>
        <v>HIDRÁULICA</v>
      </c>
      <c r="F168" s="165" t="str">
        <f ca="1">IF(RegimeExecucao="Global","",ORÇAMENTO.Unidade)</f>
        <v>-</v>
      </c>
      <c r="G168" s="123">
        <f ca="1">IF(RegimeExecucao="Global","",ORÇAMENTO!T168)</f>
        <v>0</v>
      </c>
      <c r="H168" s="123">
        <f ca="1">IF(RegimeExecucao="Global","",ORÇAMENTO!W168)</f>
        <v>0</v>
      </c>
      <c r="I168" s="126">
        <f ca="1">ORÇAMENTO!X168</f>
        <v>0</v>
      </c>
      <c r="J168" s="334" t="e" cm="1">
        <f t="array" aca="1" ref="J168" ca="1">_xlfn.SINGLE(IF($A168="S",IF(CAIXA.Modo,BM.AFAnterior,BM.MEDAnterior),IF(AND(_xlfn.SINGLE(RegimeExecucao)="Global",$I168&gt;0,COUNTIF($AB$13:$AM$13,BM.medicao-1)&gt;0),M168/$I168*100,0)))</f>
        <v>#NAME?</v>
      </c>
      <c r="K168" s="123" t="e">
        <f t="shared" ca="1" si="17"/>
        <v>#NAME?</v>
      </c>
      <c r="L168" s="335" t="e" cm="1">
        <f t="array" aca="1" ref="L168" ca="1">_xlfn.SINGLE(IF($A168="S",IF(CAIXA.Modo,BM.AFAcumulado,BM.MEDAcumulado),IF(AND(_xlfn.SINGLE(RegimeExecucao)="Global",$I168&gt;0,COUNTIF($AB$13:$AM$13,BM.medicao)&gt;0),O168/$I168*100,0)))</f>
        <v>#NAME?</v>
      </c>
      <c r="M168" s="336">
        <f ca="1">IF($A168="S",VTOTALBM,IF($A168=0,0,ROUND(SomaAgrupBM,15-13*ORÇAMENTO!$AF$11)))</f>
        <v>0</v>
      </c>
      <c r="N168" s="337">
        <f t="shared" ca="1" si="18"/>
        <v>0</v>
      </c>
      <c r="O168" s="126">
        <f ca="1">IF($A168="S",VTOTALBM,IF($A168=0,0,ROUND(SomaAgrupBM,15-13*ORÇAMENTO!$AF$11)))</f>
        <v>0</v>
      </c>
      <c r="Q168" s="338"/>
      <c r="R168" s="339"/>
      <c r="T168" s="118" t="str">
        <f t="shared" ca="1" si="19"/>
        <v/>
      </c>
      <c r="U168" s="164" t="str">
        <f t="shared" ca="1" si="20"/>
        <v/>
      </c>
      <c r="V168" s="165" t="str">
        <f ca="1">IF(AND($W168&gt;0,RegimeExecucao="Unitário"),$F168,"")</f>
        <v/>
      </c>
      <c r="W168" s="455">
        <f ca="1">IF($Y168&gt;0,CHOOSE(MATCH(RegimeExecucao,{"Unitário","Global"},0),IF($A168="S",$Y168/$X168,""),($Y168/$X168)*100),0)</f>
        <v>0</v>
      </c>
      <c r="X168" s="340" t="str">
        <f ca="1">IF($Y168&gt;0,CHOOSE(MATCH(RegimeExecucao,{"Unitário","Global"},0),IF($A168="S",ROUND($H168,ORÇAMENTO!$AF$10),""),ROUND($I168,ORÇAMENTO!$AF$11)),"")</f>
        <v/>
      </c>
      <c r="Y168" s="340">
        <f t="shared" ca="1" si="21"/>
        <v>0</v>
      </c>
      <c r="Z168" s="474"/>
      <c r="AB168" s="338"/>
      <c r="AC168" s="438"/>
      <c r="AD168" s="438"/>
      <c r="AE168" s="438"/>
      <c r="AF168" s="438"/>
      <c r="AG168" s="438"/>
      <c r="AH168" s="438"/>
      <c r="AI168" s="438"/>
      <c r="AJ168" s="438"/>
      <c r="AK168" s="438"/>
      <c r="AL168" s="438"/>
      <c r="AM168" s="339"/>
      <c r="AO168">
        <f ca="1">IF($A168="S",IF(BM!$I168=0,0,CHOOSE(MATCH(RegimeExecucao,{"Global","Unitário"},0),ROUND(ROUND(BM.MEDAcumulado,15-13*BM!$A$9)/100*BM!$I168,15-13*ORÇAMENTO!$AF$11),ROUND(ROUND(BM.MEDAcumulado,15-13*BM!$A$9)*ROUND(BM!$H168,15-13*ORÇAMENTO!$AF$10),15-13*ORÇAMENTO!$AF$11))),IF($A168=0,0,ROUND(SomaAgrupBM,15-13*ORÇAMENTO!$AF$11)))</f>
        <v>0</v>
      </c>
    </row>
    <row r="169" spans="1:41" ht="38.25" x14ac:dyDescent="0.2">
      <c r="A169" t="str">
        <f ca="1">ORÇAMENTO!C169</f>
        <v>S</v>
      </c>
      <c r="B169">
        <f ca="1">ORÇAMENTO!D169</f>
        <v>0</v>
      </c>
      <c r="C169" s="115" t="str">
        <f t="shared" ca="1" si="15"/>
        <v/>
      </c>
      <c r="D169" s="118" t="str">
        <f ca="1">ORÇAMENTO!O169</f>
        <v>-</v>
      </c>
      <c r="E169" s="164" t="str">
        <f t="shared" si="16"/>
        <v>REGISTRO DE PRESSÃO BRUTO, LATÃO, ROSCÁVEL, 3/4", COM ACABAMENTO E CANOPLA CROMADOS - FORNECIMENTO E INSTALAÇÃO. AF_08/2021</v>
      </c>
      <c r="F169" s="165" t="str">
        <f ca="1">IF(RegimeExecucao="Global","",ORÇAMENTO.Unidade)</f>
        <v>UN</v>
      </c>
      <c r="G169" s="123">
        <f ca="1">IF(RegimeExecucao="Global","",ORÇAMENTO!T169)</f>
        <v>22</v>
      </c>
      <c r="H169" s="123">
        <f ca="1">IF(RegimeExecucao="Global","",ORÇAMENTO!W169)</f>
        <v>0</v>
      </c>
      <c r="I169" s="126">
        <f ca="1">ORÇAMENTO!X169</f>
        <v>0</v>
      </c>
      <c r="J169" s="334" t="e" cm="1">
        <f t="array" aca="1" ref="J169" ca="1">_xlfn.SINGLE(IF($A169="S",IF(CAIXA.Modo,BM.AFAnterior,BM.MEDAnterior),IF(AND(_xlfn.SINGLE(RegimeExecucao)="Global",$I169&gt;0,COUNTIF($AB$13:$AM$13,BM.medicao-1)&gt;0),M169/$I169*100,0)))</f>
        <v>#NAME?</v>
      </c>
      <c r="K169" s="123" t="e">
        <f t="shared" ca="1" si="17"/>
        <v>#NAME?</v>
      </c>
      <c r="L169" s="335" t="e" cm="1">
        <f t="array" aca="1" ref="L169" ca="1">_xlfn.SINGLE(IF($A169="S",IF(CAIXA.Modo,BM.AFAcumulado,BM.MEDAcumulado),IF(AND(_xlfn.SINGLE(RegimeExecucao)="Global",$I169&gt;0,COUNTIF($AB$13:$AM$13,BM.medicao)&gt;0),O169/$I169*100,0)))</f>
        <v>#NAME?</v>
      </c>
      <c r="M169" s="336">
        <f ca="1">IF($A169="S",VTOTALBM,IF($A169=0,0,ROUND(SomaAgrupBM,15-13*ORÇAMENTO!$AF$11)))</f>
        <v>0</v>
      </c>
      <c r="N169" s="337">
        <f t="shared" ca="1" si="18"/>
        <v>0</v>
      </c>
      <c r="O169" s="126">
        <f ca="1">IF($A169="S",VTOTALBM,IF($A169=0,0,ROUND(SomaAgrupBM,15-13*ORÇAMENTO!$AF$11)))</f>
        <v>0</v>
      </c>
      <c r="Q169" s="338"/>
      <c r="R169" s="339"/>
      <c r="T169" s="118" t="str">
        <f t="shared" ca="1" si="19"/>
        <v/>
      </c>
      <c r="U169" s="164" t="str">
        <f t="shared" ca="1" si="20"/>
        <v/>
      </c>
      <c r="V169" s="165" t="str">
        <f ca="1">IF(AND($W169&gt;0,RegimeExecucao="Unitário"),$F169,"")</f>
        <v/>
      </c>
      <c r="W169" s="455">
        <f ca="1">IF($Y169&gt;0,CHOOSE(MATCH(RegimeExecucao,{"Unitário","Global"},0),IF($A169="S",$Y169/$X169,""),($Y169/$X169)*100),0)</f>
        <v>0</v>
      </c>
      <c r="X169" s="340" t="str">
        <f ca="1">IF($Y169&gt;0,CHOOSE(MATCH(RegimeExecucao,{"Unitário","Global"},0),IF($A169="S",ROUND($H169,ORÇAMENTO!$AF$10),""),ROUND($I169,ORÇAMENTO!$AF$11)),"")</f>
        <v/>
      </c>
      <c r="Y169" s="340">
        <f t="shared" ca="1" si="21"/>
        <v>0</v>
      </c>
      <c r="Z169" s="474"/>
      <c r="AB169" s="338"/>
      <c r="AC169" s="438"/>
      <c r="AD169" s="438"/>
      <c r="AE169" s="438"/>
      <c r="AF169" s="438"/>
      <c r="AG169" s="438"/>
      <c r="AH169" s="438"/>
      <c r="AI169" s="438"/>
      <c r="AJ169" s="438"/>
      <c r="AK169" s="438"/>
      <c r="AL169" s="438"/>
      <c r="AM169" s="339"/>
      <c r="AO169">
        <f ca="1">IF($A169="S",IF(BM!$I169=0,0,CHOOSE(MATCH(RegimeExecucao,{"Global","Unitário"},0),ROUND(ROUND(BM.MEDAcumulado,15-13*BM!$A$9)/100*BM!$I169,15-13*ORÇAMENTO!$AF$11),ROUND(ROUND(BM.MEDAcumulado,15-13*BM!$A$9)*ROUND(BM!$H169,15-13*ORÇAMENTO!$AF$10),15-13*ORÇAMENTO!$AF$11))),IF($A169=0,0,ROUND(SomaAgrupBM,15-13*ORÇAMENTO!$AF$11)))</f>
        <v>0</v>
      </c>
    </row>
    <row r="170" spans="1:41" ht="38.25" x14ac:dyDescent="0.2">
      <c r="A170" t="str">
        <f ca="1">ORÇAMENTO!C170</f>
        <v>S</v>
      </c>
      <c r="B170">
        <f ca="1">ORÇAMENTO!D170</f>
        <v>0</v>
      </c>
      <c r="C170" s="115" t="str">
        <f t="shared" ca="1" si="15"/>
        <v/>
      </c>
      <c r="D170" s="118" t="str">
        <f ca="1">ORÇAMENTO!O170</f>
        <v>-</v>
      </c>
      <c r="E170" s="164" t="str">
        <f t="shared" si="16"/>
        <v>LUVA COM BUCHA DE LATÃO, PVC, SOLDÁVEL, DN 25MM X 3/4 , INSTALADO EM RAMAL OU SUB-RAMAL DE ÁGUA - FORNECIMENTO E INSTALAÇÃO. AF_06/2022</v>
      </c>
      <c r="F170" s="165" t="str">
        <f ca="1">IF(RegimeExecucao="Global","",ORÇAMENTO.Unidade)</f>
        <v>UN</v>
      </c>
      <c r="G170" s="123">
        <f ca="1">IF(RegimeExecucao="Global","",ORÇAMENTO!T170)</f>
        <v>96</v>
      </c>
      <c r="H170" s="123">
        <f ca="1">IF(RegimeExecucao="Global","",ORÇAMENTO!W170)</f>
        <v>0</v>
      </c>
      <c r="I170" s="126">
        <f ca="1">ORÇAMENTO!X170</f>
        <v>0</v>
      </c>
      <c r="J170" s="334" t="e" cm="1">
        <f t="array" aca="1" ref="J170" ca="1">_xlfn.SINGLE(IF($A170="S",IF(CAIXA.Modo,BM.AFAnterior,BM.MEDAnterior),IF(AND(_xlfn.SINGLE(RegimeExecucao)="Global",$I170&gt;0,COUNTIF($AB$13:$AM$13,BM.medicao-1)&gt;0),M170/$I170*100,0)))</f>
        <v>#NAME?</v>
      </c>
      <c r="K170" s="123" t="e">
        <f t="shared" ca="1" si="17"/>
        <v>#NAME?</v>
      </c>
      <c r="L170" s="335" t="e" cm="1">
        <f t="array" aca="1" ref="L170" ca="1">_xlfn.SINGLE(IF($A170="S",IF(CAIXA.Modo,BM.AFAcumulado,BM.MEDAcumulado),IF(AND(_xlfn.SINGLE(RegimeExecucao)="Global",$I170&gt;0,COUNTIF($AB$13:$AM$13,BM.medicao)&gt;0),O170/$I170*100,0)))</f>
        <v>#NAME?</v>
      </c>
      <c r="M170" s="336">
        <f ca="1">IF($A170="S",VTOTALBM,IF($A170=0,0,ROUND(SomaAgrupBM,15-13*ORÇAMENTO!$AF$11)))</f>
        <v>0</v>
      </c>
      <c r="N170" s="337">
        <f t="shared" ca="1" si="18"/>
        <v>0</v>
      </c>
      <c r="O170" s="126">
        <f ca="1">IF($A170="S",VTOTALBM,IF($A170=0,0,ROUND(SomaAgrupBM,15-13*ORÇAMENTO!$AF$11)))</f>
        <v>0</v>
      </c>
      <c r="Q170" s="338"/>
      <c r="R170" s="339"/>
      <c r="T170" s="118" t="str">
        <f t="shared" ca="1" si="19"/>
        <v/>
      </c>
      <c r="U170" s="164" t="str">
        <f t="shared" ca="1" si="20"/>
        <v/>
      </c>
      <c r="V170" s="165" t="str">
        <f ca="1">IF(AND($W170&gt;0,RegimeExecucao="Unitário"),$F170,"")</f>
        <v/>
      </c>
      <c r="W170" s="455">
        <f ca="1">IF($Y170&gt;0,CHOOSE(MATCH(RegimeExecucao,{"Unitário","Global"},0),IF($A170="S",$Y170/$X170,""),($Y170/$X170)*100),0)</f>
        <v>0</v>
      </c>
      <c r="X170" s="340" t="str">
        <f ca="1">IF($Y170&gt;0,CHOOSE(MATCH(RegimeExecucao,{"Unitário","Global"},0),IF($A170="S",ROUND($H170,ORÇAMENTO!$AF$10),""),ROUND($I170,ORÇAMENTO!$AF$11)),"")</f>
        <v/>
      </c>
      <c r="Y170" s="340">
        <f t="shared" ca="1" si="21"/>
        <v>0</v>
      </c>
      <c r="Z170" s="474"/>
      <c r="AB170" s="338"/>
      <c r="AC170" s="438"/>
      <c r="AD170" s="438"/>
      <c r="AE170" s="438"/>
      <c r="AF170" s="438"/>
      <c r="AG170" s="438"/>
      <c r="AH170" s="438"/>
      <c r="AI170" s="438"/>
      <c r="AJ170" s="438"/>
      <c r="AK170" s="438"/>
      <c r="AL170" s="438"/>
      <c r="AM170" s="339"/>
      <c r="AO170">
        <f ca="1">IF($A170="S",IF(BM!$I170=0,0,CHOOSE(MATCH(RegimeExecucao,{"Global","Unitário"},0),ROUND(ROUND(BM.MEDAcumulado,15-13*BM!$A$9)/100*BM!$I170,15-13*ORÇAMENTO!$AF$11),ROUND(ROUND(BM.MEDAcumulado,15-13*BM!$A$9)*ROUND(BM!$H170,15-13*ORÇAMENTO!$AF$10),15-13*ORÇAMENTO!$AF$11))),IF($A170=0,0,ROUND(SomaAgrupBM,15-13*ORÇAMENTO!$AF$11)))</f>
        <v>0</v>
      </c>
    </row>
    <row r="171" spans="1:41" ht="25.5" x14ac:dyDescent="0.2">
      <c r="A171" t="str">
        <f ca="1">ORÇAMENTO!C171</f>
        <v>S</v>
      </c>
      <c r="B171">
        <f ca="1">ORÇAMENTO!D171</f>
        <v>0</v>
      </c>
      <c r="C171" s="115" t="str">
        <f t="shared" ca="1" si="15"/>
        <v/>
      </c>
      <c r="D171" s="118" t="str">
        <f ca="1">ORÇAMENTO!O171</f>
        <v>-</v>
      </c>
      <c r="E171" s="164" t="str">
        <f t="shared" si="16"/>
        <v>TORNEIRA PLÁSTICA 3/4" PARA TANQUE - FORNECIMENTO E INSTALAÇÃO. AF_01/2020</v>
      </c>
      <c r="F171" s="165" t="str">
        <f ca="1">IF(RegimeExecucao="Global","",ORÇAMENTO.Unidade)</f>
        <v>UN</v>
      </c>
      <c r="G171" s="123">
        <f ca="1">IF(RegimeExecucao="Global","",ORÇAMENTO!T171)</f>
        <v>8</v>
      </c>
      <c r="H171" s="123">
        <f ca="1">IF(RegimeExecucao="Global","",ORÇAMENTO!W171)</f>
        <v>0</v>
      </c>
      <c r="I171" s="126">
        <f ca="1">ORÇAMENTO!X171</f>
        <v>0</v>
      </c>
      <c r="J171" s="334" t="e" cm="1">
        <f t="array" aca="1" ref="J171" ca="1">_xlfn.SINGLE(IF($A171="S",IF(CAIXA.Modo,BM.AFAnterior,BM.MEDAnterior),IF(AND(_xlfn.SINGLE(RegimeExecucao)="Global",$I171&gt;0,COUNTIF($AB$13:$AM$13,BM.medicao-1)&gt;0),M171/$I171*100,0)))</f>
        <v>#NAME?</v>
      </c>
      <c r="K171" s="123" t="e">
        <f t="shared" ca="1" si="17"/>
        <v>#NAME?</v>
      </c>
      <c r="L171" s="335" t="e" cm="1">
        <f t="array" aca="1" ref="L171" ca="1">_xlfn.SINGLE(IF($A171="S",IF(CAIXA.Modo,BM.AFAcumulado,BM.MEDAcumulado),IF(AND(_xlfn.SINGLE(RegimeExecucao)="Global",$I171&gt;0,COUNTIF($AB$13:$AM$13,BM.medicao)&gt;0),O171/$I171*100,0)))</f>
        <v>#NAME?</v>
      </c>
      <c r="M171" s="336">
        <f ca="1">IF($A171="S",VTOTALBM,IF($A171=0,0,ROUND(SomaAgrupBM,15-13*ORÇAMENTO!$AF$11)))</f>
        <v>0</v>
      </c>
      <c r="N171" s="337">
        <f t="shared" ca="1" si="18"/>
        <v>0</v>
      </c>
      <c r="O171" s="126">
        <f ca="1">IF($A171="S",VTOTALBM,IF($A171=0,0,ROUND(SomaAgrupBM,15-13*ORÇAMENTO!$AF$11)))</f>
        <v>0</v>
      </c>
      <c r="Q171" s="338"/>
      <c r="R171" s="339"/>
      <c r="T171" s="118" t="str">
        <f t="shared" ca="1" si="19"/>
        <v/>
      </c>
      <c r="U171" s="164" t="str">
        <f t="shared" ca="1" si="20"/>
        <v/>
      </c>
      <c r="V171" s="165" t="str">
        <f ca="1">IF(AND($W171&gt;0,RegimeExecucao="Unitário"),$F171,"")</f>
        <v/>
      </c>
      <c r="W171" s="455">
        <f ca="1">IF($Y171&gt;0,CHOOSE(MATCH(RegimeExecucao,{"Unitário","Global"},0),IF($A171="S",$Y171/$X171,""),($Y171/$X171)*100),0)</f>
        <v>0</v>
      </c>
      <c r="X171" s="340" t="str">
        <f ca="1">IF($Y171&gt;0,CHOOSE(MATCH(RegimeExecucao,{"Unitário","Global"},0),IF($A171="S",ROUND($H171,ORÇAMENTO!$AF$10),""),ROUND($I171,ORÇAMENTO!$AF$11)),"")</f>
        <v/>
      </c>
      <c r="Y171" s="340">
        <f t="shared" ca="1" si="21"/>
        <v>0</v>
      </c>
      <c r="Z171" s="474"/>
      <c r="AB171" s="338"/>
      <c r="AC171" s="438"/>
      <c r="AD171" s="438"/>
      <c r="AE171" s="438"/>
      <c r="AF171" s="438"/>
      <c r="AG171" s="438"/>
      <c r="AH171" s="438"/>
      <c r="AI171" s="438"/>
      <c r="AJ171" s="438"/>
      <c r="AK171" s="438"/>
      <c r="AL171" s="438"/>
      <c r="AM171" s="339"/>
      <c r="AO171">
        <f ca="1">IF($A171="S",IF(BM!$I171=0,0,CHOOSE(MATCH(RegimeExecucao,{"Global","Unitário"},0),ROUND(ROUND(BM.MEDAcumulado,15-13*BM!$A$9)/100*BM!$I171,15-13*ORÇAMENTO!$AF$11),ROUND(ROUND(BM.MEDAcumulado,15-13*BM!$A$9)*ROUND(BM!$H171,15-13*ORÇAMENTO!$AF$10),15-13*ORÇAMENTO!$AF$11))),IF($A171=0,0,ROUND(SomaAgrupBM,15-13*ORÇAMENTO!$AF$11)))</f>
        <v>0</v>
      </c>
    </row>
    <row r="172" spans="1:41" ht="38.25" x14ac:dyDescent="0.2">
      <c r="A172" t="str">
        <f ca="1">ORÇAMENTO!C172</f>
        <v>S</v>
      </c>
      <c r="B172">
        <f ca="1">ORÇAMENTO!D172</f>
        <v>0</v>
      </c>
      <c r="C172" s="115" t="str">
        <f t="shared" ca="1" si="15"/>
        <v/>
      </c>
      <c r="D172" s="118" t="str">
        <f ca="1">ORÇAMENTO!O172</f>
        <v>-</v>
      </c>
      <c r="E172" s="164" t="str">
        <f t="shared" si="16"/>
        <v>REGISTRO DE GAVETA BRUTO, LATÃO, ROSCÁVEL, 1 1/2", COM ACABAMENTO E CANOPLA CROMADOS - FORNECIMENTO E INSTALAÇÃO. AF_08/2021</v>
      </c>
      <c r="F172" s="165" t="str">
        <f ca="1">IF(RegimeExecucao="Global","",ORÇAMENTO.Unidade)</f>
        <v>UN</v>
      </c>
      <c r="G172" s="123">
        <f ca="1">IF(RegimeExecucao="Global","",ORÇAMENTO!T172)</f>
        <v>4</v>
      </c>
      <c r="H172" s="123">
        <f ca="1">IF(RegimeExecucao="Global","",ORÇAMENTO!W172)</f>
        <v>0</v>
      </c>
      <c r="I172" s="126">
        <f ca="1">ORÇAMENTO!X172</f>
        <v>0</v>
      </c>
      <c r="J172" s="334" t="e" cm="1">
        <f t="array" aca="1" ref="J172" ca="1">_xlfn.SINGLE(IF($A172="S",IF(CAIXA.Modo,BM.AFAnterior,BM.MEDAnterior),IF(AND(_xlfn.SINGLE(RegimeExecucao)="Global",$I172&gt;0,COUNTIF($AB$13:$AM$13,BM.medicao-1)&gt;0),M172/$I172*100,0)))</f>
        <v>#NAME?</v>
      </c>
      <c r="K172" s="123" t="e">
        <f t="shared" ca="1" si="17"/>
        <v>#NAME?</v>
      </c>
      <c r="L172" s="335" t="e" cm="1">
        <f t="array" aca="1" ref="L172" ca="1">_xlfn.SINGLE(IF($A172="S",IF(CAIXA.Modo,BM.AFAcumulado,BM.MEDAcumulado),IF(AND(_xlfn.SINGLE(RegimeExecucao)="Global",$I172&gt;0,COUNTIF($AB$13:$AM$13,BM.medicao)&gt;0),O172/$I172*100,0)))</f>
        <v>#NAME?</v>
      </c>
      <c r="M172" s="336">
        <f ca="1">IF($A172="S",VTOTALBM,IF($A172=0,0,ROUND(SomaAgrupBM,15-13*ORÇAMENTO!$AF$11)))</f>
        <v>0</v>
      </c>
      <c r="N172" s="337">
        <f t="shared" ca="1" si="18"/>
        <v>0</v>
      </c>
      <c r="O172" s="126">
        <f ca="1">IF($A172="S",VTOTALBM,IF($A172=0,0,ROUND(SomaAgrupBM,15-13*ORÇAMENTO!$AF$11)))</f>
        <v>0</v>
      </c>
      <c r="Q172" s="338"/>
      <c r="R172" s="339"/>
      <c r="T172" s="118" t="str">
        <f t="shared" ca="1" si="19"/>
        <v/>
      </c>
      <c r="U172" s="164" t="str">
        <f t="shared" ca="1" si="20"/>
        <v/>
      </c>
      <c r="V172" s="165" t="str">
        <f ca="1">IF(AND($W172&gt;0,RegimeExecucao="Unitário"),$F172,"")</f>
        <v/>
      </c>
      <c r="W172" s="455">
        <f ca="1">IF($Y172&gt;0,CHOOSE(MATCH(RegimeExecucao,{"Unitário","Global"},0),IF($A172="S",$Y172/$X172,""),($Y172/$X172)*100),0)</f>
        <v>0</v>
      </c>
      <c r="X172" s="340" t="str">
        <f ca="1">IF($Y172&gt;0,CHOOSE(MATCH(RegimeExecucao,{"Unitário","Global"},0),IF($A172="S",ROUND($H172,ORÇAMENTO!$AF$10),""),ROUND($I172,ORÇAMENTO!$AF$11)),"")</f>
        <v/>
      </c>
      <c r="Y172" s="340">
        <f t="shared" ca="1" si="21"/>
        <v>0</v>
      </c>
      <c r="Z172" s="474"/>
      <c r="AB172" s="338"/>
      <c r="AC172" s="438"/>
      <c r="AD172" s="438"/>
      <c r="AE172" s="438"/>
      <c r="AF172" s="438"/>
      <c r="AG172" s="438"/>
      <c r="AH172" s="438"/>
      <c r="AI172" s="438"/>
      <c r="AJ172" s="438"/>
      <c r="AK172" s="438"/>
      <c r="AL172" s="438"/>
      <c r="AM172" s="339"/>
      <c r="AO172">
        <f ca="1">IF($A172="S",IF(BM!$I172=0,0,CHOOSE(MATCH(RegimeExecucao,{"Global","Unitário"},0),ROUND(ROUND(BM.MEDAcumulado,15-13*BM!$A$9)/100*BM!$I172,15-13*ORÇAMENTO!$AF$11),ROUND(ROUND(BM.MEDAcumulado,15-13*BM!$A$9)*ROUND(BM!$H172,15-13*ORÇAMENTO!$AF$10),15-13*ORÇAMENTO!$AF$11))),IF($A172=0,0,ROUND(SomaAgrupBM,15-13*ORÇAMENTO!$AF$11)))</f>
        <v>0</v>
      </c>
    </row>
    <row r="173" spans="1:41" ht="38.25" x14ac:dyDescent="0.2">
      <c r="A173" t="str">
        <f ca="1">ORÇAMENTO!C173</f>
        <v>S</v>
      </c>
      <c r="B173">
        <f ca="1">ORÇAMENTO!D173</f>
        <v>0</v>
      </c>
      <c r="C173" s="115" t="str">
        <f t="shared" ca="1" si="15"/>
        <v/>
      </c>
      <c r="D173" s="118" t="str">
        <f ca="1">ORÇAMENTO!O173</f>
        <v>-</v>
      </c>
      <c r="E173" s="164" t="str">
        <f t="shared" si="16"/>
        <v>REGISTRO DE GAVETA BRUTO, LATÃO, ROSCÁVEL, 1 1/4", COM ACABAMENTO E CANOPLA CROMADOS - FORNECIMENTO E INSTALAÇÃO. AF_08/2021</v>
      </c>
      <c r="F173" s="165" t="str">
        <f ca="1">IF(RegimeExecucao="Global","",ORÇAMENTO.Unidade)</f>
        <v>UN</v>
      </c>
      <c r="G173" s="123">
        <f ca="1">IF(RegimeExecucao="Global","",ORÇAMENTO!T173)</f>
        <v>5</v>
      </c>
      <c r="H173" s="123">
        <f ca="1">IF(RegimeExecucao="Global","",ORÇAMENTO!W173)</f>
        <v>0</v>
      </c>
      <c r="I173" s="126">
        <f ca="1">ORÇAMENTO!X173</f>
        <v>0</v>
      </c>
      <c r="J173" s="334" t="e" cm="1">
        <f t="array" aca="1" ref="J173" ca="1">_xlfn.SINGLE(IF($A173="S",IF(CAIXA.Modo,BM.AFAnterior,BM.MEDAnterior),IF(AND(_xlfn.SINGLE(RegimeExecucao)="Global",$I173&gt;0,COUNTIF($AB$13:$AM$13,BM.medicao-1)&gt;0),M173/$I173*100,0)))</f>
        <v>#NAME?</v>
      </c>
      <c r="K173" s="123" t="e">
        <f t="shared" ca="1" si="17"/>
        <v>#NAME?</v>
      </c>
      <c r="L173" s="335" t="e" cm="1">
        <f t="array" aca="1" ref="L173" ca="1">_xlfn.SINGLE(IF($A173="S",IF(CAIXA.Modo,BM.AFAcumulado,BM.MEDAcumulado),IF(AND(_xlfn.SINGLE(RegimeExecucao)="Global",$I173&gt;0,COUNTIF($AB$13:$AM$13,BM.medicao)&gt;0),O173/$I173*100,0)))</f>
        <v>#NAME?</v>
      </c>
      <c r="M173" s="336">
        <f ca="1">IF($A173="S",VTOTALBM,IF($A173=0,0,ROUND(SomaAgrupBM,15-13*ORÇAMENTO!$AF$11)))</f>
        <v>0</v>
      </c>
      <c r="N173" s="337">
        <f t="shared" ca="1" si="18"/>
        <v>0</v>
      </c>
      <c r="O173" s="126">
        <f ca="1">IF($A173="S",VTOTALBM,IF($A173=0,0,ROUND(SomaAgrupBM,15-13*ORÇAMENTO!$AF$11)))</f>
        <v>0</v>
      </c>
      <c r="Q173" s="338"/>
      <c r="R173" s="339"/>
      <c r="T173" s="118" t="str">
        <f t="shared" ca="1" si="19"/>
        <v/>
      </c>
      <c r="U173" s="164" t="str">
        <f t="shared" ca="1" si="20"/>
        <v/>
      </c>
      <c r="V173" s="165" t="str">
        <f ca="1">IF(AND($W173&gt;0,RegimeExecucao="Unitário"),$F173,"")</f>
        <v/>
      </c>
      <c r="W173" s="455">
        <f ca="1">IF($Y173&gt;0,CHOOSE(MATCH(RegimeExecucao,{"Unitário","Global"},0),IF($A173="S",$Y173/$X173,""),($Y173/$X173)*100),0)</f>
        <v>0</v>
      </c>
      <c r="X173" s="340" t="str">
        <f ca="1">IF($Y173&gt;0,CHOOSE(MATCH(RegimeExecucao,{"Unitário","Global"},0),IF($A173="S",ROUND($H173,ORÇAMENTO!$AF$10),""),ROUND($I173,ORÇAMENTO!$AF$11)),"")</f>
        <v/>
      </c>
      <c r="Y173" s="340">
        <f t="shared" ca="1" si="21"/>
        <v>0</v>
      </c>
      <c r="Z173" s="474"/>
      <c r="AB173" s="338"/>
      <c r="AC173" s="438"/>
      <c r="AD173" s="438"/>
      <c r="AE173" s="438"/>
      <c r="AF173" s="438"/>
      <c r="AG173" s="438"/>
      <c r="AH173" s="438"/>
      <c r="AI173" s="438"/>
      <c r="AJ173" s="438"/>
      <c r="AK173" s="438"/>
      <c r="AL173" s="438"/>
      <c r="AM173" s="339"/>
      <c r="AO173">
        <f ca="1">IF($A173="S",IF(BM!$I173=0,0,CHOOSE(MATCH(RegimeExecucao,{"Global","Unitário"},0),ROUND(ROUND(BM.MEDAcumulado,15-13*BM!$A$9)/100*BM!$I173,15-13*ORÇAMENTO!$AF$11),ROUND(ROUND(BM.MEDAcumulado,15-13*BM!$A$9)*ROUND(BM!$H173,15-13*ORÇAMENTO!$AF$10),15-13*ORÇAMENTO!$AF$11))),IF($A173=0,0,ROUND(SomaAgrupBM,15-13*ORÇAMENTO!$AF$11)))</f>
        <v>0</v>
      </c>
    </row>
    <row r="174" spans="1:41" ht="25.5" x14ac:dyDescent="0.2">
      <c r="A174" t="str">
        <f ca="1">ORÇAMENTO!C174</f>
        <v>S</v>
      </c>
      <c r="B174">
        <f ca="1">ORÇAMENTO!D174</f>
        <v>0</v>
      </c>
      <c r="C174" s="115" t="str">
        <f t="shared" ca="1" si="15"/>
        <v/>
      </c>
      <c r="D174" s="118" t="str">
        <f ca="1">ORÇAMENTO!O174</f>
        <v>-</v>
      </c>
      <c r="E174" s="164" t="str">
        <f t="shared" si="16"/>
        <v>ENGATE FLEXÍVEL EM INOX, 1/2  X 40CM - FORNECIMENTO E INSTALAÇÃO. AF_01/2020</v>
      </c>
      <c r="F174" s="165" t="str">
        <f ca="1">IF(RegimeExecucao="Global","",ORÇAMENTO.Unidade)</f>
        <v>UN</v>
      </c>
      <c r="G174" s="123">
        <f ca="1">IF(RegimeExecucao="Global","",ORÇAMENTO!T174)</f>
        <v>44</v>
      </c>
      <c r="H174" s="123">
        <f ca="1">IF(RegimeExecucao="Global","",ORÇAMENTO!W174)</f>
        <v>0</v>
      </c>
      <c r="I174" s="126">
        <f ca="1">ORÇAMENTO!X174</f>
        <v>0</v>
      </c>
      <c r="J174" s="334" t="e" cm="1">
        <f t="array" aca="1" ref="J174" ca="1">_xlfn.SINGLE(IF($A174="S",IF(CAIXA.Modo,BM.AFAnterior,BM.MEDAnterior),IF(AND(_xlfn.SINGLE(RegimeExecucao)="Global",$I174&gt;0,COUNTIF($AB$13:$AM$13,BM.medicao-1)&gt;0),M174/$I174*100,0)))</f>
        <v>#NAME?</v>
      </c>
      <c r="K174" s="123" t="e">
        <f t="shared" ca="1" si="17"/>
        <v>#NAME?</v>
      </c>
      <c r="L174" s="335" t="e" cm="1">
        <f t="array" aca="1" ref="L174" ca="1">_xlfn.SINGLE(IF($A174="S",IF(CAIXA.Modo,BM.AFAcumulado,BM.MEDAcumulado),IF(AND(_xlfn.SINGLE(RegimeExecucao)="Global",$I174&gt;0,COUNTIF($AB$13:$AM$13,BM.medicao)&gt;0),O174/$I174*100,0)))</f>
        <v>#NAME?</v>
      </c>
      <c r="M174" s="336">
        <f ca="1">IF($A174="S",VTOTALBM,IF($A174=0,0,ROUND(SomaAgrupBM,15-13*ORÇAMENTO!$AF$11)))</f>
        <v>0</v>
      </c>
      <c r="N174" s="337">
        <f t="shared" ca="1" si="18"/>
        <v>0</v>
      </c>
      <c r="O174" s="126">
        <f ca="1">IF($A174="S",VTOTALBM,IF($A174=0,0,ROUND(SomaAgrupBM,15-13*ORÇAMENTO!$AF$11)))</f>
        <v>0</v>
      </c>
      <c r="Q174" s="338"/>
      <c r="R174" s="339"/>
      <c r="T174" s="118" t="str">
        <f t="shared" ca="1" si="19"/>
        <v/>
      </c>
      <c r="U174" s="164" t="str">
        <f t="shared" ca="1" si="20"/>
        <v/>
      </c>
      <c r="V174" s="165" t="str">
        <f ca="1">IF(AND($W174&gt;0,RegimeExecucao="Unitário"),$F174,"")</f>
        <v/>
      </c>
      <c r="W174" s="455">
        <f ca="1">IF($Y174&gt;0,CHOOSE(MATCH(RegimeExecucao,{"Unitário","Global"},0),IF($A174="S",$Y174/$X174,""),($Y174/$X174)*100),0)</f>
        <v>0</v>
      </c>
      <c r="X174" s="340" t="str">
        <f ca="1">IF($Y174&gt;0,CHOOSE(MATCH(RegimeExecucao,{"Unitário","Global"},0),IF($A174="S",ROUND($H174,ORÇAMENTO!$AF$10),""),ROUND($I174,ORÇAMENTO!$AF$11)),"")</f>
        <v/>
      </c>
      <c r="Y174" s="340">
        <f t="shared" ca="1" si="21"/>
        <v>0</v>
      </c>
      <c r="Z174" s="474"/>
      <c r="AB174" s="338"/>
      <c r="AC174" s="438"/>
      <c r="AD174" s="438"/>
      <c r="AE174" s="438"/>
      <c r="AF174" s="438"/>
      <c r="AG174" s="438"/>
      <c r="AH174" s="438"/>
      <c r="AI174" s="438"/>
      <c r="AJ174" s="438"/>
      <c r="AK174" s="438"/>
      <c r="AL174" s="438"/>
      <c r="AM174" s="339"/>
      <c r="AO174">
        <f ca="1">IF($A174="S",IF(BM!$I174=0,0,CHOOSE(MATCH(RegimeExecucao,{"Global","Unitário"},0),ROUND(ROUND(BM.MEDAcumulado,15-13*BM!$A$9)/100*BM!$I174,15-13*ORÇAMENTO!$AF$11),ROUND(ROUND(BM.MEDAcumulado,15-13*BM!$A$9)*ROUND(BM!$H174,15-13*ORÇAMENTO!$AF$10),15-13*ORÇAMENTO!$AF$11))),IF($A174=0,0,ROUND(SomaAgrupBM,15-13*ORÇAMENTO!$AF$11)))</f>
        <v>0</v>
      </c>
    </row>
    <row r="175" spans="1:41" ht="25.5" x14ac:dyDescent="0.2">
      <c r="A175" t="str">
        <f ca="1">ORÇAMENTO!C175</f>
        <v>S</v>
      </c>
      <c r="B175">
        <f ca="1">ORÇAMENTO!D175</f>
        <v>0</v>
      </c>
      <c r="C175" s="115" t="str">
        <f t="shared" ca="1" si="15"/>
        <v/>
      </c>
      <c r="D175" s="118" t="str">
        <f ca="1">ORÇAMENTO!O175</f>
        <v>-</v>
      </c>
      <c r="E175" s="164" t="str">
        <f t="shared" si="16"/>
        <v>HIDRÔMETRO DN 3/4", 5,0 M3/H - FORNECIMENTO E INSTALAÇÃO. AF_03/2024</v>
      </c>
      <c r="F175" s="165" t="str">
        <f ca="1">IF(RegimeExecucao="Global","",ORÇAMENTO.Unidade)</f>
        <v>UN</v>
      </c>
      <c r="G175" s="123">
        <f ca="1">IF(RegimeExecucao="Global","",ORÇAMENTO!T175)</f>
        <v>1</v>
      </c>
      <c r="H175" s="123">
        <f ca="1">IF(RegimeExecucao="Global","",ORÇAMENTO!W175)</f>
        <v>0</v>
      </c>
      <c r="I175" s="126">
        <f ca="1">ORÇAMENTO!X175</f>
        <v>0</v>
      </c>
      <c r="J175" s="334" t="e" cm="1">
        <f t="array" aca="1" ref="J175" ca="1">_xlfn.SINGLE(IF($A175="S",IF(CAIXA.Modo,BM.AFAnterior,BM.MEDAnterior),IF(AND(_xlfn.SINGLE(RegimeExecucao)="Global",$I175&gt;0,COUNTIF($AB$13:$AM$13,BM.medicao-1)&gt;0),M175/$I175*100,0)))</f>
        <v>#NAME?</v>
      </c>
      <c r="K175" s="123" t="e">
        <f t="shared" ca="1" si="17"/>
        <v>#NAME?</v>
      </c>
      <c r="L175" s="335" t="e" cm="1">
        <f t="array" aca="1" ref="L175" ca="1">_xlfn.SINGLE(IF($A175="S",IF(CAIXA.Modo,BM.AFAcumulado,BM.MEDAcumulado),IF(AND(_xlfn.SINGLE(RegimeExecucao)="Global",$I175&gt;0,COUNTIF($AB$13:$AM$13,BM.medicao)&gt;0),O175/$I175*100,0)))</f>
        <v>#NAME?</v>
      </c>
      <c r="M175" s="336">
        <f ca="1">IF($A175="S",VTOTALBM,IF($A175=0,0,ROUND(SomaAgrupBM,15-13*ORÇAMENTO!$AF$11)))</f>
        <v>0</v>
      </c>
      <c r="N175" s="337">
        <f t="shared" ca="1" si="18"/>
        <v>0</v>
      </c>
      <c r="O175" s="126">
        <f ca="1">IF($A175="S",VTOTALBM,IF($A175=0,0,ROUND(SomaAgrupBM,15-13*ORÇAMENTO!$AF$11)))</f>
        <v>0</v>
      </c>
      <c r="Q175" s="338"/>
      <c r="R175" s="339"/>
      <c r="T175" s="118" t="str">
        <f t="shared" ca="1" si="19"/>
        <v/>
      </c>
      <c r="U175" s="164" t="str">
        <f t="shared" ca="1" si="20"/>
        <v/>
      </c>
      <c r="V175" s="165" t="str">
        <f ca="1">IF(AND($W175&gt;0,RegimeExecucao="Unitário"),$F175,"")</f>
        <v/>
      </c>
      <c r="W175" s="455">
        <f ca="1">IF($Y175&gt;0,CHOOSE(MATCH(RegimeExecucao,{"Unitário","Global"},0),IF($A175="S",$Y175/$X175,""),($Y175/$X175)*100),0)</f>
        <v>0</v>
      </c>
      <c r="X175" s="340" t="str">
        <f ca="1">IF($Y175&gt;0,CHOOSE(MATCH(RegimeExecucao,{"Unitário","Global"},0),IF($A175="S",ROUND($H175,ORÇAMENTO!$AF$10),""),ROUND($I175,ORÇAMENTO!$AF$11)),"")</f>
        <v/>
      </c>
      <c r="Y175" s="340">
        <f t="shared" ca="1" si="21"/>
        <v>0</v>
      </c>
      <c r="Z175" s="474"/>
      <c r="AB175" s="338"/>
      <c r="AC175" s="438"/>
      <c r="AD175" s="438"/>
      <c r="AE175" s="438"/>
      <c r="AF175" s="438"/>
      <c r="AG175" s="438"/>
      <c r="AH175" s="438"/>
      <c r="AI175" s="438"/>
      <c r="AJ175" s="438"/>
      <c r="AK175" s="438"/>
      <c r="AL175" s="438"/>
      <c r="AM175" s="339"/>
      <c r="AO175">
        <f ca="1">IF($A175="S",IF(BM!$I175=0,0,CHOOSE(MATCH(RegimeExecucao,{"Global","Unitário"},0),ROUND(ROUND(BM.MEDAcumulado,15-13*BM!$A$9)/100*BM!$I175,15-13*ORÇAMENTO!$AF$11),ROUND(ROUND(BM.MEDAcumulado,15-13*BM!$A$9)*ROUND(BM!$H175,15-13*ORÇAMENTO!$AF$10),15-13*ORÇAMENTO!$AF$11))),IF($A175=0,0,ROUND(SomaAgrupBM,15-13*ORÇAMENTO!$AF$11)))</f>
        <v>0</v>
      </c>
    </row>
    <row r="176" spans="1:41" ht="38.25" x14ac:dyDescent="0.2">
      <c r="A176" t="str">
        <f ca="1">ORÇAMENTO!C176</f>
        <v>S</v>
      </c>
      <c r="B176">
        <f ca="1">ORÇAMENTO!D176</f>
        <v>0</v>
      </c>
      <c r="C176" s="115" t="str">
        <f t="shared" ca="1" si="15"/>
        <v/>
      </c>
      <c r="D176" s="118" t="str">
        <f ca="1">ORÇAMENTO!O176</f>
        <v>-</v>
      </c>
      <c r="E176" s="164" t="str">
        <f t="shared" si="16"/>
        <v>KIT CAVALETE PARA MEDIÇÃO DE ÁGUA - ENTRADA PRINCIPAL, EM PVC 25 MM (3/4") - FORNECIMENTO E INSTALAÇÃO (EXCLUSIVE HIDRÔMETRO). AF_03/2024</v>
      </c>
      <c r="F176" s="165" t="str">
        <f ca="1">IF(RegimeExecucao="Global","",ORÇAMENTO.Unidade)</f>
        <v>UN</v>
      </c>
      <c r="G176" s="123">
        <f ca="1">IF(RegimeExecucao="Global","",ORÇAMENTO!T176)</f>
        <v>1</v>
      </c>
      <c r="H176" s="123">
        <f ca="1">IF(RegimeExecucao="Global","",ORÇAMENTO!W176)</f>
        <v>0</v>
      </c>
      <c r="I176" s="126">
        <f ca="1">ORÇAMENTO!X176</f>
        <v>0</v>
      </c>
      <c r="J176" s="334" t="e" cm="1">
        <f t="array" aca="1" ref="J176" ca="1">_xlfn.SINGLE(IF($A176="S",IF(CAIXA.Modo,BM.AFAnterior,BM.MEDAnterior),IF(AND(_xlfn.SINGLE(RegimeExecucao)="Global",$I176&gt;0,COUNTIF($AB$13:$AM$13,BM.medicao-1)&gt;0),M176/$I176*100,0)))</f>
        <v>#NAME?</v>
      </c>
      <c r="K176" s="123" t="e">
        <f t="shared" ca="1" si="17"/>
        <v>#NAME?</v>
      </c>
      <c r="L176" s="335" t="e" cm="1">
        <f t="array" aca="1" ref="L176" ca="1">_xlfn.SINGLE(IF($A176="S",IF(CAIXA.Modo,BM.AFAcumulado,BM.MEDAcumulado),IF(AND(_xlfn.SINGLE(RegimeExecucao)="Global",$I176&gt;0,COUNTIF($AB$13:$AM$13,BM.medicao)&gt;0),O176/$I176*100,0)))</f>
        <v>#NAME?</v>
      </c>
      <c r="M176" s="336">
        <f ca="1">IF($A176="S",VTOTALBM,IF($A176=0,0,ROUND(SomaAgrupBM,15-13*ORÇAMENTO!$AF$11)))</f>
        <v>0</v>
      </c>
      <c r="N176" s="337">
        <f t="shared" ca="1" si="18"/>
        <v>0</v>
      </c>
      <c r="O176" s="126">
        <f ca="1">IF($A176="S",VTOTALBM,IF($A176=0,0,ROUND(SomaAgrupBM,15-13*ORÇAMENTO!$AF$11)))</f>
        <v>0</v>
      </c>
      <c r="Q176" s="338"/>
      <c r="R176" s="339"/>
      <c r="T176" s="118" t="str">
        <f t="shared" ca="1" si="19"/>
        <v/>
      </c>
      <c r="U176" s="164" t="str">
        <f t="shared" ca="1" si="20"/>
        <v/>
      </c>
      <c r="V176" s="165" t="str">
        <f ca="1">IF(AND($W176&gt;0,RegimeExecucao="Unitário"),$F176,"")</f>
        <v/>
      </c>
      <c r="W176" s="455">
        <f ca="1">IF($Y176&gt;0,CHOOSE(MATCH(RegimeExecucao,{"Unitário","Global"},0),IF($A176="S",$Y176/$X176,""),($Y176/$X176)*100),0)</f>
        <v>0</v>
      </c>
      <c r="X176" s="340" t="str">
        <f ca="1">IF($Y176&gt;0,CHOOSE(MATCH(RegimeExecucao,{"Unitário","Global"},0),IF($A176="S",ROUND($H176,ORÇAMENTO!$AF$10),""),ROUND($I176,ORÇAMENTO!$AF$11)),"")</f>
        <v/>
      </c>
      <c r="Y176" s="340">
        <f t="shared" ca="1" si="21"/>
        <v>0</v>
      </c>
      <c r="Z176" s="474"/>
      <c r="AB176" s="338"/>
      <c r="AC176" s="438"/>
      <c r="AD176" s="438"/>
      <c r="AE176" s="438"/>
      <c r="AF176" s="438"/>
      <c r="AG176" s="438"/>
      <c r="AH176" s="438"/>
      <c r="AI176" s="438"/>
      <c r="AJ176" s="438"/>
      <c r="AK176" s="438"/>
      <c r="AL176" s="438"/>
      <c r="AM176" s="339"/>
      <c r="AO176">
        <f ca="1">IF($A176="S",IF(BM!$I176=0,0,CHOOSE(MATCH(RegimeExecucao,{"Global","Unitário"},0),ROUND(ROUND(BM.MEDAcumulado,15-13*BM!$A$9)/100*BM!$I176,15-13*ORÇAMENTO!$AF$11),ROUND(ROUND(BM.MEDAcumulado,15-13*BM!$A$9)*ROUND(BM!$H176,15-13*ORÇAMENTO!$AF$10),15-13*ORÇAMENTO!$AF$11))),IF($A176=0,0,ROUND(SomaAgrupBM,15-13*ORÇAMENTO!$AF$11)))</f>
        <v>0</v>
      </c>
    </row>
    <row r="177" spans="1:41" ht="38.25" x14ac:dyDescent="0.2">
      <c r="A177" t="str">
        <f ca="1">ORÇAMENTO!C177</f>
        <v>S</v>
      </c>
      <c r="B177">
        <f ca="1">ORÇAMENTO!D177</f>
        <v>0</v>
      </c>
      <c r="C177" s="115" t="str">
        <f t="shared" ca="1" si="15"/>
        <v/>
      </c>
      <c r="D177" s="118" t="str">
        <f ca="1">ORÇAMENTO!O177</f>
        <v>-</v>
      </c>
      <c r="E177" s="164" t="str">
        <f t="shared" si="16"/>
        <v>LUVA COM BUCHA DE LATÃO, PVC, SOLDÁVEL, DN 25MM X 3/4 , INSTALADO EM RAMAL OU SUB-RAMAL DE ÁGUA - FORNECIMENTO E INSTALAÇÃO. AF_06/2022</v>
      </c>
      <c r="F177" s="165" t="str">
        <f ca="1">IF(RegimeExecucao="Global","",ORÇAMENTO.Unidade)</f>
        <v>UN</v>
      </c>
      <c r="G177" s="123">
        <f ca="1">IF(RegimeExecucao="Global","",ORÇAMENTO!T177)</f>
        <v>9</v>
      </c>
      <c r="H177" s="123">
        <f ca="1">IF(RegimeExecucao="Global","",ORÇAMENTO!W177)</f>
        <v>0</v>
      </c>
      <c r="I177" s="126">
        <f ca="1">ORÇAMENTO!X177</f>
        <v>0</v>
      </c>
      <c r="J177" s="334" t="e" cm="1">
        <f t="array" aca="1" ref="J177" ca="1">_xlfn.SINGLE(IF($A177="S",IF(CAIXA.Modo,BM.AFAnterior,BM.MEDAnterior),IF(AND(_xlfn.SINGLE(RegimeExecucao)="Global",$I177&gt;0,COUNTIF($AB$13:$AM$13,BM.medicao-1)&gt;0),M177/$I177*100,0)))</f>
        <v>#NAME?</v>
      </c>
      <c r="K177" s="123" t="e">
        <f t="shared" ca="1" si="17"/>
        <v>#NAME?</v>
      </c>
      <c r="L177" s="335" t="e" cm="1">
        <f t="array" aca="1" ref="L177" ca="1">_xlfn.SINGLE(IF($A177="S",IF(CAIXA.Modo,BM.AFAcumulado,BM.MEDAcumulado),IF(AND(_xlfn.SINGLE(RegimeExecucao)="Global",$I177&gt;0,COUNTIF($AB$13:$AM$13,BM.medicao)&gt;0),O177/$I177*100,0)))</f>
        <v>#NAME?</v>
      </c>
      <c r="M177" s="336">
        <f ca="1">IF($A177="S",VTOTALBM,IF($A177=0,0,ROUND(SomaAgrupBM,15-13*ORÇAMENTO!$AF$11)))</f>
        <v>0</v>
      </c>
      <c r="N177" s="337">
        <f t="shared" ca="1" si="18"/>
        <v>0</v>
      </c>
      <c r="O177" s="126">
        <f ca="1">IF($A177="S",VTOTALBM,IF($A177=0,0,ROUND(SomaAgrupBM,15-13*ORÇAMENTO!$AF$11)))</f>
        <v>0</v>
      </c>
      <c r="Q177" s="338"/>
      <c r="R177" s="339"/>
      <c r="T177" s="118" t="str">
        <f t="shared" ca="1" si="19"/>
        <v/>
      </c>
      <c r="U177" s="164" t="str">
        <f t="shared" ca="1" si="20"/>
        <v/>
      </c>
      <c r="V177" s="165" t="str">
        <f ca="1">IF(AND($W177&gt;0,RegimeExecucao="Unitário"),$F177,"")</f>
        <v/>
      </c>
      <c r="W177" s="455">
        <f ca="1">IF($Y177&gt;0,CHOOSE(MATCH(RegimeExecucao,{"Unitário","Global"},0),IF($A177="S",$Y177/$X177,""),($Y177/$X177)*100),0)</f>
        <v>0</v>
      </c>
      <c r="X177" s="340" t="str">
        <f ca="1">IF($Y177&gt;0,CHOOSE(MATCH(RegimeExecucao,{"Unitário","Global"},0),IF($A177="S",ROUND($H177,ORÇAMENTO!$AF$10),""),ROUND($I177,ORÇAMENTO!$AF$11)),"")</f>
        <v/>
      </c>
      <c r="Y177" s="340">
        <f t="shared" ca="1" si="21"/>
        <v>0</v>
      </c>
      <c r="Z177" s="474"/>
      <c r="AB177" s="338"/>
      <c r="AC177" s="438"/>
      <c r="AD177" s="438"/>
      <c r="AE177" s="438"/>
      <c r="AF177" s="438"/>
      <c r="AG177" s="438"/>
      <c r="AH177" s="438"/>
      <c r="AI177" s="438"/>
      <c r="AJ177" s="438"/>
      <c r="AK177" s="438"/>
      <c r="AL177" s="438"/>
      <c r="AM177" s="339"/>
      <c r="AO177">
        <f ca="1">IF($A177="S",IF(BM!$I177=0,0,CHOOSE(MATCH(RegimeExecucao,{"Global","Unitário"},0),ROUND(ROUND(BM.MEDAcumulado,15-13*BM!$A$9)/100*BM!$I177,15-13*ORÇAMENTO!$AF$11),ROUND(ROUND(BM.MEDAcumulado,15-13*BM!$A$9)*ROUND(BM!$H177,15-13*ORÇAMENTO!$AF$10),15-13*ORÇAMENTO!$AF$11))),IF($A177=0,0,ROUND(SomaAgrupBM,15-13*ORÇAMENTO!$AF$11)))</f>
        <v>0</v>
      </c>
    </row>
    <row r="178" spans="1:41" ht="38.25" x14ac:dyDescent="0.2">
      <c r="A178" t="str">
        <f ca="1">ORÇAMENTO!C178</f>
        <v>S</v>
      </c>
      <c r="B178">
        <f ca="1">ORÇAMENTO!D178</f>
        <v>0</v>
      </c>
      <c r="C178" s="115" t="str">
        <f t="shared" ca="1" si="15"/>
        <v/>
      </c>
      <c r="D178" s="118" t="str">
        <f ca="1">ORÇAMENTO!O178</f>
        <v>-</v>
      </c>
      <c r="E178" s="164" t="str">
        <f t="shared" si="16"/>
        <v>BUCHA DE REDUÇÃO, CURTA, PVC, SOLDÁVEL, DN 32 X 25 MM, INSTALADO EM RAMAL OU SUB-RAMAL DE ÁGUA - FORNECIMENTO E INSTALAÇÃO. AF_06/2022</v>
      </c>
      <c r="F178" s="165" t="str">
        <f ca="1">IF(RegimeExecucao="Global","",ORÇAMENTO.Unidade)</f>
        <v>UN</v>
      </c>
      <c r="G178" s="123">
        <f ca="1">IF(RegimeExecucao="Global","",ORÇAMENTO!T178)</f>
        <v>9</v>
      </c>
      <c r="H178" s="123">
        <f ca="1">IF(RegimeExecucao="Global","",ORÇAMENTO!W178)</f>
        <v>0</v>
      </c>
      <c r="I178" s="126">
        <f ca="1">ORÇAMENTO!X178</f>
        <v>0</v>
      </c>
      <c r="J178" s="334" t="e" cm="1">
        <f t="array" aca="1" ref="J178" ca="1">_xlfn.SINGLE(IF($A178="S",IF(CAIXA.Modo,BM.AFAnterior,BM.MEDAnterior),IF(AND(_xlfn.SINGLE(RegimeExecucao)="Global",$I178&gt;0,COUNTIF($AB$13:$AM$13,BM.medicao-1)&gt;0),M178/$I178*100,0)))</f>
        <v>#NAME?</v>
      </c>
      <c r="K178" s="123" t="e">
        <f t="shared" ca="1" si="17"/>
        <v>#NAME?</v>
      </c>
      <c r="L178" s="335" t="e" cm="1">
        <f t="array" aca="1" ref="L178" ca="1">_xlfn.SINGLE(IF($A178="S",IF(CAIXA.Modo,BM.AFAcumulado,BM.MEDAcumulado),IF(AND(_xlfn.SINGLE(RegimeExecucao)="Global",$I178&gt;0,COUNTIF($AB$13:$AM$13,BM.medicao)&gt;0),O178/$I178*100,0)))</f>
        <v>#NAME?</v>
      </c>
      <c r="M178" s="336">
        <f ca="1">IF($A178="S",VTOTALBM,IF($A178=0,0,ROUND(SomaAgrupBM,15-13*ORÇAMENTO!$AF$11)))</f>
        <v>0</v>
      </c>
      <c r="N178" s="337">
        <f t="shared" ca="1" si="18"/>
        <v>0</v>
      </c>
      <c r="O178" s="126">
        <f ca="1">IF($A178="S",VTOTALBM,IF($A178=0,0,ROUND(SomaAgrupBM,15-13*ORÇAMENTO!$AF$11)))</f>
        <v>0</v>
      </c>
      <c r="Q178" s="338"/>
      <c r="R178" s="339"/>
      <c r="T178" s="118" t="str">
        <f t="shared" ca="1" si="19"/>
        <v/>
      </c>
      <c r="U178" s="164" t="str">
        <f t="shared" ca="1" si="20"/>
        <v/>
      </c>
      <c r="V178" s="165" t="str">
        <f ca="1">IF(AND($W178&gt;0,RegimeExecucao="Unitário"),$F178,"")</f>
        <v/>
      </c>
      <c r="W178" s="455">
        <f ca="1">IF($Y178&gt;0,CHOOSE(MATCH(RegimeExecucao,{"Unitário","Global"},0),IF($A178="S",$Y178/$X178,""),($Y178/$X178)*100),0)</f>
        <v>0</v>
      </c>
      <c r="X178" s="340" t="str">
        <f ca="1">IF($Y178&gt;0,CHOOSE(MATCH(RegimeExecucao,{"Unitário","Global"},0),IF($A178="S",ROUND($H178,ORÇAMENTO!$AF$10),""),ROUND($I178,ORÇAMENTO!$AF$11)),"")</f>
        <v/>
      </c>
      <c r="Y178" s="340">
        <f t="shared" ca="1" si="21"/>
        <v>0</v>
      </c>
      <c r="Z178" s="474"/>
      <c r="AB178" s="338"/>
      <c r="AC178" s="438"/>
      <c r="AD178" s="438"/>
      <c r="AE178" s="438"/>
      <c r="AF178" s="438"/>
      <c r="AG178" s="438"/>
      <c r="AH178" s="438"/>
      <c r="AI178" s="438"/>
      <c r="AJ178" s="438"/>
      <c r="AK178" s="438"/>
      <c r="AL178" s="438"/>
      <c r="AM178" s="339"/>
      <c r="AO178">
        <f ca="1">IF($A178="S",IF(BM!$I178=0,0,CHOOSE(MATCH(RegimeExecucao,{"Global","Unitário"},0),ROUND(ROUND(BM.MEDAcumulado,15-13*BM!$A$9)/100*BM!$I178,15-13*ORÇAMENTO!$AF$11),ROUND(ROUND(BM.MEDAcumulado,15-13*BM!$A$9)*ROUND(BM!$H178,15-13*ORÇAMENTO!$AF$10),15-13*ORÇAMENTO!$AF$11))),IF($A178=0,0,ROUND(SomaAgrupBM,15-13*ORÇAMENTO!$AF$11)))</f>
        <v>0</v>
      </c>
    </row>
    <row r="179" spans="1:41" ht="38.25" x14ac:dyDescent="0.2">
      <c r="A179" t="str">
        <f ca="1">ORÇAMENTO!C179</f>
        <v>S</v>
      </c>
      <c r="B179">
        <f ca="1">ORÇAMENTO!D179</f>
        <v>0</v>
      </c>
      <c r="C179" s="115" t="str">
        <f t="shared" ca="1" si="15"/>
        <v/>
      </c>
      <c r="D179" s="118" t="str">
        <f ca="1">ORÇAMENTO!O179</f>
        <v>-</v>
      </c>
      <c r="E179" s="164" t="str">
        <f t="shared" si="16"/>
        <v>BUCHA DE REDUÇÃO, CURTA, PVC, SOLDÁVEL, DN 50 X 40 MM, INSTALADO EM RAMAL DE DISTRIBUIÇÃO DE ÁGUA - FORNECIMENTO E INSTALAÇÃO. AF_06/2022</v>
      </c>
      <c r="F179" s="165" t="str">
        <f ca="1">IF(RegimeExecucao="Global","",ORÇAMENTO.Unidade)</f>
        <v>UN</v>
      </c>
      <c r="G179" s="123">
        <f ca="1">IF(RegimeExecucao="Global","",ORÇAMENTO!T179)</f>
        <v>4</v>
      </c>
      <c r="H179" s="123">
        <f ca="1">IF(RegimeExecucao="Global","",ORÇAMENTO!W179)</f>
        <v>0</v>
      </c>
      <c r="I179" s="126">
        <f ca="1">ORÇAMENTO!X179</f>
        <v>0</v>
      </c>
      <c r="J179" s="334" t="e" cm="1">
        <f t="array" aca="1" ref="J179" ca="1">_xlfn.SINGLE(IF($A179="S",IF(CAIXA.Modo,BM.AFAnterior,BM.MEDAnterior),IF(AND(_xlfn.SINGLE(RegimeExecucao)="Global",$I179&gt;0,COUNTIF($AB$13:$AM$13,BM.medicao-1)&gt;0),M179/$I179*100,0)))</f>
        <v>#NAME?</v>
      </c>
      <c r="K179" s="123" t="e">
        <f t="shared" ca="1" si="17"/>
        <v>#NAME?</v>
      </c>
      <c r="L179" s="335" t="e" cm="1">
        <f t="array" aca="1" ref="L179" ca="1">_xlfn.SINGLE(IF($A179="S",IF(CAIXA.Modo,BM.AFAcumulado,BM.MEDAcumulado),IF(AND(_xlfn.SINGLE(RegimeExecucao)="Global",$I179&gt;0,COUNTIF($AB$13:$AM$13,BM.medicao)&gt;0),O179/$I179*100,0)))</f>
        <v>#NAME?</v>
      </c>
      <c r="M179" s="336">
        <f ca="1">IF($A179="S",VTOTALBM,IF($A179=0,0,ROUND(SomaAgrupBM,15-13*ORÇAMENTO!$AF$11)))</f>
        <v>0</v>
      </c>
      <c r="N179" s="337">
        <f t="shared" ca="1" si="18"/>
        <v>0</v>
      </c>
      <c r="O179" s="126">
        <f ca="1">IF($A179="S",VTOTALBM,IF($A179=0,0,ROUND(SomaAgrupBM,15-13*ORÇAMENTO!$AF$11)))</f>
        <v>0</v>
      </c>
      <c r="Q179" s="338"/>
      <c r="R179" s="339"/>
      <c r="T179" s="118" t="str">
        <f t="shared" ca="1" si="19"/>
        <v/>
      </c>
      <c r="U179" s="164" t="str">
        <f t="shared" ca="1" si="20"/>
        <v/>
      </c>
      <c r="V179" s="165" t="str">
        <f ca="1">IF(AND($W179&gt;0,RegimeExecucao="Unitário"),$F179,"")</f>
        <v/>
      </c>
      <c r="W179" s="455">
        <f ca="1">IF($Y179&gt;0,CHOOSE(MATCH(RegimeExecucao,{"Unitário","Global"},0),IF($A179="S",$Y179/$X179,""),($Y179/$X179)*100),0)</f>
        <v>0</v>
      </c>
      <c r="X179" s="340" t="str">
        <f ca="1">IF($Y179&gt;0,CHOOSE(MATCH(RegimeExecucao,{"Unitário","Global"},0),IF($A179="S",ROUND($H179,ORÇAMENTO!$AF$10),""),ROUND($I179,ORÇAMENTO!$AF$11)),"")</f>
        <v/>
      </c>
      <c r="Y179" s="340">
        <f t="shared" ca="1" si="21"/>
        <v>0</v>
      </c>
      <c r="Z179" s="474"/>
      <c r="AB179" s="338"/>
      <c r="AC179" s="438"/>
      <c r="AD179" s="438"/>
      <c r="AE179" s="438"/>
      <c r="AF179" s="438"/>
      <c r="AG179" s="438"/>
      <c r="AH179" s="438"/>
      <c r="AI179" s="438"/>
      <c r="AJ179" s="438"/>
      <c r="AK179" s="438"/>
      <c r="AL179" s="438"/>
      <c r="AM179" s="339"/>
      <c r="AO179">
        <f ca="1">IF($A179="S",IF(BM!$I179=0,0,CHOOSE(MATCH(RegimeExecucao,{"Global","Unitário"},0),ROUND(ROUND(BM.MEDAcumulado,15-13*BM!$A$9)/100*BM!$I179,15-13*ORÇAMENTO!$AF$11),ROUND(ROUND(BM.MEDAcumulado,15-13*BM!$A$9)*ROUND(BM!$H179,15-13*ORÇAMENTO!$AF$10),15-13*ORÇAMENTO!$AF$11))),IF($A179=0,0,ROUND(SomaAgrupBM,15-13*ORÇAMENTO!$AF$11)))</f>
        <v>0</v>
      </c>
    </row>
    <row r="180" spans="1:41" ht="38.25" x14ac:dyDescent="0.2">
      <c r="A180" t="str">
        <f ca="1">ORÇAMENTO!C180</f>
        <v>S</v>
      </c>
      <c r="B180">
        <f ca="1">ORÇAMENTO!D180</f>
        <v>0</v>
      </c>
      <c r="C180" s="115" t="str">
        <f t="shared" ca="1" si="15"/>
        <v/>
      </c>
      <c r="D180" s="118" t="str">
        <f ca="1">ORÇAMENTO!O180</f>
        <v>-</v>
      </c>
      <c r="E180" s="164" t="str">
        <f t="shared" si="16"/>
        <v>BUCHA DE REDUÇÃO, LONGA, PVC, SOLDÁVEL, DN 40 X 25 MM, INSTALADO EM PRUMADA DE ÁGUA - FORNECIMENTO E INSTALAÇÃO. AF_06/2022</v>
      </c>
      <c r="F180" s="165" t="str">
        <f ca="1">IF(RegimeExecucao="Global","",ORÇAMENTO.Unidade)</f>
        <v>UN</v>
      </c>
      <c r="G180" s="123">
        <f ca="1">IF(RegimeExecucao="Global","",ORÇAMENTO!T180)</f>
        <v>3</v>
      </c>
      <c r="H180" s="123">
        <f ca="1">IF(RegimeExecucao="Global","",ORÇAMENTO!W180)</f>
        <v>0</v>
      </c>
      <c r="I180" s="126">
        <f ca="1">ORÇAMENTO!X180</f>
        <v>0</v>
      </c>
      <c r="J180" s="334" t="e" cm="1">
        <f t="array" aca="1" ref="J180" ca="1">_xlfn.SINGLE(IF($A180="S",IF(CAIXA.Modo,BM.AFAnterior,BM.MEDAnterior),IF(AND(_xlfn.SINGLE(RegimeExecucao)="Global",$I180&gt;0,COUNTIF($AB$13:$AM$13,BM.medicao-1)&gt;0),M180/$I180*100,0)))</f>
        <v>#NAME?</v>
      </c>
      <c r="K180" s="123" t="e">
        <f t="shared" ca="1" si="17"/>
        <v>#NAME?</v>
      </c>
      <c r="L180" s="335" t="e" cm="1">
        <f t="array" aca="1" ref="L180" ca="1">_xlfn.SINGLE(IF($A180="S",IF(CAIXA.Modo,BM.AFAcumulado,BM.MEDAcumulado),IF(AND(_xlfn.SINGLE(RegimeExecucao)="Global",$I180&gt;0,COUNTIF($AB$13:$AM$13,BM.medicao)&gt;0),O180/$I180*100,0)))</f>
        <v>#NAME?</v>
      </c>
      <c r="M180" s="336">
        <f ca="1">IF($A180="S",VTOTALBM,IF($A180=0,0,ROUND(SomaAgrupBM,15-13*ORÇAMENTO!$AF$11)))</f>
        <v>0</v>
      </c>
      <c r="N180" s="337">
        <f t="shared" ca="1" si="18"/>
        <v>0</v>
      </c>
      <c r="O180" s="126">
        <f ca="1">IF($A180="S",VTOTALBM,IF($A180=0,0,ROUND(SomaAgrupBM,15-13*ORÇAMENTO!$AF$11)))</f>
        <v>0</v>
      </c>
      <c r="Q180" s="338"/>
      <c r="R180" s="339"/>
      <c r="T180" s="118" t="str">
        <f t="shared" ca="1" si="19"/>
        <v/>
      </c>
      <c r="U180" s="164" t="str">
        <f t="shared" ca="1" si="20"/>
        <v/>
      </c>
      <c r="V180" s="165" t="str">
        <f ca="1">IF(AND($W180&gt;0,RegimeExecucao="Unitário"),$F180,"")</f>
        <v/>
      </c>
      <c r="W180" s="455">
        <f ca="1">IF($Y180&gt;0,CHOOSE(MATCH(RegimeExecucao,{"Unitário","Global"},0),IF($A180="S",$Y180/$X180,""),($Y180/$X180)*100),0)</f>
        <v>0</v>
      </c>
      <c r="X180" s="340" t="str">
        <f ca="1">IF($Y180&gt;0,CHOOSE(MATCH(RegimeExecucao,{"Unitário","Global"},0),IF($A180="S",ROUND($H180,ORÇAMENTO!$AF$10),""),ROUND($I180,ORÇAMENTO!$AF$11)),"")</f>
        <v/>
      </c>
      <c r="Y180" s="340">
        <f t="shared" ca="1" si="21"/>
        <v>0</v>
      </c>
      <c r="Z180" s="474"/>
      <c r="AB180" s="338"/>
      <c r="AC180" s="438"/>
      <c r="AD180" s="438"/>
      <c r="AE180" s="438"/>
      <c r="AF180" s="438"/>
      <c r="AG180" s="438"/>
      <c r="AH180" s="438"/>
      <c r="AI180" s="438"/>
      <c r="AJ180" s="438"/>
      <c r="AK180" s="438"/>
      <c r="AL180" s="438"/>
      <c r="AM180" s="339"/>
      <c r="AO180">
        <f ca="1">IF($A180="S",IF(BM!$I180=0,0,CHOOSE(MATCH(RegimeExecucao,{"Global","Unitário"},0),ROUND(ROUND(BM.MEDAcumulado,15-13*BM!$A$9)/100*BM!$I180,15-13*ORÇAMENTO!$AF$11),ROUND(ROUND(BM.MEDAcumulado,15-13*BM!$A$9)*ROUND(BM!$H180,15-13*ORÇAMENTO!$AF$10),15-13*ORÇAMENTO!$AF$11))),IF($A180=0,0,ROUND(SomaAgrupBM,15-13*ORÇAMENTO!$AF$11)))</f>
        <v>0</v>
      </c>
    </row>
    <row r="181" spans="1:41" ht="38.25" x14ac:dyDescent="0.2">
      <c r="A181" t="str">
        <f ca="1">ORÇAMENTO!C181</f>
        <v>S</v>
      </c>
      <c r="B181">
        <f ca="1">ORÇAMENTO!D181</f>
        <v>0</v>
      </c>
      <c r="C181" s="115" t="str">
        <f t="shared" ca="1" si="15"/>
        <v/>
      </c>
      <c r="D181" s="118" t="str">
        <f ca="1">ORÇAMENTO!O181</f>
        <v>-</v>
      </c>
      <c r="E181" s="164" t="str">
        <f t="shared" si="16"/>
        <v>BUCHA DE REDUÇÃO, LONGA, PVC, SOLDÁVEL, DN 50 X 25 MM, INSTALADO EM PRUMADA DE ÁGUA - FORNECIMENTO E INSTALAÇÃO. AF_06/2022</v>
      </c>
      <c r="F181" s="165" t="str">
        <f ca="1">IF(RegimeExecucao="Global","",ORÇAMENTO.Unidade)</f>
        <v>UN</v>
      </c>
      <c r="G181" s="123">
        <f ca="1">IF(RegimeExecucao="Global","",ORÇAMENTO!T181)</f>
        <v>1</v>
      </c>
      <c r="H181" s="123">
        <f ca="1">IF(RegimeExecucao="Global","",ORÇAMENTO!W181)</f>
        <v>0</v>
      </c>
      <c r="I181" s="126">
        <f ca="1">ORÇAMENTO!X181</f>
        <v>0</v>
      </c>
      <c r="J181" s="334" t="e" cm="1">
        <f t="array" aca="1" ref="J181" ca="1">_xlfn.SINGLE(IF($A181="S",IF(CAIXA.Modo,BM.AFAnterior,BM.MEDAnterior),IF(AND(_xlfn.SINGLE(RegimeExecucao)="Global",$I181&gt;0,COUNTIF($AB$13:$AM$13,BM.medicao-1)&gt;0),M181/$I181*100,0)))</f>
        <v>#NAME?</v>
      </c>
      <c r="K181" s="123" t="e">
        <f t="shared" ca="1" si="17"/>
        <v>#NAME?</v>
      </c>
      <c r="L181" s="335" t="e" cm="1">
        <f t="array" aca="1" ref="L181" ca="1">_xlfn.SINGLE(IF($A181="S",IF(CAIXA.Modo,BM.AFAcumulado,BM.MEDAcumulado),IF(AND(_xlfn.SINGLE(RegimeExecucao)="Global",$I181&gt;0,COUNTIF($AB$13:$AM$13,BM.medicao)&gt;0),O181/$I181*100,0)))</f>
        <v>#NAME?</v>
      </c>
      <c r="M181" s="336">
        <f ca="1">IF($A181="S",VTOTALBM,IF($A181=0,0,ROUND(SomaAgrupBM,15-13*ORÇAMENTO!$AF$11)))</f>
        <v>0</v>
      </c>
      <c r="N181" s="337">
        <f t="shared" ca="1" si="18"/>
        <v>0</v>
      </c>
      <c r="O181" s="126">
        <f ca="1">IF($A181="S",VTOTALBM,IF($A181=0,0,ROUND(SomaAgrupBM,15-13*ORÇAMENTO!$AF$11)))</f>
        <v>0</v>
      </c>
      <c r="Q181" s="338"/>
      <c r="R181" s="339"/>
      <c r="T181" s="118" t="str">
        <f t="shared" ca="1" si="19"/>
        <v/>
      </c>
      <c r="U181" s="164" t="str">
        <f t="shared" ca="1" si="20"/>
        <v/>
      </c>
      <c r="V181" s="165" t="str">
        <f ca="1">IF(AND($W181&gt;0,RegimeExecucao="Unitário"),$F181,"")</f>
        <v/>
      </c>
      <c r="W181" s="455">
        <f ca="1">IF($Y181&gt;0,CHOOSE(MATCH(RegimeExecucao,{"Unitário","Global"},0),IF($A181="S",$Y181/$X181,""),($Y181/$X181)*100),0)</f>
        <v>0</v>
      </c>
      <c r="X181" s="340" t="str">
        <f ca="1">IF($Y181&gt;0,CHOOSE(MATCH(RegimeExecucao,{"Unitário","Global"},0),IF($A181="S",ROUND($H181,ORÇAMENTO!$AF$10),""),ROUND($I181,ORÇAMENTO!$AF$11)),"")</f>
        <v/>
      </c>
      <c r="Y181" s="340">
        <f t="shared" ca="1" si="21"/>
        <v>0</v>
      </c>
      <c r="Z181" s="474"/>
      <c r="AB181" s="338"/>
      <c r="AC181" s="438"/>
      <c r="AD181" s="438"/>
      <c r="AE181" s="438"/>
      <c r="AF181" s="438"/>
      <c r="AG181" s="438"/>
      <c r="AH181" s="438"/>
      <c r="AI181" s="438"/>
      <c r="AJ181" s="438"/>
      <c r="AK181" s="438"/>
      <c r="AL181" s="438"/>
      <c r="AM181" s="339"/>
      <c r="AO181">
        <f ca="1">IF($A181="S",IF(BM!$I181=0,0,CHOOSE(MATCH(RegimeExecucao,{"Global","Unitário"},0),ROUND(ROUND(BM.MEDAcumulado,15-13*BM!$A$9)/100*BM!$I181,15-13*ORÇAMENTO!$AF$11),ROUND(ROUND(BM.MEDAcumulado,15-13*BM!$A$9)*ROUND(BM!$H181,15-13*ORÇAMENTO!$AF$10),15-13*ORÇAMENTO!$AF$11))),IF($A181=0,0,ROUND(SomaAgrupBM,15-13*ORÇAMENTO!$AF$11)))</f>
        <v>0</v>
      </c>
    </row>
    <row r="182" spans="1:41" ht="38.25" x14ac:dyDescent="0.2">
      <c r="A182" t="str">
        <f ca="1">ORÇAMENTO!C182</f>
        <v>S</v>
      </c>
      <c r="B182">
        <f ca="1">ORÇAMENTO!D182</f>
        <v>0</v>
      </c>
      <c r="C182" s="115" t="str">
        <f t="shared" ca="1" si="15"/>
        <v/>
      </c>
      <c r="D182" s="118" t="str">
        <f ca="1">ORÇAMENTO!O182</f>
        <v>-</v>
      </c>
      <c r="E182" s="164" t="str">
        <f t="shared" si="16"/>
        <v>BUCHA DE REDUÇÃO , LONGA, PVC, SOLDÁVEL, DN 50 X 32 MM, INSTALADO EM RAMAL DE DISTRIBUIÇÃO DE ÁGUA - FORNECIMENTO E INSTALAÇÃO. AF_06/2022</v>
      </c>
      <c r="F182" s="165" t="str">
        <f ca="1">IF(RegimeExecucao="Global","",ORÇAMENTO.Unidade)</f>
        <v>UN</v>
      </c>
      <c r="G182" s="123">
        <f ca="1">IF(RegimeExecucao="Global","",ORÇAMENTO!T182)</f>
        <v>4</v>
      </c>
      <c r="H182" s="123">
        <f ca="1">IF(RegimeExecucao="Global","",ORÇAMENTO!W182)</f>
        <v>0</v>
      </c>
      <c r="I182" s="126">
        <f ca="1">ORÇAMENTO!X182</f>
        <v>0</v>
      </c>
      <c r="J182" s="334" t="e" cm="1">
        <f t="array" aca="1" ref="J182" ca="1">_xlfn.SINGLE(IF($A182="S",IF(CAIXA.Modo,BM.AFAnterior,BM.MEDAnterior),IF(AND(_xlfn.SINGLE(RegimeExecucao)="Global",$I182&gt;0,COUNTIF($AB$13:$AM$13,BM.medicao-1)&gt;0),M182/$I182*100,0)))</f>
        <v>#NAME?</v>
      </c>
      <c r="K182" s="123" t="e">
        <f t="shared" ca="1" si="17"/>
        <v>#NAME?</v>
      </c>
      <c r="L182" s="335" t="e" cm="1">
        <f t="array" aca="1" ref="L182" ca="1">_xlfn.SINGLE(IF($A182="S",IF(CAIXA.Modo,BM.AFAcumulado,BM.MEDAcumulado),IF(AND(_xlfn.SINGLE(RegimeExecucao)="Global",$I182&gt;0,COUNTIF($AB$13:$AM$13,BM.medicao)&gt;0),O182/$I182*100,0)))</f>
        <v>#NAME?</v>
      </c>
      <c r="M182" s="336">
        <f ca="1">IF($A182="S",VTOTALBM,IF($A182=0,0,ROUND(SomaAgrupBM,15-13*ORÇAMENTO!$AF$11)))</f>
        <v>0</v>
      </c>
      <c r="N182" s="337">
        <f t="shared" ca="1" si="18"/>
        <v>0</v>
      </c>
      <c r="O182" s="126">
        <f ca="1">IF($A182="S",VTOTALBM,IF($A182=0,0,ROUND(SomaAgrupBM,15-13*ORÇAMENTO!$AF$11)))</f>
        <v>0</v>
      </c>
      <c r="Q182" s="338"/>
      <c r="R182" s="339"/>
      <c r="T182" s="118" t="str">
        <f t="shared" ca="1" si="19"/>
        <v/>
      </c>
      <c r="U182" s="164" t="str">
        <f t="shared" ca="1" si="20"/>
        <v/>
      </c>
      <c r="V182" s="165" t="str">
        <f ca="1">IF(AND($W182&gt;0,RegimeExecucao="Unitário"),$F182,"")</f>
        <v/>
      </c>
      <c r="W182" s="455">
        <f ca="1">IF($Y182&gt;0,CHOOSE(MATCH(RegimeExecucao,{"Unitário","Global"},0),IF($A182="S",$Y182/$X182,""),($Y182/$X182)*100),0)</f>
        <v>0</v>
      </c>
      <c r="X182" s="340" t="str">
        <f ca="1">IF($Y182&gt;0,CHOOSE(MATCH(RegimeExecucao,{"Unitário","Global"},0),IF($A182="S",ROUND($H182,ORÇAMENTO!$AF$10),""),ROUND($I182,ORÇAMENTO!$AF$11)),"")</f>
        <v/>
      </c>
      <c r="Y182" s="340">
        <f t="shared" ca="1" si="21"/>
        <v>0</v>
      </c>
      <c r="Z182" s="474"/>
      <c r="AB182" s="338"/>
      <c r="AC182" s="438"/>
      <c r="AD182" s="438"/>
      <c r="AE182" s="438"/>
      <c r="AF182" s="438"/>
      <c r="AG182" s="438"/>
      <c r="AH182" s="438"/>
      <c r="AI182" s="438"/>
      <c r="AJ182" s="438"/>
      <c r="AK182" s="438"/>
      <c r="AL182" s="438"/>
      <c r="AM182" s="339"/>
      <c r="AO182">
        <f ca="1">IF($A182="S",IF(BM!$I182=0,0,CHOOSE(MATCH(RegimeExecucao,{"Global","Unitário"},0),ROUND(ROUND(BM.MEDAcumulado,15-13*BM!$A$9)/100*BM!$I182,15-13*ORÇAMENTO!$AF$11),ROUND(ROUND(BM.MEDAcumulado,15-13*BM!$A$9)*ROUND(BM!$H182,15-13*ORÇAMENTO!$AF$10),15-13*ORÇAMENTO!$AF$11))),IF($A182=0,0,ROUND(SomaAgrupBM,15-13*ORÇAMENTO!$AF$11)))</f>
        <v>0</v>
      </c>
    </row>
    <row r="183" spans="1:41" ht="51" x14ac:dyDescent="0.2">
      <c r="A183" t="str">
        <f ca="1">ORÇAMENTO!C183</f>
        <v>S</v>
      </c>
      <c r="B183">
        <f ca="1">ORÇAMENTO!D183</f>
        <v>0</v>
      </c>
      <c r="C183" s="115" t="str">
        <f t="shared" ca="1" si="15"/>
        <v/>
      </c>
      <c r="D183" s="118" t="str">
        <f ca="1">ORÇAMENTO!O183</f>
        <v>-</v>
      </c>
      <c r="E183" s="164" t="str">
        <f t="shared" si="16"/>
        <v>ADAPTADOR CURTO COM BOLSA E ROSCA PARA REGISTRO, PVC, SOLDÁVEL, DN 25MM X 3/4 , INSTALADO EM RAMAL DE DISTRIBUIÇÃO DE ÁGUA - FORNECIMENTO E INSTALAÇÃO. AF_06/2022</v>
      </c>
      <c r="F183" s="165" t="str">
        <f ca="1">IF(RegimeExecucao="Global","",ORÇAMENTO.Unidade)</f>
        <v>UN</v>
      </c>
      <c r="G183" s="123">
        <f ca="1">IF(RegimeExecucao="Global","",ORÇAMENTO!T183)</f>
        <v>26</v>
      </c>
      <c r="H183" s="123">
        <f ca="1">IF(RegimeExecucao="Global","",ORÇAMENTO!W183)</f>
        <v>0</v>
      </c>
      <c r="I183" s="126">
        <f ca="1">ORÇAMENTO!X183</f>
        <v>0</v>
      </c>
      <c r="J183" s="334" t="e" cm="1">
        <f t="array" aca="1" ref="J183" ca="1">_xlfn.SINGLE(IF($A183="S",IF(CAIXA.Modo,BM.AFAnterior,BM.MEDAnterior),IF(AND(_xlfn.SINGLE(RegimeExecucao)="Global",$I183&gt;0,COUNTIF($AB$13:$AM$13,BM.medicao-1)&gt;0),M183/$I183*100,0)))</f>
        <v>#NAME?</v>
      </c>
      <c r="K183" s="123" t="e">
        <f t="shared" ca="1" si="17"/>
        <v>#NAME?</v>
      </c>
      <c r="L183" s="335" t="e" cm="1">
        <f t="array" aca="1" ref="L183" ca="1">_xlfn.SINGLE(IF($A183="S",IF(CAIXA.Modo,BM.AFAcumulado,BM.MEDAcumulado),IF(AND(_xlfn.SINGLE(RegimeExecucao)="Global",$I183&gt;0,COUNTIF($AB$13:$AM$13,BM.medicao)&gt;0),O183/$I183*100,0)))</f>
        <v>#NAME?</v>
      </c>
      <c r="M183" s="336">
        <f ca="1">IF($A183="S",VTOTALBM,IF($A183=0,0,ROUND(SomaAgrupBM,15-13*ORÇAMENTO!$AF$11)))</f>
        <v>0</v>
      </c>
      <c r="N183" s="337">
        <f t="shared" ca="1" si="18"/>
        <v>0</v>
      </c>
      <c r="O183" s="126">
        <f ca="1">IF($A183="S",VTOTALBM,IF($A183=0,0,ROUND(SomaAgrupBM,15-13*ORÇAMENTO!$AF$11)))</f>
        <v>0</v>
      </c>
      <c r="Q183" s="338"/>
      <c r="R183" s="339"/>
      <c r="T183" s="118" t="str">
        <f t="shared" ca="1" si="19"/>
        <v/>
      </c>
      <c r="U183" s="164" t="str">
        <f t="shared" ca="1" si="20"/>
        <v/>
      </c>
      <c r="V183" s="165" t="str">
        <f ca="1">IF(AND($W183&gt;0,RegimeExecucao="Unitário"),$F183,"")</f>
        <v/>
      </c>
      <c r="W183" s="455">
        <f ca="1">IF($Y183&gt;0,CHOOSE(MATCH(RegimeExecucao,{"Unitário","Global"},0),IF($A183="S",$Y183/$X183,""),($Y183/$X183)*100),0)</f>
        <v>0</v>
      </c>
      <c r="X183" s="340" t="str">
        <f ca="1">IF($Y183&gt;0,CHOOSE(MATCH(RegimeExecucao,{"Unitário","Global"},0),IF($A183="S",ROUND($H183,ORÇAMENTO!$AF$10),""),ROUND($I183,ORÇAMENTO!$AF$11)),"")</f>
        <v/>
      </c>
      <c r="Y183" s="340">
        <f t="shared" ca="1" si="21"/>
        <v>0</v>
      </c>
      <c r="Z183" s="474"/>
      <c r="AB183" s="338"/>
      <c r="AC183" s="438"/>
      <c r="AD183" s="438"/>
      <c r="AE183" s="438"/>
      <c r="AF183" s="438"/>
      <c r="AG183" s="438"/>
      <c r="AH183" s="438"/>
      <c r="AI183" s="438"/>
      <c r="AJ183" s="438"/>
      <c r="AK183" s="438"/>
      <c r="AL183" s="438"/>
      <c r="AM183" s="339"/>
      <c r="AO183">
        <f ca="1">IF($A183="S",IF(BM!$I183=0,0,CHOOSE(MATCH(RegimeExecucao,{"Global","Unitário"},0),ROUND(ROUND(BM.MEDAcumulado,15-13*BM!$A$9)/100*BM!$I183,15-13*ORÇAMENTO!$AF$11),ROUND(ROUND(BM.MEDAcumulado,15-13*BM!$A$9)*ROUND(BM!$H183,15-13*ORÇAMENTO!$AF$10),15-13*ORÇAMENTO!$AF$11))),IF($A183=0,0,ROUND(SomaAgrupBM,15-13*ORÇAMENTO!$AF$11)))</f>
        <v>0</v>
      </c>
    </row>
    <row r="184" spans="1:41" ht="38.25" x14ac:dyDescent="0.2">
      <c r="A184" t="str">
        <f ca="1">ORÇAMENTO!C184</f>
        <v>S</v>
      </c>
      <c r="B184">
        <f ca="1">ORÇAMENTO!D184</f>
        <v>0</v>
      </c>
      <c r="C184" s="115" t="str">
        <f t="shared" ca="1" si="15"/>
        <v/>
      </c>
      <c r="D184" s="118" t="str">
        <f ca="1">ORÇAMENTO!O184</f>
        <v>-</v>
      </c>
      <c r="E184" s="164" t="str">
        <f t="shared" si="16"/>
        <v>ADAPTADOR CURTO COM BOLSA E ROSCA PARA REGISTRO, PVC, SOLDÁVEL, DN 50MM X 1.1/4 , INSTALADO EM PRUMADA DE ÁGUA - FORNECIMENTO E INSTALAÇÃO. AF_06/2022</v>
      </c>
      <c r="F184" s="165" t="str">
        <f ca="1">IF(RegimeExecucao="Global","",ORÇAMENTO.Unidade)</f>
        <v>UN</v>
      </c>
      <c r="G184" s="123">
        <f ca="1">IF(RegimeExecucao="Global","",ORÇAMENTO!T184)</f>
        <v>3</v>
      </c>
      <c r="H184" s="123">
        <f ca="1">IF(RegimeExecucao="Global","",ORÇAMENTO!W184)</f>
        <v>0</v>
      </c>
      <c r="I184" s="126">
        <f ca="1">ORÇAMENTO!X184</f>
        <v>0</v>
      </c>
      <c r="J184" s="334" t="e" cm="1">
        <f t="array" aca="1" ref="J184" ca="1">_xlfn.SINGLE(IF($A184="S",IF(CAIXA.Modo,BM.AFAnterior,BM.MEDAnterior),IF(AND(_xlfn.SINGLE(RegimeExecucao)="Global",$I184&gt;0,COUNTIF($AB$13:$AM$13,BM.medicao-1)&gt;0),M184/$I184*100,0)))</f>
        <v>#NAME?</v>
      </c>
      <c r="K184" s="123" t="e">
        <f t="shared" ca="1" si="17"/>
        <v>#NAME?</v>
      </c>
      <c r="L184" s="335" t="e" cm="1">
        <f t="array" aca="1" ref="L184" ca="1">_xlfn.SINGLE(IF($A184="S",IF(CAIXA.Modo,BM.AFAcumulado,BM.MEDAcumulado),IF(AND(_xlfn.SINGLE(RegimeExecucao)="Global",$I184&gt;0,COUNTIF($AB$13:$AM$13,BM.medicao)&gt;0),O184/$I184*100,0)))</f>
        <v>#NAME?</v>
      </c>
      <c r="M184" s="336">
        <f ca="1">IF($A184="S",VTOTALBM,IF($A184=0,0,ROUND(SomaAgrupBM,15-13*ORÇAMENTO!$AF$11)))</f>
        <v>0</v>
      </c>
      <c r="N184" s="337">
        <f t="shared" ca="1" si="18"/>
        <v>0</v>
      </c>
      <c r="O184" s="126">
        <f ca="1">IF($A184="S",VTOTALBM,IF($A184=0,0,ROUND(SomaAgrupBM,15-13*ORÇAMENTO!$AF$11)))</f>
        <v>0</v>
      </c>
      <c r="Q184" s="338"/>
      <c r="R184" s="339"/>
      <c r="T184" s="118" t="str">
        <f t="shared" ca="1" si="19"/>
        <v/>
      </c>
      <c r="U184" s="164" t="str">
        <f t="shared" ca="1" si="20"/>
        <v/>
      </c>
      <c r="V184" s="165" t="str">
        <f ca="1">IF(AND($W184&gt;0,RegimeExecucao="Unitário"),$F184,"")</f>
        <v/>
      </c>
      <c r="W184" s="455">
        <f ca="1">IF($Y184&gt;0,CHOOSE(MATCH(RegimeExecucao,{"Unitário","Global"},0),IF($A184="S",$Y184/$X184,""),($Y184/$X184)*100),0)</f>
        <v>0</v>
      </c>
      <c r="X184" s="340" t="str">
        <f ca="1">IF($Y184&gt;0,CHOOSE(MATCH(RegimeExecucao,{"Unitário","Global"},0),IF($A184="S",ROUND($H184,ORÇAMENTO!$AF$10),""),ROUND($I184,ORÇAMENTO!$AF$11)),"")</f>
        <v/>
      </c>
      <c r="Y184" s="340">
        <f t="shared" ca="1" si="21"/>
        <v>0</v>
      </c>
      <c r="Z184" s="474"/>
      <c r="AB184" s="338"/>
      <c r="AC184" s="438"/>
      <c r="AD184" s="438"/>
      <c r="AE184" s="438"/>
      <c r="AF184" s="438"/>
      <c r="AG184" s="438"/>
      <c r="AH184" s="438"/>
      <c r="AI184" s="438"/>
      <c r="AJ184" s="438"/>
      <c r="AK184" s="438"/>
      <c r="AL184" s="438"/>
      <c r="AM184" s="339"/>
      <c r="AO184">
        <f ca="1">IF($A184="S",IF(BM!$I184=0,0,CHOOSE(MATCH(RegimeExecucao,{"Global","Unitário"},0),ROUND(ROUND(BM.MEDAcumulado,15-13*BM!$A$9)/100*BM!$I184,15-13*ORÇAMENTO!$AF$11),ROUND(ROUND(BM.MEDAcumulado,15-13*BM!$A$9)*ROUND(BM!$H184,15-13*ORÇAMENTO!$AF$10),15-13*ORÇAMENTO!$AF$11))),IF($A184=0,0,ROUND(SomaAgrupBM,15-13*ORÇAMENTO!$AF$11)))</f>
        <v>0</v>
      </c>
    </row>
    <row r="185" spans="1:41" ht="38.25" x14ac:dyDescent="0.2">
      <c r="A185" t="str">
        <f ca="1">ORÇAMENTO!C185</f>
        <v>S</v>
      </c>
      <c r="B185">
        <f ca="1">ORÇAMENTO!D185</f>
        <v>0</v>
      </c>
      <c r="C185" s="115" t="str">
        <f t="shared" ca="1" si="15"/>
        <v/>
      </c>
      <c r="D185" s="118" t="str">
        <f ca="1">ORÇAMENTO!O185</f>
        <v>-</v>
      </c>
      <c r="E185" s="164" t="str">
        <f t="shared" si="16"/>
        <v>ADAPTADOR CURTO COM BOLSA E ROSCA PARA REGISTRO, PVC, SOLDÁVEL, DN 32MM X 1 , INSTALADO EM RAMAL OU SUB-RAMAL DE ÁGUA - FORNECIMENTO E INSTALAÇÃO. AF_06/2022</v>
      </c>
      <c r="F185" s="165" t="str">
        <f ca="1">IF(RegimeExecucao="Global","",ORÇAMENTO.Unidade)</f>
        <v>UN</v>
      </c>
      <c r="G185" s="123">
        <f ca="1">IF(RegimeExecucao="Global","",ORÇAMENTO!T185)</f>
        <v>1</v>
      </c>
      <c r="H185" s="123">
        <f ca="1">IF(RegimeExecucao="Global","",ORÇAMENTO!W185)</f>
        <v>0</v>
      </c>
      <c r="I185" s="126">
        <f ca="1">ORÇAMENTO!X185</f>
        <v>0</v>
      </c>
      <c r="J185" s="334" t="e" cm="1">
        <f t="array" aca="1" ref="J185" ca="1">_xlfn.SINGLE(IF($A185="S",IF(CAIXA.Modo,BM.AFAnterior,BM.MEDAnterior),IF(AND(_xlfn.SINGLE(RegimeExecucao)="Global",$I185&gt;0,COUNTIF($AB$13:$AM$13,BM.medicao-1)&gt;0),M185/$I185*100,0)))</f>
        <v>#NAME?</v>
      </c>
      <c r="K185" s="123" t="e">
        <f t="shared" ca="1" si="17"/>
        <v>#NAME?</v>
      </c>
      <c r="L185" s="335" t="e" cm="1">
        <f t="array" aca="1" ref="L185" ca="1">_xlfn.SINGLE(IF($A185="S",IF(CAIXA.Modo,BM.AFAcumulado,BM.MEDAcumulado),IF(AND(_xlfn.SINGLE(RegimeExecucao)="Global",$I185&gt;0,COUNTIF($AB$13:$AM$13,BM.medicao)&gt;0),O185/$I185*100,0)))</f>
        <v>#NAME?</v>
      </c>
      <c r="M185" s="336">
        <f ca="1">IF($A185="S",VTOTALBM,IF($A185=0,0,ROUND(SomaAgrupBM,15-13*ORÇAMENTO!$AF$11)))</f>
        <v>0</v>
      </c>
      <c r="N185" s="337">
        <f t="shared" ca="1" si="18"/>
        <v>0</v>
      </c>
      <c r="O185" s="126">
        <f ca="1">IF($A185="S",VTOTALBM,IF($A185=0,0,ROUND(SomaAgrupBM,15-13*ORÇAMENTO!$AF$11)))</f>
        <v>0</v>
      </c>
      <c r="Q185" s="338"/>
      <c r="R185" s="339"/>
      <c r="T185" s="118" t="str">
        <f t="shared" ca="1" si="19"/>
        <v/>
      </c>
      <c r="U185" s="164" t="str">
        <f t="shared" ca="1" si="20"/>
        <v/>
      </c>
      <c r="V185" s="165" t="str">
        <f ca="1">IF(AND($W185&gt;0,RegimeExecucao="Unitário"),$F185,"")</f>
        <v/>
      </c>
      <c r="W185" s="455">
        <f ca="1">IF($Y185&gt;0,CHOOSE(MATCH(RegimeExecucao,{"Unitário","Global"},0),IF($A185="S",$Y185/$X185,""),($Y185/$X185)*100),0)</f>
        <v>0</v>
      </c>
      <c r="X185" s="340" t="str">
        <f ca="1">IF($Y185&gt;0,CHOOSE(MATCH(RegimeExecucao,{"Unitário","Global"},0),IF($A185="S",ROUND($H185,ORÇAMENTO!$AF$10),""),ROUND($I185,ORÇAMENTO!$AF$11)),"")</f>
        <v/>
      </c>
      <c r="Y185" s="340">
        <f t="shared" ca="1" si="21"/>
        <v>0</v>
      </c>
      <c r="Z185" s="474"/>
      <c r="AB185" s="338"/>
      <c r="AC185" s="438"/>
      <c r="AD185" s="438"/>
      <c r="AE185" s="438"/>
      <c r="AF185" s="438"/>
      <c r="AG185" s="438"/>
      <c r="AH185" s="438"/>
      <c r="AI185" s="438"/>
      <c r="AJ185" s="438"/>
      <c r="AK185" s="438"/>
      <c r="AL185" s="438"/>
      <c r="AM185" s="339"/>
      <c r="AO185">
        <f ca="1">IF($A185="S",IF(BM!$I185=0,0,CHOOSE(MATCH(RegimeExecucao,{"Global","Unitário"},0),ROUND(ROUND(BM.MEDAcumulado,15-13*BM!$A$9)/100*BM!$I185,15-13*ORÇAMENTO!$AF$11),ROUND(ROUND(BM.MEDAcumulado,15-13*BM!$A$9)*ROUND(BM!$H185,15-13*ORÇAMENTO!$AF$10),15-13*ORÇAMENTO!$AF$11))),IF($A185=0,0,ROUND(SomaAgrupBM,15-13*ORÇAMENTO!$AF$11)))</f>
        <v>0</v>
      </c>
    </row>
    <row r="186" spans="1:41" ht="51" x14ac:dyDescent="0.2">
      <c r="A186" t="str">
        <f ca="1">ORÇAMENTO!C186</f>
        <v>S</v>
      </c>
      <c r="B186">
        <f ca="1">ORÇAMENTO!D186</f>
        <v>0</v>
      </c>
      <c r="C186" s="115" t="str">
        <f t="shared" ca="1" si="15"/>
        <v/>
      </c>
      <c r="D186" s="118" t="str">
        <f ca="1">ORÇAMENTO!O186</f>
        <v>-</v>
      </c>
      <c r="E186" s="164" t="str">
        <f t="shared" si="16"/>
        <v>ADAPTADOR CURTO COM BOLSA E ROSCA PARA REGISTRO, PVC, SOLDÁVEL, DN 40MM X 1.1/4", INSTALADO EM RAMAL DE DISTRIBUIÇÃO DE ÁGUA - FORNECIMENTO E INSTALAÇÃO. AF_06/2022</v>
      </c>
      <c r="F186" s="165" t="str">
        <f ca="1">IF(RegimeExecucao="Global","",ORÇAMENTO.Unidade)</f>
        <v>UN</v>
      </c>
      <c r="G186" s="123">
        <f ca="1">IF(RegimeExecucao="Global","",ORÇAMENTO!T186)</f>
        <v>18</v>
      </c>
      <c r="H186" s="123">
        <f ca="1">IF(RegimeExecucao="Global","",ORÇAMENTO!W186)</f>
        <v>0</v>
      </c>
      <c r="I186" s="126">
        <f ca="1">ORÇAMENTO!X186</f>
        <v>0</v>
      </c>
      <c r="J186" s="334" t="e" cm="1">
        <f t="array" aca="1" ref="J186" ca="1">_xlfn.SINGLE(IF($A186="S",IF(CAIXA.Modo,BM.AFAnterior,BM.MEDAnterior),IF(AND(_xlfn.SINGLE(RegimeExecucao)="Global",$I186&gt;0,COUNTIF($AB$13:$AM$13,BM.medicao-1)&gt;0),M186/$I186*100,0)))</f>
        <v>#NAME?</v>
      </c>
      <c r="K186" s="123" t="e">
        <f t="shared" ca="1" si="17"/>
        <v>#NAME?</v>
      </c>
      <c r="L186" s="335" t="e" cm="1">
        <f t="array" aca="1" ref="L186" ca="1">_xlfn.SINGLE(IF($A186="S",IF(CAIXA.Modo,BM.AFAcumulado,BM.MEDAcumulado),IF(AND(_xlfn.SINGLE(RegimeExecucao)="Global",$I186&gt;0,COUNTIF($AB$13:$AM$13,BM.medicao)&gt;0),O186/$I186*100,0)))</f>
        <v>#NAME?</v>
      </c>
      <c r="M186" s="336">
        <f ca="1">IF($A186="S",VTOTALBM,IF($A186=0,0,ROUND(SomaAgrupBM,15-13*ORÇAMENTO!$AF$11)))</f>
        <v>0</v>
      </c>
      <c r="N186" s="337">
        <f t="shared" ca="1" si="18"/>
        <v>0</v>
      </c>
      <c r="O186" s="126">
        <f ca="1">IF($A186="S",VTOTALBM,IF($A186=0,0,ROUND(SomaAgrupBM,15-13*ORÇAMENTO!$AF$11)))</f>
        <v>0</v>
      </c>
      <c r="Q186" s="338"/>
      <c r="R186" s="339"/>
      <c r="T186" s="118" t="str">
        <f t="shared" ca="1" si="19"/>
        <v/>
      </c>
      <c r="U186" s="164" t="str">
        <f t="shared" ca="1" si="20"/>
        <v/>
      </c>
      <c r="V186" s="165" t="str">
        <f ca="1">IF(AND($W186&gt;0,RegimeExecucao="Unitário"),$F186,"")</f>
        <v/>
      </c>
      <c r="W186" s="455">
        <f ca="1">IF($Y186&gt;0,CHOOSE(MATCH(RegimeExecucao,{"Unitário","Global"},0),IF($A186="S",$Y186/$X186,""),($Y186/$X186)*100),0)</f>
        <v>0</v>
      </c>
      <c r="X186" s="340" t="str">
        <f ca="1">IF($Y186&gt;0,CHOOSE(MATCH(RegimeExecucao,{"Unitário","Global"},0),IF($A186="S",ROUND($H186,ORÇAMENTO!$AF$10),""),ROUND($I186,ORÇAMENTO!$AF$11)),"")</f>
        <v/>
      </c>
      <c r="Y186" s="340">
        <f t="shared" ca="1" si="21"/>
        <v>0</v>
      </c>
      <c r="Z186" s="474"/>
      <c r="AB186" s="338"/>
      <c r="AC186" s="438"/>
      <c r="AD186" s="438"/>
      <c r="AE186" s="438"/>
      <c r="AF186" s="438"/>
      <c r="AG186" s="438"/>
      <c r="AH186" s="438"/>
      <c r="AI186" s="438"/>
      <c r="AJ186" s="438"/>
      <c r="AK186" s="438"/>
      <c r="AL186" s="438"/>
      <c r="AM186" s="339"/>
      <c r="AO186">
        <f ca="1">IF($A186="S",IF(BM!$I186=0,0,CHOOSE(MATCH(RegimeExecucao,{"Global","Unitário"},0),ROUND(ROUND(BM.MEDAcumulado,15-13*BM!$A$9)/100*BM!$I186,15-13*ORÇAMENTO!$AF$11),ROUND(ROUND(BM.MEDAcumulado,15-13*BM!$A$9)*ROUND(BM!$H186,15-13*ORÇAMENTO!$AF$10),15-13*ORÇAMENTO!$AF$11))),IF($A186=0,0,ROUND(SomaAgrupBM,15-13*ORÇAMENTO!$AF$11)))</f>
        <v>0</v>
      </c>
    </row>
    <row r="187" spans="1:41" ht="38.25" x14ac:dyDescent="0.2">
      <c r="A187" t="str">
        <f ca="1">ORÇAMENTO!C187</f>
        <v>S</v>
      </c>
      <c r="B187">
        <f ca="1">ORÇAMENTO!D187</f>
        <v>0</v>
      </c>
      <c r="C187" s="115" t="str">
        <f t="shared" ca="1" si="15"/>
        <v/>
      </c>
      <c r="D187" s="118" t="str">
        <f ca="1">ORÇAMENTO!O187</f>
        <v>-</v>
      </c>
      <c r="E187" s="164" t="str">
        <f t="shared" si="16"/>
        <v>ADAPTADOR CURTO COM BOLSA E ROSCA PARA REGISTRO, PVC, SOLDÁVEL, DN 32MM X 1 , INSTALADO EM RAMAL OU SUB-RAMAL DE ÁGUA - FORNECIMENTO E INSTALAÇÃO. AF_06/2022</v>
      </c>
      <c r="F187" s="165" t="str">
        <f ca="1">IF(RegimeExecucao="Global","",ORÇAMENTO.Unidade)</f>
        <v>UN</v>
      </c>
      <c r="G187" s="123">
        <f ca="1">IF(RegimeExecucao="Global","",ORÇAMENTO!T187)</f>
        <v>7</v>
      </c>
      <c r="H187" s="123">
        <f ca="1">IF(RegimeExecucao="Global","",ORÇAMENTO!W187)</f>
        <v>0</v>
      </c>
      <c r="I187" s="126">
        <f ca="1">ORÇAMENTO!X187</f>
        <v>0</v>
      </c>
      <c r="J187" s="334" t="e" cm="1">
        <f t="array" aca="1" ref="J187" ca="1">_xlfn.SINGLE(IF($A187="S",IF(CAIXA.Modo,BM.AFAnterior,BM.MEDAnterior),IF(AND(_xlfn.SINGLE(RegimeExecucao)="Global",$I187&gt;0,COUNTIF($AB$13:$AM$13,BM.medicao-1)&gt;0),M187/$I187*100,0)))</f>
        <v>#NAME?</v>
      </c>
      <c r="K187" s="123" t="e">
        <f t="shared" ca="1" si="17"/>
        <v>#NAME?</v>
      </c>
      <c r="L187" s="335" t="e" cm="1">
        <f t="array" aca="1" ref="L187" ca="1">_xlfn.SINGLE(IF($A187="S",IF(CAIXA.Modo,BM.AFAcumulado,BM.MEDAcumulado),IF(AND(_xlfn.SINGLE(RegimeExecucao)="Global",$I187&gt;0,COUNTIF($AB$13:$AM$13,BM.medicao)&gt;0),O187/$I187*100,0)))</f>
        <v>#NAME?</v>
      </c>
      <c r="M187" s="336">
        <f ca="1">IF($A187="S",VTOTALBM,IF($A187=0,0,ROUND(SomaAgrupBM,15-13*ORÇAMENTO!$AF$11)))</f>
        <v>0</v>
      </c>
      <c r="N187" s="337">
        <f t="shared" ca="1" si="18"/>
        <v>0</v>
      </c>
      <c r="O187" s="126">
        <f ca="1">IF($A187="S",VTOTALBM,IF($A187=0,0,ROUND(SomaAgrupBM,15-13*ORÇAMENTO!$AF$11)))</f>
        <v>0</v>
      </c>
      <c r="Q187" s="338"/>
      <c r="R187" s="339"/>
      <c r="T187" s="118" t="str">
        <f t="shared" ca="1" si="19"/>
        <v/>
      </c>
      <c r="U187" s="164" t="str">
        <f t="shared" ca="1" si="20"/>
        <v/>
      </c>
      <c r="V187" s="165" t="str">
        <f ca="1">IF(AND($W187&gt;0,RegimeExecucao="Unitário"),$F187,"")</f>
        <v/>
      </c>
      <c r="W187" s="455">
        <f ca="1">IF($Y187&gt;0,CHOOSE(MATCH(RegimeExecucao,{"Unitário","Global"},0),IF($A187="S",$Y187/$X187,""),($Y187/$X187)*100),0)</f>
        <v>0</v>
      </c>
      <c r="X187" s="340" t="str">
        <f ca="1">IF($Y187&gt;0,CHOOSE(MATCH(RegimeExecucao,{"Unitário","Global"},0),IF($A187="S",ROUND($H187,ORÇAMENTO!$AF$10),""),ROUND($I187,ORÇAMENTO!$AF$11)),"")</f>
        <v/>
      </c>
      <c r="Y187" s="340">
        <f t="shared" ca="1" si="21"/>
        <v>0</v>
      </c>
      <c r="Z187" s="474"/>
      <c r="AB187" s="338"/>
      <c r="AC187" s="438"/>
      <c r="AD187" s="438"/>
      <c r="AE187" s="438"/>
      <c r="AF187" s="438"/>
      <c r="AG187" s="438"/>
      <c r="AH187" s="438"/>
      <c r="AI187" s="438"/>
      <c r="AJ187" s="438"/>
      <c r="AK187" s="438"/>
      <c r="AL187" s="438"/>
      <c r="AM187" s="339"/>
      <c r="AO187">
        <f ca="1">IF($A187="S",IF(BM!$I187=0,0,CHOOSE(MATCH(RegimeExecucao,{"Global","Unitário"},0),ROUND(ROUND(BM.MEDAcumulado,15-13*BM!$A$9)/100*BM!$I187,15-13*ORÇAMENTO!$AF$11),ROUND(ROUND(BM.MEDAcumulado,15-13*BM!$A$9)*ROUND(BM!$H187,15-13*ORÇAMENTO!$AF$10),15-13*ORÇAMENTO!$AF$11))),IF($A187=0,0,ROUND(SomaAgrupBM,15-13*ORÇAMENTO!$AF$11)))</f>
        <v>0</v>
      </c>
    </row>
    <row r="188" spans="1:41" ht="51" x14ac:dyDescent="0.2">
      <c r="A188" t="str">
        <f ca="1">ORÇAMENTO!C188</f>
        <v>S</v>
      </c>
      <c r="B188">
        <f ca="1">ORÇAMENTO!D188</f>
        <v>0</v>
      </c>
      <c r="C188" s="115" t="str">
        <f t="shared" ca="1" si="15"/>
        <v/>
      </c>
      <c r="D188" s="118" t="str">
        <f ca="1">ORÇAMENTO!O188</f>
        <v>-</v>
      </c>
      <c r="E188" s="164" t="str">
        <f t="shared" si="16"/>
        <v>ADAPTADOR CURTO COM BOLSA E ROSCA PARA REGISTRO, PVC, SOLDÁVEL, DN 40MM X 1.1/4", INSTALADO EM RAMAL DE DISTRIBUIÇÃO DE ÁGUA - FORNECIMENTO E INSTALAÇÃO. AF_06/2022</v>
      </c>
      <c r="F188" s="165" t="str">
        <f ca="1">IF(RegimeExecucao="Global","",ORÇAMENTO.Unidade)</f>
        <v>UN</v>
      </c>
      <c r="G188" s="123">
        <f ca="1">IF(RegimeExecucao="Global","",ORÇAMENTO!T188)</f>
        <v>9</v>
      </c>
      <c r="H188" s="123">
        <f ca="1">IF(RegimeExecucao="Global","",ORÇAMENTO!W188)</f>
        <v>0</v>
      </c>
      <c r="I188" s="126">
        <f ca="1">ORÇAMENTO!X188</f>
        <v>0</v>
      </c>
      <c r="J188" s="334" t="e" cm="1">
        <f t="array" aca="1" ref="J188" ca="1">_xlfn.SINGLE(IF($A188="S",IF(CAIXA.Modo,BM.AFAnterior,BM.MEDAnterior),IF(AND(_xlfn.SINGLE(RegimeExecucao)="Global",$I188&gt;0,COUNTIF($AB$13:$AM$13,BM.medicao-1)&gt;0),M188/$I188*100,0)))</f>
        <v>#NAME?</v>
      </c>
      <c r="K188" s="123" t="e">
        <f t="shared" ca="1" si="17"/>
        <v>#NAME?</v>
      </c>
      <c r="L188" s="335" t="e" cm="1">
        <f t="array" aca="1" ref="L188" ca="1">_xlfn.SINGLE(IF($A188="S",IF(CAIXA.Modo,BM.AFAcumulado,BM.MEDAcumulado),IF(AND(_xlfn.SINGLE(RegimeExecucao)="Global",$I188&gt;0,COUNTIF($AB$13:$AM$13,BM.medicao)&gt;0),O188/$I188*100,0)))</f>
        <v>#NAME?</v>
      </c>
      <c r="M188" s="336">
        <f ca="1">IF($A188="S",VTOTALBM,IF($A188=0,0,ROUND(SomaAgrupBM,15-13*ORÇAMENTO!$AF$11)))</f>
        <v>0</v>
      </c>
      <c r="N188" s="337">
        <f t="shared" ca="1" si="18"/>
        <v>0</v>
      </c>
      <c r="O188" s="126">
        <f ca="1">IF($A188="S",VTOTALBM,IF($A188=0,0,ROUND(SomaAgrupBM,15-13*ORÇAMENTO!$AF$11)))</f>
        <v>0</v>
      </c>
      <c r="Q188" s="338"/>
      <c r="R188" s="339"/>
      <c r="T188" s="118" t="str">
        <f t="shared" ca="1" si="19"/>
        <v/>
      </c>
      <c r="U188" s="164" t="str">
        <f t="shared" ca="1" si="20"/>
        <v/>
      </c>
      <c r="V188" s="165" t="str">
        <f ca="1">IF(AND($W188&gt;0,RegimeExecucao="Unitário"),$F188,"")</f>
        <v/>
      </c>
      <c r="W188" s="455">
        <f ca="1">IF($Y188&gt;0,CHOOSE(MATCH(RegimeExecucao,{"Unitário","Global"},0),IF($A188="S",$Y188/$X188,""),($Y188/$X188)*100),0)</f>
        <v>0</v>
      </c>
      <c r="X188" s="340" t="str">
        <f ca="1">IF($Y188&gt;0,CHOOSE(MATCH(RegimeExecucao,{"Unitário","Global"},0),IF($A188="S",ROUND($H188,ORÇAMENTO!$AF$10),""),ROUND($I188,ORÇAMENTO!$AF$11)),"")</f>
        <v/>
      </c>
      <c r="Y188" s="340">
        <f t="shared" ca="1" si="21"/>
        <v>0</v>
      </c>
      <c r="Z188" s="474"/>
      <c r="AB188" s="338"/>
      <c r="AC188" s="438"/>
      <c r="AD188" s="438"/>
      <c r="AE188" s="438"/>
      <c r="AF188" s="438"/>
      <c r="AG188" s="438"/>
      <c r="AH188" s="438"/>
      <c r="AI188" s="438"/>
      <c r="AJ188" s="438"/>
      <c r="AK188" s="438"/>
      <c r="AL188" s="438"/>
      <c r="AM188" s="339"/>
      <c r="AO188">
        <f ca="1">IF($A188="S",IF(BM!$I188=0,0,CHOOSE(MATCH(RegimeExecucao,{"Global","Unitário"},0),ROUND(ROUND(BM.MEDAcumulado,15-13*BM!$A$9)/100*BM!$I188,15-13*ORÇAMENTO!$AF$11),ROUND(ROUND(BM.MEDAcumulado,15-13*BM!$A$9)*ROUND(BM!$H188,15-13*ORÇAMENTO!$AF$10),15-13*ORÇAMENTO!$AF$11))),IF($A188=0,0,ROUND(SomaAgrupBM,15-13*ORÇAMENTO!$AF$11)))</f>
        <v>0</v>
      </c>
    </row>
    <row r="189" spans="1:41" ht="51" x14ac:dyDescent="0.2">
      <c r="A189" t="str">
        <f ca="1">ORÇAMENTO!C189</f>
        <v>S</v>
      </c>
      <c r="B189">
        <f ca="1">ORÇAMENTO!D189</f>
        <v>0</v>
      </c>
      <c r="C189" s="115" t="str">
        <f t="shared" ca="1" si="15"/>
        <v/>
      </c>
      <c r="D189" s="118" t="str">
        <f ca="1">ORÇAMENTO!O189</f>
        <v>-</v>
      </c>
      <c r="E189" s="164" t="str">
        <f t="shared" si="16"/>
        <v>ADAPTADOR CURTO COM BOLSA E ROSCA PARA REGISTRO, PVC, SOLDÁVEL, DN 50MM X 1.1/2", INSTALADO EM RAMAL DE DISTRIBUIÇÃO DE ÁGUA - FORNECIMENTO E INSTALAÇÃO. AF_06/2022</v>
      </c>
      <c r="F189" s="165" t="str">
        <f ca="1">IF(RegimeExecucao="Global","",ORÇAMENTO.Unidade)</f>
        <v>UN</v>
      </c>
      <c r="G189" s="123">
        <f ca="1">IF(RegimeExecucao="Global","",ORÇAMENTO!T189)</f>
        <v>9</v>
      </c>
      <c r="H189" s="123">
        <f ca="1">IF(RegimeExecucao="Global","",ORÇAMENTO!W189)</f>
        <v>0</v>
      </c>
      <c r="I189" s="126">
        <f ca="1">ORÇAMENTO!X189</f>
        <v>0</v>
      </c>
      <c r="J189" s="334" t="e" cm="1">
        <f t="array" aca="1" ref="J189" ca="1">_xlfn.SINGLE(IF($A189="S",IF(CAIXA.Modo,BM.AFAnterior,BM.MEDAnterior),IF(AND(_xlfn.SINGLE(RegimeExecucao)="Global",$I189&gt;0,COUNTIF($AB$13:$AM$13,BM.medicao-1)&gt;0),M189/$I189*100,0)))</f>
        <v>#NAME?</v>
      </c>
      <c r="K189" s="123" t="e">
        <f t="shared" ca="1" si="17"/>
        <v>#NAME?</v>
      </c>
      <c r="L189" s="335" t="e" cm="1">
        <f t="array" aca="1" ref="L189" ca="1">_xlfn.SINGLE(IF($A189="S",IF(CAIXA.Modo,BM.AFAcumulado,BM.MEDAcumulado),IF(AND(_xlfn.SINGLE(RegimeExecucao)="Global",$I189&gt;0,COUNTIF($AB$13:$AM$13,BM.medicao)&gt;0),O189/$I189*100,0)))</f>
        <v>#NAME?</v>
      </c>
      <c r="M189" s="336">
        <f ca="1">IF($A189="S",VTOTALBM,IF($A189=0,0,ROUND(SomaAgrupBM,15-13*ORÇAMENTO!$AF$11)))</f>
        <v>0</v>
      </c>
      <c r="N189" s="337">
        <f t="shared" ca="1" si="18"/>
        <v>0</v>
      </c>
      <c r="O189" s="126">
        <f ca="1">IF($A189="S",VTOTALBM,IF($A189=0,0,ROUND(SomaAgrupBM,15-13*ORÇAMENTO!$AF$11)))</f>
        <v>0</v>
      </c>
      <c r="Q189" s="338"/>
      <c r="R189" s="339"/>
      <c r="T189" s="118" t="str">
        <f t="shared" ca="1" si="19"/>
        <v/>
      </c>
      <c r="U189" s="164" t="str">
        <f t="shared" ca="1" si="20"/>
        <v/>
      </c>
      <c r="V189" s="165" t="str">
        <f ca="1">IF(AND($W189&gt;0,RegimeExecucao="Unitário"),$F189,"")</f>
        <v/>
      </c>
      <c r="W189" s="455">
        <f ca="1">IF($Y189&gt;0,CHOOSE(MATCH(RegimeExecucao,{"Unitário","Global"},0),IF($A189="S",$Y189/$X189,""),($Y189/$X189)*100),0)</f>
        <v>0</v>
      </c>
      <c r="X189" s="340" t="str">
        <f ca="1">IF($Y189&gt;0,CHOOSE(MATCH(RegimeExecucao,{"Unitário","Global"},0),IF($A189="S",ROUND($H189,ORÇAMENTO!$AF$10),""),ROUND($I189,ORÇAMENTO!$AF$11)),"")</f>
        <v/>
      </c>
      <c r="Y189" s="340">
        <f t="shared" ca="1" si="21"/>
        <v>0</v>
      </c>
      <c r="Z189" s="474"/>
      <c r="AB189" s="338"/>
      <c r="AC189" s="438"/>
      <c r="AD189" s="438"/>
      <c r="AE189" s="438"/>
      <c r="AF189" s="438"/>
      <c r="AG189" s="438"/>
      <c r="AH189" s="438"/>
      <c r="AI189" s="438"/>
      <c r="AJ189" s="438"/>
      <c r="AK189" s="438"/>
      <c r="AL189" s="438"/>
      <c r="AM189" s="339"/>
      <c r="AO189">
        <f ca="1">IF($A189="S",IF(BM!$I189=0,0,CHOOSE(MATCH(RegimeExecucao,{"Global","Unitário"},0),ROUND(ROUND(BM.MEDAcumulado,15-13*BM!$A$9)/100*BM!$I189,15-13*ORÇAMENTO!$AF$11),ROUND(ROUND(BM.MEDAcumulado,15-13*BM!$A$9)*ROUND(BM!$H189,15-13*ORÇAMENTO!$AF$10),15-13*ORÇAMENTO!$AF$11))),IF($A189=0,0,ROUND(SomaAgrupBM,15-13*ORÇAMENTO!$AF$11)))</f>
        <v>0</v>
      </c>
    </row>
    <row r="190" spans="1:41" ht="38.25" x14ac:dyDescent="0.2">
      <c r="A190" t="str">
        <f ca="1">ORÇAMENTO!C190</f>
        <v>S</v>
      </c>
      <c r="B190">
        <f ca="1">ORÇAMENTO!D190</f>
        <v>0</v>
      </c>
      <c r="C190" s="115" t="str">
        <f t="shared" ca="1" si="15"/>
        <v/>
      </c>
      <c r="D190" s="118" t="str">
        <f ca="1">ORÇAMENTO!O190</f>
        <v>-</v>
      </c>
      <c r="E190" s="164" t="str">
        <f t="shared" si="16"/>
        <v>JOELHO 45 GRAUS, PVC, SOLDÁVEL, DN 32MM, INSTALADO EM RAMAL OU SUB-RAMAL DE ÁGUA - FORNECIMENTO E INSTALAÇÃO. AF_06/2022</v>
      </c>
      <c r="F190" s="165" t="str">
        <f ca="1">IF(RegimeExecucao="Global","",ORÇAMENTO.Unidade)</f>
        <v>UN</v>
      </c>
      <c r="G190" s="123">
        <f ca="1">IF(RegimeExecucao="Global","",ORÇAMENTO!T190)</f>
        <v>36</v>
      </c>
      <c r="H190" s="123">
        <f ca="1">IF(RegimeExecucao="Global","",ORÇAMENTO!W190)</f>
        <v>0</v>
      </c>
      <c r="I190" s="126">
        <f ca="1">ORÇAMENTO!X190</f>
        <v>0</v>
      </c>
      <c r="J190" s="334" t="e" cm="1">
        <f t="array" aca="1" ref="J190" ca="1">_xlfn.SINGLE(IF($A190="S",IF(CAIXA.Modo,BM.AFAnterior,BM.MEDAnterior),IF(AND(_xlfn.SINGLE(RegimeExecucao)="Global",$I190&gt;0,COUNTIF($AB$13:$AM$13,BM.medicao-1)&gt;0),M190/$I190*100,0)))</f>
        <v>#NAME?</v>
      </c>
      <c r="K190" s="123" t="e">
        <f t="shared" ca="1" si="17"/>
        <v>#NAME?</v>
      </c>
      <c r="L190" s="335" t="e" cm="1">
        <f t="array" aca="1" ref="L190" ca="1">_xlfn.SINGLE(IF($A190="S",IF(CAIXA.Modo,BM.AFAcumulado,BM.MEDAcumulado),IF(AND(_xlfn.SINGLE(RegimeExecucao)="Global",$I190&gt;0,COUNTIF($AB$13:$AM$13,BM.medicao)&gt;0),O190/$I190*100,0)))</f>
        <v>#NAME?</v>
      </c>
      <c r="M190" s="336">
        <f ca="1">IF($A190="S",VTOTALBM,IF($A190=0,0,ROUND(SomaAgrupBM,15-13*ORÇAMENTO!$AF$11)))</f>
        <v>0</v>
      </c>
      <c r="N190" s="337">
        <f t="shared" ca="1" si="18"/>
        <v>0</v>
      </c>
      <c r="O190" s="126">
        <f ca="1">IF($A190="S",VTOTALBM,IF($A190=0,0,ROUND(SomaAgrupBM,15-13*ORÇAMENTO!$AF$11)))</f>
        <v>0</v>
      </c>
      <c r="Q190" s="338"/>
      <c r="R190" s="339"/>
      <c r="T190" s="118" t="str">
        <f t="shared" ca="1" si="19"/>
        <v/>
      </c>
      <c r="U190" s="164" t="str">
        <f t="shared" ca="1" si="20"/>
        <v/>
      </c>
      <c r="V190" s="165" t="str">
        <f ca="1">IF(AND($W190&gt;0,RegimeExecucao="Unitário"),$F190,"")</f>
        <v/>
      </c>
      <c r="W190" s="455">
        <f ca="1">IF($Y190&gt;0,CHOOSE(MATCH(RegimeExecucao,{"Unitário","Global"},0),IF($A190="S",$Y190/$X190,""),($Y190/$X190)*100),0)</f>
        <v>0</v>
      </c>
      <c r="X190" s="340" t="str">
        <f ca="1">IF($Y190&gt;0,CHOOSE(MATCH(RegimeExecucao,{"Unitário","Global"},0),IF($A190="S",ROUND($H190,ORÇAMENTO!$AF$10),""),ROUND($I190,ORÇAMENTO!$AF$11)),"")</f>
        <v/>
      </c>
      <c r="Y190" s="340">
        <f t="shared" ca="1" si="21"/>
        <v>0</v>
      </c>
      <c r="Z190" s="474"/>
      <c r="AB190" s="338"/>
      <c r="AC190" s="438"/>
      <c r="AD190" s="438"/>
      <c r="AE190" s="438"/>
      <c r="AF190" s="438"/>
      <c r="AG190" s="438"/>
      <c r="AH190" s="438"/>
      <c r="AI190" s="438"/>
      <c r="AJ190" s="438"/>
      <c r="AK190" s="438"/>
      <c r="AL190" s="438"/>
      <c r="AM190" s="339"/>
      <c r="AO190">
        <f ca="1">IF($A190="S",IF(BM!$I190=0,0,CHOOSE(MATCH(RegimeExecucao,{"Global","Unitário"},0),ROUND(ROUND(BM.MEDAcumulado,15-13*BM!$A$9)/100*BM!$I190,15-13*ORÇAMENTO!$AF$11),ROUND(ROUND(BM.MEDAcumulado,15-13*BM!$A$9)*ROUND(BM!$H190,15-13*ORÇAMENTO!$AF$10),15-13*ORÇAMENTO!$AF$11))),IF($A190=0,0,ROUND(SomaAgrupBM,15-13*ORÇAMENTO!$AF$11)))</f>
        <v>0</v>
      </c>
    </row>
    <row r="191" spans="1:41" ht="38.25" x14ac:dyDescent="0.2">
      <c r="A191" t="str">
        <f ca="1">ORÇAMENTO!C191</f>
        <v>S</v>
      </c>
      <c r="B191">
        <f ca="1">ORÇAMENTO!D191</f>
        <v>0</v>
      </c>
      <c r="C191" s="115" t="str">
        <f t="shared" ca="1" si="15"/>
        <v/>
      </c>
      <c r="D191" s="118" t="str">
        <f ca="1">ORÇAMENTO!O191</f>
        <v>-</v>
      </c>
      <c r="E191" s="164" t="str">
        <f t="shared" si="16"/>
        <v>JOELHO 45 GRAUS, PVC, SOLDÁVEL, DN 25MM, INSTALADO EM RAMAL DE DISTRIBUIÇÃO DE ÁGUA - FORNECIMENTO E INSTALAÇÃO. AF_06/2022</v>
      </c>
      <c r="F191" s="165" t="str">
        <f ca="1">IF(RegimeExecucao="Global","",ORÇAMENTO.Unidade)</f>
        <v>UN</v>
      </c>
      <c r="G191" s="123">
        <f ca="1">IF(RegimeExecucao="Global","",ORÇAMENTO!T191)</f>
        <v>34</v>
      </c>
      <c r="H191" s="123">
        <f ca="1">IF(RegimeExecucao="Global","",ORÇAMENTO!W191)</f>
        <v>0</v>
      </c>
      <c r="I191" s="126">
        <f ca="1">ORÇAMENTO!X191</f>
        <v>0</v>
      </c>
      <c r="J191" s="334" t="e" cm="1">
        <f t="array" aca="1" ref="J191" ca="1">_xlfn.SINGLE(IF($A191="S",IF(CAIXA.Modo,BM.AFAnterior,BM.MEDAnterior),IF(AND(_xlfn.SINGLE(RegimeExecucao)="Global",$I191&gt;0,COUNTIF($AB$13:$AM$13,BM.medicao-1)&gt;0),M191/$I191*100,0)))</f>
        <v>#NAME?</v>
      </c>
      <c r="K191" s="123" t="e">
        <f t="shared" ca="1" si="17"/>
        <v>#NAME?</v>
      </c>
      <c r="L191" s="335" t="e" cm="1">
        <f t="array" aca="1" ref="L191" ca="1">_xlfn.SINGLE(IF($A191="S",IF(CAIXA.Modo,BM.AFAcumulado,BM.MEDAcumulado),IF(AND(_xlfn.SINGLE(RegimeExecucao)="Global",$I191&gt;0,COUNTIF($AB$13:$AM$13,BM.medicao)&gt;0),O191/$I191*100,0)))</f>
        <v>#NAME?</v>
      </c>
      <c r="M191" s="336">
        <f ca="1">IF($A191="S",VTOTALBM,IF($A191=0,0,ROUND(SomaAgrupBM,15-13*ORÇAMENTO!$AF$11)))</f>
        <v>0</v>
      </c>
      <c r="N191" s="337">
        <f t="shared" ca="1" si="18"/>
        <v>0</v>
      </c>
      <c r="O191" s="126">
        <f ca="1">IF($A191="S",VTOTALBM,IF($A191=0,0,ROUND(SomaAgrupBM,15-13*ORÇAMENTO!$AF$11)))</f>
        <v>0</v>
      </c>
      <c r="Q191" s="338"/>
      <c r="R191" s="339"/>
      <c r="T191" s="118" t="str">
        <f t="shared" ca="1" si="19"/>
        <v/>
      </c>
      <c r="U191" s="164" t="str">
        <f t="shared" ca="1" si="20"/>
        <v/>
      </c>
      <c r="V191" s="165" t="str">
        <f ca="1">IF(AND($W191&gt;0,RegimeExecucao="Unitário"),$F191,"")</f>
        <v/>
      </c>
      <c r="W191" s="455">
        <f ca="1">IF($Y191&gt;0,CHOOSE(MATCH(RegimeExecucao,{"Unitário","Global"},0),IF($A191="S",$Y191/$X191,""),($Y191/$X191)*100),0)</f>
        <v>0</v>
      </c>
      <c r="X191" s="340" t="str">
        <f ca="1">IF($Y191&gt;0,CHOOSE(MATCH(RegimeExecucao,{"Unitário","Global"},0),IF($A191="S",ROUND($H191,ORÇAMENTO!$AF$10),""),ROUND($I191,ORÇAMENTO!$AF$11)),"")</f>
        <v/>
      </c>
      <c r="Y191" s="340">
        <f t="shared" ca="1" si="21"/>
        <v>0</v>
      </c>
      <c r="Z191" s="474"/>
      <c r="AB191" s="338"/>
      <c r="AC191" s="438"/>
      <c r="AD191" s="438"/>
      <c r="AE191" s="438"/>
      <c r="AF191" s="438"/>
      <c r="AG191" s="438"/>
      <c r="AH191" s="438"/>
      <c r="AI191" s="438"/>
      <c r="AJ191" s="438"/>
      <c r="AK191" s="438"/>
      <c r="AL191" s="438"/>
      <c r="AM191" s="339"/>
      <c r="AO191">
        <f ca="1">IF($A191="S",IF(BM!$I191=0,0,CHOOSE(MATCH(RegimeExecucao,{"Global","Unitário"},0),ROUND(ROUND(BM.MEDAcumulado,15-13*BM!$A$9)/100*BM!$I191,15-13*ORÇAMENTO!$AF$11),ROUND(ROUND(BM.MEDAcumulado,15-13*BM!$A$9)*ROUND(BM!$H191,15-13*ORÇAMENTO!$AF$10),15-13*ORÇAMENTO!$AF$11))),IF($A191=0,0,ROUND(SomaAgrupBM,15-13*ORÇAMENTO!$AF$11)))</f>
        <v>0</v>
      </c>
    </row>
    <row r="192" spans="1:41" ht="38.25" x14ac:dyDescent="0.2">
      <c r="A192" t="str">
        <f ca="1">ORÇAMENTO!C192</f>
        <v>S</v>
      </c>
      <c r="B192">
        <f ca="1">ORÇAMENTO!D192</f>
        <v>0</v>
      </c>
      <c r="C192" s="115" t="str">
        <f t="shared" ca="1" si="15"/>
        <v/>
      </c>
      <c r="D192" s="118" t="str">
        <f ca="1">ORÇAMENTO!O192</f>
        <v>-</v>
      </c>
      <c r="E192" s="164" t="str">
        <f t="shared" si="16"/>
        <v>JOELHO 45 GRAUS, PVC, SOLDÁVEL, DN 40MM, INSTALADO EM RAMAL DE DISTRIBUIÇÃO DE ÁGUA - FORNECIMENTO E INSTALAÇÃO. AF_06/2022</v>
      </c>
      <c r="F192" s="165" t="str">
        <f ca="1">IF(RegimeExecucao="Global","",ORÇAMENTO.Unidade)</f>
        <v>UN</v>
      </c>
      <c r="G192" s="123">
        <f ca="1">IF(RegimeExecucao="Global","",ORÇAMENTO!T192)</f>
        <v>5</v>
      </c>
      <c r="H192" s="123">
        <f ca="1">IF(RegimeExecucao="Global","",ORÇAMENTO!W192)</f>
        <v>0</v>
      </c>
      <c r="I192" s="126">
        <f ca="1">ORÇAMENTO!X192</f>
        <v>0</v>
      </c>
      <c r="J192" s="334" t="e" cm="1">
        <f t="array" aca="1" ref="J192" ca="1">_xlfn.SINGLE(IF($A192="S",IF(CAIXA.Modo,BM.AFAnterior,BM.MEDAnterior),IF(AND(_xlfn.SINGLE(RegimeExecucao)="Global",$I192&gt;0,COUNTIF($AB$13:$AM$13,BM.medicao-1)&gt;0),M192/$I192*100,0)))</f>
        <v>#NAME?</v>
      </c>
      <c r="K192" s="123" t="e">
        <f t="shared" ca="1" si="17"/>
        <v>#NAME?</v>
      </c>
      <c r="L192" s="335" t="e" cm="1">
        <f t="array" aca="1" ref="L192" ca="1">_xlfn.SINGLE(IF($A192="S",IF(CAIXA.Modo,BM.AFAcumulado,BM.MEDAcumulado),IF(AND(_xlfn.SINGLE(RegimeExecucao)="Global",$I192&gt;0,COUNTIF($AB$13:$AM$13,BM.medicao)&gt;0),O192/$I192*100,0)))</f>
        <v>#NAME?</v>
      </c>
      <c r="M192" s="336">
        <f ca="1">IF($A192="S",VTOTALBM,IF($A192=0,0,ROUND(SomaAgrupBM,15-13*ORÇAMENTO!$AF$11)))</f>
        <v>0</v>
      </c>
      <c r="N192" s="337">
        <f t="shared" ca="1" si="18"/>
        <v>0</v>
      </c>
      <c r="O192" s="126">
        <f ca="1">IF($A192="S",VTOTALBM,IF($A192=0,0,ROUND(SomaAgrupBM,15-13*ORÇAMENTO!$AF$11)))</f>
        <v>0</v>
      </c>
      <c r="Q192" s="338"/>
      <c r="R192" s="339"/>
      <c r="T192" s="118" t="str">
        <f t="shared" ca="1" si="19"/>
        <v/>
      </c>
      <c r="U192" s="164" t="str">
        <f t="shared" ca="1" si="20"/>
        <v/>
      </c>
      <c r="V192" s="165" t="str">
        <f ca="1">IF(AND($W192&gt;0,RegimeExecucao="Unitário"),$F192,"")</f>
        <v/>
      </c>
      <c r="W192" s="455">
        <f ca="1">IF($Y192&gt;0,CHOOSE(MATCH(RegimeExecucao,{"Unitário","Global"},0),IF($A192="S",$Y192/$X192,""),($Y192/$X192)*100),0)</f>
        <v>0</v>
      </c>
      <c r="X192" s="340" t="str">
        <f ca="1">IF($Y192&gt;0,CHOOSE(MATCH(RegimeExecucao,{"Unitário","Global"},0),IF($A192="S",ROUND($H192,ORÇAMENTO!$AF$10),""),ROUND($I192,ORÇAMENTO!$AF$11)),"")</f>
        <v/>
      </c>
      <c r="Y192" s="340">
        <f t="shared" ca="1" si="21"/>
        <v>0</v>
      </c>
      <c r="Z192" s="474"/>
      <c r="AB192" s="338"/>
      <c r="AC192" s="438"/>
      <c r="AD192" s="438"/>
      <c r="AE192" s="438"/>
      <c r="AF192" s="438"/>
      <c r="AG192" s="438"/>
      <c r="AH192" s="438"/>
      <c r="AI192" s="438"/>
      <c r="AJ192" s="438"/>
      <c r="AK192" s="438"/>
      <c r="AL192" s="438"/>
      <c r="AM192" s="339"/>
      <c r="AO192">
        <f ca="1">IF($A192="S",IF(BM!$I192=0,0,CHOOSE(MATCH(RegimeExecucao,{"Global","Unitário"},0),ROUND(ROUND(BM.MEDAcumulado,15-13*BM!$A$9)/100*BM!$I192,15-13*ORÇAMENTO!$AF$11),ROUND(ROUND(BM.MEDAcumulado,15-13*BM!$A$9)*ROUND(BM!$H192,15-13*ORÇAMENTO!$AF$10),15-13*ORÇAMENTO!$AF$11))),IF($A192=0,0,ROUND(SomaAgrupBM,15-13*ORÇAMENTO!$AF$11)))</f>
        <v>0</v>
      </c>
    </row>
    <row r="193" spans="1:41" ht="38.25" x14ac:dyDescent="0.2">
      <c r="A193" t="str">
        <f ca="1">ORÇAMENTO!C193</f>
        <v>S</v>
      </c>
      <c r="B193">
        <f ca="1">ORÇAMENTO!D193</f>
        <v>0</v>
      </c>
      <c r="C193" s="115" t="str">
        <f t="shared" ca="1" si="15"/>
        <v/>
      </c>
      <c r="D193" s="118" t="str">
        <f ca="1">ORÇAMENTO!O193</f>
        <v>-</v>
      </c>
      <c r="E193" s="164" t="str">
        <f t="shared" si="16"/>
        <v>JOELHO 45 GRAUS, PVC, SOLDÁVEL, DN 50MM, INSTALADO EM RAMAL DE DISTRIBUIÇÃO DE ÁGUA - FORNECIMENTO E INSTALAÇÃO. AF_06/2022</v>
      </c>
      <c r="F193" s="165" t="str">
        <f ca="1">IF(RegimeExecucao="Global","",ORÇAMENTO.Unidade)</f>
        <v>UN</v>
      </c>
      <c r="G193" s="123">
        <f ca="1">IF(RegimeExecucao="Global","",ORÇAMENTO!T193)</f>
        <v>5</v>
      </c>
      <c r="H193" s="123">
        <f ca="1">IF(RegimeExecucao="Global","",ORÇAMENTO!W193)</f>
        <v>0</v>
      </c>
      <c r="I193" s="126">
        <f ca="1">ORÇAMENTO!X193</f>
        <v>0</v>
      </c>
      <c r="J193" s="334" t="e" cm="1">
        <f t="array" aca="1" ref="J193" ca="1">_xlfn.SINGLE(IF($A193="S",IF(CAIXA.Modo,BM.AFAnterior,BM.MEDAnterior),IF(AND(_xlfn.SINGLE(RegimeExecucao)="Global",$I193&gt;0,COUNTIF($AB$13:$AM$13,BM.medicao-1)&gt;0),M193/$I193*100,0)))</f>
        <v>#NAME?</v>
      </c>
      <c r="K193" s="123" t="e">
        <f t="shared" ca="1" si="17"/>
        <v>#NAME?</v>
      </c>
      <c r="L193" s="335" t="e" cm="1">
        <f t="array" aca="1" ref="L193" ca="1">_xlfn.SINGLE(IF($A193="S",IF(CAIXA.Modo,BM.AFAcumulado,BM.MEDAcumulado),IF(AND(_xlfn.SINGLE(RegimeExecucao)="Global",$I193&gt;0,COUNTIF($AB$13:$AM$13,BM.medicao)&gt;0),O193/$I193*100,0)))</f>
        <v>#NAME?</v>
      </c>
      <c r="M193" s="336">
        <f ca="1">IF($A193="S",VTOTALBM,IF($A193=0,0,ROUND(SomaAgrupBM,15-13*ORÇAMENTO!$AF$11)))</f>
        <v>0</v>
      </c>
      <c r="N193" s="337">
        <f t="shared" ca="1" si="18"/>
        <v>0</v>
      </c>
      <c r="O193" s="126">
        <f ca="1">IF($A193="S",VTOTALBM,IF($A193=0,0,ROUND(SomaAgrupBM,15-13*ORÇAMENTO!$AF$11)))</f>
        <v>0</v>
      </c>
      <c r="Q193" s="338"/>
      <c r="R193" s="339"/>
      <c r="T193" s="118" t="str">
        <f t="shared" ca="1" si="19"/>
        <v/>
      </c>
      <c r="U193" s="164" t="str">
        <f t="shared" ca="1" si="20"/>
        <v/>
      </c>
      <c r="V193" s="165" t="str">
        <f ca="1">IF(AND($W193&gt;0,RegimeExecucao="Unitário"),$F193,"")</f>
        <v/>
      </c>
      <c r="W193" s="455">
        <f ca="1">IF($Y193&gt;0,CHOOSE(MATCH(RegimeExecucao,{"Unitário","Global"},0),IF($A193="S",$Y193/$X193,""),($Y193/$X193)*100),0)</f>
        <v>0</v>
      </c>
      <c r="X193" s="340" t="str">
        <f ca="1">IF($Y193&gt;0,CHOOSE(MATCH(RegimeExecucao,{"Unitário","Global"},0),IF($A193="S",ROUND($H193,ORÇAMENTO!$AF$10),""),ROUND($I193,ORÇAMENTO!$AF$11)),"")</f>
        <v/>
      </c>
      <c r="Y193" s="340">
        <f t="shared" ca="1" si="21"/>
        <v>0</v>
      </c>
      <c r="Z193" s="474"/>
      <c r="AB193" s="338"/>
      <c r="AC193" s="438"/>
      <c r="AD193" s="438"/>
      <c r="AE193" s="438"/>
      <c r="AF193" s="438"/>
      <c r="AG193" s="438"/>
      <c r="AH193" s="438"/>
      <c r="AI193" s="438"/>
      <c r="AJ193" s="438"/>
      <c r="AK193" s="438"/>
      <c r="AL193" s="438"/>
      <c r="AM193" s="339"/>
      <c r="AO193">
        <f ca="1">IF($A193="S",IF(BM!$I193=0,0,CHOOSE(MATCH(RegimeExecucao,{"Global","Unitário"},0),ROUND(ROUND(BM.MEDAcumulado,15-13*BM!$A$9)/100*BM!$I193,15-13*ORÇAMENTO!$AF$11),ROUND(ROUND(BM.MEDAcumulado,15-13*BM!$A$9)*ROUND(BM!$H193,15-13*ORÇAMENTO!$AF$10),15-13*ORÇAMENTO!$AF$11))),IF($A193=0,0,ROUND(SomaAgrupBM,15-13*ORÇAMENTO!$AF$11)))</f>
        <v>0</v>
      </c>
    </row>
    <row r="194" spans="1:41" ht="25.5" x14ac:dyDescent="0.2">
      <c r="A194" t="str">
        <f ca="1">ORÇAMENTO!C194</f>
        <v>S</v>
      </c>
      <c r="B194">
        <f ca="1">ORÇAMENTO!D194</f>
        <v>0</v>
      </c>
      <c r="C194" s="115" t="str">
        <f t="shared" ca="1" si="15"/>
        <v/>
      </c>
      <c r="D194" s="118" t="str">
        <f ca="1">ORÇAMENTO!O194</f>
        <v>-</v>
      </c>
      <c r="E194" s="164" t="str">
        <f t="shared" si="16"/>
        <v>JOELHO 90 GRAUS, PPR, DN 50 MM, CLASSE PN 25, INSTALADO EM PRUMADA DE ÁGUA   FORNECIMENTO E INSTALAÇÃO . AF_08/2022</v>
      </c>
      <c r="F194" s="165" t="str">
        <f ca="1">IF(RegimeExecucao="Global","",ORÇAMENTO.Unidade)</f>
        <v>UN</v>
      </c>
      <c r="G194" s="123">
        <f ca="1">IF(RegimeExecucao="Global","",ORÇAMENTO!T194)</f>
        <v>14</v>
      </c>
      <c r="H194" s="123">
        <f ca="1">IF(RegimeExecucao="Global","",ORÇAMENTO!W194)</f>
        <v>0</v>
      </c>
      <c r="I194" s="126">
        <f ca="1">ORÇAMENTO!X194</f>
        <v>0</v>
      </c>
      <c r="J194" s="334" t="e" cm="1">
        <f t="array" aca="1" ref="J194" ca="1">_xlfn.SINGLE(IF($A194="S",IF(CAIXA.Modo,BM.AFAnterior,BM.MEDAnterior),IF(AND(_xlfn.SINGLE(RegimeExecucao)="Global",$I194&gt;0,COUNTIF($AB$13:$AM$13,BM.medicao-1)&gt;0),M194/$I194*100,0)))</f>
        <v>#NAME?</v>
      </c>
      <c r="K194" s="123" t="e">
        <f t="shared" ca="1" si="17"/>
        <v>#NAME?</v>
      </c>
      <c r="L194" s="335" t="e" cm="1">
        <f t="array" aca="1" ref="L194" ca="1">_xlfn.SINGLE(IF($A194="S",IF(CAIXA.Modo,BM.AFAcumulado,BM.MEDAcumulado),IF(AND(_xlfn.SINGLE(RegimeExecucao)="Global",$I194&gt;0,COUNTIF($AB$13:$AM$13,BM.medicao)&gt;0),O194/$I194*100,0)))</f>
        <v>#NAME?</v>
      </c>
      <c r="M194" s="336">
        <f ca="1">IF($A194="S",VTOTALBM,IF($A194=0,0,ROUND(SomaAgrupBM,15-13*ORÇAMENTO!$AF$11)))</f>
        <v>0</v>
      </c>
      <c r="N194" s="337">
        <f t="shared" ca="1" si="18"/>
        <v>0</v>
      </c>
      <c r="O194" s="126">
        <f ca="1">IF($A194="S",VTOTALBM,IF($A194=0,0,ROUND(SomaAgrupBM,15-13*ORÇAMENTO!$AF$11)))</f>
        <v>0</v>
      </c>
      <c r="Q194" s="338"/>
      <c r="R194" s="339"/>
      <c r="T194" s="118" t="str">
        <f t="shared" ca="1" si="19"/>
        <v/>
      </c>
      <c r="U194" s="164" t="str">
        <f t="shared" ca="1" si="20"/>
        <v/>
      </c>
      <c r="V194" s="165" t="str">
        <f ca="1">IF(AND($W194&gt;0,RegimeExecucao="Unitário"),$F194,"")</f>
        <v/>
      </c>
      <c r="W194" s="455">
        <f ca="1">IF($Y194&gt;0,CHOOSE(MATCH(RegimeExecucao,{"Unitário","Global"},0),IF($A194="S",$Y194/$X194,""),($Y194/$X194)*100),0)</f>
        <v>0</v>
      </c>
      <c r="X194" s="340" t="str">
        <f ca="1">IF($Y194&gt;0,CHOOSE(MATCH(RegimeExecucao,{"Unitário","Global"},0),IF($A194="S",ROUND($H194,ORÇAMENTO!$AF$10),""),ROUND($I194,ORÇAMENTO!$AF$11)),"")</f>
        <v/>
      </c>
      <c r="Y194" s="340">
        <f t="shared" ca="1" si="21"/>
        <v>0</v>
      </c>
      <c r="Z194" s="474"/>
      <c r="AB194" s="338"/>
      <c r="AC194" s="438"/>
      <c r="AD194" s="438"/>
      <c r="AE194" s="438"/>
      <c r="AF194" s="438"/>
      <c r="AG194" s="438"/>
      <c r="AH194" s="438"/>
      <c r="AI194" s="438"/>
      <c r="AJ194" s="438"/>
      <c r="AK194" s="438"/>
      <c r="AL194" s="438"/>
      <c r="AM194" s="339"/>
      <c r="AO194">
        <f ca="1">IF($A194="S",IF(BM!$I194=0,0,CHOOSE(MATCH(RegimeExecucao,{"Global","Unitário"},0),ROUND(ROUND(BM.MEDAcumulado,15-13*BM!$A$9)/100*BM!$I194,15-13*ORÇAMENTO!$AF$11),ROUND(ROUND(BM.MEDAcumulado,15-13*BM!$A$9)*ROUND(BM!$H194,15-13*ORÇAMENTO!$AF$10),15-13*ORÇAMENTO!$AF$11))),IF($A194=0,0,ROUND(SomaAgrupBM,15-13*ORÇAMENTO!$AF$11)))</f>
        <v>0</v>
      </c>
    </row>
    <row r="195" spans="1:41" ht="38.25" x14ac:dyDescent="0.2">
      <c r="A195" t="str">
        <f ca="1">ORÇAMENTO!C195</f>
        <v>S</v>
      </c>
      <c r="B195">
        <f ca="1">ORÇAMENTO!D195</f>
        <v>0</v>
      </c>
      <c r="C195" s="115" t="str">
        <f t="shared" ca="1" si="15"/>
        <v/>
      </c>
      <c r="D195" s="118" t="str">
        <f ca="1">ORÇAMENTO!O195</f>
        <v>-</v>
      </c>
      <c r="E195" s="164" t="str">
        <f t="shared" si="16"/>
        <v>JOELHO 90 GRAUS, PVC, SOLDÁVEL, DN 25MM, INSTALADO EM RAMAL OU SUB-RAMAL DE ÁGUA - FORNECIMENTO E INSTALAÇÃO. AF_06/2022</v>
      </c>
      <c r="F195" s="165" t="str">
        <f ca="1">IF(RegimeExecucao="Global","",ORÇAMENTO.Unidade)</f>
        <v>UN</v>
      </c>
      <c r="G195" s="123">
        <f ca="1">IF(RegimeExecucao="Global","",ORÇAMENTO!T195)</f>
        <v>148</v>
      </c>
      <c r="H195" s="123">
        <f ca="1">IF(RegimeExecucao="Global","",ORÇAMENTO!W195)</f>
        <v>0</v>
      </c>
      <c r="I195" s="126">
        <f ca="1">ORÇAMENTO!X195</f>
        <v>0</v>
      </c>
      <c r="J195" s="334" t="e" cm="1">
        <f t="array" aca="1" ref="J195" ca="1">_xlfn.SINGLE(IF($A195="S",IF(CAIXA.Modo,BM.AFAnterior,BM.MEDAnterior),IF(AND(_xlfn.SINGLE(RegimeExecucao)="Global",$I195&gt;0,COUNTIF($AB$13:$AM$13,BM.medicao-1)&gt;0),M195/$I195*100,0)))</f>
        <v>#NAME?</v>
      </c>
      <c r="K195" s="123" t="e">
        <f t="shared" ca="1" si="17"/>
        <v>#NAME?</v>
      </c>
      <c r="L195" s="335" t="e" cm="1">
        <f t="array" aca="1" ref="L195" ca="1">_xlfn.SINGLE(IF($A195="S",IF(CAIXA.Modo,BM.AFAcumulado,BM.MEDAcumulado),IF(AND(_xlfn.SINGLE(RegimeExecucao)="Global",$I195&gt;0,COUNTIF($AB$13:$AM$13,BM.medicao)&gt;0),O195/$I195*100,0)))</f>
        <v>#NAME?</v>
      </c>
      <c r="M195" s="336">
        <f ca="1">IF($A195="S",VTOTALBM,IF($A195=0,0,ROUND(SomaAgrupBM,15-13*ORÇAMENTO!$AF$11)))</f>
        <v>0</v>
      </c>
      <c r="N195" s="337">
        <f t="shared" ca="1" si="18"/>
        <v>0</v>
      </c>
      <c r="O195" s="126">
        <f ca="1">IF($A195="S",VTOTALBM,IF($A195=0,0,ROUND(SomaAgrupBM,15-13*ORÇAMENTO!$AF$11)))</f>
        <v>0</v>
      </c>
      <c r="Q195" s="338"/>
      <c r="R195" s="339"/>
      <c r="T195" s="118" t="str">
        <f t="shared" ca="1" si="19"/>
        <v/>
      </c>
      <c r="U195" s="164" t="str">
        <f t="shared" ca="1" si="20"/>
        <v/>
      </c>
      <c r="V195" s="165" t="str">
        <f ca="1">IF(AND($W195&gt;0,RegimeExecucao="Unitário"),$F195,"")</f>
        <v/>
      </c>
      <c r="W195" s="455">
        <f ca="1">IF($Y195&gt;0,CHOOSE(MATCH(RegimeExecucao,{"Unitário","Global"},0),IF($A195="S",$Y195/$X195,""),($Y195/$X195)*100),0)</f>
        <v>0</v>
      </c>
      <c r="X195" s="340" t="str">
        <f ca="1">IF($Y195&gt;0,CHOOSE(MATCH(RegimeExecucao,{"Unitário","Global"},0),IF($A195="S",ROUND($H195,ORÇAMENTO!$AF$10),""),ROUND($I195,ORÇAMENTO!$AF$11)),"")</f>
        <v/>
      </c>
      <c r="Y195" s="340">
        <f t="shared" ca="1" si="21"/>
        <v>0</v>
      </c>
      <c r="Z195" s="474"/>
      <c r="AB195" s="338"/>
      <c r="AC195" s="438"/>
      <c r="AD195" s="438"/>
      <c r="AE195" s="438"/>
      <c r="AF195" s="438"/>
      <c r="AG195" s="438"/>
      <c r="AH195" s="438"/>
      <c r="AI195" s="438"/>
      <c r="AJ195" s="438"/>
      <c r="AK195" s="438"/>
      <c r="AL195" s="438"/>
      <c r="AM195" s="339"/>
      <c r="AO195">
        <f ca="1">IF($A195="S",IF(BM!$I195=0,0,CHOOSE(MATCH(RegimeExecucao,{"Global","Unitário"},0),ROUND(ROUND(BM.MEDAcumulado,15-13*BM!$A$9)/100*BM!$I195,15-13*ORÇAMENTO!$AF$11),ROUND(ROUND(BM.MEDAcumulado,15-13*BM!$A$9)*ROUND(BM!$H195,15-13*ORÇAMENTO!$AF$10),15-13*ORÇAMENTO!$AF$11))),IF($A195=0,0,ROUND(SomaAgrupBM,15-13*ORÇAMENTO!$AF$11)))</f>
        <v>0</v>
      </c>
    </row>
    <row r="196" spans="1:41" ht="38.25" x14ac:dyDescent="0.2">
      <c r="A196" t="str">
        <f ca="1">ORÇAMENTO!C196</f>
        <v>S</v>
      </c>
      <c r="B196">
        <f ca="1">ORÇAMENTO!D196</f>
        <v>0</v>
      </c>
      <c r="C196" s="115" t="str">
        <f t="shared" ca="1" si="15"/>
        <v/>
      </c>
      <c r="D196" s="118" t="str">
        <f ca="1">ORÇAMENTO!O196</f>
        <v>-</v>
      </c>
      <c r="E196" s="164" t="str">
        <f t="shared" si="16"/>
        <v>JOELHO 90 GRAUS, PVC, SOLDÁVEL, DN 40MM, INSTALADO EM RAMAL DE DISTRIBUIÇÃO DE ÁGUA - FORNECIMENTO E INSTALAÇÃO. AF_06/2022</v>
      </c>
      <c r="F196" s="165" t="str">
        <f ca="1">IF(RegimeExecucao="Global","",ORÇAMENTO.Unidade)</f>
        <v>UN</v>
      </c>
      <c r="G196" s="123">
        <f ca="1">IF(RegimeExecucao="Global","",ORÇAMENTO!T196)</f>
        <v>9</v>
      </c>
      <c r="H196" s="123">
        <f ca="1">IF(RegimeExecucao="Global","",ORÇAMENTO!W196)</f>
        <v>0</v>
      </c>
      <c r="I196" s="126">
        <f ca="1">ORÇAMENTO!X196</f>
        <v>0</v>
      </c>
      <c r="J196" s="334" t="e" cm="1">
        <f t="array" aca="1" ref="J196" ca="1">_xlfn.SINGLE(IF($A196="S",IF(CAIXA.Modo,BM.AFAnterior,BM.MEDAnterior),IF(AND(_xlfn.SINGLE(RegimeExecucao)="Global",$I196&gt;0,COUNTIF($AB$13:$AM$13,BM.medicao-1)&gt;0),M196/$I196*100,0)))</f>
        <v>#NAME?</v>
      </c>
      <c r="K196" s="123" t="e">
        <f t="shared" ca="1" si="17"/>
        <v>#NAME?</v>
      </c>
      <c r="L196" s="335" t="e" cm="1">
        <f t="array" aca="1" ref="L196" ca="1">_xlfn.SINGLE(IF($A196="S",IF(CAIXA.Modo,BM.AFAcumulado,BM.MEDAcumulado),IF(AND(_xlfn.SINGLE(RegimeExecucao)="Global",$I196&gt;0,COUNTIF($AB$13:$AM$13,BM.medicao)&gt;0),O196/$I196*100,0)))</f>
        <v>#NAME?</v>
      </c>
      <c r="M196" s="336">
        <f ca="1">IF($A196="S",VTOTALBM,IF($A196=0,0,ROUND(SomaAgrupBM,15-13*ORÇAMENTO!$AF$11)))</f>
        <v>0</v>
      </c>
      <c r="N196" s="337">
        <f t="shared" ca="1" si="18"/>
        <v>0</v>
      </c>
      <c r="O196" s="126">
        <f ca="1">IF($A196="S",VTOTALBM,IF($A196=0,0,ROUND(SomaAgrupBM,15-13*ORÇAMENTO!$AF$11)))</f>
        <v>0</v>
      </c>
      <c r="Q196" s="338"/>
      <c r="R196" s="339"/>
      <c r="T196" s="118" t="str">
        <f t="shared" ca="1" si="19"/>
        <v/>
      </c>
      <c r="U196" s="164" t="str">
        <f t="shared" ca="1" si="20"/>
        <v/>
      </c>
      <c r="V196" s="165" t="str">
        <f ca="1">IF(AND($W196&gt;0,RegimeExecucao="Unitário"),$F196,"")</f>
        <v/>
      </c>
      <c r="W196" s="455">
        <f ca="1">IF($Y196&gt;0,CHOOSE(MATCH(RegimeExecucao,{"Unitário","Global"},0),IF($A196="S",$Y196/$X196,""),($Y196/$X196)*100),0)</f>
        <v>0</v>
      </c>
      <c r="X196" s="340" t="str">
        <f ca="1">IF($Y196&gt;0,CHOOSE(MATCH(RegimeExecucao,{"Unitário","Global"},0),IF($A196="S",ROUND($H196,ORÇAMENTO!$AF$10),""),ROUND($I196,ORÇAMENTO!$AF$11)),"")</f>
        <v/>
      </c>
      <c r="Y196" s="340">
        <f t="shared" ca="1" si="21"/>
        <v>0</v>
      </c>
      <c r="Z196" s="474"/>
      <c r="AB196" s="338"/>
      <c r="AC196" s="438"/>
      <c r="AD196" s="438"/>
      <c r="AE196" s="438"/>
      <c r="AF196" s="438"/>
      <c r="AG196" s="438"/>
      <c r="AH196" s="438"/>
      <c r="AI196" s="438"/>
      <c r="AJ196" s="438"/>
      <c r="AK196" s="438"/>
      <c r="AL196" s="438"/>
      <c r="AM196" s="339"/>
      <c r="AO196">
        <f ca="1">IF($A196="S",IF(BM!$I196=0,0,CHOOSE(MATCH(RegimeExecucao,{"Global","Unitário"},0),ROUND(ROUND(BM.MEDAcumulado,15-13*BM!$A$9)/100*BM!$I196,15-13*ORÇAMENTO!$AF$11),ROUND(ROUND(BM.MEDAcumulado,15-13*BM!$A$9)*ROUND(BM!$H196,15-13*ORÇAMENTO!$AF$10),15-13*ORÇAMENTO!$AF$11))),IF($A196=0,0,ROUND(SomaAgrupBM,15-13*ORÇAMENTO!$AF$11)))</f>
        <v>0</v>
      </c>
    </row>
    <row r="197" spans="1:41" ht="38.25" x14ac:dyDescent="0.2">
      <c r="A197" t="str">
        <f ca="1">ORÇAMENTO!C197</f>
        <v>S</v>
      </c>
      <c r="B197">
        <f ca="1">ORÇAMENTO!D197</f>
        <v>0</v>
      </c>
      <c r="C197" s="115" t="str">
        <f t="shared" ca="1" si="15"/>
        <v/>
      </c>
      <c r="D197" s="118" t="str">
        <f ca="1">ORÇAMENTO!O197</f>
        <v>-</v>
      </c>
      <c r="E197" s="164" t="str">
        <f t="shared" si="16"/>
        <v>JOELHO DE REDUÇÃO, 90 GRAUS, PVC, SOLDÁVEL, DN 32 MM X 25 MM, INSTALADO EM RAMAL OU SUB-RAMAL DE ÁGUA - FORNECIMENTO E INSTALAÇÃO. AF_06/2022</v>
      </c>
      <c r="F197" s="165" t="str">
        <f ca="1">IF(RegimeExecucao="Global","",ORÇAMENTO.Unidade)</f>
        <v>UN</v>
      </c>
      <c r="G197" s="123">
        <f ca="1">IF(RegimeExecucao="Global","",ORÇAMENTO!T197)</f>
        <v>4</v>
      </c>
      <c r="H197" s="123">
        <f ca="1">IF(RegimeExecucao="Global","",ORÇAMENTO!W197)</f>
        <v>0</v>
      </c>
      <c r="I197" s="126">
        <f ca="1">ORÇAMENTO!X197</f>
        <v>0</v>
      </c>
      <c r="J197" s="334" t="e" cm="1">
        <f t="array" aca="1" ref="J197" ca="1">_xlfn.SINGLE(IF($A197="S",IF(CAIXA.Modo,BM.AFAnterior,BM.MEDAnterior),IF(AND(_xlfn.SINGLE(RegimeExecucao)="Global",$I197&gt;0,COUNTIF($AB$13:$AM$13,BM.medicao-1)&gt;0),M197/$I197*100,0)))</f>
        <v>#NAME?</v>
      </c>
      <c r="K197" s="123" t="e">
        <f t="shared" ca="1" si="17"/>
        <v>#NAME?</v>
      </c>
      <c r="L197" s="335" t="e" cm="1">
        <f t="array" aca="1" ref="L197" ca="1">_xlfn.SINGLE(IF($A197="S",IF(CAIXA.Modo,BM.AFAcumulado,BM.MEDAcumulado),IF(AND(_xlfn.SINGLE(RegimeExecucao)="Global",$I197&gt;0,COUNTIF($AB$13:$AM$13,BM.medicao)&gt;0),O197/$I197*100,0)))</f>
        <v>#NAME?</v>
      </c>
      <c r="M197" s="336">
        <f ca="1">IF($A197="S",VTOTALBM,IF($A197=0,0,ROUND(SomaAgrupBM,15-13*ORÇAMENTO!$AF$11)))</f>
        <v>0</v>
      </c>
      <c r="N197" s="337">
        <f t="shared" ca="1" si="18"/>
        <v>0</v>
      </c>
      <c r="O197" s="126">
        <f ca="1">IF($A197="S",VTOTALBM,IF($A197=0,0,ROUND(SomaAgrupBM,15-13*ORÇAMENTO!$AF$11)))</f>
        <v>0</v>
      </c>
      <c r="Q197" s="338"/>
      <c r="R197" s="339"/>
      <c r="T197" s="118" t="str">
        <f t="shared" ca="1" si="19"/>
        <v/>
      </c>
      <c r="U197" s="164" t="str">
        <f t="shared" ca="1" si="20"/>
        <v/>
      </c>
      <c r="V197" s="165" t="str">
        <f ca="1">IF(AND($W197&gt;0,RegimeExecucao="Unitário"),$F197,"")</f>
        <v/>
      </c>
      <c r="W197" s="455">
        <f ca="1">IF($Y197&gt;0,CHOOSE(MATCH(RegimeExecucao,{"Unitário","Global"},0),IF($A197="S",$Y197/$X197,""),($Y197/$X197)*100),0)</f>
        <v>0</v>
      </c>
      <c r="X197" s="340" t="str">
        <f ca="1">IF($Y197&gt;0,CHOOSE(MATCH(RegimeExecucao,{"Unitário","Global"},0),IF($A197="S",ROUND($H197,ORÇAMENTO!$AF$10),""),ROUND($I197,ORÇAMENTO!$AF$11)),"")</f>
        <v/>
      </c>
      <c r="Y197" s="340">
        <f t="shared" ca="1" si="21"/>
        <v>0</v>
      </c>
      <c r="Z197" s="474"/>
      <c r="AB197" s="338"/>
      <c r="AC197" s="438"/>
      <c r="AD197" s="438"/>
      <c r="AE197" s="438"/>
      <c r="AF197" s="438"/>
      <c r="AG197" s="438"/>
      <c r="AH197" s="438"/>
      <c r="AI197" s="438"/>
      <c r="AJ197" s="438"/>
      <c r="AK197" s="438"/>
      <c r="AL197" s="438"/>
      <c r="AM197" s="339"/>
      <c r="AO197">
        <f ca="1">IF($A197="S",IF(BM!$I197=0,0,CHOOSE(MATCH(RegimeExecucao,{"Global","Unitário"},0),ROUND(ROUND(BM.MEDAcumulado,15-13*BM!$A$9)/100*BM!$I197,15-13*ORÇAMENTO!$AF$11),ROUND(ROUND(BM.MEDAcumulado,15-13*BM!$A$9)*ROUND(BM!$H197,15-13*ORÇAMENTO!$AF$10),15-13*ORÇAMENTO!$AF$11))),IF($A197=0,0,ROUND(SomaAgrupBM,15-13*ORÇAMENTO!$AF$11)))</f>
        <v>0</v>
      </c>
    </row>
    <row r="198" spans="1:41" ht="38.25" x14ac:dyDescent="0.2">
      <c r="A198" t="str">
        <f ca="1">ORÇAMENTO!C198</f>
        <v>S</v>
      </c>
      <c r="B198">
        <f ca="1">ORÇAMENTO!D198</f>
        <v>0</v>
      </c>
      <c r="C198" s="115" t="str">
        <f t="shared" ca="1" si="15"/>
        <v/>
      </c>
      <c r="D198" s="118" t="str">
        <f ca="1">ORÇAMENTO!O198</f>
        <v>-</v>
      </c>
      <c r="E198" s="164" t="str">
        <f t="shared" si="16"/>
        <v>JOELHO 90 GRAUS COM BUCHA DE LATÃO, PVC, SOLDÁVEL, DN 25MM, X 3/4  INSTALADO EM RAMAL OU SUB-RAMAL DE ÁGUA - FORNECIMENTO E INSTALAÇÃO. AF_06/2022</v>
      </c>
      <c r="F198" s="165" t="str">
        <f ca="1">IF(RegimeExecucao="Global","",ORÇAMENTO.Unidade)</f>
        <v>UN</v>
      </c>
      <c r="G198" s="123">
        <f ca="1">IF(RegimeExecucao="Global","",ORÇAMENTO!T198)</f>
        <v>10</v>
      </c>
      <c r="H198" s="123">
        <f ca="1">IF(RegimeExecucao="Global","",ORÇAMENTO!W198)</f>
        <v>0</v>
      </c>
      <c r="I198" s="126">
        <f ca="1">ORÇAMENTO!X198</f>
        <v>0</v>
      </c>
      <c r="J198" s="334" t="e" cm="1">
        <f t="array" aca="1" ref="J198" ca="1">_xlfn.SINGLE(IF($A198="S",IF(CAIXA.Modo,BM.AFAnterior,BM.MEDAnterior),IF(AND(_xlfn.SINGLE(RegimeExecucao)="Global",$I198&gt;0,COUNTIF($AB$13:$AM$13,BM.medicao-1)&gt;0),M198/$I198*100,0)))</f>
        <v>#NAME?</v>
      </c>
      <c r="K198" s="123" t="e">
        <f t="shared" ca="1" si="17"/>
        <v>#NAME?</v>
      </c>
      <c r="L198" s="335" t="e" cm="1">
        <f t="array" aca="1" ref="L198" ca="1">_xlfn.SINGLE(IF($A198="S",IF(CAIXA.Modo,BM.AFAcumulado,BM.MEDAcumulado),IF(AND(_xlfn.SINGLE(RegimeExecucao)="Global",$I198&gt;0,COUNTIF($AB$13:$AM$13,BM.medicao)&gt;0),O198/$I198*100,0)))</f>
        <v>#NAME?</v>
      </c>
      <c r="M198" s="336">
        <f ca="1">IF($A198="S",VTOTALBM,IF($A198=0,0,ROUND(SomaAgrupBM,15-13*ORÇAMENTO!$AF$11)))</f>
        <v>0</v>
      </c>
      <c r="N198" s="337">
        <f t="shared" ca="1" si="18"/>
        <v>0</v>
      </c>
      <c r="O198" s="126">
        <f ca="1">IF($A198="S",VTOTALBM,IF($A198=0,0,ROUND(SomaAgrupBM,15-13*ORÇAMENTO!$AF$11)))</f>
        <v>0</v>
      </c>
      <c r="Q198" s="338"/>
      <c r="R198" s="339"/>
      <c r="T198" s="118" t="str">
        <f t="shared" ca="1" si="19"/>
        <v/>
      </c>
      <c r="U198" s="164" t="str">
        <f t="shared" ca="1" si="20"/>
        <v/>
      </c>
      <c r="V198" s="165" t="str">
        <f ca="1">IF(AND($W198&gt;0,RegimeExecucao="Unitário"),$F198,"")</f>
        <v/>
      </c>
      <c r="W198" s="455">
        <f ca="1">IF($Y198&gt;0,CHOOSE(MATCH(RegimeExecucao,{"Unitário","Global"},0),IF($A198="S",$Y198/$X198,""),($Y198/$X198)*100),0)</f>
        <v>0</v>
      </c>
      <c r="X198" s="340" t="str">
        <f ca="1">IF($Y198&gt;0,CHOOSE(MATCH(RegimeExecucao,{"Unitário","Global"},0),IF($A198="S",ROUND($H198,ORÇAMENTO!$AF$10),""),ROUND($I198,ORÇAMENTO!$AF$11)),"")</f>
        <v/>
      </c>
      <c r="Y198" s="340">
        <f t="shared" ca="1" si="21"/>
        <v>0</v>
      </c>
      <c r="Z198" s="474"/>
      <c r="AB198" s="338"/>
      <c r="AC198" s="438"/>
      <c r="AD198" s="438"/>
      <c r="AE198" s="438"/>
      <c r="AF198" s="438"/>
      <c r="AG198" s="438"/>
      <c r="AH198" s="438"/>
      <c r="AI198" s="438"/>
      <c r="AJ198" s="438"/>
      <c r="AK198" s="438"/>
      <c r="AL198" s="438"/>
      <c r="AM198" s="339"/>
      <c r="AO198">
        <f ca="1">IF($A198="S",IF(BM!$I198=0,0,CHOOSE(MATCH(RegimeExecucao,{"Global","Unitário"},0),ROUND(ROUND(BM.MEDAcumulado,15-13*BM!$A$9)/100*BM!$I198,15-13*ORÇAMENTO!$AF$11),ROUND(ROUND(BM.MEDAcumulado,15-13*BM!$A$9)*ROUND(BM!$H198,15-13*ORÇAMENTO!$AF$10),15-13*ORÇAMENTO!$AF$11))),IF($A198=0,0,ROUND(SomaAgrupBM,15-13*ORÇAMENTO!$AF$11)))</f>
        <v>0</v>
      </c>
    </row>
    <row r="199" spans="1:41" ht="25.5" x14ac:dyDescent="0.2">
      <c r="A199" t="str">
        <f ca="1">ORÇAMENTO!C199</f>
        <v>S</v>
      </c>
      <c r="B199">
        <f ca="1">ORÇAMENTO!D199</f>
        <v>0</v>
      </c>
      <c r="C199" s="115" t="str">
        <f t="shared" ca="1" si="15"/>
        <v/>
      </c>
      <c r="D199" s="118" t="str">
        <f ca="1">ORÇAMENTO!O199</f>
        <v>-</v>
      </c>
      <c r="E199" s="164" t="str">
        <f t="shared" si="16"/>
        <v>LUVA, PVC, SOLDÁVEL, DN 40MM, INSTALADO EM PRUMADA DE ÁGUA - FORNECIMENTO E INSTALAÇÃO. AF_06/2022</v>
      </c>
      <c r="F199" s="165" t="str">
        <f ca="1">IF(RegimeExecucao="Global","",ORÇAMENTO.Unidade)</f>
        <v>UN</v>
      </c>
      <c r="G199" s="123">
        <f ca="1">IF(RegimeExecucao="Global","",ORÇAMENTO!T199)</f>
        <v>4</v>
      </c>
      <c r="H199" s="123">
        <f ca="1">IF(RegimeExecucao="Global","",ORÇAMENTO!W199)</f>
        <v>0</v>
      </c>
      <c r="I199" s="126">
        <f ca="1">ORÇAMENTO!X199</f>
        <v>0</v>
      </c>
      <c r="J199" s="334" t="e" cm="1">
        <f t="array" aca="1" ref="J199" ca="1">_xlfn.SINGLE(IF($A199="S",IF(CAIXA.Modo,BM.AFAnterior,BM.MEDAnterior),IF(AND(_xlfn.SINGLE(RegimeExecucao)="Global",$I199&gt;0,COUNTIF($AB$13:$AM$13,BM.medicao-1)&gt;0),M199/$I199*100,0)))</f>
        <v>#NAME?</v>
      </c>
      <c r="K199" s="123" t="e">
        <f t="shared" ca="1" si="17"/>
        <v>#NAME?</v>
      </c>
      <c r="L199" s="335" t="e" cm="1">
        <f t="array" aca="1" ref="L199" ca="1">_xlfn.SINGLE(IF($A199="S",IF(CAIXA.Modo,BM.AFAcumulado,BM.MEDAcumulado),IF(AND(_xlfn.SINGLE(RegimeExecucao)="Global",$I199&gt;0,COUNTIF($AB$13:$AM$13,BM.medicao)&gt;0),O199/$I199*100,0)))</f>
        <v>#NAME?</v>
      </c>
      <c r="M199" s="336">
        <f ca="1">IF($A199="S",VTOTALBM,IF($A199=0,0,ROUND(SomaAgrupBM,15-13*ORÇAMENTO!$AF$11)))</f>
        <v>0</v>
      </c>
      <c r="N199" s="337">
        <f t="shared" ca="1" si="18"/>
        <v>0</v>
      </c>
      <c r="O199" s="126">
        <f ca="1">IF($A199="S",VTOTALBM,IF($A199=0,0,ROUND(SomaAgrupBM,15-13*ORÇAMENTO!$AF$11)))</f>
        <v>0</v>
      </c>
      <c r="Q199" s="338"/>
      <c r="R199" s="339"/>
      <c r="T199" s="118" t="str">
        <f t="shared" ca="1" si="19"/>
        <v/>
      </c>
      <c r="U199" s="164" t="str">
        <f t="shared" ca="1" si="20"/>
        <v/>
      </c>
      <c r="V199" s="165" t="str">
        <f ca="1">IF(AND($W199&gt;0,RegimeExecucao="Unitário"),$F199,"")</f>
        <v/>
      </c>
      <c r="W199" s="455">
        <f ca="1">IF($Y199&gt;0,CHOOSE(MATCH(RegimeExecucao,{"Unitário","Global"},0),IF($A199="S",$Y199/$X199,""),($Y199/$X199)*100),0)</f>
        <v>0</v>
      </c>
      <c r="X199" s="340" t="str">
        <f ca="1">IF($Y199&gt;0,CHOOSE(MATCH(RegimeExecucao,{"Unitário","Global"},0),IF($A199="S",ROUND($H199,ORÇAMENTO!$AF$10),""),ROUND($I199,ORÇAMENTO!$AF$11)),"")</f>
        <v/>
      </c>
      <c r="Y199" s="340">
        <f t="shared" ca="1" si="21"/>
        <v>0</v>
      </c>
      <c r="Z199" s="474"/>
      <c r="AB199" s="338"/>
      <c r="AC199" s="438"/>
      <c r="AD199" s="438"/>
      <c r="AE199" s="438"/>
      <c r="AF199" s="438"/>
      <c r="AG199" s="438"/>
      <c r="AH199" s="438"/>
      <c r="AI199" s="438"/>
      <c r="AJ199" s="438"/>
      <c r="AK199" s="438"/>
      <c r="AL199" s="438"/>
      <c r="AM199" s="339"/>
      <c r="AO199">
        <f ca="1">IF($A199="S",IF(BM!$I199=0,0,CHOOSE(MATCH(RegimeExecucao,{"Global","Unitário"},0),ROUND(ROUND(BM.MEDAcumulado,15-13*BM!$A$9)/100*BM!$I199,15-13*ORÇAMENTO!$AF$11),ROUND(ROUND(BM.MEDAcumulado,15-13*BM!$A$9)*ROUND(BM!$H199,15-13*ORÇAMENTO!$AF$10),15-13*ORÇAMENTO!$AF$11))),IF($A199=0,0,ROUND(SomaAgrupBM,15-13*ORÇAMENTO!$AF$11)))</f>
        <v>0</v>
      </c>
    </row>
    <row r="200" spans="1:41" ht="38.25" x14ac:dyDescent="0.2">
      <c r="A200" t="str">
        <f ca="1">ORÇAMENTO!C200</f>
        <v>S</v>
      </c>
      <c r="B200">
        <f ca="1">ORÇAMENTO!D200</f>
        <v>0</v>
      </c>
      <c r="C200" s="115" t="str">
        <f t="shared" ca="1" si="15"/>
        <v/>
      </c>
      <c r="D200" s="118" t="str">
        <f ca="1">ORÇAMENTO!O200</f>
        <v>-</v>
      </c>
      <c r="E200" s="164" t="str">
        <f t="shared" si="16"/>
        <v>LUVA, PVC, SOLDÁVEL, DN 50MM, INSTALADO EM RAMAL DE DISTRIBUIÇÃO DE ÁGUA - FORNECIMENTO E INSTALAÇÃO. AF_06/2022</v>
      </c>
      <c r="F200" s="165" t="str">
        <f ca="1">IF(RegimeExecucao="Global","",ORÇAMENTO.Unidade)</f>
        <v>UN</v>
      </c>
      <c r="G200" s="123">
        <f ca="1">IF(RegimeExecucao="Global","",ORÇAMENTO!T200)</f>
        <v>1</v>
      </c>
      <c r="H200" s="123">
        <f ca="1">IF(RegimeExecucao="Global","",ORÇAMENTO!W200)</f>
        <v>0</v>
      </c>
      <c r="I200" s="126">
        <f ca="1">ORÇAMENTO!X200</f>
        <v>0</v>
      </c>
      <c r="J200" s="334" t="e" cm="1">
        <f t="array" aca="1" ref="J200" ca="1">_xlfn.SINGLE(IF($A200="S",IF(CAIXA.Modo,BM.AFAnterior,BM.MEDAnterior),IF(AND(_xlfn.SINGLE(RegimeExecucao)="Global",$I200&gt;0,COUNTIF($AB$13:$AM$13,BM.medicao-1)&gt;0),M200/$I200*100,0)))</f>
        <v>#NAME?</v>
      </c>
      <c r="K200" s="123" t="e">
        <f t="shared" ca="1" si="17"/>
        <v>#NAME?</v>
      </c>
      <c r="L200" s="335" t="e" cm="1">
        <f t="array" aca="1" ref="L200" ca="1">_xlfn.SINGLE(IF($A200="S",IF(CAIXA.Modo,BM.AFAcumulado,BM.MEDAcumulado),IF(AND(_xlfn.SINGLE(RegimeExecucao)="Global",$I200&gt;0,COUNTIF($AB$13:$AM$13,BM.medicao)&gt;0),O200/$I200*100,0)))</f>
        <v>#NAME?</v>
      </c>
      <c r="M200" s="336">
        <f ca="1">IF($A200="S",VTOTALBM,IF($A200=0,0,ROUND(SomaAgrupBM,15-13*ORÇAMENTO!$AF$11)))</f>
        <v>0</v>
      </c>
      <c r="N200" s="337">
        <f t="shared" ca="1" si="18"/>
        <v>0</v>
      </c>
      <c r="O200" s="126">
        <f ca="1">IF($A200="S",VTOTALBM,IF($A200=0,0,ROUND(SomaAgrupBM,15-13*ORÇAMENTO!$AF$11)))</f>
        <v>0</v>
      </c>
      <c r="Q200" s="338"/>
      <c r="R200" s="339"/>
      <c r="T200" s="118" t="str">
        <f t="shared" ca="1" si="19"/>
        <v/>
      </c>
      <c r="U200" s="164" t="str">
        <f t="shared" ca="1" si="20"/>
        <v/>
      </c>
      <c r="V200" s="165" t="str">
        <f ca="1">IF(AND($W200&gt;0,RegimeExecucao="Unitário"),$F200,"")</f>
        <v/>
      </c>
      <c r="W200" s="455">
        <f ca="1">IF($Y200&gt;0,CHOOSE(MATCH(RegimeExecucao,{"Unitário","Global"},0),IF($A200="S",$Y200/$X200,""),($Y200/$X200)*100),0)</f>
        <v>0</v>
      </c>
      <c r="X200" s="340" t="str">
        <f ca="1">IF($Y200&gt;0,CHOOSE(MATCH(RegimeExecucao,{"Unitário","Global"},0),IF($A200="S",ROUND($H200,ORÇAMENTO!$AF$10),""),ROUND($I200,ORÇAMENTO!$AF$11)),"")</f>
        <v/>
      </c>
      <c r="Y200" s="340">
        <f t="shared" ca="1" si="21"/>
        <v>0</v>
      </c>
      <c r="Z200" s="474"/>
      <c r="AB200" s="338"/>
      <c r="AC200" s="438"/>
      <c r="AD200" s="438"/>
      <c r="AE200" s="438"/>
      <c r="AF200" s="438"/>
      <c r="AG200" s="438"/>
      <c r="AH200" s="438"/>
      <c r="AI200" s="438"/>
      <c r="AJ200" s="438"/>
      <c r="AK200" s="438"/>
      <c r="AL200" s="438"/>
      <c r="AM200" s="339"/>
      <c r="AO200">
        <f ca="1">IF($A200="S",IF(BM!$I200=0,0,CHOOSE(MATCH(RegimeExecucao,{"Global","Unitário"},0),ROUND(ROUND(BM.MEDAcumulado,15-13*BM!$A$9)/100*BM!$I200,15-13*ORÇAMENTO!$AF$11),ROUND(ROUND(BM.MEDAcumulado,15-13*BM!$A$9)*ROUND(BM!$H200,15-13*ORÇAMENTO!$AF$10),15-13*ORÇAMENTO!$AF$11))),IF($A200=0,0,ROUND(SomaAgrupBM,15-13*ORÇAMENTO!$AF$11)))</f>
        <v>0</v>
      </c>
    </row>
    <row r="201" spans="1:41" ht="38.25" x14ac:dyDescent="0.2">
      <c r="A201" t="str">
        <f ca="1">ORÇAMENTO!C201</f>
        <v>S</v>
      </c>
      <c r="B201">
        <f ca="1">ORÇAMENTO!D201</f>
        <v>0</v>
      </c>
      <c r="C201" s="115" t="str">
        <f t="shared" ca="1" si="15"/>
        <v/>
      </c>
      <c r="D201" s="118" t="str">
        <f ca="1">ORÇAMENTO!O201</f>
        <v>-</v>
      </c>
      <c r="E201" s="164" t="str">
        <f t="shared" si="16"/>
        <v>TUBO, PVC, SOLDÁVEL, DE 50MM, INSTALADO EM RAMAL DE DISTRIBUIÇÃO DE ÁGUA - FORNECIMENTO E INSTALAÇÃO. AF_06/2022</v>
      </c>
      <c r="F201" s="165" t="str">
        <f ca="1">IF(RegimeExecucao="Global","",ORÇAMENTO.Unidade)</f>
        <v>M</v>
      </c>
      <c r="G201" s="123">
        <f ca="1">IF(RegimeExecucao="Global","",ORÇAMENTO!T201)</f>
        <v>88</v>
      </c>
      <c r="H201" s="123">
        <f ca="1">IF(RegimeExecucao="Global","",ORÇAMENTO!W201)</f>
        <v>0</v>
      </c>
      <c r="I201" s="126">
        <f ca="1">ORÇAMENTO!X201</f>
        <v>0</v>
      </c>
      <c r="J201" s="334" t="e" cm="1">
        <f t="array" aca="1" ref="J201" ca="1">_xlfn.SINGLE(IF($A201="S",IF(CAIXA.Modo,BM.AFAnterior,BM.MEDAnterior),IF(AND(_xlfn.SINGLE(RegimeExecucao)="Global",$I201&gt;0,COUNTIF($AB$13:$AM$13,BM.medicao-1)&gt;0),M201/$I201*100,0)))</f>
        <v>#NAME?</v>
      </c>
      <c r="K201" s="123" t="e">
        <f t="shared" ca="1" si="17"/>
        <v>#NAME?</v>
      </c>
      <c r="L201" s="335" t="e" cm="1">
        <f t="array" aca="1" ref="L201" ca="1">_xlfn.SINGLE(IF($A201="S",IF(CAIXA.Modo,BM.AFAcumulado,BM.MEDAcumulado),IF(AND(_xlfn.SINGLE(RegimeExecucao)="Global",$I201&gt;0,COUNTIF($AB$13:$AM$13,BM.medicao)&gt;0),O201/$I201*100,0)))</f>
        <v>#NAME?</v>
      </c>
      <c r="M201" s="336">
        <f ca="1">IF($A201="S",VTOTALBM,IF($A201=0,0,ROUND(SomaAgrupBM,15-13*ORÇAMENTO!$AF$11)))</f>
        <v>0</v>
      </c>
      <c r="N201" s="337">
        <f t="shared" ca="1" si="18"/>
        <v>0</v>
      </c>
      <c r="O201" s="126">
        <f ca="1">IF($A201="S",VTOTALBM,IF($A201=0,0,ROUND(SomaAgrupBM,15-13*ORÇAMENTO!$AF$11)))</f>
        <v>0</v>
      </c>
      <c r="Q201" s="338"/>
      <c r="R201" s="339"/>
      <c r="T201" s="118" t="str">
        <f t="shared" ca="1" si="19"/>
        <v/>
      </c>
      <c r="U201" s="164" t="str">
        <f t="shared" ca="1" si="20"/>
        <v/>
      </c>
      <c r="V201" s="165" t="str">
        <f ca="1">IF(AND($W201&gt;0,RegimeExecucao="Unitário"),$F201,"")</f>
        <v/>
      </c>
      <c r="W201" s="455">
        <f ca="1">IF($Y201&gt;0,CHOOSE(MATCH(RegimeExecucao,{"Unitário","Global"},0),IF($A201="S",$Y201/$X201,""),($Y201/$X201)*100),0)</f>
        <v>0</v>
      </c>
      <c r="X201" s="340" t="str">
        <f ca="1">IF($Y201&gt;0,CHOOSE(MATCH(RegimeExecucao,{"Unitário","Global"},0),IF($A201="S",ROUND($H201,ORÇAMENTO!$AF$10),""),ROUND($I201,ORÇAMENTO!$AF$11)),"")</f>
        <v/>
      </c>
      <c r="Y201" s="340">
        <f t="shared" ca="1" si="21"/>
        <v>0</v>
      </c>
      <c r="Z201" s="474"/>
      <c r="AB201" s="338"/>
      <c r="AC201" s="438"/>
      <c r="AD201" s="438"/>
      <c r="AE201" s="438"/>
      <c r="AF201" s="438"/>
      <c r="AG201" s="438"/>
      <c r="AH201" s="438"/>
      <c r="AI201" s="438"/>
      <c r="AJ201" s="438"/>
      <c r="AK201" s="438"/>
      <c r="AL201" s="438"/>
      <c r="AM201" s="339"/>
      <c r="AO201">
        <f ca="1">IF($A201="S",IF(BM!$I201=0,0,CHOOSE(MATCH(RegimeExecucao,{"Global","Unitário"},0),ROUND(ROUND(BM.MEDAcumulado,15-13*BM!$A$9)/100*BM!$I201,15-13*ORÇAMENTO!$AF$11),ROUND(ROUND(BM.MEDAcumulado,15-13*BM!$A$9)*ROUND(BM!$H201,15-13*ORÇAMENTO!$AF$10),15-13*ORÇAMENTO!$AF$11))),IF($A201=0,0,ROUND(SomaAgrupBM,15-13*ORÇAMENTO!$AF$11)))</f>
        <v>0</v>
      </c>
    </row>
    <row r="202" spans="1:41" ht="38.25" x14ac:dyDescent="0.2">
      <c r="A202" t="str">
        <f ca="1">ORÇAMENTO!C202</f>
        <v>S</v>
      </c>
      <c r="B202">
        <f ca="1">ORÇAMENTO!D202</f>
        <v>0</v>
      </c>
      <c r="C202" s="115" t="str">
        <f t="shared" ca="1" si="15"/>
        <v/>
      </c>
      <c r="D202" s="118" t="str">
        <f ca="1">ORÇAMENTO!O202</f>
        <v>-</v>
      </c>
      <c r="E202" s="164" t="str">
        <f t="shared" si="16"/>
        <v>JOELHO DE REDUÇÃO, 90 GRAUS, PVC, SOLDÁVEL, DN 32 MM X 25 MM, INSTALADO EM RAMAL DE DISTRIBUIÇÃO DE ÁGUA - FORNECIMENTO E INSTALAÇÃO. AF_06/2022</v>
      </c>
      <c r="F202" s="165" t="str">
        <f ca="1">IF(RegimeExecucao="Global","",ORÇAMENTO.Unidade)</f>
        <v>UN</v>
      </c>
      <c r="G202" s="123">
        <f ca="1">IF(RegimeExecucao="Global","",ORÇAMENTO!T202)</f>
        <v>8</v>
      </c>
      <c r="H202" s="123">
        <f ca="1">IF(RegimeExecucao="Global","",ORÇAMENTO!W202)</f>
        <v>0</v>
      </c>
      <c r="I202" s="126">
        <f ca="1">ORÇAMENTO!X202</f>
        <v>0</v>
      </c>
      <c r="J202" s="334" t="e" cm="1">
        <f t="array" aca="1" ref="J202" ca="1">_xlfn.SINGLE(IF($A202="S",IF(CAIXA.Modo,BM.AFAnterior,BM.MEDAnterior),IF(AND(_xlfn.SINGLE(RegimeExecucao)="Global",$I202&gt;0,COUNTIF($AB$13:$AM$13,BM.medicao-1)&gt;0),M202/$I202*100,0)))</f>
        <v>#NAME?</v>
      </c>
      <c r="K202" s="123" t="e">
        <f t="shared" ca="1" si="17"/>
        <v>#NAME?</v>
      </c>
      <c r="L202" s="335" t="e" cm="1">
        <f t="array" aca="1" ref="L202" ca="1">_xlfn.SINGLE(IF($A202="S",IF(CAIXA.Modo,BM.AFAcumulado,BM.MEDAcumulado),IF(AND(_xlfn.SINGLE(RegimeExecucao)="Global",$I202&gt;0,COUNTIF($AB$13:$AM$13,BM.medicao)&gt;0),O202/$I202*100,0)))</f>
        <v>#NAME?</v>
      </c>
      <c r="M202" s="336">
        <f ca="1">IF($A202="S",VTOTALBM,IF($A202=0,0,ROUND(SomaAgrupBM,15-13*ORÇAMENTO!$AF$11)))</f>
        <v>0</v>
      </c>
      <c r="N202" s="337">
        <f t="shared" ca="1" si="18"/>
        <v>0</v>
      </c>
      <c r="O202" s="126">
        <f ca="1">IF($A202="S",VTOTALBM,IF($A202=0,0,ROUND(SomaAgrupBM,15-13*ORÇAMENTO!$AF$11)))</f>
        <v>0</v>
      </c>
      <c r="Q202" s="338"/>
      <c r="R202" s="339"/>
      <c r="T202" s="118" t="str">
        <f t="shared" ca="1" si="19"/>
        <v/>
      </c>
      <c r="U202" s="164" t="str">
        <f t="shared" ca="1" si="20"/>
        <v/>
      </c>
      <c r="V202" s="165" t="str">
        <f ca="1">IF(AND($W202&gt;0,RegimeExecucao="Unitário"),$F202,"")</f>
        <v/>
      </c>
      <c r="W202" s="455">
        <f ca="1">IF($Y202&gt;0,CHOOSE(MATCH(RegimeExecucao,{"Unitário","Global"},0),IF($A202="S",$Y202/$X202,""),($Y202/$X202)*100),0)</f>
        <v>0</v>
      </c>
      <c r="X202" s="340" t="str">
        <f ca="1">IF($Y202&gt;0,CHOOSE(MATCH(RegimeExecucao,{"Unitário","Global"},0),IF($A202="S",ROUND($H202,ORÇAMENTO!$AF$10),""),ROUND($I202,ORÇAMENTO!$AF$11)),"")</f>
        <v/>
      </c>
      <c r="Y202" s="340">
        <f t="shared" ca="1" si="21"/>
        <v>0</v>
      </c>
      <c r="Z202" s="474"/>
      <c r="AB202" s="338"/>
      <c r="AC202" s="438"/>
      <c r="AD202" s="438"/>
      <c r="AE202" s="438"/>
      <c r="AF202" s="438"/>
      <c r="AG202" s="438"/>
      <c r="AH202" s="438"/>
      <c r="AI202" s="438"/>
      <c r="AJ202" s="438"/>
      <c r="AK202" s="438"/>
      <c r="AL202" s="438"/>
      <c r="AM202" s="339"/>
      <c r="AO202">
        <f ca="1">IF($A202="S",IF(BM!$I202=0,0,CHOOSE(MATCH(RegimeExecucao,{"Global","Unitário"},0),ROUND(ROUND(BM.MEDAcumulado,15-13*BM!$A$9)/100*BM!$I202,15-13*ORÇAMENTO!$AF$11),ROUND(ROUND(BM.MEDAcumulado,15-13*BM!$A$9)*ROUND(BM!$H202,15-13*ORÇAMENTO!$AF$10),15-13*ORÇAMENTO!$AF$11))),IF($A202=0,0,ROUND(SomaAgrupBM,15-13*ORÇAMENTO!$AF$11)))</f>
        <v>0</v>
      </c>
    </row>
    <row r="203" spans="1:41" ht="25.5" x14ac:dyDescent="0.2">
      <c r="A203" t="str">
        <f ca="1">ORÇAMENTO!C203</f>
        <v>S</v>
      </c>
      <c r="B203">
        <f ca="1">ORÇAMENTO!D203</f>
        <v>0</v>
      </c>
      <c r="C203" s="115" t="str">
        <f t="shared" ca="1" si="15"/>
        <v/>
      </c>
      <c r="D203" s="118" t="str">
        <f ca="1">ORÇAMENTO!O203</f>
        <v>-</v>
      </c>
      <c r="E203" s="164" t="str">
        <f t="shared" si="16"/>
        <v>TUBO, PVC, SOLDÁVEL, DE 25MM, INSTALADO EM RAMAL OU SUB-RAMAL DE ÁGUA - FORNECIMENTO E INSTALAÇÃO. AF_06/2022</v>
      </c>
      <c r="F203" s="165" t="str">
        <f ca="1">IF(RegimeExecucao="Global","",ORÇAMENTO.Unidade)</f>
        <v>M</v>
      </c>
      <c r="G203" s="123">
        <f ca="1">IF(RegimeExecucao="Global","",ORÇAMENTO!T203)</f>
        <v>292</v>
      </c>
      <c r="H203" s="123">
        <f ca="1">IF(RegimeExecucao="Global","",ORÇAMENTO!W203)</f>
        <v>0</v>
      </c>
      <c r="I203" s="126">
        <f ca="1">ORÇAMENTO!X203</f>
        <v>0</v>
      </c>
      <c r="J203" s="334" t="e" cm="1">
        <f t="array" aca="1" ref="J203" ca="1">_xlfn.SINGLE(IF($A203="S",IF(CAIXA.Modo,BM.AFAnterior,BM.MEDAnterior),IF(AND(_xlfn.SINGLE(RegimeExecucao)="Global",$I203&gt;0,COUNTIF($AB$13:$AM$13,BM.medicao-1)&gt;0),M203/$I203*100,0)))</f>
        <v>#NAME?</v>
      </c>
      <c r="K203" s="123" t="e">
        <f t="shared" ca="1" si="17"/>
        <v>#NAME?</v>
      </c>
      <c r="L203" s="335" t="e" cm="1">
        <f t="array" aca="1" ref="L203" ca="1">_xlfn.SINGLE(IF($A203="S",IF(CAIXA.Modo,BM.AFAcumulado,BM.MEDAcumulado),IF(AND(_xlfn.SINGLE(RegimeExecucao)="Global",$I203&gt;0,COUNTIF($AB$13:$AM$13,BM.medicao)&gt;0),O203/$I203*100,0)))</f>
        <v>#NAME?</v>
      </c>
      <c r="M203" s="336">
        <f ca="1">IF($A203="S",VTOTALBM,IF($A203=0,0,ROUND(SomaAgrupBM,15-13*ORÇAMENTO!$AF$11)))</f>
        <v>0</v>
      </c>
      <c r="N203" s="337">
        <f t="shared" ca="1" si="18"/>
        <v>0</v>
      </c>
      <c r="O203" s="126">
        <f ca="1">IF($A203="S",VTOTALBM,IF($A203=0,0,ROUND(SomaAgrupBM,15-13*ORÇAMENTO!$AF$11)))</f>
        <v>0</v>
      </c>
      <c r="Q203" s="338"/>
      <c r="R203" s="339"/>
      <c r="T203" s="118" t="str">
        <f t="shared" ca="1" si="19"/>
        <v/>
      </c>
      <c r="U203" s="164" t="str">
        <f t="shared" ca="1" si="20"/>
        <v/>
      </c>
      <c r="V203" s="165" t="str">
        <f ca="1">IF(AND($W203&gt;0,RegimeExecucao="Unitário"),$F203,"")</f>
        <v/>
      </c>
      <c r="W203" s="455">
        <f ca="1">IF($Y203&gt;0,CHOOSE(MATCH(RegimeExecucao,{"Unitário","Global"},0),IF($A203="S",$Y203/$X203,""),($Y203/$X203)*100),0)</f>
        <v>0</v>
      </c>
      <c r="X203" s="340" t="str">
        <f ca="1">IF($Y203&gt;0,CHOOSE(MATCH(RegimeExecucao,{"Unitário","Global"},0),IF($A203="S",ROUND($H203,ORÇAMENTO!$AF$10),""),ROUND($I203,ORÇAMENTO!$AF$11)),"")</f>
        <v/>
      </c>
      <c r="Y203" s="340">
        <f t="shared" ca="1" si="21"/>
        <v>0</v>
      </c>
      <c r="Z203" s="474"/>
      <c r="AB203" s="338"/>
      <c r="AC203" s="438"/>
      <c r="AD203" s="438"/>
      <c r="AE203" s="438"/>
      <c r="AF203" s="438"/>
      <c r="AG203" s="438"/>
      <c r="AH203" s="438"/>
      <c r="AI203" s="438"/>
      <c r="AJ203" s="438"/>
      <c r="AK203" s="438"/>
      <c r="AL203" s="438"/>
      <c r="AM203" s="339"/>
      <c r="AO203">
        <f ca="1">IF($A203="S",IF(BM!$I203=0,0,CHOOSE(MATCH(RegimeExecucao,{"Global","Unitário"},0),ROUND(ROUND(BM.MEDAcumulado,15-13*BM!$A$9)/100*BM!$I203,15-13*ORÇAMENTO!$AF$11),ROUND(ROUND(BM.MEDAcumulado,15-13*BM!$A$9)*ROUND(BM!$H203,15-13*ORÇAMENTO!$AF$10),15-13*ORÇAMENTO!$AF$11))),IF($A203=0,0,ROUND(SomaAgrupBM,15-13*ORÇAMENTO!$AF$11)))</f>
        <v>0</v>
      </c>
    </row>
    <row r="204" spans="1:41" ht="25.5" x14ac:dyDescent="0.2">
      <c r="A204" t="str">
        <f ca="1">ORÇAMENTO!C204</f>
        <v>S</v>
      </c>
      <c r="B204">
        <f ca="1">ORÇAMENTO!D204</f>
        <v>0</v>
      </c>
      <c r="C204" s="115" t="str">
        <f t="shared" ca="1" si="15"/>
        <v/>
      </c>
      <c r="D204" s="118" t="str">
        <f ca="1">ORÇAMENTO!O204</f>
        <v>-</v>
      </c>
      <c r="E204" s="164" t="str">
        <f t="shared" si="16"/>
        <v>TUBO, PVC, SOLDÁVEL, DE 32MM, INSTALADO EM RAMAL OU SUB-RAMAL DE ÁGUA - FORNECIMENTO E INSTALAÇÃO. AF_06/2022</v>
      </c>
      <c r="F204" s="165" t="str">
        <f ca="1">IF(RegimeExecucao="Global","",ORÇAMENTO.Unidade)</f>
        <v>M</v>
      </c>
      <c r="G204" s="123">
        <f ca="1">IF(RegimeExecucao="Global","",ORÇAMENTO!T204)</f>
        <v>152.80000000000001</v>
      </c>
      <c r="H204" s="123">
        <f ca="1">IF(RegimeExecucao="Global","",ORÇAMENTO!W204)</f>
        <v>0</v>
      </c>
      <c r="I204" s="126">
        <f ca="1">ORÇAMENTO!X204</f>
        <v>0</v>
      </c>
      <c r="J204" s="334" t="e" cm="1">
        <f t="array" aca="1" ref="J204" ca="1">_xlfn.SINGLE(IF($A204="S",IF(CAIXA.Modo,BM.AFAnterior,BM.MEDAnterior),IF(AND(_xlfn.SINGLE(RegimeExecucao)="Global",$I204&gt;0,COUNTIF($AB$13:$AM$13,BM.medicao-1)&gt;0),M204/$I204*100,0)))</f>
        <v>#NAME?</v>
      </c>
      <c r="K204" s="123" t="e">
        <f t="shared" ca="1" si="17"/>
        <v>#NAME?</v>
      </c>
      <c r="L204" s="335" t="e" cm="1">
        <f t="array" aca="1" ref="L204" ca="1">_xlfn.SINGLE(IF($A204="S",IF(CAIXA.Modo,BM.AFAcumulado,BM.MEDAcumulado),IF(AND(_xlfn.SINGLE(RegimeExecucao)="Global",$I204&gt;0,COUNTIF($AB$13:$AM$13,BM.medicao)&gt;0),O204/$I204*100,0)))</f>
        <v>#NAME?</v>
      </c>
      <c r="M204" s="336">
        <f ca="1">IF($A204="S",VTOTALBM,IF($A204=0,0,ROUND(SomaAgrupBM,15-13*ORÇAMENTO!$AF$11)))</f>
        <v>0</v>
      </c>
      <c r="N204" s="337">
        <f t="shared" ca="1" si="18"/>
        <v>0</v>
      </c>
      <c r="O204" s="126">
        <f ca="1">IF($A204="S",VTOTALBM,IF($A204=0,0,ROUND(SomaAgrupBM,15-13*ORÇAMENTO!$AF$11)))</f>
        <v>0</v>
      </c>
      <c r="Q204" s="338"/>
      <c r="R204" s="339"/>
      <c r="T204" s="118" t="str">
        <f t="shared" ca="1" si="19"/>
        <v/>
      </c>
      <c r="U204" s="164" t="str">
        <f t="shared" ca="1" si="20"/>
        <v/>
      </c>
      <c r="V204" s="165" t="str">
        <f ca="1">IF(AND($W204&gt;0,RegimeExecucao="Unitário"),$F204,"")</f>
        <v/>
      </c>
      <c r="W204" s="455">
        <f ca="1">IF($Y204&gt;0,CHOOSE(MATCH(RegimeExecucao,{"Unitário","Global"},0),IF($A204="S",$Y204/$X204,""),($Y204/$X204)*100),0)</f>
        <v>0</v>
      </c>
      <c r="X204" s="340" t="str">
        <f ca="1">IF($Y204&gt;0,CHOOSE(MATCH(RegimeExecucao,{"Unitário","Global"},0),IF($A204="S",ROUND($H204,ORÇAMENTO!$AF$10),""),ROUND($I204,ORÇAMENTO!$AF$11)),"")</f>
        <v/>
      </c>
      <c r="Y204" s="340">
        <f t="shared" ca="1" si="21"/>
        <v>0</v>
      </c>
      <c r="Z204" s="474"/>
      <c r="AB204" s="338"/>
      <c r="AC204" s="438"/>
      <c r="AD204" s="438"/>
      <c r="AE204" s="438"/>
      <c r="AF204" s="438"/>
      <c r="AG204" s="438"/>
      <c r="AH204" s="438"/>
      <c r="AI204" s="438"/>
      <c r="AJ204" s="438"/>
      <c r="AK204" s="438"/>
      <c r="AL204" s="438"/>
      <c r="AM204" s="339"/>
      <c r="AO204">
        <f ca="1">IF($A204="S",IF(BM!$I204=0,0,CHOOSE(MATCH(RegimeExecucao,{"Global","Unitário"},0),ROUND(ROUND(BM.MEDAcumulado,15-13*BM!$A$9)/100*BM!$I204,15-13*ORÇAMENTO!$AF$11),ROUND(ROUND(BM.MEDAcumulado,15-13*BM!$A$9)*ROUND(BM!$H204,15-13*ORÇAMENTO!$AF$10),15-13*ORÇAMENTO!$AF$11))),IF($A204=0,0,ROUND(SomaAgrupBM,15-13*ORÇAMENTO!$AF$11)))</f>
        <v>0</v>
      </c>
    </row>
    <row r="205" spans="1:41" ht="38.25" x14ac:dyDescent="0.2">
      <c r="A205" t="str">
        <f ca="1">ORÇAMENTO!C205</f>
        <v>S</v>
      </c>
      <c r="B205">
        <f ca="1">ORÇAMENTO!D205</f>
        <v>0</v>
      </c>
      <c r="C205" s="115" t="str">
        <f t="shared" ca="1" si="15"/>
        <v/>
      </c>
      <c r="D205" s="118" t="str">
        <f ca="1">ORÇAMENTO!O205</f>
        <v>-</v>
      </c>
      <c r="E205" s="164" t="str">
        <f t="shared" si="16"/>
        <v>TUBO, PVC, SOLDÁVEL, DE 40MM, INSTALADO EM RAMAL DE DISTRIBUIÇÃO DE ÁGUA - FORNECIMENTO E INSTALAÇÃO. AF_06/2022</v>
      </c>
      <c r="F205" s="165" t="str">
        <f ca="1">IF(RegimeExecucao="Global","",ORÇAMENTO.Unidade)</f>
        <v>M</v>
      </c>
      <c r="G205" s="123">
        <f ca="1">IF(RegimeExecucao="Global","",ORÇAMENTO!T205)</f>
        <v>137</v>
      </c>
      <c r="H205" s="123">
        <f ca="1">IF(RegimeExecucao="Global","",ORÇAMENTO!W205)</f>
        <v>0</v>
      </c>
      <c r="I205" s="126">
        <f ca="1">ORÇAMENTO!X205</f>
        <v>0</v>
      </c>
      <c r="J205" s="334" t="e" cm="1">
        <f t="array" aca="1" ref="J205" ca="1">_xlfn.SINGLE(IF($A205="S",IF(CAIXA.Modo,BM.AFAnterior,BM.MEDAnterior),IF(AND(_xlfn.SINGLE(RegimeExecucao)="Global",$I205&gt;0,COUNTIF($AB$13:$AM$13,BM.medicao-1)&gt;0),M205/$I205*100,0)))</f>
        <v>#NAME?</v>
      </c>
      <c r="K205" s="123" t="e">
        <f t="shared" ca="1" si="17"/>
        <v>#NAME?</v>
      </c>
      <c r="L205" s="335" t="e" cm="1">
        <f t="array" aca="1" ref="L205" ca="1">_xlfn.SINGLE(IF($A205="S",IF(CAIXA.Modo,BM.AFAcumulado,BM.MEDAcumulado),IF(AND(_xlfn.SINGLE(RegimeExecucao)="Global",$I205&gt;0,COUNTIF($AB$13:$AM$13,BM.medicao)&gt;0),O205/$I205*100,0)))</f>
        <v>#NAME?</v>
      </c>
      <c r="M205" s="336">
        <f ca="1">IF($A205="S",VTOTALBM,IF($A205=0,0,ROUND(SomaAgrupBM,15-13*ORÇAMENTO!$AF$11)))</f>
        <v>0</v>
      </c>
      <c r="N205" s="337">
        <f t="shared" ca="1" si="18"/>
        <v>0</v>
      </c>
      <c r="O205" s="126">
        <f ca="1">IF($A205="S",VTOTALBM,IF($A205=0,0,ROUND(SomaAgrupBM,15-13*ORÇAMENTO!$AF$11)))</f>
        <v>0</v>
      </c>
      <c r="Q205" s="338"/>
      <c r="R205" s="339"/>
      <c r="T205" s="118" t="str">
        <f t="shared" ca="1" si="19"/>
        <v/>
      </c>
      <c r="U205" s="164" t="str">
        <f t="shared" ca="1" si="20"/>
        <v/>
      </c>
      <c r="V205" s="165" t="str">
        <f ca="1">IF(AND($W205&gt;0,RegimeExecucao="Unitário"),$F205,"")</f>
        <v/>
      </c>
      <c r="W205" s="455">
        <f ca="1">IF($Y205&gt;0,CHOOSE(MATCH(RegimeExecucao,{"Unitário","Global"},0),IF($A205="S",$Y205/$X205,""),($Y205/$X205)*100),0)</f>
        <v>0</v>
      </c>
      <c r="X205" s="340" t="str">
        <f ca="1">IF($Y205&gt;0,CHOOSE(MATCH(RegimeExecucao,{"Unitário","Global"},0),IF($A205="S",ROUND($H205,ORÇAMENTO!$AF$10),""),ROUND($I205,ORÇAMENTO!$AF$11)),"")</f>
        <v/>
      </c>
      <c r="Y205" s="340">
        <f t="shared" ca="1" si="21"/>
        <v>0</v>
      </c>
      <c r="Z205" s="474"/>
      <c r="AB205" s="338"/>
      <c r="AC205" s="438"/>
      <c r="AD205" s="438"/>
      <c r="AE205" s="438"/>
      <c r="AF205" s="438"/>
      <c r="AG205" s="438"/>
      <c r="AH205" s="438"/>
      <c r="AI205" s="438"/>
      <c r="AJ205" s="438"/>
      <c r="AK205" s="438"/>
      <c r="AL205" s="438"/>
      <c r="AM205" s="339"/>
      <c r="AO205">
        <f ca="1">IF($A205="S",IF(BM!$I205=0,0,CHOOSE(MATCH(RegimeExecucao,{"Global","Unitário"},0),ROUND(ROUND(BM.MEDAcumulado,15-13*BM!$A$9)/100*BM!$I205,15-13*ORÇAMENTO!$AF$11),ROUND(ROUND(BM.MEDAcumulado,15-13*BM!$A$9)*ROUND(BM!$H205,15-13*ORÇAMENTO!$AF$10),15-13*ORÇAMENTO!$AF$11))),IF($A205=0,0,ROUND(SomaAgrupBM,15-13*ORÇAMENTO!$AF$11)))</f>
        <v>0</v>
      </c>
    </row>
    <row r="206" spans="1:41" ht="25.5" x14ac:dyDescent="0.2">
      <c r="A206" t="str">
        <f ca="1">ORÇAMENTO!C206</f>
        <v>S</v>
      </c>
      <c r="B206">
        <f ca="1">ORÇAMENTO!D206</f>
        <v>0</v>
      </c>
      <c r="C206" s="115" t="str">
        <f t="shared" ca="1" si="15"/>
        <v/>
      </c>
      <c r="D206" s="118" t="str">
        <f ca="1">ORÇAMENTO!O206</f>
        <v>-</v>
      </c>
      <c r="E206" s="164" t="str">
        <f t="shared" si="16"/>
        <v>TÊ, PVC, SOLDÁVEL, DN 32 MM INSTALADO EM RESERVAÇÃO PREDIAL DE ÁGUA - FORNECIMENTO E INSTALAÇÃO. AF_04/2024</v>
      </c>
      <c r="F206" s="165" t="str">
        <f ca="1">IF(RegimeExecucao="Global","",ORÇAMENTO.Unidade)</f>
        <v>UN</v>
      </c>
      <c r="G206" s="123">
        <f ca="1">IF(RegimeExecucao="Global","",ORÇAMENTO!T206)</f>
        <v>5</v>
      </c>
      <c r="H206" s="123">
        <f ca="1">IF(RegimeExecucao="Global","",ORÇAMENTO!W206)</f>
        <v>0</v>
      </c>
      <c r="I206" s="126">
        <f ca="1">ORÇAMENTO!X206</f>
        <v>0</v>
      </c>
      <c r="J206" s="334" t="e" cm="1">
        <f t="array" aca="1" ref="J206" ca="1">_xlfn.SINGLE(IF($A206="S",IF(CAIXA.Modo,BM.AFAnterior,BM.MEDAnterior),IF(AND(_xlfn.SINGLE(RegimeExecucao)="Global",$I206&gt;0,COUNTIF($AB$13:$AM$13,BM.medicao-1)&gt;0),M206/$I206*100,0)))</f>
        <v>#NAME?</v>
      </c>
      <c r="K206" s="123" t="e">
        <f t="shared" ca="1" si="17"/>
        <v>#NAME?</v>
      </c>
      <c r="L206" s="335" t="e" cm="1">
        <f t="array" aca="1" ref="L206" ca="1">_xlfn.SINGLE(IF($A206="S",IF(CAIXA.Modo,BM.AFAcumulado,BM.MEDAcumulado),IF(AND(_xlfn.SINGLE(RegimeExecucao)="Global",$I206&gt;0,COUNTIF($AB$13:$AM$13,BM.medicao)&gt;0),O206/$I206*100,0)))</f>
        <v>#NAME?</v>
      </c>
      <c r="M206" s="336">
        <f ca="1">IF($A206="S",VTOTALBM,IF($A206=0,0,ROUND(SomaAgrupBM,15-13*ORÇAMENTO!$AF$11)))</f>
        <v>0</v>
      </c>
      <c r="N206" s="337">
        <f t="shared" ca="1" si="18"/>
        <v>0</v>
      </c>
      <c r="O206" s="126">
        <f ca="1">IF($A206="S",VTOTALBM,IF($A206=0,0,ROUND(SomaAgrupBM,15-13*ORÇAMENTO!$AF$11)))</f>
        <v>0</v>
      </c>
      <c r="Q206" s="338"/>
      <c r="R206" s="339"/>
      <c r="T206" s="118" t="str">
        <f t="shared" ca="1" si="19"/>
        <v/>
      </c>
      <c r="U206" s="164" t="str">
        <f t="shared" ca="1" si="20"/>
        <v/>
      </c>
      <c r="V206" s="165" t="str">
        <f ca="1">IF(AND($W206&gt;0,RegimeExecucao="Unitário"),$F206,"")</f>
        <v/>
      </c>
      <c r="W206" s="455">
        <f ca="1">IF($Y206&gt;0,CHOOSE(MATCH(RegimeExecucao,{"Unitário","Global"},0),IF($A206="S",$Y206/$X206,""),($Y206/$X206)*100),0)</f>
        <v>0</v>
      </c>
      <c r="X206" s="340" t="str">
        <f ca="1">IF($Y206&gt;0,CHOOSE(MATCH(RegimeExecucao,{"Unitário","Global"},0),IF($A206="S",ROUND($H206,ORÇAMENTO!$AF$10),""),ROUND($I206,ORÇAMENTO!$AF$11)),"")</f>
        <v/>
      </c>
      <c r="Y206" s="340">
        <f t="shared" ca="1" si="21"/>
        <v>0</v>
      </c>
      <c r="Z206" s="474"/>
      <c r="AB206" s="338"/>
      <c r="AC206" s="438"/>
      <c r="AD206" s="438"/>
      <c r="AE206" s="438"/>
      <c r="AF206" s="438"/>
      <c r="AG206" s="438"/>
      <c r="AH206" s="438"/>
      <c r="AI206" s="438"/>
      <c r="AJ206" s="438"/>
      <c r="AK206" s="438"/>
      <c r="AL206" s="438"/>
      <c r="AM206" s="339"/>
      <c r="AO206">
        <f ca="1">IF($A206="S",IF(BM!$I206=0,0,CHOOSE(MATCH(RegimeExecucao,{"Global","Unitário"},0),ROUND(ROUND(BM.MEDAcumulado,15-13*BM!$A$9)/100*BM!$I206,15-13*ORÇAMENTO!$AF$11),ROUND(ROUND(BM.MEDAcumulado,15-13*BM!$A$9)*ROUND(BM!$H206,15-13*ORÇAMENTO!$AF$10),15-13*ORÇAMENTO!$AF$11))),IF($A206=0,0,ROUND(SomaAgrupBM,15-13*ORÇAMENTO!$AF$11)))</f>
        <v>0</v>
      </c>
    </row>
    <row r="207" spans="1:41" ht="25.5" x14ac:dyDescent="0.2">
      <c r="A207" t="str">
        <f ca="1">ORÇAMENTO!C207</f>
        <v>S</v>
      </c>
      <c r="B207">
        <f ca="1">ORÇAMENTO!D207</f>
        <v>0</v>
      </c>
      <c r="C207" s="115" t="str">
        <f t="shared" ref="C207:C271" ca="1" si="22">IF(OR($I207&gt;0,$A207=1,$A207=2,$A207=3,$A207=4),"F","")</f>
        <v/>
      </c>
      <c r="D207" s="118" t="str">
        <f ca="1">ORÇAMENTO!O207</f>
        <v>-</v>
      </c>
      <c r="E207" s="164" t="str">
        <f t="shared" ref="E207:E271" si="23">ORÇAMENTO.Descricao</f>
        <v>TE, PVC, SOLDÁVEL, DN 25MM, INSTALADO EM RAMAL OU SUB-RAMAL DE ÁGUA - FORNECIMENTO E INSTALAÇÃO. AF_06/2022</v>
      </c>
      <c r="F207" s="165" t="str">
        <f ca="1">IF(RegimeExecucao="Global","",ORÇAMENTO.Unidade)</f>
        <v>UN</v>
      </c>
      <c r="G207" s="123">
        <f ca="1">IF(RegimeExecucao="Global","",ORÇAMENTO!T207)</f>
        <v>1</v>
      </c>
      <c r="H207" s="123">
        <f ca="1">IF(RegimeExecucao="Global","",ORÇAMENTO!W207)</f>
        <v>0</v>
      </c>
      <c r="I207" s="126">
        <f ca="1">ORÇAMENTO!X207</f>
        <v>0</v>
      </c>
      <c r="J207" s="334" t="e" cm="1">
        <f t="array" aca="1" ref="J207" ca="1">_xlfn.SINGLE(IF($A207="S",IF(CAIXA.Modo,BM.AFAnterior,BM.MEDAnterior),IF(AND(_xlfn.SINGLE(RegimeExecucao)="Global",$I207&gt;0,COUNTIF($AB$13:$AM$13,BM.medicao-1)&gt;0),M207/$I207*100,0)))</f>
        <v>#NAME?</v>
      </c>
      <c r="K207" s="123" t="e">
        <f t="shared" ref="K207:K271" ca="1" si="24">L207-J207</f>
        <v>#NAME?</v>
      </c>
      <c r="L207" s="335" t="e" cm="1">
        <f t="array" aca="1" ref="L207" ca="1">_xlfn.SINGLE(IF($A207="S",IF(CAIXA.Modo,BM.AFAcumulado,BM.MEDAcumulado),IF(AND(_xlfn.SINGLE(RegimeExecucao)="Global",$I207&gt;0,COUNTIF($AB$13:$AM$13,BM.medicao)&gt;0),O207/$I207*100,0)))</f>
        <v>#NAME?</v>
      </c>
      <c r="M207" s="336">
        <f ca="1">IF($A207="S",VTOTALBM,IF($A207=0,0,ROUND(SomaAgrupBM,15-13*ORÇAMENTO!$AF$11)))</f>
        <v>0</v>
      </c>
      <c r="N207" s="337">
        <f t="shared" ref="N207:N271" ca="1" si="25">O207-M207</f>
        <v>0</v>
      </c>
      <c r="O207" s="126">
        <f ca="1">IF($A207="S",VTOTALBM,IF($A207=0,0,ROUND(SomaAgrupBM,15-13*ORÇAMENTO!$AF$11)))</f>
        <v>0</v>
      </c>
      <c r="Q207" s="338"/>
      <c r="R207" s="339"/>
      <c r="T207" s="118" t="str">
        <f t="shared" ref="T207:T271" ca="1" si="26">IF($W207&gt;0,$D207,"")</f>
        <v/>
      </c>
      <c r="U207" s="164" t="str">
        <f t="shared" ref="U207:U271" ca="1" si="27">IF($W207&gt;0,$E207,"")</f>
        <v/>
      </c>
      <c r="V207" s="165" t="str">
        <f ca="1">IF(AND($W207&gt;0,RegimeExecucao="Unitário"),$F207,"")</f>
        <v/>
      </c>
      <c r="W207" s="455">
        <f ca="1">IF($Y207&gt;0,CHOOSE(MATCH(RegimeExecucao,{"Unitário","Global"},0),IF($A207="S",$Y207/$X207,""),($Y207/$X207)*100),0)</f>
        <v>0</v>
      </c>
      <c r="X207" s="340" t="str">
        <f ca="1">IF($Y207&gt;0,CHOOSE(MATCH(RegimeExecucao,{"Unitário","Global"},0),IF($A207="S",ROUND($H207,ORÇAMENTO!$AF$10),""),ROUND($I207,ORÇAMENTO!$AF$11)),"")</f>
        <v/>
      </c>
      <c r="Y207" s="340">
        <f t="shared" ref="Y207:Y271" ca="1" si="28">AO207-O207</f>
        <v>0</v>
      </c>
      <c r="Z207" s="474"/>
      <c r="AB207" s="338"/>
      <c r="AC207" s="438"/>
      <c r="AD207" s="438"/>
      <c r="AE207" s="438"/>
      <c r="AF207" s="438"/>
      <c r="AG207" s="438"/>
      <c r="AH207" s="438"/>
      <c r="AI207" s="438"/>
      <c r="AJ207" s="438"/>
      <c r="AK207" s="438"/>
      <c r="AL207" s="438"/>
      <c r="AM207" s="339"/>
      <c r="AO207">
        <f ca="1">IF($A207="S",IF(BM!$I207=0,0,CHOOSE(MATCH(RegimeExecucao,{"Global","Unitário"},0),ROUND(ROUND(BM.MEDAcumulado,15-13*BM!$A$9)/100*BM!$I207,15-13*ORÇAMENTO!$AF$11),ROUND(ROUND(BM.MEDAcumulado,15-13*BM!$A$9)*ROUND(BM!$H207,15-13*ORÇAMENTO!$AF$10),15-13*ORÇAMENTO!$AF$11))),IF($A207=0,0,ROUND(SomaAgrupBM,15-13*ORÇAMENTO!$AF$11)))</f>
        <v>0</v>
      </c>
    </row>
    <row r="208" spans="1:41" ht="25.5" x14ac:dyDescent="0.2">
      <c r="A208" t="str">
        <f ca="1">ORÇAMENTO!C208</f>
        <v>S</v>
      </c>
      <c r="B208">
        <f ca="1">ORÇAMENTO!D208</f>
        <v>0</v>
      </c>
      <c r="C208" s="115" t="str">
        <f t="shared" ca="1" si="22"/>
        <v/>
      </c>
      <c r="D208" s="118" t="str">
        <f ca="1">ORÇAMENTO!O208</f>
        <v>-</v>
      </c>
      <c r="E208" s="164" t="str">
        <f t="shared" si="23"/>
        <v>TÊ, PVC, SOLDÁVEL, DN 40 MM INSTALADO EM RESERVAÇÃO PREDIAL DE ÁGUA - FORNECIMENTO E INSTALAÇÃO. AF_04/2024</v>
      </c>
      <c r="F208" s="165" t="str">
        <f ca="1">IF(RegimeExecucao="Global","",ORÇAMENTO.Unidade)</f>
        <v>UN</v>
      </c>
      <c r="G208" s="123">
        <f ca="1">IF(RegimeExecucao="Global","",ORÇAMENTO!T208)</f>
        <v>1</v>
      </c>
      <c r="H208" s="123">
        <f ca="1">IF(RegimeExecucao="Global","",ORÇAMENTO!W208)</f>
        <v>0</v>
      </c>
      <c r="I208" s="126">
        <f ca="1">ORÇAMENTO!X208</f>
        <v>0</v>
      </c>
      <c r="J208" s="334" t="e" cm="1">
        <f t="array" aca="1" ref="J208" ca="1">_xlfn.SINGLE(IF($A208="S",IF(CAIXA.Modo,BM.AFAnterior,BM.MEDAnterior),IF(AND(_xlfn.SINGLE(RegimeExecucao)="Global",$I208&gt;0,COUNTIF($AB$13:$AM$13,BM.medicao-1)&gt;0),M208/$I208*100,0)))</f>
        <v>#NAME?</v>
      </c>
      <c r="K208" s="123" t="e">
        <f t="shared" ca="1" si="24"/>
        <v>#NAME?</v>
      </c>
      <c r="L208" s="335" t="e" cm="1">
        <f t="array" aca="1" ref="L208" ca="1">_xlfn.SINGLE(IF($A208="S",IF(CAIXA.Modo,BM.AFAcumulado,BM.MEDAcumulado),IF(AND(_xlfn.SINGLE(RegimeExecucao)="Global",$I208&gt;0,COUNTIF($AB$13:$AM$13,BM.medicao)&gt;0),O208/$I208*100,0)))</f>
        <v>#NAME?</v>
      </c>
      <c r="M208" s="336">
        <f ca="1">IF($A208="S",VTOTALBM,IF($A208=0,0,ROUND(SomaAgrupBM,15-13*ORÇAMENTO!$AF$11)))</f>
        <v>0</v>
      </c>
      <c r="N208" s="337">
        <f t="shared" ca="1" si="25"/>
        <v>0</v>
      </c>
      <c r="O208" s="126">
        <f ca="1">IF($A208="S",VTOTALBM,IF($A208=0,0,ROUND(SomaAgrupBM,15-13*ORÇAMENTO!$AF$11)))</f>
        <v>0</v>
      </c>
      <c r="Q208" s="338"/>
      <c r="R208" s="339"/>
      <c r="T208" s="118" t="str">
        <f t="shared" ca="1" si="26"/>
        <v/>
      </c>
      <c r="U208" s="164" t="str">
        <f t="shared" ca="1" si="27"/>
        <v/>
      </c>
      <c r="V208" s="165" t="str">
        <f ca="1">IF(AND($W208&gt;0,RegimeExecucao="Unitário"),$F208,"")</f>
        <v/>
      </c>
      <c r="W208" s="455">
        <f ca="1">IF($Y208&gt;0,CHOOSE(MATCH(RegimeExecucao,{"Unitário","Global"},0),IF($A208="S",$Y208/$X208,""),($Y208/$X208)*100),0)</f>
        <v>0</v>
      </c>
      <c r="X208" s="340" t="str">
        <f ca="1">IF($Y208&gt;0,CHOOSE(MATCH(RegimeExecucao,{"Unitário","Global"},0),IF($A208="S",ROUND($H208,ORÇAMENTO!$AF$10),""),ROUND($I208,ORÇAMENTO!$AF$11)),"")</f>
        <v/>
      </c>
      <c r="Y208" s="340">
        <f t="shared" ca="1" si="28"/>
        <v>0</v>
      </c>
      <c r="Z208" s="474"/>
      <c r="AB208" s="338"/>
      <c r="AC208" s="438"/>
      <c r="AD208" s="438"/>
      <c r="AE208" s="438"/>
      <c r="AF208" s="438"/>
      <c r="AG208" s="438"/>
      <c r="AH208" s="438"/>
      <c r="AI208" s="438"/>
      <c r="AJ208" s="438"/>
      <c r="AK208" s="438"/>
      <c r="AL208" s="438"/>
      <c r="AM208" s="339"/>
      <c r="AO208">
        <f ca="1">IF($A208="S",IF(BM!$I208=0,0,CHOOSE(MATCH(RegimeExecucao,{"Global","Unitário"},0),ROUND(ROUND(BM.MEDAcumulado,15-13*BM!$A$9)/100*BM!$I208,15-13*ORÇAMENTO!$AF$11),ROUND(ROUND(BM.MEDAcumulado,15-13*BM!$A$9)*ROUND(BM!$H208,15-13*ORÇAMENTO!$AF$10),15-13*ORÇAMENTO!$AF$11))),IF($A208=0,0,ROUND(SomaAgrupBM,15-13*ORÇAMENTO!$AF$11)))</f>
        <v>0</v>
      </c>
    </row>
    <row r="209" spans="1:41" ht="25.5" x14ac:dyDescent="0.2">
      <c r="A209" t="str">
        <f ca="1">ORÇAMENTO!C209</f>
        <v>S</v>
      </c>
      <c r="B209">
        <f ca="1">ORÇAMENTO!D209</f>
        <v>0</v>
      </c>
      <c r="C209" s="115" t="str">
        <f t="shared" ca="1" si="22"/>
        <v/>
      </c>
      <c r="D209" s="118" t="str">
        <f ca="1">ORÇAMENTO!O209</f>
        <v>-</v>
      </c>
      <c r="E209" s="164" t="str">
        <f t="shared" si="23"/>
        <v>TÊ, PVC, SOLDÁVEL, DN  25 MM INSTALADO EM RESERVAÇÃO PREDIAL DE ÁGUA - FORNECIMENTO E INSTALAÇÃO. AF_04/2024</v>
      </c>
      <c r="F209" s="165" t="str">
        <f ca="1">IF(RegimeExecucao="Global","",ORÇAMENTO.Unidade)</f>
        <v>UN</v>
      </c>
      <c r="G209" s="123">
        <f ca="1">IF(RegimeExecucao="Global","",ORÇAMENTO!T209)</f>
        <v>39</v>
      </c>
      <c r="H209" s="123">
        <f ca="1">IF(RegimeExecucao="Global","",ORÇAMENTO!W209)</f>
        <v>0</v>
      </c>
      <c r="I209" s="126">
        <f ca="1">ORÇAMENTO!X209</f>
        <v>0</v>
      </c>
      <c r="J209" s="334" t="e" cm="1">
        <f t="array" aca="1" ref="J209" ca="1">_xlfn.SINGLE(IF($A209="S",IF(CAIXA.Modo,BM.AFAnterior,BM.MEDAnterior),IF(AND(_xlfn.SINGLE(RegimeExecucao)="Global",$I209&gt;0,COUNTIF($AB$13:$AM$13,BM.medicao-1)&gt;0),M209/$I209*100,0)))</f>
        <v>#NAME?</v>
      </c>
      <c r="K209" s="123" t="e">
        <f t="shared" ca="1" si="24"/>
        <v>#NAME?</v>
      </c>
      <c r="L209" s="335" t="e" cm="1">
        <f t="array" aca="1" ref="L209" ca="1">_xlfn.SINGLE(IF($A209="S",IF(CAIXA.Modo,BM.AFAcumulado,BM.MEDAcumulado),IF(AND(_xlfn.SINGLE(RegimeExecucao)="Global",$I209&gt;0,COUNTIF($AB$13:$AM$13,BM.medicao)&gt;0),O209/$I209*100,0)))</f>
        <v>#NAME?</v>
      </c>
      <c r="M209" s="336">
        <f ca="1">IF($A209="S",VTOTALBM,IF($A209=0,0,ROUND(SomaAgrupBM,15-13*ORÇAMENTO!$AF$11)))</f>
        <v>0</v>
      </c>
      <c r="N209" s="337">
        <f t="shared" ca="1" si="25"/>
        <v>0</v>
      </c>
      <c r="O209" s="126">
        <f ca="1">IF($A209="S",VTOTALBM,IF($A209=0,0,ROUND(SomaAgrupBM,15-13*ORÇAMENTO!$AF$11)))</f>
        <v>0</v>
      </c>
      <c r="Q209" s="338"/>
      <c r="R209" s="339"/>
      <c r="T209" s="118" t="str">
        <f t="shared" ca="1" si="26"/>
        <v/>
      </c>
      <c r="U209" s="164" t="str">
        <f t="shared" ca="1" si="27"/>
        <v/>
      </c>
      <c r="V209" s="165" t="str">
        <f ca="1">IF(AND($W209&gt;0,RegimeExecucao="Unitário"),$F209,"")</f>
        <v/>
      </c>
      <c r="W209" s="455">
        <f ca="1">IF($Y209&gt;0,CHOOSE(MATCH(RegimeExecucao,{"Unitário","Global"},0),IF($A209="S",$Y209/$X209,""),($Y209/$X209)*100),0)</f>
        <v>0</v>
      </c>
      <c r="X209" s="340" t="str">
        <f ca="1">IF($Y209&gt;0,CHOOSE(MATCH(RegimeExecucao,{"Unitário","Global"},0),IF($A209="S",ROUND($H209,ORÇAMENTO!$AF$10),""),ROUND($I209,ORÇAMENTO!$AF$11)),"")</f>
        <v/>
      </c>
      <c r="Y209" s="340">
        <f t="shared" ca="1" si="28"/>
        <v>0</v>
      </c>
      <c r="Z209" s="474"/>
      <c r="AB209" s="338"/>
      <c r="AC209" s="438"/>
      <c r="AD209" s="438"/>
      <c r="AE209" s="438"/>
      <c r="AF209" s="438"/>
      <c r="AG209" s="438"/>
      <c r="AH209" s="438"/>
      <c r="AI209" s="438"/>
      <c r="AJ209" s="438"/>
      <c r="AK209" s="438"/>
      <c r="AL209" s="438"/>
      <c r="AM209" s="339"/>
      <c r="AO209">
        <f ca="1">IF($A209="S",IF(BM!$I209=0,0,CHOOSE(MATCH(RegimeExecucao,{"Global","Unitário"},0),ROUND(ROUND(BM.MEDAcumulado,15-13*BM!$A$9)/100*BM!$I209,15-13*ORÇAMENTO!$AF$11),ROUND(ROUND(BM.MEDAcumulado,15-13*BM!$A$9)*ROUND(BM!$H209,15-13*ORÇAMENTO!$AF$10),15-13*ORÇAMENTO!$AF$11))),IF($A209=0,0,ROUND(SomaAgrupBM,15-13*ORÇAMENTO!$AF$11)))</f>
        <v>0</v>
      </c>
    </row>
    <row r="210" spans="1:41" ht="38.25" x14ac:dyDescent="0.2">
      <c r="A210" t="str">
        <f ca="1">ORÇAMENTO!C210</f>
        <v>S</v>
      </c>
      <c r="B210">
        <f ca="1">ORÇAMENTO!D210</f>
        <v>0</v>
      </c>
      <c r="C210" s="115" t="str">
        <f t="shared" ca="1" si="22"/>
        <v/>
      </c>
      <c r="D210" s="118" t="str">
        <f ca="1">ORÇAMENTO!O210</f>
        <v>-</v>
      </c>
      <c r="E210" s="164" t="str">
        <f t="shared" si="23"/>
        <v>TÊ DE REDUÇÃO, PVC, SOLDÁVEL, DN 32MM X 25MM, INSTALADO EM RAMAL OU SUB-RAMAL DE ÁGUA - FORNECIMENTO E INSTALAÇÃO. AF_06/2022</v>
      </c>
      <c r="F210" s="165" t="str">
        <f ca="1">IF(RegimeExecucao="Global","",ORÇAMENTO.Unidade)</f>
        <v>UN</v>
      </c>
      <c r="G210" s="123">
        <f ca="1">IF(RegimeExecucao="Global","",ORÇAMENTO!T210)</f>
        <v>49</v>
      </c>
      <c r="H210" s="123">
        <f ca="1">IF(RegimeExecucao="Global","",ORÇAMENTO!W210)</f>
        <v>0</v>
      </c>
      <c r="I210" s="126">
        <f ca="1">ORÇAMENTO!X210</f>
        <v>0</v>
      </c>
      <c r="J210" s="334" t="e" cm="1">
        <f t="array" aca="1" ref="J210" ca="1">_xlfn.SINGLE(IF($A210="S",IF(CAIXA.Modo,BM.AFAnterior,BM.MEDAnterior),IF(AND(_xlfn.SINGLE(RegimeExecucao)="Global",$I210&gt;0,COUNTIF($AB$13:$AM$13,BM.medicao-1)&gt;0),M210/$I210*100,0)))</f>
        <v>#NAME?</v>
      </c>
      <c r="K210" s="123" t="e">
        <f t="shared" ca="1" si="24"/>
        <v>#NAME?</v>
      </c>
      <c r="L210" s="335" t="e" cm="1">
        <f t="array" aca="1" ref="L210" ca="1">_xlfn.SINGLE(IF($A210="S",IF(CAIXA.Modo,BM.AFAcumulado,BM.MEDAcumulado),IF(AND(_xlfn.SINGLE(RegimeExecucao)="Global",$I210&gt;0,COUNTIF($AB$13:$AM$13,BM.medicao)&gt;0),O210/$I210*100,0)))</f>
        <v>#NAME?</v>
      </c>
      <c r="M210" s="336">
        <f ca="1">IF($A210="S",VTOTALBM,IF($A210=0,0,ROUND(SomaAgrupBM,15-13*ORÇAMENTO!$AF$11)))</f>
        <v>0</v>
      </c>
      <c r="N210" s="337">
        <f t="shared" ca="1" si="25"/>
        <v>0</v>
      </c>
      <c r="O210" s="126">
        <f ca="1">IF($A210="S",VTOTALBM,IF($A210=0,0,ROUND(SomaAgrupBM,15-13*ORÇAMENTO!$AF$11)))</f>
        <v>0</v>
      </c>
      <c r="Q210" s="338"/>
      <c r="R210" s="339"/>
      <c r="T210" s="118" t="str">
        <f t="shared" ca="1" si="26"/>
        <v/>
      </c>
      <c r="U210" s="164" t="str">
        <f t="shared" ca="1" si="27"/>
        <v/>
      </c>
      <c r="V210" s="165" t="str">
        <f ca="1">IF(AND($W210&gt;0,RegimeExecucao="Unitário"),$F210,"")</f>
        <v/>
      </c>
      <c r="W210" s="455">
        <f ca="1">IF($Y210&gt;0,CHOOSE(MATCH(RegimeExecucao,{"Unitário","Global"},0),IF($A210="S",$Y210/$X210,""),($Y210/$X210)*100),0)</f>
        <v>0</v>
      </c>
      <c r="X210" s="340" t="str">
        <f ca="1">IF($Y210&gt;0,CHOOSE(MATCH(RegimeExecucao,{"Unitário","Global"},0),IF($A210="S",ROUND($H210,ORÇAMENTO!$AF$10),""),ROUND($I210,ORÇAMENTO!$AF$11)),"")</f>
        <v/>
      </c>
      <c r="Y210" s="340">
        <f t="shared" ca="1" si="28"/>
        <v>0</v>
      </c>
      <c r="Z210" s="474"/>
      <c r="AB210" s="338"/>
      <c r="AC210" s="438"/>
      <c r="AD210" s="438"/>
      <c r="AE210" s="438"/>
      <c r="AF210" s="438"/>
      <c r="AG210" s="438"/>
      <c r="AH210" s="438"/>
      <c r="AI210" s="438"/>
      <c r="AJ210" s="438"/>
      <c r="AK210" s="438"/>
      <c r="AL210" s="438"/>
      <c r="AM210" s="339"/>
      <c r="AO210">
        <f ca="1">IF($A210="S",IF(BM!$I210=0,0,CHOOSE(MATCH(RegimeExecucao,{"Global","Unitário"},0),ROUND(ROUND(BM.MEDAcumulado,15-13*BM!$A$9)/100*BM!$I210,15-13*ORÇAMENTO!$AF$11),ROUND(ROUND(BM.MEDAcumulado,15-13*BM!$A$9)*ROUND(BM!$H210,15-13*ORÇAMENTO!$AF$10),15-13*ORÇAMENTO!$AF$11))),IF($A210=0,0,ROUND(SomaAgrupBM,15-13*ORÇAMENTO!$AF$11)))</f>
        <v>0</v>
      </c>
    </row>
    <row r="211" spans="1:41" ht="25.5" x14ac:dyDescent="0.2">
      <c r="A211" t="str">
        <f ca="1">ORÇAMENTO!C211</f>
        <v>S</v>
      </c>
      <c r="B211">
        <f ca="1">ORÇAMENTO!D211</f>
        <v>0</v>
      </c>
      <c r="C211" s="115" t="str">
        <f t="shared" ca="1" si="22"/>
        <v/>
      </c>
      <c r="D211" s="118" t="str">
        <f ca="1">ORÇAMENTO!O211</f>
        <v>-</v>
      </c>
      <c r="E211" s="164" t="str">
        <f t="shared" si="23"/>
        <v>TÊ DE REDUÇÃO, PVC, SOLDÁVEL, DN 40MM X 32MM, INSTALADO EM PRUMADA DE ÁGUA - FORNECIMENTO E INSTALAÇÃO. AF_06/2022</v>
      </c>
      <c r="F211" s="165" t="str">
        <f ca="1">IF(RegimeExecucao="Global","",ORÇAMENTO.Unidade)</f>
        <v>UN</v>
      </c>
      <c r="G211" s="123">
        <f ca="1">IF(RegimeExecucao="Global","",ORÇAMENTO!T211)</f>
        <v>23</v>
      </c>
      <c r="H211" s="123">
        <f ca="1">IF(RegimeExecucao="Global","",ORÇAMENTO!W211)</f>
        <v>0</v>
      </c>
      <c r="I211" s="126">
        <f ca="1">ORÇAMENTO!X211</f>
        <v>0</v>
      </c>
      <c r="J211" s="334" t="e" cm="1">
        <f t="array" aca="1" ref="J211" ca="1">_xlfn.SINGLE(IF($A211="S",IF(CAIXA.Modo,BM.AFAnterior,BM.MEDAnterior),IF(AND(_xlfn.SINGLE(RegimeExecucao)="Global",$I211&gt;0,COUNTIF($AB$13:$AM$13,BM.medicao-1)&gt;0),M211/$I211*100,0)))</f>
        <v>#NAME?</v>
      </c>
      <c r="K211" s="123" t="e">
        <f t="shared" ca="1" si="24"/>
        <v>#NAME?</v>
      </c>
      <c r="L211" s="335" t="e" cm="1">
        <f t="array" aca="1" ref="L211" ca="1">_xlfn.SINGLE(IF($A211="S",IF(CAIXA.Modo,BM.AFAcumulado,BM.MEDAcumulado),IF(AND(_xlfn.SINGLE(RegimeExecucao)="Global",$I211&gt;0,COUNTIF($AB$13:$AM$13,BM.medicao)&gt;0),O211/$I211*100,0)))</f>
        <v>#NAME?</v>
      </c>
      <c r="M211" s="336">
        <f ca="1">IF($A211="S",VTOTALBM,IF($A211=0,0,ROUND(SomaAgrupBM,15-13*ORÇAMENTO!$AF$11)))</f>
        <v>0</v>
      </c>
      <c r="N211" s="337">
        <f t="shared" ca="1" si="25"/>
        <v>0</v>
      </c>
      <c r="O211" s="126">
        <f ca="1">IF($A211="S",VTOTALBM,IF($A211=0,0,ROUND(SomaAgrupBM,15-13*ORÇAMENTO!$AF$11)))</f>
        <v>0</v>
      </c>
      <c r="Q211" s="338"/>
      <c r="R211" s="339"/>
      <c r="T211" s="118" t="str">
        <f t="shared" ca="1" si="26"/>
        <v/>
      </c>
      <c r="U211" s="164" t="str">
        <f t="shared" ca="1" si="27"/>
        <v/>
      </c>
      <c r="V211" s="165" t="str">
        <f ca="1">IF(AND($W211&gt;0,RegimeExecucao="Unitário"),$F211,"")</f>
        <v/>
      </c>
      <c r="W211" s="455">
        <f ca="1">IF($Y211&gt;0,CHOOSE(MATCH(RegimeExecucao,{"Unitário","Global"},0),IF($A211="S",$Y211/$X211,""),($Y211/$X211)*100),0)</f>
        <v>0</v>
      </c>
      <c r="X211" s="340" t="str">
        <f ca="1">IF($Y211&gt;0,CHOOSE(MATCH(RegimeExecucao,{"Unitário","Global"},0),IF($A211="S",ROUND($H211,ORÇAMENTO!$AF$10),""),ROUND($I211,ORÇAMENTO!$AF$11)),"")</f>
        <v/>
      </c>
      <c r="Y211" s="340">
        <f t="shared" ca="1" si="28"/>
        <v>0</v>
      </c>
      <c r="Z211" s="474"/>
      <c r="AB211" s="338"/>
      <c r="AC211" s="438"/>
      <c r="AD211" s="438"/>
      <c r="AE211" s="438"/>
      <c r="AF211" s="438"/>
      <c r="AG211" s="438"/>
      <c r="AH211" s="438"/>
      <c r="AI211" s="438"/>
      <c r="AJ211" s="438"/>
      <c r="AK211" s="438"/>
      <c r="AL211" s="438"/>
      <c r="AM211" s="339"/>
      <c r="AO211">
        <f ca="1">IF($A211="S",IF(BM!$I211=0,0,CHOOSE(MATCH(RegimeExecucao,{"Global","Unitário"},0),ROUND(ROUND(BM.MEDAcumulado,15-13*BM!$A$9)/100*BM!$I211,15-13*ORÇAMENTO!$AF$11),ROUND(ROUND(BM.MEDAcumulado,15-13*BM!$A$9)*ROUND(BM!$H211,15-13*ORÇAMENTO!$AF$10),15-13*ORÇAMENTO!$AF$11))),IF($A211=0,0,ROUND(SomaAgrupBM,15-13*ORÇAMENTO!$AF$11)))</f>
        <v>0</v>
      </c>
    </row>
    <row r="212" spans="1:41" ht="38.25" x14ac:dyDescent="0.2">
      <c r="A212" t="str">
        <f ca="1">ORÇAMENTO!C212</f>
        <v>S</v>
      </c>
      <c r="B212">
        <f ca="1">ORÇAMENTO!D212</f>
        <v>0</v>
      </c>
      <c r="C212" s="115" t="str">
        <f t="shared" ca="1" si="22"/>
        <v/>
      </c>
      <c r="D212" s="118" t="str">
        <f ca="1">ORÇAMENTO!O212</f>
        <v>-</v>
      </c>
      <c r="E212" s="164" t="str">
        <f t="shared" si="23"/>
        <v>TÊ DE REDUÇÃO, PVC, SOLDÁVEL, DN 50MM X 25MM, INSTALADO EM RAMAL DE DISTRIBUIÇÃO DE ÁGUA - FORNECIMENTO E INSTALAÇÃO. AF_06/2022</v>
      </c>
      <c r="F212" s="165" t="str">
        <f ca="1">IF(RegimeExecucao="Global","",ORÇAMENTO.Unidade)</f>
        <v>UN</v>
      </c>
      <c r="G212" s="123">
        <f ca="1">IF(RegimeExecucao="Global","",ORÇAMENTO!T212)</f>
        <v>4</v>
      </c>
      <c r="H212" s="123">
        <f ca="1">IF(RegimeExecucao="Global","",ORÇAMENTO!W212)</f>
        <v>0</v>
      </c>
      <c r="I212" s="126">
        <f ca="1">ORÇAMENTO!X212</f>
        <v>0</v>
      </c>
      <c r="J212" s="334" t="e" cm="1">
        <f t="array" aca="1" ref="J212" ca="1">_xlfn.SINGLE(IF($A212="S",IF(CAIXA.Modo,BM.AFAnterior,BM.MEDAnterior),IF(AND(_xlfn.SINGLE(RegimeExecucao)="Global",$I212&gt;0,COUNTIF($AB$13:$AM$13,BM.medicao-1)&gt;0),M212/$I212*100,0)))</f>
        <v>#NAME?</v>
      </c>
      <c r="K212" s="123" t="e">
        <f t="shared" ca="1" si="24"/>
        <v>#NAME?</v>
      </c>
      <c r="L212" s="335" t="e" cm="1">
        <f t="array" aca="1" ref="L212" ca="1">_xlfn.SINGLE(IF($A212="S",IF(CAIXA.Modo,BM.AFAcumulado,BM.MEDAcumulado),IF(AND(_xlfn.SINGLE(RegimeExecucao)="Global",$I212&gt;0,COUNTIF($AB$13:$AM$13,BM.medicao)&gt;0),O212/$I212*100,0)))</f>
        <v>#NAME?</v>
      </c>
      <c r="M212" s="336">
        <f ca="1">IF($A212="S",VTOTALBM,IF($A212=0,0,ROUND(SomaAgrupBM,15-13*ORÇAMENTO!$AF$11)))</f>
        <v>0</v>
      </c>
      <c r="N212" s="337">
        <f t="shared" ca="1" si="25"/>
        <v>0</v>
      </c>
      <c r="O212" s="126">
        <f ca="1">IF($A212="S",VTOTALBM,IF($A212=0,0,ROUND(SomaAgrupBM,15-13*ORÇAMENTO!$AF$11)))</f>
        <v>0</v>
      </c>
      <c r="Q212" s="338"/>
      <c r="R212" s="339"/>
      <c r="T212" s="118" t="str">
        <f t="shared" ca="1" si="26"/>
        <v/>
      </c>
      <c r="U212" s="164" t="str">
        <f t="shared" ca="1" si="27"/>
        <v/>
      </c>
      <c r="V212" s="165" t="str">
        <f ca="1">IF(AND($W212&gt;0,RegimeExecucao="Unitário"),$F212,"")</f>
        <v/>
      </c>
      <c r="W212" s="455">
        <f ca="1">IF($Y212&gt;0,CHOOSE(MATCH(RegimeExecucao,{"Unitário","Global"},0),IF($A212="S",$Y212/$X212,""),($Y212/$X212)*100),0)</f>
        <v>0</v>
      </c>
      <c r="X212" s="340" t="str">
        <f ca="1">IF($Y212&gt;0,CHOOSE(MATCH(RegimeExecucao,{"Unitário","Global"},0),IF($A212="S",ROUND($H212,ORÇAMENTO!$AF$10),""),ROUND($I212,ORÇAMENTO!$AF$11)),"")</f>
        <v/>
      </c>
      <c r="Y212" s="340">
        <f t="shared" ca="1" si="28"/>
        <v>0</v>
      </c>
      <c r="Z212" s="474"/>
      <c r="AB212" s="338"/>
      <c r="AC212" s="438"/>
      <c r="AD212" s="438"/>
      <c r="AE212" s="438"/>
      <c r="AF212" s="438"/>
      <c r="AG212" s="438"/>
      <c r="AH212" s="438"/>
      <c r="AI212" s="438"/>
      <c r="AJ212" s="438"/>
      <c r="AK212" s="438"/>
      <c r="AL212" s="438"/>
      <c r="AM212" s="339"/>
      <c r="AO212">
        <f ca="1">IF($A212="S",IF(BM!$I212=0,0,CHOOSE(MATCH(RegimeExecucao,{"Global","Unitário"},0),ROUND(ROUND(BM.MEDAcumulado,15-13*BM!$A$9)/100*BM!$I212,15-13*ORÇAMENTO!$AF$11),ROUND(ROUND(BM.MEDAcumulado,15-13*BM!$A$9)*ROUND(BM!$H212,15-13*ORÇAMENTO!$AF$10),15-13*ORÇAMENTO!$AF$11))),IF($A212=0,0,ROUND(SomaAgrupBM,15-13*ORÇAMENTO!$AF$11)))</f>
        <v>0</v>
      </c>
    </row>
    <row r="213" spans="1:41" ht="25.5" x14ac:dyDescent="0.2">
      <c r="A213" t="str">
        <f ca="1">ORÇAMENTO!C213</f>
        <v>S</v>
      </c>
      <c r="B213">
        <f ca="1">ORÇAMENTO!D213</f>
        <v>0</v>
      </c>
      <c r="C213" s="115" t="str">
        <f t="shared" ca="1" si="22"/>
        <v/>
      </c>
      <c r="D213" s="118" t="str">
        <f ca="1">ORÇAMENTO!O213</f>
        <v>-</v>
      </c>
      <c r="E213" s="164" t="str">
        <f t="shared" si="23"/>
        <v>TÊ DE REDUÇÃO, PVC, SOLDÁVEL, DN 50MM X 40MM, INSTALADO EM PRUMADA DE ÁGUA - FORNECIMENTO E INSTALAÇÃO. AF_06/2022</v>
      </c>
      <c r="F213" s="165" t="str">
        <f ca="1">IF(RegimeExecucao="Global","",ORÇAMENTO.Unidade)</f>
        <v>UN</v>
      </c>
      <c r="G213" s="123">
        <f ca="1">IF(RegimeExecucao="Global","",ORÇAMENTO!T213)</f>
        <v>2</v>
      </c>
      <c r="H213" s="123">
        <f ca="1">IF(RegimeExecucao="Global","",ORÇAMENTO!W213)</f>
        <v>0</v>
      </c>
      <c r="I213" s="126">
        <f ca="1">ORÇAMENTO!X213</f>
        <v>0</v>
      </c>
      <c r="J213" s="334" t="e" cm="1">
        <f t="array" aca="1" ref="J213" ca="1">_xlfn.SINGLE(IF($A213="S",IF(CAIXA.Modo,BM.AFAnterior,BM.MEDAnterior),IF(AND(_xlfn.SINGLE(RegimeExecucao)="Global",$I213&gt;0,COUNTIF($AB$13:$AM$13,BM.medicao-1)&gt;0),M213/$I213*100,0)))</f>
        <v>#NAME?</v>
      </c>
      <c r="K213" s="123" t="e">
        <f t="shared" ca="1" si="24"/>
        <v>#NAME?</v>
      </c>
      <c r="L213" s="335" t="e" cm="1">
        <f t="array" aca="1" ref="L213" ca="1">_xlfn.SINGLE(IF($A213="S",IF(CAIXA.Modo,BM.AFAcumulado,BM.MEDAcumulado),IF(AND(_xlfn.SINGLE(RegimeExecucao)="Global",$I213&gt;0,COUNTIF($AB$13:$AM$13,BM.medicao)&gt;0),O213/$I213*100,0)))</f>
        <v>#NAME?</v>
      </c>
      <c r="M213" s="336">
        <f ca="1">IF($A213="S",VTOTALBM,IF($A213=0,0,ROUND(SomaAgrupBM,15-13*ORÇAMENTO!$AF$11)))</f>
        <v>0</v>
      </c>
      <c r="N213" s="337">
        <f t="shared" ca="1" si="25"/>
        <v>0</v>
      </c>
      <c r="O213" s="126">
        <f ca="1">IF($A213="S",VTOTALBM,IF($A213=0,0,ROUND(SomaAgrupBM,15-13*ORÇAMENTO!$AF$11)))</f>
        <v>0</v>
      </c>
      <c r="Q213" s="338"/>
      <c r="R213" s="339"/>
      <c r="T213" s="118" t="str">
        <f t="shared" ca="1" si="26"/>
        <v/>
      </c>
      <c r="U213" s="164" t="str">
        <f t="shared" ca="1" si="27"/>
        <v/>
      </c>
      <c r="V213" s="165" t="str">
        <f ca="1">IF(AND($W213&gt;0,RegimeExecucao="Unitário"),$F213,"")</f>
        <v/>
      </c>
      <c r="W213" s="455">
        <f ca="1">IF($Y213&gt;0,CHOOSE(MATCH(RegimeExecucao,{"Unitário","Global"},0),IF($A213="S",$Y213/$X213,""),($Y213/$X213)*100),0)</f>
        <v>0</v>
      </c>
      <c r="X213" s="340" t="str">
        <f ca="1">IF($Y213&gt;0,CHOOSE(MATCH(RegimeExecucao,{"Unitário","Global"},0),IF($A213="S",ROUND($H213,ORÇAMENTO!$AF$10),""),ROUND($I213,ORÇAMENTO!$AF$11)),"")</f>
        <v/>
      </c>
      <c r="Y213" s="340">
        <f t="shared" ca="1" si="28"/>
        <v>0</v>
      </c>
      <c r="Z213" s="474"/>
      <c r="AB213" s="338"/>
      <c r="AC213" s="438"/>
      <c r="AD213" s="438"/>
      <c r="AE213" s="438"/>
      <c r="AF213" s="438"/>
      <c r="AG213" s="438"/>
      <c r="AH213" s="438"/>
      <c r="AI213" s="438"/>
      <c r="AJ213" s="438"/>
      <c r="AK213" s="438"/>
      <c r="AL213" s="438"/>
      <c r="AM213" s="339"/>
      <c r="AO213">
        <f ca="1">IF($A213="S",IF(BM!$I213=0,0,CHOOSE(MATCH(RegimeExecucao,{"Global","Unitário"},0),ROUND(ROUND(BM.MEDAcumulado,15-13*BM!$A$9)/100*BM!$I213,15-13*ORÇAMENTO!$AF$11),ROUND(ROUND(BM.MEDAcumulado,15-13*BM!$A$9)*ROUND(BM!$H213,15-13*ORÇAMENTO!$AF$10),15-13*ORÇAMENTO!$AF$11))),IF($A213=0,0,ROUND(SomaAgrupBM,15-13*ORÇAMENTO!$AF$11)))</f>
        <v>0</v>
      </c>
    </row>
    <row r="214" spans="1:41" ht="25.5" x14ac:dyDescent="0.2">
      <c r="A214" t="str">
        <f ca="1">ORÇAMENTO!C214</f>
        <v>S</v>
      </c>
      <c r="B214">
        <f ca="1">ORÇAMENTO!D214</f>
        <v>0</v>
      </c>
      <c r="C214" s="115" t="str">
        <f t="shared" ca="1" si="22"/>
        <v/>
      </c>
      <c r="D214" s="118" t="str">
        <f ca="1">ORÇAMENTO!O214</f>
        <v>-</v>
      </c>
      <c r="E214" s="164" t="str">
        <f t="shared" si="23"/>
        <v>TORNEIRA DE BOIA PARA CAIXA D'ÁGUA, ROSCÁVEL, 1/2" - FORNECIMENTO E INSTALAÇÃO. AF_08/2021</v>
      </c>
      <c r="F214" s="165" t="str">
        <f ca="1">IF(RegimeExecucao="Global","",ORÇAMENTO.Unidade)</f>
        <v>UN</v>
      </c>
      <c r="G214" s="123">
        <f ca="1">IF(RegimeExecucao="Global","",ORÇAMENTO!T214)</f>
        <v>1</v>
      </c>
      <c r="H214" s="123">
        <f ca="1">IF(RegimeExecucao="Global","",ORÇAMENTO!W214)</f>
        <v>0</v>
      </c>
      <c r="I214" s="126">
        <f ca="1">ORÇAMENTO!X214</f>
        <v>0</v>
      </c>
      <c r="J214" s="334" t="e" cm="1">
        <f t="array" aca="1" ref="J214" ca="1">_xlfn.SINGLE(IF($A214="S",IF(CAIXA.Modo,BM.AFAnterior,BM.MEDAnterior),IF(AND(_xlfn.SINGLE(RegimeExecucao)="Global",$I214&gt;0,COUNTIF($AB$13:$AM$13,BM.medicao-1)&gt;0),M214/$I214*100,0)))</f>
        <v>#NAME?</v>
      </c>
      <c r="K214" s="123" t="e">
        <f t="shared" ca="1" si="24"/>
        <v>#NAME?</v>
      </c>
      <c r="L214" s="335" t="e" cm="1">
        <f t="array" aca="1" ref="L214" ca="1">_xlfn.SINGLE(IF($A214="S",IF(CAIXA.Modo,BM.AFAcumulado,BM.MEDAcumulado),IF(AND(_xlfn.SINGLE(RegimeExecucao)="Global",$I214&gt;0,COUNTIF($AB$13:$AM$13,BM.medicao)&gt;0),O214/$I214*100,0)))</f>
        <v>#NAME?</v>
      </c>
      <c r="M214" s="336">
        <f ca="1">IF($A214="S",VTOTALBM,IF($A214=0,0,ROUND(SomaAgrupBM,15-13*ORÇAMENTO!$AF$11)))</f>
        <v>0</v>
      </c>
      <c r="N214" s="337">
        <f t="shared" ca="1" si="25"/>
        <v>0</v>
      </c>
      <c r="O214" s="126">
        <f ca="1">IF($A214="S",VTOTALBM,IF($A214=0,0,ROUND(SomaAgrupBM,15-13*ORÇAMENTO!$AF$11)))</f>
        <v>0</v>
      </c>
      <c r="Q214" s="338"/>
      <c r="R214" s="339"/>
      <c r="T214" s="118" t="str">
        <f t="shared" ca="1" si="26"/>
        <v/>
      </c>
      <c r="U214" s="164" t="str">
        <f t="shared" ca="1" si="27"/>
        <v/>
      </c>
      <c r="V214" s="165" t="str">
        <f ca="1">IF(AND($W214&gt;0,RegimeExecucao="Unitário"),$F214,"")</f>
        <v/>
      </c>
      <c r="W214" s="455">
        <f ca="1">IF($Y214&gt;0,CHOOSE(MATCH(RegimeExecucao,{"Unitário","Global"},0),IF($A214="S",$Y214/$X214,""),($Y214/$X214)*100),0)</f>
        <v>0</v>
      </c>
      <c r="X214" s="340" t="str">
        <f ca="1">IF($Y214&gt;0,CHOOSE(MATCH(RegimeExecucao,{"Unitário","Global"},0),IF($A214="S",ROUND($H214,ORÇAMENTO!$AF$10),""),ROUND($I214,ORÇAMENTO!$AF$11)),"")</f>
        <v/>
      </c>
      <c r="Y214" s="340">
        <f t="shared" ca="1" si="28"/>
        <v>0</v>
      </c>
      <c r="Z214" s="474"/>
      <c r="AB214" s="338"/>
      <c r="AC214" s="438"/>
      <c r="AD214" s="438"/>
      <c r="AE214" s="438"/>
      <c r="AF214" s="438"/>
      <c r="AG214" s="438"/>
      <c r="AH214" s="438"/>
      <c r="AI214" s="438"/>
      <c r="AJ214" s="438"/>
      <c r="AK214" s="438"/>
      <c r="AL214" s="438"/>
      <c r="AM214" s="339"/>
      <c r="AO214">
        <f ca="1">IF($A214="S",IF(BM!$I214=0,0,CHOOSE(MATCH(RegimeExecucao,{"Global","Unitário"},0),ROUND(ROUND(BM.MEDAcumulado,15-13*BM!$A$9)/100*BM!$I214,15-13*ORÇAMENTO!$AF$11),ROUND(ROUND(BM.MEDAcumulado,15-13*BM!$A$9)*ROUND(BM!$H214,15-13*ORÇAMENTO!$AF$10),15-13*ORÇAMENTO!$AF$11))),IF($A214=0,0,ROUND(SomaAgrupBM,15-13*ORÇAMENTO!$AF$11)))</f>
        <v>0</v>
      </c>
    </row>
    <row r="215" spans="1:41" ht="38.25" x14ac:dyDescent="0.2">
      <c r="A215" t="str">
        <f ca="1">ORÇAMENTO!C215</f>
        <v>S</v>
      </c>
      <c r="B215">
        <f ca="1">ORÇAMENTO!D215</f>
        <v>0</v>
      </c>
      <c r="C215" s="115" t="str">
        <f t="shared" ca="1" si="22"/>
        <v/>
      </c>
      <c r="D215" s="118" t="str">
        <f ca="1">ORÇAMENTO!O215</f>
        <v>-</v>
      </c>
      <c r="E215" s="164" t="str">
        <f t="shared" si="23"/>
        <v>JOELHO 90 GRAUS COM BUCHA DE LATÃO, PVC, SOLDÁVEL, DN 25MM, X 3/4  INSTALADO EM RAMAL OU SUB-RAMAL DE ÁGUA - FORNECIMENTO E INSTALAÇÃO. AF_06/2022</v>
      </c>
      <c r="F215" s="165" t="str">
        <f ca="1">IF(RegimeExecucao="Global","",ORÇAMENTO.Unidade)</f>
        <v>UN</v>
      </c>
      <c r="G215" s="123">
        <f ca="1">IF(RegimeExecucao="Global","",ORÇAMENTO!T215)</f>
        <v>26</v>
      </c>
      <c r="H215" s="123">
        <f ca="1">IF(RegimeExecucao="Global","",ORÇAMENTO!W215)</f>
        <v>0</v>
      </c>
      <c r="I215" s="126">
        <f ca="1">ORÇAMENTO!X215</f>
        <v>0</v>
      </c>
      <c r="J215" s="334" t="e" cm="1">
        <f t="array" aca="1" ref="J215" ca="1">_xlfn.SINGLE(IF($A215="S",IF(CAIXA.Modo,BM.AFAnterior,BM.MEDAnterior),IF(AND(_xlfn.SINGLE(RegimeExecucao)="Global",$I215&gt;0,COUNTIF($AB$13:$AM$13,BM.medicao-1)&gt;0),M215/$I215*100,0)))</f>
        <v>#NAME?</v>
      </c>
      <c r="K215" s="123" t="e">
        <f t="shared" ca="1" si="24"/>
        <v>#NAME?</v>
      </c>
      <c r="L215" s="335" t="e" cm="1">
        <f t="array" aca="1" ref="L215" ca="1">_xlfn.SINGLE(IF($A215="S",IF(CAIXA.Modo,BM.AFAcumulado,BM.MEDAcumulado),IF(AND(_xlfn.SINGLE(RegimeExecucao)="Global",$I215&gt;0,COUNTIF($AB$13:$AM$13,BM.medicao)&gt;0),O215/$I215*100,0)))</f>
        <v>#NAME?</v>
      </c>
      <c r="M215" s="336">
        <f ca="1">IF($A215="S",VTOTALBM,IF($A215=0,0,ROUND(SomaAgrupBM,15-13*ORÇAMENTO!$AF$11)))</f>
        <v>0</v>
      </c>
      <c r="N215" s="337">
        <f t="shared" ca="1" si="25"/>
        <v>0</v>
      </c>
      <c r="O215" s="126">
        <f ca="1">IF($A215="S",VTOTALBM,IF($A215=0,0,ROUND(SomaAgrupBM,15-13*ORÇAMENTO!$AF$11)))</f>
        <v>0</v>
      </c>
      <c r="Q215" s="338"/>
      <c r="R215" s="339"/>
      <c r="T215" s="118" t="str">
        <f t="shared" ca="1" si="26"/>
        <v/>
      </c>
      <c r="U215" s="164" t="str">
        <f t="shared" ca="1" si="27"/>
        <v/>
      </c>
      <c r="V215" s="165" t="str">
        <f ca="1">IF(AND($W215&gt;0,RegimeExecucao="Unitário"),$F215,"")</f>
        <v/>
      </c>
      <c r="W215" s="455">
        <f ca="1">IF($Y215&gt;0,CHOOSE(MATCH(RegimeExecucao,{"Unitário","Global"},0),IF($A215="S",$Y215/$X215,""),($Y215/$X215)*100),0)</f>
        <v>0</v>
      </c>
      <c r="X215" s="340" t="str">
        <f ca="1">IF($Y215&gt;0,CHOOSE(MATCH(RegimeExecucao,{"Unitário","Global"},0),IF($A215="S",ROUND($H215,ORÇAMENTO!$AF$10),""),ROUND($I215,ORÇAMENTO!$AF$11)),"")</f>
        <v/>
      </c>
      <c r="Y215" s="340">
        <f t="shared" ca="1" si="28"/>
        <v>0</v>
      </c>
      <c r="Z215" s="474"/>
      <c r="AB215" s="338"/>
      <c r="AC215" s="438"/>
      <c r="AD215" s="438"/>
      <c r="AE215" s="438"/>
      <c r="AF215" s="438"/>
      <c r="AG215" s="438"/>
      <c r="AH215" s="438"/>
      <c r="AI215" s="438"/>
      <c r="AJ215" s="438"/>
      <c r="AK215" s="438"/>
      <c r="AL215" s="438"/>
      <c r="AM215" s="339"/>
      <c r="AO215">
        <f ca="1">IF($A215="S",IF(BM!$I215=0,0,CHOOSE(MATCH(RegimeExecucao,{"Global","Unitário"},0),ROUND(ROUND(BM.MEDAcumulado,15-13*BM!$A$9)/100*BM!$I215,15-13*ORÇAMENTO!$AF$11),ROUND(ROUND(BM.MEDAcumulado,15-13*BM!$A$9)*ROUND(BM!$H215,15-13*ORÇAMENTO!$AF$10),15-13*ORÇAMENTO!$AF$11))),IF($A215=0,0,ROUND(SomaAgrupBM,15-13*ORÇAMENTO!$AF$11)))</f>
        <v>0</v>
      </c>
    </row>
    <row r="216" spans="1:41" ht="38.25" x14ac:dyDescent="0.2">
      <c r="A216" t="str">
        <f ca="1">ORÇAMENTO!C216</f>
        <v>S</v>
      </c>
      <c r="B216">
        <f ca="1">ORÇAMENTO!D216</f>
        <v>0</v>
      </c>
      <c r="C216" s="115" t="str">
        <f t="shared" ca="1" si="22"/>
        <v/>
      </c>
      <c r="D216" s="118" t="str">
        <f ca="1">ORÇAMENTO!O216</f>
        <v>-</v>
      </c>
      <c r="E216" s="164" t="str">
        <f t="shared" si="23"/>
        <v>ADAPTADOR COM FLANGE E ANEL DE VEDAÇÃO, PVC, SOLDÁVEL, DN  25 MM X 3/4", INSTALADO EM RESERVAÇÃO PREDIAL DE ÁGUA - FORNECIMENTO E INSTALAÇÃO. AF_04/2024</v>
      </c>
      <c r="F216" s="165" t="str">
        <f ca="1">IF(RegimeExecucao="Global","",ORÇAMENTO.Unidade)</f>
        <v>UN</v>
      </c>
      <c r="G216" s="123">
        <f ca="1">IF(RegimeExecucao="Global","",ORÇAMENTO!T216)</f>
        <v>1</v>
      </c>
      <c r="H216" s="123">
        <f ca="1">IF(RegimeExecucao="Global","",ORÇAMENTO!W216)</f>
        <v>0</v>
      </c>
      <c r="I216" s="126">
        <f ca="1">ORÇAMENTO!X216</f>
        <v>0</v>
      </c>
      <c r="J216" s="334" t="e" cm="1">
        <f t="array" aca="1" ref="J216" ca="1">_xlfn.SINGLE(IF($A216="S",IF(CAIXA.Modo,BM.AFAnterior,BM.MEDAnterior),IF(AND(_xlfn.SINGLE(RegimeExecucao)="Global",$I216&gt;0,COUNTIF($AB$13:$AM$13,BM.medicao-1)&gt;0),M216/$I216*100,0)))</f>
        <v>#NAME?</v>
      </c>
      <c r="K216" s="123" t="e">
        <f t="shared" ca="1" si="24"/>
        <v>#NAME?</v>
      </c>
      <c r="L216" s="335" t="e" cm="1">
        <f t="array" aca="1" ref="L216" ca="1">_xlfn.SINGLE(IF($A216="S",IF(CAIXA.Modo,BM.AFAcumulado,BM.MEDAcumulado),IF(AND(_xlfn.SINGLE(RegimeExecucao)="Global",$I216&gt;0,COUNTIF($AB$13:$AM$13,BM.medicao)&gt;0),O216/$I216*100,0)))</f>
        <v>#NAME?</v>
      </c>
      <c r="M216" s="336">
        <f ca="1">IF($A216="S",VTOTALBM,IF($A216=0,0,ROUND(SomaAgrupBM,15-13*ORÇAMENTO!$AF$11)))</f>
        <v>0</v>
      </c>
      <c r="N216" s="337">
        <f t="shared" ca="1" si="25"/>
        <v>0</v>
      </c>
      <c r="O216" s="126">
        <f ca="1">IF($A216="S",VTOTALBM,IF($A216=0,0,ROUND(SomaAgrupBM,15-13*ORÇAMENTO!$AF$11)))</f>
        <v>0</v>
      </c>
      <c r="Q216" s="338"/>
      <c r="R216" s="339"/>
      <c r="T216" s="118" t="str">
        <f t="shared" ca="1" si="26"/>
        <v/>
      </c>
      <c r="U216" s="164" t="str">
        <f t="shared" ca="1" si="27"/>
        <v/>
      </c>
      <c r="V216" s="165" t="str">
        <f ca="1">IF(AND($W216&gt;0,RegimeExecucao="Unitário"),$F216,"")</f>
        <v/>
      </c>
      <c r="W216" s="455">
        <f ca="1">IF($Y216&gt;0,CHOOSE(MATCH(RegimeExecucao,{"Unitário","Global"},0),IF($A216="S",$Y216/$X216,""),($Y216/$X216)*100),0)</f>
        <v>0</v>
      </c>
      <c r="X216" s="340" t="str">
        <f ca="1">IF($Y216&gt;0,CHOOSE(MATCH(RegimeExecucao,{"Unitário","Global"},0),IF($A216="S",ROUND($H216,ORÇAMENTO!$AF$10),""),ROUND($I216,ORÇAMENTO!$AF$11)),"")</f>
        <v/>
      </c>
      <c r="Y216" s="340">
        <f t="shared" ca="1" si="28"/>
        <v>0</v>
      </c>
      <c r="Z216" s="474"/>
      <c r="AB216" s="338"/>
      <c r="AC216" s="438"/>
      <c r="AD216" s="438"/>
      <c r="AE216" s="438"/>
      <c r="AF216" s="438"/>
      <c r="AG216" s="438"/>
      <c r="AH216" s="438"/>
      <c r="AI216" s="438"/>
      <c r="AJ216" s="438"/>
      <c r="AK216" s="438"/>
      <c r="AL216" s="438"/>
      <c r="AM216" s="339"/>
      <c r="AO216">
        <f ca="1">IF($A216="S",IF(BM!$I216=0,0,CHOOSE(MATCH(RegimeExecucao,{"Global","Unitário"},0),ROUND(ROUND(BM.MEDAcumulado,15-13*BM!$A$9)/100*BM!$I216,15-13*ORÇAMENTO!$AF$11),ROUND(ROUND(BM.MEDAcumulado,15-13*BM!$A$9)*ROUND(BM!$H216,15-13*ORÇAMENTO!$AF$10),15-13*ORÇAMENTO!$AF$11))),IF($A216=0,0,ROUND(SomaAgrupBM,15-13*ORÇAMENTO!$AF$11)))</f>
        <v>0</v>
      </c>
    </row>
    <row r="217" spans="1:41" ht="25.5" x14ac:dyDescent="0.2">
      <c r="A217" t="str">
        <f ca="1">ORÇAMENTO!C217</f>
        <v>S</v>
      </c>
      <c r="B217">
        <f ca="1">ORÇAMENTO!D217</f>
        <v>0</v>
      </c>
      <c r="C217" s="115" t="str">
        <f t="shared" ca="1" si="22"/>
        <v/>
      </c>
      <c r="D217" s="118" t="str">
        <f ca="1">ORÇAMENTO!O217</f>
        <v>-</v>
      </c>
      <c r="E217" s="164" t="str">
        <f t="shared" si="23"/>
        <v xml:space="preserve">CAIXA D'AGUA / RESERVATORIO EM POLIESTER REFORCADO COM FIBRA DE VIDRO, 20000 LITROS, COM TAMPA                                                                                                                                                            </v>
      </c>
      <c r="F217" s="165" t="str">
        <f ca="1">IF(RegimeExecucao="Global","",ORÇAMENTO.Unidade)</f>
        <v xml:space="preserve">UN    </v>
      </c>
      <c r="G217" s="123">
        <f ca="1">IF(RegimeExecucao="Global","",ORÇAMENTO!T217)</f>
        <v>1</v>
      </c>
      <c r="H217" s="123">
        <f ca="1">IF(RegimeExecucao="Global","",ORÇAMENTO!W217)</f>
        <v>0</v>
      </c>
      <c r="I217" s="126">
        <f ca="1">ORÇAMENTO!X217</f>
        <v>0</v>
      </c>
      <c r="J217" s="334" t="e" cm="1">
        <f t="array" aca="1" ref="J217" ca="1">_xlfn.SINGLE(IF($A217="S",IF(CAIXA.Modo,BM.AFAnterior,BM.MEDAnterior),IF(AND(_xlfn.SINGLE(RegimeExecucao)="Global",$I217&gt;0,COUNTIF($AB$13:$AM$13,BM.medicao-1)&gt;0),M217/$I217*100,0)))</f>
        <v>#NAME?</v>
      </c>
      <c r="K217" s="123" t="e">
        <f t="shared" ca="1" si="24"/>
        <v>#NAME?</v>
      </c>
      <c r="L217" s="335" t="e" cm="1">
        <f t="array" aca="1" ref="L217" ca="1">_xlfn.SINGLE(IF($A217="S",IF(CAIXA.Modo,BM.AFAcumulado,BM.MEDAcumulado),IF(AND(_xlfn.SINGLE(RegimeExecucao)="Global",$I217&gt;0,COUNTIF($AB$13:$AM$13,BM.medicao)&gt;0),O217/$I217*100,0)))</f>
        <v>#NAME?</v>
      </c>
      <c r="M217" s="336">
        <f ca="1">IF($A217="S",VTOTALBM,IF($A217=0,0,ROUND(SomaAgrupBM,15-13*ORÇAMENTO!$AF$11)))</f>
        <v>0</v>
      </c>
      <c r="N217" s="337">
        <f t="shared" ca="1" si="25"/>
        <v>0</v>
      </c>
      <c r="O217" s="126">
        <f ca="1">IF($A217="S",VTOTALBM,IF($A217=0,0,ROUND(SomaAgrupBM,15-13*ORÇAMENTO!$AF$11)))</f>
        <v>0</v>
      </c>
      <c r="Q217" s="338"/>
      <c r="R217" s="339"/>
      <c r="T217" s="118" t="str">
        <f t="shared" ca="1" si="26"/>
        <v/>
      </c>
      <c r="U217" s="164" t="str">
        <f t="shared" ca="1" si="27"/>
        <v/>
      </c>
      <c r="V217" s="165" t="str">
        <f ca="1">IF(AND($W217&gt;0,RegimeExecucao="Unitário"),$F217,"")</f>
        <v/>
      </c>
      <c r="W217" s="455">
        <f ca="1">IF($Y217&gt;0,CHOOSE(MATCH(RegimeExecucao,{"Unitário","Global"},0),IF($A217="S",$Y217/$X217,""),($Y217/$X217)*100),0)</f>
        <v>0</v>
      </c>
      <c r="X217" s="340" t="str">
        <f ca="1">IF($Y217&gt;0,CHOOSE(MATCH(RegimeExecucao,{"Unitário","Global"},0),IF($A217="S",ROUND($H217,ORÇAMENTO!$AF$10),""),ROUND($I217,ORÇAMENTO!$AF$11)),"")</f>
        <v/>
      </c>
      <c r="Y217" s="340">
        <f t="shared" ca="1" si="28"/>
        <v>0</v>
      </c>
      <c r="Z217" s="474"/>
      <c r="AB217" s="338"/>
      <c r="AC217" s="438"/>
      <c r="AD217" s="438"/>
      <c r="AE217" s="438"/>
      <c r="AF217" s="438"/>
      <c r="AG217" s="438"/>
      <c r="AH217" s="438"/>
      <c r="AI217" s="438"/>
      <c r="AJ217" s="438"/>
      <c r="AK217" s="438"/>
      <c r="AL217" s="438"/>
      <c r="AM217" s="339"/>
      <c r="AO217">
        <f ca="1">IF($A217="S",IF(BM!$I217=0,0,CHOOSE(MATCH(RegimeExecucao,{"Global","Unitário"},0),ROUND(ROUND(BM.MEDAcumulado,15-13*BM!$A$9)/100*BM!$I217,15-13*ORÇAMENTO!$AF$11),ROUND(ROUND(BM.MEDAcumulado,15-13*BM!$A$9)*ROUND(BM!$H217,15-13*ORÇAMENTO!$AF$10),15-13*ORÇAMENTO!$AF$11))),IF($A217=0,0,ROUND(SomaAgrupBM,15-13*ORÇAMENTO!$AF$11)))</f>
        <v>0</v>
      </c>
    </row>
    <row r="218" spans="1:41" x14ac:dyDescent="0.2">
      <c r="A218">
        <f ca="1">ORÇAMENTO!C218</f>
        <v>2</v>
      </c>
      <c r="B218">
        <f ca="1">ORÇAMENTO!D218</f>
        <v>7</v>
      </c>
      <c r="C218" s="115" t="str">
        <f t="shared" ca="1" si="22"/>
        <v>F</v>
      </c>
      <c r="D218" s="118" t="str">
        <f ca="1">ORÇAMENTO!O218</f>
        <v>1.12.</v>
      </c>
      <c r="E218" s="164" t="str">
        <f t="shared" si="23"/>
        <v>REVESTIMENTOS</v>
      </c>
      <c r="F218" s="165" t="str">
        <f ca="1">IF(RegimeExecucao="Global","",ORÇAMENTO.Unidade)</f>
        <v>-</v>
      </c>
      <c r="G218" s="123">
        <f ca="1">IF(RegimeExecucao="Global","",ORÇAMENTO!T218)</f>
        <v>0</v>
      </c>
      <c r="H218" s="123">
        <f ca="1">IF(RegimeExecucao="Global","",ORÇAMENTO!W218)</f>
        <v>0</v>
      </c>
      <c r="I218" s="126">
        <f ca="1">ORÇAMENTO!X218</f>
        <v>0</v>
      </c>
      <c r="J218" s="334" t="e" cm="1">
        <f t="array" aca="1" ref="J218" ca="1">_xlfn.SINGLE(IF($A218="S",IF(CAIXA.Modo,BM.AFAnterior,BM.MEDAnterior),IF(AND(_xlfn.SINGLE(RegimeExecucao)="Global",$I218&gt;0,COUNTIF($AB$13:$AM$13,BM.medicao-1)&gt;0),M218/$I218*100,0)))</f>
        <v>#NAME?</v>
      </c>
      <c r="K218" s="123" t="e">
        <f t="shared" ca="1" si="24"/>
        <v>#NAME?</v>
      </c>
      <c r="L218" s="335" t="e" cm="1">
        <f t="array" aca="1" ref="L218" ca="1">_xlfn.SINGLE(IF($A218="S",IF(CAIXA.Modo,BM.AFAcumulado,BM.MEDAcumulado),IF(AND(_xlfn.SINGLE(RegimeExecucao)="Global",$I218&gt;0,COUNTIF($AB$13:$AM$13,BM.medicao)&gt;0),O218/$I218*100,0)))</f>
        <v>#NAME?</v>
      </c>
      <c r="M218" s="336">
        <f ca="1">IF($A218="S",VTOTALBM,IF($A218=0,0,ROUND(SomaAgrupBM,15-13*ORÇAMENTO!$AF$11)))</f>
        <v>0</v>
      </c>
      <c r="N218" s="337">
        <f t="shared" ca="1" si="25"/>
        <v>0</v>
      </c>
      <c r="O218" s="126">
        <f ca="1">IF($A218="S",VTOTALBM,IF($A218=0,0,ROUND(SomaAgrupBM,15-13*ORÇAMENTO!$AF$11)))</f>
        <v>0</v>
      </c>
      <c r="Q218" s="338"/>
      <c r="R218" s="339"/>
      <c r="T218" s="118" t="str">
        <f t="shared" ca="1" si="26"/>
        <v/>
      </c>
      <c r="U218" s="164" t="str">
        <f t="shared" ca="1" si="27"/>
        <v/>
      </c>
      <c r="V218" s="165" t="str">
        <f ca="1">IF(AND($W218&gt;0,RegimeExecucao="Unitário"),$F218,"")</f>
        <v/>
      </c>
      <c r="W218" s="455">
        <f ca="1">IF($Y218&gt;0,CHOOSE(MATCH(RegimeExecucao,{"Unitário","Global"},0),IF($A218="S",$Y218/$X218,""),($Y218/$X218)*100),0)</f>
        <v>0</v>
      </c>
      <c r="X218" s="340" t="str">
        <f ca="1">IF($Y218&gt;0,CHOOSE(MATCH(RegimeExecucao,{"Unitário","Global"},0),IF($A218="S",ROUND($H218,ORÇAMENTO!$AF$10),""),ROUND($I218,ORÇAMENTO!$AF$11)),"")</f>
        <v/>
      </c>
      <c r="Y218" s="340">
        <f t="shared" ca="1" si="28"/>
        <v>0</v>
      </c>
      <c r="Z218" s="474"/>
      <c r="AB218" s="338"/>
      <c r="AC218" s="438"/>
      <c r="AD218" s="438"/>
      <c r="AE218" s="438"/>
      <c r="AF218" s="438"/>
      <c r="AG218" s="438"/>
      <c r="AH218" s="438"/>
      <c r="AI218" s="438"/>
      <c r="AJ218" s="438"/>
      <c r="AK218" s="438"/>
      <c r="AL218" s="438"/>
      <c r="AM218" s="339"/>
      <c r="AO218">
        <f ca="1">IF($A218="S",IF(BM!$I218=0,0,CHOOSE(MATCH(RegimeExecucao,{"Global","Unitário"},0),ROUND(ROUND(BM.MEDAcumulado,15-13*BM!$A$9)/100*BM!$I218,15-13*ORÇAMENTO!$AF$11),ROUND(ROUND(BM.MEDAcumulado,15-13*BM!$A$9)*ROUND(BM!$H218,15-13*ORÇAMENTO!$AF$10),15-13*ORÇAMENTO!$AF$11))),IF($A218=0,0,ROUND(SomaAgrupBM,15-13*ORÇAMENTO!$AF$11)))</f>
        <v>0</v>
      </c>
    </row>
    <row r="219" spans="1:41" ht="25.5" x14ac:dyDescent="0.2">
      <c r="A219" t="str">
        <f ca="1">ORÇAMENTO!C219</f>
        <v>S</v>
      </c>
      <c r="B219">
        <f ca="1">ORÇAMENTO!D219</f>
        <v>0</v>
      </c>
      <c r="C219" s="115" t="str">
        <f t="shared" ca="1" si="22"/>
        <v/>
      </c>
      <c r="D219" s="118" t="str">
        <f ca="1">ORÇAMENTO!O219</f>
        <v>-</v>
      </c>
      <c r="E219" s="164" t="str">
        <f t="shared" si="23"/>
        <v xml:space="preserve">SELANTE ELASTICO MONOCOMPONENTE A BASE DE POLIURETANO (PU) PARA JUNTAS DIVERSAS                                                                                                                                                                           </v>
      </c>
      <c r="F219" s="165" t="str">
        <f ca="1">IF(RegimeExecucao="Global","",ORÇAMENTO.Unidade)</f>
        <v xml:space="preserve">310ML </v>
      </c>
      <c r="G219" s="123">
        <f ca="1">IF(RegimeExecucao="Global","",ORÇAMENTO!T219)</f>
        <v>318.08</v>
      </c>
      <c r="H219" s="123">
        <f ca="1">IF(RegimeExecucao="Global","",ORÇAMENTO!W219)</f>
        <v>0</v>
      </c>
      <c r="I219" s="126">
        <f ca="1">ORÇAMENTO!X219</f>
        <v>0</v>
      </c>
      <c r="J219" s="334" t="e" cm="1">
        <f t="array" aca="1" ref="J219" ca="1">_xlfn.SINGLE(IF($A219="S",IF(CAIXA.Modo,BM.AFAnterior,BM.MEDAnterior),IF(AND(_xlfn.SINGLE(RegimeExecucao)="Global",$I219&gt;0,COUNTIF($AB$13:$AM$13,BM.medicao-1)&gt;0),M219/$I219*100,0)))</f>
        <v>#NAME?</v>
      </c>
      <c r="K219" s="123" t="e">
        <f t="shared" ca="1" si="24"/>
        <v>#NAME?</v>
      </c>
      <c r="L219" s="335" t="e" cm="1">
        <f t="array" aca="1" ref="L219" ca="1">_xlfn.SINGLE(IF($A219="S",IF(CAIXA.Modo,BM.AFAcumulado,BM.MEDAcumulado),IF(AND(_xlfn.SINGLE(RegimeExecucao)="Global",$I219&gt;0,COUNTIF($AB$13:$AM$13,BM.medicao)&gt;0),O219/$I219*100,0)))</f>
        <v>#NAME?</v>
      </c>
      <c r="M219" s="336">
        <f ca="1">IF($A219="S",VTOTALBM,IF($A219=0,0,ROUND(SomaAgrupBM,15-13*ORÇAMENTO!$AF$11)))</f>
        <v>0</v>
      </c>
      <c r="N219" s="337">
        <f t="shared" ca="1" si="25"/>
        <v>0</v>
      </c>
      <c r="O219" s="126">
        <f ca="1">IF($A219="S",VTOTALBM,IF($A219=0,0,ROUND(SomaAgrupBM,15-13*ORÇAMENTO!$AF$11)))</f>
        <v>0</v>
      </c>
      <c r="Q219" s="338"/>
      <c r="R219" s="339"/>
      <c r="T219" s="118" t="str">
        <f t="shared" ca="1" si="26"/>
        <v/>
      </c>
      <c r="U219" s="164" t="str">
        <f t="shared" ca="1" si="27"/>
        <v/>
      </c>
      <c r="V219" s="165" t="str">
        <f ca="1">IF(AND($W219&gt;0,RegimeExecucao="Unitário"),$F219,"")</f>
        <v/>
      </c>
      <c r="W219" s="455">
        <f ca="1">IF($Y219&gt;0,CHOOSE(MATCH(RegimeExecucao,{"Unitário","Global"},0),IF($A219="S",$Y219/$X219,""),($Y219/$X219)*100),0)</f>
        <v>0</v>
      </c>
      <c r="X219" s="340" t="str">
        <f ca="1">IF($Y219&gt;0,CHOOSE(MATCH(RegimeExecucao,{"Unitário","Global"},0),IF($A219="S",ROUND($H219,ORÇAMENTO!$AF$10),""),ROUND($I219,ORÇAMENTO!$AF$11)),"")</f>
        <v/>
      </c>
      <c r="Y219" s="340">
        <f t="shared" ca="1" si="28"/>
        <v>0</v>
      </c>
      <c r="Z219" s="474"/>
      <c r="AB219" s="338"/>
      <c r="AC219" s="438"/>
      <c r="AD219" s="438"/>
      <c r="AE219" s="438"/>
      <c r="AF219" s="438"/>
      <c r="AG219" s="438"/>
      <c r="AH219" s="438"/>
      <c r="AI219" s="438"/>
      <c r="AJ219" s="438"/>
      <c r="AK219" s="438"/>
      <c r="AL219" s="438"/>
      <c r="AM219" s="339"/>
      <c r="AO219">
        <f ca="1">IF($A219="S",IF(BM!$I219=0,0,CHOOSE(MATCH(RegimeExecucao,{"Global","Unitário"},0),ROUND(ROUND(BM.MEDAcumulado,15-13*BM!$A$9)/100*BM!$I219,15-13*ORÇAMENTO!$AF$11),ROUND(ROUND(BM.MEDAcumulado,15-13*BM!$A$9)*ROUND(BM!$H219,15-13*ORÇAMENTO!$AF$10),15-13*ORÇAMENTO!$AF$11))),IF($A219=0,0,ROUND(SomaAgrupBM,15-13*ORÇAMENTO!$AF$11)))</f>
        <v>0</v>
      </c>
    </row>
    <row r="220" spans="1:41" ht="25.5" x14ac:dyDescent="0.2">
      <c r="A220" t="str">
        <f ca="1">ORÇAMENTO!C220</f>
        <v>S</v>
      </c>
      <c r="B220">
        <f ca="1">ORÇAMENTO!D220</f>
        <v>0</v>
      </c>
      <c r="C220" s="115" t="str">
        <f t="shared" ca="1" si="22"/>
        <v/>
      </c>
      <c r="D220" s="118" t="str">
        <f ca="1">ORÇAMENTO!O220</f>
        <v>-</v>
      </c>
      <c r="E220" s="164" t="str">
        <f t="shared" si="23"/>
        <v>PISO VINÍLICO SEMI-FLEXÍVEL EM PLACAS, PADRÃO LISO, ESPESSURA 3,2 MM, FIXADO COM COLA. AF_09/2020</v>
      </c>
      <c r="F220" s="165" t="str">
        <f ca="1">IF(RegimeExecucao="Global","",ORÇAMENTO.Unidade)</f>
        <v>M2</v>
      </c>
      <c r="G220" s="123">
        <f ca="1">IF(RegimeExecucao="Global","",ORÇAMENTO!T220)</f>
        <v>493</v>
      </c>
      <c r="H220" s="123">
        <f ca="1">IF(RegimeExecucao="Global","",ORÇAMENTO!W220)</f>
        <v>0</v>
      </c>
      <c r="I220" s="126">
        <f ca="1">ORÇAMENTO!X220</f>
        <v>0</v>
      </c>
      <c r="J220" s="334" t="e" cm="1">
        <f t="array" aca="1" ref="J220" ca="1">_xlfn.SINGLE(IF($A220="S",IF(CAIXA.Modo,BM.AFAnterior,BM.MEDAnterior),IF(AND(_xlfn.SINGLE(RegimeExecucao)="Global",$I220&gt;0,COUNTIF($AB$13:$AM$13,BM.medicao-1)&gt;0),M220/$I220*100,0)))</f>
        <v>#NAME?</v>
      </c>
      <c r="K220" s="123" t="e">
        <f t="shared" ca="1" si="24"/>
        <v>#NAME?</v>
      </c>
      <c r="L220" s="335" t="e" cm="1">
        <f t="array" aca="1" ref="L220" ca="1">_xlfn.SINGLE(IF($A220="S",IF(CAIXA.Modo,BM.AFAcumulado,BM.MEDAcumulado),IF(AND(_xlfn.SINGLE(RegimeExecucao)="Global",$I220&gt;0,COUNTIF($AB$13:$AM$13,BM.medicao)&gt;0),O220/$I220*100,0)))</f>
        <v>#NAME?</v>
      </c>
      <c r="M220" s="336">
        <f ca="1">IF($A220="S",VTOTALBM,IF($A220=0,0,ROUND(SomaAgrupBM,15-13*ORÇAMENTO!$AF$11)))</f>
        <v>0</v>
      </c>
      <c r="N220" s="337">
        <f t="shared" ca="1" si="25"/>
        <v>0</v>
      </c>
      <c r="O220" s="126">
        <f ca="1">IF($A220="S",VTOTALBM,IF($A220=0,0,ROUND(SomaAgrupBM,15-13*ORÇAMENTO!$AF$11)))</f>
        <v>0</v>
      </c>
      <c r="Q220" s="338"/>
      <c r="R220" s="339"/>
      <c r="T220" s="118" t="str">
        <f t="shared" ca="1" si="26"/>
        <v/>
      </c>
      <c r="U220" s="164" t="str">
        <f t="shared" ca="1" si="27"/>
        <v/>
      </c>
      <c r="V220" s="165" t="str">
        <f ca="1">IF(AND($W220&gt;0,RegimeExecucao="Unitário"),$F220,"")</f>
        <v/>
      </c>
      <c r="W220" s="455">
        <f ca="1">IF($Y220&gt;0,CHOOSE(MATCH(RegimeExecucao,{"Unitário","Global"},0),IF($A220="S",$Y220/$X220,""),($Y220/$X220)*100),0)</f>
        <v>0</v>
      </c>
      <c r="X220" s="340" t="str">
        <f ca="1">IF($Y220&gt;0,CHOOSE(MATCH(RegimeExecucao,{"Unitário","Global"},0),IF($A220="S",ROUND($H220,ORÇAMENTO!$AF$10),""),ROUND($I220,ORÇAMENTO!$AF$11)),"")</f>
        <v/>
      </c>
      <c r="Y220" s="340">
        <f t="shared" ca="1" si="28"/>
        <v>0</v>
      </c>
      <c r="Z220" s="474"/>
      <c r="AB220" s="338"/>
      <c r="AC220" s="438"/>
      <c r="AD220" s="438"/>
      <c r="AE220" s="438"/>
      <c r="AF220" s="438"/>
      <c r="AG220" s="438"/>
      <c r="AH220" s="438"/>
      <c r="AI220" s="438"/>
      <c r="AJ220" s="438"/>
      <c r="AK220" s="438"/>
      <c r="AL220" s="438"/>
      <c r="AM220" s="339"/>
      <c r="AO220">
        <f ca="1">IF($A220="S",IF(BM!$I220=0,0,CHOOSE(MATCH(RegimeExecucao,{"Global","Unitário"},0),ROUND(ROUND(BM.MEDAcumulado,15-13*BM!$A$9)/100*BM!$I220,15-13*ORÇAMENTO!$AF$11),ROUND(ROUND(BM.MEDAcumulado,15-13*BM!$A$9)*ROUND(BM!$H220,15-13*ORÇAMENTO!$AF$10),15-13*ORÇAMENTO!$AF$11))),IF($A220=0,0,ROUND(SomaAgrupBM,15-13*ORÇAMENTO!$AF$11)))</f>
        <v>0</v>
      </c>
    </row>
    <row r="221" spans="1:41" ht="38.25" x14ac:dyDescent="0.2">
      <c r="A221" t="str">
        <f ca="1">ORÇAMENTO!C221</f>
        <v>S</v>
      </c>
      <c r="B221">
        <f ca="1">ORÇAMENTO!D221</f>
        <v>0</v>
      </c>
      <c r="C221" s="115" t="str">
        <f t="shared" ca="1" si="22"/>
        <v/>
      </c>
      <c r="D221" s="118" t="str">
        <f ca="1">ORÇAMENTO!O221</f>
        <v>-</v>
      </c>
      <c r="E221" s="164" t="str">
        <f t="shared" si="23"/>
        <v>REVESTIMENTO CERÂMICO PARA PISO COM PLACAS TIPO PORCELANATO DE DIMENSÕES 60X60 CM APLICADA EM AMBIENTES DE ÁREA MAIOR QUE 10 M². AF_02/2023_PE</v>
      </c>
      <c r="F221" s="165" t="str">
        <f ca="1">IF(RegimeExecucao="Global","",ORÇAMENTO.Unidade)</f>
        <v>M2</v>
      </c>
      <c r="G221" s="123">
        <f ca="1">IF(RegimeExecucao="Global","",ORÇAMENTO!T221)</f>
        <v>950.66</v>
      </c>
      <c r="H221" s="123">
        <f ca="1">IF(RegimeExecucao="Global","",ORÇAMENTO!W221)</f>
        <v>0</v>
      </c>
      <c r="I221" s="126">
        <f ca="1">ORÇAMENTO!X221</f>
        <v>0</v>
      </c>
      <c r="J221" s="334" t="e" cm="1">
        <f t="array" aca="1" ref="J221" ca="1">_xlfn.SINGLE(IF($A221="S",IF(CAIXA.Modo,BM.AFAnterior,BM.MEDAnterior),IF(AND(_xlfn.SINGLE(RegimeExecucao)="Global",$I221&gt;0,COUNTIF($AB$13:$AM$13,BM.medicao-1)&gt;0),M221/$I221*100,0)))</f>
        <v>#NAME?</v>
      </c>
      <c r="K221" s="123" t="e">
        <f t="shared" ca="1" si="24"/>
        <v>#NAME?</v>
      </c>
      <c r="L221" s="335" t="e" cm="1">
        <f t="array" aca="1" ref="L221" ca="1">_xlfn.SINGLE(IF($A221="S",IF(CAIXA.Modo,BM.AFAcumulado,BM.MEDAcumulado),IF(AND(_xlfn.SINGLE(RegimeExecucao)="Global",$I221&gt;0,COUNTIF($AB$13:$AM$13,BM.medicao)&gt;0),O221/$I221*100,0)))</f>
        <v>#NAME?</v>
      </c>
      <c r="M221" s="336">
        <f ca="1">IF($A221="S",VTOTALBM,IF($A221=0,0,ROUND(SomaAgrupBM,15-13*ORÇAMENTO!$AF$11)))</f>
        <v>0</v>
      </c>
      <c r="N221" s="337">
        <f t="shared" ca="1" si="25"/>
        <v>0</v>
      </c>
      <c r="O221" s="126">
        <f ca="1">IF($A221="S",VTOTALBM,IF($A221=0,0,ROUND(SomaAgrupBM,15-13*ORÇAMENTO!$AF$11)))</f>
        <v>0</v>
      </c>
      <c r="Q221" s="338"/>
      <c r="R221" s="339"/>
      <c r="T221" s="118" t="str">
        <f t="shared" ca="1" si="26"/>
        <v/>
      </c>
      <c r="U221" s="164" t="str">
        <f t="shared" ca="1" si="27"/>
        <v/>
      </c>
      <c r="V221" s="165" t="str">
        <f ca="1">IF(AND($W221&gt;0,RegimeExecucao="Unitário"),$F221,"")</f>
        <v/>
      </c>
      <c r="W221" s="455">
        <f ca="1">IF($Y221&gt;0,CHOOSE(MATCH(RegimeExecucao,{"Unitário","Global"},0),IF($A221="S",$Y221/$X221,""),($Y221/$X221)*100),0)</f>
        <v>0</v>
      </c>
      <c r="X221" s="340" t="str">
        <f ca="1">IF($Y221&gt;0,CHOOSE(MATCH(RegimeExecucao,{"Unitário","Global"},0),IF($A221="S",ROUND($H221,ORÇAMENTO!$AF$10),""),ROUND($I221,ORÇAMENTO!$AF$11)),"")</f>
        <v/>
      </c>
      <c r="Y221" s="340">
        <f t="shared" ca="1" si="28"/>
        <v>0</v>
      </c>
      <c r="Z221" s="474"/>
      <c r="AB221" s="338"/>
      <c r="AC221" s="438"/>
      <c r="AD221" s="438"/>
      <c r="AE221" s="438"/>
      <c r="AF221" s="438"/>
      <c r="AG221" s="438"/>
      <c r="AH221" s="438"/>
      <c r="AI221" s="438"/>
      <c r="AJ221" s="438"/>
      <c r="AK221" s="438"/>
      <c r="AL221" s="438"/>
      <c r="AM221" s="339"/>
      <c r="AO221">
        <f ca="1">IF($A221="S",IF(BM!$I221=0,0,CHOOSE(MATCH(RegimeExecucao,{"Global","Unitário"},0),ROUND(ROUND(BM.MEDAcumulado,15-13*BM!$A$9)/100*BM!$I221,15-13*ORÇAMENTO!$AF$11),ROUND(ROUND(BM.MEDAcumulado,15-13*BM!$A$9)*ROUND(BM!$H221,15-13*ORÇAMENTO!$AF$10),15-13*ORÇAMENTO!$AF$11))),IF($A221=0,0,ROUND(SomaAgrupBM,15-13*ORÇAMENTO!$AF$11)))</f>
        <v>0</v>
      </c>
    </row>
    <row r="222" spans="1:41" ht="38.25" x14ac:dyDescent="0.2">
      <c r="A222" t="str">
        <f ca="1">ORÇAMENTO!C222</f>
        <v>S</v>
      </c>
      <c r="B222">
        <f ca="1">ORÇAMENTO!D222</f>
        <v>0</v>
      </c>
      <c r="C222" s="115" t="str">
        <f t="shared" ca="1" si="22"/>
        <v/>
      </c>
      <c r="D222" s="118" t="str">
        <f ca="1">ORÇAMENTO!O222</f>
        <v>-</v>
      </c>
      <c r="E222" s="164" t="str">
        <f t="shared" si="23"/>
        <v>REVESTIMENTO CERÂMICO PARA PISO COM PLACAS TIPO PORCELANATO DE DIMENSÕES 60X60 CM APLICADA EM AMBIENTES DE ÁREA ENTRE 5 M² E 10 M². AF_02/2023_PE</v>
      </c>
      <c r="F222" s="165" t="str">
        <f ca="1">IF(RegimeExecucao="Global","",ORÇAMENTO.Unidade)</f>
        <v>M2</v>
      </c>
      <c r="G222" s="123">
        <f ca="1">IF(RegimeExecucao="Global","",ORÇAMENTO!T222)</f>
        <v>52.26</v>
      </c>
      <c r="H222" s="123">
        <f ca="1">IF(RegimeExecucao="Global","",ORÇAMENTO!W222)</f>
        <v>0</v>
      </c>
      <c r="I222" s="126">
        <f ca="1">ORÇAMENTO!X222</f>
        <v>0</v>
      </c>
      <c r="J222" s="334" t="e" cm="1">
        <f t="array" aca="1" ref="J222" ca="1">_xlfn.SINGLE(IF($A222="S",IF(CAIXA.Modo,BM.AFAnterior,BM.MEDAnterior),IF(AND(_xlfn.SINGLE(RegimeExecucao)="Global",$I222&gt;0,COUNTIF($AB$13:$AM$13,BM.medicao-1)&gt;0),M222/$I222*100,0)))</f>
        <v>#NAME?</v>
      </c>
      <c r="K222" s="123" t="e">
        <f t="shared" ca="1" si="24"/>
        <v>#NAME?</v>
      </c>
      <c r="L222" s="335" t="e" cm="1">
        <f t="array" aca="1" ref="L222" ca="1">_xlfn.SINGLE(IF($A222="S",IF(CAIXA.Modo,BM.AFAcumulado,BM.MEDAcumulado),IF(AND(_xlfn.SINGLE(RegimeExecucao)="Global",$I222&gt;0,COUNTIF($AB$13:$AM$13,BM.medicao)&gt;0),O222/$I222*100,0)))</f>
        <v>#NAME?</v>
      </c>
      <c r="M222" s="336">
        <f ca="1">IF($A222="S",VTOTALBM,IF($A222=0,0,ROUND(SomaAgrupBM,15-13*ORÇAMENTO!$AF$11)))</f>
        <v>0</v>
      </c>
      <c r="N222" s="337">
        <f t="shared" ca="1" si="25"/>
        <v>0</v>
      </c>
      <c r="O222" s="126">
        <f ca="1">IF($A222="S",VTOTALBM,IF($A222=0,0,ROUND(SomaAgrupBM,15-13*ORÇAMENTO!$AF$11)))</f>
        <v>0</v>
      </c>
      <c r="Q222" s="338"/>
      <c r="R222" s="339"/>
      <c r="T222" s="118" t="str">
        <f t="shared" ca="1" si="26"/>
        <v/>
      </c>
      <c r="U222" s="164" t="str">
        <f t="shared" ca="1" si="27"/>
        <v/>
      </c>
      <c r="V222" s="165" t="str">
        <f ca="1">IF(AND($W222&gt;0,RegimeExecucao="Unitário"),$F222,"")</f>
        <v/>
      </c>
      <c r="W222" s="455">
        <f ca="1">IF($Y222&gt;0,CHOOSE(MATCH(RegimeExecucao,{"Unitário","Global"},0),IF($A222="S",$Y222/$X222,""),($Y222/$X222)*100),0)</f>
        <v>0</v>
      </c>
      <c r="X222" s="340" t="str">
        <f ca="1">IF($Y222&gt;0,CHOOSE(MATCH(RegimeExecucao,{"Unitário","Global"},0),IF($A222="S",ROUND($H222,ORÇAMENTO!$AF$10),""),ROUND($I222,ORÇAMENTO!$AF$11)),"")</f>
        <v/>
      </c>
      <c r="Y222" s="340">
        <f t="shared" ca="1" si="28"/>
        <v>0</v>
      </c>
      <c r="Z222" s="474"/>
      <c r="AB222" s="338"/>
      <c r="AC222" s="438"/>
      <c r="AD222" s="438"/>
      <c r="AE222" s="438"/>
      <c r="AF222" s="438"/>
      <c r="AG222" s="438"/>
      <c r="AH222" s="438"/>
      <c r="AI222" s="438"/>
      <c r="AJ222" s="438"/>
      <c r="AK222" s="438"/>
      <c r="AL222" s="438"/>
      <c r="AM222" s="339"/>
      <c r="AO222">
        <f ca="1">IF($A222="S",IF(BM!$I222=0,0,CHOOSE(MATCH(RegimeExecucao,{"Global","Unitário"},0),ROUND(ROUND(BM.MEDAcumulado,15-13*BM!$A$9)/100*BM!$I222,15-13*ORÇAMENTO!$AF$11),ROUND(ROUND(BM.MEDAcumulado,15-13*BM!$A$9)*ROUND(BM!$H222,15-13*ORÇAMENTO!$AF$10),15-13*ORÇAMENTO!$AF$11))),IF($A222=0,0,ROUND(SomaAgrupBM,15-13*ORÇAMENTO!$AF$11)))</f>
        <v>0</v>
      </c>
    </row>
    <row r="223" spans="1:41" ht="38.25" x14ac:dyDescent="0.2">
      <c r="A223" t="str">
        <f ca="1">ORÇAMENTO!C223</f>
        <v>S</v>
      </c>
      <c r="B223">
        <f ca="1">ORÇAMENTO!D223</f>
        <v>0</v>
      </c>
      <c r="C223" s="115" t="str">
        <f t="shared" ca="1" si="22"/>
        <v/>
      </c>
      <c r="D223" s="118" t="str">
        <f ca="1">ORÇAMENTO!O223</f>
        <v>-</v>
      </c>
      <c r="E223" s="164" t="str">
        <f t="shared" si="23"/>
        <v>REVESTIMENTO CERÂMICO PARA PISO COM PLACAS TIPO PORCELANATO DE DIMENSÕES 60X60 CM APLICADA EM AMBIENTES DE ÁREA MENOR QUE 5 M². AF_02/2023_PE</v>
      </c>
      <c r="F223" s="165" t="str">
        <f ca="1">IF(RegimeExecucao="Global","",ORÇAMENTO.Unidade)</f>
        <v>M2</v>
      </c>
      <c r="G223" s="123">
        <f ca="1">IF(RegimeExecucao="Global","",ORÇAMENTO!T223)</f>
        <v>45.16</v>
      </c>
      <c r="H223" s="123">
        <f ca="1">IF(RegimeExecucao="Global","",ORÇAMENTO!W223)</f>
        <v>0</v>
      </c>
      <c r="I223" s="126">
        <f ca="1">ORÇAMENTO!X223</f>
        <v>0</v>
      </c>
      <c r="J223" s="334" t="e" cm="1">
        <f t="array" aca="1" ref="J223" ca="1">_xlfn.SINGLE(IF($A223="S",IF(CAIXA.Modo,BM.AFAnterior,BM.MEDAnterior),IF(AND(_xlfn.SINGLE(RegimeExecucao)="Global",$I223&gt;0,COUNTIF($AB$13:$AM$13,BM.medicao-1)&gt;0),M223/$I223*100,0)))</f>
        <v>#NAME?</v>
      </c>
      <c r="K223" s="123" t="e">
        <f t="shared" ca="1" si="24"/>
        <v>#NAME?</v>
      </c>
      <c r="L223" s="335" t="e" cm="1">
        <f t="array" aca="1" ref="L223" ca="1">_xlfn.SINGLE(IF($A223="S",IF(CAIXA.Modo,BM.AFAcumulado,BM.MEDAcumulado),IF(AND(_xlfn.SINGLE(RegimeExecucao)="Global",$I223&gt;0,COUNTIF($AB$13:$AM$13,BM.medicao)&gt;0),O223/$I223*100,0)))</f>
        <v>#NAME?</v>
      </c>
      <c r="M223" s="336">
        <f ca="1">IF($A223="S",VTOTALBM,IF($A223=0,0,ROUND(SomaAgrupBM,15-13*ORÇAMENTO!$AF$11)))</f>
        <v>0</v>
      </c>
      <c r="N223" s="337">
        <f t="shared" ca="1" si="25"/>
        <v>0</v>
      </c>
      <c r="O223" s="126">
        <f ca="1">IF($A223="S",VTOTALBM,IF($A223=0,0,ROUND(SomaAgrupBM,15-13*ORÇAMENTO!$AF$11)))</f>
        <v>0</v>
      </c>
      <c r="Q223" s="338"/>
      <c r="R223" s="339"/>
      <c r="T223" s="118" t="str">
        <f t="shared" ca="1" si="26"/>
        <v/>
      </c>
      <c r="U223" s="164" t="str">
        <f t="shared" ca="1" si="27"/>
        <v/>
      </c>
      <c r="V223" s="165" t="str">
        <f ca="1">IF(AND($W223&gt;0,RegimeExecucao="Unitário"),$F223,"")</f>
        <v/>
      </c>
      <c r="W223" s="455">
        <f ca="1">IF($Y223&gt;0,CHOOSE(MATCH(RegimeExecucao,{"Unitário","Global"},0),IF($A223="S",$Y223/$X223,""),($Y223/$X223)*100),0)</f>
        <v>0</v>
      </c>
      <c r="X223" s="340" t="str">
        <f ca="1">IF($Y223&gt;0,CHOOSE(MATCH(RegimeExecucao,{"Unitário","Global"},0),IF($A223="S",ROUND($H223,ORÇAMENTO!$AF$10),""),ROUND($I223,ORÇAMENTO!$AF$11)),"")</f>
        <v/>
      </c>
      <c r="Y223" s="340">
        <f t="shared" ca="1" si="28"/>
        <v>0</v>
      </c>
      <c r="Z223" s="474"/>
      <c r="AB223" s="338"/>
      <c r="AC223" s="438"/>
      <c r="AD223" s="438"/>
      <c r="AE223" s="438"/>
      <c r="AF223" s="438"/>
      <c r="AG223" s="438"/>
      <c r="AH223" s="438"/>
      <c r="AI223" s="438"/>
      <c r="AJ223" s="438"/>
      <c r="AK223" s="438"/>
      <c r="AL223" s="438"/>
      <c r="AM223" s="339"/>
      <c r="AO223">
        <f ca="1">IF($A223="S",IF(BM!$I223=0,0,CHOOSE(MATCH(RegimeExecucao,{"Global","Unitário"},0),ROUND(ROUND(BM.MEDAcumulado,15-13*BM!$A$9)/100*BM!$I223,15-13*ORÇAMENTO!$AF$11),ROUND(ROUND(BM.MEDAcumulado,15-13*BM!$A$9)*ROUND(BM!$H223,15-13*ORÇAMENTO!$AF$10),15-13*ORÇAMENTO!$AF$11))),IF($A223=0,0,ROUND(SomaAgrupBM,15-13*ORÇAMENTO!$AF$11)))</f>
        <v>0</v>
      </c>
    </row>
    <row r="224" spans="1:41" ht="38.25" x14ac:dyDescent="0.2">
      <c r="A224" t="str">
        <f ca="1">ORÇAMENTO!C224</f>
        <v>S</v>
      </c>
      <c r="B224">
        <f ca="1">ORÇAMENTO!D224</f>
        <v>0</v>
      </c>
      <c r="C224" s="115" t="str">
        <f t="shared" ca="1" si="22"/>
        <v/>
      </c>
      <c r="D224" s="118" t="str">
        <f ca="1">ORÇAMENTO!O224</f>
        <v>-</v>
      </c>
      <c r="E224" s="164" t="str">
        <f t="shared" si="23"/>
        <v>CONTRAPISO EM ARGAMASSA PRONTA, PREPARO MANUAL, APLICADO EM ÁREAS MOLHADAS SOBRE LAJE, ADERIDO, ACABAMENTO NÃO REFORÇADO, ESPESSURA 2CM. AF_07/2021</v>
      </c>
      <c r="F224" s="165" t="str">
        <f ca="1">IF(RegimeExecucao="Global","",ORÇAMENTO.Unidade)</f>
        <v>M2</v>
      </c>
      <c r="G224" s="123">
        <f ca="1">IF(RegimeExecucao="Global","",ORÇAMENTO!T224)</f>
        <v>550</v>
      </c>
      <c r="H224" s="123">
        <f ca="1">IF(RegimeExecucao="Global","",ORÇAMENTO!W224)</f>
        <v>0</v>
      </c>
      <c r="I224" s="126">
        <f ca="1">ORÇAMENTO!X224</f>
        <v>0</v>
      </c>
      <c r="J224" s="334" t="e" cm="1">
        <f t="array" aca="1" ref="J224" ca="1">_xlfn.SINGLE(IF($A224="S",IF(CAIXA.Modo,BM.AFAnterior,BM.MEDAnterior),IF(AND(_xlfn.SINGLE(RegimeExecucao)="Global",$I224&gt;0,COUNTIF($AB$13:$AM$13,BM.medicao-1)&gt;0),M224/$I224*100,0)))</f>
        <v>#NAME?</v>
      </c>
      <c r="K224" s="123" t="e">
        <f t="shared" ca="1" si="24"/>
        <v>#NAME?</v>
      </c>
      <c r="L224" s="335" t="e" cm="1">
        <f t="array" aca="1" ref="L224" ca="1">_xlfn.SINGLE(IF($A224="S",IF(CAIXA.Modo,BM.AFAcumulado,BM.MEDAcumulado),IF(AND(_xlfn.SINGLE(RegimeExecucao)="Global",$I224&gt;0,COUNTIF($AB$13:$AM$13,BM.medicao)&gt;0),O224/$I224*100,0)))</f>
        <v>#NAME?</v>
      </c>
      <c r="M224" s="336">
        <f ca="1">IF($A224="S",VTOTALBM,IF($A224=0,0,ROUND(SomaAgrupBM,15-13*ORÇAMENTO!$AF$11)))</f>
        <v>0</v>
      </c>
      <c r="N224" s="337">
        <f t="shared" ca="1" si="25"/>
        <v>0</v>
      </c>
      <c r="O224" s="126">
        <f ca="1">IF($A224="S",VTOTALBM,IF($A224=0,0,ROUND(SomaAgrupBM,15-13*ORÇAMENTO!$AF$11)))</f>
        <v>0</v>
      </c>
      <c r="Q224" s="338"/>
      <c r="R224" s="339"/>
      <c r="T224" s="118" t="str">
        <f t="shared" ca="1" si="26"/>
        <v/>
      </c>
      <c r="U224" s="164" t="str">
        <f t="shared" ca="1" si="27"/>
        <v/>
      </c>
      <c r="V224" s="165" t="str">
        <f ca="1">IF(AND($W224&gt;0,RegimeExecucao="Unitário"),$F224,"")</f>
        <v/>
      </c>
      <c r="W224" s="455">
        <f ca="1">IF($Y224&gt;0,CHOOSE(MATCH(RegimeExecucao,{"Unitário","Global"},0),IF($A224="S",$Y224/$X224,""),($Y224/$X224)*100),0)</f>
        <v>0</v>
      </c>
      <c r="X224" s="340" t="str">
        <f ca="1">IF($Y224&gt;0,CHOOSE(MATCH(RegimeExecucao,{"Unitário","Global"},0),IF($A224="S",ROUND($H224,ORÇAMENTO!$AF$10),""),ROUND($I224,ORÇAMENTO!$AF$11)),"")</f>
        <v/>
      </c>
      <c r="Y224" s="340">
        <f t="shared" ca="1" si="28"/>
        <v>0</v>
      </c>
      <c r="Z224" s="474"/>
      <c r="AB224" s="338"/>
      <c r="AC224" s="438"/>
      <c r="AD224" s="438"/>
      <c r="AE224" s="438"/>
      <c r="AF224" s="438"/>
      <c r="AG224" s="438"/>
      <c r="AH224" s="438"/>
      <c r="AI224" s="438"/>
      <c r="AJ224" s="438"/>
      <c r="AK224" s="438"/>
      <c r="AL224" s="438"/>
      <c r="AM224" s="339"/>
      <c r="AO224">
        <f ca="1">IF($A224="S",IF(BM!$I224=0,0,CHOOSE(MATCH(RegimeExecucao,{"Global","Unitário"},0),ROUND(ROUND(BM.MEDAcumulado,15-13*BM!$A$9)/100*BM!$I224,15-13*ORÇAMENTO!$AF$11),ROUND(ROUND(BM.MEDAcumulado,15-13*BM!$A$9)*ROUND(BM!$H224,15-13*ORÇAMENTO!$AF$10),15-13*ORÇAMENTO!$AF$11))),IF($A224=0,0,ROUND(SomaAgrupBM,15-13*ORÇAMENTO!$AF$11)))</f>
        <v>0</v>
      </c>
    </row>
    <row r="225" spans="1:41" x14ac:dyDescent="0.2">
      <c r="A225">
        <f ca="1">ORÇAMENTO!C225</f>
        <v>2</v>
      </c>
      <c r="B225">
        <f ca="1">ORÇAMENTO!D225</f>
        <v>22</v>
      </c>
      <c r="C225" s="115" t="str">
        <f t="shared" ca="1" si="22"/>
        <v>F</v>
      </c>
      <c r="D225" s="118" t="str">
        <f ca="1">ORÇAMENTO!O225</f>
        <v>1.13.</v>
      </c>
      <c r="E225" s="164" t="str">
        <f t="shared" si="23"/>
        <v>LOUÇAS E ACESSÓRIOS</v>
      </c>
      <c r="F225" s="165" t="str">
        <f ca="1">IF(RegimeExecucao="Global","",ORÇAMENTO.Unidade)</f>
        <v>-</v>
      </c>
      <c r="G225" s="123">
        <f ca="1">IF(RegimeExecucao="Global","",ORÇAMENTO!T225)</f>
        <v>0</v>
      </c>
      <c r="H225" s="123">
        <f ca="1">IF(RegimeExecucao="Global","",ORÇAMENTO!W225)</f>
        <v>0</v>
      </c>
      <c r="I225" s="126">
        <f ca="1">ORÇAMENTO!X225</f>
        <v>0</v>
      </c>
      <c r="J225" s="334" t="e" cm="1">
        <f t="array" aca="1" ref="J225" ca="1">_xlfn.SINGLE(IF($A225="S",IF(CAIXA.Modo,BM.AFAnterior,BM.MEDAnterior),IF(AND(_xlfn.SINGLE(RegimeExecucao)="Global",$I225&gt;0,COUNTIF($AB$13:$AM$13,BM.medicao-1)&gt;0),M225/$I225*100,0)))</f>
        <v>#NAME?</v>
      </c>
      <c r="K225" s="123" t="e">
        <f t="shared" ca="1" si="24"/>
        <v>#NAME?</v>
      </c>
      <c r="L225" s="335" t="e" cm="1">
        <f t="array" aca="1" ref="L225" ca="1">_xlfn.SINGLE(IF($A225="S",IF(CAIXA.Modo,BM.AFAcumulado,BM.MEDAcumulado),IF(AND(_xlfn.SINGLE(RegimeExecucao)="Global",$I225&gt;0,COUNTIF($AB$13:$AM$13,BM.medicao)&gt;0),O225/$I225*100,0)))</f>
        <v>#NAME?</v>
      </c>
      <c r="M225" s="336">
        <f ca="1">IF($A225="S",VTOTALBM,IF($A225=0,0,ROUND(SomaAgrupBM,15-13*ORÇAMENTO!$AF$11)))</f>
        <v>0</v>
      </c>
      <c r="N225" s="337">
        <f t="shared" ca="1" si="25"/>
        <v>0</v>
      </c>
      <c r="O225" s="126">
        <f ca="1">IF($A225="S",VTOTALBM,IF($A225=0,0,ROUND(SomaAgrupBM,15-13*ORÇAMENTO!$AF$11)))</f>
        <v>0</v>
      </c>
      <c r="Q225" s="338"/>
      <c r="R225" s="339"/>
      <c r="T225" s="118" t="str">
        <f t="shared" ca="1" si="26"/>
        <v/>
      </c>
      <c r="U225" s="164" t="str">
        <f t="shared" ca="1" si="27"/>
        <v/>
      </c>
      <c r="V225" s="165" t="str">
        <f ca="1">IF(AND($W225&gt;0,RegimeExecucao="Unitário"),$F225,"")</f>
        <v/>
      </c>
      <c r="W225" s="455">
        <f ca="1">IF($Y225&gt;0,CHOOSE(MATCH(RegimeExecucao,{"Unitário","Global"},0),IF($A225="S",$Y225/$X225,""),($Y225/$X225)*100),0)</f>
        <v>0</v>
      </c>
      <c r="X225" s="340" t="str">
        <f ca="1">IF($Y225&gt;0,CHOOSE(MATCH(RegimeExecucao,{"Unitário","Global"},0),IF($A225="S",ROUND($H225,ORÇAMENTO!$AF$10),""),ROUND($I225,ORÇAMENTO!$AF$11)),"")</f>
        <v/>
      </c>
      <c r="Y225" s="340">
        <f t="shared" ca="1" si="28"/>
        <v>0</v>
      </c>
      <c r="Z225" s="474"/>
      <c r="AB225" s="338"/>
      <c r="AC225" s="438"/>
      <c r="AD225" s="438"/>
      <c r="AE225" s="438"/>
      <c r="AF225" s="438"/>
      <c r="AG225" s="438"/>
      <c r="AH225" s="438"/>
      <c r="AI225" s="438"/>
      <c r="AJ225" s="438"/>
      <c r="AK225" s="438"/>
      <c r="AL225" s="438"/>
      <c r="AM225" s="339"/>
      <c r="AO225">
        <f ca="1">IF($A225="S",IF(BM!$I225=0,0,CHOOSE(MATCH(RegimeExecucao,{"Global","Unitário"},0),ROUND(ROUND(BM.MEDAcumulado,15-13*BM!$A$9)/100*BM!$I225,15-13*ORÇAMENTO!$AF$11),ROUND(ROUND(BM.MEDAcumulado,15-13*BM!$A$9)*ROUND(BM!$H225,15-13*ORÇAMENTO!$AF$10),15-13*ORÇAMENTO!$AF$11))),IF($A225=0,0,ROUND(SomaAgrupBM,15-13*ORÇAMENTO!$AF$11)))</f>
        <v>0</v>
      </c>
    </row>
    <row r="226" spans="1:41" ht="38.25" x14ac:dyDescent="0.2">
      <c r="A226" t="str">
        <f ca="1">ORÇAMENTO!C226</f>
        <v>S</v>
      </c>
      <c r="B226">
        <f ca="1">ORÇAMENTO!D226</f>
        <v>0</v>
      </c>
      <c r="C226" s="115" t="str">
        <f t="shared" ca="1" si="22"/>
        <v/>
      </c>
      <c r="D226" s="118" t="str">
        <f ca="1">ORÇAMENTO!O226</f>
        <v>-</v>
      </c>
      <c r="E226" s="164" t="str">
        <f t="shared" si="23"/>
        <v>VASO SANITÁRIO SIFONADO COM CAIXA ACOPLADA LOUÇA BRANCA - PADRÃO MÉDIO, INCLUSO ENGATE FLEXÍVEL EM METAL CROMADO, 1/2  X 40CM - FORNECIMENTO E INSTALAÇÃO. AF_01/2020</v>
      </c>
      <c r="F226" s="165" t="str">
        <f ca="1">IF(RegimeExecucao="Global","",ORÇAMENTO.Unidade)</f>
        <v>UN</v>
      </c>
      <c r="G226" s="123">
        <f ca="1">IF(RegimeExecucao="Global","",ORÇAMENTO!T226)</f>
        <v>5</v>
      </c>
      <c r="H226" s="123">
        <f ca="1">IF(RegimeExecucao="Global","",ORÇAMENTO!W226)</f>
        <v>0</v>
      </c>
      <c r="I226" s="126">
        <f ca="1">ORÇAMENTO!X226</f>
        <v>0</v>
      </c>
      <c r="J226" s="334" t="e" cm="1">
        <f t="array" aca="1" ref="J226" ca="1">_xlfn.SINGLE(IF($A226="S",IF(CAIXA.Modo,BM.AFAnterior,BM.MEDAnterior),IF(AND(_xlfn.SINGLE(RegimeExecucao)="Global",$I226&gt;0,COUNTIF($AB$13:$AM$13,BM.medicao-1)&gt;0),M226/$I226*100,0)))</f>
        <v>#NAME?</v>
      </c>
      <c r="K226" s="123" t="e">
        <f t="shared" ca="1" si="24"/>
        <v>#NAME?</v>
      </c>
      <c r="L226" s="335" t="e" cm="1">
        <f t="array" aca="1" ref="L226" ca="1">_xlfn.SINGLE(IF($A226="S",IF(CAIXA.Modo,BM.AFAcumulado,BM.MEDAcumulado),IF(AND(_xlfn.SINGLE(RegimeExecucao)="Global",$I226&gt;0,COUNTIF($AB$13:$AM$13,BM.medicao)&gt;0),O226/$I226*100,0)))</f>
        <v>#NAME?</v>
      </c>
      <c r="M226" s="336">
        <f ca="1">IF($A226="S",VTOTALBM,IF($A226=0,0,ROUND(SomaAgrupBM,15-13*ORÇAMENTO!$AF$11)))</f>
        <v>0</v>
      </c>
      <c r="N226" s="337">
        <f t="shared" ca="1" si="25"/>
        <v>0</v>
      </c>
      <c r="O226" s="126">
        <f ca="1">IF($A226="S",VTOTALBM,IF($A226=0,0,ROUND(SomaAgrupBM,15-13*ORÇAMENTO!$AF$11)))</f>
        <v>0</v>
      </c>
      <c r="Q226" s="338"/>
      <c r="R226" s="339"/>
      <c r="T226" s="118" t="str">
        <f t="shared" ca="1" si="26"/>
        <v/>
      </c>
      <c r="U226" s="164" t="str">
        <f t="shared" ca="1" si="27"/>
        <v/>
      </c>
      <c r="V226" s="165" t="str">
        <f ca="1">IF(AND($W226&gt;0,RegimeExecucao="Unitário"),$F226,"")</f>
        <v/>
      </c>
      <c r="W226" s="455">
        <f ca="1">IF($Y226&gt;0,CHOOSE(MATCH(RegimeExecucao,{"Unitário","Global"},0),IF($A226="S",$Y226/$X226,""),($Y226/$X226)*100),0)</f>
        <v>0</v>
      </c>
      <c r="X226" s="340" t="str">
        <f ca="1">IF($Y226&gt;0,CHOOSE(MATCH(RegimeExecucao,{"Unitário","Global"},0),IF($A226="S",ROUND($H226,ORÇAMENTO!$AF$10),""),ROUND($I226,ORÇAMENTO!$AF$11)),"")</f>
        <v/>
      </c>
      <c r="Y226" s="340">
        <f t="shared" ca="1" si="28"/>
        <v>0</v>
      </c>
      <c r="Z226" s="474"/>
      <c r="AB226" s="338"/>
      <c r="AC226" s="438"/>
      <c r="AD226" s="438"/>
      <c r="AE226" s="438"/>
      <c r="AF226" s="438"/>
      <c r="AG226" s="438"/>
      <c r="AH226" s="438"/>
      <c r="AI226" s="438"/>
      <c r="AJ226" s="438"/>
      <c r="AK226" s="438"/>
      <c r="AL226" s="438"/>
      <c r="AM226" s="339"/>
      <c r="AO226">
        <f ca="1">IF($A226="S",IF(BM!$I226=0,0,CHOOSE(MATCH(RegimeExecucao,{"Global","Unitário"},0),ROUND(ROUND(BM.MEDAcumulado,15-13*BM!$A$9)/100*BM!$I226,15-13*ORÇAMENTO!$AF$11),ROUND(ROUND(BM.MEDAcumulado,15-13*BM!$A$9)*ROUND(BM!$H226,15-13*ORÇAMENTO!$AF$10),15-13*ORÇAMENTO!$AF$11))),IF($A226=0,0,ROUND(SomaAgrupBM,15-13*ORÇAMENTO!$AF$11)))</f>
        <v>0</v>
      </c>
    </row>
    <row r="227" spans="1:41" ht="25.5" x14ac:dyDescent="0.2">
      <c r="A227" t="str">
        <f ca="1">ORÇAMENTO!C227</f>
        <v>S</v>
      </c>
      <c r="B227">
        <f ca="1">ORÇAMENTO!D227</f>
        <v>0</v>
      </c>
      <c r="C227" s="115" t="str">
        <f t="shared" ca="1" si="22"/>
        <v/>
      </c>
      <c r="D227" s="118" t="str">
        <f ca="1">ORÇAMENTO!O227</f>
        <v>-</v>
      </c>
      <c r="E227" s="164" t="str">
        <f t="shared" si="23"/>
        <v>VASO SANITÁRIO INFANTIL LOUÇA BRANCA - FORNECIMENTO E INSTALACAO. AF_01/2020</v>
      </c>
      <c r="F227" s="165" t="str">
        <f ca="1">IF(RegimeExecucao="Global","",ORÇAMENTO.Unidade)</f>
        <v>UN</v>
      </c>
      <c r="G227" s="123">
        <f ca="1">IF(RegimeExecucao="Global","",ORÇAMENTO!T227)</f>
        <v>16</v>
      </c>
      <c r="H227" s="123">
        <f ca="1">IF(RegimeExecucao="Global","",ORÇAMENTO!W227)</f>
        <v>0</v>
      </c>
      <c r="I227" s="126">
        <f ca="1">ORÇAMENTO!X227</f>
        <v>0</v>
      </c>
      <c r="J227" s="334" t="e" cm="1">
        <f t="array" aca="1" ref="J227" ca="1">_xlfn.SINGLE(IF($A227="S",IF(CAIXA.Modo,BM.AFAnterior,BM.MEDAnterior),IF(AND(_xlfn.SINGLE(RegimeExecucao)="Global",$I227&gt;0,COUNTIF($AB$13:$AM$13,BM.medicao-1)&gt;0),M227/$I227*100,0)))</f>
        <v>#NAME?</v>
      </c>
      <c r="K227" s="123" t="e">
        <f t="shared" ca="1" si="24"/>
        <v>#NAME?</v>
      </c>
      <c r="L227" s="335" t="e" cm="1">
        <f t="array" aca="1" ref="L227" ca="1">_xlfn.SINGLE(IF($A227="S",IF(CAIXA.Modo,BM.AFAcumulado,BM.MEDAcumulado),IF(AND(_xlfn.SINGLE(RegimeExecucao)="Global",$I227&gt;0,COUNTIF($AB$13:$AM$13,BM.medicao)&gt;0),O227/$I227*100,0)))</f>
        <v>#NAME?</v>
      </c>
      <c r="M227" s="336">
        <f ca="1">IF($A227="S",VTOTALBM,IF($A227=0,0,ROUND(SomaAgrupBM,15-13*ORÇAMENTO!$AF$11)))</f>
        <v>0</v>
      </c>
      <c r="N227" s="337">
        <f t="shared" ca="1" si="25"/>
        <v>0</v>
      </c>
      <c r="O227" s="126">
        <f ca="1">IF($A227="S",VTOTALBM,IF($A227=0,0,ROUND(SomaAgrupBM,15-13*ORÇAMENTO!$AF$11)))</f>
        <v>0</v>
      </c>
      <c r="Q227" s="338"/>
      <c r="R227" s="339"/>
      <c r="T227" s="118" t="str">
        <f t="shared" ca="1" si="26"/>
        <v/>
      </c>
      <c r="U227" s="164" t="str">
        <f t="shared" ca="1" si="27"/>
        <v/>
      </c>
      <c r="V227" s="165" t="str">
        <f ca="1">IF(AND($W227&gt;0,RegimeExecucao="Unitário"),$F227,"")</f>
        <v/>
      </c>
      <c r="W227" s="455">
        <f ca="1">IF($Y227&gt;0,CHOOSE(MATCH(RegimeExecucao,{"Unitário","Global"},0),IF($A227="S",$Y227/$X227,""),($Y227/$X227)*100),0)</f>
        <v>0</v>
      </c>
      <c r="X227" s="340" t="str">
        <f ca="1">IF($Y227&gt;0,CHOOSE(MATCH(RegimeExecucao,{"Unitário","Global"},0),IF($A227="S",ROUND($H227,ORÇAMENTO!$AF$10),""),ROUND($I227,ORÇAMENTO!$AF$11)),"")</f>
        <v/>
      </c>
      <c r="Y227" s="340">
        <f t="shared" ca="1" si="28"/>
        <v>0</v>
      </c>
      <c r="Z227" s="474"/>
      <c r="AB227" s="338"/>
      <c r="AC227" s="438"/>
      <c r="AD227" s="438"/>
      <c r="AE227" s="438"/>
      <c r="AF227" s="438"/>
      <c r="AG227" s="438"/>
      <c r="AH227" s="438"/>
      <c r="AI227" s="438"/>
      <c r="AJ227" s="438"/>
      <c r="AK227" s="438"/>
      <c r="AL227" s="438"/>
      <c r="AM227" s="339"/>
      <c r="AO227">
        <f ca="1">IF($A227="S",IF(BM!$I227=0,0,CHOOSE(MATCH(RegimeExecucao,{"Global","Unitário"},0),ROUND(ROUND(BM.MEDAcumulado,15-13*BM!$A$9)/100*BM!$I227,15-13*ORÇAMENTO!$AF$11),ROUND(ROUND(BM.MEDAcumulado,15-13*BM!$A$9)*ROUND(BM!$H227,15-13*ORÇAMENTO!$AF$10),15-13*ORÇAMENTO!$AF$11))),IF($A227=0,0,ROUND(SomaAgrupBM,15-13*ORÇAMENTO!$AF$11)))</f>
        <v>0</v>
      </c>
    </row>
    <row r="228" spans="1:41" ht="38.25" x14ac:dyDescent="0.2">
      <c r="A228" t="str">
        <f ca="1">ORÇAMENTO!C228</f>
        <v>S</v>
      </c>
      <c r="B228">
        <f ca="1">ORÇAMENTO!D228</f>
        <v>0</v>
      </c>
      <c r="C228" s="115" t="str">
        <f t="shared" ca="1" si="22"/>
        <v/>
      </c>
      <c r="D228" s="118" t="str">
        <f ca="1">ORÇAMENTO!O228</f>
        <v>-</v>
      </c>
      <c r="E228" s="164" t="str">
        <f t="shared" si="23"/>
        <v>VASO SANITARIO SIFONADO CONVENCIONAL PARA PCD SEM FURO FRONTAL COM  LOUÇA BRANCA SEM ASSENTO -  FORNECIMENTO E INSTALAÇÃO. AF_01/2020</v>
      </c>
      <c r="F228" s="165" t="str">
        <f ca="1">IF(RegimeExecucao="Global","",ORÇAMENTO.Unidade)</f>
        <v>UN</v>
      </c>
      <c r="G228" s="123">
        <f ca="1">IF(RegimeExecucao="Global","",ORÇAMENTO!T228)</f>
        <v>6</v>
      </c>
      <c r="H228" s="123">
        <f ca="1">IF(RegimeExecucao="Global","",ORÇAMENTO!W228)</f>
        <v>0</v>
      </c>
      <c r="I228" s="126">
        <f ca="1">ORÇAMENTO!X228</f>
        <v>0</v>
      </c>
      <c r="J228" s="334" t="e" cm="1">
        <f t="array" aca="1" ref="J228" ca="1">_xlfn.SINGLE(IF($A228="S",IF(CAIXA.Modo,BM.AFAnterior,BM.MEDAnterior),IF(AND(_xlfn.SINGLE(RegimeExecucao)="Global",$I228&gt;0,COUNTIF($AB$13:$AM$13,BM.medicao-1)&gt;0),M228/$I228*100,0)))</f>
        <v>#NAME?</v>
      </c>
      <c r="K228" s="123" t="e">
        <f t="shared" ca="1" si="24"/>
        <v>#NAME?</v>
      </c>
      <c r="L228" s="335" t="e" cm="1">
        <f t="array" aca="1" ref="L228" ca="1">_xlfn.SINGLE(IF($A228="S",IF(CAIXA.Modo,BM.AFAcumulado,BM.MEDAcumulado),IF(AND(_xlfn.SINGLE(RegimeExecucao)="Global",$I228&gt;0,COUNTIF($AB$13:$AM$13,BM.medicao)&gt;0),O228/$I228*100,0)))</f>
        <v>#NAME?</v>
      </c>
      <c r="M228" s="336">
        <f ca="1">IF($A228="S",VTOTALBM,IF($A228=0,0,ROUND(SomaAgrupBM,15-13*ORÇAMENTO!$AF$11)))</f>
        <v>0</v>
      </c>
      <c r="N228" s="337">
        <f t="shared" ca="1" si="25"/>
        <v>0</v>
      </c>
      <c r="O228" s="126">
        <f ca="1">IF($A228="S",VTOTALBM,IF($A228=0,0,ROUND(SomaAgrupBM,15-13*ORÇAMENTO!$AF$11)))</f>
        <v>0</v>
      </c>
      <c r="Q228" s="338"/>
      <c r="R228" s="339"/>
      <c r="T228" s="118" t="str">
        <f t="shared" ca="1" si="26"/>
        <v/>
      </c>
      <c r="U228" s="164" t="str">
        <f t="shared" ca="1" si="27"/>
        <v/>
      </c>
      <c r="V228" s="165" t="str">
        <f ca="1">IF(AND($W228&gt;0,RegimeExecucao="Unitário"),$F228,"")</f>
        <v/>
      </c>
      <c r="W228" s="455">
        <f ca="1">IF($Y228&gt;0,CHOOSE(MATCH(RegimeExecucao,{"Unitário","Global"},0),IF($A228="S",$Y228/$X228,""),($Y228/$X228)*100),0)</f>
        <v>0</v>
      </c>
      <c r="X228" s="340" t="str">
        <f ca="1">IF($Y228&gt;0,CHOOSE(MATCH(RegimeExecucao,{"Unitário","Global"},0),IF($A228="S",ROUND($H228,ORÇAMENTO!$AF$10),""),ROUND($I228,ORÇAMENTO!$AF$11)),"")</f>
        <v/>
      </c>
      <c r="Y228" s="340">
        <f t="shared" ca="1" si="28"/>
        <v>0</v>
      </c>
      <c r="Z228" s="474"/>
      <c r="AB228" s="338"/>
      <c r="AC228" s="438"/>
      <c r="AD228" s="438"/>
      <c r="AE228" s="438"/>
      <c r="AF228" s="438"/>
      <c r="AG228" s="438"/>
      <c r="AH228" s="438"/>
      <c r="AI228" s="438"/>
      <c r="AJ228" s="438"/>
      <c r="AK228" s="438"/>
      <c r="AL228" s="438"/>
      <c r="AM228" s="339"/>
      <c r="AO228">
        <f ca="1">IF($A228="S",IF(BM!$I228=0,0,CHOOSE(MATCH(RegimeExecucao,{"Global","Unitário"},0),ROUND(ROUND(BM.MEDAcumulado,15-13*BM!$A$9)/100*BM!$I228,15-13*ORÇAMENTO!$AF$11),ROUND(ROUND(BM.MEDAcumulado,15-13*BM!$A$9)*ROUND(BM!$H228,15-13*ORÇAMENTO!$AF$10),15-13*ORÇAMENTO!$AF$11))),IF($A228=0,0,ROUND(SomaAgrupBM,15-13*ORÇAMENTO!$AF$11)))</f>
        <v>0</v>
      </c>
    </row>
    <row r="229" spans="1:41" ht="25.5" x14ac:dyDescent="0.2">
      <c r="A229" t="str">
        <f ca="1">ORÇAMENTO!C229</f>
        <v>S</v>
      </c>
      <c r="B229">
        <f ca="1">ORÇAMENTO!D229</f>
        <v>0</v>
      </c>
      <c r="C229" s="115" t="str">
        <f t="shared" ca="1" si="22"/>
        <v/>
      </c>
      <c r="D229" s="118" t="str">
        <f ca="1">ORÇAMENTO!O229</f>
        <v>-</v>
      </c>
      <c r="E229" s="164" t="str">
        <f t="shared" si="23"/>
        <v>ASSENTO SANITÁRIO CONVENCIONAL - FORNECIMENTO E INSTALACAO. AF_01/2020</v>
      </c>
      <c r="F229" s="165" t="str">
        <f ca="1">IF(RegimeExecucao="Global","",ORÇAMENTO.Unidade)</f>
        <v>UN</v>
      </c>
      <c r="G229" s="123">
        <f ca="1">IF(RegimeExecucao="Global","",ORÇAMENTO!T229)</f>
        <v>11</v>
      </c>
      <c r="H229" s="123">
        <f ca="1">IF(RegimeExecucao="Global","",ORÇAMENTO!W229)</f>
        <v>0</v>
      </c>
      <c r="I229" s="126">
        <f ca="1">ORÇAMENTO!X229</f>
        <v>0</v>
      </c>
      <c r="J229" s="334" t="e" cm="1">
        <f t="array" aca="1" ref="J229" ca="1">_xlfn.SINGLE(IF($A229="S",IF(CAIXA.Modo,BM.AFAnterior,BM.MEDAnterior),IF(AND(_xlfn.SINGLE(RegimeExecucao)="Global",$I229&gt;0,COUNTIF($AB$13:$AM$13,BM.medicao-1)&gt;0),M229/$I229*100,0)))</f>
        <v>#NAME?</v>
      </c>
      <c r="K229" s="123" t="e">
        <f t="shared" ca="1" si="24"/>
        <v>#NAME?</v>
      </c>
      <c r="L229" s="335" t="e" cm="1">
        <f t="array" aca="1" ref="L229" ca="1">_xlfn.SINGLE(IF($A229="S",IF(CAIXA.Modo,BM.AFAcumulado,BM.MEDAcumulado),IF(AND(_xlfn.SINGLE(RegimeExecucao)="Global",$I229&gt;0,COUNTIF($AB$13:$AM$13,BM.medicao)&gt;0),O229/$I229*100,0)))</f>
        <v>#NAME?</v>
      </c>
      <c r="M229" s="336">
        <f ca="1">IF($A229="S",VTOTALBM,IF($A229=0,0,ROUND(SomaAgrupBM,15-13*ORÇAMENTO!$AF$11)))</f>
        <v>0</v>
      </c>
      <c r="N229" s="337">
        <f t="shared" ca="1" si="25"/>
        <v>0</v>
      </c>
      <c r="O229" s="126">
        <f ca="1">IF($A229="S",VTOTALBM,IF($A229=0,0,ROUND(SomaAgrupBM,15-13*ORÇAMENTO!$AF$11)))</f>
        <v>0</v>
      </c>
      <c r="Q229" s="338"/>
      <c r="R229" s="339"/>
      <c r="T229" s="118" t="str">
        <f t="shared" ca="1" si="26"/>
        <v/>
      </c>
      <c r="U229" s="164" t="str">
        <f t="shared" ca="1" si="27"/>
        <v/>
      </c>
      <c r="V229" s="165" t="str">
        <f ca="1">IF(AND($W229&gt;0,RegimeExecucao="Unitário"),$F229,"")</f>
        <v/>
      </c>
      <c r="W229" s="455">
        <f ca="1">IF($Y229&gt;0,CHOOSE(MATCH(RegimeExecucao,{"Unitário","Global"},0),IF($A229="S",$Y229/$X229,""),($Y229/$X229)*100),0)</f>
        <v>0</v>
      </c>
      <c r="X229" s="340" t="str">
        <f ca="1">IF($Y229&gt;0,CHOOSE(MATCH(RegimeExecucao,{"Unitário","Global"},0),IF($A229="S",ROUND($H229,ORÇAMENTO!$AF$10),""),ROUND($I229,ORÇAMENTO!$AF$11)),"")</f>
        <v/>
      </c>
      <c r="Y229" s="340">
        <f t="shared" ca="1" si="28"/>
        <v>0</v>
      </c>
      <c r="Z229" s="474"/>
      <c r="AB229" s="338"/>
      <c r="AC229" s="438"/>
      <c r="AD229" s="438"/>
      <c r="AE229" s="438"/>
      <c r="AF229" s="438"/>
      <c r="AG229" s="438"/>
      <c r="AH229" s="438"/>
      <c r="AI229" s="438"/>
      <c r="AJ229" s="438"/>
      <c r="AK229" s="438"/>
      <c r="AL229" s="438"/>
      <c r="AM229" s="339"/>
      <c r="AO229">
        <f ca="1">IF($A229="S",IF(BM!$I229=0,0,CHOOSE(MATCH(RegimeExecucao,{"Global","Unitário"},0),ROUND(ROUND(BM.MEDAcumulado,15-13*BM!$A$9)/100*BM!$I229,15-13*ORÇAMENTO!$AF$11),ROUND(ROUND(BM.MEDAcumulado,15-13*BM!$A$9)*ROUND(BM!$H229,15-13*ORÇAMENTO!$AF$10),15-13*ORÇAMENTO!$AF$11))),IF($A229=0,0,ROUND(SomaAgrupBM,15-13*ORÇAMENTO!$AF$11)))</f>
        <v>0</v>
      </c>
    </row>
    <row r="230" spans="1:41" ht="25.5" x14ac:dyDescent="0.2">
      <c r="A230" t="str">
        <f ca="1">ORÇAMENTO!C230</f>
        <v>S</v>
      </c>
      <c r="B230">
        <f ca="1">ORÇAMENTO!D230</f>
        <v>0</v>
      </c>
      <c r="C230" s="115" t="str">
        <f t="shared" ca="1" si="22"/>
        <v/>
      </c>
      <c r="D230" s="118" t="str">
        <f ca="1">ORÇAMENTO!O230</f>
        <v>-</v>
      </c>
      <c r="E230" s="164" t="str">
        <f t="shared" si="23"/>
        <v>ASSENTO SANITÁRIO INFANTIL - FORNECIMENTO E INSTALACAO. AF_01/2020</v>
      </c>
      <c r="F230" s="165" t="str">
        <f ca="1">IF(RegimeExecucao="Global","",ORÇAMENTO.Unidade)</f>
        <v>UN</v>
      </c>
      <c r="G230" s="123">
        <f ca="1">IF(RegimeExecucao="Global","",ORÇAMENTO!T230)</f>
        <v>16</v>
      </c>
      <c r="H230" s="123">
        <f ca="1">IF(RegimeExecucao="Global","",ORÇAMENTO!W230)</f>
        <v>0</v>
      </c>
      <c r="I230" s="126">
        <f ca="1">ORÇAMENTO!X230</f>
        <v>0</v>
      </c>
      <c r="J230" s="334" t="e" cm="1">
        <f t="array" aca="1" ref="J230" ca="1">_xlfn.SINGLE(IF($A230="S",IF(CAIXA.Modo,BM.AFAnterior,BM.MEDAnterior),IF(AND(_xlfn.SINGLE(RegimeExecucao)="Global",$I230&gt;0,COUNTIF($AB$13:$AM$13,BM.medicao-1)&gt;0),M230/$I230*100,0)))</f>
        <v>#NAME?</v>
      </c>
      <c r="K230" s="123" t="e">
        <f t="shared" ca="1" si="24"/>
        <v>#NAME?</v>
      </c>
      <c r="L230" s="335" t="e" cm="1">
        <f t="array" aca="1" ref="L230" ca="1">_xlfn.SINGLE(IF($A230="S",IF(CAIXA.Modo,BM.AFAcumulado,BM.MEDAcumulado),IF(AND(_xlfn.SINGLE(RegimeExecucao)="Global",$I230&gt;0,COUNTIF($AB$13:$AM$13,BM.medicao)&gt;0),O230/$I230*100,0)))</f>
        <v>#NAME?</v>
      </c>
      <c r="M230" s="336">
        <f ca="1">IF($A230="S",VTOTALBM,IF($A230=0,0,ROUND(SomaAgrupBM,15-13*ORÇAMENTO!$AF$11)))</f>
        <v>0</v>
      </c>
      <c r="N230" s="337">
        <f t="shared" ca="1" si="25"/>
        <v>0</v>
      </c>
      <c r="O230" s="126">
        <f ca="1">IF($A230="S",VTOTALBM,IF($A230=0,0,ROUND(SomaAgrupBM,15-13*ORÇAMENTO!$AF$11)))</f>
        <v>0</v>
      </c>
      <c r="Q230" s="338"/>
      <c r="R230" s="339"/>
      <c r="T230" s="118" t="str">
        <f t="shared" ca="1" si="26"/>
        <v/>
      </c>
      <c r="U230" s="164" t="str">
        <f t="shared" ca="1" si="27"/>
        <v/>
      </c>
      <c r="V230" s="165" t="str">
        <f ca="1">IF(AND($W230&gt;0,RegimeExecucao="Unitário"),$F230,"")</f>
        <v/>
      </c>
      <c r="W230" s="455">
        <f ca="1">IF($Y230&gt;0,CHOOSE(MATCH(RegimeExecucao,{"Unitário","Global"},0),IF($A230="S",$Y230/$X230,""),($Y230/$X230)*100),0)</f>
        <v>0</v>
      </c>
      <c r="X230" s="340" t="str">
        <f ca="1">IF($Y230&gt;0,CHOOSE(MATCH(RegimeExecucao,{"Unitário","Global"},0),IF($A230="S",ROUND($H230,ORÇAMENTO!$AF$10),""),ROUND($I230,ORÇAMENTO!$AF$11)),"")</f>
        <v/>
      </c>
      <c r="Y230" s="340">
        <f t="shared" ca="1" si="28"/>
        <v>0</v>
      </c>
      <c r="Z230" s="474"/>
      <c r="AB230" s="338"/>
      <c r="AC230" s="438"/>
      <c r="AD230" s="438"/>
      <c r="AE230" s="438"/>
      <c r="AF230" s="438"/>
      <c r="AG230" s="438"/>
      <c r="AH230" s="438"/>
      <c r="AI230" s="438"/>
      <c r="AJ230" s="438"/>
      <c r="AK230" s="438"/>
      <c r="AL230" s="438"/>
      <c r="AM230" s="339"/>
      <c r="AO230">
        <f ca="1">IF($A230="S",IF(BM!$I230=0,0,CHOOSE(MATCH(RegimeExecucao,{"Global","Unitário"},0),ROUND(ROUND(BM.MEDAcumulado,15-13*BM!$A$9)/100*BM!$I230,15-13*ORÇAMENTO!$AF$11),ROUND(ROUND(BM.MEDAcumulado,15-13*BM!$A$9)*ROUND(BM!$H230,15-13*ORÇAMENTO!$AF$10),15-13*ORÇAMENTO!$AF$11))),IF($A230=0,0,ROUND(SomaAgrupBM,15-13*ORÇAMENTO!$AF$11)))</f>
        <v>0</v>
      </c>
    </row>
    <row r="231" spans="1:41" ht="38.25" x14ac:dyDescent="0.2">
      <c r="A231" t="str">
        <f ca="1">ORÇAMENTO!C231</f>
        <v>S</v>
      </c>
      <c r="B231">
        <f ca="1">ORÇAMENTO!D231</f>
        <v>0</v>
      </c>
      <c r="C231" s="115" t="str">
        <f t="shared" ca="1" si="22"/>
        <v/>
      </c>
      <c r="D231" s="118" t="str">
        <f ca="1">ORÇAMENTO!O231</f>
        <v>-</v>
      </c>
      <c r="E231" s="164" t="str">
        <f t="shared" si="23"/>
        <v>VÁLVULA DE DESCARGA METÁLICA, DUPLO ACIONAMENTO ECO, BASE 1.1/2", ACABAMENTO METÁLICO CROMADO - FORNECIMENTO E INSTALAÇÃO</v>
      </c>
      <c r="F231" s="165" t="str">
        <f ca="1">IF(RegimeExecucao="Global","",ORÇAMENTO.Unidade)</f>
        <v>UN</v>
      </c>
      <c r="G231" s="123">
        <f ca="1">IF(RegimeExecucao="Global","",ORÇAMENTO!T231)</f>
        <v>27</v>
      </c>
      <c r="H231" s="123">
        <f ca="1">IF(RegimeExecucao="Global","",ORÇAMENTO!W231)</f>
        <v>0</v>
      </c>
      <c r="I231" s="126">
        <f ca="1">ORÇAMENTO!X231</f>
        <v>0</v>
      </c>
      <c r="J231" s="334" t="e" cm="1">
        <f t="array" aca="1" ref="J231" ca="1">_xlfn.SINGLE(IF($A231="S",IF(CAIXA.Modo,BM.AFAnterior,BM.MEDAnterior),IF(AND(_xlfn.SINGLE(RegimeExecucao)="Global",$I231&gt;0,COUNTIF($AB$13:$AM$13,BM.medicao-1)&gt;0),M231/$I231*100,0)))</f>
        <v>#NAME?</v>
      </c>
      <c r="K231" s="123" t="e">
        <f t="shared" ca="1" si="24"/>
        <v>#NAME?</v>
      </c>
      <c r="L231" s="335" t="e" cm="1">
        <f t="array" aca="1" ref="L231" ca="1">_xlfn.SINGLE(IF($A231="S",IF(CAIXA.Modo,BM.AFAcumulado,BM.MEDAcumulado),IF(AND(_xlfn.SINGLE(RegimeExecucao)="Global",$I231&gt;0,COUNTIF($AB$13:$AM$13,BM.medicao)&gt;0),O231/$I231*100,0)))</f>
        <v>#NAME?</v>
      </c>
      <c r="M231" s="336">
        <f ca="1">IF($A231="S",VTOTALBM,IF($A231=0,0,ROUND(SomaAgrupBM,15-13*ORÇAMENTO!$AF$11)))</f>
        <v>0</v>
      </c>
      <c r="N231" s="337">
        <f t="shared" ca="1" si="25"/>
        <v>0</v>
      </c>
      <c r="O231" s="126">
        <f ca="1">IF($A231="S",VTOTALBM,IF($A231=0,0,ROUND(SomaAgrupBM,15-13*ORÇAMENTO!$AF$11)))</f>
        <v>0</v>
      </c>
      <c r="Q231" s="338"/>
      <c r="R231" s="339"/>
      <c r="T231" s="118" t="str">
        <f t="shared" ca="1" si="26"/>
        <v/>
      </c>
      <c r="U231" s="164" t="str">
        <f t="shared" ca="1" si="27"/>
        <v/>
      </c>
      <c r="V231" s="165" t="str">
        <f ca="1">IF(AND($W231&gt;0,RegimeExecucao="Unitário"),$F231,"")</f>
        <v/>
      </c>
      <c r="W231" s="455">
        <f ca="1">IF($Y231&gt;0,CHOOSE(MATCH(RegimeExecucao,{"Unitário","Global"},0),IF($A231="S",$Y231/$X231,""),($Y231/$X231)*100),0)</f>
        <v>0</v>
      </c>
      <c r="X231" s="340" t="str">
        <f ca="1">IF($Y231&gt;0,CHOOSE(MATCH(RegimeExecucao,{"Unitário","Global"},0),IF($A231="S",ROUND($H231,ORÇAMENTO!$AF$10),""),ROUND($I231,ORÇAMENTO!$AF$11)),"")</f>
        <v/>
      </c>
      <c r="Y231" s="340">
        <f t="shared" ca="1" si="28"/>
        <v>0</v>
      </c>
      <c r="Z231" s="474"/>
      <c r="AB231" s="338"/>
      <c r="AC231" s="438"/>
      <c r="AD231" s="438"/>
      <c r="AE231" s="438"/>
      <c r="AF231" s="438"/>
      <c r="AG231" s="438"/>
      <c r="AH231" s="438"/>
      <c r="AI231" s="438"/>
      <c r="AJ231" s="438"/>
      <c r="AK231" s="438"/>
      <c r="AL231" s="438"/>
      <c r="AM231" s="339"/>
      <c r="AO231">
        <f ca="1">IF($A231="S",IF(BM!$I231=0,0,CHOOSE(MATCH(RegimeExecucao,{"Global","Unitário"},0),ROUND(ROUND(BM.MEDAcumulado,15-13*BM!$A$9)/100*BM!$I231,15-13*ORÇAMENTO!$AF$11),ROUND(ROUND(BM.MEDAcumulado,15-13*BM!$A$9)*ROUND(BM!$H231,15-13*ORÇAMENTO!$AF$10),15-13*ORÇAMENTO!$AF$11))),IF($A231=0,0,ROUND(SomaAgrupBM,15-13*ORÇAMENTO!$AF$11)))</f>
        <v>0</v>
      </c>
    </row>
    <row r="232" spans="1:41" ht="38.25" x14ac:dyDescent="0.2">
      <c r="A232" t="str">
        <f ca="1">ORÇAMENTO!C232</f>
        <v>S</v>
      </c>
      <c r="B232">
        <f ca="1">ORÇAMENTO!D232</f>
        <v>0</v>
      </c>
      <c r="C232" s="115" t="str">
        <f t="shared" ca="1" si="22"/>
        <v/>
      </c>
      <c r="D232" s="118" t="str">
        <f ca="1">ORÇAMENTO!O232</f>
        <v>-</v>
      </c>
      <c r="E232" s="164" t="str">
        <f t="shared" si="23"/>
        <v>TORNEIRA COM ALAVANCA CROMADA DE MESA, 1/2" OU 3/4", PARA SANITÁRIO PCD, BICA BAIXA - FORNECIMENTO E INSTALAÇÃO. AF_01/2020</v>
      </c>
      <c r="F232" s="165" t="str">
        <f ca="1">IF(RegimeExecucao="Global","",ORÇAMENTO.Unidade)</f>
        <v xml:space="preserve">UN    </v>
      </c>
      <c r="G232" s="123">
        <f ca="1">IF(RegimeExecucao="Global","",ORÇAMENTO!T232)</f>
        <v>6</v>
      </c>
      <c r="H232" s="123">
        <f ca="1">IF(RegimeExecucao="Global","",ORÇAMENTO!W232)</f>
        <v>0</v>
      </c>
      <c r="I232" s="126">
        <f ca="1">ORÇAMENTO!X232</f>
        <v>0</v>
      </c>
      <c r="J232" s="334" t="e" cm="1">
        <f t="array" aca="1" ref="J232" ca="1">_xlfn.SINGLE(IF($A232="S",IF(CAIXA.Modo,BM.AFAnterior,BM.MEDAnterior),IF(AND(_xlfn.SINGLE(RegimeExecucao)="Global",$I232&gt;0,COUNTIF($AB$13:$AM$13,BM.medicao-1)&gt;0),M232/$I232*100,0)))</f>
        <v>#NAME?</v>
      </c>
      <c r="K232" s="123" t="e">
        <f t="shared" ca="1" si="24"/>
        <v>#NAME?</v>
      </c>
      <c r="L232" s="335" t="e" cm="1">
        <f t="array" aca="1" ref="L232" ca="1">_xlfn.SINGLE(IF($A232="S",IF(CAIXA.Modo,BM.AFAcumulado,BM.MEDAcumulado),IF(AND(_xlfn.SINGLE(RegimeExecucao)="Global",$I232&gt;0,COUNTIF($AB$13:$AM$13,BM.medicao)&gt;0),O232/$I232*100,0)))</f>
        <v>#NAME?</v>
      </c>
      <c r="M232" s="336">
        <f ca="1">IF($A232="S",VTOTALBM,IF($A232=0,0,ROUND(SomaAgrupBM,15-13*ORÇAMENTO!$AF$11)))</f>
        <v>0</v>
      </c>
      <c r="N232" s="337">
        <f t="shared" ca="1" si="25"/>
        <v>0</v>
      </c>
      <c r="O232" s="126">
        <f ca="1">IF($A232="S",VTOTALBM,IF($A232=0,0,ROUND(SomaAgrupBM,15-13*ORÇAMENTO!$AF$11)))</f>
        <v>0</v>
      </c>
      <c r="Q232" s="338"/>
      <c r="R232" s="339"/>
      <c r="T232" s="118" t="str">
        <f t="shared" ca="1" si="26"/>
        <v/>
      </c>
      <c r="U232" s="164" t="str">
        <f t="shared" ca="1" si="27"/>
        <v/>
      </c>
      <c r="V232" s="165" t="str">
        <f ca="1">IF(AND($W232&gt;0,RegimeExecucao="Unitário"),$F232,"")</f>
        <v/>
      </c>
      <c r="W232" s="455">
        <f ca="1">IF($Y232&gt;0,CHOOSE(MATCH(RegimeExecucao,{"Unitário","Global"},0),IF($A232="S",$Y232/$X232,""),($Y232/$X232)*100),0)</f>
        <v>0</v>
      </c>
      <c r="X232" s="340" t="str">
        <f ca="1">IF($Y232&gt;0,CHOOSE(MATCH(RegimeExecucao,{"Unitário","Global"},0),IF($A232="S",ROUND($H232,ORÇAMENTO!$AF$10),""),ROUND($I232,ORÇAMENTO!$AF$11)),"")</f>
        <v/>
      </c>
      <c r="Y232" s="340">
        <f t="shared" ca="1" si="28"/>
        <v>0</v>
      </c>
      <c r="Z232" s="474"/>
      <c r="AB232" s="338"/>
      <c r="AC232" s="438"/>
      <c r="AD232" s="438"/>
      <c r="AE232" s="438"/>
      <c r="AF232" s="438"/>
      <c r="AG232" s="438"/>
      <c r="AH232" s="438"/>
      <c r="AI232" s="438"/>
      <c r="AJ232" s="438"/>
      <c r="AK232" s="438"/>
      <c r="AL232" s="438"/>
      <c r="AM232" s="339"/>
      <c r="AO232">
        <f ca="1">IF($A232="S",IF(BM!$I232=0,0,CHOOSE(MATCH(RegimeExecucao,{"Global","Unitário"},0),ROUND(ROUND(BM.MEDAcumulado,15-13*BM!$A$9)/100*BM!$I232,15-13*ORÇAMENTO!$AF$11),ROUND(ROUND(BM.MEDAcumulado,15-13*BM!$A$9)*ROUND(BM!$H232,15-13*ORÇAMENTO!$AF$10),15-13*ORÇAMENTO!$AF$11))),IF($A232=0,0,ROUND(SomaAgrupBM,15-13*ORÇAMENTO!$AF$11)))</f>
        <v>0</v>
      </c>
    </row>
    <row r="233" spans="1:41" ht="38.25" x14ac:dyDescent="0.2">
      <c r="A233" t="str">
        <f ca="1">ORÇAMENTO!C233</f>
        <v>S</v>
      </c>
      <c r="B233">
        <f ca="1">ORÇAMENTO!D233</f>
        <v>0</v>
      </c>
      <c r="C233" s="115" t="str">
        <f t="shared" ca="1" si="22"/>
        <v/>
      </c>
      <c r="D233" s="118" t="str">
        <f ca="1">ORÇAMENTO!O233</f>
        <v>-</v>
      </c>
      <c r="E233" s="164" t="str">
        <f t="shared" si="23"/>
        <v>TORNEIRA CROMADA DE MESA, 1/2" OU 3/4", PARA LAVATÓRIO,TEMPORIZADA PRESSÃO, FECHAMENTO AUTOMÁTICO, BICA BAIXA - FORNECIMENTO E INSTALAÇÃO. AF_01/2020</v>
      </c>
      <c r="F233" s="165" t="str">
        <f ca="1">IF(RegimeExecucao="Global","",ORÇAMENTO.Unidade)</f>
        <v xml:space="preserve">UN    </v>
      </c>
      <c r="G233" s="123">
        <f ca="1">IF(RegimeExecucao="Global","",ORÇAMENTO!T233)</f>
        <v>29</v>
      </c>
      <c r="H233" s="123">
        <f ca="1">IF(RegimeExecucao="Global","",ORÇAMENTO!W233)</f>
        <v>0</v>
      </c>
      <c r="I233" s="126">
        <f ca="1">ORÇAMENTO!X233</f>
        <v>0</v>
      </c>
      <c r="J233" s="334" t="e" cm="1">
        <f t="array" aca="1" ref="J233" ca="1">_xlfn.SINGLE(IF($A233="S",IF(CAIXA.Modo,BM.AFAnterior,BM.MEDAnterior),IF(AND(_xlfn.SINGLE(RegimeExecucao)="Global",$I233&gt;0,COUNTIF($AB$13:$AM$13,BM.medicao-1)&gt;0),M233/$I233*100,0)))</f>
        <v>#NAME?</v>
      </c>
      <c r="K233" s="123" t="e">
        <f t="shared" ca="1" si="24"/>
        <v>#NAME?</v>
      </c>
      <c r="L233" s="335" t="e" cm="1">
        <f t="array" aca="1" ref="L233" ca="1">_xlfn.SINGLE(IF($A233="S",IF(CAIXA.Modo,BM.AFAcumulado,BM.MEDAcumulado),IF(AND(_xlfn.SINGLE(RegimeExecucao)="Global",$I233&gt;0,COUNTIF($AB$13:$AM$13,BM.medicao)&gt;0),O233/$I233*100,0)))</f>
        <v>#NAME?</v>
      </c>
      <c r="M233" s="336">
        <f ca="1">IF($A233="S",VTOTALBM,IF($A233=0,0,ROUND(SomaAgrupBM,15-13*ORÇAMENTO!$AF$11)))</f>
        <v>0</v>
      </c>
      <c r="N233" s="337">
        <f t="shared" ca="1" si="25"/>
        <v>0</v>
      </c>
      <c r="O233" s="126">
        <f ca="1">IF($A233="S",VTOTALBM,IF($A233=0,0,ROUND(SomaAgrupBM,15-13*ORÇAMENTO!$AF$11)))</f>
        <v>0</v>
      </c>
      <c r="Q233" s="338"/>
      <c r="R233" s="339"/>
      <c r="T233" s="118" t="str">
        <f t="shared" ca="1" si="26"/>
        <v/>
      </c>
      <c r="U233" s="164" t="str">
        <f t="shared" ca="1" si="27"/>
        <v/>
      </c>
      <c r="V233" s="165" t="str">
        <f ca="1">IF(AND($W233&gt;0,RegimeExecucao="Unitário"),$F233,"")</f>
        <v/>
      </c>
      <c r="W233" s="455">
        <f ca="1">IF($Y233&gt;0,CHOOSE(MATCH(RegimeExecucao,{"Unitário","Global"},0),IF($A233="S",$Y233/$X233,""),($Y233/$X233)*100),0)</f>
        <v>0</v>
      </c>
      <c r="X233" s="340" t="str">
        <f ca="1">IF($Y233&gt;0,CHOOSE(MATCH(RegimeExecucao,{"Unitário","Global"},0),IF($A233="S",ROUND($H233,ORÇAMENTO!$AF$10),""),ROUND($I233,ORÇAMENTO!$AF$11)),"")</f>
        <v/>
      </c>
      <c r="Y233" s="340">
        <f t="shared" ca="1" si="28"/>
        <v>0</v>
      </c>
      <c r="Z233" s="474"/>
      <c r="AB233" s="338"/>
      <c r="AC233" s="438"/>
      <c r="AD233" s="438"/>
      <c r="AE233" s="438"/>
      <c r="AF233" s="438"/>
      <c r="AG233" s="438"/>
      <c r="AH233" s="438"/>
      <c r="AI233" s="438"/>
      <c r="AJ233" s="438"/>
      <c r="AK233" s="438"/>
      <c r="AL233" s="438"/>
      <c r="AM233" s="339"/>
      <c r="AO233">
        <f ca="1">IF($A233="S",IF(BM!$I233=0,0,CHOOSE(MATCH(RegimeExecucao,{"Global","Unitário"},0),ROUND(ROUND(BM.MEDAcumulado,15-13*BM!$A$9)/100*BM!$I233,15-13*ORÇAMENTO!$AF$11),ROUND(ROUND(BM.MEDAcumulado,15-13*BM!$A$9)*ROUND(BM!$H233,15-13*ORÇAMENTO!$AF$10),15-13*ORÇAMENTO!$AF$11))),IF($A233=0,0,ROUND(SomaAgrupBM,15-13*ORÇAMENTO!$AF$11)))</f>
        <v>0</v>
      </c>
    </row>
    <row r="234" spans="1:41" ht="25.5" x14ac:dyDescent="0.2">
      <c r="A234" t="str">
        <f ca="1">ORÇAMENTO!C234</f>
        <v>S</v>
      </c>
      <c r="B234">
        <f ca="1">ORÇAMENTO!D234</f>
        <v>0</v>
      </c>
      <c r="C234" s="115" t="str">
        <f t="shared" ca="1" si="22"/>
        <v/>
      </c>
      <c r="D234" s="118" t="str">
        <f ca="1">ORÇAMENTO!O234</f>
        <v>-</v>
      </c>
      <c r="E234" s="164" t="str">
        <f t="shared" si="23"/>
        <v>VÁLVULA EM PLÁSTICO 1" PARA PIA, TANQUE OU LAVATÓRIO, COM OU SEM LADRÃO - FORNECIMENTO E INSTALAÇÃO. AF_01/2020</v>
      </c>
      <c r="F234" s="165" t="str">
        <f ca="1">IF(RegimeExecucao="Global","",ORÇAMENTO.Unidade)</f>
        <v>UN</v>
      </c>
      <c r="G234" s="123">
        <f ca="1">IF(RegimeExecucao="Global","",ORÇAMENTO!T234)</f>
        <v>35</v>
      </c>
      <c r="H234" s="123">
        <f ca="1">IF(RegimeExecucao="Global","",ORÇAMENTO!W234)</f>
        <v>0</v>
      </c>
      <c r="I234" s="126">
        <f ca="1">ORÇAMENTO!X234</f>
        <v>0</v>
      </c>
      <c r="J234" s="334" t="e" cm="1">
        <f t="array" aca="1" ref="J234" ca="1">_xlfn.SINGLE(IF($A234="S",IF(CAIXA.Modo,BM.AFAnterior,BM.MEDAnterior),IF(AND(_xlfn.SINGLE(RegimeExecucao)="Global",$I234&gt;0,COUNTIF($AB$13:$AM$13,BM.medicao-1)&gt;0),M234/$I234*100,0)))</f>
        <v>#NAME?</v>
      </c>
      <c r="K234" s="123" t="e">
        <f t="shared" ca="1" si="24"/>
        <v>#NAME?</v>
      </c>
      <c r="L234" s="335" t="e" cm="1">
        <f t="array" aca="1" ref="L234" ca="1">_xlfn.SINGLE(IF($A234="S",IF(CAIXA.Modo,BM.AFAcumulado,BM.MEDAcumulado),IF(AND(_xlfn.SINGLE(RegimeExecucao)="Global",$I234&gt;0,COUNTIF($AB$13:$AM$13,BM.medicao)&gt;0),O234/$I234*100,0)))</f>
        <v>#NAME?</v>
      </c>
      <c r="M234" s="336">
        <f ca="1">IF($A234="S",VTOTALBM,IF($A234=0,0,ROUND(SomaAgrupBM,15-13*ORÇAMENTO!$AF$11)))</f>
        <v>0</v>
      </c>
      <c r="N234" s="337">
        <f t="shared" ca="1" si="25"/>
        <v>0</v>
      </c>
      <c r="O234" s="126">
        <f ca="1">IF($A234="S",VTOTALBM,IF($A234=0,0,ROUND(SomaAgrupBM,15-13*ORÇAMENTO!$AF$11)))</f>
        <v>0</v>
      </c>
      <c r="Q234" s="338"/>
      <c r="R234" s="339"/>
      <c r="T234" s="118" t="str">
        <f t="shared" ca="1" si="26"/>
        <v/>
      </c>
      <c r="U234" s="164" t="str">
        <f t="shared" ca="1" si="27"/>
        <v/>
      </c>
      <c r="V234" s="165" t="str">
        <f ca="1">IF(AND($W234&gt;0,RegimeExecucao="Unitário"),$F234,"")</f>
        <v/>
      </c>
      <c r="W234" s="455">
        <f ca="1">IF($Y234&gt;0,CHOOSE(MATCH(RegimeExecucao,{"Unitário","Global"},0),IF($A234="S",$Y234/$X234,""),($Y234/$X234)*100),0)</f>
        <v>0</v>
      </c>
      <c r="X234" s="340" t="str">
        <f ca="1">IF($Y234&gt;0,CHOOSE(MATCH(RegimeExecucao,{"Unitário","Global"},0),IF($A234="S",ROUND($H234,ORÇAMENTO!$AF$10),""),ROUND($I234,ORÇAMENTO!$AF$11)),"")</f>
        <v/>
      </c>
      <c r="Y234" s="340">
        <f t="shared" ca="1" si="28"/>
        <v>0</v>
      </c>
      <c r="Z234" s="474"/>
      <c r="AB234" s="338"/>
      <c r="AC234" s="438"/>
      <c r="AD234" s="438"/>
      <c r="AE234" s="438"/>
      <c r="AF234" s="438"/>
      <c r="AG234" s="438"/>
      <c r="AH234" s="438"/>
      <c r="AI234" s="438"/>
      <c r="AJ234" s="438"/>
      <c r="AK234" s="438"/>
      <c r="AL234" s="438"/>
      <c r="AM234" s="339"/>
      <c r="AO234">
        <f ca="1">IF($A234="S",IF(BM!$I234=0,0,CHOOSE(MATCH(RegimeExecucao,{"Global","Unitário"},0),ROUND(ROUND(BM.MEDAcumulado,15-13*BM!$A$9)/100*BM!$I234,15-13*ORÇAMENTO!$AF$11),ROUND(ROUND(BM.MEDAcumulado,15-13*BM!$A$9)*ROUND(BM!$H234,15-13*ORÇAMENTO!$AF$10),15-13*ORÇAMENTO!$AF$11))),IF($A234=0,0,ROUND(SomaAgrupBM,15-13*ORÇAMENTO!$AF$11)))</f>
        <v>0</v>
      </c>
    </row>
    <row r="235" spans="1:41" ht="25.5" x14ac:dyDescent="0.2">
      <c r="A235" t="str">
        <f ca="1">ORÇAMENTO!C235</f>
        <v>S</v>
      </c>
      <c r="B235">
        <f ca="1">ORÇAMENTO!D235</f>
        <v>0</v>
      </c>
      <c r="C235" s="115" t="str">
        <f t="shared" ca="1" si="22"/>
        <v/>
      </c>
      <c r="D235" s="118" t="str">
        <f ca="1">ORÇAMENTO!O235</f>
        <v>-</v>
      </c>
      <c r="E235" s="164" t="str">
        <f t="shared" si="23"/>
        <v>SIFÃO DO TIPO FLEXÍVEL EM PVC 1  X 1.1/2  - FORNECIMENTO E INSTALAÇÃO. AF_01/2020</v>
      </c>
      <c r="F235" s="165" t="str">
        <f ca="1">IF(RegimeExecucao="Global","",ORÇAMENTO.Unidade)</f>
        <v>UN</v>
      </c>
      <c r="G235" s="123">
        <f ca="1">IF(RegimeExecucao="Global","",ORÇAMENTO!T235)</f>
        <v>35</v>
      </c>
      <c r="H235" s="123">
        <f ca="1">IF(RegimeExecucao="Global","",ORÇAMENTO!W235)</f>
        <v>0</v>
      </c>
      <c r="I235" s="126">
        <f ca="1">ORÇAMENTO!X235</f>
        <v>0</v>
      </c>
      <c r="J235" s="334" t="e" cm="1">
        <f t="array" aca="1" ref="J235" ca="1">_xlfn.SINGLE(IF($A235="S",IF(CAIXA.Modo,BM.AFAnterior,BM.MEDAnterior),IF(AND(_xlfn.SINGLE(RegimeExecucao)="Global",$I235&gt;0,COUNTIF($AB$13:$AM$13,BM.medicao-1)&gt;0),M235/$I235*100,0)))</f>
        <v>#NAME?</v>
      </c>
      <c r="K235" s="123" t="e">
        <f t="shared" ca="1" si="24"/>
        <v>#NAME?</v>
      </c>
      <c r="L235" s="335" t="e" cm="1">
        <f t="array" aca="1" ref="L235" ca="1">_xlfn.SINGLE(IF($A235="S",IF(CAIXA.Modo,BM.AFAcumulado,BM.MEDAcumulado),IF(AND(_xlfn.SINGLE(RegimeExecucao)="Global",$I235&gt;0,COUNTIF($AB$13:$AM$13,BM.medicao)&gt;0),O235/$I235*100,0)))</f>
        <v>#NAME?</v>
      </c>
      <c r="M235" s="336">
        <f ca="1">IF($A235="S",VTOTALBM,IF($A235=0,0,ROUND(SomaAgrupBM,15-13*ORÇAMENTO!$AF$11)))</f>
        <v>0</v>
      </c>
      <c r="N235" s="337">
        <f t="shared" ca="1" si="25"/>
        <v>0</v>
      </c>
      <c r="O235" s="126">
        <f ca="1">IF($A235="S",VTOTALBM,IF($A235=0,0,ROUND(SomaAgrupBM,15-13*ORÇAMENTO!$AF$11)))</f>
        <v>0</v>
      </c>
      <c r="Q235" s="338"/>
      <c r="R235" s="339"/>
      <c r="T235" s="118" t="str">
        <f t="shared" ca="1" si="26"/>
        <v/>
      </c>
      <c r="U235" s="164" t="str">
        <f t="shared" ca="1" si="27"/>
        <v/>
      </c>
      <c r="V235" s="165" t="str">
        <f ca="1">IF(AND($W235&gt;0,RegimeExecucao="Unitário"),$F235,"")</f>
        <v/>
      </c>
      <c r="W235" s="455">
        <f ca="1">IF($Y235&gt;0,CHOOSE(MATCH(RegimeExecucao,{"Unitário","Global"},0),IF($A235="S",$Y235/$X235,""),($Y235/$X235)*100),0)</f>
        <v>0</v>
      </c>
      <c r="X235" s="340" t="str">
        <f ca="1">IF($Y235&gt;0,CHOOSE(MATCH(RegimeExecucao,{"Unitário","Global"},0),IF($A235="S",ROUND($H235,ORÇAMENTO!$AF$10),""),ROUND($I235,ORÇAMENTO!$AF$11)),"")</f>
        <v/>
      </c>
      <c r="Y235" s="340">
        <f t="shared" ca="1" si="28"/>
        <v>0</v>
      </c>
      <c r="Z235" s="474"/>
      <c r="AB235" s="338"/>
      <c r="AC235" s="438"/>
      <c r="AD235" s="438"/>
      <c r="AE235" s="438"/>
      <c r="AF235" s="438"/>
      <c r="AG235" s="438"/>
      <c r="AH235" s="438"/>
      <c r="AI235" s="438"/>
      <c r="AJ235" s="438"/>
      <c r="AK235" s="438"/>
      <c r="AL235" s="438"/>
      <c r="AM235" s="339"/>
      <c r="AO235">
        <f ca="1">IF($A235="S",IF(BM!$I235=0,0,CHOOSE(MATCH(RegimeExecucao,{"Global","Unitário"},0),ROUND(ROUND(BM.MEDAcumulado,15-13*BM!$A$9)/100*BM!$I235,15-13*ORÇAMENTO!$AF$11),ROUND(ROUND(BM.MEDAcumulado,15-13*BM!$A$9)*ROUND(BM!$H235,15-13*ORÇAMENTO!$AF$10),15-13*ORÇAMENTO!$AF$11))),IF($A235=0,0,ROUND(SomaAgrupBM,15-13*ORÇAMENTO!$AF$11)))</f>
        <v>0</v>
      </c>
    </row>
    <row r="236" spans="1:41" ht="25.5" x14ac:dyDescent="0.2">
      <c r="A236" t="str">
        <f ca="1">ORÇAMENTO!C236</f>
        <v>S</v>
      </c>
      <c r="B236">
        <f ca="1">ORÇAMENTO!D236</f>
        <v>0</v>
      </c>
      <c r="C236" s="115" t="str">
        <f t="shared" ca="1" si="22"/>
        <v/>
      </c>
      <c r="D236" s="118" t="str">
        <f ca="1">ORÇAMENTO!O236</f>
        <v>-</v>
      </c>
      <c r="E236" s="164" t="str">
        <f t="shared" si="23"/>
        <v>ENGATE FLEXÍVEL EM PLÁSTICO BRANCO, 1/2" X 30CM - FORNECIMENTO E INSTALAÇÃO. AF_01/2020</v>
      </c>
      <c r="F236" s="165" t="str">
        <f ca="1">IF(RegimeExecucao="Global","",ORÇAMENTO.Unidade)</f>
        <v>UN</v>
      </c>
      <c r="G236" s="123">
        <f ca="1">IF(RegimeExecucao="Global","",ORÇAMENTO!T236)</f>
        <v>35</v>
      </c>
      <c r="H236" s="123">
        <f ca="1">IF(RegimeExecucao="Global","",ORÇAMENTO!W236)</f>
        <v>0</v>
      </c>
      <c r="I236" s="126">
        <f ca="1">ORÇAMENTO!X236</f>
        <v>0</v>
      </c>
      <c r="J236" s="334" t="e" cm="1">
        <f t="array" aca="1" ref="J236" ca="1">_xlfn.SINGLE(IF($A236="S",IF(CAIXA.Modo,BM.AFAnterior,BM.MEDAnterior),IF(AND(_xlfn.SINGLE(RegimeExecucao)="Global",$I236&gt;0,COUNTIF($AB$13:$AM$13,BM.medicao-1)&gt;0),M236/$I236*100,0)))</f>
        <v>#NAME?</v>
      </c>
      <c r="K236" s="123" t="e">
        <f t="shared" ca="1" si="24"/>
        <v>#NAME?</v>
      </c>
      <c r="L236" s="335" t="e" cm="1">
        <f t="array" aca="1" ref="L236" ca="1">_xlfn.SINGLE(IF($A236="S",IF(CAIXA.Modo,BM.AFAcumulado,BM.MEDAcumulado),IF(AND(_xlfn.SINGLE(RegimeExecucao)="Global",$I236&gt;0,COUNTIF($AB$13:$AM$13,BM.medicao)&gt;0),O236/$I236*100,0)))</f>
        <v>#NAME?</v>
      </c>
      <c r="M236" s="336">
        <f ca="1">IF($A236="S",VTOTALBM,IF($A236=0,0,ROUND(SomaAgrupBM,15-13*ORÇAMENTO!$AF$11)))</f>
        <v>0</v>
      </c>
      <c r="N236" s="337">
        <f t="shared" ca="1" si="25"/>
        <v>0</v>
      </c>
      <c r="O236" s="126">
        <f ca="1">IF($A236="S",VTOTALBM,IF($A236=0,0,ROUND(SomaAgrupBM,15-13*ORÇAMENTO!$AF$11)))</f>
        <v>0</v>
      </c>
      <c r="Q236" s="338"/>
      <c r="R236" s="339"/>
      <c r="T236" s="118" t="str">
        <f t="shared" ca="1" si="26"/>
        <v/>
      </c>
      <c r="U236" s="164" t="str">
        <f t="shared" ca="1" si="27"/>
        <v/>
      </c>
      <c r="V236" s="165" t="str">
        <f ca="1">IF(AND($W236&gt;0,RegimeExecucao="Unitário"),$F236,"")</f>
        <v/>
      </c>
      <c r="W236" s="455">
        <f ca="1">IF($Y236&gt;0,CHOOSE(MATCH(RegimeExecucao,{"Unitário","Global"},0),IF($A236="S",$Y236/$X236,""),($Y236/$X236)*100),0)</f>
        <v>0</v>
      </c>
      <c r="X236" s="340" t="str">
        <f ca="1">IF($Y236&gt;0,CHOOSE(MATCH(RegimeExecucao,{"Unitário","Global"},0),IF($A236="S",ROUND($H236,ORÇAMENTO!$AF$10),""),ROUND($I236,ORÇAMENTO!$AF$11)),"")</f>
        <v/>
      </c>
      <c r="Y236" s="340">
        <f t="shared" ca="1" si="28"/>
        <v>0</v>
      </c>
      <c r="Z236" s="474"/>
      <c r="AB236" s="338"/>
      <c r="AC236" s="438"/>
      <c r="AD236" s="438"/>
      <c r="AE236" s="438"/>
      <c r="AF236" s="438"/>
      <c r="AG236" s="438"/>
      <c r="AH236" s="438"/>
      <c r="AI236" s="438"/>
      <c r="AJ236" s="438"/>
      <c r="AK236" s="438"/>
      <c r="AL236" s="438"/>
      <c r="AM236" s="339"/>
      <c r="AO236">
        <f ca="1">IF($A236="S",IF(BM!$I236=0,0,CHOOSE(MATCH(RegimeExecucao,{"Global","Unitário"},0),ROUND(ROUND(BM.MEDAcumulado,15-13*BM!$A$9)/100*BM!$I236,15-13*ORÇAMENTO!$AF$11),ROUND(ROUND(BM.MEDAcumulado,15-13*BM!$A$9)*ROUND(BM!$H236,15-13*ORÇAMENTO!$AF$10),15-13*ORÇAMENTO!$AF$11))),IF($A236=0,0,ROUND(SomaAgrupBM,15-13*ORÇAMENTO!$AF$11)))</f>
        <v>0</v>
      </c>
    </row>
    <row r="237" spans="1:41" ht="38.25" x14ac:dyDescent="0.2">
      <c r="A237" t="str">
        <f ca="1">ORÇAMENTO!C237</f>
        <v>S</v>
      </c>
      <c r="B237">
        <f ca="1">ORÇAMENTO!D237</f>
        <v>0</v>
      </c>
      <c r="C237" s="115" t="str">
        <f t="shared" ca="1" si="22"/>
        <v/>
      </c>
      <c r="D237" s="118" t="str">
        <f ca="1">ORÇAMENTO!O237</f>
        <v>-</v>
      </c>
      <c r="E237" s="164" t="str">
        <f t="shared" si="23"/>
        <v>LAVATÓRIO LOUÇA BRANCA SUSPENSO, 29,5 X 39CM OU EQUIVALENTE, PADRÃO POPULAR - FORNECIMENTO E INSTALAÇÃO. AF_01/2020</v>
      </c>
      <c r="F237" s="165" t="str">
        <f ca="1">IF(RegimeExecucao="Global","",ORÇAMENTO.Unidade)</f>
        <v>UN</v>
      </c>
      <c r="G237" s="123">
        <f ca="1">IF(RegimeExecucao="Global","",ORÇAMENTO!T237)</f>
        <v>35</v>
      </c>
      <c r="H237" s="123">
        <f ca="1">IF(RegimeExecucao="Global","",ORÇAMENTO!W237)</f>
        <v>0</v>
      </c>
      <c r="I237" s="126">
        <f ca="1">ORÇAMENTO!X237</f>
        <v>0</v>
      </c>
      <c r="J237" s="334" t="e" cm="1">
        <f t="array" aca="1" ref="J237" ca="1">_xlfn.SINGLE(IF($A237="S",IF(CAIXA.Modo,BM.AFAnterior,BM.MEDAnterior),IF(AND(_xlfn.SINGLE(RegimeExecucao)="Global",$I237&gt;0,COUNTIF($AB$13:$AM$13,BM.medicao-1)&gt;0),M237/$I237*100,0)))</f>
        <v>#NAME?</v>
      </c>
      <c r="K237" s="123" t="e">
        <f t="shared" ca="1" si="24"/>
        <v>#NAME?</v>
      </c>
      <c r="L237" s="335" t="e" cm="1">
        <f t="array" aca="1" ref="L237" ca="1">_xlfn.SINGLE(IF($A237="S",IF(CAIXA.Modo,BM.AFAcumulado,BM.MEDAcumulado),IF(AND(_xlfn.SINGLE(RegimeExecucao)="Global",$I237&gt;0,COUNTIF($AB$13:$AM$13,BM.medicao)&gt;0),O237/$I237*100,0)))</f>
        <v>#NAME?</v>
      </c>
      <c r="M237" s="336">
        <f ca="1">IF($A237="S",VTOTALBM,IF($A237=0,0,ROUND(SomaAgrupBM,15-13*ORÇAMENTO!$AF$11)))</f>
        <v>0</v>
      </c>
      <c r="N237" s="337">
        <f t="shared" ca="1" si="25"/>
        <v>0</v>
      </c>
      <c r="O237" s="126">
        <f ca="1">IF($A237="S",VTOTALBM,IF($A237=0,0,ROUND(SomaAgrupBM,15-13*ORÇAMENTO!$AF$11)))</f>
        <v>0</v>
      </c>
      <c r="Q237" s="338"/>
      <c r="R237" s="339"/>
      <c r="T237" s="118" t="str">
        <f t="shared" ca="1" si="26"/>
        <v/>
      </c>
      <c r="U237" s="164" t="str">
        <f t="shared" ca="1" si="27"/>
        <v/>
      </c>
      <c r="V237" s="165" t="str">
        <f ca="1">IF(AND($W237&gt;0,RegimeExecucao="Unitário"),$F237,"")</f>
        <v/>
      </c>
      <c r="W237" s="455">
        <f ca="1">IF($Y237&gt;0,CHOOSE(MATCH(RegimeExecucao,{"Unitário","Global"},0),IF($A237="S",$Y237/$X237,""),($Y237/$X237)*100),0)</f>
        <v>0</v>
      </c>
      <c r="X237" s="340" t="str">
        <f ca="1">IF($Y237&gt;0,CHOOSE(MATCH(RegimeExecucao,{"Unitário","Global"},0),IF($A237="S",ROUND($H237,ORÇAMENTO!$AF$10),""),ROUND($I237,ORÇAMENTO!$AF$11)),"")</f>
        <v/>
      </c>
      <c r="Y237" s="340">
        <f t="shared" ca="1" si="28"/>
        <v>0</v>
      </c>
      <c r="Z237" s="474"/>
      <c r="AB237" s="338"/>
      <c r="AC237" s="438"/>
      <c r="AD237" s="438"/>
      <c r="AE237" s="438"/>
      <c r="AF237" s="438"/>
      <c r="AG237" s="438"/>
      <c r="AH237" s="438"/>
      <c r="AI237" s="438"/>
      <c r="AJ237" s="438"/>
      <c r="AK237" s="438"/>
      <c r="AL237" s="438"/>
      <c r="AM237" s="339"/>
      <c r="AO237">
        <f ca="1">IF($A237="S",IF(BM!$I237=0,0,CHOOSE(MATCH(RegimeExecucao,{"Global","Unitário"},0),ROUND(ROUND(BM.MEDAcumulado,15-13*BM!$A$9)/100*BM!$I237,15-13*ORÇAMENTO!$AF$11),ROUND(ROUND(BM.MEDAcumulado,15-13*BM!$A$9)*ROUND(BM!$H237,15-13*ORÇAMENTO!$AF$10),15-13*ORÇAMENTO!$AF$11))),IF($A237=0,0,ROUND(SomaAgrupBM,15-13*ORÇAMENTO!$AF$11)))</f>
        <v>0</v>
      </c>
    </row>
    <row r="238" spans="1:41" ht="25.5" x14ac:dyDescent="0.2">
      <c r="A238" t="str">
        <f ca="1">ORÇAMENTO!C238</f>
        <v>S</v>
      </c>
      <c r="B238">
        <f ca="1">ORÇAMENTO!D238</f>
        <v>0</v>
      </c>
      <c r="C238" s="115" t="str">
        <f t="shared" ca="1" si="22"/>
        <v/>
      </c>
      <c r="D238" s="118" t="str">
        <f ca="1">ORÇAMENTO!O238</f>
        <v>-</v>
      </c>
      <c r="E238" s="164" t="str">
        <f t="shared" si="23"/>
        <v>PAPELEIRA DE PAREDE EM PLÁSTICO TIPO DISPENSER PARA PAPEL HIGIÊNICO ROLÃO, INCLUSO FIXAÇÃO</v>
      </c>
      <c r="F238" s="165" t="str">
        <f ca="1">IF(RegimeExecucao="Global","",ORÇAMENTO.Unidade)</f>
        <v xml:space="preserve">UN    </v>
      </c>
      <c r="G238" s="123">
        <f ca="1">IF(RegimeExecucao="Global","",ORÇAMENTO!T238)</f>
        <v>27</v>
      </c>
      <c r="H238" s="123">
        <f ca="1">IF(RegimeExecucao="Global","",ORÇAMENTO!W238)</f>
        <v>0</v>
      </c>
      <c r="I238" s="126">
        <f ca="1">ORÇAMENTO!X238</f>
        <v>0</v>
      </c>
      <c r="J238" s="334" t="e" cm="1">
        <f t="array" aca="1" ref="J238" ca="1">_xlfn.SINGLE(IF($A238="S",IF(CAIXA.Modo,BM.AFAnterior,BM.MEDAnterior),IF(AND(_xlfn.SINGLE(RegimeExecucao)="Global",$I238&gt;0,COUNTIF($AB$13:$AM$13,BM.medicao-1)&gt;0),M238/$I238*100,0)))</f>
        <v>#NAME?</v>
      </c>
      <c r="K238" s="123" t="e">
        <f t="shared" ca="1" si="24"/>
        <v>#NAME?</v>
      </c>
      <c r="L238" s="335" t="e" cm="1">
        <f t="array" aca="1" ref="L238" ca="1">_xlfn.SINGLE(IF($A238="S",IF(CAIXA.Modo,BM.AFAcumulado,BM.MEDAcumulado),IF(AND(_xlfn.SINGLE(RegimeExecucao)="Global",$I238&gt;0,COUNTIF($AB$13:$AM$13,BM.medicao)&gt;0),O238/$I238*100,0)))</f>
        <v>#NAME?</v>
      </c>
      <c r="M238" s="336">
        <f ca="1">IF($A238="S",VTOTALBM,IF($A238=0,0,ROUND(SomaAgrupBM,15-13*ORÇAMENTO!$AF$11)))</f>
        <v>0</v>
      </c>
      <c r="N238" s="337">
        <f t="shared" ca="1" si="25"/>
        <v>0</v>
      </c>
      <c r="O238" s="126">
        <f ca="1">IF($A238="S",VTOTALBM,IF($A238=0,0,ROUND(SomaAgrupBM,15-13*ORÇAMENTO!$AF$11)))</f>
        <v>0</v>
      </c>
      <c r="Q238" s="338"/>
      <c r="R238" s="339"/>
      <c r="T238" s="118" t="str">
        <f t="shared" ca="1" si="26"/>
        <v/>
      </c>
      <c r="U238" s="164" t="str">
        <f t="shared" ca="1" si="27"/>
        <v/>
      </c>
      <c r="V238" s="165" t="str">
        <f ca="1">IF(AND($W238&gt;0,RegimeExecucao="Unitário"),$F238,"")</f>
        <v/>
      </c>
      <c r="W238" s="455">
        <f ca="1">IF($Y238&gt;0,CHOOSE(MATCH(RegimeExecucao,{"Unitário","Global"},0),IF($A238="S",$Y238/$X238,""),($Y238/$X238)*100),0)</f>
        <v>0</v>
      </c>
      <c r="X238" s="340" t="str">
        <f ca="1">IF($Y238&gt;0,CHOOSE(MATCH(RegimeExecucao,{"Unitário","Global"},0),IF($A238="S",ROUND($H238,ORÇAMENTO!$AF$10),""),ROUND($I238,ORÇAMENTO!$AF$11)),"")</f>
        <v/>
      </c>
      <c r="Y238" s="340">
        <f t="shared" ca="1" si="28"/>
        <v>0</v>
      </c>
      <c r="Z238" s="474"/>
      <c r="AB238" s="338"/>
      <c r="AC238" s="438"/>
      <c r="AD238" s="438"/>
      <c r="AE238" s="438"/>
      <c r="AF238" s="438"/>
      <c r="AG238" s="438"/>
      <c r="AH238" s="438"/>
      <c r="AI238" s="438"/>
      <c r="AJ238" s="438"/>
      <c r="AK238" s="438"/>
      <c r="AL238" s="438"/>
      <c r="AM238" s="339"/>
      <c r="AO238">
        <f ca="1">IF($A238="S",IF(BM!$I238=0,0,CHOOSE(MATCH(RegimeExecucao,{"Global","Unitário"},0),ROUND(ROUND(BM.MEDAcumulado,15-13*BM!$A$9)/100*BM!$I238,15-13*ORÇAMENTO!$AF$11),ROUND(ROUND(BM.MEDAcumulado,15-13*BM!$A$9)*ROUND(BM!$H238,15-13*ORÇAMENTO!$AF$10),15-13*ORÇAMENTO!$AF$11))),IF($A238=0,0,ROUND(SomaAgrupBM,15-13*ORÇAMENTO!$AF$11)))</f>
        <v>0</v>
      </c>
    </row>
    <row r="239" spans="1:41" ht="25.5" x14ac:dyDescent="0.2">
      <c r="A239" t="str">
        <f ca="1">ORÇAMENTO!C239</f>
        <v>S</v>
      </c>
      <c r="B239">
        <f ca="1">ORÇAMENTO!D239</f>
        <v>0</v>
      </c>
      <c r="C239" s="115" t="str">
        <f t="shared" ca="1" si="22"/>
        <v/>
      </c>
      <c r="D239" s="118" t="str">
        <f ca="1">ORÇAMENTO!O239</f>
        <v>-</v>
      </c>
      <c r="E239" s="164" t="str">
        <f t="shared" si="23"/>
        <v xml:space="preserve">TOALHEIRO PLASTICO TIPO DISPENSER PARA PAPEL TOALHA INTERFOLHADO - INCLUSO FIXAÇÃO                                                                                                                                                                        </v>
      </c>
      <c r="F239" s="165" t="str">
        <f ca="1">IF(RegimeExecucao="Global","",ORÇAMENTO.Unidade)</f>
        <v xml:space="preserve">UN    </v>
      </c>
      <c r="G239" s="123">
        <f ca="1">IF(RegimeExecucao="Global","",ORÇAMENTO!T239)</f>
        <v>35</v>
      </c>
      <c r="H239" s="123">
        <f ca="1">IF(RegimeExecucao="Global","",ORÇAMENTO!W239)</f>
        <v>0</v>
      </c>
      <c r="I239" s="126">
        <f ca="1">ORÇAMENTO!X239</f>
        <v>0</v>
      </c>
      <c r="J239" s="334" t="e" cm="1">
        <f t="array" aca="1" ref="J239" ca="1">_xlfn.SINGLE(IF($A239="S",IF(CAIXA.Modo,BM.AFAnterior,BM.MEDAnterior),IF(AND(_xlfn.SINGLE(RegimeExecucao)="Global",$I239&gt;0,COUNTIF($AB$13:$AM$13,BM.medicao-1)&gt;0),M239/$I239*100,0)))</f>
        <v>#NAME?</v>
      </c>
      <c r="K239" s="123" t="e">
        <f t="shared" ca="1" si="24"/>
        <v>#NAME?</v>
      </c>
      <c r="L239" s="335" t="e" cm="1">
        <f t="array" aca="1" ref="L239" ca="1">_xlfn.SINGLE(IF($A239="S",IF(CAIXA.Modo,BM.AFAcumulado,BM.MEDAcumulado),IF(AND(_xlfn.SINGLE(RegimeExecucao)="Global",$I239&gt;0,COUNTIF($AB$13:$AM$13,BM.medicao)&gt;0),O239/$I239*100,0)))</f>
        <v>#NAME?</v>
      </c>
      <c r="M239" s="336">
        <f ca="1">IF($A239="S",VTOTALBM,IF($A239=0,0,ROUND(SomaAgrupBM,15-13*ORÇAMENTO!$AF$11)))</f>
        <v>0</v>
      </c>
      <c r="N239" s="337">
        <f t="shared" ca="1" si="25"/>
        <v>0</v>
      </c>
      <c r="O239" s="126">
        <f ca="1">IF($A239="S",VTOTALBM,IF($A239=0,0,ROUND(SomaAgrupBM,15-13*ORÇAMENTO!$AF$11)))</f>
        <v>0</v>
      </c>
      <c r="Q239" s="338"/>
      <c r="R239" s="339"/>
      <c r="T239" s="118" t="str">
        <f t="shared" ca="1" si="26"/>
        <v/>
      </c>
      <c r="U239" s="164" t="str">
        <f t="shared" ca="1" si="27"/>
        <v/>
      </c>
      <c r="V239" s="165" t="str">
        <f ca="1">IF(AND($W239&gt;0,RegimeExecucao="Unitário"),$F239,"")</f>
        <v/>
      </c>
      <c r="W239" s="455">
        <f ca="1">IF($Y239&gt;0,CHOOSE(MATCH(RegimeExecucao,{"Unitário","Global"},0),IF($A239="S",$Y239/$X239,""),($Y239/$X239)*100),0)</f>
        <v>0</v>
      </c>
      <c r="X239" s="340" t="str">
        <f ca="1">IF($Y239&gt;0,CHOOSE(MATCH(RegimeExecucao,{"Unitário","Global"},0),IF($A239="S",ROUND($H239,ORÇAMENTO!$AF$10),""),ROUND($I239,ORÇAMENTO!$AF$11)),"")</f>
        <v/>
      </c>
      <c r="Y239" s="340">
        <f t="shared" ca="1" si="28"/>
        <v>0</v>
      </c>
      <c r="Z239" s="474"/>
      <c r="AB239" s="338"/>
      <c r="AC239" s="438"/>
      <c r="AD239" s="438"/>
      <c r="AE239" s="438"/>
      <c r="AF239" s="438"/>
      <c r="AG239" s="438"/>
      <c r="AH239" s="438"/>
      <c r="AI239" s="438"/>
      <c r="AJ239" s="438"/>
      <c r="AK239" s="438"/>
      <c r="AL239" s="438"/>
      <c r="AM239" s="339"/>
      <c r="AO239">
        <f ca="1">IF($A239="S",IF(BM!$I239=0,0,CHOOSE(MATCH(RegimeExecucao,{"Global","Unitário"},0),ROUND(ROUND(BM.MEDAcumulado,15-13*BM!$A$9)/100*BM!$I239,15-13*ORÇAMENTO!$AF$11),ROUND(ROUND(BM.MEDAcumulado,15-13*BM!$A$9)*ROUND(BM!$H239,15-13*ORÇAMENTO!$AF$10),15-13*ORÇAMENTO!$AF$11))),IF($A239=0,0,ROUND(SomaAgrupBM,15-13*ORÇAMENTO!$AF$11)))</f>
        <v>0</v>
      </c>
    </row>
    <row r="240" spans="1:41" ht="38.25" x14ac:dyDescent="0.2">
      <c r="A240" t="str">
        <f ca="1">ORÇAMENTO!C240</f>
        <v>S</v>
      </c>
      <c r="B240">
        <f ca="1">ORÇAMENTO!D240</f>
        <v>0</v>
      </c>
      <c r="C240" s="115" t="str">
        <f t="shared" ca="1" si="22"/>
        <v/>
      </c>
      <c r="D240" s="118" t="str">
        <f ca="1">ORÇAMENTO!O240</f>
        <v>-</v>
      </c>
      <c r="E240" s="164" t="str">
        <f t="shared" si="23"/>
        <v>SABONETEIRA PLASTICA TIPO DISPENSER PARA SABONETE LIQUIDO COM RESERVATORIO 800 A 1500 ML, INCLUSO FIXAÇÃO. AF_01/2020</v>
      </c>
      <c r="F240" s="165" t="str">
        <f ca="1">IF(RegimeExecucao="Global","",ORÇAMENTO.Unidade)</f>
        <v>UN</v>
      </c>
      <c r="G240" s="123">
        <f ca="1">IF(RegimeExecucao="Global","",ORÇAMENTO!T240)</f>
        <v>34</v>
      </c>
      <c r="H240" s="123">
        <f ca="1">IF(RegimeExecucao="Global","",ORÇAMENTO!W240)</f>
        <v>0</v>
      </c>
      <c r="I240" s="126">
        <f ca="1">ORÇAMENTO!X240</f>
        <v>0</v>
      </c>
      <c r="J240" s="334" t="e" cm="1">
        <f t="array" aca="1" ref="J240" ca="1">_xlfn.SINGLE(IF($A240="S",IF(CAIXA.Modo,BM.AFAnterior,BM.MEDAnterior),IF(AND(_xlfn.SINGLE(RegimeExecucao)="Global",$I240&gt;0,COUNTIF($AB$13:$AM$13,BM.medicao-1)&gt;0),M240/$I240*100,0)))</f>
        <v>#NAME?</v>
      </c>
      <c r="K240" s="123" t="e">
        <f t="shared" ca="1" si="24"/>
        <v>#NAME?</v>
      </c>
      <c r="L240" s="335" t="e" cm="1">
        <f t="array" aca="1" ref="L240" ca="1">_xlfn.SINGLE(IF($A240="S",IF(CAIXA.Modo,BM.AFAcumulado,BM.MEDAcumulado),IF(AND(_xlfn.SINGLE(RegimeExecucao)="Global",$I240&gt;0,COUNTIF($AB$13:$AM$13,BM.medicao)&gt;0),O240/$I240*100,0)))</f>
        <v>#NAME?</v>
      </c>
      <c r="M240" s="336">
        <f ca="1">IF($A240="S",VTOTALBM,IF($A240=0,0,ROUND(SomaAgrupBM,15-13*ORÇAMENTO!$AF$11)))</f>
        <v>0</v>
      </c>
      <c r="N240" s="337">
        <f t="shared" ca="1" si="25"/>
        <v>0</v>
      </c>
      <c r="O240" s="126">
        <f ca="1">IF($A240="S",VTOTALBM,IF($A240=0,0,ROUND(SomaAgrupBM,15-13*ORÇAMENTO!$AF$11)))</f>
        <v>0</v>
      </c>
      <c r="Q240" s="338"/>
      <c r="R240" s="339"/>
      <c r="T240" s="118" t="str">
        <f t="shared" ca="1" si="26"/>
        <v/>
      </c>
      <c r="U240" s="164" t="str">
        <f t="shared" ca="1" si="27"/>
        <v/>
      </c>
      <c r="V240" s="165" t="str">
        <f ca="1">IF(AND($W240&gt;0,RegimeExecucao="Unitário"),$F240,"")</f>
        <v/>
      </c>
      <c r="W240" s="455">
        <f ca="1">IF($Y240&gt;0,CHOOSE(MATCH(RegimeExecucao,{"Unitário","Global"},0),IF($A240="S",$Y240/$X240,""),($Y240/$X240)*100),0)</f>
        <v>0</v>
      </c>
      <c r="X240" s="340" t="str">
        <f ca="1">IF($Y240&gt;0,CHOOSE(MATCH(RegimeExecucao,{"Unitário","Global"},0),IF($A240="S",ROUND($H240,ORÇAMENTO!$AF$10),""),ROUND($I240,ORÇAMENTO!$AF$11)),"")</f>
        <v/>
      </c>
      <c r="Y240" s="340">
        <f t="shared" ca="1" si="28"/>
        <v>0</v>
      </c>
      <c r="Z240" s="474"/>
      <c r="AB240" s="338"/>
      <c r="AC240" s="438"/>
      <c r="AD240" s="438"/>
      <c r="AE240" s="438"/>
      <c r="AF240" s="438"/>
      <c r="AG240" s="438"/>
      <c r="AH240" s="438"/>
      <c r="AI240" s="438"/>
      <c r="AJ240" s="438"/>
      <c r="AK240" s="438"/>
      <c r="AL240" s="438"/>
      <c r="AM240" s="339"/>
      <c r="AO240">
        <f ca="1">IF($A240="S",IF(BM!$I240=0,0,CHOOSE(MATCH(RegimeExecucao,{"Global","Unitário"},0),ROUND(ROUND(BM.MEDAcumulado,15-13*BM!$A$9)/100*BM!$I240,15-13*ORÇAMENTO!$AF$11),ROUND(ROUND(BM.MEDAcumulado,15-13*BM!$A$9)*ROUND(BM!$H240,15-13*ORÇAMENTO!$AF$10),15-13*ORÇAMENTO!$AF$11))),IF($A240=0,0,ROUND(SomaAgrupBM,15-13*ORÇAMENTO!$AF$11)))</f>
        <v>0</v>
      </c>
    </row>
    <row r="241" spans="1:41" ht="25.5" x14ac:dyDescent="0.2">
      <c r="A241" t="str">
        <f ca="1">ORÇAMENTO!C241</f>
        <v>S</v>
      </c>
      <c r="B241">
        <f ca="1">ORÇAMENTO!D241</f>
        <v>0</v>
      </c>
      <c r="C241" s="115" t="str">
        <f t="shared" ca="1" si="22"/>
        <v/>
      </c>
      <c r="D241" s="118" t="str">
        <f ca="1">ORÇAMENTO!O241</f>
        <v>-</v>
      </c>
      <c r="E241" s="164" t="str">
        <f t="shared" si="23"/>
        <v>BARRA DE APOIO RETA, EM ALUMINIO, COMPRIMENTO 80 CM,  FIXADA NA PAREDE - FORNECIMENTO E INSTALAÇÃO. AF_01/2020</v>
      </c>
      <c r="F241" s="165" t="str">
        <f ca="1">IF(RegimeExecucao="Global","",ORÇAMENTO.Unidade)</f>
        <v>UN</v>
      </c>
      <c r="G241" s="123">
        <f ca="1">IF(RegimeExecucao="Global","",ORÇAMENTO!T241)</f>
        <v>12</v>
      </c>
      <c r="H241" s="123">
        <f ca="1">IF(RegimeExecucao="Global","",ORÇAMENTO!W241)</f>
        <v>0</v>
      </c>
      <c r="I241" s="126">
        <f ca="1">ORÇAMENTO!X241</f>
        <v>0</v>
      </c>
      <c r="J241" s="334" t="e" cm="1">
        <f t="array" aca="1" ref="J241" ca="1">_xlfn.SINGLE(IF($A241="S",IF(CAIXA.Modo,BM.AFAnterior,BM.MEDAnterior),IF(AND(_xlfn.SINGLE(RegimeExecucao)="Global",$I241&gt;0,COUNTIF($AB$13:$AM$13,BM.medicao-1)&gt;0),M241/$I241*100,0)))</f>
        <v>#NAME?</v>
      </c>
      <c r="K241" s="123" t="e">
        <f t="shared" ca="1" si="24"/>
        <v>#NAME?</v>
      </c>
      <c r="L241" s="335" t="e" cm="1">
        <f t="array" aca="1" ref="L241" ca="1">_xlfn.SINGLE(IF($A241="S",IF(CAIXA.Modo,BM.AFAcumulado,BM.MEDAcumulado),IF(AND(_xlfn.SINGLE(RegimeExecucao)="Global",$I241&gt;0,COUNTIF($AB$13:$AM$13,BM.medicao)&gt;0),O241/$I241*100,0)))</f>
        <v>#NAME?</v>
      </c>
      <c r="M241" s="336">
        <f ca="1">IF($A241="S",VTOTALBM,IF($A241=0,0,ROUND(SomaAgrupBM,15-13*ORÇAMENTO!$AF$11)))</f>
        <v>0</v>
      </c>
      <c r="N241" s="337">
        <f t="shared" ca="1" si="25"/>
        <v>0</v>
      </c>
      <c r="O241" s="126">
        <f ca="1">IF($A241="S",VTOTALBM,IF($A241=0,0,ROUND(SomaAgrupBM,15-13*ORÇAMENTO!$AF$11)))</f>
        <v>0</v>
      </c>
      <c r="Q241" s="338"/>
      <c r="R241" s="339"/>
      <c r="T241" s="118" t="str">
        <f t="shared" ca="1" si="26"/>
        <v/>
      </c>
      <c r="U241" s="164" t="str">
        <f t="shared" ca="1" si="27"/>
        <v/>
      </c>
      <c r="V241" s="165" t="str">
        <f ca="1">IF(AND($W241&gt;0,RegimeExecucao="Unitário"),$F241,"")</f>
        <v/>
      </c>
      <c r="W241" s="455">
        <f ca="1">IF($Y241&gt;0,CHOOSE(MATCH(RegimeExecucao,{"Unitário","Global"},0),IF($A241="S",$Y241/$X241,""),($Y241/$X241)*100),0)</f>
        <v>0</v>
      </c>
      <c r="X241" s="340" t="str">
        <f ca="1">IF($Y241&gt;0,CHOOSE(MATCH(RegimeExecucao,{"Unitário","Global"},0),IF($A241="S",ROUND($H241,ORÇAMENTO!$AF$10),""),ROUND($I241,ORÇAMENTO!$AF$11)),"")</f>
        <v/>
      </c>
      <c r="Y241" s="340">
        <f t="shared" ca="1" si="28"/>
        <v>0</v>
      </c>
      <c r="Z241" s="474"/>
      <c r="AB241" s="338"/>
      <c r="AC241" s="438"/>
      <c r="AD241" s="438"/>
      <c r="AE241" s="438"/>
      <c r="AF241" s="438"/>
      <c r="AG241" s="438"/>
      <c r="AH241" s="438"/>
      <c r="AI241" s="438"/>
      <c r="AJ241" s="438"/>
      <c r="AK241" s="438"/>
      <c r="AL241" s="438"/>
      <c r="AM241" s="339"/>
      <c r="AO241">
        <f ca="1">IF($A241="S",IF(BM!$I241=0,0,CHOOSE(MATCH(RegimeExecucao,{"Global","Unitário"},0),ROUND(ROUND(BM.MEDAcumulado,15-13*BM!$A$9)/100*BM!$I241,15-13*ORÇAMENTO!$AF$11),ROUND(ROUND(BM.MEDAcumulado,15-13*BM!$A$9)*ROUND(BM!$H241,15-13*ORÇAMENTO!$AF$10),15-13*ORÇAMENTO!$AF$11))),IF($A241=0,0,ROUND(SomaAgrupBM,15-13*ORÇAMENTO!$AF$11)))</f>
        <v>0</v>
      </c>
    </row>
    <row r="242" spans="1:41" ht="25.5" x14ac:dyDescent="0.2">
      <c r="A242" t="str">
        <f ca="1">ORÇAMENTO!C242</f>
        <v>S</v>
      </c>
      <c r="B242">
        <f ca="1">ORÇAMENTO!D242</f>
        <v>0</v>
      </c>
      <c r="C242" s="115" t="str">
        <f t="shared" ca="1" si="22"/>
        <v/>
      </c>
      <c r="D242" s="118" t="str">
        <f ca="1">ORÇAMENTO!O242</f>
        <v>-</v>
      </c>
      <c r="E242" s="164" t="str">
        <f t="shared" si="23"/>
        <v>BARRA DE APOIO RETA, EM ALUMINIO, COMPRIMENTO 70 CM,  FIXADA NA PAREDE - FORNECIMENTO E INSTALAÇÃO. AF_01/2020</v>
      </c>
      <c r="F242" s="165" t="str">
        <f ca="1">IF(RegimeExecucao="Global","",ORÇAMENTO.Unidade)</f>
        <v>UN</v>
      </c>
      <c r="G242" s="123">
        <f ca="1">IF(RegimeExecucao="Global","",ORÇAMENTO!T242)</f>
        <v>6</v>
      </c>
      <c r="H242" s="123">
        <f ca="1">IF(RegimeExecucao="Global","",ORÇAMENTO!W242)</f>
        <v>0</v>
      </c>
      <c r="I242" s="126">
        <f ca="1">ORÇAMENTO!X242</f>
        <v>0</v>
      </c>
      <c r="J242" s="334" t="e" cm="1">
        <f t="array" aca="1" ref="J242" ca="1">_xlfn.SINGLE(IF($A242="S",IF(CAIXA.Modo,BM.AFAnterior,BM.MEDAnterior),IF(AND(_xlfn.SINGLE(RegimeExecucao)="Global",$I242&gt;0,COUNTIF($AB$13:$AM$13,BM.medicao-1)&gt;0),M242/$I242*100,0)))</f>
        <v>#NAME?</v>
      </c>
      <c r="K242" s="123" t="e">
        <f t="shared" ca="1" si="24"/>
        <v>#NAME?</v>
      </c>
      <c r="L242" s="335" t="e" cm="1">
        <f t="array" aca="1" ref="L242" ca="1">_xlfn.SINGLE(IF($A242="S",IF(CAIXA.Modo,BM.AFAcumulado,BM.MEDAcumulado),IF(AND(_xlfn.SINGLE(RegimeExecucao)="Global",$I242&gt;0,COUNTIF($AB$13:$AM$13,BM.medicao)&gt;0),O242/$I242*100,0)))</f>
        <v>#NAME?</v>
      </c>
      <c r="M242" s="336">
        <f ca="1">IF($A242="S",VTOTALBM,IF($A242=0,0,ROUND(SomaAgrupBM,15-13*ORÇAMENTO!$AF$11)))</f>
        <v>0</v>
      </c>
      <c r="N242" s="337">
        <f t="shared" ca="1" si="25"/>
        <v>0</v>
      </c>
      <c r="O242" s="126">
        <f ca="1">IF($A242="S",VTOTALBM,IF($A242=0,0,ROUND(SomaAgrupBM,15-13*ORÇAMENTO!$AF$11)))</f>
        <v>0</v>
      </c>
      <c r="Q242" s="338"/>
      <c r="R242" s="339"/>
      <c r="T242" s="118" t="str">
        <f t="shared" ca="1" si="26"/>
        <v/>
      </c>
      <c r="U242" s="164" t="str">
        <f t="shared" ca="1" si="27"/>
        <v/>
      </c>
      <c r="V242" s="165" t="str">
        <f ca="1">IF(AND($W242&gt;0,RegimeExecucao="Unitário"),$F242,"")</f>
        <v/>
      </c>
      <c r="W242" s="455">
        <f ca="1">IF($Y242&gt;0,CHOOSE(MATCH(RegimeExecucao,{"Unitário","Global"},0),IF($A242="S",$Y242/$X242,""),($Y242/$X242)*100),0)</f>
        <v>0</v>
      </c>
      <c r="X242" s="340" t="str">
        <f ca="1">IF($Y242&gt;0,CHOOSE(MATCH(RegimeExecucao,{"Unitário","Global"},0),IF($A242="S",ROUND($H242,ORÇAMENTO!$AF$10),""),ROUND($I242,ORÇAMENTO!$AF$11)),"")</f>
        <v/>
      </c>
      <c r="Y242" s="340">
        <f t="shared" ca="1" si="28"/>
        <v>0</v>
      </c>
      <c r="Z242" s="474"/>
      <c r="AB242" s="338"/>
      <c r="AC242" s="438"/>
      <c r="AD242" s="438"/>
      <c r="AE242" s="438"/>
      <c r="AF242" s="438"/>
      <c r="AG242" s="438"/>
      <c r="AH242" s="438"/>
      <c r="AI242" s="438"/>
      <c r="AJ242" s="438"/>
      <c r="AK242" s="438"/>
      <c r="AL242" s="438"/>
      <c r="AM242" s="339"/>
      <c r="AO242">
        <f ca="1">IF($A242="S",IF(BM!$I242=0,0,CHOOSE(MATCH(RegimeExecucao,{"Global","Unitário"},0),ROUND(ROUND(BM.MEDAcumulado,15-13*BM!$A$9)/100*BM!$I242,15-13*ORÇAMENTO!$AF$11),ROUND(ROUND(BM.MEDAcumulado,15-13*BM!$A$9)*ROUND(BM!$H242,15-13*ORÇAMENTO!$AF$10),15-13*ORÇAMENTO!$AF$11))),IF($A242=0,0,ROUND(SomaAgrupBM,15-13*ORÇAMENTO!$AF$11)))</f>
        <v>0</v>
      </c>
    </row>
    <row r="243" spans="1:41" ht="25.5" x14ac:dyDescent="0.2">
      <c r="A243" t="str">
        <f ca="1">ORÇAMENTO!C243</f>
        <v>S</v>
      </c>
      <c r="B243">
        <f ca="1">ORÇAMENTO!D243</f>
        <v>0</v>
      </c>
      <c r="C243" s="115" t="str">
        <f t="shared" ca="1" si="22"/>
        <v/>
      </c>
      <c r="D243" s="118" t="str">
        <f ca="1">ORÇAMENTO!O243</f>
        <v>-</v>
      </c>
      <c r="E243" s="164" t="str">
        <f t="shared" si="23"/>
        <v>BARRA DE APOIO RETA, EM ALUMINIO, COMPRIMENTO 40 CM,  FIXADA NA PAREDE - FORNECIMENTO E INSTALAÇÃO</v>
      </c>
      <c r="F243" s="165" t="str">
        <f ca="1">IF(RegimeExecucao="Global","",ORÇAMENTO.Unidade)</f>
        <v xml:space="preserve">UN    </v>
      </c>
      <c r="G243" s="123">
        <f ca="1">IF(RegimeExecucao="Global","",ORÇAMENTO!T243)</f>
        <v>12</v>
      </c>
      <c r="H243" s="123">
        <f ca="1">IF(RegimeExecucao="Global","",ORÇAMENTO!W243)</f>
        <v>0</v>
      </c>
      <c r="I243" s="126">
        <f ca="1">ORÇAMENTO!X243</f>
        <v>0</v>
      </c>
      <c r="J243" s="334" t="e" cm="1">
        <f t="array" aca="1" ref="J243" ca="1">_xlfn.SINGLE(IF($A243="S",IF(CAIXA.Modo,BM.AFAnterior,BM.MEDAnterior),IF(AND(_xlfn.SINGLE(RegimeExecucao)="Global",$I243&gt;0,COUNTIF($AB$13:$AM$13,BM.medicao-1)&gt;0),M243/$I243*100,0)))</f>
        <v>#NAME?</v>
      </c>
      <c r="K243" s="123" t="e">
        <f t="shared" ca="1" si="24"/>
        <v>#NAME?</v>
      </c>
      <c r="L243" s="335" t="e" cm="1">
        <f t="array" aca="1" ref="L243" ca="1">_xlfn.SINGLE(IF($A243="S",IF(CAIXA.Modo,BM.AFAcumulado,BM.MEDAcumulado),IF(AND(_xlfn.SINGLE(RegimeExecucao)="Global",$I243&gt;0,COUNTIF($AB$13:$AM$13,BM.medicao)&gt;0),O243/$I243*100,0)))</f>
        <v>#NAME?</v>
      </c>
      <c r="M243" s="336">
        <f ca="1">IF($A243="S",VTOTALBM,IF($A243=0,0,ROUND(SomaAgrupBM,15-13*ORÇAMENTO!$AF$11)))</f>
        <v>0</v>
      </c>
      <c r="N243" s="337">
        <f t="shared" ca="1" si="25"/>
        <v>0</v>
      </c>
      <c r="O243" s="126">
        <f ca="1">IF($A243="S",VTOTALBM,IF($A243=0,0,ROUND(SomaAgrupBM,15-13*ORÇAMENTO!$AF$11)))</f>
        <v>0</v>
      </c>
      <c r="Q243" s="338"/>
      <c r="R243" s="339"/>
      <c r="T243" s="118" t="str">
        <f t="shared" ca="1" si="26"/>
        <v/>
      </c>
      <c r="U243" s="164" t="str">
        <f t="shared" ca="1" si="27"/>
        <v/>
      </c>
      <c r="V243" s="165" t="str">
        <f ca="1">IF(AND($W243&gt;0,RegimeExecucao="Unitário"),$F243,"")</f>
        <v/>
      </c>
      <c r="W243" s="455">
        <f ca="1">IF($Y243&gt;0,CHOOSE(MATCH(RegimeExecucao,{"Unitário","Global"},0),IF($A243="S",$Y243/$X243,""),($Y243/$X243)*100),0)</f>
        <v>0</v>
      </c>
      <c r="X243" s="340" t="str">
        <f ca="1">IF($Y243&gt;0,CHOOSE(MATCH(RegimeExecucao,{"Unitário","Global"},0),IF($A243="S",ROUND($H243,ORÇAMENTO!$AF$10),""),ROUND($I243,ORÇAMENTO!$AF$11)),"")</f>
        <v/>
      </c>
      <c r="Y243" s="340">
        <f t="shared" ca="1" si="28"/>
        <v>0</v>
      </c>
      <c r="Z243" s="474"/>
      <c r="AB243" s="338"/>
      <c r="AC243" s="438"/>
      <c r="AD243" s="438"/>
      <c r="AE243" s="438"/>
      <c r="AF243" s="438"/>
      <c r="AG243" s="438"/>
      <c r="AH243" s="438"/>
      <c r="AI243" s="438"/>
      <c r="AJ243" s="438"/>
      <c r="AK243" s="438"/>
      <c r="AL243" s="438"/>
      <c r="AM243" s="339"/>
      <c r="AO243">
        <f ca="1">IF($A243="S",IF(BM!$I243=0,0,CHOOSE(MATCH(RegimeExecucao,{"Global","Unitário"},0),ROUND(ROUND(BM.MEDAcumulado,15-13*BM!$A$9)/100*BM!$I243,15-13*ORÇAMENTO!$AF$11),ROUND(ROUND(BM.MEDAcumulado,15-13*BM!$A$9)*ROUND(BM!$H243,15-13*ORÇAMENTO!$AF$10),15-13*ORÇAMENTO!$AF$11))),IF($A243=0,0,ROUND(SomaAgrupBM,15-13*ORÇAMENTO!$AF$11)))</f>
        <v>0</v>
      </c>
    </row>
    <row r="244" spans="1:41" ht="25.5" x14ac:dyDescent="0.2">
      <c r="A244" t="str">
        <f ca="1">ORÇAMENTO!C244</f>
        <v>S</v>
      </c>
      <c r="B244">
        <f ca="1">ORÇAMENTO!D244</f>
        <v>0</v>
      </c>
      <c r="C244" s="115" t="str">
        <f t="shared" ca="1" si="22"/>
        <v/>
      </c>
      <c r="D244" s="118" t="str">
        <f ca="1">ORÇAMENTO!O244</f>
        <v>-</v>
      </c>
      <c r="E244" s="164" t="str">
        <f t="shared" si="23"/>
        <v>BARRA DE APOIO EM "L", EM ALUMÍNIO 70 X 70 CM, FIXADA NA PAREDE - FORNECIMENTO E INSTALACAO.</v>
      </c>
      <c r="F244" s="165" t="str">
        <f ca="1">IF(RegimeExecucao="Global","",ORÇAMENTO.Unidade)</f>
        <v xml:space="preserve">UN    </v>
      </c>
      <c r="G244" s="123">
        <f ca="1">IF(RegimeExecucao="Global","",ORÇAMENTO!T244)</f>
        <v>2</v>
      </c>
      <c r="H244" s="123">
        <f ca="1">IF(RegimeExecucao="Global","",ORÇAMENTO!W244)</f>
        <v>0</v>
      </c>
      <c r="I244" s="126">
        <f ca="1">ORÇAMENTO!X244</f>
        <v>0</v>
      </c>
      <c r="J244" s="334" t="e" cm="1">
        <f t="array" aca="1" ref="J244" ca="1">_xlfn.SINGLE(IF($A244="S",IF(CAIXA.Modo,BM.AFAnterior,BM.MEDAnterior),IF(AND(_xlfn.SINGLE(RegimeExecucao)="Global",$I244&gt;0,COUNTIF($AB$13:$AM$13,BM.medicao-1)&gt;0),M244/$I244*100,0)))</f>
        <v>#NAME?</v>
      </c>
      <c r="K244" s="123" t="e">
        <f t="shared" ca="1" si="24"/>
        <v>#NAME?</v>
      </c>
      <c r="L244" s="335" t="e" cm="1">
        <f t="array" aca="1" ref="L244" ca="1">_xlfn.SINGLE(IF($A244="S",IF(CAIXA.Modo,BM.AFAcumulado,BM.MEDAcumulado),IF(AND(_xlfn.SINGLE(RegimeExecucao)="Global",$I244&gt;0,COUNTIF($AB$13:$AM$13,BM.medicao)&gt;0),O244/$I244*100,0)))</f>
        <v>#NAME?</v>
      </c>
      <c r="M244" s="336">
        <f ca="1">IF($A244="S",VTOTALBM,IF($A244=0,0,ROUND(SomaAgrupBM,15-13*ORÇAMENTO!$AF$11)))</f>
        <v>0</v>
      </c>
      <c r="N244" s="337">
        <f t="shared" ca="1" si="25"/>
        <v>0</v>
      </c>
      <c r="O244" s="126">
        <f ca="1">IF($A244="S",VTOTALBM,IF($A244=0,0,ROUND(SomaAgrupBM,15-13*ORÇAMENTO!$AF$11)))</f>
        <v>0</v>
      </c>
      <c r="Q244" s="338"/>
      <c r="R244" s="339"/>
      <c r="T244" s="118" t="str">
        <f t="shared" ca="1" si="26"/>
        <v/>
      </c>
      <c r="U244" s="164" t="str">
        <f t="shared" ca="1" si="27"/>
        <v/>
      </c>
      <c r="V244" s="165" t="str">
        <f ca="1">IF(AND($W244&gt;0,RegimeExecucao="Unitário"),$F244,"")</f>
        <v/>
      </c>
      <c r="W244" s="455">
        <f ca="1">IF($Y244&gt;0,CHOOSE(MATCH(RegimeExecucao,{"Unitário","Global"},0),IF($A244="S",$Y244/$X244,""),($Y244/$X244)*100),0)</f>
        <v>0</v>
      </c>
      <c r="X244" s="340" t="str">
        <f ca="1">IF($Y244&gt;0,CHOOSE(MATCH(RegimeExecucao,{"Unitário","Global"},0),IF($A244="S",ROUND($H244,ORÇAMENTO!$AF$10),""),ROUND($I244,ORÇAMENTO!$AF$11)),"")</f>
        <v/>
      </c>
      <c r="Y244" s="340">
        <f t="shared" ca="1" si="28"/>
        <v>0</v>
      </c>
      <c r="Z244" s="474"/>
      <c r="AB244" s="338"/>
      <c r="AC244" s="438"/>
      <c r="AD244" s="438"/>
      <c r="AE244" s="438"/>
      <c r="AF244" s="438"/>
      <c r="AG244" s="438"/>
      <c r="AH244" s="438"/>
      <c r="AI244" s="438"/>
      <c r="AJ244" s="438"/>
      <c r="AK244" s="438"/>
      <c r="AL244" s="438"/>
      <c r="AM244" s="339"/>
      <c r="AO244">
        <f ca="1">IF($A244="S",IF(BM!$I244=0,0,CHOOSE(MATCH(RegimeExecucao,{"Global","Unitário"},0),ROUND(ROUND(BM.MEDAcumulado,15-13*BM!$A$9)/100*BM!$I244,15-13*ORÇAMENTO!$AF$11),ROUND(ROUND(BM.MEDAcumulado,15-13*BM!$A$9)*ROUND(BM!$H244,15-13*ORÇAMENTO!$AF$10),15-13*ORÇAMENTO!$AF$11))),IF($A244=0,0,ROUND(SomaAgrupBM,15-13*ORÇAMENTO!$AF$11)))</f>
        <v>0</v>
      </c>
    </row>
    <row r="245" spans="1:41" ht="25.5" x14ac:dyDescent="0.2">
      <c r="A245" t="str">
        <f ca="1">ORÇAMENTO!C245</f>
        <v>S</v>
      </c>
      <c r="B245">
        <f ca="1">ORÇAMENTO!D245</f>
        <v>0</v>
      </c>
      <c r="C245" s="115" t="str">
        <f t="shared" ca="1" si="22"/>
        <v/>
      </c>
      <c r="D245" s="118" t="str">
        <f ca="1">ORÇAMENTO!O245</f>
        <v>-</v>
      </c>
      <c r="E245" s="164" t="str">
        <f t="shared" si="23"/>
        <v>PUXADOR PARA PCD, FIXADO NA PORTA - FORNECIMENTO E INSTALAÇÃO. AF_01/2020</v>
      </c>
      <c r="F245" s="165" t="str">
        <f ca="1">IF(RegimeExecucao="Global","",ORÇAMENTO.Unidade)</f>
        <v>UN</v>
      </c>
      <c r="G245" s="123">
        <f ca="1">IF(RegimeExecucao="Global","",ORÇAMENTO!T245)</f>
        <v>6</v>
      </c>
      <c r="H245" s="123">
        <f ca="1">IF(RegimeExecucao="Global","",ORÇAMENTO!W245)</f>
        <v>0</v>
      </c>
      <c r="I245" s="126">
        <f ca="1">ORÇAMENTO!X245</f>
        <v>0</v>
      </c>
      <c r="J245" s="334" t="e" cm="1">
        <f t="array" aca="1" ref="J245" ca="1">_xlfn.SINGLE(IF($A245="S",IF(CAIXA.Modo,BM.AFAnterior,BM.MEDAnterior),IF(AND(_xlfn.SINGLE(RegimeExecucao)="Global",$I245&gt;0,COUNTIF($AB$13:$AM$13,BM.medicao-1)&gt;0),M245/$I245*100,0)))</f>
        <v>#NAME?</v>
      </c>
      <c r="K245" s="123" t="e">
        <f t="shared" ca="1" si="24"/>
        <v>#NAME?</v>
      </c>
      <c r="L245" s="335" t="e" cm="1">
        <f t="array" aca="1" ref="L245" ca="1">_xlfn.SINGLE(IF($A245="S",IF(CAIXA.Modo,BM.AFAcumulado,BM.MEDAcumulado),IF(AND(_xlfn.SINGLE(RegimeExecucao)="Global",$I245&gt;0,COUNTIF($AB$13:$AM$13,BM.medicao)&gt;0),O245/$I245*100,0)))</f>
        <v>#NAME?</v>
      </c>
      <c r="M245" s="336">
        <f ca="1">IF($A245="S",VTOTALBM,IF($A245=0,0,ROUND(SomaAgrupBM,15-13*ORÇAMENTO!$AF$11)))</f>
        <v>0</v>
      </c>
      <c r="N245" s="337">
        <f t="shared" ca="1" si="25"/>
        <v>0</v>
      </c>
      <c r="O245" s="126">
        <f ca="1">IF($A245="S",VTOTALBM,IF($A245=0,0,ROUND(SomaAgrupBM,15-13*ORÇAMENTO!$AF$11)))</f>
        <v>0</v>
      </c>
      <c r="Q245" s="338"/>
      <c r="R245" s="339"/>
      <c r="T245" s="118" t="str">
        <f t="shared" ca="1" si="26"/>
        <v/>
      </c>
      <c r="U245" s="164" t="str">
        <f t="shared" ca="1" si="27"/>
        <v/>
      </c>
      <c r="V245" s="165" t="str">
        <f ca="1">IF(AND($W245&gt;0,RegimeExecucao="Unitário"),$F245,"")</f>
        <v/>
      </c>
      <c r="W245" s="455">
        <f ca="1">IF($Y245&gt;0,CHOOSE(MATCH(RegimeExecucao,{"Unitário","Global"},0),IF($A245="S",$Y245/$X245,""),($Y245/$X245)*100),0)</f>
        <v>0</v>
      </c>
      <c r="X245" s="340" t="str">
        <f ca="1">IF($Y245&gt;0,CHOOSE(MATCH(RegimeExecucao,{"Unitário","Global"},0),IF($A245="S",ROUND($H245,ORÇAMENTO!$AF$10),""),ROUND($I245,ORÇAMENTO!$AF$11)),"")</f>
        <v/>
      </c>
      <c r="Y245" s="340">
        <f t="shared" ca="1" si="28"/>
        <v>0</v>
      </c>
      <c r="Z245" s="474"/>
      <c r="AB245" s="338"/>
      <c r="AC245" s="438"/>
      <c r="AD245" s="438"/>
      <c r="AE245" s="438"/>
      <c r="AF245" s="438"/>
      <c r="AG245" s="438"/>
      <c r="AH245" s="438"/>
      <c r="AI245" s="438"/>
      <c r="AJ245" s="438"/>
      <c r="AK245" s="438"/>
      <c r="AL245" s="438"/>
      <c r="AM245" s="339"/>
      <c r="AO245">
        <f ca="1">IF($A245="S",IF(BM!$I245=0,0,CHOOSE(MATCH(RegimeExecucao,{"Global","Unitário"},0),ROUND(ROUND(BM.MEDAcumulado,15-13*BM!$A$9)/100*BM!$I245,15-13*ORÇAMENTO!$AF$11),ROUND(ROUND(BM.MEDAcumulado,15-13*BM!$A$9)*ROUND(BM!$H245,15-13*ORÇAMENTO!$AF$10),15-13*ORÇAMENTO!$AF$11))),IF($A245=0,0,ROUND(SomaAgrupBM,15-13*ORÇAMENTO!$AF$11)))</f>
        <v>0</v>
      </c>
    </row>
    <row r="246" spans="1:41" ht="25.5" x14ac:dyDescent="0.2">
      <c r="A246" t="str">
        <f ca="1">ORÇAMENTO!C246</f>
        <v>S</v>
      </c>
      <c r="B246">
        <f ca="1">ORÇAMENTO!D246</f>
        <v>0</v>
      </c>
      <c r="C246" s="115" t="str">
        <f t="shared" ca="1" si="22"/>
        <v/>
      </c>
      <c r="D246" s="118" t="str">
        <f ca="1">ORÇAMENTO!O246</f>
        <v>-</v>
      </c>
      <c r="E246" s="164" t="str">
        <f t="shared" si="23"/>
        <v>BANCO ARTICULADO, EM ACO INOX, PARA PCD, FIXADO NA PAREDE - FORNECIMENTO E INSTALAÇÃO. AF_01/2020</v>
      </c>
      <c r="F246" s="165" t="str">
        <f ca="1">IF(RegimeExecucao="Global","",ORÇAMENTO.Unidade)</f>
        <v>UN</v>
      </c>
      <c r="G246" s="123">
        <f ca="1">IF(RegimeExecucao="Global","",ORÇAMENTO!T246)</f>
        <v>2</v>
      </c>
      <c r="H246" s="123">
        <f ca="1">IF(RegimeExecucao="Global","",ORÇAMENTO!W246)</f>
        <v>0</v>
      </c>
      <c r="I246" s="126">
        <f ca="1">ORÇAMENTO!X246</f>
        <v>0</v>
      </c>
      <c r="J246" s="334" t="e" cm="1">
        <f t="array" aca="1" ref="J246" ca="1">_xlfn.SINGLE(IF($A246="S",IF(CAIXA.Modo,BM.AFAnterior,BM.MEDAnterior),IF(AND(_xlfn.SINGLE(RegimeExecucao)="Global",$I246&gt;0,COUNTIF($AB$13:$AM$13,BM.medicao-1)&gt;0),M246/$I246*100,0)))</f>
        <v>#NAME?</v>
      </c>
      <c r="K246" s="123" t="e">
        <f t="shared" ca="1" si="24"/>
        <v>#NAME?</v>
      </c>
      <c r="L246" s="335" t="e" cm="1">
        <f t="array" aca="1" ref="L246" ca="1">_xlfn.SINGLE(IF($A246="S",IF(CAIXA.Modo,BM.AFAcumulado,BM.MEDAcumulado),IF(AND(_xlfn.SINGLE(RegimeExecucao)="Global",$I246&gt;0,COUNTIF($AB$13:$AM$13,BM.medicao)&gt;0),O246/$I246*100,0)))</f>
        <v>#NAME?</v>
      </c>
      <c r="M246" s="336">
        <f ca="1">IF($A246="S",VTOTALBM,IF($A246=0,0,ROUND(SomaAgrupBM,15-13*ORÇAMENTO!$AF$11)))</f>
        <v>0</v>
      </c>
      <c r="N246" s="337">
        <f t="shared" ca="1" si="25"/>
        <v>0</v>
      </c>
      <c r="O246" s="126">
        <f ca="1">IF($A246="S",VTOTALBM,IF($A246=0,0,ROUND(SomaAgrupBM,15-13*ORÇAMENTO!$AF$11)))</f>
        <v>0</v>
      </c>
      <c r="Q246" s="338"/>
      <c r="R246" s="339"/>
      <c r="T246" s="118" t="str">
        <f t="shared" ca="1" si="26"/>
        <v/>
      </c>
      <c r="U246" s="164" t="str">
        <f t="shared" ca="1" si="27"/>
        <v/>
      </c>
      <c r="V246" s="165" t="str">
        <f ca="1">IF(AND($W246&gt;0,RegimeExecucao="Unitário"),$F246,"")</f>
        <v/>
      </c>
      <c r="W246" s="455">
        <f ca="1">IF($Y246&gt;0,CHOOSE(MATCH(RegimeExecucao,{"Unitário","Global"},0),IF($A246="S",$Y246/$X246,""),($Y246/$X246)*100),0)</f>
        <v>0</v>
      </c>
      <c r="X246" s="340" t="str">
        <f ca="1">IF($Y246&gt;0,CHOOSE(MATCH(RegimeExecucao,{"Unitário","Global"},0),IF($A246="S",ROUND($H246,ORÇAMENTO!$AF$10),""),ROUND($I246,ORÇAMENTO!$AF$11)),"")</f>
        <v/>
      </c>
      <c r="Y246" s="340">
        <f t="shared" ca="1" si="28"/>
        <v>0</v>
      </c>
      <c r="Z246" s="474"/>
      <c r="AB246" s="338"/>
      <c r="AC246" s="438"/>
      <c r="AD246" s="438"/>
      <c r="AE246" s="438"/>
      <c r="AF246" s="438"/>
      <c r="AG246" s="438"/>
      <c r="AH246" s="438"/>
      <c r="AI246" s="438"/>
      <c r="AJ246" s="438"/>
      <c r="AK246" s="438"/>
      <c r="AL246" s="438"/>
      <c r="AM246" s="339"/>
      <c r="AO246">
        <f ca="1">IF($A246="S",IF(BM!$I246=0,0,CHOOSE(MATCH(RegimeExecucao,{"Global","Unitário"},0),ROUND(ROUND(BM.MEDAcumulado,15-13*BM!$A$9)/100*BM!$I246,15-13*ORÇAMENTO!$AF$11),ROUND(ROUND(BM.MEDAcumulado,15-13*BM!$A$9)*ROUND(BM!$H246,15-13*ORÇAMENTO!$AF$10),15-13*ORÇAMENTO!$AF$11))),IF($A246=0,0,ROUND(SomaAgrupBM,15-13*ORÇAMENTO!$AF$11)))</f>
        <v>0</v>
      </c>
    </row>
    <row r="247" spans="1:41" x14ac:dyDescent="0.2">
      <c r="A247">
        <f ca="1">ORÇAMENTO!C247</f>
        <v>2</v>
      </c>
      <c r="B247">
        <f ca="1">ORÇAMENTO!D247</f>
        <v>7</v>
      </c>
      <c r="C247" s="115" t="str">
        <f t="shared" ca="1" si="22"/>
        <v>F</v>
      </c>
      <c r="D247" s="118" t="str">
        <f ca="1">ORÇAMENTO!O247</f>
        <v>1.14.</v>
      </c>
      <c r="E247" s="164" t="str">
        <f t="shared" si="23"/>
        <v>ESQUADRIAS E VIDROS</v>
      </c>
      <c r="F247" s="165" t="str">
        <f ca="1">IF(RegimeExecucao="Global","",ORÇAMENTO.Unidade)</f>
        <v>-</v>
      </c>
      <c r="G247" s="123">
        <f ca="1">IF(RegimeExecucao="Global","",ORÇAMENTO!T247)</f>
        <v>0</v>
      </c>
      <c r="H247" s="123">
        <f ca="1">IF(RegimeExecucao="Global","",ORÇAMENTO!W247)</f>
        <v>0</v>
      </c>
      <c r="I247" s="126">
        <f ca="1">ORÇAMENTO!X247</f>
        <v>0</v>
      </c>
      <c r="J247" s="334" t="e" cm="1">
        <f t="array" aca="1" ref="J247" ca="1">_xlfn.SINGLE(IF($A247="S",IF(CAIXA.Modo,BM.AFAnterior,BM.MEDAnterior),IF(AND(_xlfn.SINGLE(RegimeExecucao)="Global",$I247&gt;0,COUNTIF($AB$13:$AM$13,BM.medicao-1)&gt;0),M247/$I247*100,0)))</f>
        <v>#NAME?</v>
      </c>
      <c r="K247" s="123" t="e">
        <f t="shared" ca="1" si="24"/>
        <v>#NAME?</v>
      </c>
      <c r="L247" s="335" t="e" cm="1">
        <f t="array" aca="1" ref="L247" ca="1">_xlfn.SINGLE(IF($A247="S",IF(CAIXA.Modo,BM.AFAcumulado,BM.MEDAcumulado),IF(AND(_xlfn.SINGLE(RegimeExecucao)="Global",$I247&gt;0,COUNTIF($AB$13:$AM$13,BM.medicao)&gt;0),O247/$I247*100,0)))</f>
        <v>#NAME?</v>
      </c>
      <c r="M247" s="336">
        <f ca="1">IF($A247="S",VTOTALBM,IF($A247=0,0,ROUND(SomaAgrupBM,15-13*ORÇAMENTO!$AF$11)))</f>
        <v>0</v>
      </c>
      <c r="N247" s="337">
        <f t="shared" ca="1" si="25"/>
        <v>0</v>
      </c>
      <c r="O247" s="126">
        <f ca="1">IF($A247="S",VTOTALBM,IF($A247=0,0,ROUND(SomaAgrupBM,15-13*ORÇAMENTO!$AF$11)))</f>
        <v>0</v>
      </c>
      <c r="Q247" s="338"/>
      <c r="R247" s="339"/>
      <c r="T247" s="118" t="str">
        <f t="shared" ca="1" si="26"/>
        <v/>
      </c>
      <c r="U247" s="164" t="str">
        <f t="shared" ca="1" si="27"/>
        <v/>
      </c>
      <c r="V247" s="165" t="str">
        <f ca="1">IF(AND($W247&gt;0,RegimeExecucao="Unitário"),$F247,"")</f>
        <v/>
      </c>
      <c r="W247" s="455">
        <f ca="1">IF($Y247&gt;0,CHOOSE(MATCH(RegimeExecucao,{"Unitário","Global"},0),IF($A247="S",$Y247/$X247,""),($Y247/$X247)*100),0)</f>
        <v>0</v>
      </c>
      <c r="X247" s="340" t="str">
        <f ca="1">IF($Y247&gt;0,CHOOSE(MATCH(RegimeExecucao,{"Unitário","Global"},0),IF($A247="S",ROUND($H247,ORÇAMENTO!$AF$10),""),ROUND($I247,ORÇAMENTO!$AF$11)),"")</f>
        <v/>
      </c>
      <c r="Y247" s="340">
        <f t="shared" ca="1" si="28"/>
        <v>0</v>
      </c>
      <c r="Z247" s="474"/>
      <c r="AB247" s="338"/>
      <c r="AC247" s="438"/>
      <c r="AD247" s="438"/>
      <c r="AE247" s="438"/>
      <c r="AF247" s="438"/>
      <c r="AG247" s="438"/>
      <c r="AH247" s="438"/>
      <c r="AI247" s="438"/>
      <c r="AJ247" s="438"/>
      <c r="AK247" s="438"/>
      <c r="AL247" s="438"/>
      <c r="AM247" s="339"/>
      <c r="AO247">
        <f ca="1">IF($A247="S",IF(BM!$I247=0,0,CHOOSE(MATCH(RegimeExecucao,{"Global","Unitário"},0),ROUND(ROUND(BM.MEDAcumulado,15-13*BM!$A$9)/100*BM!$I247,15-13*ORÇAMENTO!$AF$11),ROUND(ROUND(BM.MEDAcumulado,15-13*BM!$A$9)*ROUND(BM!$H247,15-13*ORÇAMENTO!$AF$10),15-13*ORÇAMENTO!$AF$11))),IF($A247=0,0,ROUND(SomaAgrupBM,15-13*ORÇAMENTO!$AF$11)))</f>
        <v>0</v>
      </c>
    </row>
    <row r="248" spans="1:41" ht="38.25" x14ac:dyDescent="0.2">
      <c r="A248" t="str">
        <f ca="1">ORÇAMENTO!C248</f>
        <v>S</v>
      </c>
      <c r="B248">
        <f ca="1">ORÇAMENTO!D248</f>
        <v>0</v>
      </c>
      <c r="C248" s="115" t="str">
        <f t="shared" ca="1" si="22"/>
        <v/>
      </c>
      <c r="D248" s="118" t="str">
        <f ca="1">ORÇAMENTO!O248</f>
        <v>-</v>
      </c>
      <c r="E248" s="164" t="str">
        <f t="shared" si="23"/>
        <v>PORTA DE ALUMÍNIO DE ABRIR COM LAMBRI, COM GUARNIÇÃO, FIXAÇÃO COM PARAFUSOS - FORNECIMENTO E INSTALAÇÃO. AF_12/2019. LINHA SUPREMA</v>
      </c>
      <c r="F248" s="165" t="str">
        <f ca="1">IF(RegimeExecucao="Global","",ORÇAMENTO.Unidade)</f>
        <v>M2</v>
      </c>
      <c r="G248" s="123">
        <f ca="1">IF(RegimeExecucao="Global","",ORÇAMENTO!T248)</f>
        <v>113.98</v>
      </c>
      <c r="H248" s="123">
        <f ca="1">IF(RegimeExecucao="Global","",ORÇAMENTO!W248)</f>
        <v>0</v>
      </c>
      <c r="I248" s="126">
        <f ca="1">ORÇAMENTO!X248</f>
        <v>0</v>
      </c>
      <c r="J248" s="334" t="e" cm="1">
        <f t="array" aca="1" ref="J248" ca="1">_xlfn.SINGLE(IF($A248="S",IF(CAIXA.Modo,BM.AFAnterior,BM.MEDAnterior),IF(AND(_xlfn.SINGLE(RegimeExecucao)="Global",$I248&gt;0,COUNTIF($AB$13:$AM$13,BM.medicao-1)&gt;0),M248/$I248*100,0)))</f>
        <v>#NAME?</v>
      </c>
      <c r="K248" s="123" t="e">
        <f t="shared" ca="1" si="24"/>
        <v>#NAME?</v>
      </c>
      <c r="L248" s="335" t="e" cm="1">
        <f t="array" aca="1" ref="L248" ca="1">_xlfn.SINGLE(IF($A248="S",IF(CAIXA.Modo,BM.AFAcumulado,BM.MEDAcumulado),IF(AND(_xlfn.SINGLE(RegimeExecucao)="Global",$I248&gt;0,COUNTIF($AB$13:$AM$13,BM.medicao)&gt;0),O248/$I248*100,0)))</f>
        <v>#NAME?</v>
      </c>
      <c r="M248" s="336">
        <f ca="1">IF($A248="S",VTOTALBM,IF($A248=0,0,ROUND(SomaAgrupBM,15-13*ORÇAMENTO!$AF$11)))</f>
        <v>0</v>
      </c>
      <c r="N248" s="337">
        <f t="shared" ca="1" si="25"/>
        <v>0</v>
      </c>
      <c r="O248" s="126">
        <f ca="1">IF($A248="S",VTOTALBM,IF($A248=0,0,ROUND(SomaAgrupBM,15-13*ORÇAMENTO!$AF$11)))</f>
        <v>0</v>
      </c>
      <c r="Q248" s="338"/>
      <c r="R248" s="339"/>
      <c r="T248" s="118" t="str">
        <f t="shared" ca="1" si="26"/>
        <v/>
      </c>
      <c r="U248" s="164" t="str">
        <f t="shared" ca="1" si="27"/>
        <v/>
      </c>
      <c r="V248" s="165" t="str">
        <f ca="1">IF(AND($W248&gt;0,RegimeExecucao="Unitário"),$F248,"")</f>
        <v/>
      </c>
      <c r="W248" s="455">
        <f ca="1">IF($Y248&gt;0,CHOOSE(MATCH(RegimeExecucao,{"Unitário","Global"},0),IF($A248="S",$Y248/$X248,""),($Y248/$X248)*100),0)</f>
        <v>0</v>
      </c>
      <c r="X248" s="340" t="str">
        <f ca="1">IF($Y248&gt;0,CHOOSE(MATCH(RegimeExecucao,{"Unitário","Global"},0),IF($A248="S",ROUND($H248,ORÇAMENTO!$AF$10),""),ROUND($I248,ORÇAMENTO!$AF$11)),"")</f>
        <v/>
      </c>
      <c r="Y248" s="340">
        <f t="shared" ca="1" si="28"/>
        <v>0</v>
      </c>
      <c r="Z248" s="474"/>
      <c r="AB248" s="338"/>
      <c r="AC248" s="438"/>
      <c r="AD248" s="438"/>
      <c r="AE248" s="438"/>
      <c r="AF248" s="438"/>
      <c r="AG248" s="438"/>
      <c r="AH248" s="438"/>
      <c r="AI248" s="438"/>
      <c r="AJ248" s="438"/>
      <c r="AK248" s="438"/>
      <c r="AL248" s="438"/>
      <c r="AM248" s="339"/>
      <c r="AO248">
        <f ca="1">IF($A248="S",IF(BM!$I248=0,0,CHOOSE(MATCH(RegimeExecucao,{"Global","Unitário"},0),ROUND(ROUND(BM.MEDAcumulado,15-13*BM!$A$9)/100*BM!$I248,15-13*ORÇAMENTO!$AF$11),ROUND(ROUND(BM.MEDAcumulado,15-13*BM!$A$9)*ROUND(BM!$H248,15-13*ORÇAMENTO!$AF$10),15-13*ORÇAMENTO!$AF$11))),IF($A248=0,0,ROUND(SomaAgrupBM,15-13*ORÇAMENTO!$AF$11)))</f>
        <v>0</v>
      </c>
    </row>
    <row r="249" spans="1:41" ht="51" x14ac:dyDescent="0.2">
      <c r="A249" t="str">
        <f ca="1">ORÇAMENTO!C249</f>
        <v>S</v>
      </c>
      <c r="B249">
        <f ca="1">ORÇAMENTO!D249</f>
        <v>0</v>
      </c>
      <c r="C249" s="115" t="str">
        <f t="shared" ca="1" si="22"/>
        <v/>
      </c>
      <c r="D249" s="118" t="str">
        <f ca="1">ORÇAMENTO!O249</f>
        <v>-</v>
      </c>
      <c r="E249" s="164" t="str">
        <f t="shared" si="23"/>
        <v>JANELA DE ALUMÍNIO DE CORRER COM 4 FOLHAS PARA VIDROS, COM VIDROS, BATENTE E FERRAGENS, EXCLUSIVE ACABAMENTO, ALIZAR E CONTRAMARCO, FIXAÇÃO COM PARAFUSO. FORNECIMENTO E INSTALAÇÃO. AF_11/2024. LINHA SUPREMA</v>
      </c>
      <c r="F249" s="165" t="str">
        <f ca="1">IF(RegimeExecucao="Global","",ORÇAMENTO.Unidade)</f>
        <v>M2</v>
      </c>
      <c r="G249" s="123">
        <f ca="1">IF(RegimeExecucao="Global","",ORÇAMENTO!T249)</f>
        <v>129.38</v>
      </c>
      <c r="H249" s="123">
        <f ca="1">IF(RegimeExecucao="Global","",ORÇAMENTO!W249)</f>
        <v>0</v>
      </c>
      <c r="I249" s="126">
        <f ca="1">ORÇAMENTO!X249</f>
        <v>0</v>
      </c>
      <c r="J249" s="334" t="e" cm="1">
        <f t="array" aca="1" ref="J249" ca="1">_xlfn.SINGLE(IF($A249="S",IF(CAIXA.Modo,BM.AFAnterior,BM.MEDAnterior),IF(AND(_xlfn.SINGLE(RegimeExecucao)="Global",$I249&gt;0,COUNTIF($AB$13:$AM$13,BM.medicao-1)&gt;0),M249/$I249*100,0)))</f>
        <v>#NAME?</v>
      </c>
      <c r="K249" s="123" t="e">
        <f t="shared" ca="1" si="24"/>
        <v>#NAME?</v>
      </c>
      <c r="L249" s="335" t="e" cm="1">
        <f t="array" aca="1" ref="L249" ca="1">_xlfn.SINGLE(IF($A249="S",IF(CAIXA.Modo,BM.AFAcumulado,BM.MEDAcumulado),IF(AND(_xlfn.SINGLE(RegimeExecucao)="Global",$I249&gt;0,COUNTIF($AB$13:$AM$13,BM.medicao)&gt;0),O249/$I249*100,0)))</f>
        <v>#NAME?</v>
      </c>
      <c r="M249" s="336">
        <f ca="1">IF($A249="S",VTOTALBM,IF($A249=0,0,ROUND(SomaAgrupBM,15-13*ORÇAMENTO!$AF$11)))</f>
        <v>0</v>
      </c>
      <c r="N249" s="337">
        <f t="shared" ca="1" si="25"/>
        <v>0</v>
      </c>
      <c r="O249" s="126">
        <f ca="1">IF($A249="S",VTOTALBM,IF($A249=0,0,ROUND(SomaAgrupBM,15-13*ORÇAMENTO!$AF$11)))</f>
        <v>0</v>
      </c>
      <c r="Q249" s="338"/>
      <c r="R249" s="339"/>
      <c r="T249" s="118" t="str">
        <f t="shared" ca="1" si="26"/>
        <v/>
      </c>
      <c r="U249" s="164" t="str">
        <f t="shared" ca="1" si="27"/>
        <v/>
      </c>
      <c r="V249" s="165" t="str">
        <f ca="1">IF(AND($W249&gt;0,RegimeExecucao="Unitário"),$F249,"")</f>
        <v/>
      </c>
      <c r="W249" s="455">
        <f ca="1">IF($Y249&gt;0,CHOOSE(MATCH(RegimeExecucao,{"Unitário","Global"},0),IF($A249="S",$Y249/$X249,""),($Y249/$X249)*100),0)</f>
        <v>0</v>
      </c>
      <c r="X249" s="340" t="str">
        <f ca="1">IF($Y249&gt;0,CHOOSE(MATCH(RegimeExecucao,{"Unitário","Global"},0),IF($A249="S",ROUND($H249,ORÇAMENTO!$AF$10),""),ROUND($I249,ORÇAMENTO!$AF$11)),"")</f>
        <v/>
      </c>
      <c r="Y249" s="340">
        <f t="shared" ca="1" si="28"/>
        <v>0</v>
      </c>
      <c r="Z249" s="474"/>
      <c r="AB249" s="338"/>
      <c r="AC249" s="438"/>
      <c r="AD249" s="438"/>
      <c r="AE249" s="438"/>
      <c r="AF249" s="438"/>
      <c r="AG249" s="438"/>
      <c r="AH249" s="438"/>
      <c r="AI249" s="438"/>
      <c r="AJ249" s="438"/>
      <c r="AK249" s="438"/>
      <c r="AL249" s="438"/>
      <c r="AM249" s="339"/>
      <c r="AO249">
        <f ca="1">IF($A249="S",IF(BM!$I249=0,0,CHOOSE(MATCH(RegimeExecucao,{"Global","Unitário"},0),ROUND(ROUND(BM.MEDAcumulado,15-13*BM!$A$9)/100*BM!$I249,15-13*ORÇAMENTO!$AF$11),ROUND(ROUND(BM.MEDAcumulado,15-13*BM!$A$9)*ROUND(BM!$H249,15-13*ORÇAMENTO!$AF$10),15-13*ORÇAMENTO!$AF$11))),IF($A249=0,0,ROUND(SomaAgrupBM,15-13*ORÇAMENTO!$AF$11)))</f>
        <v>0</v>
      </c>
    </row>
    <row r="250" spans="1:41" ht="51" x14ac:dyDescent="0.2">
      <c r="A250" t="str">
        <f ca="1">ORÇAMENTO!C250</f>
        <v>S</v>
      </c>
      <c r="B250">
        <f ca="1">ORÇAMENTO!D250</f>
        <v>0</v>
      </c>
      <c r="C250" s="115" t="str">
        <f t="shared" ca="1" si="22"/>
        <v/>
      </c>
      <c r="D250" s="118" t="str">
        <f ca="1">ORÇAMENTO!O250</f>
        <v>-</v>
      </c>
      <c r="E250" s="164" t="str">
        <f t="shared" si="23"/>
        <v>JANELA DE ALUMÍNIO TIPO MAXIM-AR, COM VIDROS, BATENTE E FERRAGENS, EXCLUSIVE ALIZAR, ACABAMENTO E CONTRAMARCO, FIXAÇÃO COM PARAFUSO. FORNECIMENTO E INSTALAÇÃO. AF_11/2024. LINHA SUPREMA</v>
      </c>
      <c r="F250" s="165" t="str">
        <f ca="1">IF(RegimeExecucao="Global","",ORÇAMENTO.Unidade)</f>
        <v>M2</v>
      </c>
      <c r="G250" s="123">
        <f ca="1">IF(RegimeExecucao="Global","",ORÇAMENTO!T250)</f>
        <v>28.09</v>
      </c>
      <c r="H250" s="123">
        <f ca="1">IF(RegimeExecucao="Global","",ORÇAMENTO!W250)</f>
        <v>0</v>
      </c>
      <c r="I250" s="126">
        <f ca="1">ORÇAMENTO!X250</f>
        <v>0</v>
      </c>
      <c r="J250" s="334" t="e" cm="1">
        <f t="array" aca="1" ref="J250" ca="1">_xlfn.SINGLE(IF($A250="S",IF(CAIXA.Modo,BM.AFAnterior,BM.MEDAnterior),IF(AND(_xlfn.SINGLE(RegimeExecucao)="Global",$I250&gt;0,COUNTIF($AB$13:$AM$13,BM.medicao-1)&gt;0),M250/$I250*100,0)))</f>
        <v>#NAME?</v>
      </c>
      <c r="K250" s="123" t="e">
        <f t="shared" ca="1" si="24"/>
        <v>#NAME?</v>
      </c>
      <c r="L250" s="335" t="e" cm="1">
        <f t="array" aca="1" ref="L250" ca="1">_xlfn.SINGLE(IF($A250="S",IF(CAIXA.Modo,BM.AFAcumulado,BM.MEDAcumulado),IF(AND(_xlfn.SINGLE(RegimeExecucao)="Global",$I250&gt;0,COUNTIF($AB$13:$AM$13,BM.medicao)&gt;0),O250/$I250*100,0)))</f>
        <v>#NAME?</v>
      </c>
      <c r="M250" s="336">
        <f ca="1">IF($A250="S",VTOTALBM,IF($A250=0,0,ROUND(SomaAgrupBM,15-13*ORÇAMENTO!$AF$11)))</f>
        <v>0</v>
      </c>
      <c r="N250" s="337">
        <f t="shared" ca="1" si="25"/>
        <v>0</v>
      </c>
      <c r="O250" s="126">
        <f ca="1">IF($A250="S",VTOTALBM,IF($A250=0,0,ROUND(SomaAgrupBM,15-13*ORÇAMENTO!$AF$11)))</f>
        <v>0</v>
      </c>
      <c r="Q250" s="338"/>
      <c r="R250" s="339"/>
      <c r="T250" s="118" t="str">
        <f t="shared" ca="1" si="26"/>
        <v/>
      </c>
      <c r="U250" s="164" t="str">
        <f t="shared" ca="1" si="27"/>
        <v/>
      </c>
      <c r="V250" s="165" t="str">
        <f ca="1">IF(AND($W250&gt;0,RegimeExecucao="Unitário"),$F250,"")</f>
        <v/>
      </c>
      <c r="W250" s="455">
        <f ca="1">IF($Y250&gt;0,CHOOSE(MATCH(RegimeExecucao,{"Unitário","Global"},0),IF($A250="S",$Y250/$X250,""),($Y250/$X250)*100),0)</f>
        <v>0</v>
      </c>
      <c r="X250" s="340" t="str">
        <f ca="1">IF($Y250&gt;0,CHOOSE(MATCH(RegimeExecucao,{"Unitário","Global"},0),IF($A250="S",ROUND($H250,ORÇAMENTO!$AF$10),""),ROUND($I250,ORÇAMENTO!$AF$11)),"")</f>
        <v/>
      </c>
      <c r="Y250" s="340">
        <f t="shared" ca="1" si="28"/>
        <v>0</v>
      </c>
      <c r="Z250" s="474"/>
      <c r="AB250" s="338"/>
      <c r="AC250" s="438"/>
      <c r="AD250" s="438"/>
      <c r="AE250" s="438"/>
      <c r="AF250" s="438"/>
      <c r="AG250" s="438"/>
      <c r="AH250" s="438"/>
      <c r="AI250" s="438"/>
      <c r="AJ250" s="438"/>
      <c r="AK250" s="438"/>
      <c r="AL250" s="438"/>
      <c r="AM250" s="339"/>
      <c r="AO250">
        <f ca="1">IF($A250="S",IF(BM!$I250=0,0,CHOOSE(MATCH(RegimeExecucao,{"Global","Unitário"},0),ROUND(ROUND(BM.MEDAcumulado,15-13*BM!$A$9)/100*BM!$I250,15-13*ORÇAMENTO!$AF$11),ROUND(ROUND(BM.MEDAcumulado,15-13*BM!$A$9)*ROUND(BM!$H250,15-13*ORÇAMENTO!$AF$10),15-13*ORÇAMENTO!$AF$11))),IF($A250=0,0,ROUND(SomaAgrupBM,15-13*ORÇAMENTO!$AF$11)))</f>
        <v>0</v>
      </c>
    </row>
    <row r="251" spans="1:41" ht="38.25" x14ac:dyDescent="0.2">
      <c r="A251" t="str">
        <f ca="1">ORÇAMENTO!C251</f>
        <v>S</v>
      </c>
      <c r="B251">
        <f ca="1">ORÇAMENTO!D251</f>
        <v>0</v>
      </c>
      <c r="C251" s="115" t="str">
        <f t="shared" ca="1" si="22"/>
        <v/>
      </c>
      <c r="D251" s="118" t="str">
        <f ca="1">ORÇAMENTO!O251</f>
        <v>-</v>
      </c>
      <c r="E251" s="164" t="str">
        <f t="shared" si="23"/>
        <v>PORTA DE CORRER DE ALUMÍNIO, COM DUAS FOLHAS PARA VIDRO, INCLUSO VIDRO LISO INCOLOR, FECHADURA E PUXADOR, SEM ALIZAR. AF_12/2019. LINHA SUPREMA</v>
      </c>
      <c r="F251" s="165" t="str">
        <f ca="1">IF(RegimeExecucao="Global","",ORÇAMENTO.Unidade)</f>
        <v>M2</v>
      </c>
      <c r="G251" s="123">
        <f ca="1">IF(RegimeExecucao="Global","",ORÇAMENTO!T251)</f>
        <v>17.75</v>
      </c>
      <c r="H251" s="123">
        <f ca="1">IF(RegimeExecucao="Global","",ORÇAMENTO!W251)</f>
        <v>0</v>
      </c>
      <c r="I251" s="126">
        <f ca="1">ORÇAMENTO!X251</f>
        <v>0</v>
      </c>
      <c r="J251" s="334" t="e" cm="1">
        <f t="array" aca="1" ref="J251" ca="1">_xlfn.SINGLE(IF($A251="S",IF(CAIXA.Modo,BM.AFAnterior,BM.MEDAnterior),IF(AND(_xlfn.SINGLE(RegimeExecucao)="Global",$I251&gt;0,COUNTIF($AB$13:$AM$13,BM.medicao-1)&gt;0),M251/$I251*100,0)))</f>
        <v>#NAME?</v>
      </c>
      <c r="K251" s="123" t="e">
        <f t="shared" ca="1" si="24"/>
        <v>#NAME?</v>
      </c>
      <c r="L251" s="335" t="e" cm="1">
        <f t="array" aca="1" ref="L251" ca="1">_xlfn.SINGLE(IF($A251="S",IF(CAIXA.Modo,BM.AFAcumulado,BM.MEDAcumulado),IF(AND(_xlfn.SINGLE(RegimeExecucao)="Global",$I251&gt;0,COUNTIF($AB$13:$AM$13,BM.medicao)&gt;0),O251/$I251*100,0)))</f>
        <v>#NAME?</v>
      </c>
      <c r="M251" s="336">
        <f ca="1">IF($A251="S",VTOTALBM,IF($A251=0,0,ROUND(SomaAgrupBM,15-13*ORÇAMENTO!$AF$11)))</f>
        <v>0</v>
      </c>
      <c r="N251" s="337">
        <f t="shared" ca="1" si="25"/>
        <v>0</v>
      </c>
      <c r="O251" s="126">
        <f ca="1">IF($A251="S",VTOTALBM,IF($A251=0,0,ROUND(SomaAgrupBM,15-13*ORÇAMENTO!$AF$11)))</f>
        <v>0</v>
      </c>
      <c r="Q251" s="338"/>
      <c r="R251" s="339"/>
      <c r="T251" s="118" t="str">
        <f t="shared" ca="1" si="26"/>
        <v/>
      </c>
      <c r="U251" s="164" t="str">
        <f t="shared" ca="1" si="27"/>
        <v/>
      </c>
      <c r="V251" s="165" t="str">
        <f ca="1">IF(AND($W251&gt;0,RegimeExecucao="Unitário"),$F251,"")</f>
        <v/>
      </c>
      <c r="W251" s="455">
        <f ca="1">IF($Y251&gt;0,CHOOSE(MATCH(RegimeExecucao,{"Unitário","Global"},0),IF($A251="S",$Y251/$X251,""),($Y251/$X251)*100),0)</f>
        <v>0</v>
      </c>
      <c r="X251" s="340" t="str">
        <f ca="1">IF($Y251&gt;0,CHOOSE(MATCH(RegimeExecucao,{"Unitário","Global"},0),IF($A251="S",ROUND($H251,ORÇAMENTO!$AF$10),""),ROUND($I251,ORÇAMENTO!$AF$11)),"")</f>
        <v/>
      </c>
      <c r="Y251" s="340">
        <f t="shared" ca="1" si="28"/>
        <v>0</v>
      </c>
      <c r="Z251" s="474"/>
      <c r="AB251" s="338"/>
      <c r="AC251" s="438"/>
      <c r="AD251" s="438"/>
      <c r="AE251" s="438"/>
      <c r="AF251" s="438"/>
      <c r="AG251" s="438"/>
      <c r="AH251" s="438"/>
      <c r="AI251" s="438"/>
      <c r="AJ251" s="438"/>
      <c r="AK251" s="438"/>
      <c r="AL251" s="438"/>
      <c r="AM251" s="339"/>
      <c r="AO251">
        <f ca="1">IF($A251="S",IF(BM!$I251=0,0,CHOOSE(MATCH(RegimeExecucao,{"Global","Unitário"},0),ROUND(ROUND(BM.MEDAcumulado,15-13*BM!$A$9)/100*BM!$I251,15-13*ORÇAMENTO!$AF$11),ROUND(ROUND(BM.MEDAcumulado,15-13*BM!$A$9)*ROUND(BM!$H251,15-13*ORÇAMENTO!$AF$10),15-13*ORÇAMENTO!$AF$11))),IF($A251=0,0,ROUND(SomaAgrupBM,15-13*ORÇAMENTO!$AF$11)))</f>
        <v>0</v>
      </c>
    </row>
    <row r="252" spans="1:41" x14ac:dyDescent="0.2">
      <c r="A252" t="str">
        <f ca="1">ORÇAMENTO!C252</f>
        <v>S</v>
      </c>
      <c r="B252">
        <f ca="1">ORÇAMENTO!D252</f>
        <v>0</v>
      </c>
      <c r="C252" s="115" t="str">
        <f t="shared" ca="1" si="22"/>
        <v/>
      </c>
      <c r="D252" s="118" t="str">
        <f ca="1">ORÇAMENTO!O252</f>
        <v>-</v>
      </c>
      <c r="E252" s="164" t="str">
        <f t="shared" si="23"/>
        <v xml:space="preserve">PELÍCULA DE PROTEÇÃO SOLAR - FORNECIMENTO E INSTALAÇÃO </v>
      </c>
      <c r="F252" s="165" t="str">
        <f ca="1">IF(RegimeExecucao="Global","",ORÇAMENTO.Unidade)</f>
        <v>M2</v>
      </c>
      <c r="G252" s="123">
        <f ca="1">IF(RegimeExecucao="Global","",ORÇAMENTO!T252)</f>
        <v>157.47</v>
      </c>
      <c r="H252" s="123">
        <f ca="1">IF(RegimeExecucao="Global","",ORÇAMENTO!W252)</f>
        <v>0</v>
      </c>
      <c r="I252" s="126">
        <f ca="1">ORÇAMENTO!X252</f>
        <v>0</v>
      </c>
      <c r="J252" s="334" t="e" cm="1">
        <f t="array" aca="1" ref="J252" ca="1">_xlfn.SINGLE(IF($A252="S",IF(CAIXA.Modo,BM.AFAnterior,BM.MEDAnterior),IF(AND(_xlfn.SINGLE(RegimeExecucao)="Global",$I252&gt;0,COUNTIF($AB$13:$AM$13,BM.medicao-1)&gt;0),M252/$I252*100,0)))</f>
        <v>#NAME?</v>
      </c>
      <c r="K252" s="123" t="e">
        <f t="shared" ca="1" si="24"/>
        <v>#NAME?</v>
      </c>
      <c r="L252" s="335" t="e" cm="1">
        <f t="array" aca="1" ref="L252" ca="1">_xlfn.SINGLE(IF($A252="S",IF(CAIXA.Modo,BM.AFAcumulado,BM.MEDAcumulado),IF(AND(_xlfn.SINGLE(RegimeExecucao)="Global",$I252&gt;0,COUNTIF($AB$13:$AM$13,BM.medicao)&gt;0),O252/$I252*100,0)))</f>
        <v>#NAME?</v>
      </c>
      <c r="M252" s="336">
        <f ca="1">IF($A252="S",VTOTALBM,IF($A252=0,0,ROUND(SomaAgrupBM,15-13*ORÇAMENTO!$AF$11)))</f>
        <v>0</v>
      </c>
      <c r="N252" s="337">
        <f t="shared" ca="1" si="25"/>
        <v>0</v>
      </c>
      <c r="O252" s="126">
        <f ca="1">IF($A252="S",VTOTALBM,IF($A252=0,0,ROUND(SomaAgrupBM,15-13*ORÇAMENTO!$AF$11)))</f>
        <v>0</v>
      </c>
      <c r="Q252" s="338"/>
      <c r="R252" s="339"/>
      <c r="T252" s="118" t="str">
        <f t="shared" ca="1" si="26"/>
        <v/>
      </c>
      <c r="U252" s="164" t="str">
        <f t="shared" ca="1" si="27"/>
        <v/>
      </c>
      <c r="V252" s="165" t="str">
        <f ca="1">IF(AND($W252&gt;0,RegimeExecucao="Unitário"),$F252,"")</f>
        <v/>
      </c>
      <c r="W252" s="455">
        <f ca="1">IF($Y252&gt;0,CHOOSE(MATCH(RegimeExecucao,{"Unitário","Global"},0),IF($A252="S",$Y252/$X252,""),($Y252/$X252)*100),0)</f>
        <v>0</v>
      </c>
      <c r="X252" s="340" t="str">
        <f ca="1">IF($Y252&gt;0,CHOOSE(MATCH(RegimeExecucao,{"Unitário","Global"},0),IF($A252="S",ROUND($H252,ORÇAMENTO!$AF$10),""),ROUND($I252,ORÇAMENTO!$AF$11)),"")</f>
        <v/>
      </c>
      <c r="Y252" s="340">
        <f t="shared" ca="1" si="28"/>
        <v>0</v>
      </c>
      <c r="Z252" s="474"/>
      <c r="AB252" s="338"/>
      <c r="AC252" s="438"/>
      <c r="AD252" s="438"/>
      <c r="AE252" s="438"/>
      <c r="AF252" s="438"/>
      <c r="AG252" s="438"/>
      <c r="AH252" s="438"/>
      <c r="AI252" s="438"/>
      <c r="AJ252" s="438"/>
      <c r="AK252" s="438"/>
      <c r="AL252" s="438"/>
      <c r="AM252" s="339"/>
      <c r="AO252">
        <f ca="1">IF($A252="S",IF(BM!$I252=0,0,CHOOSE(MATCH(RegimeExecucao,{"Global","Unitário"},0),ROUND(ROUND(BM.MEDAcumulado,15-13*BM!$A$9)/100*BM!$I252,15-13*ORÇAMENTO!$AF$11),ROUND(ROUND(BM.MEDAcumulado,15-13*BM!$A$9)*ROUND(BM!$H252,15-13*ORÇAMENTO!$AF$10),15-13*ORÇAMENTO!$AF$11))),IF($A252=0,0,ROUND(SomaAgrupBM,15-13*ORÇAMENTO!$AF$11)))</f>
        <v>0</v>
      </c>
    </row>
    <row r="253" spans="1:41" x14ac:dyDescent="0.2">
      <c r="A253" t="str">
        <f ca="1">ORÇAMENTO!C253</f>
        <v>S</v>
      </c>
      <c r="B253">
        <f ca="1">ORÇAMENTO!D253</f>
        <v>0</v>
      </c>
      <c r="C253" s="115" t="str">
        <f ca="1">IF(OR($I253&gt;0,$A253=1,$A253=2,$A253=3,$A253=4),"F","")</f>
        <v/>
      </c>
      <c r="D253" s="118" t="str">
        <f ca="1">ORÇAMENTO!O253</f>
        <v>-</v>
      </c>
      <c r="E253" s="164" t="str">
        <f ca="1">ORÇAMENTO.Descricao</f>
        <v>(abra o arquivo 'Referência 12-2024.xlsm)</v>
      </c>
      <c r="F253" s="165" t="str">
        <f ca="1">IF(RegimeExecucao="Global","",ORÇAMENTO.Unidade)</f>
        <v>-</v>
      </c>
      <c r="G253" s="123">
        <f ca="1">IF(RegimeExecucao="Global","",ORÇAMENTO!T253)</f>
        <v>468.4</v>
      </c>
      <c r="H253" s="123">
        <f ca="1">IF(RegimeExecucao="Global","",ORÇAMENTO!W253)</f>
        <v>0</v>
      </c>
      <c r="I253" s="126">
        <f ca="1">ORÇAMENTO!X253</f>
        <v>0</v>
      </c>
      <c r="J253" s="334" t="e" cm="1">
        <f t="array" aca="1" ref="J253" ca="1">_xlfn.SINGLE(IF($A253="S",IF(CAIXA.Modo,BM.AFAnterior,BM.MEDAnterior),IF(AND(_xlfn.SINGLE(RegimeExecucao)="Global",$I253&gt;0,COUNTIF($AB$13:$AM$13,BM.medicao-1)&gt;0),M253/$I253*100,0)))</f>
        <v>#NAME?</v>
      </c>
      <c r="K253" s="123" t="e">
        <f ca="1">L253-J253</f>
        <v>#NAME?</v>
      </c>
      <c r="L253" s="335" t="e" cm="1">
        <f t="array" aca="1" ref="L253" ca="1">_xlfn.SINGLE(IF($A253="S",IF(CAIXA.Modo,BM.AFAcumulado,BM.MEDAcumulado),IF(AND(_xlfn.SINGLE(RegimeExecucao)="Global",$I253&gt;0,COUNTIF($AB$13:$AM$13,BM.medicao)&gt;0),O253/$I253*100,0)))</f>
        <v>#NAME?</v>
      </c>
      <c r="M253" s="336">
        <f ca="1">IF($A253="S",VTOTALBM,IF($A253=0,0,ROUND(SomaAgrupBM,15-13*ORÇAMENTO!$AF$11)))</f>
        <v>0</v>
      </c>
      <c r="N253" s="337">
        <f ca="1">O253-M253</f>
        <v>0</v>
      </c>
      <c r="O253" s="126">
        <f ca="1">IF($A253="S",VTOTALBM,IF($A253=0,0,ROUND(SomaAgrupBM,15-13*ORÇAMENTO!$AF$11)))</f>
        <v>0</v>
      </c>
      <c r="Q253" s="338"/>
      <c r="R253" s="339"/>
      <c r="T253" s="118" t="str">
        <f ca="1">IF($W253&gt;0,$D253,"")</f>
        <v/>
      </c>
      <c r="U253" s="164" t="str">
        <f ca="1">IF($W253&gt;0,$E253,"")</f>
        <v/>
      </c>
      <c r="V253" s="165" t="str">
        <f ca="1">IF(AND($W253&gt;0,RegimeExecucao="Unitário"),$F253,"")</f>
        <v/>
      </c>
      <c r="W253" s="455">
        <f ca="1">IF($Y253&gt;0,CHOOSE(MATCH(RegimeExecucao,{"Unitário","Global"},0),IF($A253="S",$Y253/$X253,""),($Y253/$X253)*100),0)</f>
        <v>0</v>
      </c>
      <c r="X253" s="340" t="str">
        <f ca="1">IF($Y253&gt;0,CHOOSE(MATCH(RegimeExecucao,{"Unitário","Global"},0),IF($A253="S",ROUND($H253,ORÇAMENTO!$AF$10),""),ROUND($I253,ORÇAMENTO!$AF$11)),"")</f>
        <v/>
      </c>
      <c r="Y253" s="340">
        <f ca="1">AO253-O253</f>
        <v>0</v>
      </c>
      <c r="Z253" s="474"/>
      <c r="AB253" s="338"/>
      <c r="AC253" s="438"/>
      <c r="AD253" s="438"/>
      <c r="AE253" s="438"/>
      <c r="AF253" s="438"/>
      <c r="AG253" s="438"/>
      <c r="AH253" s="438"/>
      <c r="AI253" s="438"/>
      <c r="AJ253" s="438"/>
      <c r="AK253" s="438"/>
      <c r="AL253" s="438"/>
      <c r="AM253" s="339"/>
      <c r="AO253">
        <f ca="1">IF($A253="S",IF(BM!$I253=0,0,CHOOSE(MATCH(RegimeExecucao,{"Global","Unitário"},0),ROUND(ROUND(BM.MEDAcumulado,15-13*BM!$A$9)/100*BM!$I253,15-13*ORÇAMENTO!$AF$11),ROUND(ROUND(BM.MEDAcumulado,15-13*BM!$A$9)*ROUND(BM!$H253,15-13*ORÇAMENTO!$AF$10),15-13*ORÇAMENTO!$AF$11))),IF($A253=0,0,ROUND(SomaAgrupBM,15-13*ORÇAMENTO!$AF$11)))</f>
        <v>0</v>
      </c>
    </row>
    <row r="254" spans="1:41" x14ac:dyDescent="0.2">
      <c r="A254">
        <f ca="1">ORÇAMENTO!C254</f>
        <v>2</v>
      </c>
      <c r="B254">
        <f ca="1">ORÇAMENTO!D254</f>
        <v>14</v>
      </c>
      <c r="C254" s="115" t="str">
        <f t="shared" ca="1" si="22"/>
        <v>F</v>
      </c>
      <c r="D254" s="118" t="str">
        <f ca="1">ORÇAMENTO!O254</f>
        <v>1.15.</v>
      </c>
      <c r="E254" s="164" t="str">
        <f t="shared" si="23"/>
        <v>INSTALAÇÕES PLUVIAIS</v>
      </c>
      <c r="F254" s="165" t="str">
        <f ca="1">IF(RegimeExecucao="Global","",ORÇAMENTO.Unidade)</f>
        <v>-</v>
      </c>
      <c r="G254" s="123">
        <f ca="1">IF(RegimeExecucao="Global","",ORÇAMENTO!T254)</f>
        <v>0</v>
      </c>
      <c r="H254" s="123">
        <f ca="1">IF(RegimeExecucao="Global","",ORÇAMENTO!W254)</f>
        <v>0</v>
      </c>
      <c r="I254" s="126">
        <f ca="1">ORÇAMENTO!X254</f>
        <v>0</v>
      </c>
      <c r="J254" s="334" t="e" cm="1">
        <f t="array" aca="1" ref="J254" ca="1">_xlfn.SINGLE(IF($A254="S",IF(CAIXA.Modo,BM.AFAnterior,BM.MEDAnterior),IF(AND(_xlfn.SINGLE(RegimeExecucao)="Global",$I254&gt;0,COUNTIF($AB$13:$AM$13,BM.medicao-1)&gt;0),M254/$I254*100,0)))</f>
        <v>#NAME?</v>
      </c>
      <c r="K254" s="123" t="e">
        <f t="shared" ca="1" si="24"/>
        <v>#NAME?</v>
      </c>
      <c r="L254" s="335" t="e" cm="1">
        <f t="array" aca="1" ref="L254" ca="1">_xlfn.SINGLE(IF($A254="S",IF(CAIXA.Modo,BM.AFAcumulado,BM.MEDAcumulado),IF(AND(_xlfn.SINGLE(RegimeExecucao)="Global",$I254&gt;0,COUNTIF($AB$13:$AM$13,BM.medicao)&gt;0),O254/$I254*100,0)))</f>
        <v>#NAME?</v>
      </c>
      <c r="M254" s="336">
        <f ca="1">IF($A254="S",VTOTALBM,IF($A254=0,0,ROUND(SomaAgrupBM,15-13*ORÇAMENTO!$AF$11)))</f>
        <v>0</v>
      </c>
      <c r="N254" s="337">
        <f t="shared" ca="1" si="25"/>
        <v>0</v>
      </c>
      <c r="O254" s="126">
        <f ca="1">IF($A254="S",VTOTALBM,IF($A254=0,0,ROUND(SomaAgrupBM,15-13*ORÇAMENTO!$AF$11)))</f>
        <v>0</v>
      </c>
      <c r="Q254" s="338"/>
      <c r="R254" s="339"/>
      <c r="T254" s="118" t="str">
        <f t="shared" ca="1" si="26"/>
        <v/>
      </c>
      <c r="U254" s="164" t="str">
        <f t="shared" ca="1" si="27"/>
        <v/>
      </c>
      <c r="V254" s="165" t="str">
        <f ca="1">IF(AND($W254&gt;0,RegimeExecucao="Unitário"),$F254,"")</f>
        <v/>
      </c>
      <c r="W254" s="455">
        <f ca="1">IF($Y254&gt;0,CHOOSE(MATCH(RegimeExecucao,{"Unitário","Global"},0),IF($A254="S",$Y254/$X254,""),($Y254/$X254)*100),0)</f>
        <v>0</v>
      </c>
      <c r="X254" s="340" t="str">
        <f ca="1">IF($Y254&gt;0,CHOOSE(MATCH(RegimeExecucao,{"Unitário","Global"},0),IF($A254="S",ROUND($H254,ORÇAMENTO!$AF$10),""),ROUND($I254,ORÇAMENTO!$AF$11)),"")</f>
        <v/>
      </c>
      <c r="Y254" s="340">
        <f t="shared" ca="1" si="28"/>
        <v>0</v>
      </c>
      <c r="Z254" s="474"/>
      <c r="AB254" s="338"/>
      <c r="AC254" s="438"/>
      <c r="AD254" s="438"/>
      <c r="AE254" s="438"/>
      <c r="AF254" s="438"/>
      <c r="AG254" s="438"/>
      <c r="AH254" s="438"/>
      <c r="AI254" s="438"/>
      <c r="AJ254" s="438"/>
      <c r="AK254" s="438"/>
      <c r="AL254" s="438"/>
      <c r="AM254" s="339"/>
      <c r="AO254">
        <f ca="1">IF($A254="S",IF(BM!$I254=0,0,CHOOSE(MATCH(RegimeExecucao,{"Global","Unitário"},0),ROUND(ROUND(BM.MEDAcumulado,15-13*BM!$A$9)/100*BM!$I254,15-13*ORÇAMENTO!$AF$11),ROUND(ROUND(BM.MEDAcumulado,15-13*BM!$A$9)*ROUND(BM!$H254,15-13*ORÇAMENTO!$AF$10),15-13*ORÇAMENTO!$AF$11))),IF($A254=0,0,ROUND(SomaAgrupBM,15-13*ORÇAMENTO!$AF$11)))</f>
        <v>0</v>
      </c>
    </row>
    <row r="255" spans="1:41" ht="25.5" x14ac:dyDescent="0.2">
      <c r="A255" t="str">
        <f ca="1">ORÇAMENTO!C255</f>
        <v>S</v>
      </c>
      <c r="B255">
        <f ca="1">ORÇAMENTO!D255</f>
        <v>0</v>
      </c>
      <c r="C255" s="115" t="str">
        <f t="shared" ca="1" si="22"/>
        <v/>
      </c>
      <c r="D255" s="118" t="str">
        <f ca="1">ORÇAMENTO!O255</f>
        <v>-</v>
      </c>
      <c r="E255" s="164" t="str">
        <f t="shared" si="23"/>
        <v xml:space="preserve">CAIXA DE PASSAGEM PVC 25 CM - PLUVIAL - FORNECIMENTO E INSTALAÇÃO </v>
      </c>
      <c r="F255" s="165" t="str">
        <f ca="1">IF(RegimeExecucao="Global","",ORÇAMENTO.Unidade)</f>
        <v>UN</v>
      </c>
      <c r="G255" s="123">
        <f ca="1">IF(RegimeExecucao="Global","",ORÇAMENTO!T255)</f>
        <v>19</v>
      </c>
      <c r="H255" s="123">
        <f ca="1">IF(RegimeExecucao="Global","",ORÇAMENTO!W255)</f>
        <v>0</v>
      </c>
      <c r="I255" s="126">
        <f ca="1">ORÇAMENTO!X255</f>
        <v>0</v>
      </c>
      <c r="J255" s="334" t="e" cm="1">
        <f t="array" aca="1" ref="J255" ca="1">_xlfn.SINGLE(IF($A255="S",IF(CAIXA.Modo,BM.AFAnterior,BM.MEDAnterior),IF(AND(_xlfn.SINGLE(RegimeExecucao)="Global",$I255&gt;0,COUNTIF($AB$13:$AM$13,BM.medicao-1)&gt;0),M255/$I255*100,0)))</f>
        <v>#NAME?</v>
      </c>
      <c r="K255" s="123" t="e">
        <f t="shared" ca="1" si="24"/>
        <v>#NAME?</v>
      </c>
      <c r="L255" s="335" t="e" cm="1">
        <f t="array" aca="1" ref="L255" ca="1">_xlfn.SINGLE(IF($A255="S",IF(CAIXA.Modo,BM.AFAcumulado,BM.MEDAcumulado),IF(AND(_xlfn.SINGLE(RegimeExecucao)="Global",$I255&gt;0,COUNTIF($AB$13:$AM$13,BM.medicao)&gt;0),O255/$I255*100,0)))</f>
        <v>#NAME?</v>
      </c>
      <c r="M255" s="336">
        <f ca="1">IF($A255="S",VTOTALBM,IF($A255=0,0,ROUND(SomaAgrupBM,15-13*ORÇAMENTO!$AF$11)))</f>
        <v>0</v>
      </c>
      <c r="N255" s="337">
        <f t="shared" ca="1" si="25"/>
        <v>0</v>
      </c>
      <c r="O255" s="126">
        <f ca="1">IF($A255="S",VTOTALBM,IF($A255=0,0,ROUND(SomaAgrupBM,15-13*ORÇAMENTO!$AF$11)))</f>
        <v>0</v>
      </c>
      <c r="Q255" s="338"/>
      <c r="R255" s="339"/>
      <c r="T255" s="118" t="str">
        <f t="shared" ca="1" si="26"/>
        <v/>
      </c>
      <c r="U255" s="164" t="str">
        <f t="shared" ca="1" si="27"/>
        <v/>
      </c>
      <c r="V255" s="165" t="str">
        <f ca="1">IF(AND($W255&gt;0,RegimeExecucao="Unitário"),$F255,"")</f>
        <v/>
      </c>
      <c r="W255" s="455">
        <f ca="1">IF($Y255&gt;0,CHOOSE(MATCH(RegimeExecucao,{"Unitário","Global"},0),IF($A255="S",$Y255/$X255,""),($Y255/$X255)*100),0)</f>
        <v>0</v>
      </c>
      <c r="X255" s="340" t="str">
        <f ca="1">IF($Y255&gt;0,CHOOSE(MATCH(RegimeExecucao,{"Unitário","Global"},0),IF($A255="S",ROUND($H255,ORÇAMENTO!$AF$10),""),ROUND($I255,ORÇAMENTO!$AF$11)),"")</f>
        <v/>
      </c>
      <c r="Y255" s="340">
        <f t="shared" ca="1" si="28"/>
        <v>0</v>
      </c>
      <c r="Z255" s="474"/>
      <c r="AB255" s="338"/>
      <c r="AC255" s="438"/>
      <c r="AD255" s="438"/>
      <c r="AE255" s="438"/>
      <c r="AF255" s="438"/>
      <c r="AG255" s="438"/>
      <c r="AH255" s="438"/>
      <c r="AI255" s="438"/>
      <c r="AJ255" s="438"/>
      <c r="AK255" s="438"/>
      <c r="AL255" s="438"/>
      <c r="AM255" s="339"/>
      <c r="AO255">
        <f ca="1">IF($A255="S",IF(BM!$I255=0,0,CHOOSE(MATCH(RegimeExecucao,{"Global","Unitário"},0),ROUND(ROUND(BM.MEDAcumulado,15-13*BM!$A$9)/100*BM!$I255,15-13*ORÇAMENTO!$AF$11),ROUND(ROUND(BM.MEDAcumulado,15-13*BM!$A$9)*ROUND(BM!$H255,15-13*ORÇAMENTO!$AF$10),15-13*ORÇAMENTO!$AF$11))),IF($A255=0,0,ROUND(SomaAgrupBM,15-13*ORÇAMENTO!$AF$11)))</f>
        <v>0</v>
      </c>
    </row>
    <row r="256" spans="1:41" ht="38.25" x14ac:dyDescent="0.2">
      <c r="A256" t="str">
        <f ca="1">ORÇAMENTO!C256</f>
        <v>S</v>
      </c>
      <c r="B256">
        <f ca="1">ORÇAMENTO!D256</f>
        <v>0</v>
      </c>
      <c r="C256" s="115" t="str">
        <f t="shared" ca="1" si="22"/>
        <v/>
      </c>
      <c r="D256" s="118" t="str">
        <f ca="1">ORÇAMENTO!O256</f>
        <v>-</v>
      </c>
      <c r="E256" s="164" t="str">
        <f t="shared" si="23"/>
        <v>CAP, PVC, SERIE R, ÁGUA PLUVIAL, DN 100 MM, JUNTA ELÁSTICA, FORNECIDO E INSTALADO EM RAMAL DE ENCAMINHAMENTO. AF_06/2022</v>
      </c>
      <c r="F256" s="165" t="str">
        <f ca="1">IF(RegimeExecucao="Global","",ORÇAMENTO.Unidade)</f>
        <v>UN</v>
      </c>
      <c r="G256" s="123">
        <f ca="1">IF(RegimeExecucao="Global","",ORÇAMENTO!T256)</f>
        <v>2</v>
      </c>
      <c r="H256" s="123">
        <f ca="1">IF(RegimeExecucao="Global","",ORÇAMENTO!W256)</f>
        <v>0</v>
      </c>
      <c r="I256" s="126">
        <f ca="1">ORÇAMENTO!X256</f>
        <v>0</v>
      </c>
      <c r="J256" s="334" t="e" cm="1">
        <f t="array" aca="1" ref="J256" ca="1">_xlfn.SINGLE(IF($A256="S",IF(CAIXA.Modo,BM.AFAnterior,BM.MEDAnterior),IF(AND(_xlfn.SINGLE(RegimeExecucao)="Global",$I256&gt;0,COUNTIF($AB$13:$AM$13,BM.medicao-1)&gt;0),M256/$I256*100,0)))</f>
        <v>#NAME?</v>
      </c>
      <c r="K256" s="123" t="e">
        <f t="shared" ca="1" si="24"/>
        <v>#NAME?</v>
      </c>
      <c r="L256" s="335" t="e" cm="1">
        <f t="array" aca="1" ref="L256" ca="1">_xlfn.SINGLE(IF($A256="S",IF(CAIXA.Modo,BM.AFAcumulado,BM.MEDAcumulado),IF(AND(_xlfn.SINGLE(RegimeExecucao)="Global",$I256&gt;0,COUNTIF($AB$13:$AM$13,BM.medicao)&gt;0),O256/$I256*100,0)))</f>
        <v>#NAME?</v>
      </c>
      <c r="M256" s="336">
        <f ca="1">IF($A256="S",VTOTALBM,IF($A256=0,0,ROUND(SomaAgrupBM,15-13*ORÇAMENTO!$AF$11)))</f>
        <v>0</v>
      </c>
      <c r="N256" s="337">
        <f t="shared" ca="1" si="25"/>
        <v>0</v>
      </c>
      <c r="O256" s="126">
        <f ca="1">IF($A256="S",VTOTALBM,IF($A256=0,0,ROUND(SomaAgrupBM,15-13*ORÇAMENTO!$AF$11)))</f>
        <v>0</v>
      </c>
      <c r="Q256" s="338"/>
      <c r="R256" s="339"/>
      <c r="T256" s="118" t="str">
        <f t="shared" ca="1" si="26"/>
        <v/>
      </c>
      <c r="U256" s="164" t="str">
        <f t="shared" ca="1" si="27"/>
        <v/>
      </c>
      <c r="V256" s="165" t="str">
        <f ca="1">IF(AND($W256&gt;0,RegimeExecucao="Unitário"),$F256,"")</f>
        <v/>
      </c>
      <c r="W256" s="455">
        <f ca="1">IF($Y256&gt;0,CHOOSE(MATCH(RegimeExecucao,{"Unitário","Global"},0),IF($A256="S",$Y256/$X256,""),($Y256/$X256)*100),0)</f>
        <v>0</v>
      </c>
      <c r="X256" s="340" t="str">
        <f ca="1">IF($Y256&gt;0,CHOOSE(MATCH(RegimeExecucao,{"Unitário","Global"},0),IF($A256="S",ROUND($H256,ORÇAMENTO!$AF$10),""),ROUND($I256,ORÇAMENTO!$AF$11)),"")</f>
        <v/>
      </c>
      <c r="Y256" s="340">
        <f t="shared" ca="1" si="28"/>
        <v>0</v>
      </c>
      <c r="Z256" s="474"/>
      <c r="AB256" s="338"/>
      <c r="AC256" s="438"/>
      <c r="AD256" s="438"/>
      <c r="AE256" s="438"/>
      <c r="AF256" s="438"/>
      <c r="AG256" s="438"/>
      <c r="AH256" s="438"/>
      <c r="AI256" s="438"/>
      <c r="AJ256" s="438"/>
      <c r="AK256" s="438"/>
      <c r="AL256" s="438"/>
      <c r="AM256" s="339"/>
      <c r="AO256">
        <f ca="1">IF($A256="S",IF(BM!$I256=0,0,CHOOSE(MATCH(RegimeExecucao,{"Global","Unitário"},0),ROUND(ROUND(BM.MEDAcumulado,15-13*BM!$A$9)/100*BM!$I256,15-13*ORÇAMENTO!$AF$11),ROUND(ROUND(BM.MEDAcumulado,15-13*BM!$A$9)*ROUND(BM!$H256,15-13*ORÇAMENTO!$AF$10),15-13*ORÇAMENTO!$AF$11))),IF($A256=0,0,ROUND(SomaAgrupBM,15-13*ORÇAMENTO!$AF$11)))</f>
        <v>0</v>
      </c>
    </row>
    <row r="257" spans="1:41" ht="38.25" x14ac:dyDescent="0.2">
      <c r="A257" t="str">
        <f ca="1">ORÇAMENTO!C257</f>
        <v>S</v>
      </c>
      <c r="B257">
        <f ca="1">ORÇAMENTO!D257</f>
        <v>0</v>
      </c>
      <c r="C257" s="115" t="str">
        <f t="shared" ca="1" si="22"/>
        <v/>
      </c>
      <c r="D257" s="118" t="str">
        <f ca="1">ORÇAMENTO!O257</f>
        <v>-</v>
      </c>
      <c r="E257" s="164" t="str">
        <f t="shared" si="23"/>
        <v>JOELHO 45 GRAUS, PVC, SERIE R, ÁGUA PLUVIAL, DN 100 MM, JUNTA ELÁSTICA, FORNECIDO E INSTALADO EM RAMAL DE ENCAMINHAMENTO. AF_06/2022</v>
      </c>
      <c r="F257" s="165" t="str">
        <f ca="1">IF(RegimeExecucao="Global","",ORÇAMENTO.Unidade)</f>
        <v>UN</v>
      </c>
      <c r="G257" s="123">
        <f ca="1">IF(RegimeExecucao="Global","",ORÇAMENTO!T257)</f>
        <v>3</v>
      </c>
      <c r="H257" s="123">
        <f ca="1">IF(RegimeExecucao="Global","",ORÇAMENTO!W257)</f>
        <v>0</v>
      </c>
      <c r="I257" s="126">
        <f ca="1">ORÇAMENTO!X257</f>
        <v>0</v>
      </c>
      <c r="J257" s="334" t="e" cm="1">
        <f t="array" aca="1" ref="J257" ca="1">_xlfn.SINGLE(IF($A257="S",IF(CAIXA.Modo,BM.AFAnterior,BM.MEDAnterior),IF(AND(_xlfn.SINGLE(RegimeExecucao)="Global",$I257&gt;0,COUNTIF($AB$13:$AM$13,BM.medicao-1)&gt;0),M257/$I257*100,0)))</f>
        <v>#NAME?</v>
      </c>
      <c r="K257" s="123" t="e">
        <f t="shared" ca="1" si="24"/>
        <v>#NAME?</v>
      </c>
      <c r="L257" s="335" t="e" cm="1">
        <f t="array" aca="1" ref="L257" ca="1">_xlfn.SINGLE(IF($A257="S",IF(CAIXA.Modo,BM.AFAcumulado,BM.MEDAcumulado),IF(AND(_xlfn.SINGLE(RegimeExecucao)="Global",$I257&gt;0,COUNTIF($AB$13:$AM$13,BM.medicao)&gt;0),O257/$I257*100,0)))</f>
        <v>#NAME?</v>
      </c>
      <c r="M257" s="336">
        <f ca="1">IF($A257="S",VTOTALBM,IF($A257=0,0,ROUND(SomaAgrupBM,15-13*ORÇAMENTO!$AF$11)))</f>
        <v>0</v>
      </c>
      <c r="N257" s="337">
        <f t="shared" ca="1" si="25"/>
        <v>0</v>
      </c>
      <c r="O257" s="126">
        <f ca="1">IF($A257="S",VTOTALBM,IF($A257=0,0,ROUND(SomaAgrupBM,15-13*ORÇAMENTO!$AF$11)))</f>
        <v>0</v>
      </c>
      <c r="Q257" s="338"/>
      <c r="R257" s="339"/>
      <c r="T257" s="118" t="str">
        <f t="shared" ca="1" si="26"/>
        <v/>
      </c>
      <c r="U257" s="164" t="str">
        <f t="shared" ca="1" si="27"/>
        <v/>
      </c>
      <c r="V257" s="165" t="str">
        <f ca="1">IF(AND($W257&gt;0,RegimeExecucao="Unitário"),$F257,"")</f>
        <v/>
      </c>
      <c r="W257" s="455">
        <f ca="1">IF($Y257&gt;0,CHOOSE(MATCH(RegimeExecucao,{"Unitário","Global"},0),IF($A257="S",$Y257/$X257,""),($Y257/$X257)*100),0)</f>
        <v>0</v>
      </c>
      <c r="X257" s="340" t="str">
        <f ca="1">IF($Y257&gt;0,CHOOSE(MATCH(RegimeExecucao,{"Unitário","Global"},0),IF($A257="S",ROUND($H257,ORÇAMENTO!$AF$10),""),ROUND($I257,ORÇAMENTO!$AF$11)),"")</f>
        <v/>
      </c>
      <c r="Y257" s="340">
        <f t="shared" ca="1" si="28"/>
        <v>0</v>
      </c>
      <c r="Z257" s="474"/>
      <c r="AB257" s="338"/>
      <c r="AC257" s="438"/>
      <c r="AD257" s="438"/>
      <c r="AE257" s="438"/>
      <c r="AF257" s="438"/>
      <c r="AG257" s="438"/>
      <c r="AH257" s="438"/>
      <c r="AI257" s="438"/>
      <c r="AJ257" s="438"/>
      <c r="AK257" s="438"/>
      <c r="AL257" s="438"/>
      <c r="AM257" s="339"/>
      <c r="AO257">
        <f ca="1">IF($A257="S",IF(BM!$I257=0,0,CHOOSE(MATCH(RegimeExecucao,{"Global","Unitário"},0),ROUND(ROUND(BM.MEDAcumulado,15-13*BM!$A$9)/100*BM!$I257,15-13*ORÇAMENTO!$AF$11),ROUND(ROUND(BM.MEDAcumulado,15-13*BM!$A$9)*ROUND(BM!$H257,15-13*ORÇAMENTO!$AF$10),15-13*ORÇAMENTO!$AF$11))),IF($A257=0,0,ROUND(SomaAgrupBM,15-13*ORÇAMENTO!$AF$11)))</f>
        <v>0</v>
      </c>
    </row>
    <row r="258" spans="1:41" ht="38.25" x14ac:dyDescent="0.2">
      <c r="A258" t="str">
        <f ca="1">ORÇAMENTO!C258</f>
        <v>S</v>
      </c>
      <c r="B258">
        <f ca="1">ORÇAMENTO!D258</f>
        <v>0</v>
      </c>
      <c r="C258" s="115" t="str">
        <f t="shared" ca="1" si="22"/>
        <v/>
      </c>
      <c r="D258" s="118" t="str">
        <f ca="1">ORÇAMENTO!O258</f>
        <v>-</v>
      </c>
      <c r="E258" s="164" t="str">
        <f t="shared" si="23"/>
        <v>JOELHO 45 GRAUS, PVC, SERIE R, ÁGUA PLUVIAL, DN 75 MM, JUNTA ELÁSTICA, FORNECIDO E INSTALADO EM RAMAL DE ENCAMINHAMENTO. AF_06/2022</v>
      </c>
      <c r="F258" s="165" t="str">
        <f ca="1">IF(RegimeExecucao="Global","",ORÇAMENTO.Unidade)</f>
        <v>UN</v>
      </c>
      <c r="G258" s="123">
        <f ca="1">IF(RegimeExecucao="Global","",ORÇAMENTO!T258)</f>
        <v>54</v>
      </c>
      <c r="H258" s="123">
        <f ca="1">IF(RegimeExecucao="Global","",ORÇAMENTO!W258)</f>
        <v>0</v>
      </c>
      <c r="I258" s="126">
        <f ca="1">ORÇAMENTO!X258</f>
        <v>0</v>
      </c>
      <c r="J258" s="334" t="e" cm="1">
        <f t="array" aca="1" ref="J258" ca="1">_xlfn.SINGLE(IF($A258="S",IF(CAIXA.Modo,BM.AFAnterior,BM.MEDAnterior),IF(AND(_xlfn.SINGLE(RegimeExecucao)="Global",$I258&gt;0,COUNTIF($AB$13:$AM$13,BM.medicao-1)&gt;0),M258/$I258*100,0)))</f>
        <v>#NAME?</v>
      </c>
      <c r="K258" s="123" t="e">
        <f t="shared" ca="1" si="24"/>
        <v>#NAME?</v>
      </c>
      <c r="L258" s="335" t="e" cm="1">
        <f t="array" aca="1" ref="L258" ca="1">_xlfn.SINGLE(IF($A258="S",IF(CAIXA.Modo,BM.AFAcumulado,BM.MEDAcumulado),IF(AND(_xlfn.SINGLE(RegimeExecucao)="Global",$I258&gt;0,COUNTIF($AB$13:$AM$13,BM.medicao)&gt;0),O258/$I258*100,0)))</f>
        <v>#NAME?</v>
      </c>
      <c r="M258" s="336">
        <f ca="1">IF($A258="S",VTOTALBM,IF($A258=0,0,ROUND(SomaAgrupBM,15-13*ORÇAMENTO!$AF$11)))</f>
        <v>0</v>
      </c>
      <c r="N258" s="337">
        <f t="shared" ca="1" si="25"/>
        <v>0</v>
      </c>
      <c r="O258" s="126">
        <f ca="1">IF($A258="S",VTOTALBM,IF($A258=0,0,ROUND(SomaAgrupBM,15-13*ORÇAMENTO!$AF$11)))</f>
        <v>0</v>
      </c>
      <c r="Q258" s="338"/>
      <c r="R258" s="339"/>
      <c r="T258" s="118" t="str">
        <f t="shared" ca="1" si="26"/>
        <v/>
      </c>
      <c r="U258" s="164" t="str">
        <f t="shared" ca="1" si="27"/>
        <v/>
      </c>
      <c r="V258" s="165" t="str">
        <f ca="1">IF(AND($W258&gt;0,RegimeExecucao="Unitário"),$F258,"")</f>
        <v/>
      </c>
      <c r="W258" s="455">
        <f ca="1">IF($Y258&gt;0,CHOOSE(MATCH(RegimeExecucao,{"Unitário","Global"},0),IF($A258="S",$Y258/$X258,""),($Y258/$X258)*100),0)</f>
        <v>0</v>
      </c>
      <c r="X258" s="340" t="str">
        <f ca="1">IF($Y258&gt;0,CHOOSE(MATCH(RegimeExecucao,{"Unitário","Global"},0),IF($A258="S",ROUND($H258,ORÇAMENTO!$AF$10),""),ROUND($I258,ORÇAMENTO!$AF$11)),"")</f>
        <v/>
      </c>
      <c r="Y258" s="340">
        <f t="shared" ca="1" si="28"/>
        <v>0</v>
      </c>
      <c r="Z258" s="474"/>
      <c r="AB258" s="338"/>
      <c r="AC258" s="438"/>
      <c r="AD258" s="438"/>
      <c r="AE258" s="438"/>
      <c r="AF258" s="438"/>
      <c r="AG258" s="438"/>
      <c r="AH258" s="438"/>
      <c r="AI258" s="438"/>
      <c r="AJ258" s="438"/>
      <c r="AK258" s="438"/>
      <c r="AL258" s="438"/>
      <c r="AM258" s="339"/>
      <c r="AO258">
        <f ca="1">IF($A258="S",IF(BM!$I258=0,0,CHOOSE(MATCH(RegimeExecucao,{"Global","Unitário"},0),ROUND(ROUND(BM.MEDAcumulado,15-13*BM!$A$9)/100*BM!$I258,15-13*ORÇAMENTO!$AF$11),ROUND(ROUND(BM.MEDAcumulado,15-13*BM!$A$9)*ROUND(BM!$H258,15-13*ORÇAMENTO!$AF$10),15-13*ORÇAMENTO!$AF$11))),IF($A258=0,0,ROUND(SomaAgrupBM,15-13*ORÇAMENTO!$AF$11)))</f>
        <v>0</v>
      </c>
    </row>
    <row r="259" spans="1:41" ht="38.25" x14ac:dyDescent="0.2">
      <c r="A259" t="str">
        <f ca="1">ORÇAMENTO!C259</f>
        <v>S</v>
      </c>
      <c r="B259">
        <f ca="1">ORÇAMENTO!D259</f>
        <v>0</v>
      </c>
      <c r="C259" s="115" t="str">
        <f t="shared" ca="1" si="22"/>
        <v/>
      </c>
      <c r="D259" s="118" t="str">
        <f ca="1">ORÇAMENTO!O259</f>
        <v>-</v>
      </c>
      <c r="E259" s="164" t="str">
        <f t="shared" si="23"/>
        <v>JOELHO 90 GRAUS, PVC, SERIE R, ÁGUA PLUVIAL, DN 100 MM, JUNTA ELÁSTICA, FORNECIDO E INSTALADO EM RAMAL DE ENCAMINHAMENTO. AF_06/2022</v>
      </c>
      <c r="F259" s="165" t="str">
        <f ca="1">IF(RegimeExecucao="Global","",ORÇAMENTO.Unidade)</f>
        <v>UN</v>
      </c>
      <c r="G259" s="123">
        <f ca="1">IF(RegimeExecucao="Global","",ORÇAMENTO!T259)</f>
        <v>5</v>
      </c>
      <c r="H259" s="123">
        <f ca="1">IF(RegimeExecucao="Global","",ORÇAMENTO!W259)</f>
        <v>0</v>
      </c>
      <c r="I259" s="126">
        <f ca="1">ORÇAMENTO!X259</f>
        <v>0</v>
      </c>
      <c r="J259" s="334" t="e" cm="1">
        <f t="array" aca="1" ref="J259" ca="1">_xlfn.SINGLE(IF($A259="S",IF(CAIXA.Modo,BM.AFAnterior,BM.MEDAnterior),IF(AND(_xlfn.SINGLE(RegimeExecucao)="Global",$I259&gt;0,COUNTIF($AB$13:$AM$13,BM.medicao-1)&gt;0),M259/$I259*100,0)))</f>
        <v>#NAME?</v>
      </c>
      <c r="K259" s="123" t="e">
        <f t="shared" ca="1" si="24"/>
        <v>#NAME?</v>
      </c>
      <c r="L259" s="335" t="e" cm="1">
        <f t="array" aca="1" ref="L259" ca="1">_xlfn.SINGLE(IF($A259="S",IF(CAIXA.Modo,BM.AFAcumulado,BM.MEDAcumulado),IF(AND(_xlfn.SINGLE(RegimeExecucao)="Global",$I259&gt;0,COUNTIF($AB$13:$AM$13,BM.medicao)&gt;0),O259/$I259*100,0)))</f>
        <v>#NAME?</v>
      </c>
      <c r="M259" s="336">
        <f ca="1">IF($A259="S",VTOTALBM,IF($A259=0,0,ROUND(SomaAgrupBM,15-13*ORÇAMENTO!$AF$11)))</f>
        <v>0</v>
      </c>
      <c r="N259" s="337">
        <f t="shared" ca="1" si="25"/>
        <v>0</v>
      </c>
      <c r="O259" s="126">
        <f ca="1">IF($A259="S",VTOTALBM,IF($A259=0,0,ROUND(SomaAgrupBM,15-13*ORÇAMENTO!$AF$11)))</f>
        <v>0</v>
      </c>
      <c r="Q259" s="338"/>
      <c r="R259" s="339"/>
      <c r="T259" s="118" t="str">
        <f t="shared" ca="1" si="26"/>
        <v/>
      </c>
      <c r="U259" s="164" t="str">
        <f t="shared" ca="1" si="27"/>
        <v/>
      </c>
      <c r="V259" s="165" t="str">
        <f ca="1">IF(AND($W259&gt;0,RegimeExecucao="Unitário"),$F259,"")</f>
        <v/>
      </c>
      <c r="W259" s="455">
        <f ca="1">IF($Y259&gt;0,CHOOSE(MATCH(RegimeExecucao,{"Unitário","Global"},0),IF($A259="S",$Y259/$X259,""),($Y259/$X259)*100),0)</f>
        <v>0</v>
      </c>
      <c r="X259" s="340" t="str">
        <f ca="1">IF($Y259&gt;0,CHOOSE(MATCH(RegimeExecucao,{"Unitário","Global"},0),IF($A259="S",ROUND($H259,ORÇAMENTO!$AF$10),""),ROUND($I259,ORÇAMENTO!$AF$11)),"")</f>
        <v/>
      </c>
      <c r="Y259" s="340">
        <f t="shared" ca="1" si="28"/>
        <v>0</v>
      </c>
      <c r="Z259" s="474"/>
      <c r="AB259" s="338"/>
      <c r="AC259" s="438"/>
      <c r="AD259" s="438"/>
      <c r="AE259" s="438"/>
      <c r="AF259" s="438"/>
      <c r="AG259" s="438"/>
      <c r="AH259" s="438"/>
      <c r="AI259" s="438"/>
      <c r="AJ259" s="438"/>
      <c r="AK259" s="438"/>
      <c r="AL259" s="438"/>
      <c r="AM259" s="339"/>
      <c r="AO259">
        <f ca="1">IF($A259="S",IF(BM!$I259=0,0,CHOOSE(MATCH(RegimeExecucao,{"Global","Unitário"},0),ROUND(ROUND(BM.MEDAcumulado,15-13*BM!$A$9)/100*BM!$I259,15-13*ORÇAMENTO!$AF$11),ROUND(ROUND(BM.MEDAcumulado,15-13*BM!$A$9)*ROUND(BM!$H259,15-13*ORÇAMENTO!$AF$10),15-13*ORÇAMENTO!$AF$11))),IF($A259=0,0,ROUND(SomaAgrupBM,15-13*ORÇAMENTO!$AF$11)))</f>
        <v>0</v>
      </c>
    </row>
    <row r="260" spans="1:41" ht="38.25" x14ac:dyDescent="0.2">
      <c r="A260" t="str">
        <f ca="1">ORÇAMENTO!C260</f>
        <v>S</v>
      </c>
      <c r="B260">
        <f ca="1">ORÇAMENTO!D260</f>
        <v>0</v>
      </c>
      <c r="C260" s="115" t="str">
        <f t="shared" ca="1" si="22"/>
        <v/>
      </c>
      <c r="D260" s="118" t="str">
        <f ca="1">ORÇAMENTO!O260</f>
        <v>-</v>
      </c>
      <c r="E260" s="164" t="str">
        <f t="shared" si="23"/>
        <v>JOELHO 90 GRAUS, PVC, SERIE R, ÁGUA PLUVIAL, DN 75 MM, JUNTA ELÁSTICA, FORNECIDO E INSTALADO EM RAMAL DE ENCAMINHAMENTO. AF_06/2022</v>
      </c>
      <c r="F260" s="165" t="str">
        <f ca="1">IF(RegimeExecucao="Global","",ORÇAMENTO.Unidade)</f>
        <v>UN</v>
      </c>
      <c r="G260" s="123">
        <f ca="1">IF(RegimeExecucao="Global","",ORÇAMENTO!T260)</f>
        <v>75</v>
      </c>
      <c r="H260" s="123">
        <f ca="1">IF(RegimeExecucao="Global","",ORÇAMENTO!W260)</f>
        <v>0</v>
      </c>
      <c r="I260" s="126">
        <f ca="1">ORÇAMENTO!X260</f>
        <v>0</v>
      </c>
      <c r="J260" s="334" t="e" cm="1">
        <f t="array" aca="1" ref="J260" ca="1">_xlfn.SINGLE(IF($A260="S",IF(CAIXA.Modo,BM.AFAnterior,BM.MEDAnterior),IF(AND(_xlfn.SINGLE(RegimeExecucao)="Global",$I260&gt;0,COUNTIF($AB$13:$AM$13,BM.medicao-1)&gt;0),M260/$I260*100,0)))</f>
        <v>#NAME?</v>
      </c>
      <c r="K260" s="123" t="e">
        <f t="shared" ca="1" si="24"/>
        <v>#NAME?</v>
      </c>
      <c r="L260" s="335" t="e" cm="1">
        <f t="array" aca="1" ref="L260" ca="1">_xlfn.SINGLE(IF($A260="S",IF(CAIXA.Modo,BM.AFAcumulado,BM.MEDAcumulado),IF(AND(_xlfn.SINGLE(RegimeExecucao)="Global",$I260&gt;0,COUNTIF($AB$13:$AM$13,BM.medicao)&gt;0),O260/$I260*100,0)))</f>
        <v>#NAME?</v>
      </c>
      <c r="M260" s="336">
        <f ca="1">IF($A260="S",VTOTALBM,IF($A260=0,0,ROUND(SomaAgrupBM,15-13*ORÇAMENTO!$AF$11)))</f>
        <v>0</v>
      </c>
      <c r="N260" s="337">
        <f t="shared" ca="1" si="25"/>
        <v>0</v>
      </c>
      <c r="O260" s="126">
        <f ca="1">IF($A260="S",VTOTALBM,IF($A260=0,0,ROUND(SomaAgrupBM,15-13*ORÇAMENTO!$AF$11)))</f>
        <v>0</v>
      </c>
      <c r="Q260" s="338"/>
      <c r="R260" s="339"/>
      <c r="T260" s="118" t="str">
        <f t="shared" ca="1" si="26"/>
        <v/>
      </c>
      <c r="U260" s="164" t="str">
        <f t="shared" ca="1" si="27"/>
        <v/>
      </c>
      <c r="V260" s="165" t="str">
        <f ca="1">IF(AND($W260&gt;0,RegimeExecucao="Unitário"),$F260,"")</f>
        <v/>
      </c>
      <c r="W260" s="455">
        <f ca="1">IF($Y260&gt;0,CHOOSE(MATCH(RegimeExecucao,{"Unitário","Global"},0),IF($A260="S",$Y260/$X260,""),($Y260/$X260)*100),0)</f>
        <v>0</v>
      </c>
      <c r="X260" s="340" t="str">
        <f ca="1">IF($Y260&gt;0,CHOOSE(MATCH(RegimeExecucao,{"Unitário","Global"},0),IF($A260="S",ROUND($H260,ORÇAMENTO!$AF$10),""),ROUND($I260,ORÇAMENTO!$AF$11)),"")</f>
        <v/>
      </c>
      <c r="Y260" s="340">
        <f t="shared" ca="1" si="28"/>
        <v>0</v>
      </c>
      <c r="Z260" s="474"/>
      <c r="AB260" s="338"/>
      <c r="AC260" s="438"/>
      <c r="AD260" s="438"/>
      <c r="AE260" s="438"/>
      <c r="AF260" s="438"/>
      <c r="AG260" s="438"/>
      <c r="AH260" s="438"/>
      <c r="AI260" s="438"/>
      <c r="AJ260" s="438"/>
      <c r="AK260" s="438"/>
      <c r="AL260" s="438"/>
      <c r="AM260" s="339"/>
      <c r="AO260">
        <f ca="1">IF($A260="S",IF(BM!$I260=0,0,CHOOSE(MATCH(RegimeExecucao,{"Global","Unitário"},0),ROUND(ROUND(BM.MEDAcumulado,15-13*BM!$A$9)/100*BM!$I260,15-13*ORÇAMENTO!$AF$11),ROUND(ROUND(BM.MEDAcumulado,15-13*BM!$A$9)*ROUND(BM!$H260,15-13*ORÇAMENTO!$AF$10),15-13*ORÇAMENTO!$AF$11))),IF($A260=0,0,ROUND(SomaAgrupBM,15-13*ORÇAMENTO!$AF$11)))</f>
        <v>0</v>
      </c>
    </row>
    <row r="261" spans="1:41" ht="38.25" x14ac:dyDescent="0.2">
      <c r="A261" t="str">
        <f ca="1">ORÇAMENTO!C261</f>
        <v>S</v>
      </c>
      <c r="B261">
        <f ca="1">ORÇAMENTO!D261</f>
        <v>0</v>
      </c>
      <c r="C261" s="115" t="str">
        <f t="shared" ca="1" si="22"/>
        <v/>
      </c>
      <c r="D261" s="118" t="str">
        <f ca="1">ORÇAMENTO!O261</f>
        <v>-</v>
      </c>
      <c r="E261" s="164" t="str">
        <f t="shared" si="23"/>
        <v>JUNÇÃO SIMPLES, PVC, SERIE R, ÁGUA PLUVIAL, DN 100 X 75 MM, JUNTA ELÁSTICA, FORNECIDO E INSTALADO EM RAMAL DE ENCAMINHAMENTO. AF_06/2022</v>
      </c>
      <c r="F261" s="165" t="str">
        <f ca="1">IF(RegimeExecucao="Global","",ORÇAMENTO.Unidade)</f>
        <v>UN</v>
      </c>
      <c r="G261" s="123">
        <f ca="1">IF(RegimeExecucao="Global","",ORÇAMENTO!T261)</f>
        <v>8</v>
      </c>
      <c r="H261" s="123">
        <f ca="1">IF(RegimeExecucao="Global","",ORÇAMENTO!W261)</f>
        <v>0</v>
      </c>
      <c r="I261" s="126">
        <f ca="1">ORÇAMENTO!X261</f>
        <v>0</v>
      </c>
      <c r="J261" s="334" t="e" cm="1">
        <f t="array" aca="1" ref="J261" ca="1">_xlfn.SINGLE(IF($A261="S",IF(CAIXA.Modo,BM.AFAnterior,BM.MEDAnterior),IF(AND(_xlfn.SINGLE(RegimeExecucao)="Global",$I261&gt;0,COUNTIF($AB$13:$AM$13,BM.medicao-1)&gt;0),M261/$I261*100,0)))</f>
        <v>#NAME?</v>
      </c>
      <c r="K261" s="123" t="e">
        <f t="shared" ca="1" si="24"/>
        <v>#NAME?</v>
      </c>
      <c r="L261" s="335" t="e" cm="1">
        <f t="array" aca="1" ref="L261" ca="1">_xlfn.SINGLE(IF($A261="S",IF(CAIXA.Modo,BM.AFAcumulado,BM.MEDAcumulado),IF(AND(_xlfn.SINGLE(RegimeExecucao)="Global",$I261&gt;0,COUNTIF($AB$13:$AM$13,BM.medicao)&gt;0),O261/$I261*100,0)))</f>
        <v>#NAME?</v>
      </c>
      <c r="M261" s="336">
        <f ca="1">IF($A261="S",VTOTALBM,IF($A261=0,0,ROUND(SomaAgrupBM,15-13*ORÇAMENTO!$AF$11)))</f>
        <v>0</v>
      </c>
      <c r="N261" s="337">
        <f t="shared" ca="1" si="25"/>
        <v>0</v>
      </c>
      <c r="O261" s="126">
        <f ca="1">IF($A261="S",VTOTALBM,IF($A261=0,0,ROUND(SomaAgrupBM,15-13*ORÇAMENTO!$AF$11)))</f>
        <v>0</v>
      </c>
      <c r="Q261" s="338"/>
      <c r="R261" s="339"/>
      <c r="T261" s="118" t="str">
        <f t="shared" ca="1" si="26"/>
        <v/>
      </c>
      <c r="U261" s="164" t="str">
        <f t="shared" ca="1" si="27"/>
        <v/>
      </c>
      <c r="V261" s="165" t="str">
        <f ca="1">IF(AND($W261&gt;0,RegimeExecucao="Unitário"),$F261,"")</f>
        <v/>
      </c>
      <c r="W261" s="455">
        <f ca="1">IF($Y261&gt;0,CHOOSE(MATCH(RegimeExecucao,{"Unitário","Global"},0),IF($A261="S",$Y261/$X261,""),($Y261/$X261)*100),0)</f>
        <v>0</v>
      </c>
      <c r="X261" s="340" t="str">
        <f ca="1">IF($Y261&gt;0,CHOOSE(MATCH(RegimeExecucao,{"Unitário","Global"},0),IF($A261="S",ROUND($H261,ORÇAMENTO!$AF$10),""),ROUND($I261,ORÇAMENTO!$AF$11)),"")</f>
        <v/>
      </c>
      <c r="Y261" s="340">
        <f t="shared" ca="1" si="28"/>
        <v>0</v>
      </c>
      <c r="Z261" s="474"/>
      <c r="AB261" s="338"/>
      <c r="AC261" s="438"/>
      <c r="AD261" s="438"/>
      <c r="AE261" s="438"/>
      <c r="AF261" s="438"/>
      <c r="AG261" s="438"/>
      <c r="AH261" s="438"/>
      <c r="AI261" s="438"/>
      <c r="AJ261" s="438"/>
      <c r="AK261" s="438"/>
      <c r="AL261" s="438"/>
      <c r="AM261" s="339"/>
      <c r="AO261">
        <f ca="1">IF($A261="S",IF(BM!$I261=0,0,CHOOSE(MATCH(RegimeExecucao,{"Global","Unitário"},0),ROUND(ROUND(BM.MEDAcumulado,15-13*BM!$A$9)/100*BM!$I261,15-13*ORÇAMENTO!$AF$11),ROUND(ROUND(BM.MEDAcumulado,15-13*BM!$A$9)*ROUND(BM!$H261,15-13*ORÇAMENTO!$AF$10),15-13*ORÇAMENTO!$AF$11))),IF($A261=0,0,ROUND(SomaAgrupBM,15-13*ORÇAMENTO!$AF$11)))</f>
        <v>0</v>
      </c>
    </row>
    <row r="262" spans="1:41" ht="38.25" x14ac:dyDescent="0.2">
      <c r="A262" t="str">
        <f ca="1">ORÇAMENTO!C262</f>
        <v>S</v>
      </c>
      <c r="B262">
        <f ca="1">ORÇAMENTO!D262</f>
        <v>0</v>
      </c>
      <c r="C262" s="115" t="str">
        <f t="shared" ca="1" si="22"/>
        <v/>
      </c>
      <c r="D262" s="118" t="str">
        <f ca="1">ORÇAMENTO!O262</f>
        <v>-</v>
      </c>
      <c r="E262" s="164" t="str">
        <f t="shared" si="23"/>
        <v>JUNÇÃO SIMPLES, PVC, SERIE R, ÁGUA PLUVIAL, DN 150 X 100 MM, JUNTA ELÁSTICA, FORNECIDO E INSTALADO EM CONDUTORES VERTICAIS DE ÁGUAS PLUVIAIS. AF_06/2022</v>
      </c>
      <c r="F262" s="165" t="str">
        <f ca="1">IF(RegimeExecucao="Global","",ORÇAMENTO.Unidade)</f>
        <v>UN</v>
      </c>
      <c r="G262" s="123">
        <f ca="1">IF(RegimeExecucao="Global","",ORÇAMENTO!T262)</f>
        <v>18</v>
      </c>
      <c r="H262" s="123">
        <f ca="1">IF(RegimeExecucao="Global","",ORÇAMENTO!W262)</f>
        <v>0</v>
      </c>
      <c r="I262" s="126">
        <f ca="1">ORÇAMENTO!X262</f>
        <v>0</v>
      </c>
      <c r="J262" s="334" t="e" cm="1">
        <f t="array" aca="1" ref="J262" ca="1">_xlfn.SINGLE(IF($A262="S",IF(CAIXA.Modo,BM.AFAnterior,BM.MEDAnterior),IF(AND(_xlfn.SINGLE(RegimeExecucao)="Global",$I262&gt;0,COUNTIF($AB$13:$AM$13,BM.medicao-1)&gt;0),M262/$I262*100,0)))</f>
        <v>#NAME?</v>
      </c>
      <c r="K262" s="123" t="e">
        <f t="shared" ca="1" si="24"/>
        <v>#NAME?</v>
      </c>
      <c r="L262" s="335" t="e" cm="1">
        <f t="array" aca="1" ref="L262" ca="1">_xlfn.SINGLE(IF($A262="S",IF(CAIXA.Modo,BM.AFAcumulado,BM.MEDAcumulado),IF(AND(_xlfn.SINGLE(RegimeExecucao)="Global",$I262&gt;0,COUNTIF($AB$13:$AM$13,BM.medicao)&gt;0),O262/$I262*100,0)))</f>
        <v>#NAME?</v>
      </c>
      <c r="M262" s="336">
        <f ca="1">IF($A262="S",VTOTALBM,IF($A262=0,0,ROUND(SomaAgrupBM,15-13*ORÇAMENTO!$AF$11)))</f>
        <v>0</v>
      </c>
      <c r="N262" s="337">
        <f t="shared" ca="1" si="25"/>
        <v>0</v>
      </c>
      <c r="O262" s="126">
        <f ca="1">IF($A262="S",VTOTALBM,IF($A262=0,0,ROUND(SomaAgrupBM,15-13*ORÇAMENTO!$AF$11)))</f>
        <v>0</v>
      </c>
      <c r="Q262" s="338"/>
      <c r="R262" s="339"/>
      <c r="T262" s="118" t="str">
        <f t="shared" ca="1" si="26"/>
        <v/>
      </c>
      <c r="U262" s="164" t="str">
        <f t="shared" ca="1" si="27"/>
        <v/>
      </c>
      <c r="V262" s="165" t="str">
        <f ca="1">IF(AND($W262&gt;0,RegimeExecucao="Unitário"),$F262,"")</f>
        <v/>
      </c>
      <c r="W262" s="455">
        <f ca="1">IF($Y262&gt;0,CHOOSE(MATCH(RegimeExecucao,{"Unitário","Global"},0),IF($A262="S",$Y262/$X262,""),($Y262/$X262)*100),0)</f>
        <v>0</v>
      </c>
      <c r="X262" s="340" t="str">
        <f ca="1">IF($Y262&gt;0,CHOOSE(MATCH(RegimeExecucao,{"Unitário","Global"},0),IF($A262="S",ROUND($H262,ORÇAMENTO!$AF$10),""),ROUND($I262,ORÇAMENTO!$AF$11)),"")</f>
        <v/>
      </c>
      <c r="Y262" s="340">
        <f t="shared" ca="1" si="28"/>
        <v>0</v>
      </c>
      <c r="Z262" s="474"/>
      <c r="AB262" s="338"/>
      <c r="AC262" s="438"/>
      <c r="AD262" s="438"/>
      <c r="AE262" s="438"/>
      <c r="AF262" s="438"/>
      <c r="AG262" s="438"/>
      <c r="AH262" s="438"/>
      <c r="AI262" s="438"/>
      <c r="AJ262" s="438"/>
      <c r="AK262" s="438"/>
      <c r="AL262" s="438"/>
      <c r="AM262" s="339"/>
      <c r="AO262">
        <f ca="1">IF($A262="S",IF(BM!$I262=0,0,CHOOSE(MATCH(RegimeExecucao,{"Global","Unitário"},0),ROUND(ROUND(BM.MEDAcumulado,15-13*BM!$A$9)/100*BM!$I262,15-13*ORÇAMENTO!$AF$11),ROUND(ROUND(BM.MEDAcumulado,15-13*BM!$A$9)*ROUND(BM!$H262,15-13*ORÇAMENTO!$AF$10),15-13*ORÇAMENTO!$AF$11))),IF($A262=0,0,ROUND(SomaAgrupBM,15-13*ORÇAMENTO!$AF$11)))</f>
        <v>0</v>
      </c>
    </row>
    <row r="263" spans="1:41" ht="38.25" x14ac:dyDescent="0.2">
      <c r="A263" t="str">
        <f ca="1">ORÇAMENTO!C263</f>
        <v>S</v>
      </c>
      <c r="B263">
        <f ca="1">ORÇAMENTO!D263</f>
        <v>0</v>
      </c>
      <c r="C263" s="115" t="str">
        <f t="shared" ca="1" si="22"/>
        <v/>
      </c>
      <c r="D263" s="118" t="str">
        <f ca="1">ORÇAMENTO!O263</f>
        <v>-</v>
      </c>
      <c r="E263" s="164" t="str">
        <f t="shared" si="23"/>
        <v>JUNÇÃO SIMPLES, PVC, SERIE R, ÁGUA PLUVIAL, DN 75 X 75 MM, JUNTA ELÁSTICA, FORNECIDO E INSTALADO EM RAMAL DE ENCAMINHAMENTO. AF_06/2022</v>
      </c>
      <c r="F263" s="165" t="str">
        <f ca="1">IF(RegimeExecucao="Global","",ORÇAMENTO.Unidade)</f>
        <v>UN</v>
      </c>
      <c r="G263" s="123">
        <f ca="1">IF(RegimeExecucao="Global","",ORÇAMENTO!T263)</f>
        <v>9</v>
      </c>
      <c r="H263" s="123">
        <f ca="1">IF(RegimeExecucao="Global","",ORÇAMENTO!W263)</f>
        <v>0</v>
      </c>
      <c r="I263" s="126">
        <f ca="1">ORÇAMENTO!X263</f>
        <v>0</v>
      </c>
      <c r="J263" s="334" t="e" cm="1">
        <f t="array" aca="1" ref="J263" ca="1">_xlfn.SINGLE(IF($A263="S",IF(CAIXA.Modo,BM.AFAnterior,BM.MEDAnterior),IF(AND(_xlfn.SINGLE(RegimeExecucao)="Global",$I263&gt;0,COUNTIF($AB$13:$AM$13,BM.medicao-1)&gt;0),M263/$I263*100,0)))</f>
        <v>#NAME?</v>
      </c>
      <c r="K263" s="123" t="e">
        <f t="shared" ca="1" si="24"/>
        <v>#NAME?</v>
      </c>
      <c r="L263" s="335" t="e" cm="1">
        <f t="array" aca="1" ref="L263" ca="1">_xlfn.SINGLE(IF($A263="S",IF(CAIXA.Modo,BM.AFAcumulado,BM.MEDAcumulado),IF(AND(_xlfn.SINGLE(RegimeExecucao)="Global",$I263&gt;0,COUNTIF($AB$13:$AM$13,BM.medicao)&gt;0),O263/$I263*100,0)))</f>
        <v>#NAME?</v>
      </c>
      <c r="M263" s="336">
        <f ca="1">IF($A263="S",VTOTALBM,IF($A263=0,0,ROUND(SomaAgrupBM,15-13*ORÇAMENTO!$AF$11)))</f>
        <v>0</v>
      </c>
      <c r="N263" s="337">
        <f t="shared" ca="1" si="25"/>
        <v>0</v>
      </c>
      <c r="O263" s="126">
        <f ca="1">IF($A263="S",VTOTALBM,IF($A263=0,0,ROUND(SomaAgrupBM,15-13*ORÇAMENTO!$AF$11)))</f>
        <v>0</v>
      </c>
      <c r="Q263" s="338"/>
      <c r="R263" s="339"/>
      <c r="T263" s="118" t="str">
        <f t="shared" ca="1" si="26"/>
        <v/>
      </c>
      <c r="U263" s="164" t="str">
        <f t="shared" ca="1" si="27"/>
        <v/>
      </c>
      <c r="V263" s="165" t="str">
        <f ca="1">IF(AND($W263&gt;0,RegimeExecucao="Unitário"),$F263,"")</f>
        <v/>
      </c>
      <c r="W263" s="455">
        <f ca="1">IF($Y263&gt;0,CHOOSE(MATCH(RegimeExecucao,{"Unitário","Global"},0),IF($A263="S",$Y263/$X263,""),($Y263/$X263)*100),0)</f>
        <v>0</v>
      </c>
      <c r="X263" s="340" t="str">
        <f ca="1">IF($Y263&gt;0,CHOOSE(MATCH(RegimeExecucao,{"Unitário","Global"},0),IF($A263="S",ROUND($H263,ORÇAMENTO!$AF$10),""),ROUND($I263,ORÇAMENTO!$AF$11)),"")</f>
        <v/>
      </c>
      <c r="Y263" s="340">
        <f t="shared" ca="1" si="28"/>
        <v>0</v>
      </c>
      <c r="Z263" s="474"/>
      <c r="AB263" s="338"/>
      <c r="AC263" s="438"/>
      <c r="AD263" s="438"/>
      <c r="AE263" s="438"/>
      <c r="AF263" s="438"/>
      <c r="AG263" s="438"/>
      <c r="AH263" s="438"/>
      <c r="AI263" s="438"/>
      <c r="AJ263" s="438"/>
      <c r="AK263" s="438"/>
      <c r="AL263" s="438"/>
      <c r="AM263" s="339"/>
      <c r="AO263">
        <f ca="1">IF($A263="S",IF(BM!$I263=0,0,CHOOSE(MATCH(RegimeExecucao,{"Global","Unitário"},0),ROUND(ROUND(BM.MEDAcumulado,15-13*BM!$A$9)/100*BM!$I263,15-13*ORÇAMENTO!$AF$11),ROUND(ROUND(BM.MEDAcumulado,15-13*BM!$A$9)*ROUND(BM!$H263,15-13*ORÇAMENTO!$AF$10),15-13*ORÇAMENTO!$AF$11))),IF($A263=0,0,ROUND(SomaAgrupBM,15-13*ORÇAMENTO!$AF$11)))</f>
        <v>0</v>
      </c>
    </row>
    <row r="264" spans="1:41" ht="38.25" x14ac:dyDescent="0.2">
      <c r="A264" t="str">
        <f ca="1">ORÇAMENTO!C264</f>
        <v>S</v>
      </c>
      <c r="B264">
        <f ca="1">ORÇAMENTO!D264</f>
        <v>0</v>
      </c>
      <c r="C264" s="115" t="str">
        <f t="shared" ca="1" si="22"/>
        <v/>
      </c>
      <c r="D264" s="118" t="str">
        <f ca="1">ORÇAMENTO!O264</f>
        <v>-</v>
      </c>
      <c r="E264" s="164" t="str">
        <f t="shared" si="23"/>
        <v>REDUÇÃO EXCÊNTRICA, PVC, SERIE R, ÁGUA PLUVIAL, DN 100 X 75 MM, JUNTA ELÁSTICA, FORNECIDO E INSTALADO EM RAMAL DE ENCAMINHAMENTO. AF_06/2022</v>
      </c>
      <c r="F264" s="165" t="str">
        <f ca="1">IF(RegimeExecucao="Global","",ORÇAMENTO.Unidade)</f>
        <v>UN</v>
      </c>
      <c r="G264" s="123">
        <f ca="1">IF(RegimeExecucao="Global","",ORÇAMENTO!T264)</f>
        <v>59</v>
      </c>
      <c r="H264" s="123">
        <f ca="1">IF(RegimeExecucao="Global","",ORÇAMENTO!W264)</f>
        <v>0</v>
      </c>
      <c r="I264" s="126">
        <f ca="1">ORÇAMENTO!X264</f>
        <v>0</v>
      </c>
      <c r="J264" s="334" t="e" cm="1">
        <f t="array" aca="1" ref="J264" ca="1">_xlfn.SINGLE(IF($A264="S",IF(CAIXA.Modo,BM.AFAnterior,BM.MEDAnterior),IF(AND(_xlfn.SINGLE(RegimeExecucao)="Global",$I264&gt;0,COUNTIF($AB$13:$AM$13,BM.medicao-1)&gt;0),M264/$I264*100,0)))</f>
        <v>#NAME?</v>
      </c>
      <c r="K264" s="123" t="e">
        <f t="shared" ca="1" si="24"/>
        <v>#NAME?</v>
      </c>
      <c r="L264" s="335" t="e" cm="1">
        <f t="array" aca="1" ref="L264" ca="1">_xlfn.SINGLE(IF($A264="S",IF(CAIXA.Modo,BM.AFAcumulado,BM.MEDAcumulado),IF(AND(_xlfn.SINGLE(RegimeExecucao)="Global",$I264&gt;0,COUNTIF($AB$13:$AM$13,BM.medicao)&gt;0),O264/$I264*100,0)))</f>
        <v>#NAME?</v>
      </c>
      <c r="M264" s="336">
        <f ca="1">IF($A264="S",VTOTALBM,IF($A264=0,0,ROUND(SomaAgrupBM,15-13*ORÇAMENTO!$AF$11)))</f>
        <v>0</v>
      </c>
      <c r="N264" s="337">
        <f t="shared" ca="1" si="25"/>
        <v>0</v>
      </c>
      <c r="O264" s="126">
        <f ca="1">IF($A264="S",VTOTALBM,IF($A264=0,0,ROUND(SomaAgrupBM,15-13*ORÇAMENTO!$AF$11)))</f>
        <v>0</v>
      </c>
      <c r="Q264" s="338"/>
      <c r="R264" s="339"/>
      <c r="T264" s="118" t="str">
        <f t="shared" ca="1" si="26"/>
        <v/>
      </c>
      <c r="U264" s="164" t="str">
        <f t="shared" ca="1" si="27"/>
        <v/>
      </c>
      <c r="V264" s="165" t="str">
        <f ca="1">IF(AND($W264&gt;0,RegimeExecucao="Unitário"),$F264,"")</f>
        <v/>
      </c>
      <c r="W264" s="455">
        <f ca="1">IF($Y264&gt;0,CHOOSE(MATCH(RegimeExecucao,{"Unitário","Global"},0),IF($A264="S",$Y264/$X264,""),($Y264/$X264)*100),0)</f>
        <v>0</v>
      </c>
      <c r="X264" s="340" t="str">
        <f ca="1">IF($Y264&gt;0,CHOOSE(MATCH(RegimeExecucao,{"Unitário","Global"},0),IF($A264="S",ROUND($H264,ORÇAMENTO!$AF$10),""),ROUND($I264,ORÇAMENTO!$AF$11)),"")</f>
        <v/>
      </c>
      <c r="Y264" s="340">
        <f t="shared" ca="1" si="28"/>
        <v>0</v>
      </c>
      <c r="Z264" s="474"/>
      <c r="AB264" s="338"/>
      <c r="AC264" s="438"/>
      <c r="AD264" s="438"/>
      <c r="AE264" s="438"/>
      <c r="AF264" s="438"/>
      <c r="AG264" s="438"/>
      <c r="AH264" s="438"/>
      <c r="AI264" s="438"/>
      <c r="AJ264" s="438"/>
      <c r="AK264" s="438"/>
      <c r="AL264" s="438"/>
      <c r="AM264" s="339"/>
      <c r="AO264">
        <f ca="1">IF($A264="S",IF(BM!$I264=0,0,CHOOSE(MATCH(RegimeExecucao,{"Global","Unitário"},0),ROUND(ROUND(BM.MEDAcumulado,15-13*BM!$A$9)/100*BM!$I264,15-13*ORÇAMENTO!$AF$11),ROUND(ROUND(BM.MEDAcumulado,15-13*BM!$A$9)*ROUND(BM!$H264,15-13*ORÇAMENTO!$AF$10),15-13*ORÇAMENTO!$AF$11))),IF($A264=0,0,ROUND(SomaAgrupBM,15-13*ORÇAMENTO!$AF$11)))</f>
        <v>0</v>
      </c>
    </row>
    <row r="265" spans="1:41" ht="38.25" x14ac:dyDescent="0.2">
      <c r="A265" t="str">
        <f ca="1">ORÇAMENTO!C265</f>
        <v>S</v>
      </c>
      <c r="B265">
        <f ca="1">ORÇAMENTO!D265</f>
        <v>0</v>
      </c>
      <c r="C265" s="115" t="str">
        <f t="shared" ca="1" si="22"/>
        <v/>
      </c>
      <c r="D265" s="118" t="str">
        <f ca="1">ORÇAMENTO!O265</f>
        <v>-</v>
      </c>
      <c r="E265" s="164" t="str">
        <f t="shared" si="23"/>
        <v>TUBO PVC, SÉRIE R, ÁGUA PLUVIAL, DN 100 MM, FORNECIDO E INSTALADO EM CONDUTORES VERTICAIS DE ÁGUAS PLUVIAIS. AF_06/2022</v>
      </c>
      <c r="F265" s="165" t="str">
        <f ca="1">IF(RegimeExecucao="Global","",ORÇAMENTO.Unidade)</f>
        <v>M</v>
      </c>
      <c r="G265" s="123">
        <f ca="1">IF(RegimeExecucao="Global","",ORÇAMENTO!T265)</f>
        <v>185.9</v>
      </c>
      <c r="H265" s="123">
        <f ca="1">IF(RegimeExecucao="Global","",ORÇAMENTO!W265)</f>
        <v>0</v>
      </c>
      <c r="I265" s="126">
        <f ca="1">ORÇAMENTO!X265</f>
        <v>0</v>
      </c>
      <c r="J265" s="334" t="e" cm="1">
        <f t="array" aca="1" ref="J265" ca="1">_xlfn.SINGLE(IF($A265="S",IF(CAIXA.Modo,BM.AFAnterior,BM.MEDAnterior),IF(AND(_xlfn.SINGLE(RegimeExecucao)="Global",$I265&gt;0,COUNTIF($AB$13:$AM$13,BM.medicao-1)&gt;0),M265/$I265*100,0)))</f>
        <v>#NAME?</v>
      </c>
      <c r="K265" s="123" t="e">
        <f t="shared" ca="1" si="24"/>
        <v>#NAME?</v>
      </c>
      <c r="L265" s="335" t="e" cm="1">
        <f t="array" aca="1" ref="L265" ca="1">_xlfn.SINGLE(IF($A265="S",IF(CAIXA.Modo,BM.AFAcumulado,BM.MEDAcumulado),IF(AND(_xlfn.SINGLE(RegimeExecucao)="Global",$I265&gt;0,COUNTIF($AB$13:$AM$13,BM.medicao)&gt;0),O265/$I265*100,0)))</f>
        <v>#NAME?</v>
      </c>
      <c r="M265" s="336">
        <f ca="1">IF($A265="S",VTOTALBM,IF($A265=0,0,ROUND(SomaAgrupBM,15-13*ORÇAMENTO!$AF$11)))</f>
        <v>0</v>
      </c>
      <c r="N265" s="337">
        <f t="shared" ca="1" si="25"/>
        <v>0</v>
      </c>
      <c r="O265" s="126">
        <f ca="1">IF($A265="S",VTOTALBM,IF($A265=0,0,ROUND(SomaAgrupBM,15-13*ORÇAMENTO!$AF$11)))</f>
        <v>0</v>
      </c>
      <c r="Q265" s="338"/>
      <c r="R265" s="339"/>
      <c r="T265" s="118" t="str">
        <f t="shared" ca="1" si="26"/>
        <v/>
      </c>
      <c r="U265" s="164" t="str">
        <f t="shared" ca="1" si="27"/>
        <v/>
      </c>
      <c r="V265" s="165" t="str">
        <f ca="1">IF(AND($W265&gt;0,RegimeExecucao="Unitário"),$F265,"")</f>
        <v/>
      </c>
      <c r="W265" s="455">
        <f ca="1">IF($Y265&gt;0,CHOOSE(MATCH(RegimeExecucao,{"Unitário","Global"},0),IF($A265="S",$Y265/$X265,""),($Y265/$X265)*100),0)</f>
        <v>0</v>
      </c>
      <c r="X265" s="340" t="str">
        <f ca="1">IF($Y265&gt;0,CHOOSE(MATCH(RegimeExecucao,{"Unitário","Global"},0),IF($A265="S",ROUND($H265,ORÇAMENTO!$AF$10),""),ROUND($I265,ORÇAMENTO!$AF$11)),"")</f>
        <v/>
      </c>
      <c r="Y265" s="340">
        <f t="shared" ca="1" si="28"/>
        <v>0</v>
      </c>
      <c r="Z265" s="474"/>
      <c r="AB265" s="338"/>
      <c r="AC265" s="438"/>
      <c r="AD265" s="438"/>
      <c r="AE265" s="438"/>
      <c r="AF265" s="438"/>
      <c r="AG265" s="438"/>
      <c r="AH265" s="438"/>
      <c r="AI265" s="438"/>
      <c r="AJ265" s="438"/>
      <c r="AK265" s="438"/>
      <c r="AL265" s="438"/>
      <c r="AM265" s="339"/>
      <c r="AO265">
        <f ca="1">IF($A265="S",IF(BM!$I265=0,0,CHOOSE(MATCH(RegimeExecucao,{"Global","Unitário"},0),ROUND(ROUND(BM.MEDAcumulado,15-13*BM!$A$9)/100*BM!$I265,15-13*ORÇAMENTO!$AF$11),ROUND(ROUND(BM.MEDAcumulado,15-13*BM!$A$9)*ROUND(BM!$H265,15-13*ORÇAMENTO!$AF$10),15-13*ORÇAMENTO!$AF$11))),IF($A265=0,0,ROUND(SomaAgrupBM,15-13*ORÇAMENTO!$AF$11)))</f>
        <v>0</v>
      </c>
    </row>
    <row r="266" spans="1:41" ht="38.25" x14ac:dyDescent="0.2">
      <c r="A266" t="str">
        <f ca="1">ORÇAMENTO!C266</f>
        <v>S</v>
      </c>
      <c r="B266">
        <f ca="1">ORÇAMENTO!D266</f>
        <v>0</v>
      </c>
      <c r="C266" s="115" t="str">
        <f t="shared" ca="1" si="22"/>
        <v/>
      </c>
      <c r="D266" s="118" t="str">
        <f ca="1">ORÇAMENTO!O266</f>
        <v>-</v>
      </c>
      <c r="E266" s="164" t="str">
        <f t="shared" si="23"/>
        <v>TUBO PVC, SÉRIE R, ÁGUA PLUVIAL, DN 150 MM, FORNECIDO E INSTALADO EM CONDUTORES VERTICAIS DE ÁGUAS PLUVIAIS. AF_06/2022</v>
      </c>
      <c r="F266" s="165" t="str">
        <f ca="1">IF(RegimeExecucao="Global","",ORÇAMENTO.Unidade)</f>
        <v>M</v>
      </c>
      <c r="G266" s="123">
        <f ca="1">IF(RegimeExecucao="Global","",ORÇAMENTO!T266)</f>
        <v>175.9</v>
      </c>
      <c r="H266" s="123">
        <f ca="1">IF(RegimeExecucao="Global","",ORÇAMENTO!W266)</f>
        <v>0</v>
      </c>
      <c r="I266" s="126">
        <f ca="1">ORÇAMENTO!X266</f>
        <v>0</v>
      </c>
      <c r="J266" s="334" t="e" cm="1">
        <f t="array" aca="1" ref="J266" ca="1">_xlfn.SINGLE(IF($A266="S",IF(CAIXA.Modo,BM.AFAnterior,BM.MEDAnterior),IF(AND(_xlfn.SINGLE(RegimeExecucao)="Global",$I266&gt;0,COUNTIF($AB$13:$AM$13,BM.medicao-1)&gt;0),M266/$I266*100,0)))</f>
        <v>#NAME?</v>
      </c>
      <c r="K266" s="123" t="e">
        <f t="shared" ca="1" si="24"/>
        <v>#NAME?</v>
      </c>
      <c r="L266" s="335" t="e" cm="1">
        <f t="array" aca="1" ref="L266" ca="1">_xlfn.SINGLE(IF($A266="S",IF(CAIXA.Modo,BM.AFAcumulado,BM.MEDAcumulado),IF(AND(_xlfn.SINGLE(RegimeExecucao)="Global",$I266&gt;0,COUNTIF($AB$13:$AM$13,BM.medicao)&gt;0),O266/$I266*100,0)))</f>
        <v>#NAME?</v>
      </c>
      <c r="M266" s="336">
        <f ca="1">IF($A266="S",VTOTALBM,IF($A266=0,0,ROUND(SomaAgrupBM,15-13*ORÇAMENTO!$AF$11)))</f>
        <v>0</v>
      </c>
      <c r="N266" s="337">
        <f t="shared" ca="1" si="25"/>
        <v>0</v>
      </c>
      <c r="O266" s="126">
        <f ca="1">IF($A266="S",VTOTALBM,IF($A266=0,0,ROUND(SomaAgrupBM,15-13*ORÇAMENTO!$AF$11)))</f>
        <v>0</v>
      </c>
      <c r="Q266" s="338"/>
      <c r="R266" s="339"/>
      <c r="T266" s="118" t="str">
        <f t="shared" ca="1" si="26"/>
        <v/>
      </c>
      <c r="U266" s="164" t="str">
        <f t="shared" ca="1" si="27"/>
        <v/>
      </c>
      <c r="V266" s="165" t="str">
        <f ca="1">IF(AND($W266&gt;0,RegimeExecucao="Unitário"),$F266,"")</f>
        <v/>
      </c>
      <c r="W266" s="455">
        <f ca="1">IF($Y266&gt;0,CHOOSE(MATCH(RegimeExecucao,{"Unitário","Global"},0),IF($A266="S",$Y266/$X266,""),($Y266/$X266)*100),0)</f>
        <v>0</v>
      </c>
      <c r="X266" s="340" t="str">
        <f ca="1">IF($Y266&gt;0,CHOOSE(MATCH(RegimeExecucao,{"Unitário","Global"},0),IF($A266="S",ROUND($H266,ORÇAMENTO!$AF$10),""),ROUND($I266,ORÇAMENTO!$AF$11)),"")</f>
        <v/>
      </c>
      <c r="Y266" s="340">
        <f t="shared" ca="1" si="28"/>
        <v>0</v>
      </c>
      <c r="Z266" s="474"/>
      <c r="AB266" s="338"/>
      <c r="AC266" s="438"/>
      <c r="AD266" s="438"/>
      <c r="AE266" s="438"/>
      <c r="AF266" s="438"/>
      <c r="AG266" s="438"/>
      <c r="AH266" s="438"/>
      <c r="AI266" s="438"/>
      <c r="AJ266" s="438"/>
      <c r="AK266" s="438"/>
      <c r="AL266" s="438"/>
      <c r="AM266" s="339"/>
      <c r="AO266">
        <f ca="1">IF($A266="S",IF(BM!$I266=0,0,CHOOSE(MATCH(RegimeExecucao,{"Global","Unitário"},0),ROUND(ROUND(BM.MEDAcumulado,15-13*BM!$A$9)/100*BM!$I266,15-13*ORÇAMENTO!$AF$11),ROUND(ROUND(BM.MEDAcumulado,15-13*BM!$A$9)*ROUND(BM!$H266,15-13*ORÇAMENTO!$AF$10),15-13*ORÇAMENTO!$AF$11))),IF($A266=0,0,ROUND(SomaAgrupBM,15-13*ORÇAMENTO!$AF$11)))</f>
        <v>0</v>
      </c>
    </row>
    <row r="267" spans="1:41" ht="38.25" x14ac:dyDescent="0.2">
      <c r="A267" t="str">
        <f ca="1">ORÇAMENTO!C267</f>
        <v>S</v>
      </c>
      <c r="B267">
        <f ca="1">ORÇAMENTO!D267</f>
        <v>0</v>
      </c>
      <c r="C267" s="115" t="str">
        <f t="shared" ca="1" si="22"/>
        <v/>
      </c>
      <c r="D267" s="118" t="str">
        <f ca="1">ORÇAMENTO!O267</f>
        <v>-</v>
      </c>
      <c r="E267" s="164" t="str">
        <f t="shared" si="23"/>
        <v>TUBO PVC, SÉRIE R, ÁGUA PLUVIAL, DN 75 MM, FORNECIDO E INSTALADO EM CONDUTORES VERTICAIS DE ÁGUAS PLUVIAIS. AF_06/2022</v>
      </c>
      <c r="F267" s="165" t="str">
        <f ca="1">IF(RegimeExecucao="Global","",ORÇAMENTO.Unidade)</f>
        <v>M</v>
      </c>
      <c r="G267" s="123">
        <f ca="1">IF(RegimeExecucao="Global","",ORÇAMENTO!T267)</f>
        <v>427.4</v>
      </c>
      <c r="H267" s="123">
        <f ca="1">IF(RegimeExecucao="Global","",ORÇAMENTO!W267)</f>
        <v>0</v>
      </c>
      <c r="I267" s="126">
        <f ca="1">ORÇAMENTO!X267</f>
        <v>0</v>
      </c>
      <c r="J267" s="334" t="e" cm="1">
        <f t="array" aca="1" ref="J267" ca="1">_xlfn.SINGLE(IF($A267="S",IF(CAIXA.Modo,BM.AFAnterior,BM.MEDAnterior),IF(AND(_xlfn.SINGLE(RegimeExecucao)="Global",$I267&gt;0,COUNTIF($AB$13:$AM$13,BM.medicao-1)&gt;0),M267/$I267*100,0)))</f>
        <v>#NAME?</v>
      </c>
      <c r="K267" s="123" t="e">
        <f t="shared" ca="1" si="24"/>
        <v>#NAME?</v>
      </c>
      <c r="L267" s="335" t="e" cm="1">
        <f t="array" aca="1" ref="L267" ca="1">_xlfn.SINGLE(IF($A267="S",IF(CAIXA.Modo,BM.AFAcumulado,BM.MEDAcumulado),IF(AND(_xlfn.SINGLE(RegimeExecucao)="Global",$I267&gt;0,COUNTIF($AB$13:$AM$13,BM.medicao)&gt;0),O267/$I267*100,0)))</f>
        <v>#NAME?</v>
      </c>
      <c r="M267" s="336">
        <f ca="1">IF($A267="S",VTOTALBM,IF($A267=0,0,ROUND(SomaAgrupBM,15-13*ORÇAMENTO!$AF$11)))</f>
        <v>0</v>
      </c>
      <c r="N267" s="337">
        <f t="shared" ca="1" si="25"/>
        <v>0</v>
      </c>
      <c r="O267" s="126">
        <f ca="1">IF($A267="S",VTOTALBM,IF($A267=0,0,ROUND(SomaAgrupBM,15-13*ORÇAMENTO!$AF$11)))</f>
        <v>0</v>
      </c>
      <c r="Q267" s="338"/>
      <c r="R267" s="339"/>
      <c r="T267" s="118" t="str">
        <f t="shared" ca="1" si="26"/>
        <v/>
      </c>
      <c r="U267" s="164" t="str">
        <f t="shared" ca="1" si="27"/>
        <v/>
      </c>
      <c r="V267" s="165" t="str">
        <f ca="1">IF(AND($W267&gt;0,RegimeExecucao="Unitário"),$F267,"")</f>
        <v/>
      </c>
      <c r="W267" s="455">
        <f ca="1">IF($Y267&gt;0,CHOOSE(MATCH(RegimeExecucao,{"Unitário","Global"},0),IF($A267="S",$Y267/$X267,""),($Y267/$X267)*100),0)</f>
        <v>0</v>
      </c>
      <c r="X267" s="340" t="str">
        <f ca="1">IF($Y267&gt;0,CHOOSE(MATCH(RegimeExecucao,{"Unitário","Global"},0),IF($A267="S",ROUND($H267,ORÇAMENTO!$AF$10),""),ROUND($I267,ORÇAMENTO!$AF$11)),"")</f>
        <v/>
      </c>
      <c r="Y267" s="340">
        <f t="shared" ca="1" si="28"/>
        <v>0</v>
      </c>
      <c r="Z267" s="474"/>
      <c r="AB267" s="338"/>
      <c r="AC267" s="438"/>
      <c r="AD267" s="438"/>
      <c r="AE267" s="438"/>
      <c r="AF267" s="438"/>
      <c r="AG267" s="438"/>
      <c r="AH267" s="438"/>
      <c r="AI267" s="438"/>
      <c r="AJ267" s="438"/>
      <c r="AK267" s="438"/>
      <c r="AL267" s="438"/>
      <c r="AM267" s="339"/>
      <c r="AO267">
        <f ca="1">IF($A267="S",IF(BM!$I267=0,0,CHOOSE(MATCH(RegimeExecucao,{"Global","Unitário"},0),ROUND(ROUND(BM.MEDAcumulado,15-13*BM!$A$9)/100*BM!$I267,15-13*ORÇAMENTO!$AF$11),ROUND(ROUND(BM.MEDAcumulado,15-13*BM!$A$9)*ROUND(BM!$H267,15-13*ORÇAMENTO!$AF$10),15-13*ORÇAMENTO!$AF$11))),IF($A267=0,0,ROUND(SomaAgrupBM,15-13*ORÇAMENTO!$AF$11)))</f>
        <v>0</v>
      </c>
    </row>
    <row r="268" spans="1:41" x14ac:dyDescent="0.2">
      <c r="A268">
        <f ca="1">ORÇAMENTO!C268</f>
        <v>2</v>
      </c>
      <c r="B268">
        <f ca="1">ORÇAMENTO!D268</f>
        <v>57</v>
      </c>
      <c r="C268" s="115" t="str">
        <f t="shared" ca="1" si="22"/>
        <v>F</v>
      </c>
      <c r="D268" s="118" t="str">
        <f ca="1">ORÇAMENTO!O268</f>
        <v>1.16.</v>
      </c>
      <c r="E268" s="164" t="str">
        <f t="shared" si="23"/>
        <v>SISTEMAS DE PREVENÇÃO CONTRA INCÊNDIO</v>
      </c>
      <c r="F268" s="165" t="str">
        <f ca="1">IF(RegimeExecucao="Global","",ORÇAMENTO.Unidade)</f>
        <v>-</v>
      </c>
      <c r="G268" s="123">
        <f ca="1">IF(RegimeExecucao="Global","",ORÇAMENTO!T268)</f>
        <v>0</v>
      </c>
      <c r="H268" s="123">
        <f ca="1">IF(RegimeExecucao="Global","",ORÇAMENTO!W268)</f>
        <v>0</v>
      </c>
      <c r="I268" s="126">
        <f ca="1">ORÇAMENTO!X268</f>
        <v>0</v>
      </c>
      <c r="J268" s="334" t="e" cm="1">
        <f t="array" aca="1" ref="J268" ca="1">_xlfn.SINGLE(IF($A268="S",IF(CAIXA.Modo,BM.AFAnterior,BM.MEDAnterior),IF(AND(_xlfn.SINGLE(RegimeExecucao)="Global",$I268&gt;0,COUNTIF($AB$13:$AM$13,BM.medicao-1)&gt;0),M268/$I268*100,0)))</f>
        <v>#NAME?</v>
      </c>
      <c r="K268" s="123" t="e">
        <f t="shared" ca="1" si="24"/>
        <v>#NAME?</v>
      </c>
      <c r="L268" s="335" t="e" cm="1">
        <f t="array" aca="1" ref="L268" ca="1">_xlfn.SINGLE(IF($A268="S",IF(CAIXA.Modo,BM.AFAcumulado,BM.MEDAcumulado),IF(AND(_xlfn.SINGLE(RegimeExecucao)="Global",$I268&gt;0,COUNTIF($AB$13:$AM$13,BM.medicao)&gt;0),O268/$I268*100,0)))</f>
        <v>#NAME?</v>
      </c>
      <c r="M268" s="336">
        <f ca="1">IF($A268="S",VTOTALBM,IF($A268=0,0,ROUND(SomaAgrupBM,15-13*ORÇAMENTO!$AF$11)))</f>
        <v>0</v>
      </c>
      <c r="N268" s="337">
        <f t="shared" ca="1" si="25"/>
        <v>0</v>
      </c>
      <c r="O268" s="126">
        <f ca="1">IF($A268="S",VTOTALBM,IF($A268=0,0,ROUND(SomaAgrupBM,15-13*ORÇAMENTO!$AF$11)))</f>
        <v>0</v>
      </c>
      <c r="Q268" s="338"/>
      <c r="R268" s="339"/>
      <c r="T268" s="118" t="str">
        <f t="shared" ca="1" si="26"/>
        <v/>
      </c>
      <c r="U268" s="164" t="str">
        <f t="shared" ca="1" si="27"/>
        <v/>
      </c>
      <c r="V268" s="165" t="str">
        <f ca="1">IF(AND($W268&gt;0,RegimeExecucao="Unitário"),$F268,"")</f>
        <v/>
      </c>
      <c r="W268" s="455">
        <f ca="1">IF($Y268&gt;0,CHOOSE(MATCH(RegimeExecucao,{"Unitário","Global"},0),IF($A268="S",$Y268/$X268,""),($Y268/$X268)*100),0)</f>
        <v>0</v>
      </c>
      <c r="X268" s="340" t="str">
        <f ca="1">IF($Y268&gt;0,CHOOSE(MATCH(RegimeExecucao,{"Unitário","Global"},0),IF($A268="S",ROUND($H268,ORÇAMENTO!$AF$10),""),ROUND($I268,ORÇAMENTO!$AF$11)),"")</f>
        <v/>
      </c>
      <c r="Y268" s="340">
        <f t="shared" ca="1" si="28"/>
        <v>0</v>
      </c>
      <c r="Z268" s="474"/>
      <c r="AB268" s="338"/>
      <c r="AC268" s="438"/>
      <c r="AD268" s="438"/>
      <c r="AE268" s="438"/>
      <c r="AF268" s="438"/>
      <c r="AG268" s="438"/>
      <c r="AH268" s="438"/>
      <c r="AI268" s="438"/>
      <c r="AJ268" s="438"/>
      <c r="AK268" s="438"/>
      <c r="AL268" s="438"/>
      <c r="AM268" s="339"/>
      <c r="AO268">
        <f ca="1">IF($A268="S",IF(BM!$I268=0,0,CHOOSE(MATCH(RegimeExecucao,{"Global","Unitário"},0),ROUND(ROUND(BM.MEDAcumulado,15-13*BM!$A$9)/100*BM!$I268,15-13*ORÇAMENTO!$AF$11),ROUND(ROUND(BM.MEDAcumulado,15-13*BM!$A$9)*ROUND(BM!$H268,15-13*ORÇAMENTO!$AF$10),15-13*ORÇAMENTO!$AF$11))),IF($A268=0,0,ROUND(SomaAgrupBM,15-13*ORÇAMENTO!$AF$11)))</f>
        <v>0</v>
      </c>
    </row>
    <row r="269" spans="1:41" x14ac:dyDescent="0.2">
      <c r="A269">
        <f ca="1">ORÇAMENTO!C269</f>
        <v>3</v>
      </c>
      <c r="B269">
        <f ca="1">ORÇAMENTO!D269</f>
        <v>3</v>
      </c>
      <c r="C269" s="115" t="str">
        <f t="shared" ca="1" si="22"/>
        <v>F</v>
      </c>
      <c r="D269" s="118" t="str">
        <f ca="1">ORÇAMENTO!O269</f>
        <v>1.16.1.</v>
      </c>
      <c r="E269" s="164" t="str">
        <f t="shared" si="23"/>
        <v>ILUMINAÇÃO DE EMERGÊNCIA</v>
      </c>
      <c r="F269" s="165" t="str">
        <f ca="1">IF(RegimeExecucao="Global","",ORÇAMENTO.Unidade)</f>
        <v>-</v>
      </c>
      <c r="G269" s="123">
        <f ca="1">IF(RegimeExecucao="Global","",ORÇAMENTO!T269)</f>
        <v>0</v>
      </c>
      <c r="H269" s="123">
        <f ca="1">IF(RegimeExecucao="Global","",ORÇAMENTO!W269)</f>
        <v>0</v>
      </c>
      <c r="I269" s="126">
        <f ca="1">ORÇAMENTO!X269</f>
        <v>0</v>
      </c>
      <c r="J269" s="334" t="e" cm="1">
        <f t="array" aca="1" ref="J269" ca="1">_xlfn.SINGLE(IF($A269="S",IF(CAIXA.Modo,BM.AFAnterior,BM.MEDAnterior),IF(AND(_xlfn.SINGLE(RegimeExecucao)="Global",$I269&gt;0,COUNTIF($AB$13:$AM$13,BM.medicao-1)&gt;0),M269/$I269*100,0)))</f>
        <v>#NAME?</v>
      </c>
      <c r="K269" s="123" t="e">
        <f t="shared" ca="1" si="24"/>
        <v>#NAME?</v>
      </c>
      <c r="L269" s="335" t="e" cm="1">
        <f t="array" aca="1" ref="L269" ca="1">_xlfn.SINGLE(IF($A269="S",IF(CAIXA.Modo,BM.AFAcumulado,BM.MEDAcumulado),IF(AND(_xlfn.SINGLE(RegimeExecucao)="Global",$I269&gt;0,COUNTIF($AB$13:$AM$13,BM.medicao)&gt;0),O269/$I269*100,0)))</f>
        <v>#NAME?</v>
      </c>
      <c r="M269" s="336">
        <f ca="1">IF($A269="S",VTOTALBM,IF($A269=0,0,ROUND(SomaAgrupBM,15-13*ORÇAMENTO!$AF$11)))</f>
        <v>0</v>
      </c>
      <c r="N269" s="337">
        <f t="shared" ca="1" si="25"/>
        <v>0</v>
      </c>
      <c r="O269" s="126">
        <f ca="1">IF($A269="S",VTOTALBM,IF($A269=0,0,ROUND(SomaAgrupBM,15-13*ORÇAMENTO!$AF$11)))</f>
        <v>0</v>
      </c>
      <c r="Q269" s="338"/>
      <c r="R269" s="339"/>
      <c r="T269" s="118" t="str">
        <f t="shared" ca="1" si="26"/>
        <v/>
      </c>
      <c r="U269" s="164" t="str">
        <f t="shared" ca="1" si="27"/>
        <v/>
      </c>
      <c r="V269" s="165" t="str">
        <f ca="1">IF(AND($W269&gt;0,RegimeExecucao="Unitário"),$F269,"")</f>
        <v/>
      </c>
      <c r="W269" s="455">
        <f ca="1">IF($Y269&gt;0,CHOOSE(MATCH(RegimeExecucao,{"Unitário","Global"},0),IF($A269="S",$Y269/$X269,""),($Y269/$X269)*100),0)</f>
        <v>0</v>
      </c>
      <c r="X269" s="340" t="str">
        <f ca="1">IF($Y269&gt;0,CHOOSE(MATCH(RegimeExecucao,{"Unitário","Global"},0),IF($A269="S",ROUND($H269,ORÇAMENTO!$AF$10),""),ROUND($I269,ORÇAMENTO!$AF$11)),"")</f>
        <v/>
      </c>
      <c r="Y269" s="340">
        <f t="shared" ca="1" si="28"/>
        <v>0</v>
      </c>
      <c r="Z269" s="474"/>
      <c r="AB269" s="338"/>
      <c r="AC269" s="438"/>
      <c r="AD269" s="438"/>
      <c r="AE269" s="438"/>
      <c r="AF269" s="438"/>
      <c r="AG269" s="438"/>
      <c r="AH269" s="438"/>
      <c r="AI269" s="438"/>
      <c r="AJ269" s="438"/>
      <c r="AK269" s="438"/>
      <c r="AL269" s="438"/>
      <c r="AM269" s="339"/>
      <c r="AO269">
        <f ca="1">IF($A269="S",IF(BM!$I269=0,0,CHOOSE(MATCH(RegimeExecucao,{"Global","Unitário"},0),ROUND(ROUND(BM.MEDAcumulado,15-13*BM!$A$9)/100*BM!$I269,15-13*ORÇAMENTO!$AF$11),ROUND(ROUND(BM.MEDAcumulado,15-13*BM!$A$9)*ROUND(BM!$H269,15-13*ORÇAMENTO!$AF$10),15-13*ORÇAMENTO!$AF$11))),IF($A269=0,0,ROUND(SomaAgrupBM,15-13*ORÇAMENTO!$AF$11)))</f>
        <v>0</v>
      </c>
    </row>
    <row r="270" spans="1:41" ht="25.5" x14ac:dyDescent="0.2">
      <c r="A270" t="str">
        <f ca="1">ORÇAMENTO!C270</f>
        <v>S</v>
      </c>
      <c r="B270">
        <f ca="1">ORÇAMENTO!D270</f>
        <v>0</v>
      </c>
      <c r="C270" s="115" t="str">
        <f t="shared" ca="1" si="22"/>
        <v/>
      </c>
      <c r="D270" s="118" t="str">
        <f ca="1">ORÇAMENTO!O270</f>
        <v>-</v>
      </c>
      <c r="E270" s="164" t="str">
        <f t="shared" si="23"/>
        <v>LUMINÁRIA DE EMERGÊNCIA, COM 30 LÂMPADAS LED DE 2 W, SEM REATOR - FORNECIMENTO E INSTALAÇÃO. AF_09/2024</v>
      </c>
      <c r="F270" s="165" t="str">
        <f ca="1">IF(RegimeExecucao="Global","",ORÇAMENTO.Unidade)</f>
        <v>UN</v>
      </c>
      <c r="G270" s="123">
        <f ca="1">IF(RegimeExecucao="Global","",ORÇAMENTO!T270)</f>
        <v>22</v>
      </c>
      <c r="H270" s="123">
        <f ca="1">IF(RegimeExecucao="Global","",ORÇAMENTO!W270)</f>
        <v>0</v>
      </c>
      <c r="I270" s="126">
        <f ca="1">ORÇAMENTO!X270</f>
        <v>0</v>
      </c>
      <c r="J270" s="334" t="e" cm="1">
        <f t="array" aca="1" ref="J270" ca="1">_xlfn.SINGLE(IF($A270="S",IF(CAIXA.Modo,BM.AFAnterior,BM.MEDAnterior),IF(AND(_xlfn.SINGLE(RegimeExecucao)="Global",$I270&gt;0,COUNTIF($AB$13:$AM$13,BM.medicao-1)&gt;0),M270/$I270*100,0)))</f>
        <v>#NAME?</v>
      </c>
      <c r="K270" s="123" t="e">
        <f t="shared" ca="1" si="24"/>
        <v>#NAME?</v>
      </c>
      <c r="L270" s="335" t="e" cm="1">
        <f t="array" aca="1" ref="L270" ca="1">_xlfn.SINGLE(IF($A270="S",IF(CAIXA.Modo,BM.AFAcumulado,BM.MEDAcumulado),IF(AND(_xlfn.SINGLE(RegimeExecucao)="Global",$I270&gt;0,COUNTIF($AB$13:$AM$13,BM.medicao)&gt;0),O270/$I270*100,0)))</f>
        <v>#NAME?</v>
      </c>
      <c r="M270" s="336">
        <f ca="1">IF($A270="S",VTOTALBM,IF($A270=0,0,ROUND(SomaAgrupBM,15-13*ORÇAMENTO!$AF$11)))</f>
        <v>0</v>
      </c>
      <c r="N270" s="337">
        <f t="shared" ca="1" si="25"/>
        <v>0</v>
      </c>
      <c r="O270" s="126">
        <f ca="1">IF($A270="S",VTOTALBM,IF($A270=0,0,ROUND(SomaAgrupBM,15-13*ORÇAMENTO!$AF$11)))</f>
        <v>0</v>
      </c>
      <c r="Q270" s="338"/>
      <c r="R270" s="339"/>
      <c r="T270" s="118" t="str">
        <f t="shared" ca="1" si="26"/>
        <v/>
      </c>
      <c r="U270" s="164" t="str">
        <f t="shared" ca="1" si="27"/>
        <v/>
      </c>
      <c r="V270" s="165" t="str">
        <f ca="1">IF(AND($W270&gt;0,RegimeExecucao="Unitário"),$F270,"")</f>
        <v/>
      </c>
      <c r="W270" s="455">
        <f ca="1">IF($Y270&gt;0,CHOOSE(MATCH(RegimeExecucao,{"Unitário","Global"},0),IF($A270="S",$Y270/$X270,""),($Y270/$X270)*100),0)</f>
        <v>0</v>
      </c>
      <c r="X270" s="340" t="str">
        <f ca="1">IF($Y270&gt;0,CHOOSE(MATCH(RegimeExecucao,{"Unitário","Global"},0),IF($A270="S",ROUND($H270,ORÇAMENTO!$AF$10),""),ROUND($I270,ORÇAMENTO!$AF$11)),"")</f>
        <v/>
      </c>
      <c r="Y270" s="340">
        <f t="shared" ca="1" si="28"/>
        <v>0</v>
      </c>
      <c r="Z270" s="474"/>
      <c r="AB270" s="338"/>
      <c r="AC270" s="438"/>
      <c r="AD270" s="438"/>
      <c r="AE270" s="438"/>
      <c r="AF270" s="438"/>
      <c r="AG270" s="438"/>
      <c r="AH270" s="438"/>
      <c r="AI270" s="438"/>
      <c r="AJ270" s="438"/>
      <c r="AK270" s="438"/>
      <c r="AL270" s="438"/>
      <c r="AM270" s="339"/>
      <c r="AO270">
        <f ca="1">IF($A270="S",IF(BM!$I270=0,0,CHOOSE(MATCH(RegimeExecucao,{"Global","Unitário"},0),ROUND(ROUND(BM.MEDAcumulado,15-13*BM!$A$9)/100*BM!$I270,15-13*ORÇAMENTO!$AF$11),ROUND(ROUND(BM.MEDAcumulado,15-13*BM!$A$9)*ROUND(BM!$H270,15-13*ORÇAMENTO!$AF$10),15-13*ORÇAMENTO!$AF$11))),IF($A270=0,0,ROUND(SomaAgrupBM,15-13*ORÇAMENTO!$AF$11)))</f>
        <v>0</v>
      </c>
    </row>
    <row r="271" spans="1:41" ht="38.25" x14ac:dyDescent="0.2">
      <c r="A271" t="str">
        <f ca="1">ORÇAMENTO!C271</f>
        <v>S</v>
      </c>
      <c r="B271">
        <f ca="1">ORÇAMENTO!D271</f>
        <v>0</v>
      </c>
      <c r="C271" s="115" t="str">
        <f t="shared" ca="1" si="22"/>
        <v/>
      </c>
      <c r="D271" s="118" t="str">
        <f ca="1">ORÇAMENTO!O271</f>
        <v>-</v>
      </c>
      <c r="E271" s="164" t="str">
        <f t="shared" si="23"/>
        <v>LUMINÁRIA DE EMERGÊNCIA, DE SOBREPOR, TIPO BLOCO AUTÔNOMO, COM AUTONOMIA DE 1H, 3000 LÚMENS - FORNECIMENTO E INSTALAÇÃO</v>
      </c>
      <c r="F271" s="165" t="str">
        <f ca="1">IF(RegimeExecucao="Global","",ORÇAMENTO.Unidade)</f>
        <v xml:space="preserve">UN    </v>
      </c>
      <c r="G271" s="123">
        <f ca="1">IF(RegimeExecucao="Global","",ORÇAMENTO!T271)</f>
        <v>4</v>
      </c>
      <c r="H271" s="123">
        <f ca="1">IF(RegimeExecucao="Global","",ORÇAMENTO!W271)</f>
        <v>0</v>
      </c>
      <c r="I271" s="126">
        <f ca="1">ORÇAMENTO!X271</f>
        <v>0</v>
      </c>
      <c r="J271" s="334" t="e" cm="1">
        <f t="array" aca="1" ref="J271" ca="1">_xlfn.SINGLE(IF($A271="S",IF(CAIXA.Modo,BM.AFAnterior,BM.MEDAnterior),IF(AND(_xlfn.SINGLE(RegimeExecucao)="Global",$I271&gt;0,COUNTIF($AB$13:$AM$13,BM.medicao-1)&gt;0),M271/$I271*100,0)))</f>
        <v>#NAME?</v>
      </c>
      <c r="K271" s="123" t="e">
        <f t="shared" ca="1" si="24"/>
        <v>#NAME?</v>
      </c>
      <c r="L271" s="335" t="e" cm="1">
        <f t="array" aca="1" ref="L271" ca="1">_xlfn.SINGLE(IF($A271="S",IF(CAIXA.Modo,BM.AFAcumulado,BM.MEDAcumulado),IF(AND(_xlfn.SINGLE(RegimeExecucao)="Global",$I271&gt;0,COUNTIF($AB$13:$AM$13,BM.medicao)&gt;0),O271/$I271*100,0)))</f>
        <v>#NAME?</v>
      </c>
      <c r="M271" s="336">
        <f ca="1">IF($A271="S",VTOTALBM,IF($A271=0,0,ROUND(SomaAgrupBM,15-13*ORÇAMENTO!$AF$11)))</f>
        <v>0</v>
      </c>
      <c r="N271" s="337">
        <f t="shared" ca="1" si="25"/>
        <v>0</v>
      </c>
      <c r="O271" s="126">
        <f ca="1">IF($A271="S",VTOTALBM,IF($A271=0,0,ROUND(SomaAgrupBM,15-13*ORÇAMENTO!$AF$11)))</f>
        <v>0</v>
      </c>
      <c r="Q271" s="338"/>
      <c r="R271" s="339"/>
      <c r="T271" s="118" t="str">
        <f t="shared" ca="1" si="26"/>
        <v/>
      </c>
      <c r="U271" s="164" t="str">
        <f t="shared" ca="1" si="27"/>
        <v/>
      </c>
      <c r="V271" s="165" t="str">
        <f ca="1">IF(AND($W271&gt;0,RegimeExecucao="Unitário"),$F271,"")</f>
        <v/>
      </c>
      <c r="W271" s="455">
        <f ca="1">IF($Y271&gt;0,CHOOSE(MATCH(RegimeExecucao,{"Unitário","Global"},0),IF($A271="S",$Y271/$X271,""),($Y271/$X271)*100),0)</f>
        <v>0</v>
      </c>
      <c r="X271" s="340" t="str">
        <f ca="1">IF($Y271&gt;0,CHOOSE(MATCH(RegimeExecucao,{"Unitário","Global"},0),IF($A271="S",ROUND($H271,ORÇAMENTO!$AF$10),""),ROUND($I271,ORÇAMENTO!$AF$11)),"")</f>
        <v/>
      </c>
      <c r="Y271" s="340">
        <f t="shared" ca="1" si="28"/>
        <v>0</v>
      </c>
      <c r="Z271" s="474"/>
      <c r="AB271" s="338"/>
      <c r="AC271" s="438"/>
      <c r="AD271" s="438"/>
      <c r="AE271" s="438"/>
      <c r="AF271" s="438"/>
      <c r="AG271" s="438"/>
      <c r="AH271" s="438"/>
      <c r="AI271" s="438"/>
      <c r="AJ271" s="438"/>
      <c r="AK271" s="438"/>
      <c r="AL271" s="438"/>
      <c r="AM271" s="339"/>
      <c r="AO271">
        <f ca="1">IF($A271="S",IF(BM!$I271=0,0,CHOOSE(MATCH(RegimeExecucao,{"Global","Unitário"},0),ROUND(ROUND(BM.MEDAcumulado,15-13*BM!$A$9)/100*BM!$I271,15-13*ORÇAMENTO!$AF$11),ROUND(ROUND(BM.MEDAcumulado,15-13*BM!$A$9)*ROUND(BM!$H271,15-13*ORÇAMENTO!$AF$10),15-13*ORÇAMENTO!$AF$11))),IF($A271=0,0,ROUND(SomaAgrupBM,15-13*ORÇAMENTO!$AF$11)))</f>
        <v>0</v>
      </c>
    </row>
    <row r="272" spans="1:41" x14ac:dyDescent="0.2">
      <c r="A272">
        <f ca="1">ORÇAMENTO!C272</f>
        <v>3</v>
      </c>
      <c r="B272">
        <f ca="1">ORÇAMENTO!D272</f>
        <v>3</v>
      </c>
      <c r="C272" s="115" t="str">
        <f t="shared" ref="C272:C335" ca="1" si="29">IF(OR($I272&gt;0,$A272=1,$A272=2,$A272=3,$A272=4),"F","")</f>
        <v>F</v>
      </c>
      <c r="D272" s="118" t="str">
        <f ca="1">ORÇAMENTO!O272</f>
        <v>1.16.2.</v>
      </c>
      <c r="E272" s="164" t="str">
        <f t="shared" ref="E272:E335" si="30">ORÇAMENTO.Descricao</f>
        <v>SINALIZAÇÃO DE ABANDONO DE LOCAL</v>
      </c>
      <c r="F272" s="165" t="str">
        <f ca="1">IF(RegimeExecucao="Global","",ORÇAMENTO.Unidade)</f>
        <v>-</v>
      </c>
      <c r="G272" s="123">
        <f ca="1">IF(RegimeExecucao="Global","",ORÇAMENTO!T272)</f>
        <v>0</v>
      </c>
      <c r="H272" s="123">
        <f ca="1">IF(RegimeExecucao="Global","",ORÇAMENTO!W272)</f>
        <v>0</v>
      </c>
      <c r="I272" s="126">
        <f ca="1">ORÇAMENTO!X272</f>
        <v>0</v>
      </c>
      <c r="J272" s="334" t="e" cm="1">
        <f t="array" aca="1" ref="J272" ca="1">_xlfn.SINGLE(IF($A272="S",IF(CAIXA.Modo,BM.AFAnterior,BM.MEDAnterior),IF(AND(_xlfn.SINGLE(RegimeExecucao)="Global",$I272&gt;0,COUNTIF($AB$13:$AM$13,BM.medicao-1)&gt;0),M272/$I272*100,0)))</f>
        <v>#NAME?</v>
      </c>
      <c r="K272" s="123" t="e">
        <f t="shared" ref="K272:K335" ca="1" si="31">L272-J272</f>
        <v>#NAME?</v>
      </c>
      <c r="L272" s="335" t="e" cm="1">
        <f t="array" aca="1" ref="L272" ca="1">_xlfn.SINGLE(IF($A272="S",IF(CAIXA.Modo,BM.AFAcumulado,BM.MEDAcumulado),IF(AND(_xlfn.SINGLE(RegimeExecucao)="Global",$I272&gt;0,COUNTIF($AB$13:$AM$13,BM.medicao)&gt;0),O272/$I272*100,0)))</f>
        <v>#NAME?</v>
      </c>
      <c r="M272" s="336">
        <f ca="1">IF($A272="S",VTOTALBM,IF($A272=0,0,ROUND(SomaAgrupBM,15-13*ORÇAMENTO!$AF$11)))</f>
        <v>0</v>
      </c>
      <c r="N272" s="337">
        <f t="shared" ref="N272:N335" ca="1" si="32">O272-M272</f>
        <v>0</v>
      </c>
      <c r="O272" s="126">
        <f ca="1">IF($A272="S",VTOTALBM,IF($A272=0,0,ROUND(SomaAgrupBM,15-13*ORÇAMENTO!$AF$11)))</f>
        <v>0</v>
      </c>
      <c r="Q272" s="338"/>
      <c r="R272" s="339"/>
      <c r="T272" s="118" t="str">
        <f t="shared" ref="T272:T335" ca="1" si="33">IF($W272&gt;0,$D272,"")</f>
        <v/>
      </c>
      <c r="U272" s="164" t="str">
        <f t="shared" ref="U272:U335" ca="1" si="34">IF($W272&gt;0,$E272,"")</f>
        <v/>
      </c>
      <c r="V272" s="165" t="str">
        <f ca="1">IF(AND($W272&gt;0,RegimeExecucao="Unitário"),$F272,"")</f>
        <v/>
      </c>
      <c r="W272" s="455">
        <f ca="1">IF($Y272&gt;0,CHOOSE(MATCH(RegimeExecucao,{"Unitário","Global"},0),IF($A272="S",$Y272/$X272,""),($Y272/$X272)*100),0)</f>
        <v>0</v>
      </c>
      <c r="X272" s="340" t="str">
        <f ca="1">IF($Y272&gt;0,CHOOSE(MATCH(RegimeExecucao,{"Unitário","Global"},0),IF($A272="S",ROUND($H272,ORÇAMENTO!$AF$10),""),ROUND($I272,ORÇAMENTO!$AF$11)),"")</f>
        <v/>
      </c>
      <c r="Y272" s="340">
        <f t="shared" ref="Y272:Y335" ca="1" si="35">AO272-O272</f>
        <v>0</v>
      </c>
      <c r="Z272" s="474"/>
      <c r="AB272" s="338"/>
      <c r="AC272" s="438"/>
      <c r="AD272" s="438"/>
      <c r="AE272" s="438"/>
      <c r="AF272" s="438"/>
      <c r="AG272" s="438"/>
      <c r="AH272" s="438"/>
      <c r="AI272" s="438"/>
      <c r="AJ272" s="438"/>
      <c r="AK272" s="438"/>
      <c r="AL272" s="438"/>
      <c r="AM272" s="339"/>
      <c r="AO272">
        <f ca="1">IF($A272="S",IF(BM!$I272=0,0,CHOOSE(MATCH(RegimeExecucao,{"Global","Unitário"},0),ROUND(ROUND(BM.MEDAcumulado,15-13*BM!$A$9)/100*BM!$I272,15-13*ORÇAMENTO!$AF$11),ROUND(ROUND(BM.MEDAcumulado,15-13*BM!$A$9)*ROUND(BM!$H272,15-13*ORÇAMENTO!$AF$10),15-13*ORÇAMENTO!$AF$11))),IF($A272=0,0,ROUND(SomaAgrupBM,15-13*ORÇAMENTO!$AF$11)))</f>
        <v>0</v>
      </c>
    </row>
    <row r="273" spans="1:41" ht="51" x14ac:dyDescent="0.2">
      <c r="A273" t="str">
        <f ca="1">ORÇAMENTO!C273</f>
        <v>S</v>
      </c>
      <c r="B273">
        <f ca="1">ORÇAMENTO!D273</f>
        <v>0</v>
      </c>
      <c r="C273" s="115" t="str">
        <f t="shared" ca="1" si="29"/>
        <v/>
      </c>
      <c r="D273" s="118" t="str">
        <f ca="1">ORÇAMENTO!O273</f>
        <v>-</v>
      </c>
      <c r="E273" s="164" t="str">
        <f t="shared" si="30"/>
        <v xml:space="preserve">PLACA DE SINALIZACAO DE SEGURANCA CONTRA INCENDIO, FOTOLUMINESCENTE, RETANGULAR, *20 X 40* CM, EM PVC *2* MM ANTI-CHAMAS (SIMBOLOS, CORES E PICTOGRAMAS CONFORME NBR 16820)                                                                               </v>
      </c>
      <c r="F273" s="165" t="str">
        <f ca="1">IF(RegimeExecucao="Global","",ORÇAMENTO.Unidade)</f>
        <v xml:space="preserve">UN    </v>
      </c>
      <c r="G273" s="123">
        <f ca="1">IF(RegimeExecucao="Global","",ORÇAMENTO!T273)</f>
        <v>29</v>
      </c>
      <c r="H273" s="123">
        <f ca="1">IF(RegimeExecucao="Global","",ORÇAMENTO!W273)</f>
        <v>0</v>
      </c>
      <c r="I273" s="126">
        <f ca="1">ORÇAMENTO!X273</f>
        <v>0</v>
      </c>
      <c r="J273" s="334" t="e" cm="1">
        <f t="array" aca="1" ref="J273" ca="1">_xlfn.SINGLE(IF($A273="S",IF(CAIXA.Modo,BM.AFAnterior,BM.MEDAnterior),IF(AND(_xlfn.SINGLE(RegimeExecucao)="Global",$I273&gt;0,COUNTIF($AB$13:$AM$13,BM.medicao-1)&gt;0),M273/$I273*100,0)))</f>
        <v>#NAME?</v>
      </c>
      <c r="K273" s="123" t="e">
        <f t="shared" ca="1" si="31"/>
        <v>#NAME?</v>
      </c>
      <c r="L273" s="335" t="e" cm="1">
        <f t="array" aca="1" ref="L273" ca="1">_xlfn.SINGLE(IF($A273="S",IF(CAIXA.Modo,BM.AFAcumulado,BM.MEDAcumulado),IF(AND(_xlfn.SINGLE(RegimeExecucao)="Global",$I273&gt;0,COUNTIF($AB$13:$AM$13,BM.medicao)&gt;0),O273/$I273*100,0)))</f>
        <v>#NAME?</v>
      </c>
      <c r="M273" s="336">
        <f ca="1">IF($A273="S",VTOTALBM,IF($A273=0,0,ROUND(SomaAgrupBM,15-13*ORÇAMENTO!$AF$11)))</f>
        <v>0</v>
      </c>
      <c r="N273" s="337">
        <f t="shared" ca="1" si="32"/>
        <v>0</v>
      </c>
      <c r="O273" s="126">
        <f ca="1">IF($A273="S",VTOTALBM,IF($A273=0,0,ROUND(SomaAgrupBM,15-13*ORÇAMENTO!$AF$11)))</f>
        <v>0</v>
      </c>
      <c r="Q273" s="338"/>
      <c r="R273" s="339"/>
      <c r="T273" s="118" t="str">
        <f t="shared" ca="1" si="33"/>
        <v/>
      </c>
      <c r="U273" s="164" t="str">
        <f t="shared" ca="1" si="34"/>
        <v/>
      </c>
      <c r="V273" s="165" t="str">
        <f ca="1">IF(AND($W273&gt;0,RegimeExecucao="Unitário"),$F273,"")</f>
        <v/>
      </c>
      <c r="W273" s="455">
        <f ca="1">IF($Y273&gt;0,CHOOSE(MATCH(RegimeExecucao,{"Unitário","Global"},0),IF($A273="S",$Y273/$X273,""),($Y273/$X273)*100),0)</f>
        <v>0</v>
      </c>
      <c r="X273" s="340" t="str">
        <f ca="1">IF($Y273&gt;0,CHOOSE(MATCH(RegimeExecucao,{"Unitário","Global"},0),IF($A273="S",ROUND($H273,ORÇAMENTO!$AF$10),""),ROUND($I273,ORÇAMENTO!$AF$11)),"")</f>
        <v/>
      </c>
      <c r="Y273" s="340">
        <f t="shared" ca="1" si="35"/>
        <v>0</v>
      </c>
      <c r="Z273" s="474"/>
      <c r="AB273" s="338"/>
      <c r="AC273" s="438"/>
      <c r="AD273" s="438"/>
      <c r="AE273" s="438"/>
      <c r="AF273" s="438"/>
      <c r="AG273" s="438"/>
      <c r="AH273" s="438"/>
      <c r="AI273" s="438"/>
      <c r="AJ273" s="438"/>
      <c r="AK273" s="438"/>
      <c r="AL273" s="438"/>
      <c r="AM273" s="339"/>
      <c r="AO273">
        <f ca="1">IF($A273="S",IF(BM!$I273=0,0,CHOOSE(MATCH(RegimeExecucao,{"Global","Unitário"},0),ROUND(ROUND(BM.MEDAcumulado,15-13*BM!$A$9)/100*BM!$I273,15-13*ORÇAMENTO!$AF$11),ROUND(ROUND(BM.MEDAcumulado,15-13*BM!$A$9)*ROUND(BM!$H273,15-13*ORÇAMENTO!$AF$10),15-13*ORÇAMENTO!$AF$11))),IF($A273=0,0,ROUND(SomaAgrupBM,15-13*ORÇAMENTO!$AF$11)))</f>
        <v>0</v>
      </c>
    </row>
    <row r="274" spans="1:41" x14ac:dyDescent="0.2">
      <c r="A274" t="str">
        <f ca="1">ORÇAMENTO!C274</f>
        <v>S</v>
      </c>
      <c r="B274">
        <f ca="1">ORÇAMENTO!D274</f>
        <v>0</v>
      </c>
      <c r="C274" s="115" t="str">
        <f t="shared" ca="1" si="29"/>
        <v/>
      </c>
      <c r="D274" s="118" t="str">
        <f ca="1">ORÇAMENTO!O274</f>
        <v>-</v>
      </c>
      <c r="E274" s="164" t="str">
        <f t="shared" si="30"/>
        <v>SERVENTE COM ENCARGOS COMPLEMENTARES</v>
      </c>
      <c r="F274" s="165" t="str">
        <f ca="1">IF(RegimeExecucao="Global","",ORÇAMENTO.Unidade)</f>
        <v>H</v>
      </c>
      <c r="G274" s="123">
        <f ca="1">IF(RegimeExecucao="Global","",ORÇAMENTO!T274)</f>
        <v>16</v>
      </c>
      <c r="H274" s="123">
        <f ca="1">IF(RegimeExecucao="Global","",ORÇAMENTO!W274)</f>
        <v>0</v>
      </c>
      <c r="I274" s="126">
        <f ca="1">ORÇAMENTO!X274</f>
        <v>0</v>
      </c>
      <c r="J274" s="334" t="e" cm="1">
        <f t="array" aca="1" ref="J274" ca="1">_xlfn.SINGLE(IF($A274="S",IF(CAIXA.Modo,BM.AFAnterior,BM.MEDAnterior),IF(AND(_xlfn.SINGLE(RegimeExecucao)="Global",$I274&gt;0,COUNTIF($AB$13:$AM$13,BM.medicao-1)&gt;0),M274/$I274*100,0)))</f>
        <v>#NAME?</v>
      </c>
      <c r="K274" s="123" t="e">
        <f t="shared" ca="1" si="31"/>
        <v>#NAME?</v>
      </c>
      <c r="L274" s="335" t="e" cm="1">
        <f t="array" aca="1" ref="L274" ca="1">_xlfn.SINGLE(IF($A274="S",IF(CAIXA.Modo,BM.AFAcumulado,BM.MEDAcumulado),IF(AND(_xlfn.SINGLE(RegimeExecucao)="Global",$I274&gt;0,COUNTIF($AB$13:$AM$13,BM.medicao)&gt;0),O274/$I274*100,0)))</f>
        <v>#NAME?</v>
      </c>
      <c r="M274" s="336">
        <f ca="1">IF($A274="S",VTOTALBM,IF($A274=0,0,ROUND(SomaAgrupBM,15-13*ORÇAMENTO!$AF$11)))</f>
        <v>0</v>
      </c>
      <c r="N274" s="337">
        <f t="shared" ca="1" si="32"/>
        <v>0</v>
      </c>
      <c r="O274" s="126">
        <f ca="1">IF($A274="S",VTOTALBM,IF($A274=0,0,ROUND(SomaAgrupBM,15-13*ORÇAMENTO!$AF$11)))</f>
        <v>0</v>
      </c>
      <c r="Q274" s="338"/>
      <c r="R274" s="339"/>
      <c r="T274" s="118" t="str">
        <f t="shared" ca="1" si="33"/>
        <v/>
      </c>
      <c r="U274" s="164" t="str">
        <f t="shared" ca="1" si="34"/>
        <v/>
      </c>
      <c r="V274" s="165" t="str">
        <f ca="1">IF(AND($W274&gt;0,RegimeExecucao="Unitário"),$F274,"")</f>
        <v/>
      </c>
      <c r="W274" s="455">
        <f ca="1">IF($Y274&gt;0,CHOOSE(MATCH(RegimeExecucao,{"Unitário","Global"},0),IF($A274="S",$Y274/$X274,""),($Y274/$X274)*100),0)</f>
        <v>0</v>
      </c>
      <c r="X274" s="340" t="str">
        <f ca="1">IF($Y274&gt;0,CHOOSE(MATCH(RegimeExecucao,{"Unitário","Global"},0),IF($A274="S",ROUND($H274,ORÇAMENTO!$AF$10),""),ROUND($I274,ORÇAMENTO!$AF$11)),"")</f>
        <v/>
      </c>
      <c r="Y274" s="340">
        <f t="shared" ca="1" si="35"/>
        <v>0</v>
      </c>
      <c r="Z274" s="474"/>
      <c r="AB274" s="338"/>
      <c r="AC274" s="438"/>
      <c r="AD274" s="438"/>
      <c r="AE274" s="438"/>
      <c r="AF274" s="438"/>
      <c r="AG274" s="438"/>
      <c r="AH274" s="438"/>
      <c r="AI274" s="438"/>
      <c r="AJ274" s="438"/>
      <c r="AK274" s="438"/>
      <c r="AL274" s="438"/>
      <c r="AM274" s="339"/>
      <c r="AO274">
        <f ca="1">IF($A274="S",IF(BM!$I274=0,0,CHOOSE(MATCH(RegimeExecucao,{"Global","Unitário"},0),ROUND(ROUND(BM.MEDAcumulado,15-13*BM!$A$9)/100*BM!$I274,15-13*ORÇAMENTO!$AF$11),ROUND(ROUND(BM.MEDAcumulado,15-13*BM!$A$9)*ROUND(BM!$H274,15-13*ORÇAMENTO!$AF$10),15-13*ORÇAMENTO!$AF$11))),IF($A274=0,0,ROUND(SomaAgrupBM,15-13*ORÇAMENTO!$AF$11)))</f>
        <v>0</v>
      </c>
    </row>
    <row r="275" spans="1:41" x14ac:dyDescent="0.2">
      <c r="A275">
        <f ca="1">ORÇAMENTO!C275</f>
        <v>3</v>
      </c>
      <c r="B275">
        <f ca="1">ORÇAMENTO!D275</f>
        <v>11</v>
      </c>
      <c r="C275" s="115" t="str">
        <f t="shared" ca="1" si="29"/>
        <v>F</v>
      </c>
      <c r="D275" s="118" t="str">
        <f ca="1">ORÇAMENTO!O275</f>
        <v>1.16.3.</v>
      </c>
      <c r="E275" s="164" t="str">
        <f t="shared" si="30"/>
        <v>ALARME E DETECÇÃO DE INCÊNDIO</v>
      </c>
      <c r="F275" s="165" t="str">
        <f ca="1">IF(RegimeExecucao="Global","",ORÇAMENTO.Unidade)</f>
        <v>-</v>
      </c>
      <c r="G275" s="123">
        <f ca="1">IF(RegimeExecucao="Global","",ORÇAMENTO!T275)</f>
        <v>0</v>
      </c>
      <c r="H275" s="123">
        <f ca="1">IF(RegimeExecucao="Global","",ORÇAMENTO!W275)</f>
        <v>0</v>
      </c>
      <c r="I275" s="126">
        <f ca="1">ORÇAMENTO!X275</f>
        <v>0</v>
      </c>
      <c r="J275" s="334" t="e" cm="1">
        <f t="array" aca="1" ref="J275" ca="1">_xlfn.SINGLE(IF($A275="S",IF(CAIXA.Modo,BM.AFAnterior,BM.MEDAnterior),IF(AND(_xlfn.SINGLE(RegimeExecucao)="Global",$I275&gt;0,COUNTIF($AB$13:$AM$13,BM.medicao-1)&gt;0),M275/$I275*100,0)))</f>
        <v>#NAME?</v>
      </c>
      <c r="K275" s="123" t="e">
        <f t="shared" ca="1" si="31"/>
        <v>#NAME?</v>
      </c>
      <c r="L275" s="335" t="e" cm="1">
        <f t="array" aca="1" ref="L275" ca="1">_xlfn.SINGLE(IF($A275="S",IF(CAIXA.Modo,BM.AFAcumulado,BM.MEDAcumulado),IF(AND(_xlfn.SINGLE(RegimeExecucao)="Global",$I275&gt;0,COUNTIF($AB$13:$AM$13,BM.medicao)&gt;0),O275/$I275*100,0)))</f>
        <v>#NAME?</v>
      </c>
      <c r="M275" s="336">
        <f ca="1">IF($A275="S",VTOTALBM,IF($A275=0,0,ROUND(SomaAgrupBM,15-13*ORÇAMENTO!$AF$11)))</f>
        <v>0</v>
      </c>
      <c r="N275" s="337">
        <f t="shared" ca="1" si="32"/>
        <v>0</v>
      </c>
      <c r="O275" s="126">
        <f ca="1">IF($A275="S",VTOTALBM,IF($A275=0,0,ROUND(SomaAgrupBM,15-13*ORÇAMENTO!$AF$11)))</f>
        <v>0</v>
      </c>
      <c r="Q275" s="338"/>
      <c r="R275" s="339"/>
      <c r="T275" s="118" t="str">
        <f t="shared" ca="1" si="33"/>
        <v/>
      </c>
      <c r="U275" s="164" t="str">
        <f t="shared" ca="1" si="34"/>
        <v/>
      </c>
      <c r="V275" s="165" t="str">
        <f ca="1">IF(AND($W275&gt;0,RegimeExecucao="Unitário"),$F275,"")</f>
        <v/>
      </c>
      <c r="W275" s="455">
        <f ca="1">IF($Y275&gt;0,CHOOSE(MATCH(RegimeExecucao,{"Unitário","Global"},0),IF($A275="S",$Y275/$X275,""),($Y275/$X275)*100),0)</f>
        <v>0</v>
      </c>
      <c r="X275" s="340" t="str">
        <f ca="1">IF($Y275&gt;0,CHOOSE(MATCH(RegimeExecucao,{"Unitário","Global"},0),IF($A275="S",ROUND($H275,ORÇAMENTO!$AF$10),""),ROUND($I275,ORÇAMENTO!$AF$11)),"")</f>
        <v/>
      </c>
      <c r="Y275" s="340">
        <f t="shared" ca="1" si="35"/>
        <v>0</v>
      </c>
      <c r="Z275" s="474"/>
      <c r="AB275" s="338"/>
      <c r="AC275" s="438"/>
      <c r="AD275" s="438"/>
      <c r="AE275" s="438"/>
      <c r="AF275" s="438"/>
      <c r="AG275" s="438"/>
      <c r="AH275" s="438"/>
      <c r="AI275" s="438"/>
      <c r="AJ275" s="438"/>
      <c r="AK275" s="438"/>
      <c r="AL275" s="438"/>
      <c r="AM275" s="339"/>
      <c r="AO275">
        <f ca="1">IF($A275="S",IF(BM!$I275=0,0,CHOOSE(MATCH(RegimeExecucao,{"Global","Unitário"},0),ROUND(ROUND(BM.MEDAcumulado,15-13*BM!$A$9)/100*BM!$I275,15-13*ORÇAMENTO!$AF$11),ROUND(ROUND(BM.MEDAcumulado,15-13*BM!$A$9)*ROUND(BM!$H275,15-13*ORÇAMENTO!$AF$10),15-13*ORÇAMENTO!$AF$11))),IF($A275=0,0,ROUND(SomaAgrupBM,15-13*ORÇAMENTO!$AF$11)))</f>
        <v>0</v>
      </c>
    </row>
    <row r="276" spans="1:41" x14ac:dyDescent="0.2">
      <c r="A276" t="str">
        <f ca="1">ORÇAMENTO!C276</f>
        <v>S</v>
      </c>
      <c r="B276">
        <f ca="1">ORÇAMENTO!D276</f>
        <v>0</v>
      </c>
      <c r="C276" s="115" t="str">
        <f t="shared" ca="1" si="29"/>
        <v/>
      </c>
      <c r="D276" s="118" t="str">
        <f ca="1">ORÇAMENTO!O276</f>
        <v>-</v>
      </c>
      <c r="E276" s="164" t="str">
        <f t="shared" si="30"/>
        <v>ALARME SONORO/VISUAL, SIRENE 120 Db</v>
      </c>
      <c r="F276" s="165" t="str">
        <f ca="1">IF(RegimeExecucao="Global","",ORÇAMENTO.Unidade)</f>
        <v>UN</v>
      </c>
      <c r="G276" s="123">
        <f ca="1">IF(RegimeExecucao="Global","",ORÇAMENTO!T276)</f>
        <v>4</v>
      </c>
      <c r="H276" s="123">
        <f ca="1">IF(RegimeExecucao="Global","",ORÇAMENTO!W276)</f>
        <v>0</v>
      </c>
      <c r="I276" s="126">
        <f ca="1">ORÇAMENTO!X276</f>
        <v>0</v>
      </c>
      <c r="J276" s="334" t="e" cm="1">
        <f t="array" aca="1" ref="J276" ca="1">_xlfn.SINGLE(IF($A276="S",IF(CAIXA.Modo,BM.AFAnterior,BM.MEDAnterior),IF(AND(_xlfn.SINGLE(RegimeExecucao)="Global",$I276&gt;0,COUNTIF($AB$13:$AM$13,BM.medicao-1)&gt;0),M276/$I276*100,0)))</f>
        <v>#NAME?</v>
      </c>
      <c r="K276" s="123" t="e">
        <f t="shared" ca="1" si="31"/>
        <v>#NAME?</v>
      </c>
      <c r="L276" s="335" t="e" cm="1">
        <f t="array" aca="1" ref="L276" ca="1">_xlfn.SINGLE(IF($A276="S",IF(CAIXA.Modo,BM.AFAcumulado,BM.MEDAcumulado),IF(AND(_xlfn.SINGLE(RegimeExecucao)="Global",$I276&gt;0,COUNTIF($AB$13:$AM$13,BM.medicao)&gt;0),O276/$I276*100,0)))</f>
        <v>#NAME?</v>
      </c>
      <c r="M276" s="336">
        <f ca="1">IF($A276="S",VTOTALBM,IF($A276=0,0,ROUND(SomaAgrupBM,15-13*ORÇAMENTO!$AF$11)))</f>
        <v>0</v>
      </c>
      <c r="N276" s="337">
        <f t="shared" ca="1" si="32"/>
        <v>0</v>
      </c>
      <c r="O276" s="126">
        <f ca="1">IF($A276="S",VTOTALBM,IF($A276=0,0,ROUND(SomaAgrupBM,15-13*ORÇAMENTO!$AF$11)))</f>
        <v>0</v>
      </c>
      <c r="Q276" s="338"/>
      <c r="R276" s="339"/>
      <c r="T276" s="118" t="str">
        <f t="shared" ca="1" si="33"/>
        <v/>
      </c>
      <c r="U276" s="164" t="str">
        <f t="shared" ca="1" si="34"/>
        <v/>
      </c>
      <c r="V276" s="165" t="str">
        <f ca="1">IF(AND($W276&gt;0,RegimeExecucao="Unitário"),$F276,"")</f>
        <v/>
      </c>
      <c r="W276" s="455">
        <f ca="1">IF($Y276&gt;0,CHOOSE(MATCH(RegimeExecucao,{"Unitário","Global"},0),IF($A276="S",$Y276/$X276,""),($Y276/$X276)*100),0)</f>
        <v>0</v>
      </c>
      <c r="X276" s="340" t="str">
        <f ca="1">IF($Y276&gt;0,CHOOSE(MATCH(RegimeExecucao,{"Unitário","Global"},0),IF($A276="S",ROUND($H276,ORÇAMENTO!$AF$10),""),ROUND($I276,ORÇAMENTO!$AF$11)),"")</f>
        <v/>
      </c>
      <c r="Y276" s="340">
        <f t="shared" ca="1" si="35"/>
        <v>0</v>
      </c>
      <c r="Z276" s="474"/>
      <c r="AB276" s="338"/>
      <c r="AC276" s="438"/>
      <c r="AD276" s="438"/>
      <c r="AE276" s="438"/>
      <c r="AF276" s="438"/>
      <c r="AG276" s="438"/>
      <c r="AH276" s="438"/>
      <c r="AI276" s="438"/>
      <c r="AJ276" s="438"/>
      <c r="AK276" s="438"/>
      <c r="AL276" s="438"/>
      <c r="AM276" s="339"/>
      <c r="AO276">
        <f ca="1">IF($A276="S",IF(BM!$I276=0,0,CHOOSE(MATCH(RegimeExecucao,{"Global","Unitário"},0),ROUND(ROUND(BM.MEDAcumulado,15-13*BM!$A$9)/100*BM!$I276,15-13*ORÇAMENTO!$AF$11),ROUND(ROUND(BM.MEDAcumulado,15-13*BM!$A$9)*ROUND(BM!$H276,15-13*ORÇAMENTO!$AF$10),15-13*ORÇAMENTO!$AF$11))),IF($A276=0,0,ROUND(SomaAgrupBM,15-13*ORÇAMENTO!$AF$11)))</f>
        <v>0</v>
      </c>
    </row>
    <row r="277" spans="1:41" x14ac:dyDescent="0.2">
      <c r="A277" t="str">
        <f ca="1">ORÇAMENTO!C277</f>
        <v>S</v>
      </c>
      <c r="B277">
        <f ca="1">ORÇAMENTO!D277</f>
        <v>0</v>
      </c>
      <c r="C277" s="115" t="str">
        <f t="shared" ca="1" si="29"/>
        <v/>
      </c>
      <c r="D277" s="118" t="str">
        <f ca="1">ORÇAMENTO!O277</f>
        <v>-</v>
      </c>
      <c r="E277" s="164" t="str">
        <f t="shared" si="30"/>
        <v>CENTRAL DE ALARME DE INCÊNDIO CONVENCIONAL - 24 SETORES</v>
      </c>
      <c r="F277" s="165" t="str">
        <f ca="1">IF(RegimeExecucao="Global","",ORÇAMENTO.Unidade)</f>
        <v>UN</v>
      </c>
      <c r="G277" s="123">
        <f ca="1">IF(RegimeExecucao="Global","",ORÇAMENTO!T277)</f>
        <v>1</v>
      </c>
      <c r="H277" s="123">
        <f ca="1">IF(RegimeExecucao="Global","",ORÇAMENTO!W277)</f>
        <v>0</v>
      </c>
      <c r="I277" s="126">
        <f ca="1">ORÇAMENTO!X277</f>
        <v>0</v>
      </c>
      <c r="J277" s="334" t="e" cm="1">
        <f t="array" aca="1" ref="J277" ca="1">_xlfn.SINGLE(IF($A277="S",IF(CAIXA.Modo,BM.AFAnterior,BM.MEDAnterior),IF(AND(_xlfn.SINGLE(RegimeExecucao)="Global",$I277&gt;0,COUNTIF($AB$13:$AM$13,BM.medicao-1)&gt;0),M277/$I277*100,0)))</f>
        <v>#NAME?</v>
      </c>
      <c r="K277" s="123" t="e">
        <f t="shared" ca="1" si="31"/>
        <v>#NAME?</v>
      </c>
      <c r="L277" s="335" t="e" cm="1">
        <f t="array" aca="1" ref="L277" ca="1">_xlfn.SINGLE(IF($A277="S",IF(CAIXA.Modo,BM.AFAcumulado,BM.MEDAcumulado),IF(AND(_xlfn.SINGLE(RegimeExecucao)="Global",$I277&gt;0,COUNTIF($AB$13:$AM$13,BM.medicao)&gt;0),O277/$I277*100,0)))</f>
        <v>#NAME?</v>
      </c>
      <c r="M277" s="336">
        <f ca="1">IF($A277="S",VTOTALBM,IF($A277=0,0,ROUND(SomaAgrupBM,15-13*ORÇAMENTO!$AF$11)))</f>
        <v>0</v>
      </c>
      <c r="N277" s="337">
        <f t="shared" ca="1" si="32"/>
        <v>0</v>
      </c>
      <c r="O277" s="126">
        <f ca="1">IF($A277="S",VTOTALBM,IF($A277=0,0,ROUND(SomaAgrupBM,15-13*ORÇAMENTO!$AF$11)))</f>
        <v>0</v>
      </c>
      <c r="Q277" s="338"/>
      <c r="R277" s="339"/>
      <c r="T277" s="118" t="str">
        <f t="shared" ca="1" si="33"/>
        <v/>
      </c>
      <c r="U277" s="164" t="str">
        <f t="shared" ca="1" si="34"/>
        <v/>
      </c>
      <c r="V277" s="165" t="str">
        <f ca="1">IF(AND($W277&gt;0,RegimeExecucao="Unitário"),$F277,"")</f>
        <v/>
      </c>
      <c r="W277" s="455">
        <f ca="1">IF($Y277&gt;0,CHOOSE(MATCH(RegimeExecucao,{"Unitário","Global"},0),IF($A277="S",$Y277/$X277,""),($Y277/$X277)*100),0)</f>
        <v>0</v>
      </c>
      <c r="X277" s="340" t="str">
        <f ca="1">IF($Y277&gt;0,CHOOSE(MATCH(RegimeExecucao,{"Unitário","Global"},0),IF($A277="S",ROUND($H277,ORÇAMENTO!$AF$10),""),ROUND($I277,ORÇAMENTO!$AF$11)),"")</f>
        <v/>
      </c>
      <c r="Y277" s="340">
        <f t="shared" ca="1" si="35"/>
        <v>0</v>
      </c>
      <c r="Z277" s="474"/>
      <c r="AB277" s="338"/>
      <c r="AC277" s="438"/>
      <c r="AD277" s="438"/>
      <c r="AE277" s="438"/>
      <c r="AF277" s="438"/>
      <c r="AG277" s="438"/>
      <c r="AH277" s="438"/>
      <c r="AI277" s="438"/>
      <c r="AJ277" s="438"/>
      <c r="AK277" s="438"/>
      <c r="AL277" s="438"/>
      <c r="AM277" s="339"/>
      <c r="AO277">
        <f ca="1">IF($A277="S",IF(BM!$I277=0,0,CHOOSE(MATCH(RegimeExecucao,{"Global","Unitário"},0),ROUND(ROUND(BM.MEDAcumulado,15-13*BM!$A$9)/100*BM!$I277,15-13*ORÇAMENTO!$AF$11),ROUND(ROUND(BM.MEDAcumulado,15-13*BM!$A$9)*ROUND(BM!$H277,15-13*ORÇAMENTO!$AF$10),15-13*ORÇAMENTO!$AF$11))),IF($A277=0,0,ROUND(SomaAgrupBM,15-13*ORÇAMENTO!$AF$11)))</f>
        <v>0</v>
      </c>
    </row>
    <row r="278" spans="1:41" x14ac:dyDescent="0.2">
      <c r="A278" t="str">
        <f ca="1">ORÇAMENTO!C278</f>
        <v>S</v>
      </c>
      <c r="B278">
        <f ca="1">ORÇAMENTO!D278</f>
        <v>0</v>
      </c>
      <c r="C278" s="115" t="str">
        <f t="shared" ca="1" si="29"/>
        <v/>
      </c>
      <c r="D278" s="118" t="str">
        <f ca="1">ORÇAMENTO!O278</f>
        <v>-</v>
      </c>
      <c r="E278" s="164" t="str">
        <f t="shared" si="30"/>
        <v>ACIONADOR MANUAL QUEBRA-VIDRO</v>
      </c>
      <c r="F278" s="165" t="str">
        <f ca="1">IF(RegimeExecucao="Global","",ORÇAMENTO.Unidade)</f>
        <v>UN</v>
      </c>
      <c r="G278" s="123">
        <f ca="1">IF(RegimeExecucao="Global","",ORÇAMENTO!T278)</f>
        <v>2</v>
      </c>
      <c r="H278" s="123">
        <f ca="1">IF(RegimeExecucao="Global","",ORÇAMENTO!W278)</f>
        <v>0</v>
      </c>
      <c r="I278" s="126">
        <f ca="1">ORÇAMENTO!X278</f>
        <v>0</v>
      </c>
      <c r="J278" s="334" t="e" cm="1">
        <f t="array" aca="1" ref="J278" ca="1">_xlfn.SINGLE(IF($A278="S",IF(CAIXA.Modo,BM.AFAnterior,BM.MEDAnterior),IF(AND(_xlfn.SINGLE(RegimeExecucao)="Global",$I278&gt;0,COUNTIF($AB$13:$AM$13,BM.medicao-1)&gt;0),M278/$I278*100,0)))</f>
        <v>#NAME?</v>
      </c>
      <c r="K278" s="123" t="e">
        <f t="shared" ca="1" si="31"/>
        <v>#NAME?</v>
      </c>
      <c r="L278" s="335" t="e" cm="1">
        <f t="array" aca="1" ref="L278" ca="1">_xlfn.SINGLE(IF($A278="S",IF(CAIXA.Modo,BM.AFAcumulado,BM.MEDAcumulado),IF(AND(_xlfn.SINGLE(RegimeExecucao)="Global",$I278&gt;0,COUNTIF($AB$13:$AM$13,BM.medicao)&gt;0),O278/$I278*100,0)))</f>
        <v>#NAME?</v>
      </c>
      <c r="M278" s="336">
        <f ca="1">IF($A278="S",VTOTALBM,IF($A278=0,0,ROUND(SomaAgrupBM,15-13*ORÇAMENTO!$AF$11)))</f>
        <v>0</v>
      </c>
      <c r="N278" s="337">
        <f t="shared" ca="1" si="32"/>
        <v>0</v>
      </c>
      <c r="O278" s="126">
        <f ca="1">IF($A278="S",VTOTALBM,IF($A278=0,0,ROUND(SomaAgrupBM,15-13*ORÇAMENTO!$AF$11)))</f>
        <v>0</v>
      </c>
      <c r="Q278" s="338"/>
      <c r="R278" s="339"/>
      <c r="T278" s="118" t="str">
        <f t="shared" ca="1" si="33"/>
        <v/>
      </c>
      <c r="U278" s="164" t="str">
        <f t="shared" ca="1" si="34"/>
        <v/>
      </c>
      <c r="V278" s="165" t="str">
        <f ca="1">IF(AND($W278&gt;0,RegimeExecucao="Unitário"),$F278,"")</f>
        <v/>
      </c>
      <c r="W278" s="455">
        <f ca="1">IF($Y278&gt;0,CHOOSE(MATCH(RegimeExecucao,{"Unitário","Global"},0),IF($A278="S",$Y278/$X278,""),($Y278/$X278)*100),0)</f>
        <v>0</v>
      </c>
      <c r="X278" s="340" t="str">
        <f ca="1">IF($Y278&gt;0,CHOOSE(MATCH(RegimeExecucao,{"Unitário","Global"},0),IF($A278="S",ROUND($H278,ORÇAMENTO!$AF$10),""),ROUND($I278,ORÇAMENTO!$AF$11)),"")</f>
        <v/>
      </c>
      <c r="Y278" s="340">
        <f t="shared" ca="1" si="35"/>
        <v>0</v>
      </c>
      <c r="Z278" s="474"/>
      <c r="AB278" s="338"/>
      <c r="AC278" s="438"/>
      <c r="AD278" s="438"/>
      <c r="AE278" s="438"/>
      <c r="AF278" s="438"/>
      <c r="AG278" s="438"/>
      <c r="AH278" s="438"/>
      <c r="AI278" s="438"/>
      <c r="AJ278" s="438"/>
      <c r="AK278" s="438"/>
      <c r="AL278" s="438"/>
      <c r="AM278" s="339"/>
      <c r="AO278">
        <f ca="1">IF($A278="S",IF(BM!$I278=0,0,CHOOSE(MATCH(RegimeExecucao,{"Global","Unitário"},0),ROUND(ROUND(BM.MEDAcumulado,15-13*BM!$A$9)/100*BM!$I278,15-13*ORÇAMENTO!$AF$11),ROUND(ROUND(BM.MEDAcumulado,15-13*BM!$A$9)*ROUND(BM!$H278,15-13*ORÇAMENTO!$AF$10),15-13*ORÇAMENTO!$AF$11))),IF($A278=0,0,ROUND(SomaAgrupBM,15-13*ORÇAMENTO!$AF$11)))</f>
        <v>0</v>
      </c>
    </row>
    <row r="279" spans="1:41" x14ac:dyDescent="0.2">
      <c r="A279" t="str">
        <f ca="1">ORÇAMENTO!C279</f>
        <v>S</v>
      </c>
      <c r="B279">
        <f ca="1">ORÇAMENTO!D279</f>
        <v>0</v>
      </c>
      <c r="C279" s="115" t="str">
        <f t="shared" ca="1" si="29"/>
        <v/>
      </c>
      <c r="D279" s="118" t="str">
        <f ca="1">ORÇAMENTO!O279</f>
        <v>-</v>
      </c>
      <c r="E279" s="164" t="str">
        <f t="shared" si="30"/>
        <v>DETECTOR DE FUMAÇA ÓPTICO ENDEREÇÁVEL</v>
      </c>
      <c r="F279" s="165" t="str">
        <f ca="1">IF(RegimeExecucao="Global","",ORÇAMENTO.Unidade)</f>
        <v>UN</v>
      </c>
      <c r="G279" s="123">
        <f ca="1">IF(RegimeExecucao="Global","",ORÇAMENTO!T279)</f>
        <v>1</v>
      </c>
      <c r="H279" s="123">
        <f ca="1">IF(RegimeExecucao="Global","",ORÇAMENTO!W279)</f>
        <v>0</v>
      </c>
      <c r="I279" s="126">
        <f ca="1">ORÇAMENTO!X279</f>
        <v>0</v>
      </c>
      <c r="J279" s="334" t="e" cm="1">
        <f t="array" aca="1" ref="J279" ca="1">_xlfn.SINGLE(IF($A279="S",IF(CAIXA.Modo,BM.AFAnterior,BM.MEDAnterior),IF(AND(_xlfn.SINGLE(RegimeExecucao)="Global",$I279&gt;0,COUNTIF($AB$13:$AM$13,BM.medicao-1)&gt;0),M279/$I279*100,0)))</f>
        <v>#NAME?</v>
      </c>
      <c r="K279" s="123" t="e">
        <f t="shared" ca="1" si="31"/>
        <v>#NAME?</v>
      </c>
      <c r="L279" s="335" t="e" cm="1">
        <f t="array" aca="1" ref="L279" ca="1">_xlfn.SINGLE(IF($A279="S",IF(CAIXA.Modo,BM.AFAcumulado,BM.MEDAcumulado),IF(AND(_xlfn.SINGLE(RegimeExecucao)="Global",$I279&gt;0,COUNTIF($AB$13:$AM$13,BM.medicao)&gt;0),O279/$I279*100,0)))</f>
        <v>#NAME?</v>
      </c>
      <c r="M279" s="336">
        <f ca="1">IF($A279="S",VTOTALBM,IF($A279=0,0,ROUND(SomaAgrupBM,15-13*ORÇAMENTO!$AF$11)))</f>
        <v>0</v>
      </c>
      <c r="N279" s="337">
        <f t="shared" ca="1" si="32"/>
        <v>0</v>
      </c>
      <c r="O279" s="126">
        <f ca="1">IF($A279="S",VTOTALBM,IF($A279=0,0,ROUND(SomaAgrupBM,15-13*ORÇAMENTO!$AF$11)))</f>
        <v>0</v>
      </c>
      <c r="Q279" s="338"/>
      <c r="R279" s="339"/>
      <c r="T279" s="118" t="str">
        <f t="shared" ca="1" si="33"/>
        <v/>
      </c>
      <c r="U279" s="164" t="str">
        <f t="shared" ca="1" si="34"/>
        <v/>
      </c>
      <c r="V279" s="165" t="str">
        <f ca="1">IF(AND($W279&gt;0,RegimeExecucao="Unitário"),$F279,"")</f>
        <v/>
      </c>
      <c r="W279" s="455">
        <f ca="1">IF($Y279&gt;0,CHOOSE(MATCH(RegimeExecucao,{"Unitário","Global"},0),IF($A279="S",$Y279/$X279,""),($Y279/$X279)*100),0)</f>
        <v>0</v>
      </c>
      <c r="X279" s="340" t="str">
        <f ca="1">IF($Y279&gt;0,CHOOSE(MATCH(RegimeExecucao,{"Unitário","Global"},0),IF($A279="S",ROUND($H279,ORÇAMENTO!$AF$10),""),ROUND($I279,ORÇAMENTO!$AF$11)),"")</f>
        <v/>
      </c>
      <c r="Y279" s="340">
        <f t="shared" ca="1" si="35"/>
        <v>0</v>
      </c>
      <c r="Z279" s="474"/>
      <c r="AB279" s="338"/>
      <c r="AC279" s="438"/>
      <c r="AD279" s="438"/>
      <c r="AE279" s="438"/>
      <c r="AF279" s="438"/>
      <c r="AG279" s="438"/>
      <c r="AH279" s="438"/>
      <c r="AI279" s="438"/>
      <c r="AJ279" s="438"/>
      <c r="AK279" s="438"/>
      <c r="AL279" s="438"/>
      <c r="AM279" s="339"/>
      <c r="AO279">
        <f ca="1">IF($A279="S",IF(BM!$I279=0,0,CHOOSE(MATCH(RegimeExecucao,{"Global","Unitário"},0),ROUND(ROUND(BM.MEDAcumulado,15-13*BM!$A$9)/100*BM!$I279,15-13*ORÇAMENTO!$AF$11),ROUND(ROUND(BM.MEDAcumulado,15-13*BM!$A$9)*ROUND(BM!$H279,15-13*ORÇAMENTO!$AF$10),15-13*ORÇAMENTO!$AF$11))),IF($A279=0,0,ROUND(SomaAgrupBM,15-13*ORÇAMENTO!$AF$11)))</f>
        <v>0</v>
      </c>
    </row>
    <row r="280" spans="1:41" x14ac:dyDescent="0.2">
      <c r="A280" t="str">
        <f ca="1">ORÇAMENTO!C280</f>
        <v>S</v>
      </c>
      <c r="B280">
        <f ca="1">ORÇAMENTO!D280</f>
        <v>0</v>
      </c>
      <c r="C280" s="115" t="str">
        <f t="shared" ca="1" si="29"/>
        <v/>
      </c>
      <c r="D280" s="118" t="str">
        <f ca="1">ORÇAMENTO!O280</f>
        <v>-</v>
      </c>
      <c r="E280" s="164" t="str">
        <f t="shared" si="30"/>
        <v>CABO BLINDADO PARA ALARME DE INCÊNDIO 4 VIAS 4 x 1 mm</v>
      </c>
      <c r="F280" s="165" t="str">
        <f ca="1">IF(RegimeExecucao="Global","",ORÇAMENTO.Unidade)</f>
        <v>M</v>
      </c>
      <c r="G280" s="123">
        <f ca="1">IF(RegimeExecucao="Global","",ORÇAMENTO!T280)</f>
        <v>205</v>
      </c>
      <c r="H280" s="123">
        <f ca="1">IF(RegimeExecucao="Global","",ORÇAMENTO!W280)</f>
        <v>0</v>
      </c>
      <c r="I280" s="126">
        <f ca="1">ORÇAMENTO!X280</f>
        <v>0</v>
      </c>
      <c r="J280" s="334" t="e" cm="1">
        <f t="array" aca="1" ref="J280" ca="1">_xlfn.SINGLE(IF($A280="S",IF(CAIXA.Modo,BM.AFAnterior,BM.MEDAnterior),IF(AND(_xlfn.SINGLE(RegimeExecucao)="Global",$I280&gt;0,COUNTIF($AB$13:$AM$13,BM.medicao-1)&gt;0),M280/$I280*100,0)))</f>
        <v>#NAME?</v>
      </c>
      <c r="K280" s="123" t="e">
        <f t="shared" ca="1" si="31"/>
        <v>#NAME?</v>
      </c>
      <c r="L280" s="335" t="e" cm="1">
        <f t="array" aca="1" ref="L280" ca="1">_xlfn.SINGLE(IF($A280="S",IF(CAIXA.Modo,BM.AFAcumulado,BM.MEDAcumulado),IF(AND(_xlfn.SINGLE(RegimeExecucao)="Global",$I280&gt;0,COUNTIF($AB$13:$AM$13,BM.medicao)&gt;0),O280/$I280*100,0)))</f>
        <v>#NAME?</v>
      </c>
      <c r="M280" s="336">
        <f ca="1">IF($A280="S",VTOTALBM,IF($A280=0,0,ROUND(SomaAgrupBM,15-13*ORÇAMENTO!$AF$11)))</f>
        <v>0</v>
      </c>
      <c r="N280" s="337">
        <f t="shared" ca="1" si="32"/>
        <v>0</v>
      </c>
      <c r="O280" s="126">
        <f ca="1">IF($A280="S",VTOTALBM,IF($A280=0,0,ROUND(SomaAgrupBM,15-13*ORÇAMENTO!$AF$11)))</f>
        <v>0</v>
      </c>
      <c r="Q280" s="338"/>
      <c r="R280" s="339"/>
      <c r="T280" s="118" t="str">
        <f t="shared" ca="1" si="33"/>
        <v/>
      </c>
      <c r="U280" s="164" t="str">
        <f t="shared" ca="1" si="34"/>
        <v/>
      </c>
      <c r="V280" s="165" t="str">
        <f ca="1">IF(AND($W280&gt;0,RegimeExecucao="Unitário"),$F280,"")</f>
        <v/>
      </c>
      <c r="W280" s="455">
        <f ca="1">IF($Y280&gt;0,CHOOSE(MATCH(RegimeExecucao,{"Unitário","Global"},0),IF($A280="S",$Y280/$X280,""),($Y280/$X280)*100),0)</f>
        <v>0</v>
      </c>
      <c r="X280" s="340" t="str">
        <f ca="1">IF($Y280&gt;0,CHOOSE(MATCH(RegimeExecucao,{"Unitário","Global"},0),IF($A280="S",ROUND($H280,ORÇAMENTO!$AF$10),""),ROUND($I280,ORÇAMENTO!$AF$11)),"")</f>
        <v/>
      </c>
      <c r="Y280" s="340">
        <f t="shared" ca="1" si="35"/>
        <v>0</v>
      </c>
      <c r="Z280" s="474"/>
      <c r="AB280" s="338"/>
      <c r="AC280" s="438"/>
      <c r="AD280" s="438"/>
      <c r="AE280" s="438"/>
      <c r="AF280" s="438"/>
      <c r="AG280" s="438"/>
      <c r="AH280" s="438"/>
      <c r="AI280" s="438"/>
      <c r="AJ280" s="438"/>
      <c r="AK280" s="438"/>
      <c r="AL280" s="438"/>
      <c r="AM280" s="339"/>
      <c r="AO280">
        <f ca="1">IF($A280="S",IF(BM!$I280=0,0,CHOOSE(MATCH(RegimeExecucao,{"Global","Unitário"},0),ROUND(ROUND(BM.MEDAcumulado,15-13*BM!$A$9)/100*BM!$I280,15-13*ORÇAMENTO!$AF$11),ROUND(ROUND(BM.MEDAcumulado,15-13*BM!$A$9)*ROUND(BM!$H280,15-13*ORÇAMENTO!$AF$10),15-13*ORÇAMENTO!$AF$11))),IF($A280=0,0,ROUND(SomaAgrupBM,15-13*ORÇAMENTO!$AF$11)))</f>
        <v>0</v>
      </c>
    </row>
    <row r="281" spans="1:41" x14ac:dyDescent="0.2">
      <c r="A281" t="str">
        <f ca="1">ORÇAMENTO!C281</f>
        <v>S</v>
      </c>
      <c r="B281">
        <f ca="1">ORÇAMENTO!D281</f>
        <v>0</v>
      </c>
      <c r="C281" s="115" t="str">
        <f t="shared" ca="1" si="29"/>
        <v/>
      </c>
      <c r="D281" s="118" t="str">
        <f ca="1">ORÇAMENTO!O281</f>
        <v>-</v>
      </c>
      <c r="E281" s="164" t="str">
        <f t="shared" si="30"/>
        <v>ELETRODUTO EM PVC VERMELHO 3/4" - 3 METROS SEM ROSCA</v>
      </c>
      <c r="F281" s="165" t="str">
        <f ca="1">IF(RegimeExecucao="Global","",ORÇAMENTO.Unidade)</f>
        <v>UN</v>
      </c>
      <c r="G281" s="123">
        <f ca="1">IF(RegimeExecucao="Global","",ORÇAMENTO!T281)</f>
        <v>90</v>
      </c>
      <c r="H281" s="123">
        <f ca="1">IF(RegimeExecucao="Global","",ORÇAMENTO!W281)</f>
        <v>0</v>
      </c>
      <c r="I281" s="126">
        <f ca="1">ORÇAMENTO!X281</f>
        <v>0</v>
      </c>
      <c r="J281" s="334" t="e" cm="1">
        <f t="array" aca="1" ref="J281" ca="1">_xlfn.SINGLE(IF($A281="S",IF(CAIXA.Modo,BM.AFAnterior,BM.MEDAnterior),IF(AND(_xlfn.SINGLE(RegimeExecucao)="Global",$I281&gt;0,COUNTIF($AB$13:$AM$13,BM.medicao-1)&gt;0),M281/$I281*100,0)))</f>
        <v>#NAME?</v>
      </c>
      <c r="K281" s="123" t="e">
        <f t="shared" ca="1" si="31"/>
        <v>#NAME?</v>
      </c>
      <c r="L281" s="335" t="e" cm="1">
        <f t="array" aca="1" ref="L281" ca="1">_xlfn.SINGLE(IF($A281="S",IF(CAIXA.Modo,BM.AFAcumulado,BM.MEDAcumulado),IF(AND(_xlfn.SINGLE(RegimeExecucao)="Global",$I281&gt;0,COUNTIF($AB$13:$AM$13,BM.medicao)&gt;0),O281/$I281*100,0)))</f>
        <v>#NAME?</v>
      </c>
      <c r="M281" s="336">
        <f ca="1">IF($A281="S",VTOTALBM,IF($A281=0,0,ROUND(SomaAgrupBM,15-13*ORÇAMENTO!$AF$11)))</f>
        <v>0</v>
      </c>
      <c r="N281" s="337">
        <f t="shared" ca="1" si="32"/>
        <v>0</v>
      </c>
      <c r="O281" s="126">
        <f ca="1">IF($A281="S",VTOTALBM,IF($A281=0,0,ROUND(SomaAgrupBM,15-13*ORÇAMENTO!$AF$11)))</f>
        <v>0</v>
      </c>
      <c r="Q281" s="338"/>
      <c r="R281" s="339"/>
      <c r="T281" s="118" t="str">
        <f t="shared" ca="1" si="33"/>
        <v/>
      </c>
      <c r="U281" s="164" t="str">
        <f t="shared" ca="1" si="34"/>
        <v/>
      </c>
      <c r="V281" s="165" t="str">
        <f ca="1">IF(AND($W281&gt;0,RegimeExecucao="Unitário"),$F281,"")</f>
        <v/>
      </c>
      <c r="W281" s="455">
        <f ca="1">IF($Y281&gt;0,CHOOSE(MATCH(RegimeExecucao,{"Unitário","Global"},0),IF($A281="S",$Y281/$X281,""),($Y281/$X281)*100),0)</f>
        <v>0</v>
      </c>
      <c r="X281" s="340" t="str">
        <f ca="1">IF($Y281&gt;0,CHOOSE(MATCH(RegimeExecucao,{"Unitário","Global"},0),IF($A281="S",ROUND($H281,ORÇAMENTO!$AF$10),""),ROUND($I281,ORÇAMENTO!$AF$11)),"")</f>
        <v/>
      </c>
      <c r="Y281" s="340">
        <f t="shared" ca="1" si="35"/>
        <v>0</v>
      </c>
      <c r="Z281" s="474"/>
      <c r="AB281" s="338"/>
      <c r="AC281" s="438"/>
      <c r="AD281" s="438"/>
      <c r="AE281" s="438"/>
      <c r="AF281" s="438"/>
      <c r="AG281" s="438"/>
      <c r="AH281" s="438"/>
      <c r="AI281" s="438"/>
      <c r="AJ281" s="438"/>
      <c r="AK281" s="438"/>
      <c r="AL281" s="438"/>
      <c r="AM281" s="339"/>
      <c r="AO281">
        <f ca="1">IF($A281="S",IF(BM!$I281=0,0,CHOOSE(MATCH(RegimeExecucao,{"Global","Unitário"},0),ROUND(ROUND(BM.MEDAcumulado,15-13*BM!$A$9)/100*BM!$I281,15-13*ORÇAMENTO!$AF$11),ROUND(ROUND(BM.MEDAcumulado,15-13*BM!$A$9)*ROUND(BM!$H281,15-13*ORÇAMENTO!$AF$10),15-13*ORÇAMENTO!$AF$11))),IF($A281=0,0,ROUND(SomaAgrupBM,15-13*ORÇAMENTO!$AF$11)))</f>
        <v>0</v>
      </c>
    </row>
    <row r="282" spans="1:41" ht="25.5" x14ac:dyDescent="0.2">
      <c r="A282" t="str">
        <f ca="1">ORÇAMENTO!C282</f>
        <v>S</v>
      </c>
      <c r="B282">
        <f ca="1">ORÇAMENTO!D282</f>
        <v>0</v>
      </c>
      <c r="C282" s="115" t="str">
        <f t="shared" ca="1" si="29"/>
        <v/>
      </c>
      <c r="D282" s="118" t="str">
        <f ca="1">ORÇAMENTO!O282</f>
        <v>-</v>
      </c>
      <c r="E282" s="164" t="str">
        <f t="shared" si="30"/>
        <v xml:space="preserve">COTOVELO 90º EM PVC VERMELHO 3/4" SEM ROSCA COM ABERTURA </v>
      </c>
      <c r="F282" s="165" t="str">
        <f ca="1">IF(RegimeExecucao="Global","",ORÇAMENTO.Unidade)</f>
        <v>UN</v>
      </c>
      <c r="G282" s="123">
        <f ca="1">IF(RegimeExecucao="Global","",ORÇAMENTO!T282)</f>
        <v>10</v>
      </c>
      <c r="H282" s="123">
        <f ca="1">IF(RegimeExecucao="Global","",ORÇAMENTO!W282)</f>
        <v>0</v>
      </c>
      <c r="I282" s="126">
        <f ca="1">ORÇAMENTO!X282</f>
        <v>0</v>
      </c>
      <c r="J282" s="334" t="e" cm="1">
        <f t="array" aca="1" ref="J282" ca="1">_xlfn.SINGLE(IF($A282="S",IF(CAIXA.Modo,BM.AFAnterior,BM.MEDAnterior),IF(AND(_xlfn.SINGLE(RegimeExecucao)="Global",$I282&gt;0,COUNTIF($AB$13:$AM$13,BM.medicao-1)&gt;0),M282/$I282*100,0)))</f>
        <v>#NAME?</v>
      </c>
      <c r="K282" s="123" t="e">
        <f t="shared" ca="1" si="31"/>
        <v>#NAME?</v>
      </c>
      <c r="L282" s="335" t="e" cm="1">
        <f t="array" aca="1" ref="L282" ca="1">_xlfn.SINGLE(IF($A282="S",IF(CAIXA.Modo,BM.AFAcumulado,BM.MEDAcumulado),IF(AND(_xlfn.SINGLE(RegimeExecucao)="Global",$I282&gt;0,COUNTIF($AB$13:$AM$13,BM.medicao)&gt;0),O282/$I282*100,0)))</f>
        <v>#NAME?</v>
      </c>
      <c r="M282" s="336">
        <f ca="1">IF($A282="S",VTOTALBM,IF($A282=0,0,ROUND(SomaAgrupBM,15-13*ORÇAMENTO!$AF$11)))</f>
        <v>0</v>
      </c>
      <c r="N282" s="337">
        <f t="shared" ca="1" si="32"/>
        <v>0</v>
      </c>
      <c r="O282" s="126">
        <f ca="1">IF($A282="S",VTOTALBM,IF($A282=0,0,ROUND(SomaAgrupBM,15-13*ORÇAMENTO!$AF$11)))</f>
        <v>0</v>
      </c>
      <c r="Q282" s="338"/>
      <c r="R282" s="339"/>
      <c r="T282" s="118" t="str">
        <f t="shared" ca="1" si="33"/>
        <v/>
      </c>
      <c r="U282" s="164" t="str">
        <f t="shared" ca="1" si="34"/>
        <v/>
      </c>
      <c r="V282" s="165" t="str">
        <f ca="1">IF(AND($W282&gt;0,RegimeExecucao="Unitário"),$F282,"")</f>
        <v/>
      </c>
      <c r="W282" s="455">
        <f ca="1">IF($Y282&gt;0,CHOOSE(MATCH(RegimeExecucao,{"Unitário","Global"},0),IF($A282="S",$Y282/$X282,""),($Y282/$X282)*100),0)</f>
        <v>0</v>
      </c>
      <c r="X282" s="340" t="str">
        <f ca="1">IF($Y282&gt;0,CHOOSE(MATCH(RegimeExecucao,{"Unitário","Global"},0),IF($A282="S",ROUND($H282,ORÇAMENTO!$AF$10),""),ROUND($I282,ORÇAMENTO!$AF$11)),"")</f>
        <v/>
      </c>
      <c r="Y282" s="340">
        <f t="shared" ca="1" si="35"/>
        <v>0</v>
      </c>
      <c r="Z282" s="474"/>
      <c r="AB282" s="338"/>
      <c r="AC282" s="438"/>
      <c r="AD282" s="438"/>
      <c r="AE282" s="438"/>
      <c r="AF282" s="438"/>
      <c r="AG282" s="438"/>
      <c r="AH282" s="438"/>
      <c r="AI282" s="438"/>
      <c r="AJ282" s="438"/>
      <c r="AK282" s="438"/>
      <c r="AL282" s="438"/>
      <c r="AM282" s="339"/>
      <c r="AO282">
        <f ca="1">IF($A282="S",IF(BM!$I282=0,0,CHOOSE(MATCH(RegimeExecucao,{"Global","Unitário"},0),ROUND(ROUND(BM.MEDAcumulado,15-13*BM!$A$9)/100*BM!$I282,15-13*ORÇAMENTO!$AF$11),ROUND(ROUND(BM.MEDAcumulado,15-13*BM!$A$9)*ROUND(BM!$H282,15-13*ORÇAMENTO!$AF$10),15-13*ORÇAMENTO!$AF$11))),IF($A282=0,0,ROUND(SomaAgrupBM,15-13*ORÇAMENTO!$AF$11)))</f>
        <v>0</v>
      </c>
    </row>
    <row r="283" spans="1:41" x14ac:dyDescent="0.2">
      <c r="A283" t="str">
        <f ca="1">ORÇAMENTO!C283</f>
        <v>S</v>
      </c>
      <c r="B283">
        <f ca="1">ORÇAMENTO!D283</f>
        <v>0</v>
      </c>
      <c r="C283" s="115" t="str">
        <f t="shared" ca="1" si="29"/>
        <v/>
      </c>
      <c r="D283" s="118" t="str">
        <f ca="1">ORÇAMENTO!O283</f>
        <v>-</v>
      </c>
      <c r="E283" s="164" t="str">
        <f t="shared" si="30"/>
        <v>ELETRICISTA COM ENCARGOS COMPLEMENTARES</v>
      </c>
      <c r="F283" s="165" t="str">
        <f ca="1">IF(RegimeExecucao="Global","",ORÇAMENTO.Unidade)</f>
        <v>H</v>
      </c>
      <c r="G283" s="123">
        <f ca="1">IF(RegimeExecucao="Global","",ORÇAMENTO!T283)</f>
        <v>24</v>
      </c>
      <c r="H283" s="123">
        <f ca="1">IF(RegimeExecucao="Global","",ORÇAMENTO!W283)</f>
        <v>0</v>
      </c>
      <c r="I283" s="126">
        <f ca="1">ORÇAMENTO!X283</f>
        <v>0</v>
      </c>
      <c r="J283" s="334" t="e" cm="1">
        <f t="array" aca="1" ref="J283" ca="1">_xlfn.SINGLE(IF($A283="S",IF(CAIXA.Modo,BM.AFAnterior,BM.MEDAnterior),IF(AND(_xlfn.SINGLE(RegimeExecucao)="Global",$I283&gt;0,COUNTIF($AB$13:$AM$13,BM.medicao-1)&gt;0),M283/$I283*100,0)))</f>
        <v>#NAME?</v>
      </c>
      <c r="K283" s="123" t="e">
        <f t="shared" ca="1" si="31"/>
        <v>#NAME?</v>
      </c>
      <c r="L283" s="335" t="e" cm="1">
        <f t="array" aca="1" ref="L283" ca="1">_xlfn.SINGLE(IF($A283="S",IF(CAIXA.Modo,BM.AFAcumulado,BM.MEDAcumulado),IF(AND(_xlfn.SINGLE(RegimeExecucao)="Global",$I283&gt;0,COUNTIF($AB$13:$AM$13,BM.medicao)&gt;0),O283/$I283*100,0)))</f>
        <v>#NAME?</v>
      </c>
      <c r="M283" s="336">
        <f ca="1">IF($A283="S",VTOTALBM,IF($A283=0,0,ROUND(SomaAgrupBM,15-13*ORÇAMENTO!$AF$11)))</f>
        <v>0</v>
      </c>
      <c r="N283" s="337">
        <f t="shared" ca="1" si="32"/>
        <v>0</v>
      </c>
      <c r="O283" s="126">
        <f ca="1">IF($A283="S",VTOTALBM,IF($A283=0,0,ROUND(SomaAgrupBM,15-13*ORÇAMENTO!$AF$11)))</f>
        <v>0</v>
      </c>
      <c r="Q283" s="338"/>
      <c r="R283" s="339"/>
      <c r="T283" s="118" t="str">
        <f t="shared" ca="1" si="33"/>
        <v/>
      </c>
      <c r="U283" s="164" t="str">
        <f t="shared" ca="1" si="34"/>
        <v/>
      </c>
      <c r="V283" s="165" t="str">
        <f ca="1">IF(AND($W283&gt;0,RegimeExecucao="Unitário"),$F283,"")</f>
        <v/>
      </c>
      <c r="W283" s="455">
        <f ca="1">IF($Y283&gt;0,CHOOSE(MATCH(RegimeExecucao,{"Unitário","Global"},0),IF($A283="S",$Y283/$X283,""),($Y283/$X283)*100),0)</f>
        <v>0</v>
      </c>
      <c r="X283" s="340" t="str">
        <f ca="1">IF($Y283&gt;0,CHOOSE(MATCH(RegimeExecucao,{"Unitário","Global"},0),IF($A283="S",ROUND($H283,ORÇAMENTO!$AF$10),""),ROUND($I283,ORÇAMENTO!$AF$11)),"")</f>
        <v/>
      </c>
      <c r="Y283" s="340">
        <f t="shared" ca="1" si="35"/>
        <v>0</v>
      </c>
      <c r="Z283" s="474"/>
      <c r="AB283" s="338"/>
      <c r="AC283" s="438"/>
      <c r="AD283" s="438"/>
      <c r="AE283" s="438"/>
      <c r="AF283" s="438"/>
      <c r="AG283" s="438"/>
      <c r="AH283" s="438"/>
      <c r="AI283" s="438"/>
      <c r="AJ283" s="438"/>
      <c r="AK283" s="438"/>
      <c r="AL283" s="438"/>
      <c r="AM283" s="339"/>
      <c r="AO283">
        <f ca="1">IF($A283="S",IF(BM!$I283=0,0,CHOOSE(MATCH(RegimeExecucao,{"Global","Unitário"},0),ROUND(ROUND(BM.MEDAcumulado,15-13*BM!$A$9)/100*BM!$I283,15-13*ORÇAMENTO!$AF$11),ROUND(ROUND(BM.MEDAcumulado,15-13*BM!$A$9)*ROUND(BM!$H283,15-13*ORÇAMENTO!$AF$10),15-13*ORÇAMENTO!$AF$11))),IF($A283=0,0,ROUND(SomaAgrupBM,15-13*ORÇAMENTO!$AF$11)))</f>
        <v>0</v>
      </c>
    </row>
    <row r="284" spans="1:41" x14ac:dyDescent="0.2">
      <c r="A284" t="str">
        <f ca="1">ORÇAMENTO!C284</f>
        <v>S</v>
      </c>
      <c r="B284">
        <f ca="1">ORÇAMENTO!D284</f>
        <v>0</v>
      </c>
      <c r="C284" s="115" t="str">
        <f t="shared" ca="1" si="29"/>
        <v/>
      </c>
      <c r="D284" s="118" t="str">
        <f ca="1">ORÇAMENTO!O284</f>
        <v>-</v>
      </c>
      <c r="E284" s="164" t="str">
        <f t="shared" si="30"/>
        <v>SERVENTE COM ENCARGOS COMPLEMENTARES</v>
      </c>
      <c r="F284" s="165" t="str">
        <f ca="1">IF(RegimeExecucao="Global","",ORÇAMENTO.Unidade)</f>
        <v>H</v>
      </c>
      <c r="G284" s="123">
        <f ca="1">IF(RegimeExecucao="Global","",ORÇAMENTO!T284)</f>
        <v>24</v>
      </c>
      <c r="H284" s="123">
        <f ca="1">IF(RegimeExecucao="Global","",ORÇAMENTO!W284)</f>
        <v>0</v>
      </c>
      <c r="I284" s="126">
        <f ca="1">ORÇAMENTO!X284</f>
        <v>0</v>
      </c>
      <c r="J284" s="334" t="e" cm="1">
        <f t="array" aca="1" ref="J284" ca="1">_xlfn.SINGLE(IF($A284="S",IF(CAIXA.Modo,BM.AFAnterior,BM.MEDAnterior),IF(AND(_xlfn.SINGLE(RegimeExecucao)="Global",$I284&gt;0,COUNTIF($AB$13:$AM$13,BM.medicao-1)&gt;0),M284/$I284*100,0)))</f>
        <v>#NAME?</v>
      </c>
      <c r="K284" s="123" t="e">
        <f t="shared" ca="1" si="31"/>
        <v>#NAME?</v>
      </c>
      <c r="L284" s="335" t="e" cm="1">
        <f t="array" aca="1" ref="L284" ca="1">_xlfn.SINGLE(IF($A284="S",IF(CAIXA.Modo,BM.AFAcumulado,BM.MEDAcumulado),IF(AND(_xlfn.SINGLE(RegimeExecucao)="Global",$I284&gt;0,COUNTIF($AB$13:$AM$13,BM.medicao)&gt;0),O284/$I284*100,0)))</f>
        <v>#NAME?</v>
      </c>
      <c r="M284" s="336">
        <f ca="1">IF($A284="S",VTOTALBM,IF($A284=0,0,ROUND(SomaAgrupBM,15-13*ORÇAMENTO!$AF$11)))</f>
        <v>0</v>
      </c>
      <c r="N284" s="337">
        <f t="shared" ca="1" si="32"/>
        <v>0</v>
      </c>
      <c r="O284" s="126">
        <f ca="1">IF($A284="S",VTOTALBM,IF($A284=0,0,ROUND(SomaAgrupBM,15-13*ORÇAMENTO!$AF$11)))</f>
        <v>0</v>
      </c>
      <c r="Q284" s="338"/>
      <c r="R284" s="339"/>
      <c r="T284" s="118" t="str">
        <f t="shared" ca="1" si="33"/>
        <v/>
      </c>
      <c r="U284" s="164" t="str">
        <f t="shared" ca="1" si="34"/>
        <v/>
      </c>
      <c r="V284" s="165" t="str">
        <f ca="1">IF(AND($W284&gt;0,RegimeExecucao="Unitário"),$F284,"")</f>
        <v/>
      </c>
      <c r="W284" s="455">
        <f ca="1">IF($Y284&gt;0,CHOOSE(MATCH(RegimeExecucao,{"Unitário","Global"},0),IF($A284="S",$Y284/$X284,""),($Y284/$X284)*100),0)</f>
        <v>0</v>
      </c>
      <c r="X284" s="340" t="str">
        <f ca="1">IF($Y284&gt;0,CHOOSE(MATCH(RegimeExecucao,{"Unitário","Global"},0),IF($A284="S",ROUND($H284,ORÇAMENTO!$AF$10),""),ROUND($I284,ORÇAMENTO!$AF$11)),"")</f>
        <v/>
      </c>
      <c r="Y284" s="340">
        <f t="shared" ca="1" si="35"/>
        <v>0</v>
      </c>
      <c r="Z284" s="474"/>
      <c r="AB284" s="338"/>
      <c r="AC284" s="438"/>
      <c r="AD284" s="438"/>
      <c r="AE284" s="438"/>
      <c r="AF284" s="438"/>
      <c r="AG284" s="438"/>
      <c r="AH284" s="438"/>
      <c r="AI284" s="438"/>
      <c r="AJ284" s="438"/>
      <c r="AK284" s="438"/>
      <c r="AL284" s="438"/>
      <c r="AM284" s="339"/>
      <c r="AO284">
        <f ca="1">IF($A284="S",IF(BM!$I284=0,0,CHOOSE(MATCH(RegimeExecucao,{"Global","Unitário"},0),ROUND(ROUND(BM.MEDAcumulado,15-13*BM!$A$9)/100*BM!$I284,15-13*ORÇAMENTO!$AF$11),ROUND(ROUND(BM.MEDAcumulado,15-13*BM!$A$9)*ROUND(BM!$H284,15-13*ORÇAMENTO!$AF$10),15-13*ORÇAMENTO!$AF$11))),IF($A284=0,0,ROUND(SomaAgrupBM,15-13*ORÇAMENTO!$AF$11)))</f>
        <v>0</v>
      </c>
    </row>
    <row r="285" spans="1:41" x14ac:dyDescent="0.2">
      <c r="A285" t="str">
        <f ca="1">ORÇAMENTO!C285</f>
        <v>S</v>
      </c>
      <c r="B285">
        <f ca="1">ORÇAMENTO!D285</f>
        <v>0</v>
      </c>
      <c r="C285" s="115" t="str">
        <f t="shared" ca="1" si="29"/>
        <v/>
      </c>
      <c r="D285" s="118" t="str">
        <f ca="1">ORÇAMENTO!O285</f>
        <v>-</v>
      </c>
      <c r="E285" s="164" t="str">
        <f t="shared" si="30"/>
        <v>AUXILIAR DE ELETRICISTA COM ENCARGOS COMPLEMENTARES</v>
      </c>
      <c r="F285" s="165" t="str">
        <f ca="1">IF(RegimeExecucao="Global","",ORÇAMENTO.Unidade)</f>
        <v>H</v>
      </c>
      <c r="G285" s="123">
        <f ca="1">IF(RegimeExecucao="Global","",ORÇAMENTO!T285)</f>
        <v>8</v>
      </c>
      <c r="H285" s="123">
        <f ca="1">IF(RegimeExecucao="Global","",ORÇAMENTO!W285)</f>
        <v>0</v>
      </c>
      <c r="I285" s="126">
        <f ca="1">ORÇAMENTO!X285</f>
        <v>0</v>
      </c>
      <c r="J285" s="334" t="e" cm="1">
        <f t="array" aca="1" ref="J285" ca="1">_xlfn.SINGLE(IF($A285="S",IF(CAIXA.Modo,BM.AFAnterior,BM.MEDAnterior),IF(AND(_xlfn.SINGLE(RegimeExecucao)="Global",$I285&gt;0,COUNTIF($AB$13:$AM$13,BM.medicao-1)&gt;0),M285/$I285*100,0)))</f>
        <v>#NAME?</v>
      </c>
      <c r="K285" s="123" t="e">
        <f t="shared" ca="1" si="31"/>
        <v>#NAME?</v>
      </c>
      <c r="L285" s="335" t="e" cm="1">
        <f t="array" aca="1" ref="L285" ca="1">_xlfn.SINGLE(IF($A285="S",IF(CAIXA.Modo,BM.AFAcumulado,BM.MEDAcumulado),IF(AND(_xlfn.SINGLE(RegimeExecucao)="Global",$I285&gt;0,COUNTIF($AB$13:$AM$13,BM.medicao)&gt;0),O285/$I285*100,0)))</f>
        <v>#NAME?</v>
      </c>
      <c r="M285" s="336">
        <f ca="1">IF($A285="S",VTOTALBM,IF($A285=0,0,ROUND(SomaAgrupBM,15-13*ORÇAMENTO!$AF$11)))</f>
        <v>0</v>
      </c>
      <c r="N285" s="337">
        <f t="shared" ca="1" si="32"/>
        <v>0</v>
      </c>
      <c r="O285" s="126">
        <f ca="1">IF($A285="S",VTOTALBM,IF($A285=0,0,ROUND(SomaAgrupBM,15-13*ORÇAMENTO!$AF$11)))</f>
        <v>0</v>
      </c>
      <c r="Q285" s="338"/>
      <c r="R285" s="339"/>
      <c r="T285" s="118" t="str">
        <f t="shared" ca="1" si="33"/>
        <v/>
      </c>
      <c r="U285" s="164" t="str">
        <f t="shared" ca="1" si="34"/>
        <v/>
      </c>
      <c r="V285" s="165" t="str">
        <f ca="1">IF(AND($W285&gt;0,RegimeExecucao="Unitário"),$F285,"")</f>
        <v/>
      </c>
      <c r="W285" s="455">
        <f ca="1">IF($Y285&gt;0,CHOOSE(MATCH(RegimeExecucao,{"Unitário","Global"},0),IF($A285="S",$Y285/$X285,""),($Y285/$X285)*100),0)</f>
        <v>0</v>
      </c>
      <c r="X285" s="340" t="str">
        <f ca="1">IF($Y285&gt;0,CHOOSE(MATCH(RegimeExecucao,{"Unitário","Global"},0),IF($A285="S",ROUND($H285,ORÇAMENTO!$AF$10),""),ROUND($I285,ORÇAMENTO!$AF$11)),"")</f>
        <v/>
      </c>
      <c r="Y285" s="340">
        <f t="shared" ca="1" si="35"/>
        <v>0</v>
      </c>
      <c r="Z285" s="474"/>
      <c r="AB285" s="338"/>
      <c r="AC285" s="438"/>
      <c r="AD285" s="438"/>
      <c r="AE285" s="438"/>
      <c r="AF285" s="438"/>
      <c r="AG285" s="438"/>
      <c r="AH285" s="438"/>
      <c r="AI285" s="438"/>
      <c r="AJ285" s="438"/>
      <c r="AK285" s="438"/>
      <c r="AL285" s="438"/>
      <c r="AM285" s="339"/>
      <c r="AO285">
        <f ca="1">IF($A285="S",IF(BM!$I285=0,0,CHOOSE(MATCH(RegimeExecucao,{"Global","Unitário"},0),ROUND(ROUND(BM.MEDAcumulado,15-13*BM!$A$9)/100*BM!$I285,15-13*ORÇAMENTO!$AF$11),ROUND(ROUND(BM.MEDAcumulado,15-13*BM!$A$9)*ROUND(BM!$H285,15-13*ORÇAMENTO!$AF$10),15-13*ORÇAMENTO!$AF$11))),IF($A285=0,0,ROUND(SomaAgrupBM,15-13*ORÇAMENTO!$AF$11)))</f>
        <v>0</v>
      </c>
    </row>
    <row r="286" spans="1:41" x14ac:dyDescent="0.2">
      <c r="A286">
        <f ca="1">ORÇAMENTO!C286</f>
        <v>3</v>
      </c>
      <c r="B286">
        <f ca="1">ORÇAMENTO!D286</f>
        <v>3</v>
      </c>
      <c r="C286" s="115" t="str">
        <f t="shared" ca="1" si="29"/>
        <v>F</v>
      </c>
      <c r="D286" s="118" t="str">
        <f ca="1">ORÇAMENTO!O286</f>
        <v>1.16.4.</v>
      </c>
      <c r="E286" s="164" t="str">
        <f t="shared" si="30"/>
        <v>EXTINTORES</v>
      </c>
      <c r="F286" s="165" t="str">
        <f ca="1">IF(RegimeExecucao="Global","",ORÇAMENTO.Unidade)</f>
        <v>-</v>
      </c>
      <c r="G286" s="123">
        <f ca="1">IF(RegimeExecucao="Global","",ORÇAMENTO!T286)</f>
        <v>0</v>
      </c>
      <c r="H286" s="123">
        <f ca="1">IF(RegimeExecucao="Global","",ORÇAMENTO!W286)</f>
        <v>0</v>
      </c>
      <c r="I286" s="126">
        <f ca="1">ORÇAMENTO!X286</f>
        <v>0</v>
      </c>
      <c r="J286" s="334" t="e" cm="1">
        <f t="array" aca="1" ref="J286" ca="1">_xlfn.SINGLE(IF($A286="S",IF(CAIXA.Modo,BM.AFAnterior,BM.MEDAnterior),IF(AND(_xlfn.SINGLE(RegimeExecucao)="Global",$I286&gt;0,COUNTIF($AB$13:$AM$13,BM.medicao-1)&gt;0),M286/$I286*100,0)))</f>
        <v>#NAME?</v>
      </c>
      <c r="K286" s="123" t="e">
        <f t="shared" ca="1" si="31"/>
        <v>#NAME?</v>
      </c>
      <c r="L286" s="335" t="e" cm="1">
        <f t="array" aca="1" ref="L286" ca="1">_xlfn.SINGLE(IF($A286="S",IF(CAIXA.Modo,BM.AFAcumulado,BM.MEDAcumulado),IF(AND(_xlfn.SINGLE(RegimeExecucao)="Global",$I286&gt;0,COUNTIF($AB$13:$AM$13,BM.medicao)&gt;0),O286/$I286*100,0)))</f>
        <v>#NAME?</v>
      </c>
      <c r="M286" s="336">
        <f ca="1">IF($A286="S",VTOTALBM,IF($A286=0,0,ROUND(SomaAgrupBM,15-13*ORÇAMENTO!$AF$11)))</f>
        <v>0</v>
      </c>
      <c r="N286" s="337">
        <f t="shared" ca="1" si="32"/>
        <v>0</v>
      </c>
      <c r="O286" s="126">
        <f ca="1">IF($A286="S",VTOTALBM,IF($A286=0,0,ROUND(SomaAgrupBM,15-13*ORÇAMENTO!$AF$11)))</f>
        <v>0</v>
      </c>
      <c r="Q286" s="338"/>
      <c r="R286" s="339"/>
      <c r="T286" s="118" t="str">
        <f t="shared" ca="1" si="33"/>
        <v/>
      </c>
      <c r="U286" s="164" t="str">
        <f t="shared" ca="1" si="34"/>
        <v/>
      </c>
      <c r="V286" s="165" t="str">
        <f ca="1">IF(AND($W286&gt;0,RegimeExecucao="Unitário"),$F286,"")</f>
        <v/>
      </c>
      <c r="W286" s="455">
        <f ca="1">IF($Y286&gt;0,CHOOSE(MATCH(RegimeExecucao,{"Unitário","Global"},0),IF($A286="S",$Y286/$X286,""),($Y286/$X286)*100),0)</f>
        <v>0</v>
      </c>
      <c r="X286" s="340" t="str">
        <f ca="1">IF($Y286&gt;0,CHOOSE(MATCH(RegimeExecucao,{"Unitário","Global"},0),IF($A286="S",ROUND($H286,ORÇAMENTO!$AF$10),""),ROUND($I286,ORÇAMENTO!$AF$11)),"")</f>
        <v/>
      </c>
      <c r="Y286" s="340">
        <f t="shared" ca="1" si="35"/>
        <v>0</v>
      </c>
      <c r="Z286" s="474"/>
      <c r="AB286" s="338"/>
      <c r="AC286" s="438"/>
      <c r="AD286" s="438"/>
      <c r="AE286" s="438"/>
      <c r="AF286" s="438"/>
      <c r="AG286" s="438"/>
      <c r="AH286" s="438"/>
      <c r="AI286" s="438"/>
      <c r="AJ286" s="438"/>
      <c r="AK286" s="438"/>
      <c r="AL286" s="438"/>
      <c r="AM286" s="339"/>
      <c r="AO286">
        <f ca="1">IF($A286="S",IF(BM!$I286=0,0,CHOOSE(MATCH(RegimeExecucao,{"Global","Unitário"},0),ROUND(ROUND(BM.MEDAcumulado,15-13*BM!$A$9)/100*BM!$I286,15-13*ORÇAMENTO!$AF$11),ROUND(ROUND(BM.MEDAcumulado,15-13*BM!$A$9)*ROUND(BM!$H286,15-13*ORÇAMENTO!$AF$10),15-13*ORÇAMENTO!$AF$11))),IF($A286=0,0,ROUND(SomaAgrupBM,15-13*ORÇAMENTO!$AF$11)))</f>
        <v>0</v>
      </c>
    </row>
    <row r="287" spans="1:41" ht="25.5" x14ac:dyDescent="0.2">
      <c r="A287" t="str">
        <f ca="1">ORÇAMENTO!C287</f>
        <v>S</v>
      </c>
      <c r="B287">
        <f ca="1">ORÇAMENTO!D287</f>
        <v>0</v>
      </c>
      <c r="C287" s="115" t="str">
        <f t="shared" ca="1" si="29"/>
        <v/>
      </c>
      <c r="D287" s="118" t="str">
        <f ca="1">ORÇAMENTO!O287</f>
        <v>-</v>
      </c>
      <c r="E287" s="164" t="str">
        <f t="shared" si="30"/>
        <v>EXTINTOR DE INCÊNDIO PORTÁTIL COM CARGA DE PQS DE 4 KG, CLASSE ABC - FORNECIMENTO E INSTALAÇÃO</v>
      </c>
      <c r="F287" s="165" t="str">
        <f ca="1">IF(RegimeExecucao="Global","",ORÇAMENTO.Unidade)</f>
        <v xml:space="preserve">UN    </v>
      </c>
      <c r="G287" s="123">
        <f ca="1">IF(RegimeExecucao="Global","",ORÇAMENTO!T287)</f>
        <v>6</v>
      </c>
      <c r="H287" s="123">
        <f ca="1">IF(RegimeExecucao="Global","",ORÇAMENTO!W287)</f>
        <v>0</v>
      </c>
      <c r="I287" s="126">
        <f ca="1">ORÇAMENTO!X287</f>
        <v>0</v>
      </c>
      <c r="J287" s="334" t="e" cm="1">
        <f t="array" aca="1" ref="J287" ca="1">_xlfn.SINGLE(IF($A287="S",IF(CAIXA.Modo,BM.AFAnterior,BM.MEDAnterior),IF(AND(_xlfn.SINGLE(RegimeExecucao)="Global",$I287&gt;0,COUNTIF($AB$13:$AM$13,BM.medicao-1)&gt;0),M287/$I287*100,0)))</f>
        <v>#NAME?</v>
      </c>
      <c r="K287" s="123" t="e">
        <f t="shared" ca="1" si="31"/>
        <v>#NAME?</v>
      </c>
      <c r="L287" s="335" t="e" cm="1">
        <f t="array" aca="1" ref="L287" ca="1">_xlfn.SINGLE(IF($A287="S",IF(CAIXA.Modo,BM.AFAcumulado,BM.MEDAcumulado),IF(AND(_xlfn.SINGLE(RegimeExecucao)="Global",$I287&gt;0,COUNTIF($AB$13:$AM$13,BM.medicao)&gt;0),O287/$I287*100,0)))</f>
        <v>#NAME?</v>
      </c>
      <c r="M287" s="336">
        <f ca="1">IF($A287="S",VTOTALBM,IF($A287=0,0,ROUND(SomaAgrupBM,15-13*ORÇAMENTO!$AF$11)))</f>
        <v>0</v>
      </c>
      <c r="N287" s="337">
        <f t="shared" ca="1" si="32"/>
        <v>0</v>
      </c>
      <c r="O287" s="126">
        <f ca="1">IF($A287="S",VTOTALBM,IF($A287=0,0,ROUND(SomaAgrupBM,15-13*ORÇAMENTO!$AF$11)))</f>
        <v>0</v>
      </c>
      <c r="Q287" s="338"/>
      <c r="R287" s="339"/>
      <c r="T287" s="118" t="str">
        <f t="shared" ca="1" si="33"/>
        <v/>
      </c>
      <c r="U287" s="164" t="str">
        <f t="shared" ca="1" si="34"/>
        <v/>
      </c>
      <c r="V287" s="165" t="str">
        <f ca="1">IF(AND($W287&gt;0,RegimeExecucao="Unitário"),$F287,"")</f>
        <v/>
      </c>
      <c r="W287" s="455">
        <f ca="1">IF($Y287&gt;0,CHOOSE(MATCH(RegimeExecucao,{"Unitário","Global"},0),IF($A287="S",$Y287/$X287,""),($Y287/$X287)*100),0)</f>
        <v>0</v>
      </c>
      <c r="X287" s="340" t="str">
        <f ca="1">IF($Y287&gt;0,CHOOSE(MATCH(RegimeExecucao,{"Unitário","Global"},0),IF($A287="S",ROUND($H287,ORÇAMENTO!$AF$10),""),ROUND($I287,ORÇAMENTO!$AF$11)),"")</f>
        <v/>
      </c>
      <c r="Y287" s="340">
        <f t="shared" ca="1" si="35"/>
        <v>0</v>
      </c>
      <c r="Z287" s="474"/>
      <c r="AB287" s="338"/>
      <c r="AC287" s="438"/>
      <c r="AD287" s="438"/>
      <c r="AE287" s="438"/>
      <c r="AF287" s="438"/>
      <c r="AG287" s="438"/>
      <c r="AH287" s="438"/>
      <c r="AI287" s="438"/>
      <c r="AJ287" s="438"/>
      <c r="AK287" s="438"/>
      <c r="AL287" s="438"/>
      <c r="AM287" s="339"/>
      <c r="AO287">
        <f ca="1">IF($A287="S",IF(BM!$I287=0,0,CHOOSE(MATCH(RegimeExecucao,{"Global","Unitário"},0),ROUND(ROUND(BM.MEDAcumulado,15-13*BM!$A$9)/100*BM!$I287,15-13*ORÇAMENTO!$AF$11),ROUND(ROUND(BM.MEDAcumulado,15-13*BM!$A$9)*ROUND(BM!$H287,15-13*ORÇAMENTO!$AF$10),15-13*ORÇAMENTO!$AF$11))),IF($A287=0,0,ROUND(SomaAgrupBM,15-13*ORÇAMENTO!$AF$11)))</f>
        <v>0</v>
      </c>
    </row>
    <row r="288" spans="1:41" ht="25.5" x14ac:dyDescent="0.2">
      <c r="A288" t="str">
        <f ca="1">ORÇAMENTO!C288</f>
        <v>S</v>
      </c>
      <c r="B288">
        <f ca="1">ORÇAMENTO!D288</f>
        <v>0</v>
      </c>
      <c r="C288" s="115" t="str">
        <f t="shared" ca="1" si="29"/>
        <v/>
      </c>
      <c r="D288" s="118" t="str">
        <f ca="1">ORÇAMENTO!O288</f>
        <v>-</v>
      </c>
      <c r="E288" s="164" t="str">
        <f t="shared" si="30"/>
        <v>EXTINTOR DE INCÊNDIO PORTÁTIL COM CARGA DE CO2 DE 4 KG, CLASSE BC - FORNECIMENTO E INSTALAÇÃO. AF_10/2020_PE</v>
      </c>
      <c r="F288" s="165" t="str">
        <f ca="1">IF(RegimeExecucao="Global","",ORÇAMENTO.Unidade)</f>
        <v>UN</v>
      </c>
      <c r="G288" s="123">
        <f ca="1">IF(RegimeExecucao="Global","",ORÇAMENTO!T288)</f>
        <v>1</v>
      </c>
      <c r="H288" s="123">
        <f ca="1">IF(RegimeExecucao="Global","",ORÇAMENTO!W288)</f>
        <v>0</v>
      </c>
      <c r="I288" s="126">
        <f ca="1">ORÇAMENTO!X288</f>
        <v>0</v>
      </c>
      <c r="J288" s="334" t="e" cm="1">
        <f t="array" aca="1" ref="J288" ca="1">_xlfn.SINGLE(IF($A288="S",IF(CAIXA.Modo,BM.AFAnterior,BM.MEDAnterior),IF(AND(_xlfn.SINGLE(RegimeExecucao)="Global",$I288&gt;0,COUNTIF($AB$13:$AM$13,BM.medicao-1)&gt;0),M288/$I288*100,0)))</f>
        <v>#NAME?</v>
      </c>
      <c r="K288" s="123" t="e">
        <f t="shared" ca="1" si="31"/>
        <v>#NAME?</v>
      </c>
      <c r="L288" s="335" t="e" cm="1">
        <f t="array" aca="1" ref="L288" ca="1">_xlfn.SINGLE(IF($A288="S",IF(CAIXA.Modo,BM.AFAcumulado,BM.MEDAcumulado),IF(AND(_xlfn.SINGLE(RegimeExecucao)="Global",$I288&gt;0,COUNTIF($AB$13:$AM$13,BM.medicao)&gt;0),O288/$I288*100,0)))</f>
        <v>#NAME?</v>
      </c>
      <c r="M288" s="336">
        <f ca="1">IF($A288="S",VTOTALBM,IF($A288=0,0,ROUND(SomaAgrupBM,15-13*ORÇAMENTO!$AF$11)))</f>
        <v>0</v>
      </c>
      <c r="N288" s="337">
        <f t="shared" ca="1" si="32"/>
        <v>0</v>
      </c>
      <c r="O288" s="126">
        <f ca="1">IF($A288="S",VTOTALBM,IF($A288=0,0,ROUND(SomaAgrupBM,15-13*ORÇAMENTO!$AF$11)))</f>
        <v>0</v>
      </c>
      <c r="Q288" s="338"/>
      <c r="R288" s="339"/>
      <c r="T288" s="118" t="str">
        <f t="shared" ca="1" si="33"/>
        <v/>
      </c>
      <c r="U288" s="164" t="str">
        <f t="shared" ca="1" si="34"/>
        <v/>
      </c>
      <c r="V288" s="165" t="str">
        <f ca="1">IF(AND($W288&gt;0,RegimeExecucao="Unitário"),$F288,"")</f>
        <v/>
      </c>
      <c r="W288" s="455">
        <f ca="1">IF($Y288&gt;0,CHOOSE(MATCH(RegimeExecucao,{"Unitário","Global"},0),IF($A288="S",$Y288/$X288,""),($Y288/$X288)*100),0)</f>
        <v>0</v>
      </c>
      <c r="X288" s="340" t="str">
        <f ca="1">IF($Y288&gt;0,CHOOSE(MATCH(RegimeExecucao,{"Unitário","Global"},0),IF($A288="S",ROUND($H288,ORÇAMENTO!$AF$10),""),ROUND($I288,ORÇAMENTO!$AF$11)),"")</f>
        <v/>
      </c>
      <c r="Y288" s="340">
        <f t="shared" ca="1" si="35"/>
        <v>0</v>
      </c>
      <c r="Z288" s="474"/>
      <c r="AB288" s="338"/>
      <c r="AC288" s="438"/>
      <c r="AD288" s="438"/>
      <c r="AE288" s="438"/>
      <c r="AF288" s="438"/>
      <c r="AG288" s="438"/>
      <c r="AH288" s="438"/>
      <c r="AI288" s="438"/>
      <c r="AJ288" s="438"/>
      <c r="AK288" s="438"/>
      <c r="AL288" s="438"/>
      <c r="AM288" s="339"/>
      <c r="AO288">
        <f ca="1">IF($A288="S",IF(BM!$I288=0,0,CHOOSE(MATCH(RegimeExecucao,{"Global","Unitário"},0),ROUND(ROUND(BM.MEDAcumulado,15-13*BM!$A$9)/100*BM!$I288,15-13*ORÇAMENTO!$AF$11),ROUND(ROUND(BM.MEDAcumulado,15-13*BM!$A$9)*ROUND(BM!$H288,15-13*ORÇAMENTO!$AF$10),15-13*ORÇAMENTO!$AF$11))),IF($A288=0,0,ROUND(SomaAgrupBM,15-13*ORÇAMENTO!$AF$11)))</f>
        <v>0</v>
      </c>
    </row>
    <row r="289" spans="1:41" x14ac:dyDescent="0.2">
      <c r="A289">
        <f ca="1">ORÇAMENTO!C289</f>
        <v>3</v>
      </c>
      <c r="B289">
        <f ca="1">ORÇAMENTO!D289</f>
        <v>14</v>
      </c>
      <c r="C289" s="115" t="str">
        <f t="shared" ca="1" si="29"/>
        <v>F</v>
      </c>
      <c r="D289" s="118" t="str">
        <f ca="1">ORÇAMENTO!O289</f>
        <v>1.16.5.</v>
      </c>
      <c r="E289" s="164" t="str">
        <f t="shared" si="30"/>
        <v>INSTALAÇÃO DE GÁS</v>
      </c>
      <c r="F289" s="165" t="str">
        <f ca="1">IF(RegimeExecucao="Global","",ORÇAMENTO.Unidade)</f>
        <v>-</v>
      </c>
      <c r="G289" s="123">
        <f ca="1">IF(RegimeExecucao="Global","",ORÇAMENTO!T289)</f>
        <v>0</v>
      </c>
      <c r="H289" s="123">
        <f ca="1">IF(RegimeExecucao="Global","",ORÇAMENTO!W289)</f>
        <v>0</v>
      </c>
      <c r="I289" s="126">
        <f ca="1">ORÇAMENTO!X289</f>
        <v>0</v>
      </c>
      <c r="J289" s="334" t="e" cm="1">
        <f t="array" aca="1" ref="J289" ca="1">_xlfn.SINGLE(IF($A289="S",IF(CAIXA.Modo,BM.AFAnterior,BM.MEDAnterior),IF(AND(_xlfn.SINGLE(RegimeExecucao)="Global",$I289&gt;0,COUNTIF($AB$13:$AM$13,BM.medicao-1)&gt;0),M289/$I289*100,0)))</f>
        <v>#NAME?</v>
      </c>
      <c r="K289" s="123" t="e">
        <f t="shared" ca="1" si="31"/>
        <v>#NAME?</v>
      </c>
      <c r="L289" s="335" t="e" cm="1">
        <f t="array" aca="1" ref="L289" ca="1">_xlfn.SINGLE(IF($A289="S",IF(CAIXA.Modo,BM.AFAcumulado,BM.MEDAcumulado),IF(AND(_xlfn.SINGLE(RegimeExecucao)="Global",$I289&gt;0,COUNTIF($AB$13:$AM$13,BM.medicao)&gt;0),O289/$I289*100,0)))</f>
        <v>#NAME?</v>
      </c>
      <c r="M289" s="336">
        <f ca="1">IF($A289="S",VTOTALBM,IF($A289=0,0,ROUND(SomaAgrupBM,15-13*ORÇAMENTO!$AF$11)))</f>
        <v>0</v>
      </c>
      <c r="N289" s="337">
        <f t="shared" ca="1" si="32"/>
        <v>0</v>
      </c>
      <c r="O289" s="126">
        <f ca="1">IF($A289="S",VTOTALBM,IF($A289=0,0,ROUND(SomaAgrupBM,15-13*ORÇAMENTO!$AF$11)))</f>
        <v>0</v>
      </c>
      <c r="Q289" s="338"/>
      <c r="R289" s="339"/>
      <c r="T289" s="118" t="str">
        <f t="shared" ca="1" si="33"/>
        <v/>
      </c>
      <c r="U289" s="164" t="str">
        <f t="shared" ca="1" si="34"/>
        <v/>
      </c>
      <c r="V289" s="165" t="str">
        <f ca="1">IF(AND($W289&gt;0,RegimeExecucao="Unitário"),$F289,"")</f>
        <v/>
      </c>
      <c r="W289" s="455">
        <f ca="1">IF($Y289&gt;0,CHOOSE(MATCH(RegimeExecucao,{"Unitário","Global"},0),IF($A289="S",$Y289/$X289,""),($Y289/$X289)*100),0)</f>
        <v>0</v>
      </c>
      <c r="X289" s="340" t="str">
        <f ca="1">IF($Y289&gt;0,CHOOSE(MATCH(RegimeExecucao,{"Unitário","Global"},0),IF($A289="S",ROUND($H289,ORÇAMENTO!$AF$10),""),ROUND($I289,ORÇAMENTO!$AF$11)),"")</f>
        <v/>
      </c>
      <c r="Y289" s="340">
        <f t="shared" ca="1" si="35"/>
        <v>0</v>
      </c>
      <c r="Z289" s="474"/>
      <c r="AB289" s="338"/>
      <c r="AC289" s="438"/>
      <c r="AD289" s="438"/>
      <c r="AE289" s="438"/>
      <c r="AF289" s="438"/>
      <c r="AG289" s="438"/>
      <c r="AH289" s="438"/>
      <c r="AI289" s="438"/>
      <c r="AJ289" s="438"/>
      <c r="AK289" s="438"/>
      <c r="AL289" s="438"/>
      <c r="AM289" s="339"/>
      <c r="AO289">
        <f ca="1">IF($A289="S",IF(BM!$I289=0,0,CHOOSE(MATCH(RegimeExecucao,{"Global","Unitário"},0),ROUND(ROUND(BM.MEDAcumulado,15-13*BM!$A$9)/100*BM!$I289,15-13*ORÇAMENTO!$AF$11),ROUND(ROUND(BM.MEDAcumulado,15-13*BM!$A$9)*ROUND(BM!$H289,15-13*ORÇAMENTO!$AF$10),15-13*ORÇAMENTO!$AF$11))),IF($A289=0,0,ROUND(SomaAgrupBM,15-13*ORÇAMENTO!$AF$11)))</f>
        <v>0</v>
      </c>
    </row>
    <row r="290" spans="1:41" ht="38.25" x14ac:dyDescent="0.2">
      <c r="A290" t="str">
        <f ca="1">ORÇAMENTO!C290</f>
        <v>S</v>
      </c>
      <c r="B290">
        <f ca="1">ORÇAMENTO!D290</f>
        <v>0</v>
      </c>
      <c r="C290" s="115" t="str">
        <f t="shared" ca="1" si="29"/>
        <v/>
      </c>
      <c r="D290" s="118" t="str">
        <f ca="1">ORÇAMENTO!O290</f>
        <v>-</v>
      </c>
      <c r="E290" s="164" t="str">
        <f t="shared" si="30"/>
        <v>PORTA EM ALUMÍNIO DE ABRIR TIPO VENEZIANA COM GUARNIÇÃO, FIXAÇÃO COM PARAFUSOS - FORNECIMENTO E INSTALAÇÃO. AF_12/2019</v>
      </c>
      <c r="F290" s="165" t="str">
        <f ca="1">IF(RegimeExecucao="Global","",ORÇAMENTO.Unidade)</f>
        <v>M2</v>
      </c>
      <c r="G290" s="123">
        <f ca="1">IF(RegimeExecucao="Global","",ORÇAMENTO!T290)</f>
        <v>1.53</v>
      </c>
      <c r="H290" s="123">
        <f ca="1">IF(RegimeExecucao="Global","",ORÇAMENTO!W290)</f>
        <v>0</v>
      </c>
      <c r="I290" s="126">
        <f ca="1">ORÇAMENTO!X290</f>
        <v>0</v>
      </c>
      <c r="J290" s="334" t="e" cm="1">
        <f t="array" aca="1" ref="J290" ca="1">_xlfn.SINGLE(IF($A290="S",IF(CAIXA.Modo,BM.AFAnterior,BM.MEDAnterior),IF(AND(_xlfn.SINGLE(RegimeExecucao)="Global",$I290&gt;0,COUNTIF($AB$13:$AM$13,BM.medicao-1)&gt;0),M290/$I290*100,0)))</f>
        <v>#NAME?</v>
      </c>
      <c r="K290" s="123" t="e">
        <f t="shared" ca="1" si="31"/>
        <v>#NAME?</v>
      </c>
      <c r="L290" s="335" t="e" cm="1">
        <f t="array" aca="1" ref="L290" ca="1">_xlfn.SINGLE(IF($A290="S",IF(CAIXA.Modo,BM.AFAcumulado,BM.MEDAcumulado),IF(AND(_xlfn.SINGLE(RegimeExecucao)="Global",$I290&gt;0,COUNTIF($AB$13:$AM$13,BM.medicao)&gt;0),O290/$I290*100,0)))</f>
        <v>#NAME?</v>
      </c>
      <c r="M290" s="336">
        <f ca="1">IF($A290="S",VTOTALBM,IF($A290=0,0,ROUND(SomaAgrupBM,15-13*ORÇAMENTO!$AF$11)))</f>
        <v>0</v>
      </c>
      <c r="N290" s="337">
        <f t="shared" ca="1" si="32"/>
        <v>0</v>
      </c>
      <c r="O290" s="126">
        <f ca="1">IF($A290="S",VTOTALBM,IF($A290=0,0,ROUND(SomaAgrupBM,15-13*ORÇAMENTO!$AF$11)))</f>
        <v>0</v>
      </c>
      <c r="Q290" s="338"/>
      <c r="R290" s="339"/>
      <c r="T290" s="118" t="str">
        <f t="shared" ca="1" si="33"/>
        <v/>
      </c>
      <c r="U290" s="164" t="str">
        <f t="shared" ca="1" si="34"/>
        <v/>
      </c>
      <c r="V290" s="165" t="str">
        <f ca="1">IF(AND($W290&gt;0,RegimeExecucao="Unitário"),$F290,"")</f>
        <v/>
      </c>
      <c r="W290" s="455">
        <f ca="1">IF($Y290&gt;0,CHOOSE(MATCH(RegimeExecucao,{"Unitário","Global"},0),IF($A290="S",$Y290/$X290,""),($Y290/$X290)*100),0)</f>
        <v>0</v>
      </c>
      <c r="X290" s="340" t="str">
        <f ca="1">IF($Y290&gt;0,CHOOSE(MATCH(RegimeExecucao,{"Unitário","Global"},0),IF($A290="S",ROUND($H290,ORÇAMENTO!$AF$10),""),ROUND($I290,ORÇAMENTO!$AF$11)),"")</f>
        <v/>
      </c>
      <c r="Y290" s="340">
        <f t="shared" ca="1" si="35"/>
        <v>0</v>
      </c>
      <c r="Z290" s="474"/>
      <c r="AB290" s="338"/>
      <c r="AC290" s="438"/>
      <c r="AD290" s="438"/>
      <c r="AE290" s="438"/>
      <c r="AF290" s="438"/>
      <c r="AG290" s="438"/>
      <c r="AH290" s="438"/>
      <c r="AI290" s="438"/>
      <c r="AJ290" s="438"/>
      <c r="AK290" s="438"/>
      <c r="AL290" s="438"/>
      <c r="AM290" s="339"/>
      <c r="AO290">
        <f ca="1">IF($A290="S",IF(BM!$I290=0,0,CHOOSE(MATCH(RegimeExecucao,{"Global","Unitário"},0),ROUND(ROUND(BM.MEDAcumulado,15-13*BM!$A$9)/100*BM!$I290,15-13*ORÇAMENTO!$AF$11),ROUND(ROUND(BM.MEDAcumulado,15-13*BM!$A$9)*ROUND(BM!$H290,15-13*ORÇAMENTO!$AF$10),15-13*ORÇAMENTO!$AF$11))),IF($A290=0,0,ROUND(SomaAgrupBM,15-13*ORÇAMENTO!$AF$11)))</f>
        <v>0</v>
      </c>
    </row>
    <row r="291" spans="1:41" ht="38.25" x14ac:dyDescent="0.2">
      <c r="A291" t="str">
        <f ca="1">ORÇAMENTO!C291</f>
        <v>S</v>
      </c>
      <c r="B291">
        <f ca="1">ORÇAMENTO!D291</f>
        <v>0</v>
      </c>
      <c r="C291" s="115" t="str">
        <f t="shared" ca="1" si="29"/>
        <v/>
      </c>
      <c r="D291" s="118" t="str">
        <f ca="1">ORÇAMENTO!O291</f>
        <v>-</v>
      </c>
      <c r="E291" s="164" t="str">
        <f t="shared" si="30"/>
        <v>BUCHA DE REDUÇÃO EM COBRE, DN 22 MM X 15 MM, SEM ANEL DE SOLDA, PONTA X BOLSA, INSTALADO EM RAMAL E SUB-RAMAL DE GÁS COMBUSTÍVEL - FORNECIMENTO E INSTALAÇÃO. AF_04/2022</v>
      </c>
      <c r="F291" s="165" t="str">
        <f ca="1">IF(RegimeExecucao="Global","",ORÇAMENTO.Unidade)</f>
        <v>UN</v>
      </c>
      <c r="G291" s="123">
        <f ca="1">IF(RegimeExecucao="Global","",ORÇAMENTO!T291)</f>
        <v>1</v>
      </c>
      <c r="H291" s="123">
        <f ca="1">IF(RegimeExecucao="Global","",ORÇAMENTO!W291)</f>
        <v>0</v>
      </c>
      <c r="I291" s="126">
        <f ca="1">ORÇAMENTO!X291</f>
        <v>0</v>
      </c>
      <c r="J291" s="334" t="e" cm="1">
        <f t="array" aca="1" ref="J291" ca="1">_xlfn.SINGLE(IF($A291="S",IF(CAIXA.Modo,BM.AFAnterior,BM.MEDAnterior),IF(AND(_xlfn.SINGLE(RegimeExecucao)="Global",$I291&gt;0,COUNTIF($AB$13:$AM$13,BM.medicao-1)&gt;0),M291/$I291*100,0)))</f>
        <v>#NAME?</v>
      </c>
      <c r="K291" s="123" t="e">
        <f t="shared" ca="1" si="31"/>
        <v>#NAME?</v>
      </c>
      <c r="L291" s="335" t="e" cm="1">
        <f t="array" aca="1" ref="L291" ca="1">_xlfn.SINGLE(IF($A291="S",IF(CAIXA.Modo,BM.AFAcumulado,BM.MEDAcumulado),IF(AND(_xlfn.SINGLE(RegimeExecucao)="Global",$I291&gt;0,COUNTIF($AB$13:$AM$13,BM.medicao)&gt;0),O291/$I291*100,0)))</f>
        <v>#NAME?</v>
      </c>
      <c r="M291" s="336">
        <f ca="1">IF($A291="S",VTOTALBM,IF($A291=0,0,ROUND(SomaAgrupBM,15-13*ORÇAMENTO!$AF$11)))</f>
        <v>0</v>
      </c>
      <c r="N291" s="337">
        <f t="shared" ca="1" si="32"/>
        <v>0</v>
      </c>
      <c r="O291" s="126">
        <f ca="1">IF($A291="S",VTOTALBM,IF($A291=0,0,ROUND(SomaAgrupBM,15-13*ORÇAMENTO!$AF$11)))</f>
        <v>0</v>
      </c>
      <c r="Q291" s="338"/>
      <c r="R291" s="339"/>
      <c r="T291" s="118" t="str">
        <f t="shared" ca="1" si="33"/>
        <v/>
      </c>
      <c r="U291" s="164" t="str">
        <f t="shared" ca="1" si="34"/>
        <v/>
      </c>
      <c r="V291" s="165" t="str">
        <f ca="1">IF(AND($W291&gt;0,RegimeExecucao="Unitário"),$F291,"")</f>
        <v/>
      </c>
      <c r="W291" s="455">
        <f ca="1">IF($Y291&gt;0,CHOOSE(MATCH(RegimeExecucao,{"Unitário","Global"},0),IF($A291="S",$Y291/$X291,""),($Y291/$X291)*100),0)</f>
        <v>0</v>
      </c>
      <c r="X291" s="340" t="str">
        <f ca="1">IF($Y291&gt;0,CHOOSE(MATCH(RegimeExecucao,{"Unitário","Global"},0),IF($A291="S",ROUND($H291,ORÇAMENTO!$AF$10),""),ROUND($I291,ORÇAMENTO!$AF$11)),"")</f>
        <v/>
      </c>
      <c r="Y291" s="340">
        <f t="shared" ca="1" si="35"/>
        <v>0</v>
      </c>
      <c r="Z291" s="474"/>
      <c r="AB291" s="338"/>
      <c r="AC291" s="438"/>
      <c r="AD291" s="438"/>
      <c r="AE291" s="438"/>
      <c r="AF291" s="438"/>
      <c r="AG291" s="438"/>
      <c r="AH291" s="438"/>
      <c r="AI291" s="438"/>
      <c r="AJ291" s="438"/>
      <c r="AK291" s="438"/>
      <c r="AL291" s="438"/>
      <c r="AM291" s="339"/>
      <c r="AO291">
        <f ca="1">IF($A291="S",IF(BM!$I291=0,0,CHOOSE(MATCH(RegimeExecucao,{"Global","Unitário"},0),ROUND(ROUND(BM.MEDAcumulado,15-13*BM!$A$9)/100*BM!$I291,15-13*ORÇAMENTO!$AF$11),ROUND(ROUND(BM.MEDAcumulado,15-13*BM!$A$9)*ROUND(BM!$H291,15-13*ORÇAMENTO!$AF$10),15-13*ORÇAMENTO!$AF$11))),IF($A291=0,0,ROUND(SomaAgrupBM,15-13*ORÇAMENTO!$AF$11)))</f>
        <v>0</v>
      </c>
    </row>
    <row r="292" spans="1:41" ht="51" x14ac:dyDescent="0.2">
      <c r="A292" t="str">
        <f ca="1">ORÇAMENTO!C292</f>
        <v>S</v>
      </c>
      <c r="B292">
        <f ca="1">ORÇAMENTO!D292</f>
        <v>0</v>
      </c>
      <c r="C292" s="115" t="str">
        <f t="shared" ca="1" si="29"/>
        <v/>
      </c>
      <c r="D292" s="118" t="str">
        <f ca="1">ORÇAMENTO!O292</f>
        <v>-</v>
      </c>
      <c r="E292" s="164" t="str">
        <f t="shared" si="30"/>
        <v>COTOVELO EM BRONZE/LATÃO, DN 15 MM X 1/2", 90 GRAUS, SEM ANEL DE SOLDA, BOLSA X ROSCA F, INSTALADO EM RAMAL E SUB-RAMAL DE GÁS COMBUSTÍVEL - FORNECIMENTO E INSTALAÇÃO. AF_04/2022</v>
      </c>
      <c r="F292" s="165" t="str">
        <f ca="1">IF(RegimeExecucao="Global","",ORÇAMENTO.Unidade)</f>
        <v>UN</v>
      </c>
      <c r="G292" s="123">
        <f ca="1">IF(RegimeExecucao="Global","",ORÇAMENTO!T292)</f>
        <v>2</v>
      </c>
      <c r="H292" s="123">
        <f ca="1">IF(RegimeExecucao="Global","",ORÇAMENTO!W292)</f>
        <v>0</v>
      </c>
      <c r="I292" s="126">
        <f ca="1">ORÇAMENTO!X292</f>
        <v>0</v>
      </c>
      <c r="J292" s="334" t="e" cm="1">
        <f t="array" aca="1" ref="J292" ca="1">_xlfn.SINGLE(IF($A292="S",IF(CAIXA.Modo,BM.AFAnterior,BM.MEDAnterior),IF(AND(_xlfn.SINGLE(RegimeExecucao)="Global",$I292&gt;0,COUNTIF($AB$13:$AM$13,BM.medicao-1)&gt;0),M292/$I292*100,0)))</f>
        <v>#NAME?</v>
      </c>
      <c r="K292" s="123" t="e">
        <f t="shared" ca="1" si="31"/>
        <v>#NAME?</v>
      </c>
      <c r="L292" s="335" t="e" cm="1">
        <f t="array" aca="1" ref="L292" ca="1">_xlfn.SINGLE(IF($A292="S",IF(CAIXA.Modo,BM.AFAcumulado,BM.MEDAcumulado),IF(AND(_xlfn.SINGLE(RegimeExecucao)="Global",$I292&gt;0,COUNTIF($AB$13:$AM$13,BM.medicao)&gt;0),O292/$I292*100,0)))</f>
        <v>#NAME?</v>
      </c>
      <c r="M292" s="336">
        <f ca="1">IF($A292="S",VTOTALBM,IF($A292=0,0,ROUND(SomaAgrupBM,15-13*ORÇAMENTO!$AF$11)))</f>
        <v>0</v>
      </c>
      <c r="N292" s="337">
        <f t="shared" ca="1" si="32"/>
        <v>0</v>
      </c>
      <c r="O292" s="126">
        <f ca="1">IF($A292="S",VTOTALBM,IF($A292=0,0,ROUND(SomaAgrupBM,15-13*ORÇAMENTO!$AF$11)))</f>
        <v>0</v>
      </c>
      <c r="Q292" s="338"/>
      <c r="R292" s="339"/>
      <c r="T292" s="118" t="str">
        <f t="shared" ca="1" si="33"/>
        <v/>
      </c>
      <c r="U292" s="164" t="str">
        <f t="shared" ca="1" si="34"/>
        <v/>
      </c>
      <c r="V292" s="165" t="str">
        <f ca="1">IF(AND($W292&gt;0,RegimeExecucao="Unitário"),$F292,"")</f>
        <v/>
      </c>
      <c r="W292" s="455">
        <f ca="1">IF($Y292&gt;0,CHOOSE(MATCH(RegimeExecucao,{"Unitário","Global"},0),IF($A292="S",$Y292/$X292,""),($Y292/$X292)*100),0)</f>
        <v>0</v>
      </c>
      <c r="X292" s="340" t="str">
        <f ca="1">IF($Y292&gt;0,CHOOSE(MATCH(RegimeExecucao,{"Unitário","Global"},0),IF($A292="S",ROUND($H292,ORÇAMENTO!$AF$10),""),ROUND($I292,ORÇAMENTO!$AF$11)),"")</f>
        <v/>
      </c>
      <c r="Y292" s="340">
        <f t="shared" ca="1" si="35"/>
        <v>0</v>
      </c>
      <c r="Z292" s="474"/>
      <c r="AB292" s="338"/>
      <c r="AC292" s="438"/>
      <c r="AD292" s="438"/>
      <c r="AE292" s="438"/>
      <c r="AF292" s="438"/>
      <c r="AG292" s="438"/>
      <c r="AH292" s="438"/>
      <c r="AI292" s="438"/>
      <c r="AJ292" s="438"/>
      <c r="AK292" s="438"/>
      <c r="AL292" s="438"/>
      <c r="AM292" s="339"/>
      <c r="AO292">
        <f ca="1">IF($A292="S",IF(BM!$I292=0,0,CHOOSE(MATCH(RegimeExecucao,{"Global","Unitário"},0),ROUND(ROUND(BM.MEDAcumulado,15-13*BM!$A$9)/100*BM!$I292,15-13*ORÇAMENTO!$AF$11),ROUND(ROUND(BM.MEDAcumulado,15-13*BM!$A$9)*ROUND(BM!$H292,15-13*ORÇAMENTO!$AF$10),15-13*ORÇAMENTO!$AF$11))),IF($A292=0,0,ROUND(SomaAgrupBM,15-13*ORÇAMENTO!$AF$11)))</f>
        <v>0</v>
      </c>
    </row>
    <row r="293" spans="1:41" ht="51" x14ac:dyDescent="0.2">
      <c r="A293" t="str">
        <f ca="1">ORÇAMENTO!C293</f>
        <v>S</v>
      </c>
      <c r="B293">
        <f ca="1">ORÇAMENTO!D293</f>
        <v>0</v>
      </c>
      <c r="C293" s="115" t="str">
        <f t="shared" ca="1" si="29"/>
        <v/>
      </c>
      <c r="D293" s="118" t="str">
        <f ca="1">ORÇAMENTO!O293</f>
        <v>-</v>
      </c>
      <c r="E293" s="164" t="str">
        <f t="shared" si="30"/>
        <v>COTOVELO EM BRONZE/LATÃO, DN 22 MM X 3/4", 90 GRAUS, SEM ANEL DE SOLDA, BOLSA X ROSCA F, INSTALADO EM RAMAL E SUB-RAMAL DE GÁS COMBUSTÍVEL - FORNECIMENTO E INSTALAÇÃO. AF_04/2022</v>
      </c>
      <c r="F293" s="165" t="str">
        <f ca="1">IF(RegimeExecucao="Global","",ORÇAMENTO.Unidade)</f>
        <v>UN</v>
      </c>
      <c r="G293" s="123">
        <f ca="1">IF(RegimeExecucao="Global","",ORÇAMENTO!T293)</f>
        <v>7</v>
      </c>
      <c r="H293" s="123">
        <f ca="1">IF(RegimeExecucao="Global","",ORÇAMENTO!W293)</f>
        <v>0</v>
      </c>
      <c r="I293" s="126">
        <f ca="1">ORÇAMENTO!X293</f>
        <v>0</v>
      </c>
      <c r="J293" s="334" t="e" cm="1">
        <f t="array" aca="1" ref="J293" ca="1">_xlfn.SINGLE(IF($A293="S",IF(CAIXA.Modo,BM.AFAnterior,BM.MEDAnterior),IF(AND(_xlfn.SINGLE(RegimeExecucao)="Global",$I293&gt;0,COUNTIF($AB$13:$AM$13,BM.medicao-1)&gt;0),M293/$I293*100,0)))</f>
        <v>#NAME?</v>
      </c>
      <c r="K293" s="123" t="e">
        <f t="shared" ca="1" si="31"/>
        <v>#NAME?</v>
      </c>
      <c r="L293" s="335" t="e" cm="1">
        <f t="array" aca="1" ref="L293" ca="1">_xlfn.SINGLE(IF($A293="S",IF(CAIXA.Modo,BM.AFAcumulado,BM.MEDAcumulado),IF(AND(_xlfn.SINGLE(RegimeExecucao)="Global",$I293&gt;0,COUNTIF($AB$13:$AM$13,BM.medicao)&gt;0),O293/$I293*100,0)))</f>
        <v>#NAME?</v>
      </c>
      <c r="M293" s="336">
        <f ca="1">IF($A293="S",VTOTALBM,IF($A293=0,0,ROUND(SomaAgrupBM,15-13*ORÇAMENTO!$AF$11)))</f>
        <v>0</v>
      </c>
      <c r="N293" s="337">
        <f t="shared" ca="1" si="32"/>
        <v>0</v>
      </c>
      <c r="O293" s="126">
        <f ca="1">IF($A293="S",VTOTALBM,IF($A293=0,0,ROUND(SomaAgrupBM,15-13*ORÇAMENTO!$AF$11)))</f>
        <v>0</v>
      </c>
      <c r="Q293" s="338"/>
      <c r="R293" s="339"/>
      <c r="T293" s="118" t="str">
        <f t="shared" ca="1" si="33"/>
        <v/>
      </c>
      <c r="U293" s="164" t="str">
        <f t="shared" ca="1" si="34"/>
        <v/>
      </c>
      <c r="V293" s="165" t="str">
        <f ca="1">IF(AND($W293&gt;0,RegimeExecucao="Unitário"),$F293,"")</f>
        <v/>
      </c>
      <c r="W293" s="455">
        <f ca="1">IF($Y293&gt;0,CHOOSE(MATCH(RegimeExecucao,{"Unitário","Global"},0),IF($A293="S",$Y293/$X293,""),($Y293/$X293)*100),0)</f>
        <v>0</v>
      </c>
      <c r="X293" s="340" t="str">
        <f ca="1">IF($Y293&gt;0,CHOOSE(MATCH(RegimeExecucao,{"Unitário","Global"},0),IF($A293="S",ROUND($H293,ORÇAMENTO!$AF$10),""),ROUND($I293,ORÇAMENTO!$AF$11)),"")</f>
        <v/>
      </c>
      <c r="Y293" s="340">
        <f t="shared" ca="1" si="35"/>
        <v>0</v>
      </c>
      <c r="Z293" s="474"/>
      <c r="AB293" s="338"/>
      <c r="AC293" s="438"/>
      <c r="AD293" s="438"/>
      <c r="AE293" s="438"/>
      <c r="AF293" s="438"/>
      <c r="AG293" s="438"/>
      <c r="AH293" s="438"/>
      <c r="AI293" s="438"/>
      <c r="AJ293" s="438"/>
      <c r="AK293" s="438"/>
      <c r="AL293" s="438"/>
      <c r="AM293" s="339"/>
      <c r="AO293">
        <f ca="1">IF($A293="S",IF(BM!$I293=0,0,CHOOSE(MATCH(RegimeExecucao,{"Global","Unitário"},0),ROUND(ROUND(BM.MEDAcumulado,15-13*BM!$A$9)/100*BM!$I293,15-13*ORÇAMENTO!$AF$11),ROUND(ROUND(BM.MEDAcumulado,15-13*BM!$A$9)*ROUND(BM!$H293,15-13*ORÇAMENTO!$AF$10),15-13*ORÇAMENTO!$AF$11))),IF($A293=0,0,ROUND(SomaAgrupBM,15-13*ORÇAMENTO!$AF$11)))</f>
        <v>0</v>
      </c>
    </row>
    <row r="294" spans="1:41" ht="38.25" x14ac:dyDescent="0.2">
      <c r="A294" t="str">
        <f ca="1">ORÇAMENTO!C294</f>
        <v>S</v>
      </c>
      <c r="B294">
        <f ca="1">ORÇAMENTO!D294</f>
        <v>0</v>
      </c>
      <c r="C294" s="115" t="str">
        <f t="shared" ca="1" si="29"/>
        <v/>
      </c>
      <c r="D294" s="118" t="str">
        <f ca="1">ORÇAMENTO!O294</f>
        <v>-</v>
      </c>
      <c r="E294" s="164" t="str">
        <f t="shared" si="30"/>
        <v>LUVA DE REDUÇÃO, EM FERRO GALVANIZADO, 3/4" X 1/2", CONEXÃO ROSQUEADA, INSTALADO EM RAMAIS E SUB-RAMAIS DE GÁS - FORNECIMENTO E INSTALAÇÃO. AF_10/2020</v>
      </c>
      <c r="F294" s="165" t="str">
        <f ca="1">IF(RegimeExecucao="Global","",ORÇAMENTO.Unidade)</f>
        <v>UN</v>
      </c>
      <c r="G294" s="123">
        <f ca="1">IF(RegimeExecucao="Global","",ORÇAMENTO!T294)</f>
        <v>1</v>
      </c>
      <c r="H294" s="123">
        <f ca="1">IF(RegimeExecucao="Global","",ORÇAMENTO!W294)</f>
        <v>0</v>
      </c>
      <c r="I294" s="126">
        <f ca="1">ORÇAMENTO!X294</f>
        <v>0</v>
      </c>
      <c r="J294" s="334" t="e" cm="1">
        <f t="array" aca="1" ref="J294" ca="1">_xlfn.SINGLE(IF($A294="S",IF(CAIXA.Modo,BM.AFAnterior,BM.MEDAnterior),IF(AND(_xlfn.SINGLE(RegimeExecucao)="Global",$I294&gt;0,COUNTIF($AB$13:$AM$13,BM.medicao-1)&gt;0),M294/$I294*100,0)))</f>
        <v>#NAME?</v>
      </c>
      <c r="K294" s="123" t="e">
        <f t="shared" ca="1" si="31"/>
        <v>#NAME?</v>
      </c>
      <c r="L294" s="335" t="e" cm="1">
        <f t="array" aca="1" ref="L294" ca="1">_xlfn.SINGLE(IF($A294="S",IF(CAIXA.Modo,BM.AFAcumulado,BM.MEDAcumulado),IF(AND(_xlfn.SINGLE(RegimeExecucao)="Global",$I294&gt;0,COUNTIF($AB$13:$AM$13,BM.medicao)&gt;0),O294/$I294*100,0)))</f>
        <v>#NAME?</v>
      </c>
      <c r="M294" s="336">
        <f ca="1">IF($A294="S",VTOTALBM,IF($A294=0,0,ROUND(SomaAgrupBM,15-13*ORÇAMENTO!$AF$11)))</f>
        <v>0</v>
      </c>
      <c r="N294" s="337">
        <f t="shared" ca="1" si="32"/>
        <v>0</v>
      </c>
      <c r="O294" s="126">
        <f ca="1">IF($A294="S",VTOTALBM,IF($A294=0,0,ROUND(SomaAgrupBM,15-13*ORÇAMENTO!$AF$11)))</f>
        <v>0</v>
      </c>
      <c r="Q294" s="338"/>
      <c r="R294" s="339"/>
      <c r="T294" s="118" t="str">
        <f t="shared" ca="1" si="33"/>
        <v/>
      </c>
      <c r="U294" s="164" t="str">
        <f t="shared" ca="1" si="34"/>
        <v/>
      </c>
      <c r="V294" s="165" t="str">
        <f ca="1">IF(AND($W294&gt;0,RegimeExecucao="Unitário"),$F294,"")</f>
        <v/>
      </c>
      <c r="W294" s="455">
        <f ca="1">IF($Y294&gt;0,CHOOSE(MATCH(RegimeExecucao,{"Unitário","Global"},0),IF($A294="S",$Y294/$X294,""),($Y294/$X294)*100),0)</f>
        <v>0</v>
      </c>
      <c r="X294" s="340" t="str">
        <f ca="1">IF($Y294&gt;0,CHOOSE(MATCH(RegimeExecucao,{"Unitário","Global"},0),IF($A294="S",ROUND($H294,ORÇAMENTO!$AF$10),""),ROUND($I294,ORÇAMENTO!$AF$11)),"")</f>
        <v/>
      </c>
      <c r="Y294" s="340">
        <f t="shared" ca="1" si="35"/>
        <v>0</v>
      </c>
      <c r="Z294" s="474"/>
      <c r="AB294" s="338"/>
      <c r="AC294" s="438"/>
      <c r="AD294" s="438"/>
      <c r="AE294" s="438"/>
      <c r="AF294" s="438"/>
      <c r="AG294" s="438"/>
      <c r="AH294" s="438"/>
      <c r="AI294" s="438"/>
      <c r="AJ294" s="438"/>
      <c r="AK294" s="438"/>
      <c r="AL294" s="438"/>
      <c r="AM294" s="339"/>
      <c r="AO294">
        <f ca="1">IF($A294="S",IF(BM!$I294=0,0,CHOOSE(MATCH(RegimeExecucao,{"Global","Unitário"},0),ROUND(ROUND(BM.MEDAcumulado,15-13*BM!$A$9)/100*BM!$I294,15-13*ORÇAMENTO!$AF$11),ROUND(ROUND(BM.MEDAcumulado,15-13*BM!$A$9)*ROUND(BM!$H294,15-13*ORÇAMENTO!$AF$10),15-13*ORÇAMENTO!$AF$11))),IF($A294=0,0,ROUND(SomaAgrupBM,15-13*ORÇAMENTO!$AF$11)))</f>
        <v>0</v>
      </c>
    </row>
    <row r="295" spans="1:41" ht="38.25" x14ac:dyDescent="0.2">
      <c r="A295" t="str">
        <f ca="1">ORÇAMENTO!C295</f>
        <v>S</v>
      </c>
      <c r="B295">
        <f ca="1">ORÇAMENTO!D295</f>
        <v>0</v>
      </c>
      <c r="C295" s="115" t="str">
        <f t="shared" ca="1" si="29"/>
        <v/>
      </c>
      <c r="D295" s="118" t="str">
        <f ca="1">ORÇAMENTO!O295</f>
        <v>-</v>
      </c>
      <c r="E295" s="164" t="str">
        <f t="shared" si="30"/>
        <v>LUVA, EM FERRO GALVANIZADO, CONEXÃO ROSQUEADA, DN 20 (3/4"), INSTALADO EM RAMAIS E SUB-RAMAIS DE GÁS - FORNECIMENTO E INSTALAÇÃO. AF_10/2020</v>
      </c>
      <c r="F295" s="165" t="str">
        <f ca="1">IF(RegimeExecucao="Global","",ORÇAMENTO.Unidade)</f>
        <v>UN</v>
      </c>
      <c r="G295" s="123">
        <f ca="1">IF(RegimeExecucao="Global","",ORÇAMENTO!T295)</f>
        <v>7</v>
      </c>
      <c r="H295" s="123">
        <f ca="1">IF(RegimeExecucao="Global","",ORÇAMENTO!W295)</f>
        <v>0</v>
      </c>
      <c r="I295" s="126">
        <f ca="1">ORÇAMENTO!X295</f>
        <v>0</v>
      </c>
      <c r="J295" s="334" t="e" cm="1">
        <f t="array" aca="1" ref="J295" ca="1">_xlfn.SINGLE(IF($A295="S",IF(CAIXA.Modo,BM.AFAnterior,BM.MEDAnterior),IF(AND(_xlfn.SINGLE(RegimeExecucao)="Global",$I295&gt;0,COUNTIF($AB$13:$AM$13,BM.medicao-1)&gt;0),M295/$I295*100,0)))</f>
        <v>#NAME?</v>
      </c>
      <c r="K295" s="123" t="e">
        <f t="shared" ca="1" si="31"/>
        <v>#NAME?</v>
      </c>
      <c r="L295" s="335" t="e" cm="1">
        <f t="array" aca="1" ref="L295" ca="1">_xlfn.SINGLE(IF($A295="S",IF(CAIXA.Modo,BM.AFAcumulado,BM.MEDAcumulado),IF(AND(_xlfn.SINGLE(RegimeExecucao)="Global",$I295&gt;0,COUNTIF($AB$13:$AM$13,BM.medicao)&gt;0),O295/$I295*100,0)))</f>
        <v>#NAME?</v>
      </c>
      <c r="M295" s="336">
        <f ca="1">IF($A295="S",VTOTALBM,IF($A295=0,0,ROUND(SomaAgrupBM,15-13*ORÇAMENTO!$AF$11)))</f>
        <v>0</v>
      </c>
      <c r="N295" s="337">
        <f t="shared" ca="1" si="32"/>
        <v>0</v>
      </c>
      <c r="O295" s="126">
        <f ca="1">IF($A295="S",VTOTALBM,IF($A295=0,0,ROUND(SomaAgrupBM,15-13*ORÇAMENTO!$AF$11)))</f>
        <v>0</v>
      </c>
      <c r="Q295" s="338"/>
      <c r="R295" s="339"/>
      <c r="T295" s="118" t="str">
        <f t="shared" ca="1" si="33"/>
        <v/>
      </c>
      <c r="U295" s="164" t="str">
        <f t="shared" ca="1" si="34"/>
        <v/>
      </c>
      <c r="V295" s="165" t="str">
        <f ca="1">IF(AND($W295&gt;0,RegimeExecucao="Unitário"),$F295,"")</f>
        <v/>
      </c>
      <c r="W295" s="455">
        <f ca="1">IF($Y295&gt;0,CHOOSE(MATCH(RegimeExecucao,{"Unitário","Global"},0),IF($A295="S",$Y295/$X295,""),($Y295/$X295)*100),0)</f>
        <v>0</v>
      </c>
      <c r="X295" s="340" t="str">
        <f ca="1">IF($Y295&gt;0,CHOOSE(MATCH(RegimeExecucao,{"Unitário","Global"},0),IF($A295="S",ROUND($H295,ORÇAMENTO!$AF$10),""),ROUND($I295,ORÇAMENTO!$AF$11)),"")</f>
        <v/>
      </c>
      <c r="Y295" s="340">
        <f t="shared" ca="1" si="35"/>
        <v>0</v>
      </c>
      <c r="Z295" s="474"/>
      <c r="AB295" s="338"/>
      <c r="AC295" s="438"/>
      <c r="AD295" s="438"/>
      <c r="AE295" s="438"/>
      <c r="AF295" s="438"/>
      <c r="AG295" s="438"/>
      <c r="AH295" s="438"/>
      <c r="AI295" s="438"/>
      <c r="AJ295" s="438"/>
      <c r="AK295" s="438"/>
      <c r="AL295" s="438"/>
      <c r="AM295" s="339"/>
      <c r="AO295">
        <f ca="1">IF($A295="S",IF(BM!$I295=0,0,CHOOSE(MATCH(RegimeExecucao,{"Global","Unitário"},0),ROUND(ROUND(BM.MEDAcumulado,15-13*BM!$A$9)/100*BM!$I295,15-13*ORÇAMENTO!$AF$11),ROUND(ROUND(BM.MEDAcumulado,15-13*BM!$A$9)*ROUND(BM!$H295,15-13*ORÇAMENTO!$AF$10),15-13*ORÇAMENTO!$AF$11))),IF($A295=0,0,ROUND(SomaAgrupBM,15-13*ORÇAMENTO!$AF$11)))</f>
        <v>0</v>
      </c>
    </row>
    <row r="296" spans="1:41" ht="38.25" x14ac:dyDescent="0.2">
      <c r="A296" t="str">
        <f ca="1">ORÇAMENTO!C296</f>
        <v>S</v>
      </c>
      <c r="B296">
        <f ca="1">ORÇAMENTO!D296</f>
        <v>0</v>
      </c>
      <c r="C296" s="115" t="str">
        <f t="shared" ca="1" si="29"/>
        <v/>
      </c>
      <c r="D296" s="118" t="str">
        <f ca="1">ORÇAMENTO!O296</f>
        <v>-</v>
      </c>
      <c r="E296" s="164" t="str">
        <f t="shared" si="30"/>
        <v>NIPLE, EM FERRO GALVANIZADO, CONEXÃO ROSQUEADA, DN 20 (3/4"), INSTALADO EM RAMAIS E SUB-RAMAIS DE GÁS - FORNECIMENTO E INSTALAÇÃO. AF_10/2020</v>
      </c>
      <c r="F296" s="165" t="str">
        <f ca="1">IF(RegimeExecucao="Global","",ORÇAMENTO.Unidade)</f>
        <v>UN</v>
      </c>
      <c r="G296" s="123">
        <f ca="1">IF(RegimeExecucao="Global","",ORÇAMENTO!T296)</f>
        <v>2</v>
      </c>
      <c r="H296" s="123">
        <f ca="1">IF(RegimeExecucao="Global","",ORÇAMENTO!W296)</f>
        <v>0</v>
      </c>
      <c r="I296" s="126">
        <f ca="1">ORÇAMENTO!X296</f>
        <v>0</v>
      </c>
      <c r="J296" s="334" t="e" cm="1">
        <f t="array" aca="1" ref="J296" ca="1">_xlfn.SINGLE(IF($A296="S",IF(CAIXA.Modo,BM.AFAnterior,BM.MEDAnterior),IF(AND(_xlfn.SINGLE(RegimeExecucao)="Global",$I296&gt;0,COUNTIF($AB$13:$AM$13,BM.medicao-1)&gt;0),M296/$I296*100,0)))</f>
        <v>#NAME?</v>
      </c>
      <c r="K296" s="123" t="e">
        <f t="shared" ca="1" si="31"/>
        <v>#NAME?</v>
      </c>
      <c r="L296" s="335" t="e" cm="1">
        <f t="array" aca="1" ref="L296" ca="1">_xlfn.SINGLE(IF($A296="S",IF(CAIXA.Modo,BM.AFAcumulado,BM.MEDAcumulado),IF(AND(_xlfn.SINGLE(RegimeExecucao)="Global",$I296&gt;0,COUNTIF($AB$13:$AM$13,BM.medicao)&gt;0),O296/$I296*100,0)))</f>
        <v>#NAME?</v>
      </c>
      <c r="M296" s="336">
        <f ca="1">IF($A296="S",VTOTALBM,IF($A296=0,0,ROUND(SomaAgrupBM,15-13*ORÇAMENTO!$AF$11)))</f>
        <v>0</v>
      </c>
      <c r="N296" s="337">
        <f t="shared" ca="1" si="32"/>
        <v>0</v>
      </c>
      <c r="O296" s="126">
        <f ca="1">IF($A296="S",VTOTALBM,IF($A296=0,0,ROUND(SomaAgrupBM,15-13*ORÇAMENTO!$AF$11)))</f>
        <v>0</v>
      </c>
      <c r="Q296" s="338"/>
      <c r="R296" s="339"/>
      <c r="T296" s="118" t="str">
        <f t="shared" ca="1" si="33"/>
        <v/>
      </c>
      <c r="U296" s="164" t="str">
        <f t="shared" ca="1" si="34"/>
        <v/>
      </c>
      <c r="V296" s="165" t="str">
        <f ca="1">IF(AND($W296&gt;0,RegimeExecucao="Unitário"),$F296,"")</f>
        <v/>
      </c>
      <c r="W296" s="455">
        <f ca="1">IF($Y296&gt;0,CHOOSE(MATCH(RegimeExecucao,{"Unitário","Global"},0),IF($A296="S",$Y296/$X296,""),($Y296/$X296)*100),0)</f>
        <v>0</v>
      </c>
      <c r="X296" s="340" t="str">
        <f ca="1">IF($Y296&gt;0,CHOOSE(MATCH(RegimeExecucao,{"Unitário","Global"},0),IF($A296="S",ROUND($H296,ORÇAMENTO!$AF$10),""),ROUND($I296,ORÇAMENTO!$AF$11)),"")</f>
        <v/>
      </c>
      <c r="Y296" s="340">
        <f t="shared" ca="1" si="35"/>
        <v>0</v>
      </c>
      <c r="Z296" s="474"/>
      <c r="AB296" s="338"/>
      <c r="AC296" s="438"/>
      <c r="AD296" s="438"/>
      <c r="AE296" s="438"/>
      <c r="AF296" s="438"/>
      <c r="AG296" s="438"/>
      <c r="AH296" s="438"/>
      <c r="AI296" s="438"/>
      <c r="AJ296" s="438"/>
      <c r="AK296" s="438"/>
      <c r="AL296" s="438"/>
      <c r="AM296" s="339"/>
      <c r="AO296">
        <f ca="1">IF($A296="S",IF(BM!$I296=0,0,CHOOSE(MATCH(RegimeExecucao,{"Global","Unitário"},0),ROUND(ROUND(BM.MEDAcumulado,15-13*BM!$A$9)/100*BM!$I296,15-13*ORÇAMENTO!$AF$11),ROUND(ROUND(BM.MEDAcumulado,15-13*BM!$A$9)*ROUND(BM!$H296,15-13*ORÇAMENTO!$AF$10),15-13*ORÇAMENTO!$AF$11))),IF($A296=0,0,ROUND(SomaAgrupBM,15-13*ORÇAMENTO!$AF$11)))</f>
        <v>0</v>
      </c>
    </row>
    <row r="297" spans="1:41" ht="38.25" x14ac:dyDescent="0.2">
      <c r="A297" t="str">
        <f ca="1">ORÇAMENTO!C297</f>
        <v>S</v>
      </c>
      <c r="B297">
        <f ca="1">ORÇAMENTO!D297</f>
        <v>0</v>
      </c>
      <c r="C297" s="115" t="str">
        <f t="shared" ca="1" si="29"/>
        <v/>
      </c>
      <c r="D297" s="118" t="str">
        <f ca="1">ORÇAMENTO!O297</f>
        <v>-</v>
      </c>
      <c r="E297" s="164" t="str">
        <f t="shared" si="30"/>
        <v>TÊ, EM FERRO GALVANIZADO, CONEXÃO ROSQUEADA, DN 20 (3/4"), INSTALADO EM RAMAIS E SUB-RAMAIS DE GÁS - FORNECIMENTO E INSTALAÇÃO. AF_10/2020</v>
      </c>
      <c r="F297" s="165" t="str">
        <f ca="1">IF(RegimeExecucao="Global","",ORÇAMENTO.Unidade)</f>
        <v>UN</v>
      </c>
      <c r="G297" s="123">
        <f ca="1">IF(RegimeExecucao="Global","",ORÇAMENTO!T297)</f>
        <v>1</v>
      </c>
      <c r="H297" s="123">
        <f ca="1">IF(RegimeExecucao="Global","",ORÇAMENTO!W297)</f>
        <v>0</v>
      </c>
      <c r="I297" s="126">
        <f ca="1">ORÇAMENTO!X297</f>
        <v>0</v>
      </c>
      <c r="J297" s="334" t="e" cm="1">
        <f t="array" aca="1" ref="J297" ca="1">_xlfn.SINGLE(IF($A297="S",IF(CAIXA.Modo,BM.AFAnterior,BM.MEDAnterior),IF(AND(_xlfn.SINGLE(RegimeExecucao)="Global",$I297&gt;0,COUNTIF($AB$13:$AM$13,BM.medicao-1)&gt;0),M297/$I297*100,0)))</f>
        <v>#NAME?</v>
      </c>
      <c r="K297" s="123" t="e">
        <f t="shared" ca="1" si="31"/>
        <v>#NAME?</v>
      </c>
      <c r="L297" s="335" t="e" cm="1">
        <f t="array" aca="1" ref="L297" ca="1">_xlfn.SINGLE(IF($A297="S",IF(CAIXA.Modo,BM.AFAcumulado,BM.MEDAcumulado),IF(AND(_xlfn.SINGLE(RegimeExecucao)="Global",$I297&gt;0,COUNTIF($AB$13:$AM$13,BM.medicao)&gt;0),O297/$I297*100,0)))</f>
        <v>#NAME?</v>
      </c>
      <c r="M297" s="336">
        <f ca="1">IF($A297="S",VTOTALBM,IF($A297=0,0,ROUND(SomaAgrupBM,15-13*ORÇAMENTO!$AF$11)))</f>
        <v>0</v>
      </c>
      <c r="N297" s="337">
        <f t="shared" ca="1" si="32"/>
        <v>0</v>
      </c>
      <c r="O297" s="126">
        <f ca="1">IF($A297="S",VTOTALBM,IF($A297=0,0,ROUND(SomaAgrupBM,15-13*ORÇAMENTO!$AF$11)))</f>
        <v>0</v>
      </c>
      <c r="Q297" s="338"/>
      <c r="R297" s="339"/>
      <c r="T297" s="118" t="str">
        <f t="shared" ca="1" si="33"/>
        <v/>
      </c>
      <c r="U297" s="164" t="str">
        <f t="shared" ca="1" si="34"/>
        <v/>
      </c>
      <c r="V297" s="165" t="str">
        <f ca="1">IF(AND($W297&gt;0,RegimeExecucao="Unitário"),$F297,"")</f>
        <v/>
      </c>
      <c r="W297" s="455">
        <f ca="1">IF($Y297&gt;0,CHOOSE(MATCH(RegimeExecucao,{"Unitário","Global"},0),IF($A297="S",$Y297/$X297,""),($Y297/$X297)*100),0)</f>
        <v>0</v>
      </c>
      <c r="X297" s="340" t="str">
        <f ca="1">IF($Y297&gt;0,CHOOSE(MATCH(RegimeExecucao,{"Unitário","Global"},0),IF($A297="S",ROUND($H297,ORÇAMENTO!$AF$10),""),ROUND($I297,ORÇAMENTO!$AF$11)),"")</f>
        <v/>
      </c>
      <c r="Y297" s="340">
        <f t="shared" ca="1" si="35"/>
        <v>0</v>
      </c>
      <c r="Z297" s="474"/>
      <c r="AB297" s="338"/>
      <c r="AC297" s="438"/>
      <c r="AD297" s="438"/>
      <c r="AE297" s="438"/>
      <c r="AF297" s="438"/>
      <c r="AG297" s="438"/>
      <c r="AH297" s="438"/>
      <c r="AI297" s="438"/>
      <c r="AJ297" s="438"/>
      <c r="AK297" s="438"/>
      <c r="AL297" s="438"/>
      <c r="AM297" s="339"/>
      <c r="AO297">
        <f ca="1">IF($A297="S",IF(BM!$I297=0,0,CHOOSE(MATCH(RegimeExecucao,{"Global","Unitário"},0),ROUND(ROUND(BM.MEDAcumulado,15-13*BM!$A$9)/100*BM!$I297,15-13*ORÇAMENTO!$AF$11),ROUND(ROUND(BM.MEDAcumulado,15-13*BM!$A$9)*ROUND(BM!$H297,15-13*ORÇAMENTO!$AF$10),15-13*ORÇAMENTO!$AF$11))),IF($A297=0,0,ROUND(SomaAgrupBM,15-13*ORÇAMENTO!$AF$11)))</f>
        <v>0</v>
      </c>
    </row>
    <row r="298" spans="1:41" ht="38.25" x14ac:dyDescent="0.2">
      <c r="A298" t="str">
        <f ca="1">ORÇAMENTO!C298</f>
        <v>S</v>
      </c>
      <c r="B298">
        <f ca="1">ORÇAMENTO!D298</f>
        <v>0</v>
      </c>
      <c r="C298" s="115" t="str">
        <f t="shared" ca="1" si="29"/>
        <v/>
      </c>
      <c r="D298" s="118" t="str">
        <f ca="1">ORÇAMENTO!O298</f>
        <v>-</v>
      </c>
      <c r="E298" s="164" t="str">
        <f t="shared" si="30"/>
        <v>TUBO DE AÇO GALVANIZADO COM COSTURA, CLASSE MÉDIA, CONEXÃO ROSQUEADA, DN 15 (1/2"), INSTALADO EM RAMAIS E SUB-RAMAIS DE GÁS - FORNECIMENTO E INSTALAÇÃO. AF_10/2020</v>
      </c>
      <c r="F298" s="165" t="str">
        <f ca="1">IF(RegimeExecucao="Global","",ORÇAMENTO.Unidade)</f>
        <v>M</v>
      </c>
      <c r="G298" s="123">
        <f ca="1">IF(RegimeExecucao="Global","",ORÇAMENTO!T298)</f>
        <v>1.5</v>
      </c>
      <c r="H298" s="123">
        <f ca="1">IF(RegimeExecucao="Global","",ORÇAMENTO!W298)</f>
        <v>0</v>
      </c>
      <c r="I298" s="126">
        <f ca="1">ORÇAMENTO!X298</f>
        <v>0</v>
      </c>
      <c r="J298" s="334" t="e" cm="1">
        <f t="array" aca="1" ref="J298" ca="1">_xlfn.SINGLE(IF($A298="S",IF(CAIXA.Modo,BM.AFAnterior,BM.MEDAnterior),IF(AND(_xlfn.SINGLE(RegimeExecucao)="Global",$I298&gt;0,COUNTIF($AB$13:$AM$13,BM.medicao-1)&gt;0),M298/$I298*100,0)))</f>
        <v>#NAME?</v>
      </c>
      <c r="K298" s="123" t="e">
        <f t="shared" ca="1" si="31"/>
        <v>#NAME?</v>
      </c>
      <c r="L298" s="335" t="e" cm="1">
        <f t="array" aca="1" ref="L298" ca="1">_xlfn.SINGLE(IF($A298="S",IF(CAIXA.Modo,BM.AFAcumulado,BM.MEDAcumulado),IF(AND(_xlfn.SINGLE(RegimeExecucao)="Global",$I298&gt;0,COUNTIF($AB$13:$AM$13,BM.medicao)&gt;0),O298/$I298*100,0)))</f>
        <v>#NAME?</v>
      </c>
      <c r="M298" s="336">
        <f ca="1">IF($A298="S",VTOTALBM,IF($A298=0,0,ROUND(SomaAgrupBM,15-13*ORÇAMENTO!$AF$11)))</f>
        <v>0</v>
      </c>
      <c r="N298" s="337">
        <f t="shared" ca="1" si="32"/>
        <v>0</v>
      </c>
      <c r="O298" s="126">
        <f ca="1">IF($A298="S",VTOTALBM,IF($A298=0,0,ROUND(SomaAgrupBM,15-13*ORÇAMENTO!$AF$11)))</f>
        <v>0</v>
      </c>
      <c r="Q298" s="338"/>
      <c r="R298" s="339"/>
      <c r="T298" s="118" t="str">
        <f t="shared" ca="1" si="33"/>
        <v/>
      </c>
      <c r="U298" s="164" t="str">
        <f t="shared" ca="1" si="34"/>
        <v/>
      </c>
      <c r="V298" s="165" t="str">
        <f ca="1">IF(AND($W298&gt;0,RegimeExecucao="Unitário"),$F298,"")</f>
        <v/>
      </c>
      <c r="W298" s="455">
        <f ca="1">IF($Y298&gt;0,CHOOSE(MATCH(RegimeExecucao,{"Unitário","Global"},0),IF($A298="S",$Y298/$X298,""),($Y298/$X298)*100),0)</f>
        <v>0</v>
      </c>
      <c r="X298" s="340" t="str">
        <f ca="1">IF($Y298&gt;0,CHOOSE(MATCH(RegimeExecucao,{"Unitário","Global"},0),IF($A298="S",ROUND($H298,ORÇAMENTO!$AF$10),""),ROUND($I298,ORÇAMENTO!$AF$11)),"")</f>
        <v/>
      </c>
      <c r="Y298" s="340">
        <f t="shared" ca="1" si="35"/>
        <v>0</v>
      </c>
      <c r="Z298" s="474"/>
      <c r="AB298" s="338"/>
      <c r="AC298" s="438"/>
      <c r="AD298" s="438"/>
      <c r="AE298" s="438"/>
      <c r="AF298" s="438"/>
      <c r="AG298" s="438"/>
      <c r="AH298" s="438"/>
      <c r="AI298" s="438"/>
      <c r="AJ298" s="438"/>
      <c r="AK298" s="438"/>
      <c r="AL298" s="438"/>
      <c r="AM298" s="339"/>
      <c r="AO298">
        <f ca="1">IF($A298="S",IF(BM!$I298=0,0,CHOOSE(MATCH(RegimeExecucao,{"Global","Unitário"},0),ROUND(ROUND(BM.MEDAcumulado,15-13*BM!$A$9)/100*BM!$I298,15-13*ORÇAMENTO!$AF$11),ROUND(ROUND(BM.MEDAcumulado,15-13*BM!$A$9)*ROUND(BM!$H298,15-13*ORÇAMENTO!$AF$10),15-13*ORÇAMENTO!$AF$11))),IF($A298=0,0,ROUND(SomaAgrupBM,15-13*ORÇAMENTO!$AF$11)))</f>
        <v>0</v>
      </c>
    </row>
    <row r="299" spans="1:41" ht="38.25" x14ac:dyDescent="0.2">
      <c r="A299" t="str">
        <f ca="1">ORÇAMENTO!C299</f>
        <v>S</v>
      </c>
      <c r="B299">
        <f ca="1">ORÇAMENTO!D299</f>
        <v>0</v>
      </c>
      <c r="C299" s="115" t="str">
        <f t="shared" ca="1" si="29"/>
        <v/>
      </c>
      <c r="D299" s="118" t="str">
        <f ca="1">ORÇAMENTO!O299</f>
        <v>-</v>
      </c>
      <c r="E299" s="164" t="str">
        <f t="shared" si="30"/>
        <v>TUBO DE AÇO GALVANIZADO COM COSTURA, CLASSE MÉDIA, CONEXÃO ROSQUEADA, DN 20 (3/4"), INSTALADO EM RAMAIS E SUB-RAMAIS DE GÁS - FORNECIMENTO E INSTALAÇÃO. AF_10/2020</v>
      </c>
      <c r="F299" s="165" t="str">
        <f ca="1">IF(RegimeExecucao="Global","",ORÇAMENTO.Unidade)</f>
        <v>M</v>
      </c>
      <c r="G299" s="123">
        <f ca="1">IF(RegimeExecucao="Global","",ORÇAMENTO!T299)</f>
        <v>68.5</v>
      </c>
      <c r="H299" s="123">
        <f ca="1">IF(RegimeExecucao="Global","",ORÇAMENTO!W299)</f>
        <v>0</v>
      </c>
      <c r="I299" s="126">
        <f ca="1">ORÇAMENTO!X299</f>
        <v>0</v>
      </c>
      <c r="J299" s="334" t="e" cm="1">
        <f t="array" aca="1" ref="J299" ca="1">_xlfn.SINGLE(IF($A299="S",IF(CAIXA.Modo,BM.AFAnterior,BM.MEDAnterior),IF(AND(_xlfn.SINGLE(RegimeExecucao)="Global",$I299&gt;0,COUNTIF($AB$13:$AM$13,BM.medicao-1)&gt;0),M299/$I299*100,0)))</f>
        <v>#NAME?</v>
      </c>
      <c r="K299" s="123" t="e">
        <f t="shared" ca="1" si="31"/>
        <v>#NAME?</v>
      </c>
      <c r="L299" s="335" t="e" cm="1">
        <f t="array" aca="1" ref="L299" ca="1">_xlfn.SINGLE(IF($A299="S",IF(CAIXA.Modo,BM.AFAcumulado,BM.MEDAcumulado),IF(AND(_xlfn.SINGLE(RegimeExecucao)="Global",$I299&gt;0,COUNTIF($AB$13:$AM$13,BM.medicao)&gt;0),O299/$I299*100,0)))</f>
        <v>#NAME?</v>
      </c>
      <c r="M299" s="336">
        <f ca="1">IF($A299="S",VTOTALBM,IF($A299=0,0,ROUND(SomaAgrupBM,15-13*ORÇAMENTO!$AF$11)))</f>
        <v>0</v>
      </c>
      <c r="N299" s="337">
        <f t="shared" ca="1" si="32"/>
        <v>0</v>
      </c>
      <c r="O299" s="126">
        <f ca="1">IF($A299="S",VTOTALBM,IF($A299=0,0,ROUND(SomaAgrupBM,15-13*ORÇAMENTO!$AF$11)))</f>
        <v>0</v>
      </c>
      <c r="Q299" s="338"/>
      <c r="R299" s="339"/>
      <c r="T299" s="118" t="str">
        <f t="shared" ca="1" si="33"/>
        <v/>
      </c>
      <c r="U299" s="164" t="str">
        <f t="shared" ca="1" si="34"/>
        <v/>
      </c>
      <c r="V299" s="165" t="str">
        <f ca="1">IF(AND($W299&gt;0,RegimeExecucao="Unitário"),$F299,"")</f>
        <v/>
      </c>
      <c r="W299" s="455">
        <f ca="1">IF($Y299&gt;0,CHOOSE(MATCH(RegimeExecucao,{"Unitário","Global"},0),IF($A299="S",$Y299/$X299,""),($Y299/$X299)*100),0)</f>
        <v>0</v>
      </c>
      <c r="X299" s="340" t="str">
        <f ca="1">IF($Y299&gt;0,CHOOSE(MATCH(RegimeExecucao,{"Unitário","Global"},0),IF($A299="S",ROUND($H299,ORÇAMENTO!$AF$10),""),ROUND($I299,ORÇAMENTO!$AF$11)),"")</f>
        <v/>
      </c>
      <c r="Y299" s="340">
        <f t="shared" ca="1" si="35"/>
        <v>0</v>
      </c>
      <c r="Z299" s="474"/>
      <c r="AB299" s="338"/>
      <c r="AC299" s="438"/>
      <c r="AD299" s="438"/>
      <c r="AE299" s="438"/>
      <c r="AF299" s="438"/>
      <c r="AG299" s="438"/>
      <c r="AH299" s="438"/>
      <c r="AI299" s="438"/>
      <c r="AJ299" s="438"/>
      <c r="AK299" s="438"/>
      <c r="AL299" s="438"/>
      <c r="AM299" s="339"/>
      <c r="AO299">
        <f ca="1">IF($A299="S",IF(BM!$I299=0,0,CHOOSE(MATCH(RegimeExecucao,{"Global","Unitário"},0),ROUND(ROUND(BM.MEDAcumulado,15-13*BM!$A$9)/100*BM!$I299,15-13*ORÇAMENTO!$AF$11),ROUND(ROUND(BM.MEDAcumulado,15-13*BM!$A$9)*ROUND(BM!$H299,15-13*ORÇAMENTO!$AF$10),15-13*ORÇAMENTO!$AF$11))),IF($A299=0,0,ROUND(SomaAgrupBM,15-13*ORÇAMENTO!$AF$11)))</f>
        <v>0</v>
      </c>
    </row>
    <row r="300" spans="1:41" ht="25.5" x14ac:dyDescent="0.2">
      <c r="A300" t="str">
        <f ca="1">ORÇAMENTO!C300</f>
        <v>S</v>
      </c>
      <c r="B300">
        <f ca="1">ORÇAMENTO!D300</f>
        <v>0</v>
      </c>
      <c r="C300" s="115" t="str">
        <f t="shared" ca="1" si="29"/>
        <v/>
      </c>
      <c r="D300" s="118" t="str">
        <f ca="1">ORÇAMENTO!O300</f>
        <v>-</v>
      </c>
      <c r="E300" s="164" t="str">
        <f t="shared" si="30"/>
        <v>REGISTRO OU REGULADOR DE GÁS DE COZINHA - FORNECIMENTO E INSTALAÇÃO. AF_08/2021</v>
      </c>
      <c r="F300" s="165" t="str">
        <f ca="1">IF(RegimeExecucao="Global","",ORÇAMENTO.Unidade)</f>
        <v>UN</v>
      </c>
      <c r="G300" s="123">
        <f ca="1">IF(RegimeExecucao="Global","",ORÇAMENTO!T300)</f>
        <v>2</v>
      </c>
      <c r="H300" s="123">
        <f ca="1">IF(RegimeExecucao="Global","",ORÇAMENTO!W300)</f>
        <v>0</v>
      </c>
      <c r="I300" s="126">
        <f ca="1">ORÇAMENTO!X300</f>
        <v>0</v>
      </c>
      <c r="J300" s="334" t="e" cm="1">
        <f t="array" aca="1" ref="J300" ca="1">_xlfn.SINGLE(IF($A300="S",IF(CAIXA.Modo,BM.AFAnterior,BM.MEDAnterior),IF(AND(_xlfn.SINGLE(RegimeExecucao)="Global",$I300&gt;0,COUNTIF($AB$13:$AM$13,BM.medicao-1)&gt;0),M300/$I300*100,0)))</f>
        <v>#NAME?</v>
      </c>
      <c r="K300" s="123" t="e">
        <f t="shared" ca="1" si="31"/>
        <v>#NAME?</v>
      </c>
      <c r="L300" s="335" t="e" cm="1">
        <f t="array" aca="1" ref="L300" ca="1">_xlfn.SINGLE(IF($A300="S",IF(CAIXA.Modo,BM.AFAcumulado,BM.MEDAcumulado),IF(AND(_xlfn.SINGLE(RegimeExecucao)="Global",$I300&gt;0,COUNTIF($AB$13:$AM$13,BM.medicao)&gt;0),O300/$I300*100,0)))</f>
        <v>#NAME?</v>
      </c>
      <c r="M300" s="336">
        <f ca="1">IF($A300="S",VTOTALBM,IF($A300=0,0,ROUND(SomaAgrupBM,15-13*ORÇAMENTO!$AF$11)))</f>
        <v>0</v>
      </c>
      <c r="N300" s="337">
        <f t="shared" ca="1" si="32"/>
        <v>0</v>
      </c>
      <c r="O300" s="126">
        <f ca="1">IF($A300="S",VTOTALBM,IF($A300=0,0,ROUND(SomaAgrupBM,15-13*ORÇAMENTO!$AF$11)))</f>
        <v>0</v>
      </c>
      <c r="Q300" s="338"/>
      <c r="R300" s="339"/>
      <c r="T300" s="118" t="str">
        <f t="shared" ca="1" si="33"/>
        <v/>
      </c>
      <c r="U300" s="164" t="str">
        <f t="shared" ca="1" si="34"/>
        <v/>
      </c>
      <c r="V300" s="165" t="str">
        <f ca="1">IF(AND($W300&gt;0,RegimeExecucao="Unitário"),$F300,"")</f>
        <v/>
      </c>
      <c r="W300" s="455">
        <f ca="1">IF($Y300&gt;0,CHOOSE(MATCH(RegimeExecucao,{"Unitário","Global"},0),IF($A300="S",$Y300/$X300,""),($Y300/$X300)*100),0)</f>
        <v>0</v>
      </c>
      <c r="X300" s="340" t="str">
        <f ca="1">IF($Y300&gt;0,CHOOSE(MATCH(RegimeExecucao,{"Unitário","Global"},0),IF($A300="S",ROUND($H300,ORÇAMENTO!$AF$10),""),ROUND($I300,ORÇAMENTO!$AF$11)),"")</f>
        <v/>
      </c>
      <c r="Y300" s="340">
        <f t="shared" ca="1" si="35"/>
        <v>0</v>
      </c>
      <c r="Z300" s="474"/>
      <c r="AB300" s="338"/>
      <c r="AC300" s="438"/>
      <c r="AD300" s="438"/>
      <c r="AE300" s="438"/>
      <c r="AF300" s="438"/>
      <c r="AG300" s="438"/>
      <c r="AH300" s="438"/>
      <c r="AI300" s="438"/>
      <c r="AJ300" s="438"/>
      <c r="AK300" s="438"/>
      <c r="AL300" s="438"/>
      <c r="AM300" s="339"/>
      <c r="AO300">
        <f ca="1">IF($A300="S",IF(BM!$I300=0,0,CHOOSE(MATCH(RegimeExecucao,{"Global","Unitário"},0),ROUND(ROUND(BM.MEDAcumulado,15-13*BM!$A$9)/100*BM!$I300,15-13*ORÇAMENTO!$AF$11),ROUND(ROUND(BM.MEDAcumulado,15-13*BM!$A$9)*ROUND(BM!$H300,15-13*ORÇAMENTO!$AF$10),15-13*ORÇAMENTO!$AF$11))),IF($A300=0,0,ROUND(SomaAgrupBM,15-13*ORÇAMENTO!$AF$11)))</f>
        <v>0</v>
      </c>
    </row>
    <row r="301" spans="1:41" ht="25.5" x14ac:dyDescent="0.2">
      <c r="A301" t="str">
        <f ca="1">ORÇAMENTO!C301</f>
        <v>S</v>
      </c>
      <c r="B301">
        <f ca="1">ORÇAMENTO!D301</f>
        <v>0</v>
      </c>
      <c r="C301" s="115" t="str">
        <f t="shared" ca="1" si="29"/>
        <v/>
      </c>
      <c r="D301" s="118" t="str">
        <f ca="1">ORÇAMENTO!O301</f>
        <v>-</v>
      </c>
      <c r="E301" s="164" t="str">
        <f t="shared" si="30"/>
        <v>REGULADOR DE PRIMEIRO ESTÁGIO DE ALTA PRESSÃO ATÉ 1,3 KGF/CM², VAZÃO DE 50 KG/H</v>
      </c>
      <c r="F301" s="165" t="str">
        <f ca="1">IF(RegimeExecucao="Global","",ORÇAMENTO.Unidade)</f>
        <v xml:space="preserve">UN    </v>
      </c>
      <c r="G301" s="123">
        <f ca="1">IF(RegimeExecucao="Global","",ORÇAMENTO!T301)</f>
        <v>1</v>
      </c>
      <c r="H301" s="123">
        <f ca="1">IF(RegimeExecucao="Global","",ORÇAMENTO!W301)</f>
        <v>0</v>
      </c>
      <c r="I301" s="126">
        <f ca="1">ORÇAMENTO!X301</f>
        <v>0</v>
      </c>
      <c r="J301" s="334" t="e" cm="1">
        <f t="array" aca="1" ref="J301" ca="1">_xlfn.SINGLE(IF($A301="S",IF(CAIXA.Modo,BM.AFAnterior,BM.MEDAnterior),IF(AND(_xlfn.SINGLE(RegimeExecucao)="Global",$I301&gt;0,COUNTIF($AB$13:$AM$13,BM.medicao-1)&gt;0),M301/$I301*100,0)))</f>
        <v>#NAME?</v>
      </c>
      <c r="K301" s="123" t="e">
        <f t="shared" ca="1" si="31"/>
        <v>#NAME?</v>
      </c>
      <c r="L301" s="335" t="e" cm="1">
        <f t="array" aca="1" ref="L301" ca="1">_xlfn.SINGLE(IF($A301="S",IF(CAIXA.Modo,BM.AFAcumulado,BM.MEDAcumulado),IF(AND(_xlfn.SINGLE(RegimeExecucao)="Global",$I301&gt;0,COUNTIF($AB$13:$AM$13,BM.medicao)&gt;0),O301/$I301*100,0)))</f>
        <v>#NAME?</v>
      </c>
      <c r="M301" s="336">
        <f ca="1">IF($A301="S",VTOTALBM,IF($A301=0,0,ROUND(SomaAgrupBM,15-13*ORÇAMENTO!$AF$11)))</f>
        <v>0</v>
      </c>
      <c r="N301" s="337">
        <f t="shared" ca="1" si="32"/>
        <v>0</v>
      </c>
      <c r="O301" s="126">
        <f ca="1">IF($A301="S",VTOTALBM,IF($A301=0,0,ROUND(SomaAgrupBM,15-13*ORÇAMENTO!$AF$11)))</f>
        <v>0</v>
      </c>
      <c r="Q301" s="338"/>
      <c r="R301" s="339"/>
      <c r="T301" s="118" t="str">
        <f t="shared" ca="1" si="33"/>
        <v/>
      </c>
      <c r="U301" s="164" t="str">
        <f t="shared" ca="1" si="34"/>
        <v/>
      </c>
      <c r="V301" s="165" t="str">
        <f ca="1">IF(AND($W301&gt;0,RegimeExecucao="Unitário"),$F301,"")</f>
        <v/>
      </c>
      <c r="W301" s="455">
        <f ca="1">IF($Y301&gt;0,CHOOSE(MATCH(RegimeExecucao,{"Unitário","Global"},0),IF($A301="S",$Y301/$X301,""),($Y301/$X301)*100),0)</f>
        <v>0</v>
      </c>
      <c r="X301" s="340" t="str">
        <f ca="1">IF($Y301&gt;0,CHOOSE(MATCH(RegimeExecucao,{"Unitário","Global"},0),IF($A301="S",ROUND($H301,ORÇAMENTO!$AF$10),""),ROUND($I301,ORÇAMENTO!$AF$11)),"")</f>
        <v/>
      </c>
      <c r="Y301" s="340">
        <f t="shared" ca="1" si="35"/>
        <v>0</v>
      </c>
      <c r="Z301" s="474"/>
      <c r="AB301" s="338"/>
      <c r="AC301" s="438"/>
      <c r="AD301" s="438"/>
      <c r="AE301" s="438"/>
      <c r="AF301" s="438"/>
      <c r="AG301" s="438"/>
      <c r="AH301" s="438"/>
      <c r="AI301" s="438"/>
      <c r="AJ301" s="438"/>
      <c r="AK301" s="438"/>
      <c r="AL301" s="438"/>
      <c r="AM301" s="339"/>
      <c r="AO301">
        <f ca="1">IF($A301="S",IF(BM!$I301=0,0,CHOOSE(MATCH(RegimeExecucao,{"Global","Unitário"},0),ROUND(ROUND(BM.MEDAcumulado,15-13*BM!$A$9)/100*BM!$I301,15-13*ORÇAMENTO!$AF$11),ROUND(ROUND(BM.MEDAcumulado,15-13*BM!$A$9)*ROUND(BM!$H301,15-13*ORÇAMENTO!$AF$10),15-13*ORÇAMENTO!$AF$11))),IF($A301=0,0,ROUND(SomaAgrupBM,15-13*ORÇAMENTO!$AF$11)))</f>
        <v>0</v>
      </c>
    </row>
    <row r="302" spans="1:41" x14ac:dyDescent="0.2">
      <c r="A302" t="str">
        <f ca="1">ORÇAMENTO!C302</f>
        <v>S</v>
      </c>
      <c r="B302">
        <f ca="1">ORÇAMENTO!D302</f>
        <v>0</v>
      </c>
      <c r="C302" s="115" t="str">
        <f t="shared" ca="1" si="29"/>
        <v/>
      </c>
      <c r="D302" s="118" t="str">
        <f ca="1">ORÇAMENTO!O302</f>
        <v>-</v>
      </c>
      <c r="E302" s="164" t="str">
        <f t="shared" si="30"/>
        <v>MANGUEIRA PARA GÁS - GLP</v>
      </c>
      <c r="F302" s="165" t="str">
        <f ca="1">IF(RegimeExecucao="Global","",ORÇAMENTO.Unidade)</f>
        <v xml:space="preserve">UN    </v>
      </c>
      <c r="G302" s="123">
        <f ca="1">IF(RegimeExecucao="Global","",ORÇAMENTO!T302)</f>
        <v>4</v>
      </c>
      <c r="H302" s="123">
        <f ca="1">IF(RegimeExecucao="Global","",ORÇAMENTO!W302)</f>
        <v>0</v>
      </c>
      <c r="I302" s="126">
        <f ca="1">ORÇAMENTO!X302</f>
        <v>0</v>
      </c>
      <c r="J302" s="334" t="e" cm="1">
        <f t="array" aca="1" ref="J302" ca="1">_xlfn.SINGLE(IF($A302="S",IF(CAIXA.Modo,BM.AFAnterior,BM.MEDAnterior),IF(AND(_xlfn.SINGLE(RegimeExecucao)="Global",$I302&gt;0,COUNTIF($AB$13:$AM$13,BM.medicao-1)&gt;0),M302/$I302*100,0)))</f>
        <v>#NAME?</v>
      </c>
      <c r="K302" s="123" t="e">
        <f t="shared" ca="1" si="31"/>
        <v>#NAME?</v>
      </c>
      <c r="L302" s="335" t="e" cm="1">
        <f t="array" aca="1" ref="L302" ca="1">_xlfn.SINGLE(IF($A302="S",IF(CAIXA.Modo,BM.AFAcumulado,BM.MEDAcumulado),IF(AND(_xlfn.SINGLE(RegimeExecucao)="Global",$I302&gt;0,COUNTIF($AB$13:$AM$13,BM.medicao)&gt;0),O302/$I302*100,0)))</f>
        <v>#NAME?</v>
      </c>
      <c r="M302" s="336">
        <f ca="1">IF($A302="S",VTOTALBM,IF($A302=0,0,ROUND(SomaAgrupBM,15-13*ORÇAMENTO!$AF$11)))</f>
        <v>0</v>
      </c>
      <c r="N302" s="337">
        <f t="shared" ca="1" si="32"/>
        <v>0</v>
      </c>
      <c r="O302" s="126">
        <f ca="1">IF($A302="S",VTOTALBM,IF($A302=0,0,ROUND(SomaAgrupBM,15-13*ORÇAMENTO!$AF$11)))</f>
        <v>0</v>
      </c>
      <c r="Q302" s="338"/>
      <c r="R302" s="339"/>
      <c r="T302" s="118" t="str">
        <f t="shared" ca="1" si="33"/>
        <v/>
      </c>
      <c r="U302" s="164" t="str">
        <f t="shared" ca="1" si="34"/>
        <v/>
      </c>
      <c r="V302" s="165" t="str">
        <f ca="1">IF(AND($W302&gt;0,RegimeExecucao="Unitário"),$F302,"")</f>
        <v/>
      </c>
      <c r="W302" s="455">
        <f ca="1">IF($Y302&gt;0,CHOOSE(MATCH(RegimeExecucao,{"Unitário","Global"},0),IF($A302="S",$Y302/$X302,""),($Y302/$X302)*100),0)</f>
        <v>0</v>
      </c>
      <c r="X302" s="340" t="str">
        <f ca="1">IF($Y302&gt;0,CHOOSE(MATCH(RegimeExecucao,{"Unitário","Global"},0),IF($A302="S",ROUND($H302,ORÇAMENTO!$AF$10),""),ROUND($I302,ORÇAMENTO!$AF$11)),"")</f>
        <v/>
      </c>
      <c r="Y302" s="340">
        <f t="shared" ca="1" si="35"/>
        <v>0</v>
      </c>
      <c r="Z302" s="474"/>
      <c r="AB302" s="338"/>
      <c r="AC302" s="438"/>
      <c r="AD302" s="438"/>
      <c r="AE302" s="438"/>
      <c r="AF302" s="438"/>
      <c r="AG302" s="438"/>
      <c r="AH302" s="438"/>
      <c r="AI302" s="438"/>
      <c r="AJ302" s="438"/>
      <c r="AK302" s="438"/>
      <c r="AL302" s="438"/>
      <c r="AM302" s="339"/>
      <c r="AO302">
        <f ca="1">IF($A302="S",IF(BM!$I302=0,0,CHOOSE(MATCH(RegimeExecucao,{"Global","Unitário"},0),ROUND(ROUND(BM.MEDAcumulado,15-13*BM!$A$9)/100*BM!$I302,15-13*ORÇAMENTO!$AF$11),ROUND(ROUND(BM.MEDAcumulado,15-13*BM!$A$9)*ROUND(BM!$H302,15-13*ORÇAMENTO!$AF$10),15-13*ORÇAMENTO!$AF$11))),IF($A302=0,0,ROUND(SomaAgrupBM,15-13*ORÇAMENTO!$AF$11)))</f>
        <v>0</v>
      </c>
    </row>
    <row r="303" spans="1:41" x14ac:dyDescent="0.2">
      <c r="A303">
        <f ca="1">ORÇAMENTO!C303</f>
        <v>3</v>
      </c>
      <c r="B303">
        <f ca="1">ORÇAMENTO!D303</f>
        <v>22</v>
      </c>
      <c r="C303" s="115" t="str">
        <f t="shared" ca="1" si="29"/>
        <v>F</v>
      </c>
      <c r="D303" s="118" t="str">
        <f ca="1">ORÇAMENTO!O303</f>
        <v>1.16.6.</v>
      </c>
      <c r="E303" s="164" t="str">
        <f t="shared" si="30"/>
        <v>SISTEMA HIDRÁULICO PREVENTIVO</v>
      </c>
      <c r="F303" s="165" t="str">
        <f ca="1">IF(RegimeExecucao="Global","",ORÇAMENTO.Unidade)</f>
        <v>-</v>
      </c>
      <c r="G303" s="123">
        <f ca="1">IF(RegimeExecucao="Global","",ORÇAMENTO!T303)</f>
        <v>0</v>
      </c>
      <c r="H303" s="123">
        <f ca="1">IF(RegimeExecucao="Global","",ORÇAMENTO!W303)</f>
        <v>0</v>
      </c>
      <c r="I303" s="126">
        <f ca="1">ORÇAMENTO!X303</f>
        <v>0</v>
      </c>
      <c r="J303" s="334" t="e" cm="1">
        <f t="array" aca="1" ref="J303" ca="1">_xlfn.SINGLE(IF($A303="S",IF(CAIXA.Modo,BM.AFAnterior,BM.MEDAnterior),IF(AND(_xlfn.SINGLE(RegimeExecucao)="Global",$I303&gt;0,COUNTIF($AB$13:$AM$13,BM.medicao-1)&gt;0),M303/$I303*100,0)))</f>
        <v>#NAME?</v>
      </c>
      <c r="K303" s="123" t="e">
        <f t="shared" ca="1" si="31"/>
        <v>#NAME?</v>
      </c>
      <c r="L303" s="335" t="e" cm="1">
        <f t="array" aca="1" ref="L303" ca="1">_xlfn.SINGLE(IF($A303="S",IF(CAIXA.Modo,BM.AFAcumulado,BM.MEDAcumulado),IF(AND(_xlfn.SINGLE(RegimeExecucao)="Global",$I303&gt;0,COUNTIF($AB$13:$AM$13,BM.medicao)&gt;0),O303/$I303*100,0)))</f>
        <v>#NAME?</v>
      </c>
      <c r="M303" s="336">
        <f ca="1">IF($A303="S",VTOTALBM,IF($A303=0,0,ROUND(SomaAgrupBM,15-13*ORÇAMENTO!$AF$11)))</f>
        <v>0</v>
      </c>
      <c r="N303" s="337">
        <f t="shared" ca="1" si="32"/>
        <v>0</v>
      </c>
      <c r="O303" s="126">
        <f ca="1">IF($A303="S",VTOTALBM,IF($A303=0,0,ROUND(SomaAgrupBM,15-13*ORÇAMENTO!$AF$11)))</f>
        <v>0</v>
      </c>
      <c r="Q303" s="338"/>
      <c r="R303" s="339"/>
      <c r="T303" s="118" t="str">
        <f t="shared" ca="1" si="33"/>
        <v/>
      </c>
      <c r="U303" s="164" t="str">
        <f t="shared" ca="1" si="34"/>
        <v/>
      </c>
      <c r="V303" s="165" t="str">
        <f ca="1">IF(AND($W303&gt;0,RegimeExecucao="Unitário"),$F303,"")</f>
        <v/>
      </c>
      <c r="W303" s="455">
        <f ca="1">IF($Y303&gt;0,CHOOSE(MATCH(RegimeExecucao,{"Unitário","Global"},0),IF($A303="S",$Y303/$X303,""),($Y303/$X303)*100),0)</f>
        <v>0</v>
      </c>
      <c r="X303" s="340" t="str">
        <f ca="1">IF($Y303&gt;0,CHOOSE(MATCH(RegimeExecucao,{"Unitário","Global"},0),IF($A303="S",ROUND($H303,ORÇAMENTO!$AF$10),""),ROUND($I303,ORÇAMENTO!$AF$11)),"")</f>
        <v/>
      </c>
      <c r="Y303" s="340">
        <f t="shared" ca="1" si="35"/>
        <v>0</v>
      </c>
      <c r="Z303" s="474"/>
      <c r="AB303" s="338"/>
      <c r="AC303" s="438"/>
      <c r="AD303" s="438"/>
      <c r="AE303" s="438"/>
      <c r="AF303" s="438"/>
      <c r="AG303" s="438"/>
      <c r="AH303" s="438"/>
      <c r="AI303" s="438"/>
      <c r="AJ303" s="438"/>
      <c r="AK303" s="438"/>
      <c r="AL303" s="438"/>
      <c r="AM303" s="339"/>
      <c r="AO303">
        <f ca="1">IF($A303="S",IF(BM!$I303=0,0,CHOOSE(MATCH(RegimeExecucao,{"Global","Unitário"},0),ROUND(ROUND(BM.MEDAcumulado,15-13*BM!$A$9)/100*BM!$I303,15-13*ORÇAMENTO!$AF$11),ROUND(ROUND(BM.MEDAcumulado,15-13*BM!$A$9)*ROUND(BM!$H303,15-13*ORÇAMENTO!$AF$10),15-13*ORÇAMENTO!$AF$11))),IF($A303=0,0,ROUND(SomaAgrupBM,15-13*ORÇAMENTO!$AF$11)))</f>
        <v>0</v>
      </c>
    </row>
    <row r="304" spans="1:41" ht="51" x14ac:dyDescent="0.2">
      <c r="A304" t="str">
        <f ca="1">ORÇAMENTO!C304</f>
        <v>S</v>
      </c>
      <c r="B304">
        <f ca="1">ORÇAMENTO!D304</f>
        <v>0</v>
      </c>
      <c r="C304" s="115" t="str">
        <f t="shared" ca="1" si="29"/>
        <v/>
      </c>
      <c r="D304" s="118" t="str">
        <f ca="1">ORÇAMENTO!O304</f>
        <v>-</v>
      </c>
      <c r="E304" s="164" t="str">
        <f t="shared" si="30"/>
        <v>TUBO DE AÇO GALVANIZADO COM COSTURA, CLASSE MÉDIA, DN 65 (2 1/2"), CONEXÃO ROSQUEADA, INSTALADO EM REDE DE ALIMENTAÇÃO PARA HIDRANTE - FORNECIMENTO E INSTALAÇÃO. AF_10/2020</v>
      </c>
      <c r="F304" s="165" t="str">
        <f ca="1">IF(RegimeExecucao="Global","",ORÇAMENTO.Unidade)</f>
        <v>M</v>
      </c>
      <c r="G304" s="123">
        <f ca="1">IF(RegimeExecucao="Global","",ORÇAMENTO!T304)</f>
        <v>57.6</v>
      </c>
      <c r="H304" s="123">
        <f ca="1">IF(RegimeExecucao="Global","",ORÇAMENTO!W304)</f>
        <v>0</v>
      </c>
      <c r="I304" s="126">
        <f ca="1">ORÇAMENTO!X304</f>
        <v>0</v>
      </c>
      <c r="J304" s="334" t="e" cm="1">
        <f t="array" aca="1" ref="J304" ca="1">_xlfn.SINGLE(IF($A304="S",IF(CAIXA.Modo,BM.AFAnterior,BM.MEDAnterior),IF(AND(_xlfn.SINGLE(RegimeExecucao)="Global",$I304&gt;0,COUNTIF($AB$13:$AM$13,BM.medicao-1)&gt;0),M304/$I304*100,0)))</f>
        <v>#NAME?</v>
      </c>
      <c r="K304" s="123" t="e">
        <f t="shared" ca="1" si="31"/>
        <v>#NAME?</v>
      </c>
      <c r="L304" s="335" t="e" cm="1">
        <f t="array" aca="1" ref="L304" ca="1">_xlfn.SINGLE(IF($A304="S",IF(CAIXA.Modo,BM.AFAcumulado,BM.MEDAcumulado),IF(AND(_xlfn.SINGLE(RegimeExecucao)="Global",$I304&gt;0,COUNTIF($AB$13:$AM$13,BM.medicao)&gt;0),O304/$I304*100,0)))</f>
        <v>#NAME?</v>
      </c>
      <c r="M304" s="336">
        <f ca="1">IF($A304="S",VTOTALBM,IF($A304=0,0,ROUND(SomaAgrupBM,15-13*ORÇAMENTO!$AF$11)))</f>
        <v>0</v>
      </c>
      <c r="N304" s="337">
        <f t="shared" ca="1" si="32"/>
        <v>0</v>
      </c>
      <c r="O304" s="126">
        <f ca="1">IF($A304="S",VTOTALBM,IF($A304=0,0,ROUND(SomaAgrupBM,15-13*ORÇAMENTO!$AF$11)))</f>
        <v>0</v>
      </c>
      <c r="Q304" s="338"/>
      <c r="R304" s="339"/>
      <c r="T304" s="118" t="str">
        <f t="shared" ca="1" si="33"/>
        <v/>
      </c>
      <c r="U304" s="164" t="str">
        <f t="shared" ca="1" si="34"/>
        <v/>
      </c>
      <c r="V304" s="165" t="str">
        <f ca="1">IF(AND($W304&gt;0,RegimeExecucao="Unitário"),$F304,"")</f>
        <v/>
      </c>
      <c r="W304" s="455">
        <f ca="1">IF($Y304&gt;0,CHOOSE(MATCH(RegimeExecucao,{"Unitário","Global"},0),IF($A304="S",$Y304/$X304,""),($Y304/$X304)*100),0)</f>
        <v>0</v>
      </c>
      <c r="X304" s="340" t="str">
        <f ca="1">IF($Y304&gt;0,CHOOSE(MATCH(RegimeExecucao,{"Unitário","Global"},0),IF($A304="S",ROUND($H304,ORÇAMENTO!$AF$10),""),ROUND($I304,ORÇAMENTO!$AF$11)),"")</f>
        <v/>
      </c>
      <c r="Y304" s="340">
        <f t="shared" ca="1" si="35"/>
        <v>0</v>
      </c>
      <c r="Z304" s="474"/>
      <c r="AB304" s="338"/>
      <c r="AC304" s="438"/>
      <c r="AD304" s="438"/>
      <c r="AE304" s="438"/>
      <c r="AF304" s="438"/>
      <c r="AG304" s="438"/>
      <c r="AH304" s="438"/>
      <c r="AI304" s="438"/>
      <c r="AJ304" s="438"/>
      <c r="AK304" s="438"/>
      <c r="AL304" s="438"/>
      <c r="AM304" s="339"/>
      <c r="AO304">
        <f ca="1">IF($A304="S",IF(BM!$I304=0,0,CHOOSE(MATCH(RegimeExecucao,{"Global","Unitário"},0),ROUND(ROUND(BM.MEDAcumulado,15-13*BM!$A$9)/100*BM!$I304,15-13*ORÇAMENTO!$AF$11),ROUND(ROUND(BM.MEDAcumulado,15-13*BM!$A$9)*ROUND(BM!$H304,15-13*ORÇAMENTO!$AF$10),15-13*ORÇAMENTO!$AF$11))),IF($A304=0,0,ROUND(SomaAgrupBM,15-13*ORÇAMENTO!$AF$11)))</f>
        <v>0</v>
      </c>
    </row>
    <row r="305" spans="1:41" ht="38.25" x14ac:dyDescent="0.2">
      <c r="A305" t="str">
        <f ca="1">ORÇAMENTO!C305</f>
        <v>S</v>
      </c>
      <c r="B305">
        <f ca="1">ORÇAMENTO!D305</f>
        <v>0</v>
      </c>
      <c r="C305" s="115" t="str">
        <f t="shared" ca="1" si="29"/>
        <v/>
      </c>
      <c r="D305" s="118" t="str">
        <f ca="1">ORÇAMENTO!O305</f>
        <v>-</v>
      </c>
      <c r="E305" s="164" t="str">
        <f t="shared" si="30"/>
        <v>JOELHO 90 GRAUS, EM FERRO GALVANIZADO, DN 65 (2 1/2"), CONEXÃO ROSQUEADA, INSTALADO EM REDE DE ALIMENTAÇÃO PARA HIDRANTE - FORNECIMENTO E INSTALAÇÃO. AF_10/2020</v>
      </c>
      <c r="F305" s="165" t="str">
        <f ca="1">IF(RegimeExecucao="Global","",ORÇAMENTO.Unidade)</f>
        <v>UN</v>
      </c>
      <c r="G305" s="123">
        <f ca="1">IF(RegimeExecucao="Global","",ORÇAMENTO!T305)</f>
        <v>6</v>
      </c>
      <c r="H305" s="123">
        <f ca="1">IF(RegimeExecucao="Global","",ORÇAMENTO!W305)</f>
        <v>0</v>
      </c>
      <c r="I305" s="126">
        <f ca="1">ORÇAMENTO!X305</f>
        <v>0</v>
      </c>
      <c r="J305" s="334" t="e" cm="1">
        <f t="array" aca="1" ref="J305" ca="1">_xlfn.SINGLE(IF($A305="S",IF(CAIXA.Modo,BM.AFAnterior,BM.MEDAnterior),IF(AND(_xlfn.SINGLE(RegimeExecucao)="Global",$I305&gt;0,COUNTIF($AB$13:$AM$13,BM.medicao-1)&gt;0),M305/$I305*100,0)))</f>
        <v>#NAME?</v>
      </c>
      <c r="K305" s="123" t="e">
        <f t="shared" ca="1" si="31"/>
        <v>#NAME?</v>
      </c>
      <c r="L305" s="335" t="e" cm="1">
        <f t="array" aca="1" ref="L305" ca="1">_xlfn.SINGLE(IF($A305="S",IF(CAIXA.Modo,BM.AFAcumulado,BM.MEDAcumulado),IF(AND(_xlfn.SINGLE(RegimeExecucao)="Global",$I305&gt;0,COUNTIF($AB$13:$AM$13,BM.medicao)&gt;0),O305/$I305*100,0)))</f>
        <v>#NAME?</v>
      </c>
      <c r="M305" s="336">
        <f ca="1">IF($A305="S",VTOTALBM,IF($A305=0,0,ROUND(SomaAgrupBM,15-13*ORÇAMENTO!$AF$11)))</f>
        <v>0</v>
      </c>
      <c r="N305" s="337">
        <f t="shared" ca="1" si="32"/>
        <v>0</v>
      </c>
      <c r="O305" s="126">
        <f ca="1">IF($A305="S",VTOTALBM,IF($A305=0,0,ROUND(SomaAgrupBM,15-13*ORÇAMENTO!$AF$11)))</f>
        <v>0</v>
      </c>
      <c r="Q305" s="338"/>
      <c r="R305" s="339"/>
      <c r="T305" s="118" t="str">
        <f t="shared" ca="1" si="33"/>
        <v/>
      </c>
      <c r="U305" s="164" t="str">
        <f t="shared" ca="1" si="34"/>
        <v/>
      </c>
      <c r="V305" s="165" t="str">
        <f ca="1">IF(AND($W305&gt;0,RegimeExecucao="Unitário"),$F305,"")</f>
        <v/>
      </c>
      <c r="W305" s="455">
        <f ca="1">IF($Y305&gt;0,CHOOSE(MATCH(RegimeExecucao,{"Unitário","Global"},0),IF($A305="S",$Y305/$X305,""),($Y305/$X305)*100),0)</f>
        <v>0</v>
      </c>
      <c r="X305" s="340" t="str">
        <f ca="1">IF($Y305&gt;0,CHOOSE(MATCH(RegimeExecucao,{"Unitário","Global"},0),IF($A305="S",ROUND($H305,ORÇAMENTO!$AF$10),""),ROUND($I305,ORÇAMENTO!$AF$11)),"")</f>
        <v/>
      </c>
      <c r="Y305" s="340">
        <f t="shared" ca="1" si="35"/>
        <v>0</v>
      </c>
      <c r="Z305" s="474"/>
      <c r="AB305" s="338"/>
      <c r="AC305" s="438"/>
      <c r="AD305" s="438"/>
      <c r="AE305" s="438"/>
      <c r="AF305" s="438"/>
      <c r="AG305" s="438"/>
      <c r="AH305" s="438"/>
      <c r="AI305" s="438"/>
      <c r="AJ305" s="438"/>
      <c r="AK305" s="438"/>
      <c r="AL305" s="438"/>
      <c r="AM305" s="339"/>
      <c r="AO305">
        <f ca="1">IF($A305="S",IF(BM!$I305=0,0,CHOOSE(MATCH(RegimeExecucao,{"Global","Unitário"},0),ROUND(ROUND(BM.MEDAcumulado,15-13*BM!$A$9)/100*BM!$I305,15-13*ORÇAMENTO!$AF$11),ROUND(ROUND(BM.MEDAcumulado,15-13*BM!$A$9)*ROUND(BM!$H305,15-13*ORÇAMENTO!$AF$10),15-13*ORÇAMENTO!$AF$11))),IF($A305=0,0,ROUND(SomaAgrupBM,15-13*ORÇAMENTO!$AF$11)))</f>
        <v>0</v>
      </c>
    </row>
    <row r="306" spans="1:41" ht="38.25" x14ac:dyDescent="0.2">
      <c r="A306" t="str">
        <f ca="1">ORÇAMENTO!C306</f>
        <v>S</v>
      </c>
      <c r="B306">
        <f ca="1">ORÇAMENTO!D306</f>
        <v>0</v>
      </c>
      <c r="C306" s="115" t="str">
        <f t="shared" ca="1" si="29"/>
        <v/>
      </c>
      <c r="D306" s="118" t="str">
        <f ca="1">ORÇAMENTO!O306</f>
        <v>-</v>
      </c>
      <c r="E306" s="164" t="str">
        <f t="shared" si="30"/>
        <v>CURVA 90 GRAUS, EM FERRO GALVANIZADO, CONEXÃO ROSQUEADA, DN 65 MM (2 1/2"), INSTALADO EM RESERVAÇÃO PREDIAL DE ÁGUA - FORNECIMENTO E INSTALAÇÃO. AF_04/2024</v>
      </c>
      <c r="F306" s="165" t="str">
        <f ca="1">IF(RegimeExecucao="Global","",ORÇAMENTO.Unidade)</f>
        <v>UN</v>
      </c>
      <c r="G306" s="123">
        <f ca="1">IF(RegimeExecucao="Global","",ORÇAMENTO!T306)</f>
        <v>2</v>
      </c>
      <c r="H306" s="123">
        <f ca="1">IF(RegimeExecucao="Global","",ORÇAMENTO!W306)</f>
        <v>0</v>
      </c>
      <c r="I306" s="126">
        <f ca="1">ORÇAMENTO!X306</f>
        <v>0</v>
      </c>
      <c r="J306" s="334" t="e" cm="1">
        <f t="array" aca="1" ref="J306" ca="1">_xlfn.SINGLE(IF($A306="S",IF(CAIXA.Modo,BM.AFAnterior,BM.MEDAnterior),IF(AND(_xlfn.SINGLE(RegimeExecucao)="Global",$I306&gt;0,COUNTIF($AB$13:$AM$13,BM.medicao-1)&gt;0),M306/$I306*100,0)))</f>
        <v>#NAME?</v>
      </c>
      <c r="K306" s="123" t="e">
        <f t="shared" ca="1" si="31"/>
        <v>#NAME?</v>
      </c>
      <c r="L306" s="335" t="e" cm="1">
        <f t="array" aca="1" ref="L306" ca="1">_xlfn.SINGLE(IF($A306="S",IF(CAIXA.Modo,BM.AFAcumulado,BM.MEDAcumulado),IF(AND(_xlfn.SINGLE(RegimeExecucao)="Global",$I306&gt;0,COUNTIF($AB$13:$AM$13,BM.medicao)&gt;0),O306/$I306*100,0)))</f>
        <v>#NAME?</v>
      </c>
      <c r="M306" s="336">
        <f ca="1">IF($A306="S",VTOTALBM,IF($A306=0,0,ROUND(SomaAgrupBM,15-13*ORÇAMENTO!$AF$11)))</f>
        <v>0</v>
      </c>
      <c r="N306" s="337">
        <f t="shared" ca="1" si="32"/>
        <v>0</v>
      </c>
      <c r="O306" s="126">
        <f ca="1">IF($A306="S",VTOTALBM,IF($A306=0,0,ROUND(SomaAgrupBM,15-13*ORÇAMENTO!$AF$11)))</f>
        <v>0</v>
      </c>
      <c r="Q306" s="338"/>
      <c r="R306" s="339"/>
      <c r="T306" s="118" t="str">
        <f t="shared" ca="1" si="33"/>
        <v/>
      </c>
      <c r="U306" s="164" t="str">
        <f t="shared" ca="1" si="34"/>
        <v/>
      </c>
      <c r="V306" s="165" t="str">
        <f ca="1">IF(AND($W306&gt;0,RegimeExecucao="Unitário"),$F306,"")</f>
        <v/>
      </c>
      <c r="W306" s="455">
        <f ca="1">IF($Y306&gt;0,CHOOSE(MATCH(RegimeExecucao,{"Unitário","Global"},0),IF($A306="S",$Y306/$X306,""),($Y306/$X306)*100),0)</f>
        <v>0</v>
      </c>
      <c r="X306" s="340" t="str">
        <f ca="1">IF($Y306&gt;0,CHOOSE(MATCH(RegimeExecucao,{"Unitário","Global"},0),IF($A306="S",ROUND($H306,ORÇAMENTO!$AF$10),""),ROUND($I306,ORÇAMENTO!$AF$11)),"")</f>
        <v/>
      </c>
      <c r="Y306" s="340">
        <f t="shared" ca="1" si="35"/>
        <v>0</v>
      </c>
      <c r="Z306" s="474"/>
      <c r="AB306" s="338"/>
      <c r="AC306" s="438"/>
      <c r="AD306" s="438"/>
      <c r="AE306" s="438"/>
      <c r="AF306" s="438"/>
      <c r="AG306" s="438"/>
      <c r="AH306" s="438"/>
      <c r="AI306" s="438"/>
      <c r="AJ306" s="438"/>
      <c r="AK306" s="438"/>
      <c r="AL306" s="438"/>
      <c r="AM306" s="339"/>
      <c r="AO306">
        <f ca="1">IF($A306="S",IF(BM!$I306=0,0,CHOOSE(MATCH(RegimeExecucao,{"Global","Unitário"},0),ROUND(ROUND(BM.MEDAcumulado,15-13*BM!$A$9)/100*BM!$I306,15-13*ORÇAMENTO!$AF$11),ROUND(ROUND(BM.MEDAcumulado,15-13*BM!$A$9)*ROUND(BM!$H306,15-13*ORÇAMENTO!$AF$10),15-13*ORÇAMENTO!$AF$11))),IF($A306=0,0,ROUND(SomaAgrupBM,15-13*ORÇAMENTO!$AF$11)))</f>
        <v>0</v>
      </c>
    </row>
    <row r="307" spans="1:41" ht="38.25" x14ac:dyDescent="0.2">
      <c r="A307" t="str">
        <f ca="1">ORÇAMENTO!C307</f>
        <v>S</v>
      </c>
      <c r="B307">
        <f ca="1">ORÇAMENTO!D307</f>
        <v>0</v>
      </c>
      <c r="C307" s="115" t="str">
        <f t="shared" ca="1" si="29"/>
        <v/>
      </c>
      <c r="D307" s="118" t="str">
        <f ca="1">ORÇAMENTO!O307</f>
        <v>-</v>
      </c>
      <c r="E307" s="164" t="str">
        <f t="shared" si="30"/>
        <v>TÊ, EM FERRO GALVANIZADO, CONEXÃO ROSQUEADA, DN 65 (2 1/2"), INSTALADO EM REDE DE ALIMENTAÇÃO PARA HIDRANTE - FORNECIMENTO E INSTALAÇÃO. AF_10/2020</v>
      </c>
      <c r="F307" s="165" t="str">
        <f ca="1">IF(RegimeExecucao="Global","",ORÇAMENTO.Unidade)</f>
        <v>UN</v>
      </c>
      <c r="G307" s="123">
        <f ca="1">IF(RegimeExecucao="Global","",ORÇAMENTO!T307)</f>
        <v>3</v>
      </c>
      <c r="H307" s="123">
        <f ca="1">IF(RegimeExecucao="Global","",ORÇAMENTO!W307)</f>
        <v>0</v>
      </c>
      <c r="I307" s="126">
        <f ca="1">ORÇAMENTO!X307</f>
        <v>0</v>
      </c>
      <c r="J307" s="334" t="e" cm="1">
        <f t="array" aca="1" ref="J307" ca="1">_xlfn.SINGLE(IF($A307="S",IF(CAIXA.Modo,BM.AFAnterior,BM.MEDAnterior),IF(AND(_xlfn.SINGLE(RegimeExecucao)="Global",$I307&gt;0,COUNTIF($AB$13:$AM$13,BM.medicao-1)&gt;0),M307/$I307*100,0)))</f>
        <v>#NAME?</v>
      </c>
      <c r="K307" s="123" t="e">
        <f t="shared" ca="1" si="31"/>
        <v>#NAME?</v>
      </c>
      <c r="L307" s="335" t="e" cm="1">
        <f t="array" aca="1" ref="L307" ca="1">_xlfn.SINGLE(IF($A307="S",IF(CAIXA.Modo,BM.AFAcumulado,BM.MEDAcumulado),IF(AND(_xlfn.SINGLE(RegimeExecucao)="Global",$I307&gt;0,COUNTIF($AB$13:$AM$13,BM.medicao)&gt;0),O307/$I307*100,0)))</f>
        <v>#NAME?</v>
      </c>
      <c r="M307" s="336">
        <f ca="1">IF($A307="S",VTOTALBM,IF($A307=0,0,ROUND(SomaAgrupBM,15-13*ORÇAMENTO!$AF$11)))</f>
        <v>0</v>
      </c>
      <c r="N307" s="337">
        <f t="shared" ca="1" si="32"/>
        <v>0</v>
      </c>
      <c r="O307" s="126">
        <f ca="1">IF($A307="S",VTOTALBM,IF($A307=0,0,ROUND(SomaAgrupBM,15-13*ORÇAMENTO!$AF$11)))</f>
        <v>0</v>
      </c>
      <c r="Q307" s="338"/>
      <c r="R307" s="339"/>
      <c r="T307" s="118" t="str">
        <f t="shared" ca="1" si="33"/>
        <v/>
      </c>
      <c r="U307" s="164" t="str">
        <f t="shared" ca="1" si="34"/>
        <v/>
      </c>
      <c r="V307" s="165" t="str">
        <f ca="1">IF(AND($W307&gt;0,RegimeExecucao="Unitário"),$F307,"")</f>
        <v/>
      </c>
      <c r="W307" s="455">
        <f ca="1">IF($Y307&gt;0,CHOOSE(MATCH(RegimeExecucao,{"Unitário","Global"},0),IF($A307="S",$Y307/$X307,""),($Y307/$X307)*100),0)</f>
        <v>0</v>
      </c>
      <c r="X307" s="340" t="str">
        <f ca="1">IF($Y307&gt;0,CHOOSE(MATCH(RegimeExecucao,{"Unitário","Global"},0),IF($A307="S",ROUND($H307,ORÇAMENTO!$AF$10),""),ROUND($I307,ORÇAMENTO!$AF$11)),"")</f>
        <v/>
      </c>
      <c r="Y307" s="340">
        <f t="shared" ca="1" si="35"/>
        <v>0</v>
      </c>
      <c r="Z307" s="474"/>
      <c r="AB307" s="338"/>
      <c r="AC307" s="438"/>
      <c r="AD307" s="438"/>
      <c r="AE307" s="438"/>
      <c r="AF307" s="438"/>
      <c r="AG307" s="438"/>
      <c r="AH307" s="438"/>
      <c r="AI307" s="438"/>
      <c r="AJ307" s="438"/>
      <c r="AK307" s="438"/>
      <c r="AL307" s="438"/>
      <c r="AM307" s="339"/>
      <c r="AO307">
        <f ca="1">IF($A307="S",IF(BM!$I307=0,0,CHOOSE(MATCH(RegimeExecucao,{"Global","Unitário"},0),ROUND(ROUND(BM.MEDAcumulado,15-13*BM!$A$9)/100*BM!$I307,15-13*ORÇAMENTO!$AF$11),ROUND(ROUND(BM.MEDAcumulado,15-13*BM!$A$9)*ROUND(BM!$H307,15-13*ORÇAMENTO!$AF$10),15-13*ORÇAMENTO!$AF$11))),IF($A307=0,0,ROUND(SomaAgrupBM,15-13*ORÇAMENTO!$AF$11)))</f>
        <v>0</v>
      </c>
    </row>
    <row r="308" spans="1:41" ht="38.25" x14ac:dyDescent="0.2">
      <c r="A308" t="str">
        <f ca="1">ORÇAMENTO!C308</f>
        <v>S</v>
      </c>
      <c r="B308">
        <f ca="1">ORÇAMENTO!D308</f>
        <v>0</v>
      </c>
      <c r="C308" s="115" t="str">
        <f t="shared" ca="1" si="29"/>
        <v/>
      </c>
      <c r="D308" s="118" t="str">
        <f ca="1">ORÇAMENTO!O308</f>
        <v>-</v>
      </c>
      <c r="E308" s="164" t="str">
        <f t="shared" si="30"/>
        <v>NIPLE, EM FERRO GALVANIZADO, DN 65 (2 1/2"), CONEXÃO ROSQUEADA, INSTALADO EM REDE DE ALIMENTAÇÃO PARA HIDRANTE - FORNECIMENTO E INSTALAÇÃO. AF_10/2020</v>
      </c>
      <c r="F308" s="165" t="str">
        <f ca="1">IF(RegimeExecucao="Global","",ORÇAMENTO.Unidade)</f>
        <v>UN</v>
      </c>
      <c r="G308" s="123">
        <f ca="1">IF(RegimeExecucao="Global","",ORÇAMENTO!T308)</f>
        <v>6</v>
      </c>
      <c r="H308" s="123">
        <f ca="1">IF(RegimeExecucao="Global","",ORÇAMENTO!W308)</f>
        <v>0</v>
      </c>
      <c r="I308" s="126">
        <f ca="1">ORÇAMENTO!X308</f>
        <v>0</v>
      </c>
      <c r="J308" s="334" t="e" cm="1">
        <f t="array" aca="1" ref="J308" ca="1">_xlfn.SINGLE(IF($A308="S",IF(CAIXA.Modo,BM.AFAnterior,BM.MEDAnterior),IF(AND(_xlfn.SINGLE(RegimeExecucao)="Global",$I308&gt;0,COUNTIF($AB$13:$AM$13,BM.medicao-1)&gt;0),M308/$I308*100,0)))</f>
        <v>#NAME?</v>
      </c>
      <c r="K308" s="123" t="e">
        <f t="shared" ca="1" si="31"/>
        <v>#NAME?</v>
      </c>
      <c r="L308" s="335" t="e" cm="1">
        <f t="array" aca="1" ref="L308" ca="1">_xlfn.SINGLE(IF($A308="S",IF(CAIXA.Modo,BM.AFAcumulado,BM.MEDAcumulado),IF(AND(_xlfn.SINGLE(RegimeExecucao)="Global",$I308&gt;0,COUNTIF($AB$13:$AM$13,BM.medicao)&gt;0),O308/$I308*100,0)))</f>
        <v>#NAME?</v>
      </c>
      <c r="M308" s="336">
        <f ca="1">IF($A308="S",VTOTALBM,IF($A308=0,0,ROUND(SomaAgrupBM,15-13*ORÇAMENTO!$AF$11)))</f>
        <v>0</v>
      </c>
      <c r="N308" s="337">
        <f t="shared" ca="1" si="32"/>
        <v>0</v>
      </c>
      <c r="O308" s="126">
        <f ca="1">IF($A308="S",VTOTALBM,IF($A308=0,0,ROUND(SomaAgrupBM,15-13*ORÇAMENTO!$AF$11)))</f>
        <v>0</v>
      </c>
      <c r="Q308" s="338"/>
      <c r="R308" s="339"/>
      <c r="T308" s="118" t="str">
        <f t="shared" ca="1" si="33"/>
        <v/>
      </c>
      <c r="U308" s="164" t="str">
        <f t="shared" ca="1" si="34"/>
        <v/>
      </c>
      <c r="V308" s="165" t="str">
        <f ca="1">IF(AND($W308&gt;0,RegimeExecucao="Unitário"),$F308,"")</f>
        <v/>
      </c>
      <c r="W308" s="455">
        <f ca="1">IF($Y308&gt;0,CHOOSE(MATCH(RegimeExecucao,{"Unitário","Global"},0),IF($A308="S",$Y308/$X308,""),($Y308/$X308)*100),0)</f>
        <v>0</v>
      </c>
      <c r="X308" s="340" t="str">
        <f ca="1">IF($Y308&gt;0,CHOOSE(MATCH(RegimeExecucao,{"Unitário","Global"},0),IF($A308="S",ROUND($H308,ORÇAMENTO!$AF$10),""),ROUND($I308,ORÇAMENTO!$AF$11)),"")</f>
        <v/>
      </c>
      <c r="Y308" s="340">
        <f t="shared" ca="1" si="35"/>
        <v>0</v>
      </c>
      <c r="Z308" s="474"/>
      <c r="AB308" s="338"/>
      <c r="AC308" s="438"/>
      <c r="AD308" s="438"/>
      <c r="AE308" s="438"/>
      <c r="AF308" s="438"/>
      <c r="AG308" s="438"/>
      <c r="AH308" s="438"/>
      <c r="AI308" s="438"/>
      <c r="AJ308" s="438"/>
      <c r="AK308" s="438"/>
      <c r="AL308" s="438"/>
      <c r="AM308" s="339"/>
      <c r="AO308">
        <f ca="1">IF($A308="S",IF(BM!$I308=0,0,CHOOSE(MATCH(RegimeExecucao,{"Global","Unitário"},0),ROUND(ROUND(BM.MEDAcumulado,15-13*BM!$A$9)/100*BM!$I308,15-13*ORÇAMENTO!$AF$11),ROUND(ROUND(BM.MEDAcumulado,15-13*BM!$A$9)*ROUND(BM!$H308,15-13*ORÇAMENTO!$AF$10),15-13*ORÇAMENTO!$AF$11))),IF($A308=0,0,ROUND(SomaAgrupBM,15-13*ORÇAMENTO!$AF$11)))</f>
        <v>0</v>
      </c>
    </row>
    <row r="309" spans="1:41" ht="25.5" x14ac:dyDescent="0.2">
      <c r="A309" t="str">
        <f ca="1">ORÇAMENTO!C309</f>
        <v>S</v>
      </c>
      <c r="B309">
        <f ca="1">ORÇAMENTO!D309</f>
        <v>0</v>
      </c>
      <c r="C309" s="115" t="str">
        <f t="shared" ca="1" si="29"/>
        <v/>
      </c>
      <c r="D309" s="118" t="str">
        <f ca="1">ORÇAMENTO!O309</f>
        <v>-</v>
      </c>
      <c r="E309" s="164" t="str">
        <f t="shared" si="30"/>
        <v xml:space="preserve">ADAPTADOR EM LATAO, ENGATE RAPIDO1 1/2" X ROSCA INTERNA 5 FIOS 2 1/2", PARA INSTALACAO PREDIAL DE COMBATE A INCENDIO                                                                                                                                      </v>
      </c>
      <c r="F309" s="165" t="str">
        <f ca="1">IF(RegimeExecucao="Global","",ORÇAMENTO.Unidade)</f>
        <v xml:space="preserve">UN    </v>
      </c>
      <c r="G309" s="123">
        <f ca="1">IF(RegimeExecucao="Global","",ORÇAMENTO!T309)</f>
        <v>2</v>
      </c>
      <c r="H309" s="123">
        <f ca="1">IF(RegimeExecucao="Global","",ORÇAMENTO!W309)</f>
        <v>0</v>
      </c>
      <c r="I309" s="126">
        <f ca="1">ORÇAMENTO!X309</f>
        <v>0</v>
      </c>
      <c r="J309" s="334" t="e" cm="1">
        <f t="array" aca="1" ref="J309" ca="1">_xlfn.SINGLE(IF($A309="S",IF(CAIXA.Modo,BM.AFAnterior,BM.MEDAnterior),IF(AND(_xlfn.SINGLE(RegimeExecucao)="Global",$I309&gt;0,COUNTIF($AB$13:$AM$13,BM.medicao-1)&gt;0),M309/$I309*100,0)))</f>
        <v>#NAME?</v>
      </c>
      <c r="K309" s="123" t="e">
        <f t="shared" ca="1" si="31"/>
        <v>#NAME?</v>
      </c>
      <c r="L309" s="335" t="e" cm="1">
        <f t="array" aca="1" ref="L309" ca="1">_xlfn.SINGLE(IF($A309="S",IF(CAIXA.Modo,BM.AFAcumulado,BM.MEDAcumulado),IF(AND(_xlfn.SINGLE(RegimeExecucao)="Global",$I309&gt;0,COUNTIF($AB$13:$AM$13,BM.medicao)&gt;0),O309/$I309*100,0)))</f>
        <v>#NAME?</v>
      </c>
      <c r="M309" s="336">
        <f ca="1">IF($A309="S",VTOTALBM,IF($A309=0,0,ROUND(SomaAgrupBM,15-13*ORÇAMENTO!$AF$11)))</f>
        <v>0</v>
      </c>
      <c r="N309" s="337">
        <f t="shared" ca="1" si="32"/>
        <v>0</v>
      </c>
      <c r="O309" s="126">
        <f ca="1">IF($A309="S",VTOTALBM,IF($A309=0,0,ROUND(SomaAgrupBM,15-13*ORÇAMENTO!$AF$11)))</f>
        <v>0</v>
      </c>
      <c r="Q309" s="338"/>
      <c r="R309" s="339"/>
      <c r="T309" s="118" t="str">
        <f t="shared" ca="1" si="33"/>
        <v/>
      </c>
      <c r="U309" s="164" t="str">
        <f t="shared" ca="1" si="34"/>
        <v/>
      </c>
      <c r="V309" s="165" t="str">
        <f ca="1">IF(AND($W309&gt;0,RegimeExecucao="Unitário"),$F309,"")</f>
        <v/>
      </c>
      <c r="W309" s="455">
        <f ca="1">IF($Y309&gt;0,CHOOSE(MATCH(RegimeExecucao,{"Unitário","Global"},0),IF($A309="S",$Y309/$X309,""),($Y309/$X309)*100),0)</f>
        <v>0</v>
      </c>
      <c r="X309" s="340" t="str">
        <f ca="1">IF($Y309&gt;0,CHOOSE(MATCH(RegimeExecucao,{"Unitário","Global"},0),IF($A309="S",ROUND($H309,ORÇAMENTO!$AF$10),""),ROUND($I309,ORÇAMENTO!$AF$11)),"")</f>
        <v/>
      </c>
      <c r="Y309" s="340">
        <f t="shared" ca="1" si="35"/>
        <v>0</v>
      </c>
      <c r="Z309" s="474"/>
      <c r="AB309" s="338"/>
      <c r="AC309" s="438"/>
      <c r="AD309" s="438"/>
      <c r="AE309" s="438"/>
      <c r="AF309" s="438"/>
      <c r="AG309" s="438"/>
      <c r="AH309" s="438"/>
      <c r="AI309" s="438"/>
      <c r="AJ309" s="438"/>
      <c r="AK309" s="438"/>
      <c r="AL309" s="438"/>
      <c r="AM309" s="339"/>
      <c r="AO309">
        <f ca="1">IF($A309="S",IF(BM!$I309=0,0,CHOOSE(MATCH(RegimeExecucao,{"Global","Unitário"},0),ROUND(ROUND(BM.MEDAcumulado,15-13*BM!$A$9)/100*BM!$I309,15-13*ORÇAMENTO!$AF$11),ROUND(ROUND(BM.MEDAcumulado,15-13*BM!$A$9)*ROUND(BM!$H309,15-13*ORÇAMENTO!$AF$10),15-13*ORÇAMENTO!$AF$11))),IF($A309=0,0,ROUND(SomaAgrupBM,15-13*ORÇAMENTO!$AF$11)))</f>
        <v>0</v>
      </c>
    </row>
    <row r="310" spans="1:41" ht="25.5" x14ac:dyDescent="0.2">
      <c r="A310" t="str">
        <f ca="1">ORÇAMENTO!C310</f>
        <v>S</v>
      </c>
      <c r="B310">
        <f ca="1">ORÇAMENTO!D310</f>
        <v>0</v>
      </c>
      <c r="C310" s="115" t="str">
        <f t="shared" ca="1" si="29"/>
        <v/>
      </c>
      <c r="D310" s="118" t="str">
        <f ca="1">ORÇAMENTO!O310</f>
        <v>-</v>
      </c>
      <c r="E310" s="164" t="str">
        <f t="shared" si="30"/>
        <v xml:space="preserve">ADAPTADOR EM LATAO, ENGATE RAPIDO 2 1/2" X ROSCA INTERNA 5 FIOS 2 1/2", PARA INSTALACAO PREDIAL DE COMBATE A INCENDIO                                                                                                                                     </v>
      </c>
      <c r="F310" s="165" t="str">
        <f ca="1">IF(RegimeExecucao="Global","",ORÇAMENTO.Unidade)</f>
        <v xml:space="preserve">UN    </v>
      </c>
      <c r="G310" s="123">
        <f ca="1">IF(RegimeExecucao="Global","",ORÇAMENTO!T310)</f>
        <v>1</v>
      </c>
      <c r="H310" s="123">
        <f ca="1">IF(RegimeExecucao="Global","",ORÇAMENTO!W310)</f>
        <v>0</v>
      </c>
      <c r="I310" s="126">
        <f ca="1">ORÇAMENTO!X310</f>
        <v>0</v>
      </c>
      <c r="J310" s="334" t="e" cm="1">
        <f t="array" aca="1" ref="J310" ca="1">_xlfn.SINGLE(IF($A310="S",IF(CAIXA.Modo,BM.AFAnterior,BM.MEDAnterior),IF(AND(_xlfn.SINGLE(RegimeExecucao)="Global",$I310&gt;0,COUNTIF($AB$13:$AM$13,BM.medicao-1)&gt;0),M310/$I310*100,0)))</f>
        <v>#NAME?</v>
      </c>
      <c r="K310" s="123" t="e">
        <f t="shared" ca="1" si="31"/>
        <v>#NAME?</v>
      </c>
      <c r="L310" s="335" t="e" cm="1">
        <f t="array" aca="1" ref="L310" ca="1">_xlfn.SINGLE(IF($A310="S",IF(CAIXA.Modo,BM.AFAcumulado,BM.MEDAcumulado),IF(AND(_xlfn.SINGLE(RegimeExecucao)="Global",$I310&gt;0,COUNTIF($AB$13:$AM$13,BM.medicao)&gt;0),O310/$I310*100,0)))</f>
        <v>#NAME?</v>
      </c>
      <c r="M310" s="336">
        <f ca="1">IF($A310="S",VTOTALBM,IF($A310=0,0,ROUND(SomaAgrupBM,15-13*ORÇAMENTO!$AF$11)))</f>
        <v>0</v>
      </c>
      <c r="N310" s="337">
        <f t="shared" ca="1" si="32"/>
        <v>0</v>
      </c>
      <c r="O310" s="126">
        <f ca="1">IF($A310="S",VTOTALBM,IF($A310=0,0,ROUND(SomaAgrupBM,15-13*ORÇAMENTO!$AF$11)))</f>
        <v>0</v>
      </c>
      <c r="Q310" s="338"/>
      <c r="R310" s="339"/>
      <c r="T310" s="118" t="str">
        <f t="shared" ca="1" si="33"/>
        <v/>
      </c>
      <c r="U310" s="164" t="str">
        <f t="shared" ca="1" si="34"/>
        <v/>
      </c>
      <c r="V310" s="165" t="str">
        <f ca="1">IF(AND($W310&gt;0,RegimeExecucao="Unitário"),$F310,"")</f>
        <v/>
      </c>
      <c r="W310" s="455">
        <f ca="1">IF($Y310&gt;0,CHOOSE(MATCH(RegimeExecucao,{"Unitário","Global"},0),IF($A310="S",$Y310/$X310,""),($Y310/$X310)*100),0)</f>
        <v>0</v>
      </c>
      <c r="X310" s="340" t="str">
        <f ca="1">IF($Y310&gt;0,CHOOSE(MATCH(RegimeExecucao,{"Unitário","Global"},0),IF($A310="S",ROUND($H310,ORÇAMENTO!$AF$10),""),ROUND($I310,ORÇAMENTO!$AF$11)),"")</f>
        <v/>
      </c>
      <c r="Y310" s="340">
        <f t="shared" ca="1" si="35"/>
        <v>0</v>
      </c>
      <c r="Z310" s="474"/>
      <c r="AB310" s="338"/>
      <c r="AC310" s="438"/>
      <c r="AD310" s="438"/>
      <c r="AE310" s="438"/>
      <c r="AF310" s="438"/>
      <c r="AG310" s="438"/>
      <c r="AH310" s="438"/>
      <c r="AI310" s="438"/>
      <c r="AJ310" s="438"/>
      <c r="AK310" s="438"/>
      <c r="AL310" s="438"/>
      <c r="AM310" s="339"/>
      <c r="AO310">
        <f ca="1">IF($A310="S",IF(BM!$I310=0,0,CHOOSE(MATCH(RegimeExecucao,{"Global","Unitário"},0),ROUND(ROUND(BM.MEDAcumulado,15-13*BM!$A$9)/100*BM!$I310,15-13*ORÇAMENTO!$AF$11),ROUND(ROUND(BM.MEDAcumulado,15-13*BM!$A$9)*ROUND(BM!$H310,15-13*ORÇAMENTO!$AF$10),15-13*ORÇAMENTO!$AF$11))),IF($A310=0,0,ROUND(SomaAgrupBM,15-13*ORÇAMENTO!$AF$11)))</f>
        <v>0</v>
      </c>
    </row>
    <row r="311" spans="1:41" ht="38.25" x14ac:dyDescent="0.2">
      <c r="A311" t="str">
        <f ca="1">ORÇAMENTO!C311</f>
        <v>S</v>
      </c>
      <c r="B311">
        <f ca="1">ORÇAMENTO!D311</f>
        <v>0</v>
      </c>
      <c r="C311" s="115" t="str">
        <f t="shared" ca="1" si="29"/>
        <v/>
      </c>
      <c r="D311" s="118" t="str">
        <f ca="1">ORÇAMENTO!O311</f>
        <v>-</v>
      </c>
      <c r="E311" s="164" t="str">
        <f t="shared" si="30"/>
        <v xml:space="preserve">BUCHA DE NYLON, DIAMETRO DO FURO 8 MM, COMPRIMENTO 40 MM, COM PARAFUSO DE ROSCA SOBERBA, CABECA CHATA, FENDA SIMPLES, 4,8 X 50 MM                                                                                                                         </v>
      </c>
      <c r="F311" s="165" t="str">
        <f ca="1">IF(RegimeExecucao="Global","",ORÇAMENTO.Unidade)</f>
        <v xml:space="preserve">UN    </v>
      </c>
      <c r="G311" s="123">
        <f ca="1">IF(RegimeExecucao="Global","",ORÇAMENTO!T311)</f>
        <v>8</v>
      </c>
      <c r="H311" s="123">
        <f ca="1">IF(RegimeExecucao="Global","",ORÇAMENTO!W311)</f>
        <v>0</v>
      </c>
      <c r="I311" s="126">
        <f ca="1">ORÇAMENTO!X311</f>
        <v>0</v>
      </c>
      <c r="J311" s="334" t="e" cm="1">
        <f t="array" aca="1" ref="J311" ca="1">_xlfn.SINGLE(IF($A311="S",IF(CAIXA.Modo,BM.AFAnterior,BM.MEDAnterior),IF(AND(_xlfn.SINGLE(RegimeExecucao)="Global",$I311&gt;0,COUNTIF($AB$13:$AM$13,BM.medicao-1)&gt;0),M311/$I311*100,0)))</f>
        <v>#NAME?</v>
      </c>
      <c r="K311" s="123" t="e">
        <f t="shared" ca="1" si="31"/>
        <v>#NAME?</v>
      </c>
      <c r="L311" s="335" t="e" cm="1">
        <f t="array" aca="1" ref="L311" ca="1">_xlfn.SINGLE(IF($A311="S",IF(CAIXA.Modo,BM.AFAcumulado,BM.MEDAcumulado),IF(AND(_xlfn.SINGLE(RegimeExecucao)="Global",$I311&gt;0,COUNTIF($AB$13:$AM$13,BM.medicao)&gt;0),O311/$I311*100,0)))</f>
        <v>#NAME?</v>
      </c>
      <c r="M311" s="336">
        <f ca="1">IF($A311="S",VTOTALBM,IF($A311=0,0,ROUND(SomaAgrupBM,15-13*ORÇAMENTO!$AF$11)))</f>
        <v>0</v>
      </c>
      <c r="N311" s="337">
        <f t="shared" ca="1" si="32"/>
        <v>0</v>
      </c>
      <c r="O311" s="126">
        <f ca="1">IF($A311="S",VTOTALBM,IF($A311=0,0,ROUND(SomaAgrupBM,15-13*ORÇAMENTO!$AF$11)))</f>
        <v>0</v>
      </c>
      <c r="Q311" s="338"/>
      <c r="R311" s="339"/>
      <c r="T311" s="118" t="str">
        <f t="shared" ca="1" si="33"/>
        <v/>
      </c>
      <c r="U311" s="164" t="str">
        <f t="shared" ca="1" si="34"/>
        <v/>
      </c>
      <c r="V311" s="165" t="str">
        <f ca="1">IF(AND($W311&gt;0,RegimeExecucao="Unitário"),$F311,"")</f>
        <v/>
      </c>
      <c r="W311" s="455">
        <f ca="1">IF($Y311&gt;0,CHOOSE(MATCH(RegimeExecucao,{"Unitário","Global"},0),IF($A311="S",$Y311/$X311,""),($Y311/$X311)*100),0)</f>
        <v>0</v>
      </c>
      <c r="X311" s="340" t="str">
        <f ca="1">IF($Y311&gt;0,CHOOSE(MATCH(RegimeExecucao,{"Unitário","Global"},0),IF($A311="S",ROUND($H311,ORÇAMENTO!$AF$10),""),ROUND($I311,ORÇAMENTO!$AF$11)),"")</f>
        <v/>
      </c>
      <c r="Y311" s="340">
        <f t="shared" ca="1" si="35"/>
        <v>0</v>
      </c>
      <c r="Z311" s="474"/>
      <c r="AB311" s="338"/>
      <c r="AC311" s="438"/>
      <c r="AD311" s="438"/>
      <c r="AE311" s="438"/>
      <c r="AF311" s="438"/>
      <c r="AG311" s="438"/>
      <c r="AH311" s="438"/>
      <c r="AI311" s="438"/>
      <c r="AJ311" s="438"/>
      <c r="AK311" s="438"/>
      <c r="AL311" s="438"/>
      <c r="AM311" s="339"/>
      <c r="AO311">
        <f ca="1">IF($A311="S",IF(BM!$I311=0,0,CHOOSE(MATCH(RegimeExecucao,{"Global","Unitário"},0),ROUND(ROUND(BM.MEDAcumulado,15-13*BM!$A$9)/100*BM!$I311,15-13*ORÇAMENTO!$AF$11),ROUND(ROUND(BM.MEDAcumulado,15-13*BM!$A$9)*ROUND(BM!$H311,15-13*ORÇAMENTO!$AF$10),15-13*ORÇAMENTO!$AF$11))),IF($A311=0,0,ROUND(SomaAgrupBM,15-13*ORÇAMENTO!$AF$11)))</f>
        <v>0</v>
      </c>
    </row>
    <row r="312" spans="1:41" ht="51" x14ac:dyDescent="0.2">
      <c r="A312" t="str">
        <f ca="1">ORÇAMENTO!C312</f>
        <v>S</v>
      </c>
      <c r="B312">
        <f ca="1">ORÇAMENTO!D312</f>
        <v>0</v>
      </c>
      <c r="C312" s="115" t="str">
        <f t="shared" ca="1" si="29"/>
        <v/>
      </c>
      <c r="D312" s="118" t="str">
        <f ca="1">ORÇAMENTO!O312</f>
        <v>-</v>
      </c>
      <c r="E312" s="164" t="str">
        <f t="shared" si="30"/>
        <v xml:space="preserve">REGISTRO OU VALVULA GLOBO ANGULAR EM LATAO, PARA HIDRANTES EM INSTALACAO PREDIAL DE INCENDIO, 45 GRAUS, DIAMETRO DE 2 1/2", COM VOLANTE, CLASSE DE PRESSAO DE ATE 200 PSI                                                                                 </v>
      </c>
      <c r="F312" s="165" t="str">
        <f ca="1">IF(RegimeExecucao="Global","",ORÇAMENTO.Unidade)</f>
        <v xml:space="preserve">UN    </v>
      </c>
      <c r="G312" s="123">
        <f ca="1">IF(RegimeExecucao="Global","",ORÇAMENTO!T312)</f>
        <v>3</v>
      </c>
      <c r="H312" s="123">
        <f ca="1">IF(RegimeExecucao="Global","",ORÇAMENTO!W312)</f>
        <v>0</v>
      </c>
      <c r="I312" s="126">
        <f ca="1">ORÇAMENTO!X312</f>
        <v>0</v>
      </c>
      <c r="J312" s="334" t="e" cm="1">
        <f t="array" aca="1" ref="J312" ca="1">_xlfn.SINGLE(IF($A312="S",IF(CAIXA.Modo,BM.AFAnterior,BM.MEDAnterior),IF(AND(_xlfn.SINGLE(RegimeExecucao)="Global",$I312&gt;0,COUNTIF($AB$13:$AM$13,BM.medicao-1)&gt;0),M312/$I312*100,0)))</f>
        <v>#NAME?</v>
      </c>
      <c r="K312" s="123" t="e">
        <f t="shared" ca="1" si="31"/>
        <v>#NAME?</v>
      </c>
      <c r="L312" s="335" t="e" cm="1">
        <f t="array" aca="1" ref="L312" ca="1">_xlfn.SINGLE(IF($A312="S",IF(CAIXA.Modo,BM.AFAcumulado,BM.MEDAcumulado),IF(AND(_xlfn.SINGLE(RegimeExecucao)="Global",$I312&gt;0,COUNTIF($AB$13:$AM$13,BM.medicao)&gt;0),O312/$I312*100,0)))</f>
        <v>#NAME?</v>
      </c>
      <c r="M312" s="336">
        <f ca="1">IF($A312="S",VTOTALBM,IF($A312=0,0,ROUND(SomaAgrupBM,15-13*ORÇAMENTO!$AF$11)))</f>
        <v>0</v>
      </c>
      <c r="N312" s="337">
        <f t="shared" ca="1" si="32"/>
        <v>0</v>
      </c>
      <c r="O312" s="126">
        <f ca="1">IF($A312="S",VTOTALBM,IF($A312=0,0,ROUND(SomaAgrupBM,15-13*ORÇAMENTO!$AF$11)))</f>
        <v>0</v>
      </c>
      <c r="Q312" s="338"/>
      <c r="R312" s="339"/>
      <c r="T312" s="118" t="str">
        <f t="shared" ca="1" si="33"/>
        <v/>
      </c>
      <c r="U312" s="164" t="str">
        <f t="shared" ca="1" si="34"/>
        <v/>
      </c>
      <c r="V312" s="165" t="str">
        <f ca="1">IF(AND($W312&gt;0,RegimeExecucao="Unitário"),$F312,"")</f>
        <v/>
      </c>
      <c r="W312" s="455">
        <f ca="1">IF($Y312&gt;0,CHOOSE(MATCH(RegimeExecucao,{"Unitário","Global"},0),IF($A312="S",$Y312/$X312,""),($Y312/$X312)*100),0)</f>
        <v>0</v>
      </c>
      <c r="X312" s="340" t="str">
        <f ca="1">IF($Y312&gt;0,CHOOSE(MATCH(RegimeExecucao,{"Unitário","Global"},0),IF($A312="S",ROUND($H312,ORÇAMENTO!$AF$10),""),ROUND($I312,ORÇAMENTO!$AF$11)),"")</f>
        <v/>
      </c>
      <c r="Y312" s="340">
        <f t="shared" ca="1" si="35"/>
        <v>0</v>
      </c>
      <c r="Z312" s="474"/>
      <c r="AB312" s="338"/>
      <c r="AC312" s="438"/>
      <c r="AD312" s="438"/>
      <c r="AE312" s="438"/>
      <c r="AF312" s="438"/>
      <c r="AG312" s="438"/>
      <c r="AH312" s="438"/>
      <c r="AI312" s="438"/>
      <c r="AJ312" s="438"/>
      <c r="AK312" s="438"/>
      <c r="AL312" s="438"/>
      <c r="AM312" s="339"/>
      <c r="AO312">
        <f ca="1">IF($A312="S",IF(BM!$I312=0,0,CHOOSE(MATCH(RegimeExecucao,{"Global","Unitário"},0),ROUND(ROUND(BM.MEDAcumulado,15-13*BM!$A$9)/100*BM!$I312,15-13*ORÇAMENTO!$AF$11),ROUND(ROUND(BM.MEDAcumulado,15-13*BM!$A$9)*ROUND(BM!$H312,15-13*ORÇAMENTO!$AF$10),15-13*ORÇAMENTO!$AF$11))),IF($A312=0,0,ROUND(SomaAgrupBM,15-13*ORÇAMENTO!$AF$11)))</f>
        <v>0</v>
      </c>
    </row>
    <row r="313" spans="1:41" ht="25.5" x14ac:dyDescent="0.2">
      <c r="A313" t="str">
        <f ca="1">ORÇAMENTO!C313</f>
        <v>S</v>
      </c>
      <c r="B313">
        <f ca="1">ORÇAMENTO!D313</f>
        <v>0</v>
      </c>
      <c r="C313" s="115" t="str">
        <f t="shared" ca="1" si="29"/>
        <v/>
      </c>
      <c r="D313" s="118" t="str">
        <f ca="1">ORÇAMENTO!O313</f>
        <v>-</v>
      </c>
      <c r="E313" s="164" t="str">
        <f t="shared" si="30"/>
        <v>CAIXA DE INCÊNDIO 45X75X17CM - FORNECIMENTO E INSTALAÇÃO. AF_10/2020</v>
      </c>
      <c r="F313" s="165" t="str">
        <f ca="1">IF(RegimeExecucao="Global","",ORÇAMENTO.Unidade)</f>
        <v>UN</v>
      </c>
      <c r="G313" s="123">
        <f ca="1">IF(RegimeExecucao="Global","",ORÇAMENTO!T313)</f>
        <v>2</v>
      </c>
      <c r="H313" s="123">
        <f ca="1">IF(RegimeExecucao="Global","",ORÇAMENTO!W313)</f>
        <v>0</v>
      </c>
      <c r="I313" s="126">
        <f ca="1">ORÇAMENTO!X313</f>
        <v>0</v>
      </c>
      <c r="J313" s="334" t="e" cm="1">
        <f t="array" aca="1" ref="J313" ca="1">_xlfn.SINGLE(IF($A313="S",IF(CAIXA.Modo,BM.AFAnterior,BM.MEDAnterior),IF(AND(_xlfn.SINGLE(RegimeExecucao)="Global",$I313&gt;0,COUNTIF($AB$13:$AM$13,BM.medicao-1)&gt;0),M313/$I313*100,0)))</f>
        <v>#NAME?</v>
      </c>
      <c r="K313" s="123" t="e">
        <f t="shared" ca="1" si="31"/>
        <v>#NAME?</v>
      </c>
      <c r="L313" s="335" t="e" cm="1">
        <f t="array" aca="1" ref="L313" ca="1">_xlfn.SINGLE(IF($A313="S",IF(CAIXA.Modo,BM.AFAcumulado,BM.MEDAcumulado),IF(AND(_xlfn.SINGLE(RegimeExecucao)="Global",$I313&gt;0,COUNTIF($AB$13:$AM$13,BM.medicao)&gt;0),O313/$I313*100,0)))</f>
        <v>#NAME?</v>
      </c>
      <c r="M313" s="336">
        <f ca="1">IF($A313="S",VTOTALBM,IF($A313=0,0,ROUND(SomaAgrupBM,15-13*ORÇAMENTO!$AF$11)))</f>
        <v>0</v>
      </c>
      <c r="N313" s="337">
        <f t="shared" ca="1" si="32"/>
        <v>0</v>
      </c>
      <c r="O313" s="126">
        <f ca="1">IF($A313="S",VTOTALBM,IF($A313=0,0,ROUND(SomaAgrupBM,15-13*ORÇAMENTO!$AF$11)))</f>
        <v>0</v>
      </c>
      <c r="Q313" s="338"/>
      <c r="R313" s="339"/>
      <c r="T313" s="118" t="str">
        <f t="shared" ca="1" si="33"/>
        <v/>
      </c>
      <c r="U313" s="164" t="str">
        <f t="shared" ca="1" si="34"/>
        <v/>
      </c>
      <c r="V313" s="165" t="str">
        <f ca="1">IF(AND($W313&gt;0,RegimeExecucao="Unitário"),$F313,"")</f>
        <v/>
      </c>
      <c r="W313" s="455">
        <f ca="1">IF($Y313&gt;0,CHOOSE(MATCH(RegimeExecucao,{"Unitário","Global"},0),IF($A313="S",$Y313/$X313,""),($Y313/$X313)*100),0)</f>
        <v>0</v>
      </c>
      <c r="X313" s="340" t="str">
        <f ca="1">IF($Y313&gt;0,CHOOSE(MATCH(RegimeExecucao,{"Unitário","Global"},0),IF($A313="S",ROUND($H313,ORÇAMENTO!$AF$10),""),ROUND($I313,ORÇAMENTO!$AF$11)),"")</f>
        <v/>
      </c>
      <c r="Y313" s="340">
        <f t="shared" ca="1" si="35"/>
        <v>0</v>
      </c>
      <c r="Z313" s="474"/>
      <c r="AB313" s="338"/>
      <c r="AC313" s="438"/>
      <c r="AD313" s="438"/>
      <c r="AE313" s="438"/>
      <c r="AF313" s="438"/>
      <c r="AG313" s="438"/>
      <c r="AH313" s="438"/>
      <c r="AI313" s="438"/>
      <c r="AJ313" s="438"/>
      <c r="AK313" s="438"/>
      <c r="AL313" s="438"/>
      <c r="AM313" s="339"/>
      <c r="AO313">
        <f ca="1">IF($A313="S",IF(BM!$I313=0,0,CHOOSE(MATCH(RegimeExecucao,{"Global","Unitário"},0),ROUND(ROUND(BM.MEDAcumulado,15-13*BM!$A$9)/100*BM!$I313,15-13*ORÇAMENTO!$AF$11),ROUND(ROUND(BM.MEDAcumulado,15-13*BM!$A$9)*ROUND(BM!$H313,15-13*ORÇAMENTO!$AF$10),15-13*ORÇAMENTO!$AF$11))),IF($A313=0,0,ROUND(SomaAgrupBM,15-13*ORÇAMENTO!$AF$11)))</f>
        <v>0</v>
      </c>
    </row>
    <row r="314" spans="1:41" ht="38.25" x14ac:dyDescent="0.2">
      <c r="A314" t="str">
        <f ca="1">ORÇAMENTO!C314</f>
        <v>S</v>
      </c>
      <c r="B314">
        <f ca="1">ORÇAMENTO!D314</f>
        <v>0</v>
      </c>
      <c r="C314" s="115" t="str">
        <f t="shared" ca="1" si="29"/>
        <v/>
      </c>
      <c r="D314" s="118" t="str">
        <f ca="1">ORÇAMENTO!O314</f>
        <v>-</v>
      </c>
      <c r="E314" s="164" t="str">
        <f t="shared" si="30"/>
        <v xml:space="preserve">CHAVE DUPLA PARA CONEXOES TIPO STORZ, ENGATE RAPIDO 1 1/2" X 2 1/2", EM LATAO, PARA INSTALACAO PREDIAL COMBATE A INCENDIO                                                                                                                                 </v>
      </c>
      <c r="F314" s="165" t="str">
        <f ca="1">IF(RegimeExecucao="Global","",ORÇAMENTO.Unidade)</f>
        <v xml:space="preserve">UN    </v>
      </c>
      <c r="G314" s="123">
        <f ca="1">IF(RegimeExecucao="Global","",ORÇAMENTO!T314)</f>
        <v>2</v>
      </c>
      <c r="H314" s="123">
        <f ca="1">IF(RegimeExecucao="Global","",ORÇAMENTO!W314)</f>
        <v>0</v>
      </c>
      <c r="I314" s="126">
        <f ca="1">ORÇAMENTO!X314</f>
        <v>0</v>
      </c>
      <c r="J314" s="334" t="e" cm="1">
        <f t="array" aca="1" ref="J314" ca="1">_xlfn.SINGLE(IF($A314="S",IF(CAIXA.Modo,BM.AFAnterior,BM.MEDAnterior),IF(AND(_xlfn.SINGLE(RegimeExecucao)="Global",$I314&gt;0,COUNTIF($AB$13:$AM$13,BM.medicao-1)&gt;0),M314/$I314*100,0)))</f>
        <v>#NAME?</v>
      </c>
      <c r="K314" s="123" t="e">
        <f t="shared" ca="1" si="31"/>
        <v>#NAME?</v>
      </c>
      <c r="L314" s="335" t="e" cm="1">
        <f t="array" aca="1" ref="L314" ca="1">_xlfn.SINGLE(IF($A314="S",IF(CAIXA.Modo,BM.AFAcumulado,BM.MEDAcumulado),IF(AND(_xlfn.SINGLE(RegimeExecucao)="Global",$I314&gt;0,COUNTIF($AB$13:$AM$13,BM.medicao)&gt;0),O314/$I314*100,0)))</f>
        <v>#NAME?</v>
      </c>
      <c r="M314" s="336">
        <f ca="1">IF($A314="S",VTOTALBM,IF($A314=0,0,ROUND(SomaAgrupBM,15-13*ORÇAMENTO!$AF$11)))</f>
        <v>0</v>
      </c>
      <c r="N314" s="337">
        <f t="shared" ca="1" si="32"/>
        <v>0</v>
      </c>
      <c r="O314" s="126">
        <f ca="1">IF($A314="S",VTOTALBM,IF($A314=0,0,ROUND(SomaAgrupBM,15-13*ORÇAMENTO!$AF$11)))</f>
        <v>0</v>
      </c>
      <c r="Q314" s="338"/>
      <c r="R314" s="339"/>
      <c r="T314" s="118" t="str">
        <f t="shared" ca="1" si="33"/>
        <v/>
      </c>
      <c r="U314" s="164" t="str">
        <f t="shared" ca="1" si="34"/>
        <v/>
      </c>
      <c r="V314" s="165" t="str">
        <f ca="1">IF(AND($W314&gt;0,RegimeExecucao="Unitário"),$F314,"")</f>
        <v/>
      </c>
      <c r="W314" s="455">
        <f ca="1">IF($Y314&gt;0,CHOOSE(MATCH(RegimeExecucao,{"Unitário","Global"},0),IF($A314="S",$Y314/$X314,""),($Y314/$X314)*100),0)</f>
        <v>0</v>
      </c>
      <c r="X314" s="340" t="str">
        <f ca="1">IF($Y314&gt;0,CHOOSE(MATCH(RegimeExecucao,{"Unitário","Global"},0),IF($A314="S",ROUND($H314,ORÇAMENTO!$AF$10),""),ROUND($I314,ORÇAMENTO!$AF$11)),"")</f>
        <v/>
      </c>
      <c r="Y314" s="340">
        <f t="shared" ca="1" si="35"/>
        <v>0</v>
      </c>
      <c r="Z314" s="474"/>
      <c r="AB314" s="338"/>
      <c r="AC314" s="438"/>
      <c r="AD314" s="438"/>
      <c r="AE314" s="438"/>
      <c r="AF314" s="438"/>
      <c r="AG314" s="438"/>
      <c r="AH314" s="438"/>
      <c r="AI314" s="438"/>
      <c r="AJ314" s="438"/>
      <c r="AK314" s="438"/>
      <c r="AL314" s="438"/>
      <c r="AM314" s="339"/>
      <c r="AO314">
        <f ca="1">IF($A314="S",IF(BM!$I314=0,0,CHOOSE(MATCH(RegimeExecucao,{"Global","Unitário"},0),ROUND(ROUND(BM.MEDAcumulado,15-13*BM!$A$9)/100*BM!$I314,15-13*ORÇAMENTO!$AF$11),ROUND(ROUND(BM.MEDAcumulado,15-13*BM!$A$9)*ROUND(BM!$H314,15-13*ORÇAMENTO!$AF$10),15-13*ORÇAMENTO!$AF$11))),IF($A314=0,0,ROUND(SomaAgrupBM,15-13*ORÇAMENTO!$AF$11)))</f>
        <v>0</v>
      </c>
    </row>
    <row r="315" spans="1:41" ht="38.25" x14ac:dyDescent="0.2">
      <c r="A315" t="str">
        <f ca="1">ORÇAMENTO!C315</f>
        <v>S</v>
      </c>
      <c r="B315">
        <f ca="1">ORÇAMENTO!D315</f>
        <v>0</v>
      </c>
      <c r="C315" s="115" t="str">
        <f t="shared" ca="1" si="29"/>
        <v/>
      </c>
      <c r="D315" s="118" t="str">
        <f ca="1">ORÇAMENTO!O315</f>
        <v>-</v>
      </c>
      <c r="E315" s="164" t="str">
        <f t="shared" si="30"/>
        <v xml:space="preserve">MANGUEIRA DE INCENDIO, TIPO 2, DE 1 1/2", COMPRIMENTO = 25 M, TECIDO EM FIO DE POLIESTER E TUBO INTERNO EM BORRACHA SINTETICA, COM UNIOES                                                                                                                 </v>
      </c>
      <c r="F315" s="165" t="str">
        <f ca="1">IF(RegimeExecucao="Global","",ORÇAMENTO.Unidade)</f>
        <v xml:space="preserve">UN    </v>
      </c>
      <c r="G315" s="123">
        <f ca="1">IF(RegimeExecucao="Global","",ORÇAMENTO!T315)</f>
        <v>1</v>
      </c>
      <c r="H315" s="123">
        <f ca="1">IF(RegimeExecucao="Global","",ORÇAMENTO!W315)</f>
        <v>0</v>
      </c>
      <c r="I315" s="126">
        <f ca="1">ORÇAMENTO!X315</f>
        <v>0</v>
      </c>
      <c r="J315" s="334" t="e" cm="1">
        <f t="array" aca="1" ref="J315" ca="1">_xlfn.SINGLE(IF($A315="S",IF(CAIXA.Modo,BM.AFAnterior,BM.MEDAnterior),IF(AND(_xlfn.SINGLE(RegimeExecucao)="Global",$I315&gt;0,COUNTIF($AB$13:$AM$13,BM.medicao-1)&gt;0),M315/$I315*100,0)))</f>
        <v>#NAME?</v>
      </c>
      <c r="K315" s="123" t="e">
        <f t="shared" ca="1" si="31"/>
        <v>#NAME?</v>
      </c>
      <c r="L315" s="335" t="e" cm="1">
        <f t="array" aca="1" ref="L315" ca="1">_xlfn.SINGLE(IF($A315="S",IF(CAIXA.Modo,BM.AFAcumulado,BM.MEDAcumulado),IF(AND(_xlfn.SINGLE(RegimeExecucao)="Global",$I315&gt;0,COUNTIF($AB$13:$AM$13,BM.medicao)&gt;0),O315/$I315*100,0)))</f>
        <v>#NAME?</v>
      </c>
      <c r="M315" s="336">
        <f ca="1">IF($A315="S",VTOTALBM,IF($A315=0,0,ROUND(SomaAgrupBM,15-13*ORÇAMENTO!$AF$11)))</f>
        <v>0</v>
      </c>
      <c r="N315" s="337">
        <f t="shared" ca="1" si="32"/>
        <v>0</v>
      </c>
      <c r="O315" s="126">
        <f ca="1">IF($A315="S",VTOTALBM,IF($A315=0,0,ROUND(SomaAgrupBM,15-13*ORÇAMENTO!$AF$11)))</f>
        <v>0</v>
      </c>
      <c r="Q315" s="338"/>
      <c r="R315" s="339"/>
      <c r="T315" s="118" t="str">
        <f t="shared" ca="1" si="33"/>
        <v/>
      </c>
      <c r="U315" s="164" t="str">
        <f t="shared" ca="1" si="34"/>
        <v/>
      </c>
      <c r="V315" s="165" t="str">
        <f ca="1">IF(AND($W315&gt;0,RegimeExecucao="Unitário"),$F315,"")</f>
        <v/>
      </c>
      <c r="W315" s="455">
        <f ca="1">IF($Y315&gt;0,CHOOSE(MATCH(RegimeExecucao,{"Unitário","Global"},0),IF($A315="S",$Y315/$X315,""),($Y315/$X315)*100),0)</f>
        <v>0</v>
      </c>
      <c r="X315" s="340" t="str">
        <f ca="1">IF($Y315&gt;0,CHOOSE(MATCH(RegimeExecucao,{"Unitário","Global"},0),IF($A315="S",ROUND($H315,ORÇAMENTO!$AF$10),""),ROUND($I315,ORÇAMENTO!$AF$11)),"")</f>
        <v/>
      </c>
      <c r="Y315" s="340">
        <f t="shared" ca="1" si="35"/>
        <v>0</v>
      </c>
      <c r="Z315" s="474"/>
      <c r="AB315" s="338"/>
      <c r="AC315" s="438"/>
      <c r="AD315" s="438"/>
      <c r="AE315" s="438"/>
      <c r="AF315" s="438"/>
      <c r="AG315" s="438"/>
      <c r="AH315" s="438"/>
      <c r="AI315" s="438"/>
      <c r="AJ315" s="438"/>
      <c r="AK315" s="438"/>
      <c r="AL315" s="438"/>
      <c r="AM315" s="339"/>
      <c r="AO315">
        <f ca="1">IF($A315="S",IF(BM!$I315=0,0,CHOOSE(MATCH(RegimeExecucao,{"Global","Unitário"},0),ROUND(ROUND(BM.MEDAcumulado,15-13*BM!$A$9)/100*BM!$I315,15-13*ORÇAMENTO!$AF$11),ROUND(ROUND(BM.MEDAcumulado,15-13*BM!$A$9)*ROUND(BM!$H315,15-13*ORÇAMENTO!$AF$10),15-13*ORÇAMENTO!$AF$11))),IF($A315=0,0,ROUND(SomaAgrupBM,15-13*ORÇAMENTO!$AF$11)))</f>
        <v>0</v>
      </c>
    </row>
    <row r="316" spans="1:41" ht="38.25" x14ac:dyDescent="0.2">
      <c r="A316" t="str">
        <f ca="1">ORÇAMENTO!C316</f>
        <v>S</v>
      </c>
      <c r="B316">
        <f ca="1">ORÇAMENTO!D316</f>
        <v>0</v>
      </c>
      <c r="C316" s="115" t="str">
        <f t="shared" ca="1" si="29"/>
        <v/>
      </c>
      <c r="D316" s="118" t="str">
        <f ca="1">ORÇAMENTO!O316</f>
        <v>-</v>
      </c>
      <c r="E316" s="164" t="str">
        <f t="shared" si="30"/>
        <v xml:space="preserve">MANGUEIRA DE INCENDIO, TIPO 2, DE 1 1/2", COMPRIMENTO = 15 M, TECIDO EM FIO DE POLIESTER E TUBO INTERNO EM BORRACHA SINTETICA, COM UNIOES ENGATE RAPIDO                                                                                                   </v>
      </c>
      <c r="F316" s="165" t="str">
        <f ca="1">IF(RegimeExecucao="Global","",ORÇAMENTO.Unidade)</f>
        <v xml:space="preserve">UN    </v>
      </c>
      <c r="G316" s="123">
        <f ca="1">IF(RegimeExecucao="Global","",ORÇAMENTO!T316)</f>
        <v>2</v>
      </c>
      <c r="H316" s="123">
        <f ca="1">IF(RegimeExecucao="Global","",ORÇAMENTO!W316)</f>
        <v>0</v>
      </c>
      <c r="I316" s="126">
        <f ca="1">ORÇAMENTO!X316</f>
        <v>0</v>
      </c>
      <c r="J316" s="334" t="e" cm="1">
        <f t="array" aca="1" ref="J316" ca="1">_xlfn.SINGLE(IF($A316="S",IF(CAIXA.Modo,BM.AFAnterior,BM.MEDAnterior),IF(AND(_xlfn.SINGLE(RegimeExecucao)="Global",$I316&gt;0,COUNTIF($AB$13:$AM$13,BM.medicao-1)&gt;0),M316/$I316*100,0)))</f>
        <v>#NAME?</v>
      </c>
      <c r="K316" s="123" t="e">
        <f t="shared" ca="1" si="31"/>
        <v>#NAME?</v>
      </c>
      <c r="L316" s="335" t="e" cm="1">
        <f t="array" aca="1" ref="L316" ca="1">_xlfn.SINGLE(IF($A316="S",IF(CAIXA.Modo,BM.AFAcumulado,BM.MEDAcumulado),IF(AND(_xlfn.SINGLE(RegimeExecucao)="Global",$I316&gt;0,COUNTIF($AB$13:$AM$13,BM.medicao)&gt;0),O316/$I316*100,0)))</f>
        <v>#NAME?</v>
      </c>
      <c r="M316" s="336">
        <f ca="1">IF($A316="S",VTOTALBM,IF($A316=0,0,ROUND(SomaAgrupBM,15-13*ORÇAMENTO!$AF$11)))</f>
        <v>0</v>
      </c>
      <c r="N316" s="337">
        <f t="shared" ca="1" si="32"/>
        <v>0</v>
      </c>
      <c r="O316" s="126">
        <f ca="1">IF($A316="S",VTOTALBM,IF($A316=0,0,ROUND(SomaAgrupBM,15-13*ORÇAMENTO!$AF$11)))</f>
        <v>0</v>
      </c>
      <c r="Q316" s="338"/>
      <c r="R316" s="339"/>
      <c r="T316" s="118" t="str">
        <f t="shared" ca="1" si="33"/>
        <v/>
      </c>
      <c r="U316" s="164" t="str">
        <f t="shared" ca="1" si="34"/>
        <v/>
      </c>
      <c r="V316" s="165" t="str">
        <f ca="1">IF(AND($W316&gt;0,RegimeExecucao="Unitário"),$F316,"")</f>
        <v/>
      </c>
      <c r="W316" s="455">
        <f ca="1">IF($Y316&gt;0,CHOOSE(MATCH(RegimeExecucao,{"Unitário","Global"},0),IF($A316="S",$Y316/$X316,""),($Y316/$X316)*100),0)</f>
        <v>0</v>
      </c>
      <c r="X316" s="340" t="str">
        <f ca="1">IF($Y316&gt;0,CHOOSE(MATCH(RegimeExecucao,{"Unitário","Global"},0),IF($A316="S",ROUND($H316,ORÇAMENTO!$AF$10),""),ROUND($I316,ORÇAMENTO!$AF$11)),"")</f>
        <v/>
      </c>
      <c r="Y316" s="340">
        <f t="shared" ca="1" si="35"/>
        <v>0</v>
      </c>
      <c r="Z316" s="474"/>
      <c r="AB316" s="338"/>
      <c r="AC316" s="438"/>
      <c r="AD316" s="438"/>
      <c r="AE316" s="438"/>
      <c r="AF316" s="438"/>
      <c r="AG316" s="438"/>
      <c r="AH316" s="438"/>
      <c r="AI316" s="438"/>
      <c r="AJ316" s="438"/>
      <c r="AK316" s="438"/>
      <c r="AL316" s="438"/>
      <c r="AM316" s="339"/>
      <c r="AO316">
        <f ca="1">IF($A316="S",IF(BM!$I316=0,0,CHOOSE(MATCH(RegimeExecucao,{"Global","Unitário"},0),ROUND(ROUND(BM.MEDAcumulado,15-13*BM!$A$9)/100*BM!$I316,15-13*ORÇAMENTO!$AF$11),ROUND(ROUND(BM.MEDAcumulado,15-13*BM!$A$9)*ROUND(BM!$H316,15-13*ORÇAMENTO!$AF$10),15-13*ORÇAMENTO!$AF$11))),IF($A316=0,0,ROUND(SomaAgrupBM,15-13*ORÇAMENTO!$AF$11)))</f>
        <v>0</v>
      </c>
    </row>
    <row r="317" spans="1:41" ht="38.25" x14ac:dyDescent="0.2">
      <c r="A317" t="str">
        <f ca="1">ORÇAMENTO!C317</f>
        <v>S</v>
      </c>
      <c r="B317">
        <f ca="1">ORÇAMENTO!D317</f>
        <v>0</v>
      </c>
      <c r="C317" s="115" t="str">
        <f t="shared" ca="1" si="29"/>
        <v/>
      </c>
      <c r="D317" s="118" t="str">
        <f ca="1">ORÇAMENTO!O317</f>
        <v>-</v>
      </c>
      <c r="E317" s="164" t="str">
        <f t="shared" si="30"/>
        <v xml:space="preserve">ESGUICHO TIPO JATO SOLIDO, EM LATAO, ENGATE RAPIDO 1 1/2" X 13 MM, PARA MANGUEIRA EM INSTALACAO PREDIAL COMBATE A INCENDIO                                                                                                                                </v>
      </c>
      <c r="F317" s="165" t="str">
        <f ca="1">IF(RegimeExecucao="Global","",ORÇAMENTO.Unidade)</f>
        <v xml:space="preserve">UN    </v>
      </c>
      <c r="G317" s="123">
        <f ca="1">IF(RegimeExecucao="Global","",ORÇAMENTO!T317)</f>
        <v>2</v>
      </c>
      <c r="H317" s="123">
        <f ca="1">IF(RegimeExecucao="Global","",ORÇAMENTO!W317)</f>
        <v>0</v>
      </c>
      <c r="I317" s="126">
        <f ca="1">ORÇAMENTO!X317</f>
        <v>0</v>
      </c>
      <c r="J317" s="334" t="e" cm="1">
        <f t="array" aca="1" ref="J317" ca="1">_xlfn.SINGLE(IF($A317="S",IF(CAIXA.Modo,BM.AFAnterior,BM.MEDAnterior),IF(AND(_xlfn.SINGLE(RegimeExecucao)="Global",$I317&gt;0,COUNTIF($AB$13:$AM$13,BM.medicao-1)&gt;0),M317/$I317*100,0)))</f>
        <v>#NAME?</v>
      </c>
      <c r="K317" s="123" t="e">
        <f t="shared" ca="1" si="31"/>
        <v>#NAME?</v>
      </c>
      <c r="L317" s="335" t="e" cm="1">
        <f t="array" aca="1" ref="L317" ca="1">_xlfn.SINGLE(IF($A317="S",IF(CAIXA.Modo,BM.AFAcumulado,BM.MEDAcumulado),IF(AND(_xlfn.SINGLE(RegimeExecucao)="Global",$I317&gt;0,COUNTIF($AB$13:$AM$13,BM.medicao)&gt;0),O317/$I317*100,0)))</f>
        <v>#NAME?</v>
      </c>
      <c r="M317" s="336">
        <f ca="1">IF($A317="S",VTOTALBM,IF($A317=0,0,ROUND(SomaAgrupBM,15-13*ORÇAMENTO!$AF$11)))</f>
        <v>0</v>
      </c>
      <c r="N317" s="337">
        <f t="shared" ca="1" si="32"/>
        <v>0</v>
      </c>
      <c r="O317" s="126">
        <f ca="1">IF($A317="S",VTOTALBM,IF($A317=0,0,ROUND(SomaAgrupBM,15-13*ORÇAMENTO!$AF$11)))</f>
        <v>0</v>
      </c>
      <c r="Q317" s="338"/>
      <c r="R317" s="339"/>
      <c r="T317" s="118" t="str">
        <f t="shared" ca="1" si="33"/>
        <v/>
      </c>
      <c r="U317" s="164" t="str">
        <f t="shared" ca="1" si="34"/>
        <v/>
      </c>
      <c r="V317" s="165" t="str">
        <f ca="1">IF(AND($W317&gt;0,RegimeExecucao="Unitário"),$F317,"")</f>
        <v/>
      </c>
      <c r="W317" s="455">
        <f ca="1">IF($Y317&gt;0,CHOOSE(MATCH(RegimeExecucao,{"Unitário","Global"},0),IF($A317="S",$Y317/$X317,""),($Y317/$X317)*100),0)</f>
        <v>0</v>
      </c>
      <c r="X317" s="340" t="str">
        <f ca="1">IF($Y317&gt;0,CHOOSE(MATCH(RegimeExecucao,{"Unitário","Global"},0),IF($A317="S",ROUND($H317,ORÇAMENTO!$AF$10),""),ROUND($I317,ORÇAMENTO!$AF$11)),"")</f>
        <v/>
      </c>
      <c r="Y317" s="340">
        <f t="shared" ca="1" si="35"/>
        <v>0</v>
      </c>
      <c r="Z317" s="474"/>
      <c r="AB317" s="338"/>
      <c r="AC317" s="438"/>
      <c r="AD317" s="438"/>
      <c r="AE317" s="438"/>
      <c r="AF317" s="438"/>
      <c r="AG317" s="438"/>
      <c r="AH317" s="438"/>
      <c r="AI317" s="438"/>
      <c r="AJ317" s="438"/>
      <c r="AK317" s="438"/>
      <c r="AL317" s="438"/>
      <c r="AM317" s="339"/>
      <c r="AO317">
        <f ca="1">IF($A317="S",IF(BM!$I317=0,0,CHOOSE(MATCH(RegimeExecucao,{"Global","Unitário"},0),ROUND(ROUND(BM.MEDAcumulado,15-13*BM!$A$9)/100*BM!$I317,15-13*ORÇAMENTO!$AF$11),ROUND(ROUND(BM.MEDAcumulado,15-13*BM!$A$9)*ROUND(BM!$H317,15-13*ORÇAMENTO!$AF$10),15-13*ORÇAMENTO!$AF$11))),IF($A317=0,0,ROUND(SomaAgrupBM,15-13*ORÇAMENTO!$AF$11)))</f>
        <v>0</v>
      </c>
    </row>
    <row r="318" spans="1:41" ht="25.5" x14ac:dyDescent="0.2">
      <c r="A318" t="str">
        <f ca="1">ORÇAMENTO!C318</f>
        <v>S</v>
      </c>
      <c r="B318">
        <f ca="1">ORÇAMENTO!D318</f>
        <v>0</v>
      </c>
      <c r="C318" s="115" t="str">
        <f t="shared" ca="1" si="29"/>
        <v/>
      </c>
      <c r="D318" s="118" t="str">
        <f ca="1">ORÇAMENTO!O318</f>
        <v>-</v>
      </c>
      <c r="E318" s="164" t="str">
        <f t="shared" si="30"/>
        <v>REGISTRO DE GAVETA BRUTO, LATÃO, ROSCÁVEL, 2 1/2" - FORNECIMENTO E INSTALAÇÃO. AF_08/2021</v>
      </c>
      <c r="F318" s="165" t="str">
        <f ca="1">IF(RegimeExecucao="Global","",ORÇAMENTO.Unidade)</f>
        <v>UN</v>
      </c>
      <c r="G318" s="123">
        <f ca="1">IF(RegimeExecucao="Global","",ORÇAMENTO!T318)</f>
        <v>2</v>
      </c>
      <c r="H318" s="123">
        <f ca="1">IF(RegimeExecucao="Global","",ORÇAMENTO!W318)</f>
        <v>0</v>
      </c>
      <c r="I318" s="126">
        <f ca="1">ORÇAMENTO!X318</f>
        <v>0</v>
      </c>
      <c r="J318" s="334" t="e" cm="1">
        <f t="array" aca="1" ref="J318" ca="1">_xlfn.SINGLE(IF($A318="S",IF(CAIXA.Modo,BM.AFAnterior,BM.MEDAnterior),IF(AND(_xlfn.SINGLE(RegimeExecucao)="Global",$I318&gt;0,COUNTIF($AB$13:$AM$13,BM.medicao-1)&gt;0),M318/$I318*100,0)))</f>
        <v>#NAME?</v>
      </c>
      <c r="K318" s="123" t="e">
        <f t="shared" ca="1" si="31"/>
        <v>#NAME?</v>
      </c>
      <c r="L318" s="335" t="e" cm="1">
        <f t="array" aca="1" ref="L318" ca="1">_xlfn.SINGLE(IF($A318="S",IF(CAIXA.Modo,BM.AFAcumulado,BM.MEDAcumulado),IF(AND(_xlfn.SINGLE(RegimeExecucao)="Global",$I318&gt;0,COUNTIF($AB$13:$AM$13,BM.medicao)&gt;0),O318/$I318*100,0)))</f>
        <v>#NAME?</v>
      </c>
      <c r="M318" s="336">
        <f ca="1">IF($A318="S",VTOTALBM,IF($A318=0,0,ROUND(SomaAgrupBM,15-13*ORÇAMENTO!$AF$11)))</f>
        <v>0</v>
      </c>
      <c r="N318" s="337">
        <f t="shared" ca="1" si="32"/>
        <v>0</v>
      </c>
      <c r="O318" s="126">
        <f ca="1">IF($A318="S",VTOTALBM,IF($A318=0,0,ROUND(SomaAgrupBM,15-13*ORÇAMENTO!$AF$11)))</f>
        <v>0</v>
      </c>
      <c r="Q318" s="338"/>
      <c r="R318" s="339"/>
      <c r="T318" s="118" t="str">
        <f t="shared" ca="1" si="33"/>
        <v/>
      </c>
      <c r="U318" s="164" t="str">
        <f t="shared" ca="1" si="34"/>
        <v/>
      </c>
      <c r="V318" s="165" t="str">
        <f ca="1">IF(AND($W318&gt;0,RegimeExecucao="Unitário"),$F318,"")</f>
        <v/>
      </c>
      <c r="W318" s="455">
        <f ca="1">IF($Y318&gt;0,CHOOSE(MATCH(RegimeExecucao,{"Unitário","Global"},0),IF($A318="S",$Y318/$X318,""),($Y318/$X318)*100),0)</f>
        <v>0</v>
      </c>
      <c r="X318" s="340" t="str">
        <f ca="1">IF($Y318&gt;0,CHOOSE(MATCH(RegimeExecucao,{"Unitário","Global"},0),IF($A318="S",ROUND($H318,ORÇAMENTO!$AF$10),""),ROUND($I318,ORÇAMENTO!$AF$11)),"")</f>
        <v/>
      </c>
      <c r="Y318" s="340">
        <f t="shared" ca="1" si="35"/>
        <v>0</v>
      </c>
      <c r="Z318" s="474"/>
      <c r="AB318" s="338"/>
      <c r="AC318" s="438"/>
      <c r="AD318" s="438"/>
      <c r="AE318" s="438"/>
      <c r="AF318" s="438"/>
      <c r="AG318" s="438"/>
      <c r="AH318" s="438"/>
      <c r="AI318" s="438"/>
      <c r="AJ318" s="438"/>
      <c r="AK318" s="438"/>
      <c r="AL318" s="438"/>
      <c r="AM318" s="339"/>
      <c r="AO318">
        <f ca="1">IF($A318="S",IF(BM!$I318=0,0,CHOOSE(MATCH(RegimeExecucao,{"Global","Unitário"},0),ROUND(ROUND(BM.MEDAcumulado,15-13*BM!$A$9)/100*BM!$I318,15-13*ORÇAMENTO!$AF$11),ROUND(ROUND(BM.MEDAcumulado,15-13*BM!$A$9)*ROUND(BM!$H318,15-13*ORÇAMENTO!$AF$10),15-13*ORÇAMENTO!$AF$11))),IF($A318=0,0,ROUND(SomaAgrupBM,15-13*ORÇAMENTO!$AF$11)))</f>
        <v>0</v>
      </c>
    </row>
    <row r="319" spans="1:41" ht="25.5" x14ac:dyDescent="0.2">
      <c r="A319" t="str">
        <f ca="1">ORÇAMENTO!C319</f>
        <v>S</v>
      </c>
      <c r="B319">
        <f ca="1">ORÇAMENTO!D319</f>
        <v>0</v>
      </c>
      <c r="C319" s="115" t="str">
        <f t="shared" ca="1" si="29"/>
        <v/>
      </c>
      <c r="D319" s="118" t="str">
        <f ca="1">ORÇAMENTO!O319</f>
        <v>-</v>
      </c>
      <c r="E319" s="164" t="str">
        <f t="shared" si="30"/>
        <v>VÁLVULA DE RETENÇÃO VERTICAL, DE BRONZE, ROSCÁVEL, 2 1/2" - FORNECIMENTO E INSTALAÇÃO. AF_08/2021</v>
      </c>
      <c r="F319" s="165" t="str">
        <f ca="1">IF(RegimeExecucao="Global","",ORÇAMENTO.Unidade)</f>
        <v>UN</v>
      </c>
      <c r="G319" s="123">
        <f ca="1">IF(RegimeExecucao="Global","",ORÇAMENTO!T319)</f>
        <v>1</v>
      </c>
      <c r="H319" s="123">
        <f ca="1">IF(RegimeExecucao="Global","",ORÇAMENTO!W319)</f>
        <v>0</v>
      </c>
      <c r="I319" s="126">
        <f ca="1">ORÇAMENTO!X319</f>
        <v>0</v>
      </c>
      <c r="J319" s="334" t="e" cm="1">
        <f t="array" aca="1" ref="J319" ca="1">_xlfn.SINGLE(IF($A319="S",IF(CAIXA.Modo,BM.AFAnterior,BM.MEDAnterior),IF(AND(_xlfn.SINGLE(RegimeExecucao)="Global",$I319&gt;0,COUNTIF($AB$13:$AM$13,BM.medicao-1)&gt;0),M319/$I319*100,0)))</f>
        <v>#NAME?</v>
      </c>
      <c r="K319" s="123" t="e">
        <f t="shared" ca="1" si="31"/>
        <v>#NAME?</v>
      </c>
      <c r="L319" s="335" t="e" cm="1">
        <f t="array" aca="1" ref="L319" ca="1">_xlfn.SINGLE(IF($A319="S",IF(CAIXA.Modo,BM.AFAcumulado,BM.MEDAcumulado),IF(AND(_xlfn.SINGLE(RegimeExecucao)="Global",$I319&gt;0,COUNTIF($AB$13:$AM$13,BM.medicao)&gt;0),O319/$I319*100,0)))</f>
        <v>#NAME?</v>
      </c>
      <c r="M319" s="336">
        <f ca="1">IF($A319="S",VTOTALBM,IF($A319=0,0,ROUND(SomaAgrupBM,15-13*ORÇAMENTO!$AF$11)))</f>
        <v>0</v>
      </c>
      <c r="N319" s="337">
        <f t="shared" ca="1" si="32"/>
        <v>0</v>
      </c>
      <c r="O319" s="126">
        <f ca="1">IF($A319="S",VTOTALBM,IF($A319=0,0,ROUND(SomaAgrupBM,15-13*ORÇAMENTO!$AF$11)))</f>
        <v>0</v>
      </c>
      <c r="Q319" s="338"/>
      <c r="R319" s="339"/>
      <c r="T319" s="118" t="str">
        <f t="shared" ca="1" si="33"/>
        <v/>
      </c>
      <c r="U319" s="164" t="str">
        <f t="shared" ca="1" si="34"/>
        <v/>
      </c>
      <c r="V319" s="165" t="str">
        <f ca="1">IF(AND($W319&gt;0,RegimeExecucao="Unitário"),$F319,"")</f>
        <v/>
      </c>
      <c r="W319" s="455">
        <f ca="1">IF($Y319&gt;0,CHOOSE(MATCH(RegimeExecucao,{"Unitário","Global"},0),IF($A319="S",$Y319/$X319,""),($Y319/$X319)*100),0)</f>
        <v>0</v>
      </c>
      <c r="X319" s="340" t="str">
        <f ca="1">IF($Y319&gt;0,CHOOSE(MATCH(RegimeExecucao,{"Unitário","Global"},0),IF($A319="S",ROUND($H319,ORÇAMENTO!$AF$10),""),ROUND($I319,ORÇAMENTO!$AF$11)),"")</f>
        <v/>
      </c>
      <c r="Y319" s="340">
        <f t="shared" ca="1" si="35"/>
        <v>0</v>
      </c>
      <c r="Z319" s="474"/>
      <c r="AB319" s="338"/>
      <c r="AC319" s="438"/>
      <c r="AD319" s="438"/>
      <c r="AE319" s="438"/>
      <c r="AF319" s="438"/>
      <c r="AG319" s="438"/>
      <c r="AH319" s="438"/>
      <c r="AI319" s="438"/>
      <c r="AJ319" s="438"/>
      <c r="AK319" s="438"/>
      <c r="AL319" s="438"/>
      <c r="AM319" s="339"/>
      <c r="AO319">
        <f ca="1">IF($A319="S",IF(BM!$I319=0,0,CHOOSE(MATCH(RegimeExecucao,{"Global","Unitário"},0),ROUND(ROUND(BM.MEDAcumulado,15-13*BM!$A$9)/100*BM!$I319,15-13*ORÇAMENTO!$AF$11),ROUND(ROUND(BM.MEDAcumulado,15-13*BM!$A$9)*ROUND(BM!$H319,15-13*ORÇAMENTO!$AF$10),15-13*ORÇAMENTO!$AF$11))),IF($A319=0,0,ROUND(SomaAgrupBM,15-13*ORÇAMENTO!$AF$11)))</f>
        <v>0</v>
      </c>
    </row>
    <row r="320" spans="1:41" ht="25.5" x14ac:dyDescent="0.2">
      <c r="A320" t="str">
        <f ca="1">ORÇAMENTO!C320</f>
        <v>S</v>
      </c>
      <c r="B320">
        <f ca="1">ORÇAMENTO!D320</f>
        <v>0</v>
      </c>
      <c r="C320" s="115" t="str">
        <f t="shared" ca="1" si="29"/>
        <v/>
      </c>
      <c r="D320" s="118" t="str">
        <f ca="1">ORÇAMENTO!O320</f>
        <v>-</v>
      </c>
      <c r="E320" s="164" t="str">
        <f t="shared" si="30"/>
        <v>VÁLVULA DE RETENÇÃO HORIZONTAL, DE BRONZE, ROSCÁVEL, 2 1/2" - FORNECIMENTO E INSTALAÇÃO. AF_08/2021</v>
      </c>
      <c r="F320" s="165" t="str">
        <f ca="1">IF(RegimeExecucao="Global","",ORÇAMENTO.Unidade)</f>
        <v>UN</v>
      </c>
      <c r="G320" s="123">
        <f ca="1">IF(RegimeExecucao="Global","",ORÇAMENTO!T320)</f>
        <v>1</v>
      </c>
      <c r="H320" s="123">
        <f ca="1">IF(RegimeExecucao="Global","",ORÇAMENTO!W320)</f>
        <v>0</v>
      </c>
      <c r="I320" s="126">
        <f ca="1">ORÇAMENTO!X320</f>
        <v>0</v>
      </c>
      <c r="J320" s="334" t="e" cm="1">
        <f t="array" aca="1" ref="J320" ca="1">_xlfn.SINGLE(IF($A320="S",IF(CAIXA.Modo,BM.AFAnterior,BM.MEDAnterior),IF(AND(_xlfn.SINGLE(RegimeExecucao)="Global",$I320&gt;0,COUNTIF($AB$13:$AM$13,BM.medicao-1)&gt;0),M320/$I320*100,0)))</f>
        <v>#NAME?</v>
      </c>
      <c r="K320" s="123" t="e">
        <f t="shared" ca="1" si="31"/>
        <v>#NAME?</v>
      </c>
      <c r="L320" s="335" t="e" cm="1">
        <f t="array" aca="1" ref="L320" ca="1">_xlfn.SINGLE(IF($A320="S",IF(CAIXA.Modo,BM.AFAcumulado,BM.MEDAcumulado),IF(AND(_xlfn.SINGLE(RegimeExecucao)="Global",$I320&gt;0,COUNTIF($AB$13:$AM$13,BM.medicao)&gt;0),O320/$I320*100,0)))</f>
        <v>#NAME?</v>
      </c>
      <c r="M320" s="336">
        <f ca="1">IF($A320="S",VTOTALBM,IF($A320=0,0,ROUND(SomaAgrupBM,15-13*ORÇAMENTO!$AF$11)))</f>
        <v>0</v>
      </c>
      <c r="N320" s="337">
        <f t="shared" ca="1" si="32"/>
        <v>0</v>
      </c>
      <c r="O320" s="126">
        <f ca="1">IF($A320="S",VTOTALBM,IF($A320=0,0,ROUND(SomaAgrupBM,15-13*ORÇAMENTO!$AF$11)))</f>
        <v>0</v>
      </c>
      <c r="Q320" s="338"/>
      <c r="R320" s="339"/>
      <c r="T320" s="118" t="str">
        <f t="shared" ca="1" si="33"/>
        <v/>
      </c>
      <c r="U320" s="164" t="str">
        <f t="shared" ca="1" si="34"/>
        <v/>
      </c>
      <c r="V320" s="165" t="str">
        <f ca="1">IF(AND($W320&gt;0,RegimeExecucao="Unitário"),$F320,"")</f>
        <v/>
      </c>
      <c r="W320" s="455">
        <f ca="1">IF($Y320&gt;0,CHOOSE(MATCH(RegimeExecucao,{"Unitário","Global"},0),IF($A320="S",$Y320/$X320,""),($Y320/$X320)*100),0)</f>
        <v>0</v>
      </c>
      <c r="X320" s="340" t="str">
        <f ca="1">IF($Y320&gt;0,CHOOSE(MATCH(RegimeExecucao,{"Unitário","Global"},0),IF($A320="S",ROUND($H320,ORÇAMENTO!$AF$10),""),ROUND($I320,ORÇAMENTO!$AF$11)),"")</f>
        <v/>
      </c>
      <c r="Y320" s="340">
        <f t="shared" ca="1" si="35"/>
        <v>0</v>
      </c>
      <c r="Z320" s="474"/>
      <c r="AB320" s="338"/>
      <c r="AC320" s="438"/>
      <c r="AD320" s="438"/>
      <c r="AE320" s="438"/>
      <c r="AF320" s="438"/>
      <c r="AG320" s="438"/>
      <c r="AH320" s="438"/>
      <c r="AI320" s="438"/>
      <c r="AJ320" s="438"/>
      <c r="AK320" s="438"/>
      <c r="AL320" s="438"/>
      <c r="AM320" s="339"/>
      <c r="AO320">
        <f ca="1">IF($A320="S",IF(BM!$I320=0,0,CHOOSE(MATCH(RegimeExecucao,{"Global","Unitário"},0),ROUND(ROUND(BM.MEDAcumulado,15-13*BM!$A$9)/100*BM!$I320,15-13*ORÇAMENTO!$AF$11),ROUND(ROUND(BM.MEDAcumulado,15-13*BM!$A$9)*ROUND(BM!$H320,15-13*ORÇAMENTO!$AF$10),15-13*ORÇAMENTO!$AF$11))),IF($A320=0,0,ROUND(SomaAgrupBM,15-13*ORÇAMENTO!$AF$11)))</f>
        <v>0</v>
      </c>
    </row>
    <row r="321" spans="1:41" ht="25.5" x14ac:dyDescent="0.2">
      <c r="A321" t="str">
        <f ca="1">ORÇAMENTO!C321</f>
        <v>S</v>
      </c>
      <c r="B321">
        <f ca="1">ORÇAMENTO!D321</f>
        <v>0</v>
      </c>
      <c r="C321" s="115" t="str">
        <f t="shared" ca="1" si="29"/>
        <v/>
      </c>
      <c r="D321" s="118" t="str">
        <f ca="1">ORÇAMENTO!O321</f>
        <v>-</v>
      </c>
      <c r="E321" s="164" t="str">
        <f t="shared" si="30"/>
        <v xml:space="preserve">TAMPAO COM CORRENTE, EM LATAO, ENGATE RAPIDO 2 1/2", PARA INSTALACAO PREDIAL DE COMBATE A INCENDIO                                                                                                                                                        </v>
      </c>
      <c r="F321" s="165" t="str">
        <f ca="1">IF(RegimeExecucao="Global","",ORÇAMENTO.Unidade)</f>
        <v xml:space="preserve">UN    </v>
      </c>
      <c r="G321" s="123">
        <f ca="1">IF(RegimeExecucao="Global","",ORÇAMENTO!T321)</f>
        <v>1</v>
      </c>
      <c r="H321" s="123">
        <f ca="1">IF(RegimeExecucao="Global","",ORÇAMENTO!W321)</f>
        <v>0</v>
      </c>
      <c r="I321" s="126">
        <f ca="1">ORÇAMENTO!X321</f>
        <v>0</v>
      </c>
      <c r="J321" s="334" t="e" cm="1">
        <f t="array" aca="1" ref="J321" ca="1">_xlfn.SINGLE(IF($A321="S",IF(CAIXA.Modo,BM.AFAnterior,BM.MEDAnterior),IF(AND(_xlfn.SINGLE(RegimeExecucao)="Global",$I321&gt;0,COUNTIF($AB$13:$AM$13,BM.medicao-1)&gt;0),M321/$I321*100,0)))</f>
        <v>#NAME?</v>
      </c>
      <c r="K321" s="123" t="e">
        <f t="shared" ca="1" si="31"/>
        <v>#NAME?</v>
      </c>
      <c r="L321" s="335" t="e" cm="1">
        <f t="array" aca="1" ref="L321" ca="1">_xlfn.SINGLE(IF($A321="S",IF(CAIXA.Modo,BM.AFAcumulado,BM.MEDAcumulado),IF(AND(_xlfn.SINGLE(RegimeExecucao)="Global",$I321&gt;0,COUNTIF($AB$13:$AM$13,BM.medicao)&gt;0),O321/$I321*100,0)))</f>
        <v>#NAME?</v>
      </c>
      <c r="M321" s="336">
        <f ca="1">IF($A321="S",VTOTALBM,IF($A321=0,0,ROUND(SomaAgrupBM,15-13*ORÇAMENTO!$AF$11)))</f>
        <v>0</v>
      </c>
      <c r="N321" s="337">
        <f t="shared" ca="1" si="32"/>
        <v>0</v>
      </c>
      <c r="O321" s="126">
        <f ca="1">IF($A321="S",VTOTALBM,IF($A321=0,0,ROUND(SomaAgrupBM,15-13*ORÇAMENTO!$AF$11)))</f>
        <v>0</v>
      </c>
      <c r="Q321" s="338"/>
      <c r="R321" s="339"/>
      <c r="T321" s="118" t="str">
        <f t="shared" ca="1" si="33"/>
        <v/>
      </c>
      <c r="U321" s="164" t="str">
        <f t="shared" ca="1" si="34"/>
        <v/>
      </c>
      <c r="V321" s="165" t="str">
        <f ca="1">IF(AND($W321&gt;0,RegimeExecucao="Unitário"),$F321,"")</f>
        <v/>
      </c>
      <c r="W321" s="455">
        <f ca="1">IF($Y321&gt;0,CHOOSE(MATCH(RegimeExecucao,{"Unitário","Global"},0),IF($A321="S",$Y321/$X321,""),($Y321/$X321)*100),0)</f>
        <v>0</v>
      </c>
      <c r="X321" s="340" t="str">
        <f ca="1">IF($Y321&gt;0,CHOOSE(MATCH(RegimeExecucao,{"Unitário","Global"},0),IF($A321="S",ROUND($H321,ORÇAMENTO!$AF$10),""),ROUND($I321,ORÇAMENTO!$AF$11)),"")</f>
        <v/>
      </c>
      <c r="Y321" s="340">
        <f t="shared" ca="1" si="35"/>
        <v>0</v>
      </c>
      <c r="Z321" s="474"/>
      <c r="AB321" s="338"/>
      <c r="AC321" s="438"/>
      <c r="AD321" s="438"/>
      <c r="AE321" s="438"/>
      <c r="AF321" s="438"/>
      <c r="AG321" s="438"/>
      <c r="AH321" s="438"/>
      <c r="AI321" s="438"/>
      <c r="AJ321" s="438"/>
      <c r="AK321" s="438"/>
      <c r="AL321" s="438"/>
      <c r="AM321" s="339"/>
      <c r="AO321">
        <f ca="1">IF($A321="S",IF(BM!$I321=0,0,CHOOSE(MATCH(RegimeExecucao,{"Global","Unitário"},0),ROUND(ROUND(BM.MEDAcumulado,15-13*BM!$A$9)/100*BM!$I321,15-13*ORÇAMENTO!$AF$11),ROUND(ROUND(BM.MEDAcumulado,15-13*BM!$A$9)*ROUND(BM!$H321,15-13*ORÇAMENTO!$AF$10),15-13*ORÇAMENTO!$AF$11))),IF($A321=0,0,ROUND(SomaAgrupBM,15-13*ORÇAMENTO!$AF$11)))</f>
        <v>0</v>
      </c>
    </row>
    <row r="322" spans="1:41" ht="38.25" x14ac:dyDescent="0.2">
      <c r="A322" t="str">
        <f ca="1">ORÇAMENTO!C322</f>
        <v>S</v>
      </c>
      <c r="B322">
        <f ca="1">ORÇAMENTO!D322</f>
        <v>0</v>
      </c>
      <c r="C322" s="115" t="str">
        <f t="shared" ca="1" si="29"/>
        <v/>
      </c>
      <c r="D322" s="118" t="str">
        <f ca="1">ORÇAMENTO!O322</f>
        <v>-</v>
      </c>
      <c r="E322" s="164" t="str">
        <f t="shared" si="30"/>
        <v>UNIÃO, EM FERRO GALVANIZADO, DN 65 (2 1/2"), CONEXÃO ROSQUEADA, INSTALADO EM REDE DE ALIMENTAÇÃO PARA HIDRANTE - FORNECIMENTO E INSTALAÇÃO. AF_10/2020</v>
      </c>
      <c r="F322" s="165" t="str">
        <f ca="1">IF(RegimeExecucao="Global","",ORÇAMENTO.Unidade)</f>
        <v>UN</v>
      </c>
      <c r="G322" s="123">
        <f ca="1">IF(RegimeExecucao="Global","",ORÇAMENTO!T322)</f>
        <v>10</v>
      </c>
      <c r="H322" s="123">
        <f ca="1">IF(RegimeExecucao="Global","",ORÇAMENTO!W322)</f>
        <v>0</v>
      </c>
      <c r="I322" s="126">
        <f ca="1">ORÇAMENTO!X322</f>
        <v>0</v>
      </c>
      <c r="J322" s="334" t="e" cm="1">
        <f t="array" aca="1" ref="J322" ca="1">_xlfn.SINGLE(IF($A322="S",IF(CAIXA.Modo,BM.AFAnterior,BM.MEDAnterior),IF(AND(_xlfn.SINGLE(RegimeExecucao)="Global",$I322&gt;0,COUNTIF($AB$13:$AM$13,BM.medicao-1)&gt;0),M322/$I322*100,0)))</f>
        <v>#NAME?</v>
      </c>
      <c r="K322" s="123" t="e">
        <f t="shared" ca="1" si="31"/>
        <v>#NAME?</v>
      </c>
      <c r="L322" s="335" t="e" cm="1">
        <f t="array" aca="1" ref="L322" ca="1">_xlfn.SINGLE(IF($A322="S",IF(CAIXA.Modo,BM.AFAcumulado,BM.MEDAcumulado),IF(AND(_xlfn.SINGLE(RegimeExecucao)="Global",$I322&gt;0,COUNTIF($AB$13:$AM$13,BM.medicao)&gt;0),O322/$I322*100,0)))</f>
        <v>#NAME?</v>
      </c>
      <c r="M322" s="336">
        <f ca="1">IF($A322="S",VTOTALBM,IF($A322=0,0,ROUND(SomaAgrupBM,15-13*ORÇAMENTO!$AF$11)))</f>
        <v>0</v>
      </c>
      <c r="N322" s="337">
        <f t="shared" ca="1" si="32"/>
        <v>0</v>
      </c>
      <c r="O322" s="126">
        <f ca="1">IF($A322="S",VTOTALBM,IF($A322=0,0,ROUND(SomaAgrupBM,15-13*ORÇAMENTO!$AF$11)))</f>
        <v>0</v>
      </c>
      <c r="Q322" s="338"/>
      <c r="R322" s="339"/>
      <c r="T322" s="118" t="str">
        <f t="shared" ca="1" si="33"/>
        <v/>
      </c>
      <c r="U322" s="164" t="str">
        <f t="shared" ca="1" si="34"/>
        <v/>
      </c>
      <c r="V322" s="165" t="str">
        <f ca="1">IF(AND($W322&gt;0,RegimeExecucao="Unitário"),$F322,"")</f>
        <v/>
      </c>
      <c r="W322" s="455">
        <f ca="1">IF($Y322&gt;0,CHOOSE(MATCH(RegimeExecucao,{"Unitário","Global"},0),IF($A322="S",$Y322/$X322,""),($Y322/$X322)*100),0)</f>
        <v>0</v>
      </c>
      <c r="X322" s="340" t="str">
        <f ca="1">IF($Y322&gt;0,CHOOSE(MATCH(RegimeExecucao,{"Unitário","Global"},0),IF($A322="S",ROUND($H322,ORÇAMENTO!$AF$10),""),ROUND($I322,ORÇAMENTO!$AF$11)),"")</f>
        <v/>
      </c>
      <c r="Y322" s="340">
        <f t="shared" ca="1" si="35"/>
        <v>0</v>
      </c>
      <c r="Z322" s="474"/>
      <c r="AB322" s="338"/>
      <c r="AC322" s="438"/>
      <c r="AD322" s="438"/>
      <c r="AE322" s="438"/>
      <c r="AF322" s="438"/>
      <c r="AG322" s="438"/>
      <c r="AH322" s="438"/>
      <c r="AI322" s="438"/>
      <c r="AJ322" s="438"/>
      <c r="AK322" s="438"/>
      <c r="AL322" s="438"/>
      <c r="AM322" s="339"/>
      <c r="AO322">
        <f ca="1">IF($A322="S",IF(BM!$I322=0,0,CHOOSE(MATCH(RegimeExecucao,{"Global","Unitário"},0),ROUND(ROUND(BM.MEDAcumulado,15-13*BM!$A$9)/100*BM!$I322,15-13*ORÇAMENTO!$AF$11),ROUND(ROUND(BM.MEDAcumulado,15-13*BM!$A$9)*ROUND(BM!$H322,15-13*ORÇAMENTO!$AF$10),15-13*ORÇAMENTO!$AF$11))),IF($A322=0,0,ROUND(SomaAgrupBM,15-13*ORÇAMENTO!$AF$11)))</f>
        <v>0</v>
      </c>
    </row>
    <row r="323" spans="1:41" ht="25.5" x14ac:dyDescent="0.2">
      <c r="A323" t="str">
        <f ca="1">ORÇAMENTO!C323</f>
        <v>S</v>
      </c>
      <c r="B323">
        <f ca="1">ORÇAMENTO!D323</f>
        <v>0</v>
      </c>
      <c r="C323" s="115" t="str">
        <f t="shared" ca="1" si="29"/>
        <v/>
      </c>
      <c r="D323" s="118" t="str">
        <f ca="1">ORÇAMENTO!O323</f>
        <v>-</v>
      </c>
      <c r="E323" s="164" t="str">
        <f t="shared" si="30"/>
        <v>AUXILIAR DE ENCANADOR OU BOMBEIRO HIDRÁULICO COM ENCARGOS COMPLEMENTARES</v>
      </c>
      <c r="F323" s="165" t="str">
        <f ca="1">IF(RegimeExecucao="Global","",ORÇAMENTO.Unidade)</f>
        <v>H</v>
      </c>
      <c r="G323" s="123">
        <f ca="1">IF(RegimeExecucao="Global","",ORÇAMENTO!T323)</f>
        <v>80</v>
      </c>
      <c r="H323" s="123">
        <f ca="1">IF(RegimeExecucao="Global","",ORÇAMENTO!W323)</f>
        <v>0</v>
      </c>
      <c r="I323" s="126">
        <f ca="1">ORÇAMENTO!X323</f>
        <v>0</v>
      </c>
      <c r="J323" s="334" t="e" cm="1">
        <f t="array" aca="1" ref="J323" ca="1">_xlfn.SINGLE(IF($A323="S",IF(CAIXA.Modo,BM.AFAnterior,BM.MEDAnterior),IF(AND(_xlfn.SINGLE(RegimeExecucao)="Global",$I323&gt;0,COUNTIF($AB$13:$AM$13,BM.medicao-1)&gt;0),M323/$I323*100,0)))</f>
        <v>#NAME?</v>
      </c>
      <c r="K323" s="123" t="e">
        <f t="shared" ca="1" si="31"/>
        <v>#NAME?</v>
      </c>
      <c r="L323" s="335" t="e" cm="1">
        <f t="array" aca="1" ref="L323" ca="1">_xlfn.SINGLE(IF($A323="S",IF(CAIXA.Modo,BM.AFAcumulado,BM.MEDAcumulado),IF(AND(_xlfn.SINGLE(RegimeExecucao)="Global",$I323&gt;0,COUNTIF($AB$13:$AM$13,BM.medicao)&gt;0),O323/$I323*100,0)))</f>
        <v>#NAME?</v>
      </c>
      <c r="M323" s="336">
        <f ca="1">IF($A323="S",VTOTALBM,IF($A323=0,0,ROUND(SomaAgrupBM,15-13*ORÇAMENTO!$AF$11)))</f>
        <v>0</v>
      </c>
      <c r="N323" s="337">
        <f t="shared" ca="1" si="32"/>
        <v>0</v>
      </c>
      <c r="O323" s="126">
        <f ca="1">IF($A323="S",VTOTALBM,IF($A323=0,0,ROUND(SomaAgrupBM,15-13*ORÇAMENTO!$AF$11)))</f>
        <v>0</v>
      </c>
      <c r="Q323" s="338"/>
      <c r="R323" s="339"/>
      <c r="T323" s="118" t="str">
        <f t="shared" ca="1" si="33"/>
        <v/>
      </c>
      <c r="U323" s="164" t="str">
        <f t="shared" ca="1" si="34"/>
        <v/>
      </c>
      <c r="V323" s="165" t="str">
        <f ca="1">IF(AND($W323&gt;0,RegimeExecucao="Unitário"),$F323,"")</f>
        <v/>
      </c>
      <c r="W323" s="455">
        <f ca="1">IF($Y323&gt;0,CHOOSE(MATCH(RegimeExecucao,{"Unitário","Global"},0),IF($A323="S",$Y323/$X323,""),($Y323/$X323)*100),0)</f>
        <v>0</v>
      </c>
      <c r="X323" s="340" t="str">
        <f ca="1">IF($Y323&gt;0,CHOOSE(MATCH(RegimeExecucao,{"Unitário","Global"},0),IF($A323="S",ROUND($H323,ORÇAMENTO!$AF$10),""),ROUND($I323,ORÇAMENTO!$AF$11)),"")</f>
        <v/>
      </c>
      <c r="Y323" s="340">
        <f t="shared" ca="1" si="35"/>
        <v>0</v>
      </c>
      <c r="Z323" s="474"/>
      <c r="AB323" s="338"/>
      <c r="AC323" s="438"/>
      <c r="AD323" s="438"/>
      <c r="AE323" s="438"/>
      <c r="AF323" s="438"/>
      <c r="AG323" s="438"/>
      <c r="AH323" s="438"/>
      <c r="AI323" s="438"/>
      <c r="AJ323" s="438"/>
      <c r="AK323" s="438"/>
      <c r="AL323" s="438"/>
      <c r="AM323" s="339"/>
      <c r="AO323">
        <f ca="1">IF($A323="S",IF(BM!$I323=0,0,CHOOSE(MATCH(RegimeExecucao,{"Global","Unitário"},0),ROUND(ROUND(BM.MEDAcumulado,15-13*BM!$A$9)/100*BM!$I323,15-13*ORÇAMENTO!$AF$11),ROUND(ROUND(BM.MEDAcumulado,15-13*BM!$A$9)*ROUND(BM!$H323,15-13*ORÇAMENTO!$AF$10),15-13*ORÇAMENTO!$AF$11))),IF($A323=0,0,ROUND(SomaAgrupBM,15-13*ORÇAMENTO!$AF$11)))</f>
        <v>0</v>
      </c>
    </row>
    <row r="324" spans="1:41" ht="25.5" x14ac:dyDescent="0.2">
      <c r="A324" t="str">
        <f ca="1">ORÇAMENTO!C324</f>
        <v>S</v>
      </c>
      <c r="B324">
        <f ca="1">ORÇAMENTO!D324</f>
        <v>0</v>
      </c>
      <c r="C324" s="115" t="str">
        <f t="shared" ca="1" si="29"/>
        <v/>
      </c>
      <c r="D324" s="118" t="str">
        <f ca="1">ORÇAMENTO!O324</f>
        <v>-</v>
      </c>
      <c r="E324" s="164" t="str">
        <f t="shared" si="30"/>
        <v>ENCANADOR OU BOMBEIRO HIDRÁULICO COM ENCARGOS COMPLEMENTARES</v>
      </c>
      <c r="F324" s="165" t="str">
        <f ca="1">IF(RegimeExecucao="Global","",ORÇAMENTO.Unidade)</f>
        <v>H</v>
      </c>
      <c r="G324" s="123">
        <f ca="1">IF(RegimeExecucao="Global","",ORÇAMENTO!T324)</f>
        <v>80</v>
      </c>
      <c r="H324" s="123">
        <f ca="1">IF(RegimeExecucao="Global","",ORÇAMENTO!W324)</f>
        <v>0</v>
      </c>
      <c r="I324" s="126">
        <f ca="1">ORÇAMENTO!X324</f>
        <v>0</v>
      </c>
      <c r="J324" s="334" t="e" cm="1">
        <f t="array" aca="1" ref="J324" ca="1">_xlfn.SINGLE(IF($A324="S",IF(CAIXA.Modo,BM.AFAnterior,BM.MEDAnterior),IF(AND(_xlfn.SINGLE(RegimeExecucao)="Global",$I324&gt;0,COUNTIF($AB$13:$AM$13,BM.medicao-1)&gt;0),M324/$I324*100,0)))</f>
        <v>#NAME?</v>
      </c>
      <c r="K324" s="123" t="e">
        <f t="shared" ca="1" si="31"/>
        <v>#NAME?</v>
      </c>
      <c r="L324" s="335" t="e" cm="1">
        <f t="array" aca="1" ref="L324" ca="1">_xlfn.SINGLE(IF($A324="S",IF(CAIXA.Modo,BM.AFAcumulado,BM.MEDAcumulado),IF(AND(_xlfn.SINGLE(RegimeExecucao)="Global",$I324&gt;0,COUNTIF($AB$13:$AM$13,BM.medicao)&gt;0),O324/$I324*100,0)))</f>
        <v>#NAME?</v>
      </c>
      <c r="M324" s="336">
        <f ca="1">IF($A324="S",VTOTALBM,IF($A324=0,0,ROUND(SomaAgrupBM,15-13*ORÇAMENTO!$AF$11)))</f>
        <v>0</v>
      </c>
      <c r="N324" s="337">
        <f t="shared" ca="1" si="32"/>
        <v>0</v>
      </c>
      <c r="O324" s="126">
        <f ca="1">IF($A324="S",VTOTALBM,IF($A324=0,0,ROUND(SomaAgrupBM,15-13*ORÇAMENTO!$AF$11)))</f>
        <v>0</v>
      </c>
      <c r="Q324" s="338"/>
      <c r="R324" s="339"/>
      <c r="T324" s="118" t="str">
        <f t="shared" ca="1" si="33"/>
        <v/>
      </c>
      <c r="U324" s="164" t="str">
        <f t="shared" ca="1" si="34"/>
        <v/>
      </c>
      <c r="V324" s="165" t="str">
        <f ca="1">IF(AND($W324&gt;0,RegimeExecucao="Unitário"),$F324,"")</f>
        <v/>
      </c>
      <c r="W324" s="455">
        <f ca="1">IF($Y324&gt;0,CHOOSE(MATCH(RegimeExecucao,{"Unitário","Global"},0),IF($A324="S",$Y324/$X324,""),($Y324/$X324)*100),0)</f>
        <v>0</v>
      </c>
      <c r="X324" s="340" t="str">
        <f ca="1">IF($Y324&gt;0,CHOOSE(MATCH(RegimeExecucao,{"Unitário","Global"},0),IF($A324="S",ROUND($H324,ORÇAMENTO!$AF$10),""),ROUND($I324,ORÇAMENTO!$AF$11)),"")</f>
        <v/>
      </c>
      <c r="Y324" s="340">
        <f t="shared" ca="1" si="35"/>
        <v>0</v>
      </c>
      <c r="Z324" s="474"/>
      <c r="AB324" s="338"/>
      <c r="AC324" s="438"/>
      <c r="AD324" s="438"/>
      <c r="AE324" s="438"/>
      <c r="AF324" s="438"/>
      <c r="AG324" s="438"/>
      <c r="AH324" s="438"/>
      <c r="AI324" s="438"/>
      <c r="AJ324" s="438"/>
      <c r="AK324" s="438"/>
      <c r="AL324" s="438"/>
      <c r="AM324" s="339"/>
      <c r="AO324">
        <f ca="1">IF($A324="S",IF(BM!$I324=0,0,CHOOSE(MATCH(RegimeExecucao,{"Global","Unitário"},0),ROUND(ROUND(BM.MEDAcumulado,15-13*BM!$A$9)/100*BM!$I324,15-13*ORÇAMENTO!$AF$11),ROUND(ROUND(BM.MEDAcumulado,15-13*BM!$A$9)*ROUND(BM!$H324,15-13*ORÇAMENTO!$AF$10),15-13*ORÇAMENTO!$AF$11))),IF($A324=0,0,ROUND(SomaAgrupBM,15-13*ORÇAMENTO!$AF$11)))</f>
        <v>0</v>
      </c>
    </row>
    <row r="325" spans="1:41" x14ac:dyDescent="0.2">
      <c r="A325">
        <f ca="1">ORÇAMENTO!C325</f>
        <v>2</v>
      </c>
      <c r="B325">
        <f ca="1">ORÇAMENTO!D325</f>
        <v>17</v>
      </c>
      <c r="C325" s="115" t="str">
        <f t="shared" ca="1" si="29"/>
        <v>F</v>
      </c>
      <c r="D325" s="118" t="str">
        <f ca="1">ORÇAMENTO!O325</f>
        <v>1.17.</v>
      </c>
      <c r="E325" s="164" t="str">
        <f t="shared" si="30"/>
        <v>CENTRAL DE GLP, ABRIGO DE LIXO E SOLÁRIOS</v>
      </c>
      <c r="F325" s="165" t="str">
        <f ca="1">IF(RegimeExecucao="Global","",ORÇAMENTO.Unidade)</f>
        <v>-</v>
      </c>
      <c r="G325" s="123">
        <f ca="1">IF(RegimeExecucao="Global","",ORÇAMENTO!T325)</f>
        <v>0</v>
      </c>
      <c r="H325" s="123">
        <f ca="1">IF(RegimeExecucao="Global","",ORÇAMENTO!W325)</f>
        <v>0</v>
      </c>
      <c r="I325" s="126">
        <f ca="1">ORÇAMENTO!X325</f>
        <v>0</v>
      </c>
      <c r="J325" s="334" t="e" cm="1">
        <f t="array" aca="1" ref="J325" ca="1">_xlfn.SINGLE(IF($A325="S",IF(CAIXA.Modo,BM.AFAnterior,BM.MEDAnterior),IF(AND(_xlfn.SINGLE(RegimeExecucao)="Global",$I325&gt;0,COUNTIF($AB$13:$AM$13,BM.medicao-1)&gt;0),M325/$I325*100,0)))</f>
        <v>#NAME?</v>
      </c>
      <c r="K325" s="123" t="e">
        <f t="shared" ca="1" si="31"/>
        <v>#NAME?</v>
      </c>
      <c r="L325" s="335" t="e" cm="1">
        <f t="array" aca="1" ref="L325" ca="1">_xlfn.SINGLE(IF($A325="S",IF(CAIXA.Modo,BM.AFAcumulado,BM.MEDAcumulado),IF(AND(_xlfn.SINGLE(RegimeExecucao)="Global",$I325&gt;0,COUNTIF($AB$13:$AM$13,BM.medicao)&gt;0),O325/$I325*100,0)))</f>
        <v>#NAME?</v>
      </c>
      <c r="M325" s="336">
        <f ca="1">IF($A325="S",VTOTALBM,IF($A325=0,0,ROUND(SomaAgrupBM,15-13*ORÇAMENTO!$AF$11)))</f>
        <v>0</v>
      </c>
      <c r="N325" s="337">
        <f t="shared" ca="1" si="32"/>
        <v>0</v>
      </c>
      <c r="O325" s="126">
        <f ca="1">IF($A325="S",VTOTALBM,IF($A325=0,0,ROUND(SomaAgrupBM,15-13*ORÇAMENTO!$AF$11)))</f>
        <v>0</v>
      </c>
      <c r="Q325" s="338"/>
      <c r="R325" s="339"/>
      <c r="T325" s="118" t="str">
        <f t="shared" ca="1" si="33"/>
        <v/>
      </c>
      <c r="U325" s="164" t="str">
        <f t="shared" ca="1" si="34"/>
        <v/>
      </c>
      <c r="V325" s="165" t="str">
        <f ca="1">IF(AND($W325&gt;0,RegimeExecucao="Unitário"),$F325,"")</f>
        <v/>
      </c>
      <c r="W325" s="455">
        <f ca="1">IF($Y325&gt;0,CHOOSE(MATCH(RegimeExecucao,{"Unitário","Global"},0),IF($A325="S",$Y325/$X325,""),($Y325/$X325)*100),0)</f>
        <v>0</v>
      </c>
      <c r="X325" s="340" t="str">
        <f ca="1">IF($Y325&gt;0,CHOOSE(MATCH(RegimeExecucao,{"Unitário","Global"},0),IF($A325="S",ROUND($H325,ORÇAMENTO!$AF$10),""),ROUND($I325,ORÇAMENTO!$AF$11)),"")</f>
        <v/>
      </c>
      <c r="Y325" s="340">
        <f t="shared" ca="1" si="35"/>
        <v>0</v>
      </c>
      <c r="Z325" s="474"/>
      <c r="AB325" s="338"/>
      <c r="AC325" s="438"/>
      <c r="AD325" s="438"/>
      <c r="AE325" s="438"/>
      <c r="AF325" s="438"/>
      <c r="AG325" s="438"/>
      <c r="AH325" s="438"/>
      <c r="AI325" s="438"/>
      <c r="AJ325" s="438"/>
      <c r="AK325" s="438"/>
      <c r="AL325" s="438"/>
      <c r="AM325" s="339"/>
      <c r="AO325">
        <f ca="1">IF($A325="S",IF(BM!$I325=0,0,CHOOSE(MATCH(RegimeExecucao,{"Global","Unitário"},0),ROUND(ROUND(BM.MEDAcumulado,15-13*BM!$A$9)/100*BM!$I325,15-13*ORÇAMENTO!$AF$11),ROUND(ROUND(BM.MEDAcumulado,15-13*BM!$A$9)*ROUND(BM!$H325,15-13*ORÇAMENTO!$AF$10),15-13*ORÇAMENTO!$AF$11))),IF($A325=0,0,ROUND(SomaAgrupBM,15-13*ORÇAMENTO!$AF$11)))</f>
        <v>0</v>
      </c>
    </row>
    <row r="326" spans="1:41" ht="25.5" x14ac:dyDescent="0.2">
      <c r="A326" t="str">
        <f ca="1">ORÇAMENTO!C326</f>
        <v>S</v>
      </c>
      <c r="B326">
        <f ca="1">ORÇAMENTO!D326</f>
        <v>0</v>
      </c>
      <c r="C326" s="115" t="str">
        <f t="shared" ca="1" si="29"/>
        <v/>
      </c>
      <c r="D326" s="118" t="str">
        <f ca="1">ORÇAMENTO!O326</f>
        <v>-</v>
      </c>
      <c r="E326" s="164" t="str">
        <f t="shared" si="30"/>
        <v xml:space="preserve">TUBO PVC SERIE NORMAL, DN 150 MM, PARA ESGOTO PREDIAL (NBR 5688)                                                                                                                                                                                          </v>
      </c>
      <c r="F326" s="165" t="str">
        <f ca="1">IF(RegimeExecucao="Global","",ORÇAMENTO.Unidade)</f>
        <v xml:space="preserve">M     </v>
      </c>
      <c r="G326" s="123">
        <f ca="1">IF(RegimeExecucao="Global","",ORÇAMENTO!T326)</f>
        <v>1</v>
      </c>
      <c r="H326" s="123">
        <f ca="1">IF(RegimeExecucao="Global","",ORÇAMENTO!W326)</f>
        <v>0</v>
      </c>
      <c r="I326" s="126">
        <f ca="1">ORÇAMENTO!X326</f>
        <v>0</v>
      </c>
      <c r="J326" s="334" t="e" cm="1">
        <f t="array" aca="1" ref="J326" ca="1">_xlfn.SINGLE(IF($A326="S",IF(CAIXA.Modo,BM.AFAnterior,BM.MEDAnterior),IF(AND(_xlfn.SINGLE(RegimeExecucao)="Global",$I326&gt;0,COUNTIF($AB$13:$AM$13,BM.medicao-1)&gt;0),M326/$I326*100,0)))</f>
        <v>#NAME?</v>
      </c>
      <c r="K326" s="123" t="e">
        <f t="shared" ca="1" si="31"/>
        <v>#NAME?</v>
      </c>
      <c r="L326" s="335" t="e" cm="1">
        <f t="array" aca="1" ref="L326" ca="1">_xlfn.SINGLE(IF($A326="S",IF(CAIXA.Modo,BM.AFAcumulado,BM.MEDAcumulado),IF(AND(_xlfn.SINGLE(RegimeExecucao)="Global",$I326&gt;0,COUNTIF($AB$13:$AM$13,BM.medicao)&gt;0),O326/$I326*100,0)))</f>
        <v>#NAME?</v>
      </c>
      <c r="M326" s="336">
        <f ca="1">IF($A326="S",VTOTALBM,IF($A326=0,0,ROUND(SomaAgrupBM,15-13*ORÇAMENTO!$AF$11)))</f>
        <v>0</v>
      </c>
      <c r="N326" s="337">
        <f t="shared" ca="1" si="32"/>
        <v>0</v>
      </c>
      <c r="O326" s="126">
        <f ca="1">IF($A326="S",VTOTALBM,IF($A326=0,0,ROUND(SomaAgrupBM,15-13*ORÇAMENTO!$AF$11)))</f>
        <v>0</v>
      </c>
      <c r="Q326" s="338"/>
      <c r="R326" s="339"/>
      <c r="T326" s="118" t="str">
        <f t="shared" ca="1" si="33"/>
        <v/>
      </c>
      <c r="U326" s="164" t="str">
        <f t="shared" ca="1" si="34"/>
        <v/>
      </c>
      <c r="V326" s="165" t="str">
        <f ca="1">IF(AND($W326&gt;0,RegimeExecucao="Unitário"),$F326,"")</f>
        <v/>
      </c>
      <c r="W326" s="455">
        <f ca="1">IF($Y326&gt;0,CHOOSE(MATCH(RegimeExecucao,{"Unitário","Global"},0),IF($A326="S",$Y326/$X326,""),($Y326/$X326)*100),0)</f>
        <v>0</v>
      </c>
      <c r="X326" s="340" t="str">
        <f ca="1">IF($Y326&gt;0,CHOOSE(MATCH(RegimeExecucao,{"Unitário","Global"},0),IF($A326="S",ROUND($H326,ORÇAMENTO!$AF$10),""),ROUND($I326,ORÇAMENTO!$AF$11)),"")</f>
        <v/>
      </c>
      <c r="Y326" s="340">
        <f t="shared" ca="1" si="35"/>
        <v>0</v>
      </c>
      <c r="Z326" s="474"/>
      <c r="AB326" s="338"/>
      <c r="AC326" s="438"/>
      <c r="AD326" s="438"/>
      <c r="AE326" s="438"/>
      <c r="AF326" s="438"/>
      <c r="AG326" s="438"/>
      <c r="AH326" s="438"/>
      <c r="AI326" s="438"/>
      <c r="AJ326" s="438"/>
      <c r="AK326" s="438"/>
      <c r="AL326" s="438"/>
      <c r="AM326" s="339"/>
      <c r="AO326">
        <f ca="1">IF($A326="S",IF(BM!$I326=0,0,CHOOSE(MATCH(RegimeExecucao,{"Global","Unitário"},0),ROUND(ROUND(BM.MEDAcumulado,15-13*BM!$A$9)/100*BM!$I326,15-13*ORÇAMENTO!$AF$11),ROUND(ROUND(BM.MEDAcumulado,15-13*BM!$A$9)*ROUND(BM!$H326,15-13*ORÇAMENTO!$AF$10),15-13*ORÇAMENTO!$AF$11))),IF($A326=0,0,ROUND(SomaAgrupBM,15-13*ORÇAMENTO!$AF$11)))</f>
        <v>0</v>
      </c>
    </row>
    <row r="327" spans="1:41" ht="51" x14ac:dyDescent="0.2">
      <c r="A327" t="str">
        <f ca="1">ORÇAMENTO!C327</f>
        <v>S</v>
      </c>
      <c r="B327">
        <f ca="1">ORÇAMENTO!D327</f>
        <v>0</v>
      </c>
      <c r="C327" s="115" t="str">
        <f t="shared" ca="1" si="29"/>
        <v/>
      </c>
      <c r="D327" s="118" t="str">
        <f ca="1">ORÇAMENTO!O327</f>
        <v>-</v>
      </c>
      <c r="E327" s="164" t="str">
        <f t="shared" si="30"/>
        <v>ALVENARIA DE VEDAÇÃO DE BLOCOS CERÂMICOS FURADOS NA HORIZONTAL DE 11,5X19X19 CM (ESPESSURA 11,5 CM) E ARGAMASSA DE ASSENTAMENTO COM PREPARO MANUAL. AF_12/2021</v>
      </c>
      <c r="F327" s="165" t="str">
        <f ca="1">IF(RegimeExecucao="Global","",ORÇAMENTO.Unidade)</f>
        <v>M2</v>
      </c>
      <c r="G327" s="123">
        <f ca="1">IF(RegimeExecucao="Global","",ORÇAMENTO!T327)</f>
        <v>106.61</v>
      </c>
      <c r="H327" s="123">
        <f ca="1">IF(RegimeExecucao="Global","",ORÇAMENTO!W327)</f>
        <v>0</v>
      </c>
      <c r="I327" s="126">
        <f ca="1">ORÇAMENTO!X327</f>
        <v>0</v>
      </c>
      <c r="J327" s="334" t="e" cm="1">
        <f t="array" aca="1" ref="J327" ca="1">_xlfn.SINGLE(IF($A327="S",IF(CAIXA.Modo,BM.AFAnterior,BM.MEDAnterior),IF(AND(_xlfn.SINGLE(RegimeExecucao)="Global",$I327&gt;0,COUNTIF($AB$13:$AM$13,BM.medicao-1)&gt;0),M327/$I327*100,0)))</f>
        <v>#NAME?</v>
      </c>
      <c r="K327" s="123" t="e">
        <f t="shared" ca="1" si="31"/>
        <v>#NAME?</v>
      </c>
      <c r="L327" s="335" t="e" cm="1">
        <f t="array" aca="1" ref="L327" ca="1">_xlfn.SINGLE(IF($A327="S",IF(CAIXA.Modo,BM.AFAcumulado,BM.MEDAcumulado),IF(AND(_xlfn.SINGLE(RegimeExecucao)="Global",$I327&gt;0,COUNTIF($AB$13:$AM$13,BM.medicao)&gt;0),O327/$I327*100,0)))</f>
        <v>#NAME?</v>
      </c>
      <c r="M327" s="336">
        <f ca="1">IF($A327="S",VTOTALBM,IF($A327=0,0,ROUND(SomaAgrupBM,15-13*ORÇAMENTO!$AF$11)))</f>
        <v>0</v>
      </c>
      <c r="N327" s="337">
        <f t="shared" ca="1" si="32"/>
        <v>0</v>
      </c>
      <c r="O327" s="126">
        <f ca="1">IF($A327="S",VTOTALBM,IF($A327=0,0,ROUND(SomaAgrupBM,15-13*ORÇAMENTO!$AF$11)))</f>
        <v>0</v>
      </c>
      <c r="Q327" s="338"/>
      <c r="R327" s="339"/>
      <c r="T327" s="118" t="str">
        <f t="shared" ca="1" si="33"/>
        <v/>
      </c>
      <c r="U327" s="164" t="str">
        <f t="shared" ca="1" si="34"/>
        <v/>
      </c>
      <c r="V327" s="165" t="str">
        <f ca="1">IF(AND($W327&gt;0,RegimeExecucao="Unitário"),$F327,"")</f>
        <v/>
      </c>
      <c r="W327" s="455">
        <f ca="1">IF($Y327&gt;0,CHOOSE(MATCH(RegimeExecucao,{"Unitário","Global"},0),IF($A327="S",$Y327/$X327,""),($Y327/$X327)*100),0)</f>
        <v>0</v>
      </c>
      <c r="X327" s="340" t="str">
        <f ca="1">IF($Y327&gt;0,CHOOSE(MATCH(RegimeExecucao,{"Unitário","Global"},0),IF($A327="S",ROUND($H327,ORÇAMENTO!$AF$10),""),ROUND($I327,ORÇAMENTO!$AF$11)),"")</f>
        <v/>
      </c>
      <c r="Y327" s="340">
        <f t="shared" ca="1" si="35"/>
        <v>0</v>
      </c>
      <c r="Z327" s="474"/>
      <c r="AB327" s="338"/>
      <c r="AC327" s="438"/>
      <c r="AD327" s="438"/>
      <c r="AE327" s="438"/>
      <c r="AF327" s="438"/>
      <c r="AG327" s="438"/>
      <c r="AH327" s="438"/>
      <c r="AI327" s="438"/>
      <c r="AJ327" s="438"/>
      <c r="AK327" s="438"/>
      <c r="AL327" s="438"/>
      <c r="AM327" s="339"/>
      <c r="AO327">
        <f ca="1">IF($A327="S",IF(BM!$I327=0,0,CHOOSE(MATCH(RegimeExecucao,{"Global","Unitário"},0),ROUND(ROUND(BM.MEDAcumulado,15-13*BM!$A$9)/100*BM!$I327,15-13*ORÇAMENTO!$AF$11),ROUND(ROUND(BM.MEDAcumulado,15-13*BM!$A$9)*ROUND(BM!$H327,15-13*ORÇAMENTO!$AF$10),15-13*ORÇAMENTO!$AF$11))),IF($A327=0,0,ROUND(SomaAgrupBM,15-13*ORÇAMENTO!$AF$11)))</f>
        <v>0</v>
      </c>
    </row>
    <row r="328" spans="1:41" ht="38.25" x14ac:dyDescent="0.2">
      <c r="A328" t="str">
        <f ca="1">ORÇAMENTO!C328</f>
        <v>S</v>
      </c>
      <c r="B328">
        <f ca="1">ORÇAMENTO!D328</f>
        <v>0</v>
      </c>
      <c r="C328" s="115" t="str">
        <f t="shared" ca="1" si="29"/>
        <v/>
      </c>
      <c r="D328" s="118" t="str">
        <f ca="1">ORÇAMENTO!O328</f>
        <v>-</v>
      </c>
      <c r="E328" s="164" t="str">
        <f t="shared" si="30"/>
        <v>CHAPISCO APLICADO EM ALVENARIAS E ESTRUTURAS DE CONCRETO INTERNAS, COM COLHER DE PEDREIRO.  ARGAMASSA TRAÇO 1:3 COM PREPARO EM BETONEIRA 400L. AF_10/2022</v>
      </c>
      <c r="F328" s="165" t="str">
        <f ca="1">IF(RegimeExecucao="Global","",ORÇAMENTO.Unidade)</f>
        <v>M2</v>
      </c>
      <c r="G328" s="123">
        <f ca="1">IF(RegimeExecucao="Global","",ORÇAMENTO!T328)</f>
        <v>227.58</v>
      </c>
      <c r="H328" s="123">
        <f ca="1">IF(RegimeExecucao="Global","",ORÇAMENTO!W328)</f>
        <v>0</v>
      </c>
      <c r="I328" s="126">
        <f ca="1">ORÇAMENTO!X328</f>
        <v>0</v>
      </c>
      <c r="J328" s="334" t="e" cm="1">
        <f t="array" aca="1" ref="J328" ca="1">_xlfn.SINGLE(IF($A328="S",IF(CAIXA.Modo,BM.AFAnterior,BM.MEDAnterior),IF(AND(_xlfn.SINGLE(RegimeExecucao)="Global",$I328&gt;0,COUNTIF($AB$13:$AM$13,BM.medicao-1)&gt;0),M328/$I328*100,0)))</f>
        <v>#NAME?</v>
      </c>
      <c r="K328" s="123" t="e">
        <f t="shared" ca="1" si="31"/>
        <v>#NAME?</v>
      </c>
      <c r="L328" s="335" t="e" cm="1">
        <f t="array" aca="1" ref="L328" ca="1">_xlfn.SINGLE(IF($A328="S",IF(CAIXA.Modo,BM.AFAcumulado,BM.MEDAcumulado),IF(AND(_xlfn.SINGLE(RegimeExecucao)="Global",$I328&gt;0,COUNTIF($AB$13:$AM$13,BM.medicao)&gt;0),O328/$I328*100,0)))</f>
        <v>#NAME?</v>
      </c>
      <c r="M328" s="336">
        <f ca="1">IF($A328="S",VTOTALBM,IF($A328=0,0,ROUND(SomaAgrupBM,15-13*ORÇAMENTO!$AF$11)))</f>
        <v>0</v>
      </c>
      <c r="N328" s="337">
        <f t="shared" ca="1" si="32"/>
        <v>0</v>
      </c>
      <c r="O328" s="126">
        <f ca="1">IF($A328="S",VTOTALBM,IF($A328=0,0,ROUND(SomaAgrupBM,15-13*ORÇAMENTO!$AF$11)))</f>
        <v>0</v>
      </c>
      <c r="Q328" s="338"/>
      <c r="R328" s="339"/>
      <c r="T328" s="118" t="str">
        <f t="shared" ca="1" si="33"/>
        <v/>
      </c>
      <c r="U328" s="164" t="str">
        <f t="shared" ca="1" si="34"/>
        <v/>
      </c>
      <c r="V328" s="165" t="str">
        <f ca="1">IF(AND($W328&gt;0,RegimeExecucao="Unitário"),$F328,"")</f>
        <v/>
      </c>
      <c r="W328" s="455">
        <f ca="1">IF($Y328&gt;0,CHOOSE(MATCH(RegimeExecucao,{"Unitário","Global"},0),IF($A328="S",$Y328/$X328,""),($Y328/$X328)*100),0)</f>
        <v>0</v>
      </c>
      <c r="X328" s="340" t="str">
        <f ca="1">IF($Y328&gt;0,CHOOSE(MATCH(RegimeExecucao,{"Unitário","Global"},0),IF($A328="S",ROUND($H328,ORÇAMENTO!$AF$10),""),ROUND($I328,ORÇAMENTO!$AF$11)),"")</f>
        <v/>
      </c>
      <c r="Y328" s="340">
        <f t="shared" ca="1" si="35"/>
        <v>0</v>
      </c>
      <c r="Z328" s="474"/>
      <c r="AB328" s="338"/>
      <c r="AC328" s="438"/>
      <c r="AD328" s="438"/>
      <c r="AE328" s="438"/>
      <c r="AF328" s="438"/>
      <c r="AG328" s="438"/>
      <c r="AH328" s="438"/>
      <c r="AI328" s="438"/>
      <c r="AJ328" s="438"/>
      <c r="AK328" s="438"/>
      <c r="AL328" s="438"/>
      <c r="AM328" s="339"/>
      <c r="AO328">
        <f ca="1">IF($A328="S",IF(BM!$I328=0,0,CHOOSE(MATCH(RegimeExecucao,{"Global","Unitário"},0),ROUND(ROUND(BM.MEDAcumulado,15-13*BM!$A$9)/100*BM!$I328,15-13*ORÇAMENTO!$AF$11),ROUND(ROUND(BM.MEDAcumulado,15-13*BM!$A$9)*ROUND(BM!$H328,15-13*ORÇAMENTO!$AF$10),15-13*ORÇAMENTO!$AF$11))),IF($A328=0,0,ROUND(SomaAgrupBM,15-13*ORÇAMENTO!$AF$11)))</f>
        <v>0</v>
      </c>
    </row>
    <row r="329" spans="1:41" ht="51" x14ac:dyDescent="0.2">
      <c r="A329" t="str">
        <f ca="1">ORÇAMENTO!C329</f>
        <v>S</v>
      </c>
      <c r="B329">
        <f ca="1">ORÇAMENTO!D329</f>
        <v>0</v>
      </c>
      <c r="C329" s="115" t="str">
        <f t="shared" ca="1" si="29"/>
        <v/>
      </c>
      <c r="D329" s="118" t="str">
        <f ca="1">ORÇAMENTO!O329</f>
        <v>-</v>
      </c>
      <c r="E329" s="164" t="str">
        <f t="shared" si="30"/>
        <v>EMBOÇO OU MASSA ÚNICA EM ARGAMASSA TRAÇO 1:2:8, PREPARO MECÂNICO COM BETONEIRA 400 L, APLICADA MANUALMENTE EM PANOS DE FACHADA COM PRESENÇA DE VÃOS, ESPESSURA DE 25 MM. AF_08/2022</v>
      </c>
      <c r="F329" s="165" t="str">
        <f ca="1">IF(RegimeExecucao="Global","",ORÇAMENTO.Unidade)</f>
        <v>M2</v>
      </c>
      <c r="G329" s="123">
        <f ca="1">IF(RegimeExecucao="Global","",ORÇAMENTO!T329)</f>
        <v>227.58</v>
      </c>
      <c r="H329" s="123">
        <f ca="1">IF(RegimeExecucao="Global","",ORÇAMENTO!W329)</f>
        <v>0</v>
      </c>
      <c r="I329" s="126">
        <f ca="1">ORÇAMENTO!X329</f>
        <v>0</v>
      </c>
      <c r="J329" s="334" t="e" cm="1">
        <f t="array" aca="1" ref="J329" ca="1">_xlfn.SINGLE(IF($A329="S",IF(CAIXA.Modo,BM.AFAnterior,BM.MEDAnterior),IF(AND(_xlfn.SINGLE(RegimeExecucao)="Global",$I329&gt;0,COUNTIF($AB$13:$AM$13,BM.medicao-1)&gt;0),M329/$I329*100,0)))</f>
        <v>#NAME?</v>
      </c>
      <c r="K329" s="123" t="e">
        <f t="shared" ca="1" si="31"/>
        <v>#NAME?</v>
      </c>
      <c r="L329" s="335" t="e" cm="1">
        <f t="array" aca="1" ref="L329" ca="1">_xlfn.SINGLE(IF($A329="S",IF(CAIXA.Modo,BM.AFAcumulado,BM.MEDAcumulado),IF(AND(_xlfn.SINGLE(RegimeExecucao)="Global",$I329&gt;0,COUNTIF($AB$13:$AM$13,BM.medicao)&gt;0),O329/$I329*100,0)))</f>
        <v>#NAME?</v>
      </c>
      <c r="M329" s="336">
        <f ca="1">IF($A329="S",VTOTALBM,IF($A329=0,0,ROUND(SomaAgrupBM,15-13*ORÇAMENTO!$AF$11)))</f>
        <v>0</v>
      </c>
      <c r="N329" s="337">
        <f t="shared" ca="1" si="32"/>
        <v>0</v>
      </c>
      <c r="O329" s="126">
        <f ca="1">IF($A329="S",VTOTALBM,IF($A329=0,0,ROUND(SomaAgrupBM,15-13*ORÇAMENTO!$AF$11)))</f>
        <v>0</v>
      </c>
      <c r="Q329" s="338"/>
      <c r="R329" s="339"/>
      <c r="T329" s="118" t="str">
        <f t="shared" ca="1" si="33"/>
        <v/>
      </c>
      <c r="U329" s="164" t="str">
        <f t="shared" ca="1" si="34"/>
        <v/>
      </c>
      <c r="V329" s="165" t="str">
        <f ca="1">IF(AND($W329&gt;0,RegimeExecucao="Unitário"),$F329,"")</f>
        <v/>
      </c>
      <c r="W329" s="455">
        <f ca="1">IF($Y329&gt;0,CHOOSE(MATCH(RegimeExecucao,{"Unitário","Global"},0),IF($A329="S",$Y329/$X329,""),($Y329/$X329)*100),0)</f>
        <v>0</v>
      </c>
      <c r="X329" s="340" t="str">
        <f ca="1">IF($Y329&gt;0,CHOOSE(MATCH(RegimeExecucao,{"Unitário","Global"},0),IF($A329="S",ROUND($H329,ORÇAMENTO!$AF$10),""),ROUND($I329,ORÇAMENTO!$AF$11)),"")</f>
        <v/>
      </c>
      <c r="Y329" s="340">
        <f t="shared" ca="1" si="35"/>
        <v>0</v>
      </c>
      <c r="Z329" s="474"/>
      <c r="AB329" s="338"/>
      <c r="AC329" s="438"/>
      <c r="AD329" s="438"/>
      <c r="AE329" s="438"/>
      <c r="AF329" s="438"/>
      <c r="AG329" s="438"/>
      <c r="AH329" s="438"/>
      <c r="AI329" s="438"/>
      <c r="AJ329" s="438"/>
      <c r="AK329" s="438"/>
      <c r="AL329" s="438"/>
      <c r="AM329" s="339"/>
      <c r="AO329">
        <f ca="1">IF($A329="S",IF(BM!$I329=0,0,CHOOSE(MATCH(RegimeExecucao,{"Global","Unitário"},0),ROUND(ROUND(BM.MEDAcumulado,15-13*BM!$A$9)/100*BM!$I329,15-13*ORÇAMENTO!$AF$11),ROUND(ROUND(BM.MEDAcumulado,15-13*BM!$A$9)*ROUND(BM!$H329,15-13*ORÇAMENTO!$AF$10),15-13*ORÇAMENTO!$AF$11))),IF($A329=0,0,ROUND(SomaAgrupBM,15-13*ORÇAMENTO!$AF$11)))</f>
        <v>0</v>
      </c>
    </row>
    <row r="330" spans="1:41" ht="25.5" x14ac:dyDescent="0.2">
      <c r="A330" t="str">
        <f ca="1">ORÇAMENTO!C330</f>
        <v>S</v>
      </c>
      <c r="B330">
        <f ca="1">ORÇAMENTO!D330</f>
        <v>0</v>
      </c>
      <c r="C330" s="115" t="str">
        <f t="shared" ca="1" si="29"/>
        <v/>
      </c>
      <c r="D330" s="118" t="str">
        <f ca="1">ORÇAMENTO!O330</f>
        <v>-</v>
      </c>
      <c r="E330" s="164" t="str">
        <f t="shared" si="30"/>
        <v>FUNDO SELADOR ACRÍLICO, APLICAÇÃO MANUAL EM PAREDE, UMA DEMÃO. AF_04/2023</v>
      </c>
      <c r="F330" s="165" t="str">
        <f ca="1">IF(RegimeExecucao="Global","",ORÇAMENTO.Unidade)</f>
        <v>M2</v>
      </c>
      <c r="G330" s="123">
        <f ca="1">IF(RegimeExecucao="Global","",ORÇAMENTO!T330)</f>
        <v>227.58</v>
      </c>
      <c r="H330" s="123">
        <f ca="1">IF(RegimeExecucao="Global","",ORÇAMENTO!W330)</f>
        <v>0</v>
      </c>
      <c r="I330" s="126">
        <f ca="1">ORÇAMENTO!X330</f>
        <v>0</v>
      </c>
      <c r="J330" s="334" t="e" cm="1">
        <f t="array" aca="1" ref="J330" ca="1">_xlfn.SINGLE(IF($A330="S",IF(CAIXA.Modo,BM.AFAnterior,BM.MEDAnterior),IF(AND(_xlfn.SINGLE(RegimeExecucao)="Global",$I330&gt;0,COUNTIF($AB$13:$AM$13,BM.medicao-1)&gt;0),M330/$I330*100,0)))</f>
        <v>#NAME?</v>
      </c>
      <c r="K330" s="123" t="e">
        <f t="shared" ca="1" si="31"/>
        <v>#NAME?</v>
      </c>
      <c r="L330" s="335" t="e" cm="1">
        <f t="array" aca="1" ref="L330" ca="1">_xlfn.SINGLE(IF($A330="S",IF(CAIXA.Modo,BM.AFAcumulado,BM.MEDAcumulado),IF(AND(_xlfn.SINGLE(RegimeExecucao)="Global",$I330&gt;0,COUNTIF($AB$13:$AM$13,BM.medicao)&gt;0),O330/$I330*100,0)))</f>
        <v>#NAME?</v>
      </c>
      <c r="M330" s="336">
        <f ca="1">IF($A330="S",VTOTALBM,IF($A330=0,0,ROUND(SomaAgrupBM,15-13*ORÇAMENTO!$AF$11)))</f>
        <v>0</v>
      </c>
      <c r="N330" s="337">
        <f t="shared" ca="1" si="32"/>
        <v>0</v>
      </c>
      <c r="O330" s="126">
        <f ca="1">IF($A330="S",VTOTALBM,IF($A330=0,0,ROUND(SomaAgrupBM,15-13*ORÇAMENTO!$AF$11)))</f>
        <v>0</v>
      </c>
      <c r="Q330" s="338"/>
      <c r="R330" s="339"/>
      <c r="T330" s="118" t="str">
        <f t="shared" ca="1" si="33"/>
        <v/>
      </c>
      <c r="U330" s="164" t="str">
        <f t="shared" ca="1" si="34"/>
        <v/>
      </c>
      <c r="V330" s="165" t="str">
        <f ca="1">IF(AND($W330&gt;0,RegimeExecucao="Unitário"),$F330,"")</f>
        <v/>
      </c>
      <c r="W330" s="455">
        <f ca="1">IF($Y330&gt;0,CHOOSE(MATCH(RegimeExecucao,{"Unitário","Global"},0),IF($A330="S",$Y330/$X330,""),($Y330/$X330)*100),0)</f>
        <v>0</v>
      </c>
      <c r="X330" s="340" t="str">
        <f ca="1">IF($Y330&gt;0,CHOOSE(MATCH(RegimeExecucao,{"Unitário","Global"},0),IF($A330="S",ROUND($H330,ORÇAMENTO!$AF$10),""),ROUND($I330,ORÇAMENTO!$AF$11)),"")</f>
        <v/>
      </c>
      <c r="Y330" s="340">
        <f t="shared" ca="1" si="35"/>
        <v>0</v>
      </c>
      <c r="Z330" s="474"/>
      <c r="AB330" s="338"/>
      <c r="AC330" s="438"/>
      <c r="AD330" s="438"/>
      <c r="AE330" s="438"/>
      <c r="AF330" s="438"/>
      <c r="AG330" s="438"/>
      <c r="AH330" s="438"/>
      <c r="AI330" s="438"/>
      <c r="AJ330" s="438"/>
      <c r="AK330" s="438"/>
      <c r="AL330" s="438"/>
      <c r="AM330" s="339"/>
      <c r="AO330">
        <f ca="1">IF($A330="S",IF(BM!$I330=0,0,CHOOSE(MATCH(RegimeExecucao,{"Global","Unitário"},0),ROUND(ROUND(BM.MEDAcumulado,15-13*BM!$A$9)/100*BM!$I330,15-13*ORÇAMENTO!$AF$11),ROUND(ROUND(BM.MEDAcumulado,15-13*BM!$A$9)*ROUND(BM!$H330,15-13*ORÇAMENTO!$AF$10),15-13*ORÇAMENTO!$AF$11))),IF($A330=0,0,ROUND(SomaAgrupBM,15-13*ORÇAMENTO!$AF$11)))</f>
        <v>0</v>
      </c>
    </row>
    <row r="331" spans="1:41" ht="25.5" x14ac:dyDescent="0.2">
      <c r="A331" t="str">
        <f ca="1">ORÇAMENTO!C331</f>
        <v>S</v>
      </c>
      <c r="B331">
        <f ca="1">ORÇAMENTO!D331</f>
        <v>0</v>
      </c>
      <c r="C331" s="115" t="str">
        <f t="shared" ca="1" si="29"/>
        <v/>
      </c>
      <c r="D331" s="118" t="str">
        <f ca="1">ORÇAMENTO!O331</f>
        <v>-</v>
      </c>
      <c r="E331" s="164" t="str">
        <f t="shared" si="30"/>
        <v>PINTURA LÁTEX ACRÍLICA PREMIUM, APLICAÇÃO MANUAL EM PAREDES, DUAS DEMÃOS. AF_04/2023</v>
      </c>
      <c r="F331" s="165" t="str">
        <f ca="1">IF(RegimeExecucao="Global","",ORÇAMENTO.Unidade)</f>
        <v>M2</v>
      </c>
      <c r="G331" s="123">
        <f ca="1">IF(RegimeExecucao="Global","",ORÇAMENTO!T331)</f>
        <v>227.58</v>
      </c>
      <c r="H331" s="123">
        <f ca="1">IF(RegimeExecucao="Global","",ORÇAMENTO!W331)</f>
        <v>0</v>
      </c>
      <c r="I331" s="126">
        <f ca="1">ORÇAMENTO!X331</f>
        <v>0</v>
      </c>
      <c r="J331" s="334" t="e" cm="1">
        <f t="array" aca="1" ref="J331" ca="1">_xlfn.SINGLE(IF($A331="S",IF(CAIXA.Modo,BM.AFAnterior,BM.MEDAnterior),IF(AND(_xlfn.SINGLE(RegimeExecucao)="Global",$I331&gt;0,COUNTIF($AB$13:$AM$13,BM.medicao-1)&gt;0),M331/$I331*100,0)))</f>
        <v>#NAME?</v>
      </c>
      <c r="K331" s="123" t="e">
        <f t="shared" ca="1" si="31"/>
        <v>#NAME?</v>
      </c>
      <c r="L331" s="335" t="e" cm="1">
        <f t="array" aca="1" ref="L331" ca="1">_xlfn.SINGLE(IF($A331="S",IF(CAIXA.Modo,BM.AFAcumulado,BM.MEDAcumulado),IF(AND(_xlfn.SINGLE(RegimeExecucao)="Global",$I331&gt;0,COUNTIF($AB$13:$AM$13,BM.medicao)&gt;0),O331/$I331*100,0)))</f>
        <v>#NAME?</v>
      </c>
      <c r="M331" s="336">
        <f ca="1">IF($A331="S",VTOTALBM,IF($A331=0,0,ROUND(SomaAgrupBM,15-13*ORÇAMENTO!$AF$11)))</f>
        <v>0</v>
      </c>
      <c r="N331" s="337">
        <f t="shared" ca="1" si="32"/>
        <v>0</v>
      </c>
      <c r="O331" s="126">
        <f ca="1">IF($A331="S",VTOTALBM,IF($A331=0,0,ROUND(SomaAgrupBM,15-13*ORÇAMENTO!$AF$11)))</f>
        <v>0</v>
      </c>
      <c r="Q331" s="338"/>
      <c r="R331" s="339"/>
      <c r="T331" s="118" t="str">
        <f t="shared" ca="1" si="33"/>
        <v/>
      </c>
      <c r="U331" s="164" t="str">
        <f t="shared" ca="1" si="34"/>
        <v/>
      </c>
      <c r="V331" s="165" t="str">
        <f ca="1">IF(AND($W331&gt;0,RegimeExecucao="Unitário"),$F331,"")</f>
        <v/>
      </c>
      <c r="W331" s="455">
        <f ca="1">IF($Y331&gt;0,CHOOSE(MATCH(RegimeExecucao,{"Unitário","Global"},0),IF($A331="S",$Y331/$X331,""),($Y331/$X331)*100),0)</f>
        <v>0</v>
      </c>
      <c r="X331" s="340" t="str">
        <f ca="1">IF($Y331&gt;0,CHOOSE(MATCH(RegimeExecucao,{"Unitário","Global"},0),IF($A331="S",ROUND($H331,ORÇAMENTO!$AF$10),""),ROUND($I331,ORÇAMENTO!$AF$11)),"")</f>
        <v/>
      </c>
      <c r="Y331" s="340">
        <f t="shared" ca="1" si="35"/>
        <v>0</v>
      </c>
      <c r="Z331" s="474"/>
      <c r="AB331" s="338"/>
      <c r="AC331" s="438"/>
      <c r="AD331" s="438"/>
      <c r="AE331" s="438"/>
      <c r="AF331" s="438"/>
      <c r="AG331" s="438"/>
      <c r="AH331" s="438"/>
      <c r="AI331" s="438"/>
      <c r="AJ331" s="438"/>
      <c r="AK331" s="438"/>
      <c r="AL331" s="438"/>
      <c r="AM331" s="339"/>
      <c r="AO331">
        <f ca="1">IF($A331="S",IF(BM!$I331=0,0,CHOOSE(MATCH(RegimeExecucao,{"Global","Unitário"},0),ROUND(ROUND(BM.MEDAcumulado,15-13*BM!$A$9)/100*BM!$I331,15-13*ORÇAMENTO!$AF$11),ROUND(ROUND(BM.MEDAcumulado,15-13*BM!$A$9)*ROUND(BM!$H331,15-13*ORÇAMENTO!$AF$10),15-13*ORÇAMENTO!$AF$11))),IF($A331=0,0,ROUND(SomaAgrupBM,15-13*ORÇAMENTO!$AF$11)))</f>
        <v>0</v>
      </c>
    </row>
    <row r="332" spans="1:41" ht="25.5" x14ac:dyDescent="0.2">
      <c r="A332" t="str">
        <f ca="1">ORÇAMENTO!C332</f>
        <v>S</v>
      </c>
      <c r="B332">
        <f ca="1">ORÇAMENTO!D332</f>
        <v>0</v>
      </c>
      <c r="C332" s="115" t="str">
        <f t="shared" ca="1" si="29"/>
        <v/>
      </c>
      <c r="D332" s="118" t="str">
        <f ca="1">ORÇAMENTO!O332</f>
        <v>-</v>
      </c>
      <c r="E332" s="164" t="str">
        <f t="shared" si="30"/>
        <v>MONTAGEM E DESMONTAGEM DE FÔRMA DE LAJE MACIÇA, PÉ-DIREITO SIMPLES, EM MADEIRA SERRADA, 1 UTILIZAÇÃO. AF_09/2020</v>
      </c>
      <c r="F332" s="165" t="str">
        <f ca="1">IF(RegimeExecucao="Global","",ORÇAMENTO.Unidade)</f>
        <v>M2</v>
      </c>
      <c r="G332" s="123">
        <f ca="1">IF(RegimeExecucao="Global","",ORÇAMENTO!T332)</f>
        <v>2.95</v>
      </c>
      <c r="H332" s="123">
        <f ca="1">IF(RegimeExecucao="Global","",ORÇAMENTO!W332)</f>
        <v>0</v>
      </c>
      <c r="I332" s="126">
        <f ca="1">ORÇAMENTO!X332</f>
        <v>0</v>
      </c>
      <c r="J332" s="334" t="e" cm="1">
        <f t="array" aca="1" ref="J332" ca="1">_xlfn.SINGLE(IF($A332="S",IF(CAIXA.Modo,BM.AFAnterior,BM.MEDAnterior),IF(AND(_xlfn.SINGLE(RegimeExecucao)="Global",$I332&gt;0,COUNTIF($AB$13:$AM$13,BM.medicao-1)&gt;0),M332/$I332*100,0)))</f>
        <v>#NAME?</v>
      </c>
      <c r="K332" s="123" t="e">
        <f t="shared" ca="1" si="31"/>
        <v>#NAME?</v>
      </c>
      <c r="L332" s="335" t="e" cm="1">
        <f t="array" aca="1" ref="L332" ca="1">_xlfn.SINGLE(IF($A332="S",IF(CAIXA.Modo,BM.AFAcumulado,BM.MEDAcumulado),IF(AND(_xlfn.SINGLE(RegimeExecucao)="Global",$I332&gt;0,COUNTIF($AB$13:$AM$13,BM.medicao)&gt;0),O332/$I332*100,0)))</f>
        <v>#NAME?</v>
      </c>
      <c r="M332" s="336">
        <f ca="1">IF($A332="S",VTOTALBM,IF($A332=0,0,ROUND(SomaAgrupBM,15-13*ORÇAMENTO!$AF$11)))</f>
        <v>0</v>
      </c>
      <c r="N332" s="337">
        <f t="shared" ca="1" si="32"/>
        <v>0</v>
      </c>
      <c r="O332" s="126">
        <f ca="1">IF($A332="S",VTOTALBM,IF($A332=0,0,ROUND(SomaAgrupBM,15-13*ORÇAMENTO!$AF$11)))</f>
        <v>0</v>
      </c>
      <c r="Q332" s="338"/>
      <c r="R332" s="339"/>
      <c r="T332" s="118" t="str">
        <f t="shared" ca="1" si="33"/>
        <v/>
      </c>
      <c r="U332" s="164" t="str">
        <f t="shared" ca="1" si="34"/>
        <v/>
      </c>
      <c r="V332" s="165" t="str">
        <f ca="1">IF(AND($W332&gt;0,RegimeExecucao="Unitário"),$F332,"")</f>
        <v/>
      </c>
      <c r="W332" s="455">
        <f ca="1">IF($Y332&gt;0,CHOOSE(MATCH(RegimeExecucao,{"Unitário","Global"},0),IF($A332="S",$Y332/$X332,""),($Y332/$X332)*100),0)</f>
        <v>0</v>
      </c>
      <c r="X332" s="340" t="str">
        <f ca="1">IF($Y332&gt;0,CHOOSE(MATCH(RegimeExecucao,{"Unitário","Global"},0),IF($A332="S",ROUND($H332,ORÇAMENTO!$AF$10),""),ROUND($I332,ORÇAMENTO!$AF$11)),"")</f>
        <v/>
      </c>
      <c r="Y332" s="340">
        <f t="shared" ca="1" si="35"/>
        <v>0</v>
      </c>
      <c r="Z332" s="474"/>
      <c r="AB332" s="338"/>
      <c r="AC332" s="438"/>
      <c r="AD332" s="438"/>
      <c r="AE332" s="438"/>
      <c r="AF332" s="438"/>
      <c r="AG332" s="438"/>
      <c r="AH332" s="438"/>
      <c r="AI332" s="438"/>
      <c r="AJ332" s="438"/>
      <c r="AK332" s="438"/>
      <c r="AL332" s="438"/>
      <c r="AM332" s="339"/>
      <c r="AO332">
        <f ca="1">IF($A332="S",IF(BM!$I332=0,0,CHOOSE(MATCH(RegimeExecucao,{"Global","Unitário"},0),ROUND(ROUND(BM.MEDAcumulado,15-13*BM!$A$9)/100*BM!$I332,15-13*ORÇAMENTO!$AF$11),ROUND(ROUND(BM.MEDAcumulado,15-13*BM!$A$9)*ROUND(BM!$H332,15-13*ORÇAMENTO!$AF$10),15-13*ORÇAMENTO!$AF$11))),IF($A332=0,0,ROUND(SomaAgrupBM,15-13*ORÇAMENTO!$AF$11)))</f>
        <v>0</v>
      </c>
    </row>
    <row r="333" spans="1:41" ht="38.25" x14ac:dyDescent="0.2">
      <c r="A333" t="str">
        <f ca="1">ORÇAMENTO!C333</f>
        <v>S</v>
      </c>
      <c r="B333">
        <f ca="1">ORÇAMENTO!D333</f>
        <v>0</v>
      </c>
      <c r="C333" s="115" t="str">
        <f t="shared" ca="1" si="29"/>
        <v/>
      </c>
      <c r="D333" s="118" t="str">
        <f ca="1">ORÇAMENTO!O333</f>
        <v>-</v>
      </c>
      <c r="E333" s="164" t="str">
        <f t="shared" si="30"/>
        <v>CONCRETAGEM DE VIGAS E LAJES, FCK=25 MPA, PARA QUALQUER TIPO DE LAJE COM BALDES EM EDIFICAÇÃO TÉRREA - LANÇAMENTO, ADENSAMENTO E ACABAMENTO. AF_02/2022</v>
      </c>
      <c r="F333" s="165" t="str">
        <f ca="1">IF(RegimeExecucao="Global","",ORÇAMENTO.Unidade)</f>
        <v>M3</v>
      </c>
      <c r="G333" s="123">
        <f ca="1">IF(RegimeExecucao="Global","",ORÇAMENTO!T333)</f>
        <v>0.5</v>
      </c>
      <c r="H333" s="123">
        <f ca="1">IF(RegimeExecucao="Global","",ORÇAMENTO!W333)</f>
        <v>0</v>
      </c>
      <c r="I333" s="126">
        <f ca="1">ORÇAMENTO!X333</f>
        <v>0</v>
      </c>
      <c r="J333" s="334" t="e" cm="1">
        <f t="array" aca="1" ref="J333" ca="1">_xlfn.SINGLE(IF($A333="S",IF(CAIXA.Modo,BM.AFAnterior,BM.MEDAnterior),IF(AND(_xlfn.SINGLE(RegimeExecucao)="Global",$I333&gt;0,COUNTIF($AB$13:$AM$13,BM.medicao-1)&gt;0),M333/$I333*100,0)))</f>
        <v>#NAME?</v>
      </c>
      <c r="K333" s="123" t="e">
        <f t="shared" ca="1" si="31"/>
        <v>#NAME?</v>
      </c>
      <c r="L333" s="335" t="e" cm="1">
        <f t="array" aca="1" ref="L333" ca="1">_xlfn.SINGLE(IF($A333="S",IF(CAIXA.Modo,BM.AFAcumulado,BM.MEDAcumulado),IF(AND(_xlfn.SINGLE(RegimeExecucao)="Global",$I333&gt;0,COUNTIF($AB$13:$AM$13,BM.medicao)&gt;0),O333/$I333*100,0)))</f>
        <v>#NAME?</v>
      </c>
      <c r="M333" s="336">
        <f ca="1">IF($A333="S",VTOTALBM,IF($A333=0,0,ROUND(SomaAgrupBM,15-13*ORÇAMENTO!$AF$11)))</f>
        <v>0</v>
      </c>
      <c r="N333" s="337">
        <f t="shared" ca="1" si="32"/>
        <v>0</v>
      </c>
      <c r="O333" s="126">
        <f ca="1">IF($A333="S",VTOTALBM,IF($A333=0,0,ROUND(SomaAgrupBM,15-13*ORÇAMENTO!$AF$11)))</f>
        <v>0</v>
      </c>
      <c r="Q333" s="338"/>
      <c r="R333" s="339"/>
      <c r="T333" s="118" t="str">
        <f t="shared" ca="1" si="33"/>
        <v/>
      </c>
      <c r="U333" s="164" t="str">
        <f t="shared" ca="1" si="34"/>
        <v/>
      </c>
      <c r="V333" s="165" t="str">
        <f ca="1">IF(AND($W333&gt;0,RegimeExecucao="Unitário"),$F333,"")</f>
        <v/>
      </c>
      <c r="W333" s="455">
        <f ca="1">IF($Y333&gt;0,CHOOSE(MATCH(RegimeExecucao,{"Unitário","Global"},0),IF($A333="S",$Y333/$X333,""),($Y333/$X333)*100),0)</f>
        <v>0</v>
      </c>
      <c r="X333" s="340" t="str">
        <f ca="1">IF($Y333&gt;0,CHOOSE(MATCH(RegimeExecucao,{"Unitário","Global"},0),IF($A333="S",ROUND($H333,ORÇAMENTO!$AF$10),""),ROUND($I333,ORÇAMENTO!$AF$11)),"")</f>
        <v/>
      </c>
      <c r="Y333" s="340">
        <f t="shared" ca="1" si="35"/>
        <v>0</v>
      </c>
      <c r="Z333" s="474"/>
      <c r="AB333" s="338"/>
      <c r="AC333" s="438"/>
      <c r="AD333" s="438"/>
      <c r="AE333" s="438"/>
      <c r="AF333" s="438"/>
      <c r="AG333" s="438"/>
      <c r="AH333" s="438"/>
      <c r="AI333" s="438"/>
      <c r="AJ333" s="438"/>
      <c r="AK333" s="438"/>
      <c r="AL333" s="438"/>
      <c r="AM333" s="339"/>
      <c r="AO333">
        <f ca="1">IF($A333="S",IF(BM!$I333=0,0,CHOOSE(MATCH(RegimeExecucao,{"Global","Unitário"},0),ROUND(ROUND(BM.MEDAcumulado,15-13*BM!$A$9)/100*BM!$I333,15-13*ORÇAMENTO!$AF$11),ROUND(ROUND(BM.MEDAcumulado,15-13*BM!$A$9)*ROUND(BM!$H333,15-13*ORÇAMENTO!$AF$10),15-13*ORÇAMENTO!$AF$11))),IF($A333=0,0,ROUND(SomaAgrupBM,15-13*ORÇAMENTO!$AF$11)))</f>
        <v>0</v>
      </c>
    </row>
    <row r="334" spans="1:41" ht="38.25" x14ac:dyDescent="0.2">
      <c r="A334" t="str">
        <f ca="1">ORÇAMENTO!C334</f>
        <v>S</v>
      </c>
      <c r="B334">
        <f ca="1">ORÇAMENTO!D334</f>
        <v>0</v>
      </c>
      <c r="C334" s="115" t="str">
        <f t="shared" ca="1" si="29"/>
        <v/>
      </c>
      <c r="D334" s="118" t="str">
        <f ca="1">ORÇAMENTO!O334</f>
        <v>-</v>
      </c>
      <c r="E334" s="164" t="str">
        <f t="shared" si="30"/>
        <v>PORTA EM ALUMÍNIO DE ABRIR TIPO VENEZIANA COM GUARNIÇÃO, FIXAÇÃO COM PARAFUSOS - FORNECIMENTO E INSTALAÇÃO. AF_12/2019</v>
      </c>
      <c r="F334" s="165" t="str">
        <f ca="1">IF(RegimeExecucao="Global","",ORÇAMENTO.Unidade)</f>
        <v>M2</v>
      </c>
      <c r="G334" s="123">
        <f ca="1">IF(RegimeExecucao="Global","",ORÇAMENTO!T334)</f>
        <v>1.53</v>
      </c>
      <c r="H334" s="123">
        <f ca="1">IF(RegimeExecucao="Global","",ORÇAMENTO!W334)</f>
        <v>0</v>
      </c>
      <c r="I334" s="126">
        <f ca="1">ORÇAMENTO!X334</f>
        <v>0</v>
      </c>
      <c r="J334" s="334" t="e" cm="1">
        <f t="array" aca="1" ref="J334" ca="1">_xlfn.SINGLE(IF($A334="S",IF(CAIXA.Modo,BM.AFAnterior,BM.MEDAnterior),IF(AND(_xlfn.SINGLE(RegimeExecucao)="Global",$I334&gt;0,COUNTIF($AB$13:$AM$13,BM.medicao-1)&gt;0),M334/$I334*100,0)))</f>
        <v>#NAME?</v>
      </c>
      <c r="K334" s="123" t="e">
        <f t="shared" ca="1" si="31"/>
        <v>#NAME?</v>
      </c>
      <c r="L334" s="335" t="e" cm="1">
        <f t="array" aca="1" ref="L334" ca="1">_xlfn.SINGLE(IF($A334="S",IF(CAIXA.Modo,BM.AFAcumulado,BM.MEDAcumulado),IF(AND(_xlfn.SINGLE(RegimeExecucao)="Global",$I334&gt;0,COUNTIF($AB$13:$AM$13,BM.medicao)&gt;0),O334/$I334*100,0)))</f>
        <v>#NAME?</v>
      </c>
      <c r="M334" s="336">
        <f ca="1">IF($A334="S",VTOTALBM,IF($A334=0,0,ROUND(SomaAgrupBM,15-13*ORÇAMENTO!$AF$11)))</f>
        <v>0</v>
      </c>
      <c r="N334" s="337">
        <f t="shared" ca="1" si="32"/>
        <v>0</v>
      </c>
      <c r="O334" s="126">
        <f ca="1">IF($A334="S",VTOTALBM,IF($A334=0,0,ROUND(SomaAgrupBM,15-13*ORÇAMENTO!$AF$11)))</f>
        <v>0</v>
      </c>
      <c r="Q334" s="338"/>
      <c r="R334" s="339"/>
      <c r="T334" s="118" t="str">
        <f t="shared" ca="1" si="33"/>
        <v/>
      </c>
      <c r="U334" s="164" t="str">
        <f t="shared" ca="1" si="34"/>
        <v/>
      </c>
      <c r="V334" s="165" t="str">
        <f ca="1">IF(AND($W334&gt;0,RegimeExecucao="Unitário"),$F334,"")</f>
        <v/>
      </c>
      <c r="W334" s="455">
        <f ca="1">IF($Y334&gt;0,CHOOSE(MATCH(RegimeExecucao,{"Unitário","Global"},0),IF($A334="S",$Y334/$X334,""),($Y334/$X334)*100),0)</f>
        <v>0</v>
      </c>
      <c r="X334" s="340" t="str">
        <f ca="1">IF($Y334&gt;0,CHOOSE(MATCH(RegimeExecucao,{"Unitário","Global"},0),IF($A334="S",ROUND($H334,ORÇAMENTO!$AF$10),""),ROUND($I334,ORÇAMENTO!$AF$11)),"")</f>
        <v/>
      </c>
      <c r="Y334" s="340">
        <f t="shared" ca="1" si="35"/>
        <v>0</v>
      </c>
      <c r="Z334" s="474"/>
      <c r="AB334" s="338"/>
      <c r="AC334" s="438"/>
      <c r="AD334" s="438"/>
      <c r="AE334" s="438"/>
      <c r="AF334" s="438"/>
      <c r="AG334" s="438"/>
      <c r="AH334" s="438"/>
      <c r="AI334" s="438"/>
      <c r="AJ334" s="438"/>
      <c r="AK334" s="438"/>
      <c r="AL334" s="438"/>
      <c r="AM334" s="339"/>
      <c r="AO334">
        <f ca="1">IF($A334="S",IF(BM!$I334=0,0,CHOOSE(MATCH(RegimeExecucao,{"Global","Unitário"},0),ROUND(ROUND(BM.MEDAcumulado,15-13*BM!$A$9)/100*BM!$I334,15-13*ORÇAMENTO!$AF$11),ROUND(ROUND(BM.MEDAcumulado,15-13*BM!$A$9)*ROUND(BM!$H334,15-13*ORÇAMENTO!$AF$10),15-13*ORÇAMENTO!$AF$11))),IF($A334=0,0,ROUND(SomaAgrupBM,15-13*ORÇAMENTO!$AF$11)))</f>
        <v>0</v>
      </c>
    </row>
    <row r="335" spans="1:41" ht="38.25" x14ac:dyDescent="0.2">
      <c r="A335" t="str">
        <f ca="1">ORÇAMENTO!C335</f>
        <v>S</v>
      </c>
      <c r="B335">
        <f ca="1">ORÇAMENTO!D335</f>
        <v>0</v>
      </c>
      <c r="C335" s="115" t="str">
        <f t="shared" ca="1" si="29"/>
        <v/>
      </c>
      <c r="D335" s="118" t="str">
        <f ca="1">ORÇAMENTO!O335</f>
        <v>-</v>
      </c>
      <c r="E335" s="164" t="str">
        <f t="shared" si="30"/>
        <v>PORTA EM ALUMÍNIO DE ABRIR TIPO VENEZIANA COM GUARNIÇÃO, FIXAÇÃO COM PARAFUSOS - FORNECIMENTO E INSTALAÇÃO. AF_12/2019</v>
      </c>
      <c r="F335" s="165" t="str">
        <f ca="1">IF(RegimeExecucao="Global","",ORÇAMENTO.Unidade)</f>
        <v>M2</v>
      </c>
      <c r="G335" s="123">
        <f ca="1">IF(RegimeExecucao="Global","",ORÇAMENTO!T335)</f>
        <v>2.72</v>
      </c>
      <c r="H335" s="123">
        <f ca="1">IF(RegimeExecucao="Global","",ORÇAMENTO!W335)</f>
        <v>0</v>
      </c>
      <c r="I335" s="126">
        <f ca="1">ORÇAMENTO!X335</f>
        <v>0</v>
      </c>
      <c r="J335" s="334" t="e" cm="1">
        <f t="array" aca="1" ref="J335" ca="1">_xlfn.SINGLE(IF($A335="S",IF(CAIXA.Modo,BM.AFAnterior,BM.MEDAnterior),IF(AND(_xlfn.SINGLE(RegimeExecucao)="Global",$I335&gt;0,COUNTIF($AB$13:$AM$13,BM.medicao-1)&gt;0),M335/$I335*100,0)))</f>
        <v>#NAME?</v>
      </c>
      <c r="K335" s="123" t="e">
        <f t="shared" ca="1" si="31"/>
        <v>#NAME?</v>
      </c>
      <c r="L335" s="335" t="e" cm="1">
        <f t="array" aca="1" ref="L335" ca="1">_xlfn.SINGLE(IF($A335="S",IF(CAIXA.Modo,BM.AFAcumulado,BM.MEDAcumulado),IF(AND(_xlfn.SINGLE(RegimeExecucao)="Global",$I335&gt;0,COUNTIF($AB$13:$AM$13,BM.medicao)&gt;0),O335/$I335*100,0)))</f>
        <v>#NAME?</v>
      </c>
      <c r="M335" s="336">
        <f ca="1">IF($A335="S",VTOTALBM,IF($A335=0,0,ROUND(SomaAgrupBM,15-13*ORÇAMENTO!$AF$11)))</f>
        <v>0</v>
      </c>
      <c r="N335" s="337">
        <f t="shared" ca="1" si="32"/>
        <v>0</v>
      </c>
      <c r="O335" s="126">
        <f ca="1">IF($A335="S",VTOTALBM,IF($A335=0,0,ROUND(SomaAgrupBM,15-13*ORÇAMENTO!$AF$11)))</f>
        <v>0</v>
      </c>
      <c r="Q335" s="338"/>
      <c r="R335" s="339"/>
      <c r="T335" s="118" t="str">
        <f t="shared" ca="1" si="33"/>
        <v/>
      </c>
      <c r="U335" s="164" t="str">
        <f t="shared" ca="1" si="34"/>
        <v/>
      </c>
      <c r="V335" s="165" t="str">
        <f ca="1">IF(AND($W335&gt;0,RegimeExecucao="Unitário"),$F335,"")</f>
        <v/>
      </c>
      <c r="W335" s="455">
        <f ca="1">IF($Y335&gt;0,CHOOSE(MATCH(RegimeExecucao,{"Unitário","Global"},0),IF($A335="S",$Y335/$X335,""),($Y335/$X335)*100),0)</f>
        <v>0</v>
      </c>
      <c r="X335" s="340" t="str">
        <f ca="1">IF($Y335&gt;0,CHOOSE(MATCH(RegimeExecucao,{"Unitário","Global"},0),IF($A335="S",ROUND($H335,ORÇAMENTO!$AF$10),""),ROUND($I335,ORÇAMENTO!$AF$11)),"")</f>
        <v/>
      </c>
      <c r="Y335" s="340">
        <f t="shared" ca="1" si="35"/>
        <v>0</v>
      </c>
      <c r="Z335" s="474"/>
      <c r="AB335" s="338"/>
      <c r="AC335" s="438"/>
      <c r="AD335" s="438"/>
      <c r="AE335" s="438"/>
      <c r="AF335" s="438"/>
      <c r="AG335" s="438"/>
      <c r="AH335" s="438"/>
      <c r="AI335" s="438"/>
      <c r="AJ335" s="438"/>
      <c r="AK335" s="438"/>
      <c r="AL335" s="438"/>
      <c r="AM335" s="339"/>
      <c r="AO335">
        <f ca="1">IF($A335="S",IF(BM!$I335=0,0,CHOOSE(MATCH(RegimeExecucao,{"Global","Unitário"},0),ROUND(ROUND(BM.MEDAcumulado,15-13*BM!$A$9)/100*BM!$I335,15-13*ORÇAMENTO!$AF$11),ROUND(ROUND(BM.MEDAcumulado,15-13*BM!$A$9)*ROUND(BM!$H335,15-13*ORÇAMENTO!$AF$10),15-13*ORÇAMENTO!$AF$11))),IF($A335=0,0,ROUND(SomaAgrupBM,15-13*ORÇAMENTO!$AF$11)))</f>
        <v>0</v>
      </c>
    </row>
    <row r="336" spans="1:41" ht="38.25" x14ac:dyDescent="0.2">
      <c r="A336" t="str">
        <f ca="1">ORÇAMENTO!C336</f>
        <v>S</v>
      </c>
      <c r="B336">
        <f ca="1">ORÇAMENTO!D336</f>
        <v>0</v>
      </c>
      <c r="C336" s="115" t="str">
        <f t="shared" ref="C336:C399" ca="1" si="36">IF(OR($I336&gt;0,$A336=1,$A336=2,$A336=3,$A336=4),"F","")</f>
        <v/>
      </c>
      <c r="D336" s="118" t="str">
        <f ca="1">ORÇAMENTO!O336</f>
        <v>-</v>
      </c>
      <c r="E336" s="164" t="str">
        <f t="shared" ref="E336:E404" si="37">ORÇAMENTO.Descricao</f>
        <v xml:space="preserve">PORTAO DE ABRIR / GIRO, EM GRADIL DE METALON REDONDO DE 3/4" VERTICAL, COM REQUADRO, ACABAMENTO NATURAL - COMPLETO                                                                                                                                        </v>
      </c>
      <c r="F336" s="165" t="str">
        <f ca="1">IF(RegimeExecucao="Global","",ORÇAMENTO.Unidade)</f>
        <v xml:space="preserve">M2    </v>
      </c>
      <c r="G336" s="123">
        <f ca="1">IF(RegimeExecucao="Global","",ORÇAMENTO!T336)</f>
        <v>2.0699999999999998</v>
      </c>
      <c r="H336" s="123">
        <f ca="1">IF(RegimeExecucao="Global","",ORÇAMENTO!W336)</f>
        <v>0</v>
      </c>
      <c r="I336" s="126">
        <f ca="1">ORÇAMENTO!X336</f>
        <v>0</v>
      </c>
      <c r="J336" s="334" t="e" cm="1">
        <f t="array" aca="1" ref="J336" ca="1">_xlfn.SINGLE(IF($A336="S",IF(CAIXA.Modo,BM.AFAnterior,BM.MEDAnterior),IF(AND(_xlfn.SINGLE(RegimeExecucao)="Global",$I336&gt;0,COUNTIF($AB$13:$AM$13,BM.medicao-1)&gt;0),M336/$I336*100,0)))</f>
        <v>#NAME?</v>
      </c>
      <c r="K336" s="123" t="e">
        <f t="shared" ref="K336:K399" ca="1" si="38">L336-J336</f>
        <v>#NAME?</v>
      </c>
      <c r="L336" s="335" t="e" cm="1">
        <f t="array" aca="1" ref="L336" ca="1">_xlfn.SINGLE(IF($A336="S",IF(CAIXA.Modo,BM.AFAcumulado,BM.MEDAcumulado),IF(AND(_xlfn.SINGLE(RegimeExecucao)="Global",$I336&gt;0,COUNTIF($AB$13:$AM$13,BM.medicao)&gt;0),O336/$I336*100,0)))</f>
        <v>#NAME?</v>
      </c>
      <c r="M336" s="336">
        <f ca="1">IF($A336="S",VTOTALBM,IF($A336=0,0,ROUND(SomaAgrupBM,15-13*ORÇAMENTO!$AF$11)))</f>
        <v>0</v>
      </c>
      <c r="N336" s="337">
        <f t="shared" ref="N336:N399" ca="1" si="39">O336-M336</f>
        <v>0</v>
      </c>
      <c r="O336" s="126">
        <f ca="1">IF($A336="S",VTOTALBM,IF($A336=0,0,ROUND(SomaAgrupBM,15-13*ORÇAMENTO!$AF$11)))</f>
        <v>0</v>
      </c>
      <c r="Q336" s="338"/>
      <c r="R336" s="339"/>
      <c r="T336" s="118" t="str">
        <f t="shared" ref="T336:T399" ca="1" si="40">IF($W336&gt;0,$D336,"")</f>
        <v/>
      </c>
      <c r="U336" s="164" t="str">
        <f t="shared" ref="U336:U399" ca="1" si="41">IF($W336&gt;0,$E336,"")</f>
        <v/>
      </c>
      <c r="V336" s="165" t="str">
        <f ca="1">IF(AND($W336&gt;0,RegimeExecucao="Unitário"),$F336,"")</f>
        <v/>
      </c>
      <c r="W336" s="455">
        <f ca="1">IF($Y336&gt;0,CHOOSE(MATCH(RegimeExecucao,{"Unitário","Global"},0),IF($A336="S",$Y336/$X336,""),($Y336/$X336)*100),0)</f>
        <v>0</v>
      </c>
      <c r="X336" s="340" t="str">
        <f ca="1">IF($Y336&gt;0,CHOOSE(MATCH(RegimeExecucao,{"Unitário","Global"},0),IF($A336="S",ROUND($H336,ORÇAMENTO!$AF$10),""),ROUND($I336,ORÇAMENTO!$AF$11)),"")</f>
        <v/>
      </c>
      <c r="Y336" s="340">
        <f t="shared" ref="Y336:Y399" ca="1" si="42">AO336-O336</f>
        <v>0</v>
      </c>
      <c r="Z336" s="474"/>
      <c r="AB336" s="338"/>
      <c r="AC336" s="438"/>
      <c r="AD336" s="438"/>
      <c r="AE336" s="438"/>
      <c r="AF336" s="438"/>
      <c r="AG336" s="438"/>
      <c r="AH336" s="438"/>
      <c r="AI336" s="438"/>
      <c r="AJ336" s="438"/>
      <c r="AK336" s="438"/>
      <c r="AL336" s="438"/>
      <c r="AM336" s="339"/>
      <c r="AO336">
        <f ca="1">IF($A336="S",IF(BM!$I336=0,0,CHOOSE(MATCH(RegimeExecucao,{"Global","Unitário"},0),ROUND(ROUND(BM.MEDAcumulado,15-13*BM!$A$9)/100*BM!$I336,15-13*ORÇAMENTO!$AF$11),ROUND(ROUND(BM.MEDAcumulado,15-13*BM!$A$9)*ROUND(BM!$H336,15-13*ORÇAMENTO!$AF$10),15-13*ORÇAMENTO!$AF$11))),IF($A336=0,0,ROUND(SomaAgrupBM,15-13*ORÇAMENTO!$AF$11)))</f>
        <v>0</v>
      </c>
    </row>
    <row r="337" spans="1:41" ht="38.25" x14ac:dyDescent="0.2">
      <c r="A337" t="str">
        <f ca="1">ORÇAMENTO!C337</f>
        <v>S</v>
      </c>
      <c r="B337">
        <f ca="1">ORÇAMENTO!D337</f>
        <v>0</v>
      </c>
      <c r="C337" s="115" t="str">
        <f t="shared" ca="1" si="36"/>
        <v/>
      </c>
      <c r="D337" s="118" t="str">
        <f ca="1">ORÇAMENTO!O337</f>
        <v>-</v>
      </c>
      <c r="E337" s="164" t="str">
        <f t="shared" si="37"/>
        <v xml:space="preserve">CHAPA DE ACO CARBONO GALVANIZADA, PERFURADA (GRADE FUROS) E = 1,5 MM, DIAMETRO DO FURO = 9,52 MM (FUROS ALTERNADOS HORIZ.)                                                                                                                                </v>
      </c>
      <c r="F337" s="165" t="str">
        <f ca="1">IF(RegimeExecucao="Global","",ORÇAMENTO.Unidade)</f>
        <v xml:space="preserve">KG    </v>
      </c>
      <c r="G337" s="123">
        <f ca="1">IF(RegimeExecucao="Global","",ORÇAMENTO!T337)</f>
        <v>320</v>
      </c>
      <c r="H337" s="123">
        <f ca="1">IF(RegimeExecucao="Global","",ORÇAMENTO!W337)</f>
        <v>0</v>
      </c>
      <c r="I337" s="126">
        <f ca="1">ORÇAMENTO!X337</f>
        <v>0</v>
      </c>
      <c r="J337" s="334" t="e" cm="1">
        <f t="array" aca="1" ref="J337" ca="1">_xlfn.SINGLE(IF($A337="S",IF(CAIXA.Modo,BM.AFAnterior,BM.MEDAnterior),IF(AND(_xlfn.SINGLE(RegimeExecucao)="Global",$I337&gt;0,COUNTIF($AB$13:$AM$13,BM.medicao-1)&gt;0),M337/$I337*100,0)))</f>
        <v>#NAME?</v>
      </c>
      <c r="K337" s="123" t="e">
        <f t="shared" ca="1" si="38"/>
        <v>#NAME?</v>
      </c>
      <c r="L337" s="335" t="e" cm="1">
        <f t="array" aca="1" ref="L337" ca="1">_xlfn.SINGLE(IF($A337="S",IF(CAIXA.Modo,BM.AFAcumulado,BM.MEDAcumulado),IF(AND(_xlfn.SINGLE(RegimeExecucao)="Global",$I337&gt;0,COUNTIF($AB$13:$AM$13,BM.medicao)&gt;0),O337/$I337*100,0)))</f>
        <v>#NAME?</v>
      </c>
      <c r="M337" s="336">
        <f ca="1">IF($A337="S",VTOTALBM,IF($A337=0,0,ROUND(SomaAgrupBM,15-13*ORÇAMENTO!$AF$11)))</f>
        <v>0</v>
      </c>
      <c r="N337" s="337">
        <f t="shared" ca="1" si="39"/>
        <v>0</v>
      </c>
      <c r="O337" s="126">
        <f ca="1">IF($A337="S",VTOTALBM,IF($A337=0,0,ROUND(SomaAgrupBM,15-13*ORÇAMENTO!$AF$11)))</f>
        <v>0</v>
      </c>
      <c r="Q337" s="338"/>
      <c r="R337" s="339"/>
      <c r="T337" s="118" t="str">
        <f t="shared" ca="1" si="40"/>
        <v/>
      </c>
      <c r="U337" s="164" t="str">
        <f t="shared" ca="1" si="41"/>
        <v/>
      </c>
      <c r="V337" s="165" t="str">
        <f ca="1">IF(AND($W337&gt;0,RegimeExecucao="Unitário"),$F337,"")</f>
        <v/>
      </c>
      <c r="W337" s="455">
        <f ca="1">IF($Y337&gt;0,CHOOSE(MATCH(RegimeExecucao,{"Unitário","Global"},0),IF($A337="S",$Y337/$X337,""),($Y337/$X337)*100),0)</f>
        <v>0</v>
      </c>
      <c r="X337" s="340" t="str">
        <f ca="1">IF($Y337&gt;0,CHOOSE(MATCH(RegimeExecucao,{"Unitário","Global"},0),IF($A337="S",ROUND($H337,ORÇAMENTO!$AF$10),""),ROUND($I337,ORÇAMENTO!$AF$11)),"")</f>
        <v/>
      </c>
      <c r="Y337" s="340">
        <f t="shared" ca="1" si="42"/>
        <v>0</v>
      </c>
      <c r="Z337" s="474"/>
      <c r="AB337" s="338"/>
      <c r="AC337" s="438"/>
      <c r="AD337" s="438"/>
      <c r="AE337" s="438"/>
      <c r="AF337" s="438"/>
      <c r="AG337" s="438"/>
      <c r="AH337" s="438"/>
      <c r="AI337" s="438"/>
      <c r="AJ337" s="438"/>
      <c r="AK337" s="438"/>
      <c r="AL337" s="438"/>
      <c r="AM337" s="339"/>
      <c r="AO337">
        <f ca="1">IF($A337="S",IF(BM!$I337=0,0,CHOOSE(MATCH(RegimeExecucao,{"Global","Unitário"},0),ROUND(ROUND(BM.MEDAcumulado,15-13*BM!$A$9)/100*BM!$I337,15-13*ORÇAMENTO!$AF$11),ROUND(ROUND(BM.MEDAcumulado,15-13*BM!$A$9)*ROUND(BM!$H337,15-13*ORÇAMENTO!$AF$10),15-13*ORÇAMENTO!$AF$11))),IF($A337=0,0,ROUND(SomaAgrupBM,15-13*ORÇAMENTO!$AF$11)))</f>
        <v>0</v>
      </c>
    </row>
    <row r="338" spans="1:41" ht="38.25" x14ac:dyDescent="0.2">
      <c r="A338" t="str">
        <f ca="1">ORÇAMENTO!C338</f>
        <v>S</v>
      </c>
      <c r="B338">
        <f ca="1">ORÇAMENTO!D338</f>
        <v>0</v>
      </c>
      <c r="C338" s="115" t="str">
        <f t="shared" ca="1" si="36"/>
        <v/>
      </c>
      <c r="D338" s="118" t="str">
        <f ca="1">ORÇAMENTO!O338</f>
        <v>-</v>
      </c>
      <c r="E338" s="164" t="str">
        <f t="shared" si="37"/>
        <v>PINTURA COM TINTA ALQUÍDICA DE FUNDO (TIPO ZARCÃO) PULVERIZADA SOBRE SUPERFÍCIES METÁLICAS (EXCETO PERFIL) EXECUTADO EM OBRA (POR DEMÃO). AF_01/2020_PE</v>
      </c>
      <c r="F338" s="165" t="str">
        <f ca="1">IF(RegimeExecucao="Global","",ORÇAMENTO.Unidade)</f>
        <v>M2</v>
      </c>
      <c r="G338" s="123">
        <f ca="1">IF(RegimeExecucao="Global","",ORÇAMENTO!T338)</f>
        <v>84</v>
      </c>
      <c r="H338" s="123">
        <f ca="1">IF(RegimeExecucao="Global","",ORÇAMENTO!W338)</f>
        <v>0</v>
      </c>
      <c r="I338" s="126">
        <f ca="1">ORÇAMENTO!X338</f>
        <v>0</v>
      </c>
      <c r="J338" s="334" t="e" cm="1">
        <f t="array" aca="1" ref="J338" ca="1">_xlfn.SINGLE(IF($A338="S",IF(CAIXA.Modo,BM.AFAnterior,BM.MEDAnterior),IF(AND(_xlfn.SINGLE(RegimeExecucao)="Global",$I338&gt;0,COUNTIF($AB$13:$AM$13,BM.medicao-1)&gt;0),M338/$I338*100,0)))</f>
        <v>#NAME?</v>
      </c>
      <c r="K338" s="123" t="e">
        <f t="shared" ca="1" si="38"/>
        <v>#NAME?</v>
      </c>
      <c r="L338" s="335" t="e" cm="1">
        <f t="array" aca="1" ref="L338" ca="1">_xlfn.SINGLE(IF($A338="S",IF(CAIXA.Modo,BM.AFAcumulado,BM.MEDAcumulado),IF(AND(_xlfn.SINGLE(RegimeExecucao)="Global",$I338&gt;0,COUNTIF($AB$13:$AM$13,BM.medicao)&gt;0),O338/$I338*100,0)))</f>
        <v>#NAME?</v>
      </c>
      <c r="M338" s="336">
        <f ca="1">IF($A338="S",VTOTALBM,IF($A338=0,0,ROUND(SomaAgrupBM,15-13*ORÇAMENTO!$AF$11)))</f>
        <v>0</v>
      </c>
      <c r="N338" s="337">
        <f t="shared" ca="1" si="39"/>
        <v>0</v>
      </c>
      <c r="O338" s="126">
        <f ca="1">IF($A338="S",VTOTALBM,IF($A338=0,0,ROUND(SomaAgrupBM,15-13*ORÇAMENTO!$AF$11)))</f>
        <v>0</v>
      </c>
      <c r="Q338" s="338"/>
      <c r="R338" s="339"/>
      <c r="T338" s="118" t="str">
        <f t="shared" ca="1" si="40"/>
        <v/>
      </c>
      <c r="U338" s="164" t="str">
        <f t="shared" ca="1" si="41"/>
        <v/>
      </c>
      <c r="V338" s="165" t="str">
        <f ca="1">IF(AND($W338&gt;0,RegimeExecucao="Unitário"),$F338,"")</f>
        <v/>
      </c>
      <c r="W338" s="455">
        <f ca="1">IF($Y338&gt;0,CHOOSE(MATCH(RegimeExecucao,{"Unitário","Global"},0),IF($A338="S",$Y338/$X338,""),($Y338/$X338)*100),0)</f>
        <v>0</v>
      </c>
      <c r="X338" s="340" t="str">
        <f ca="1">IF($Y338&gt;0,CHOOSE(MATCH(RegimeExecucao,{"Unitário","Global"},0),IF($A338="S",ROUND($H338,ORÇAMENTO!$AF$10),""),ROUND($I338,ORÇAMENTO!$AF$11)),"")</f>
        <v/>
      </c>
      <c r="Y338" s="340">
        <f t="shared" ca="1" si="42"/>
        <v>0</v>
      </c>
      <c r="Z338" s="474"/>
      <c r="AB338" s="338"/>
      <c r="AC338" s="438"/>
      <c r="AD338" s="438"/>
      <c r="AE338" s="438"/>
      <c r="AF338" s="438"/>
      <c r="AG338" s="438"/>
      <c r="AH338" s="438"/>
      <c r="AI338" s="438"/>
      <c r="AJ338" s="438"/>
      <c r="AK338" s="438"/>
      <c r="AL338" s="438"/>
      <c r="AM338" s="339"/>
      <c r="AO338">
        <f ca="1">IF($A338="S",IF(BM!$I338=0,0,CHOOSE(MATCH(RegimeExecucao,{"Global","Unitário"},0),ROUND(ROUND(BM.MEDAcumulado,15-13*BM!$A$9)/100*BM!$I338,15-13*ORÇAMENTO!$AF$11),ROUND(ROUND(BM.MEDAcumulado,15-13*BM!$A$9)*ROUND(BM!$H338,15-13*ORÇAMENTO!$AF$10),15-13*ORÇAMENTO!$AF$11))),IF($A338=0,0,ROUND(SomaAgrupBM,15-13*ORÇAMENTO!$AF$11)))</f>
        <v>0</v>
      </c>
    </row>
    <row r="339" spans="1:41" ht="38.25" x14ac:dyDescent="0.2">
      <c r="A339" t="str">
        <f ca="1">ORÇAMENTO!C339</f>
        <v>S</v>
      </c>
      <c r="B339">
        <f ca="1">ORÇAMENTO!D339</f>
        <v>0</v>
      </c>
      <c r="C339" s="115" t="str">
        <f t="shared" ca="1" si="36"/>
        <v/>
      </c>
      <c r="D339" s="118" t="str">
        <f ca="1">ORÇAMENTO!O339</f>
        <v>-</v>
      </c>
      <c r="E339" s="164" t="str">
        <f t="shared" si="37"/>
        <v>PINTURA COM TINTA ACRÍLICA DE ACABAMENTO PULVERIZADA SOBRE SUPERFÍCIES METÁLICAS (EXCETO PERFIL) EXECUTADO EM OBRA (02 DEMÃOS). AF_01/2020_PE</v>
      </c>
      <c r="F339" s="165" t="str">
        <f ca="1">IF(RegimeExecucao="Global","",ORÇAMENTO.Unidade)</f>
        <v>M2</v>
      </c>
      <c r="G339" s="123">
        <f ca="1">IF(RegimeExecucao="Global","",ORÇAMENTO!T339)</f>
        <v>84</v>
      </c>
      <c r="H339" s="123">
        <f ca="1">IF(RegimeExecucao="Global","",ORÇAMENTO!W339)</f>
        <v>0</v>
      </c>
      <c r="I339" s="126">
        <f ca="1">ORÇAMENTO!X339</f>
        <v>0</v>
      </c>
      <c r="J339" s="334" t="e" cm="1">
        <f t="array" aca="1" ref="J339" ca="1">_xlfn.SINGLE(IF($A339="S",IF(CAIXA.Modo,BM.AFAnterior,BM.MEDAnterior),IF(AND(_xlfn.SINGLE(RegimeExecucao)="Global",$I339&gt;0,COUNTIF($AB$13:$AM$13,BM.medicao-1)&gt;0),M339/$I339*100,0)))</f>
        <v>#NAME?</v>
      </c>
      <c r="K339" s="123" t="e">
        <f t="shared" ca="1" si="38"/>
        <v>#NAME?</v>
      </c>
      <c r="L339" s="335" t="e" cm="1">
        <f t="array" aca="1" ref="L339" ca="1">_xlfn.SINGLE(IF($A339="S",IF(CAIXA.Modo,BM.AFAcumulado,BM.MEDAcumulado),IF(AND(_xlfn.SINGLE(RegimeExecucao)="Global",$I339&gt;0,COUNTIF($AB$13:$AM$13,BM.medicao)&gt;0),O339/$I339*100,0)))</f>
        <v>#NAME?</v>
      </c>
      <c r="M339" s="336">
        <f ca="1">IF($A339="S",VTOTALBM,IF($A339=0,0,ROUND(SomaAgrupBM,15-13*ORÇAMENTO!$AF$11)))</f>
        <v>0</v>
      </c>
      <c r="N339" s="337">
        <f t="shared" ca="1" si="39"/>
        <v>0</v>
      </c>
      <c r="O339" s="126">
        <f ca="1">IF($A339="S",VTOTALBM,IF($A339=0,0,ROUND(SomaAgrupBM,15-13*ORÇAMENTO!$AF$11)))</f>
        <v>0</v>
      </c>
      <c r="Q339" s="338"/>
      <c r="R339" s="339"/>
      <c r="T339" s="118" t="str">
        <f t="shared" ca="1" si="40"/>
        <v/>
      </c>
      <c r="U339" s="164" t="str">
        <f t="shared" ca="1" si="41"/>
        <v/>
      </c>
      <c r="V339" s="165" t="str">
        <f ca="1">IF(AND($W339&gt;0,RegimeExecucao="Unitário"),$F339,"")</f>
        <v/>
      </c>
      <c r="W339" s="455">
        <f ca="1">IF($Y339&gt;0,CHOOSE(MATCH(RegimeExecucao,{"Unitário","Global"},0),IF($A339="S",$Y339/$X339,""),($Y339/$X339)*100),0)</f>
        <v>0</v>
      </c>
      <c r="X339" s="340" t="str">
        <f ca="1">IF($Y339&gt;0,CHOOSE(MATCH(RegimeExecucao,{"Unitário","Global"},0),IF($A339="S",ROUND($H339,ORÇAMENTO!$AF$10),""),ROUND($I339,ORÇAMENTO!$AF$11)),"")</f>
        <v/>
      </c>
      <c r="Y339" s="340">
        <f t="shared" ca="1" si="42"/>
        <v>0</v>
      </c>
      <c r="Z339" s="474"/>
      <c r="AB339" s="338"/>
      <c r="AC339" s="438"/>
      <c r="AD339" s="438"/>
      <c r="AE339" s="438"/>
      <c r="AF339" s="438"/>
      <c r="AG339" s="438"/>
      <c r="AH339" s="438"/>
      <c r="AI339" s="438"/>
      <c r="AJ339" s="438"/>
      <c r="AK339" s="438"/>
      <c r="AL339" s="438"/>
      <c r="AM339" s="339"/>
      <c r="AO339">
        <f ca="1">IF($A339="S",IF(BM!$I339=0,0,CHOOSE(MATCH(RegimeExecucao,{"Global","Unitário"},0),ROUND(ROUND(BM.MEDAcumulado,15-13*BM!$A$9)/100*BM!$I339,15-13*ORÇAMENTO!$AF$11),ROUND(ROUND(BM.MEDAcumulado,15-13*BM!$A$9)*ROUND(BM!$H339,15-13*ORÇAMENTO!$AF$10),15-13*ORÇAMENTO!$AF$11))),IF($A339=0,0,ROUND(SomaAgrupBM,15-13*ORÇAMENTO!$AF$11)))</f>
        <v>0</v>
      </c>
    </row>
    <row r="340" spans="1:41" x14ac:dyDescent="0.2">
      <c r="A340" t="str">
        <f ca="1">ORÇAMENTO!C340</f>
        <v>S</v>
      </c>
      <c r="B340">
        <f ca="1">ORÇAMENTO!D340</f>
        <v>0</v>
      </c>
      <c r="C340" s="115" t="str">
        <f t="shared" ca="1" si="36"/>
        <v/>
      </c>
      <c r="D340" s="118" t="str">
        <f ca="1">ORÇAMENTO!O340</f>
        <v>-</v>
      </c>
      <c r="E340" s="164" t="str">
        <f t="shared" si="37"/>
        <v>PEDREIRO COM ENCARGOS COMPLEMENTARES</v>
      </c>
      <c r="F340" s="165" t="str">
        <f ca="1">IF(RegimeExecucao="Global","",ORÇAMENTO.Unidade)</f>
        <v>H</v>
      </c>
      <c r="G340" s="123">
        <f ca="1">IF(RegimeExecucao="Global","",ORÇAMENTO!T340)</f>
        <v>8</v>
      </c>
      <c r="H340" s="123">
        <f ca="1">IF(RegimeExecucao="Global","",ORÇAMENTO!W340)</f>
        <v>0</v>
      </c>
      <c r="I340" s="126">
        <f ca="1">ORÇAMENTO!X340</f>
        <v>0</v>
      </c>
      <c r="J340" s="334" t="e" cm="1">
        <f t="array" aca="1" ref="J340" ca="1">_xlfn.SINGLE(IF($A340="S",IF(CAIXA.Modo,BM.AFAnterior,BM.MEDAnterior),IF(AND(_xlfn.SINGLE(RegimeExecucao)="Global",$I340&gt;0,COUNTIF($AB$13:$AM$13,BM.medicao-1)&gt;0),M340/$I340*100,0)))</f>
        <v>#NAME?</v>
      </c>
      <c r="K340" s="123" t="e">
        <f t="shared" ca="1" si="38"/>
        <v>#NAME?</v>
      </c>
      <c r="L340" s="335" t="e" cm="1">
        <f t="array" aca="1" ref="L340" ca="1">_xlfn.SINGLE(IF($A340="S",IF(CAIXA.Modo,BM.AFAcumulado,BM.MEDAcumulado),IF(AND(_xlfn.SINGLE(RegimeExecucao)="Global",$I340&gt;0,COUNTIF($AB$13:$AM$13,BM.medicao)&gt;0),O340/$I340*100,0)))</f>
        <v>#NAME?</v>
      </c>
      <c r="M340" s="336">
        <f ca="1">IF($A340="S",VTOTALBM,IF($A340=0,0,ROUND(SomaAgrupBM,15-13*ORÇAMENTO!$AF$11)))</f>
        <v>0</v>
      </c>
      <c r="N340" s="337">
        <f t="shared" ca="1" si="39"/>
        <v>0</v>
      </c>
      <c r="O340" s="126">
        <f ca="1">IF($A340="S",VTOTALBM,IF($A340=0,0,ROUND(SomaAgrupBM,15-13*ORÇAMENTO!$AF$11)))</f>
        <v>0</v>
      </c>
      <c r="Q340" s="338"/>
      <c r="R340" s="339"/>
      <c r="T340" s="118" t="str">
        <f t="shared" ca="1" si="40"/>
        <v/>
      </c>
      <c r="U340" s="164" t="str">
        <f t="shared" ca="1" si="41"/>
        <v/>
      </c>
      <c r="V340" s="165" t="str">
        <f ca="1">IF(AND($W340&gt;0,RegimeExecucao="Unitário"),$F340,"")</f>
        <v/>
      </c>
      <c r="W340" s="455">
        <f ca="1">IF($Y340&gt;0,CHOOSE(MATCH(RegimeExecucao,{"Unitário","Global"},0),IF($A340="S",$Y340/$X340,""),($Y340/$X340)*100),0)</f>
        <v>0</v>
      </c>
      <c r="X340" s="340" t="str">
        <f ca="1">IF($Y340&gt;0,CHOOSE(MATCH(RegimeExecucao,{"Unitário","Global"},0),IF($A340="S",ROUND($H340,ORÇAMENTO!$AF$10),""),ROUND($I340,ORÇAMENTO!$AF$11)),"")</f>
        <v/>
      </c>
      <c r="Y340" s="340">
        <f t="shared" ca="1" si="42"/>
        <v>0</v>
      </c>
      <c r="Z340" s="474"/>
      <c r="AB340" s="338"/>
      <c r="AC340" s="438"/>
      <c r="AD340" s="438"/>
      <c r="AE340" s="438"/>
      <c r="AF340" s="438"/>
      <c r="AG340" s="438"/>
      <c r="AH340" s="438"/>
      <c r="AI340" s="438"/>
      <c r="AJ340" s="438"/>
      <c r="AK340" s="438"/>
      <c r="AL340" s="438"/>
      <c r="AM340" s="339"/>
      <c r="AO340">
        <f ca="1">IF($A340="S",IF(BM!$I340=0,0,CHOOSE(MATCH(RegimeExecucao,{"Global","Unitário"},0),ROUND(ROUND(BM.MEDAcumulado,15-13*BM!$A$9)/100*BM!$I340,15-13*ORÇAMENTO!$AF$11),ROUND(ROUND(BM.MEDAcumulado,15-13*BM!$A$9)*ROUND(BM!$H340,15-13*ORÇAMENTO!$AF$10),15-13*ORÇAMENTO!$AF$11))),IF($A340=0,0,ROUND(SomaAgrupBM,15-13*ORÇAMENTO!$AF$11)))</f>
        <v>0</v>
      </c>
    </row>
    <row r="341" spans="1:41" x14ac:dyDescent="0.2">
      <c r="A341" t="str">
        <f ca="1">ORÇAMENTO!C341</f>
        <v>S</v>
      </c>
      <c r="B341">
        <f ca="1">ORÇAMENTO!D341</f>
        <v>0</v>
      </c>
      <c r="C341" s="115" t="str">
        <f t="shared" ca="1" si="36"/>
        <v/>
      </c>
      <c r="D341" s="118" t="str">
        <f ca="1">ORÇAMENTO!O341</f>
        <v>-</v>
      </c>
      <c r="E341" s="164" t="str">
        <f t="shared" si="37"/>
        <v>AJUDANTE DE PEDREIRO COM ENCARGOS COMPLEMENTARES</v>
      </c>
      <c r="F341" s="165" t="str">
        <f ca="1">IF(RegimeExecucao="Global","",ORÇAMENTO.Unidade)</f>
        <v>H</v>
      </c>
      <c r="G341" s="123">
        <f ca="1">IF(RegimeExecucao="Global","",ORÇAMENTO!T341)</f>
        <v>8</v>
      </c>
      <c r="H341" s="123">
        <f ca="1">IF(RegimeExecucao="Global","",ORÇAMENTO!W341)</f>
        <v>0</v>
      </c>
      <c r="I341" s="126">
        <f ca="1">ORÇAMENTO!X341</f>
        <v>0</v>
      </c>
      <c r="J341" s="334" t="e" cm="1">
        <f t="array" aca="1" ref="J341" ca="1">_xlfn.SINGLE(IF($A341="S",IF(CAIXA.Modo,BM.AFAnterior,BM.MEDAnterior),IF(AND(_xlfn.SINGLE(RegimeExecucao)="Global",$I341&gt;0,COUNTIF($AB$13:$AM$13,BM.medicao-1)&gt;0),M341/$I341*100,0)))</f>
        <v>#NAME?</v>
      </c>
      <c r="K341" s="123" t="e">
        <f t="shared" ca="1" si="38"/>
        <v>#NAME?</v>
      </c>
      <c r="L341" s="335" t="e" cm="1">
        <f t="array" aca="1" ref="L341" ca="1">_xlfn.SINGLE(IF($A341="S",IF(CAIXA.Modo,BM.AFAcumulado,BM.MEDAcumulado),IF(AND(_xlfn.SINGLE(RegimeExecucao)="Global",$I341&gt;0,COUNTIF($AB$13:$AM$13,BM.medicao)&gt;0),O341/$I341*100,0)))</f>
        <v>#NAME?</v>
      </c>
      <c r="M341" s="336">
        <f ca="1">IF($A341="S",VTOTALBM,IF($A341=0,0,ROUND(SomaAgrupBM,15-13*ORÇAMENTO!$AF$11)))</f>
        <v>0</v>
      </c>
      <c r="N341" s="337">
        <f t="shared" ca="1" si="39"/>
        <v>0</v>
      </c>
      <c r="O341" s="126">
        <f ca="1">IF($A341="S",VTOTALBM,IF($A341=0,0,ROUND(SomaAgrupBM,15-13*ORÇAMENTO!$AF$11)))</f>
        <v>0</v>
      </c>
      <c r="Q341" s="338"/>
      <c r="R341" s="339"/>
      <c r="T341" s="118" t="str">
        <f t="shared" ca="1" si="40"/>
        <v/>
      </c>
      <c r="U341" s="164" t="str">
        <f t="shared" ca="1" si="41"/>
        <v/>
      </c>
      <c r="V341" s="165" t="str">
        <f ca="1">IF(AND($W341&gt;0,RegimeExecucao="Unitário"),$F341,"")</f>
        <v/>
      </c>
      <c r="W341" s="455">
        <f ca="1">IF($Y341&gt;0,CHOOSE(MATCH(RegimeExecucao,{"Unitário","Global"},0),IF($A341="S",$Y341/$X341,""),($Y341/$X341)*100),0)</f>
        <v>0</v>
      </c>
      <c r="X341" s="340" t="str">
        <f ca="1">IF($Y341&gt;0,CHOOSE(MATCH(RegimeExecucao,{"Unitário","Global"},0),IF($A341="S",ROUND($H341,ORÇAMENTO!$AF$10),""),ROUND($I341,ORÇAMENTO!$AF$11)),"")</f>
        <v/>
      </c>
      <c r="Y341" s="340">
        <f t="shared" ca="1" si="42"/>
        <v>0</v>
      </c>
      <c r="Z341" s="474"/>
      <c r="AB341" s="338"/>
      <c r="AC341" s="438"/>
      <c r="AD341" s="438"/>
      <c r="AE341" s="438"/>
      <c r="AF341" s="438"/>
      <c r="AG341" s="438"/>
      <c r="AH341" s="438"/>
      <c r="AI341" s="438"/>
      <c r="AJ341" s="438"/>
      <c r="AK341" s="438"/>
      <c r="AL341" s="438"/>
      <c r="AM341" s="339"/>
      <c r="AO341">
        <f ca="1">IF($A341="S",IF(BM!$I341=0,0,CHOOSE(MATCH(RegimeExecucao,{"Global","Unitário"},0),ROUND(ROUND(BM.MEDAcumulado,15-13*BM!$A$9)/100*BM!$I341,15-13*ORÇAMENTO!$AF$11),ROUND(ROUND(BM.MEDAcumulado,15-13*BM!$A$9)*ROUND(BM!$H341,15-13*ORÇAMENTO!$AF$10),15-13*ORÇAMENTO!$AF$11))),IF($A341=0,0,ROUND(SomaAgrupBM,15-13*ORÇAMENTO!$AF$11)))</f>
        <v>0</v>
      </c>
    </row>
    <row r="342" spans="1:41" x14ac:dyDescent="0.2">
      <c r="A342">
        <f ca="1">ORÇAMENTO!C342</f>
        <v>2</v>
      </c>
      <c r="B342">
        <f ca="1">ORÇAMENTO!D342</f>
        <v>4</v>
      </c>
      <c r="C342" s="115" t="str">
        <f t="shared" ca="1" si="36"/>
        <v>F</v>
      </c>
      <c r="D342" s="118" t="str">
        <f ca="1">ORÇAMENTO!O342</f>
        <v>1.18.</v>
      </c>
      <c r="E342" s="164" t="str">
        <f t="shared" si="37"/>
        <v>PISOS EXTERNOS</v>
      </c>
      <c r="F342" s="165" t="str">
        <f ca="1">IF(RegimeExecucao="Global","",ORÇAMENTO.Unidade)</f>
        <v>-</v>
      </c>
      <c r="G342" s="123">
        <f ca="1">IF(RegimeExecucao="Global","",ORÇAMENTO!T342)</f>
        <v>0</v>
      </c>
      <c r="H342" s="123">
        <f ca="1">IF(RegimeExecucao="Global","",ORÇAMENTO!W342)</f>
        <v>0</v>
      </c>
      <c r="I342" s="126">
        <f ca="1">ORÇAMENTO!X342</f>
        <v>0</v>
      </c>
      <c r="J342" s="334" t="e" cm="1">
        <f t="array" aca="1" ref="J342" ca="1">_xlfn.SINGLE(IF($A342="S",IF(CAIXA.Modo,BM.AFAnterior,BM.MEDAnterior),IF(AND(_xlfn.SINGLE(RegimeExecucao)="Global",$I342&gt;0,COUNTIF($AB$13:$AM$13,BM.medicao-1)&gt;0),M342/$I342*100,0)))</f>
        <v>#NAME?</v>
      </c>
      <c r="K342" s="123" t="e">
        <f t="shared" ca="1" si="38"/>
        <v>#NAME?</v>
      </c>
      <c r="L342" s="335" t="e" cm="1">
        <f t="array" aca="1" ref="L342" ca="1">_xlfn.SINGLE(IF($A342="S",IF(CAIXA.Modo,BM.AFAcumulado,BM.MEDAcumulado),IF(AND(_xlfn.SINGLE(RegimeExecucao)="Global",$I342&gt;0,COUNTIF($AB$13:$AM$13,BM.medicao)&gt;0),O342/$I342*100,0)))</f>
        <v>#NAME?</v>
      </c>
      <c r="M342" s="336">
        <f ca="1">IF($A342="S",VTOTALBM,IF($A342=0,0,ROUND(SomaAgrupBM,15-13*ORÇAMENTO!$AF$11)))</f>
        <v>0</v>
      </c>
      <c r="N342" s="337">
        <f t="shared" ca="1" si="39"/>
        <v>0</v>
      </c>
      <c r="O342" s="126">
        <f ca="1">IF($A342="S",VTOTALBM,IF($A342=0,0,ROUND(SomaAgrupBM,15-13*ORÇAMENTO!$AF$11)))</f>
        <v>0</v>
      </c>
      <c r="Q342" s="338"/>
      <c r="R342" s="339"/>
      <c r="T342" s="118" t="str">
        <f t="shared" ca="1" si="40"/>
        <v/>
      </c>
      <c r="U342" s="164" t="str">
        <f t="shared" ca="1" si="41"/>
        <v/>
      </c>
      <c r="V342" s="165" t="str">
        <f ca="1">IF(AND($W342&gt;0,RegimeExecucao="Unitário"),$F342,"")</f>
        <v/>
      </c>
      <c r="W342" s="455">
        <f ca="1">IF($Y342&gt;0,CHOOSE(MATCH(RegimeExecucao,{"Unitário","Global"},0),IF($A342="S",$Y342/$X342,""),($Y342/$X342)*100),0)</f>
        <v>0</v>
      </c>
      <c r="X342" s="340" t="str">
        <f ca="1">IF($Y342&gt;0,CHOOSE(MATCH(RegimeExecucao,{"Unitário","Global"},0),IF($A342="S",ROUND($H342,ORÇAMENTO!$AF$10),""),ROUND($I342,ORÇAMENTO!$AF$11)),"")</f>
        <v/>
      </c>
      <c r="Y342" s="340">
        <f t="shared" ca="1" si="42"/>
        <v>0</v>
      </c>
      <c r="Z342" s="474"/>
      <c r="AB342" s="338"/>
      <c r="AC342" s="438"/>
      <c r="AD342" s="438"/>
      <c r="AE342" s="438"/>
      <c r="AF342" s="438"/>
      <c r="AG342" s="438"/>
      <c r="AH342" s="438"/>
      <c r="AI342" s="438"/>
      <c r="AJ342" s="438"/>
      <c r="AK342" s="438"/>
      <c r="AL342" s="438"/>
      <c r="AM342" s="339"/>
      <c r="AO342">
        <f ca="1">IF($A342="S",IF(BM!$I342=0,0,CHOOSE(MATCH(RegimeExecucao,{"Global","Unitário"},0),ROUND(ROUND(BM.MEDAcumulado,15-13*BM!$A$9)/100*BM!$I342,15-13*ORÇAMENTO!$AF$11),ROUND(ROUND(BM.MEDAcumulado,15-13*BM!$A$9)*ROUND(BM!$H342,15-13*ORÇAMENTO!$AF$10),15-13*ORÇAMENTO!$AF$11))),IF($A342=0,0,ROUND(SomaAgrupBM,15-13*ORÇAMENTO!$AF$11)))</f>
        <v>0</v>
      </c>
    </row>
    <row r="343" spans="1:41" ht="38.25" x14ac:dyDescent="0.2">
      <c r="A343" t="str">
        <f ca="1">ORÇAMENTO!C343</f>
        <v>S</v>
      </c>
      <c r="B343">
        <f ca="1">ORÇAMENTO!D343</f>
        <v>0</v>
      </c>
      <c r="C343" s="115" t="str">
        <f t="shared" ca="1" si="36"/>
        <v/>
      </c>
      <c r="D343" s="118" t="str">
        <f ca="1">ORÇAMENTO!O343</f>
        <v>-</v>
      </c>
      <c r="E343" s="164" t="str">
        <f t="shared" si="37"/>
        <v>EXECUÇÃO DE PASSEIO EM PISO INTERTRAVADO, COM BLOCO RETANGULAR COR NATURAL DE 20 X 10 CM, ESPESSURA 6 CM. AF_10/2022</v>
      </c>
      <c r="F343" s="165" t="str">
        <f ca="1">IF(RegimeExecucao="Global","",ORÇAMENTO.Unidade)</f>
        <v>M2</v>
      </c>
      <c r="G343" s="123">
        <f ca="1">IF(RegimeExecucao="Global","",ORÇAMENTO!T343)</f>
        <v>107.83</v>
      </c>
      <c r="H343" s="123">
        <f ca="1">IF(RegimeExecucao="Global","",ORÇAMENTO!W343)</f>
        <v>0</v>
      </c>
      <c r="I343" s="126">
        <f ca="1">ORÇAMENTO!X343</f>
        <v>0</v>
      </c>
      <c r="J343" s="334" t="e" cm="1">
        <f t="array" aca="1" ref="J343" ca="1">_xlfn.SINGLE(IF($A343="S",IF(CAIXA.Modo,BM.AFAnterior,BM.MEDAnterior),IF(AND(_xlfn.SINGLE(RegimeExecucao)="Global",$I343&gt;0,COUNTIF($AB$13:$AM$13,BM.medicao-1)&gt;0),M343/$I343*100,0)))</f>
        <v>#NAME?</v>
      </c>
      <c r="K343" s="123" t="e">
        <f t="shared" ca="1" si="38"/>
        <v>#NAME?</v>
      </c>
      <c r="L343" s="335" t="e" cm="1">
        <f t="array" aca="1" ref="L343" ca="1">_xlfn.SINGLE(IF($A343="S",IF(CAIXA.Modo,BM.AFAcumulado,BM.MEDAcumulado),IF(AND(_xlfn.SINGLE(RegimeExecucao)="Global",$I343&gt;0,COUNTIF($AB$13:$AM$13,BM.medicao)&gt;0),O343/$I343*100,0)))</f>
        <v>#NAME?</v>
      </c>
      <c r="M343" s="336">
        <f ca="1">IF($A343="S",VTOTALBM,IF($A343=0,0,ROUND(SomaAgrupBM,15-13*ORÇAMENTO!$AF$11)))</f>
        <v>0</v>
      </c>
      <c r="N343" s="337">
        <f t="shared" ca="1" si="39"/>
        <v>0</v>
      </c>
      <c r="O343" s="126">
        <f ca="1">IF($A343="S",VTOTALBM,IF($A343=0,0,ROUND(SomaAgrupBM,15-13*ORÇAMENTO!$AF$11)))</f>
        <v>0</v>
      </c>
      <c r="Q343" s="338"/>
      <c r="R343" s="339"/>
      <c r="T343" s="118" t="str">
        <f t="shared" ca="1" si="40"/>
        <v/>
      </c>
      <c r="U343" s="164" t="str">
        <f t="shared" ca="1" si="41"/>
        <v/>
      </c>
      <c r="V343" s="165" t="str">
        <f ca="1">IF(AND($W343&gt;0,RegimeExecucao="Unitário"),$F343,"")</f>
        <v/>
      </c>
      <c r="W343" s="455">
        <f ca="1">IF($Y343&gt;0,CHOOSE(MATCH(RegimeExecucao,{"Unitário","Global"},0),IF($A343="S",$Y343/$X343,""),($Y343/$X343)*100),0)</f>
        <v>0</v>
      </c>
      <c r="X343" s="340" t="str">
        <f ca="1">IF($Y343&gt;0,CHOOSE(MATCH(RegimeExecucao,{"Unitário","Global"},0),IF($A343="S",ROUND($H343,ORÇAMENTO!$AF$10),""),ROUND($I343,ORÇAMENTO!$AF$11)),"")</f>
        <v/>
      </c>
      <c r="Y343" s="340">
        <f t="shared" ca="1" si="42"/>
        <v>0</v>
      </c>
      <c r="Z343" s="474"/>
      <c r="AB343" s="338"/>
      <c r="AC343" s="438"/>
      <c r="AD343" s="438"/>
      <c r="AE343" s="438"/>
      <c r="AF343" s="438"/>
      <c r="AG343" s="438"/>
      <c r="AH343" s="438"/>
      <c r="AI343" s="438"/>
      <c r="AJ343" s="438"/>
      <c r="AK343" s="438"/>
      <c r="AL343" s="438"/>
      <c r="AM343" s="339"/>
      <c r="AO343">
        <f ca="1">IF($A343="S",IF(BM!$I343=0,0,CHOOSE(MATCH(RegimeExecucao,{"Global","Unitário"},0),ROUND(ROUND(BM.MEDAcumulado,15-13*BM!$A$9)/100*BM!$I343,15-13*ORÇAMENTO!$AF$11),ROUND(ROUND(BM.MEDAcumulado,15-13*BM!$A$9)*ROUND(BM!$H343,15-13*ORÇAMENTO!$AF$10),15-13*ORÇAMENTO!$AF$11))),IF($A343=0,0,ROUND(SomaAgrupBM,15-13*ORÇAMENTO!$AF$11)))</f>
        <v>0</v>
      </c>
    </row>
    <row r="344" spans="1:41" ht="38.25" x14ac:dyDescent="0.2">
      <c r="A344" t="str">
        <f ca="1">ORÇAMENTO!C344</f>
        <v>S</v>
      </c>
      <c r="B344">
        <f ca="1">ORÇAMENTO!D344</f>
        <v>0</v>
      </c>
      <c r="C344" s="115" t="str">
        <f t="shared" ca="1" si="36"/>
        <v/>
      </c>
      <c r="D344" s="118" t="str">
        <f ca="1">ORÇAMENTO!O344</f>
        <v>-</v>
      </c>
      <c r="E344" s="164" t="str">
        <f t="shared" si="37"/>
        <v>EXECUÇÃO DE PISO DE CONCRETO, COM ACABAMENTO SUPERFICIAL, ESPESSURA DE 15 CM, FCK = 30 MPA, COM USO DE FORMAS EM MADEIRA SERRADA. AF_09/2021</v>
      </c>
      <c r="F344" s="165" t="str">
        <f ca="1">IF(RegimeExecucao="Global","",ORÇAMENTO.Unidade)</f>
        <v>M2</v>
      </c>
      <c r="G344" s="123">
        <f ca="1">IF(RegimeExecucao="Global","",ORÇAMENTO!T344)</f>
        <v>27.4</v>
      </c>
      <c r="H344" s="123">
        <f ca="1">IF(RegimeExecucao="Global","",ORÇAMENTO!W344)</f>
        <v>0</v>
      </c>
      <c r="I344" s="126">
        <f ca="1">ORÇAMENTO!X344</f>
        <v>0</v>
      </c>
      <c r="J344" s="334" t="e" cm="1">
        <f t="array" aca="1" ref="J344" ca="1">_xlfn.SINGLE(IF($A344="S",IF(CAIXA.Modo,BM.AFAnterior,BM.MEDAnterior),IF(AND(_xlfn.SINGLE(RegimeExecucao)="Global",$I344&gt;0,COUNTIF($AB$13:$AM$13,BM.medicao-1)&gt;0),M344/$I344*100,0)))</f>
        <v>#NAME?</v>
      </c>
      <c r="K344" s="123" t="e">
        <f t="shared" ca="1" si="38"/>
        <v>#NAME?</v>
      </c>
      <c r="L344" s="335" t="e" cm="1">
        <f t="array" aca="1" ref="L344" ca="1">_xlfn.SINGLE(IF($A344="S",IF(CAIXA.Modo,BM.AFAcumulado,BM.MEDAcumulado),IF(AND(_xlfn.SINGLE(RegimeExecucao)="Global",$I344&gt;0,COUNTIF($AB$13:$AM$13,BM.medicao)&gt;0),O344/$I344*100,0)))</f>
        <v>#NAME?</v>
      </c>
      <c r="M344" s="336">
        <f ca="1">IF($A344="S",VTOTALBM,IF($A344=0,0,ROUND(SomaAgrupBM,15-13*ORÇAMENTO!$AF$11)))</f>
        <v>0</v>
      </c>
      <c r="N344" s="337">
        <f t="shared" ca="1" si="39"/>
        <v>0</v>
      </c>
      <c r="O344" s="126">
        <f ca="1">IF($A344="S",VTOTALBM,IF($A344=0,0,ROUND(SomaAgrupBM,15-13*ORÇAMENTO!$AF$11)))</f>
        <v>0</v>
      </c>
      <c r="Q344" s="338"/>
      <c r="R344" s="339"/>
      <c r="T344" s="118" t="str">
        <f t="shared" ca="1" si="40"/>
        <v/>
      </c>
      <c r="U344" s="164" t="str">
        <f t="shared" ca="1" si="41"/>
        <v/>
      </c>
      <c r="V344" s="165" t="str">
        <f ca="1">IF(AND($W344&gt;0,RegimeExecucao="Unitário"),$F344,"")</f>
        <v/>
      </c>
      <c r="W344" s="455">
        <f ca="1">IF($Y344&gt;0,CHOOSE(MATCH(RegimeExecucao,{"Unitário","Global"},0),IF($A344="S",$Y344/$X344,""),($Y344/$X344)*100),0)</f>
        <v>0</v>
      </c>
      <c r="X344" s="340" t="str">
        <f ca="1">IF($Y344&gt;0,CHOOSE(MATCH(RegimeExecucao,{"Unitário","Global"},0),IF($A344="S",ROUND($H344,ORÇAMENTO!$AF$10),""),ROUND($I344,ORÇAMENTO!$AF$11)),"")</f>
        <v/>
      </c>
      <c r="Y344" s="340">
        <f t="shared" ca="1" si="42"/>
        <v>0</v>
      </c>
      <c r="Z344" s="474"/>
      <c r="AB344" s="338"/>
      <c r="AC344" s="438"/>
      <c r="AD344" s="438"/>
      <c r="AE344" s="438"/>
      <c r="AF344" s="438"/>
      <c r="AG344" s="438"/>
      <c r="AH344" s="438"/>
      <c r="AI344" s="438"/>
      <c r="AJ344" s="438"/>
      <c r="AK344" s="438"/>
      <c r="AL344" s="438"/>
      <c r="AM344" s="339"/>
      <c r="AO344">
        <f ca="1">IF($A344="S",IF(BM!$I344=0,0,CHOOSE(MATCH(RegimeExecucao,{"Global","Unitário"},0),ROUND(ROUND(BM.MEDAcumulado,15-13*BM!$A$9)/100*BM!$I344,15-13*ORÇAMENTO!$AF$11),ROUND(ROUND(BM.MEDAcumulado,15-13*BM!$A$9)*ROUND(BM!$H344,15-13*ORÇAMENTO!$AF$10),15-13*ORÇAMENTO!$AF$11))),IF($A344=0,0,ROUND(SomaAgrupBM,15-13*ORÇAMENTO!$AF$11)))</f>
        <v>0</v>
      </c>
    </row>
    <row r="345" spans="1:41" ht="25.5" x14ac:dyDescent="0.2">
      <c r="A345" t="str">
        <f ca="1">ORÇAMENTO!C345</f>
        <v>S</v>
      </c>
      <c r="B345">
        <f ca="1">ORÇAMENTO!D345</f>
        <v>0</v>
      </c>
      <c r="C345" s="115" t="str">
        <f t="shared" ca="1" si="36"/>
        <v/>
      </c>
      <c r="D345" s="118" t="str">
        <f ca="1">ORÇAMENTO!O345</f>
        <v>-</v>
      </c>
      <c r="E345" s="164" t="str">
        <f t="shared" si="37"/>
        <v>ACABAMENTO POLIDO PARA PISO DE CONCRETO ARMADO OU LAJE SOBRE SOLO DE ALTA RESISTÊNCIA. AF_09/2021</v>
      </c>
      <c r="F345" s="165" t="str">
        <f ca="1">IF(RegimeExecucao="Global","",ORÇAMENTO.Unidade)</f>
        <v>M2</v>
      </c>
      <c r="G345" s="123">
        <f ca="1">IF(RegimeExecucao="Global","",ORÇAMENTO!T345)</f>
        <v>27.4</v>
      </c>
      <c r="H345" s="123">
        <f ca="1">IF(RegimeExecucao="Global","",ORÇAMENTO!W345)</f>
        <v>0</v>
      </c>
      <c r="I345" s="126">
        <f ca="1">ORÇAMENTO!X345</f>
        <v>0</v>
      </c>
      <c r="J345" s="334" t="e" cm="1">
        <f t="array" aca="1" ref="J345" ca="1">_xlfn.SINGLE(IF($A345="S",IF(CAIXA.Modo,BM.AFAnterior,BM.MEDAnterior),IF(AND(_xlfn.SINGLE(RegimeExecucao)="Global",$I345&gt;0,COUNTIF($AB$13:$AM$13,BM.medicao-1)&gt;0),M345/$I345*100,0)))</f>
        <v>#NAME?</v>
      </c>
      <c r="K345" s="123" t="e">
        <f t="shared" ca="1" si="38"/>
        <v>#NAME?</v>
      </c>
      <c r="L345" s="335" t="e" cm="1">
        <f t="array" aca="1" ref="L345" ca="1">_xlfn.SINGLE(IF($A345="S",IF(CAIXA.Modo,BM.AFAcumulado,BM.MEDAcumulado),IF(AND(_xlfn.SINGLE(RegimeExecucao)="Global",$I345&gt;0,COUNTIF($AB$13:$AM$13,BM.medicao)&gt;0),O345/$I345*100,0)))</f>
        <v>#NAME?</v>
      </c>
      <c r="M345" s="336">
        <f ca="1">IF($A345="S",VTOTALBM,IF($A345=0,0,ROUND(SomaAgrupBM,15-13*ORÇAMENTO!$AF$11)))</f>
        <v>0</v>
      </c>
      <c r="N345" s="337">
        <f t="shared" ca="1" si="39"/>
        <v>0</v>
      </c>
      <c r="O345" s="126">
        <f ca="1">IF($A345="S",VTOTALBM,IF($A345=0,0,ROUND(SomaAgrupBM,15-13*ORÇAMENTO!$AF$11)))</f>
        <v>0</v>
      </c>
      <c r="Q345" s="338"/>
      <c r="R345" s="339"/>
      <c r="T345" s="118" t="str">
        <f t="shared" ca="1" si="40"/>
        <v/>
      </c>
      <c r="U345" s="164" t="str">
        <f t="shared" ca="1" si="41"/>
        <v/>
      </c>
      <c r="V345" s="165" t="str">
        <f ca="1">IF(AND($W345&gt;0,RegimeExecucao="Unitário"),$F345,"")</f>
        <v/>
      </c>
      <c r="W345" s="455">
        <f ca="1">IF($Y345&gt;0,CHOOSE(MATCH(RegimeExecucao,{"Unitário","Global"},0),IF($A345="S",$Y345/$X345,""),($Y345/$X345)*100),0)</f>
        <v>0</v>
      </c>
      <c r="X345" s="340" t="str">
        <f ca="1">IF($Y345&gt;0,CHOOSE(MATCH(RegimeExecucao,{"Unitário","Global"},0),IF($A345="S",ROUND($H345,ORÇAMENTO!$AF$10),""),ROUND($I345,ORÇAMENTO!$AF$11)),"")</f>
        <v/>
      </c>
      <c r="Y345" s="340">
        <f t="shared" ca="1" si="42"/>
        <v>0</v>
      </c>
      <c r="Z345" s="474"/>
      <c r="AB345" s="338"/>
      <c r="AC345" s="438"/>
      <c r="AD345" s="438"/>
      <c r="AE345" s="438"/>
      <c r="AF345" s="438"/>
      <c r="AG345" s="438"/>
      <c r="AH345" s="438"/>
      <c r="AI345" s="438"/>
      <c r="AJ345" s="438"/>
      <c r="AK345" s="438"/>
      <c r="AL345" s="438"/>
      <c r="AM345" s="339"/>
      <c r="AO345">
        <f ca="1">IF($A345="S",IF(BM!$I345=0,0,CHOOSE(MATCH(RegimeExecucao,{"Global","Unitário"},0),ROUND(ROUND(BM.MEDAcumulado,15-13*BM!$A$9)/100*BM!$I345,15-13*ORÇAMENTO!$AF$11),ROUND(ROUND(BM.MEDAcumulado,15-13*BM!$A$9)*ROUND(BM!$H345,15-13*ORÇAMENTO!$AF$10),15-13*ORÇAMENTO!$AF$11))),IF($A345=0,0,ROUND(SomaAgrupBM,15-13*ORÇAMENTO!$AF$11)))</f>
        <v>0</v>
      </c>
    </row>
    <row r="346" spans="1:41" x14ac:dyDescent="0.2">
      <c r="A346">
        <f ca="1">ORÇAMENTO!C346</f>
        <v>2</v>
      </c>
      <c r="B346">
        <f ca="1">ORÇAMENTO!D346</f>
        <v>24</v>
      </c>
      <c r="C346" s="115" t="str">
        <f t="shared" ca="1" si="36"/>
        <v>F</v>
      </c>
      <c r="D346" s="118" t="str">
        <f ca="1">ORÇAMENTO!O346</f>
        <v>1.19.</v>
      </c>
      <c r="E346" s="164" t="str">
        <f t="shared" si="37"/>
        <v>FECHAMENTOS EXTERNOS</v>
      </c>
      <c r="F346" s="165" t="str">
        <f ca="1">IF(RegimeExecucao="Global","",ORÇAMENTO.Unidade)</f>
        <v>-</v>
      </c>
      <c r="G346" s="123">
        <f ca="1">IF(RegimeExecucao="Global","",ORÇAMENTO!T346)</f>
        <v>0</v>
      </c>
      <c r="H346" s="123">
        <f ca="1">IF(RegimeExecucao="Global","",ORÇAMENTO!W346)</f>
        <v>0</v>
      </c>
      <c r="I346" s="126">
        <f ca="1">ORÇAMENTO!X346</f>
        <v>0</v>
      </c>
      <c r="J346" s="334" t="e" cm="1">
        <f t="array" aca="1" ref="J346" ca="1">_xlfn.SINGLE(IF($A346="S",IF(CAIXA.Modo,BM.AFAnterior,BM.MEDAnterior),IF(AND(_xlfn.SINGLE(RegimeExecucao)="Global",$I346&gt;0,COUNTIF($AB$13:$AM$13,BM.medicao-1)&gt;0),M346/$I346*100,0)))</f>
        <v>#NAME?</v>
      </c>
      <c r="K346" s="123" t="e">
        <f t="shared" ca="1" si="38"/>
        <v>#NAME?</v>
      </c>
      <c r="L346" s="335" t="e" cm="1">
        <f t="array" aca="1" ref="L346" ca="1">_xlfn.SINGLE(IF($A346="S",IF(CAIXA.Modo,BM.AFAcumulado,BM.MEDAcumulado),IF(AND(_xlfn.SINGLE(RegimeExecucao)="Global",$I346&gt;0,COUNTIF($AB$13:$AM$13,BM.medicao)&gt;0),O346/$I346*100,0)))</f>
        <v>#NAME?</v>
      </c>
      <c r="M346" s="336">
        <f ca="1">IF($A346="S",VTOTALBM,IF($A346=0,0,ROUND(SomaAgrupBM,15-13*ORÇAMENTO!$AF$11)))</f>
        <v>0</v>
      </c>
      <c r="N346" s="337">
        <f t="shared" ca="1" si="39"/>
        <v>0</v>
      </c>
      <c r="O346" s="126">
        <f ca="1">IF($A346="S",VTOTALBM,IF($A346=0,0,ROUND(SomaAgrupBM,15-13*ORÇAMENTO!$AF$11)))</f>
        <v>0</v>
      </c>
      <c r="Q346" s="338"/>
      <c r="R346" s="339"/>
      <c r="T346" s="118" t="str">
        <f t="shared" ca="1" si="40"/>
        <v/>
      </c>
      <c r="U346" s="164" t="str">
        <f t="shared" ca="1" si="41"/>
        <v/>
      </c>
      <c r="V346" s="165" t="str">
        <f ca="1">IF(AND($W346&gt;0,RegimeExecucao="Unitário"),$F346,"")</f>
        <v/>
      </c>
      <c r="W346" s="455">
        <f ca="1">IF($Y346&gt;0,CHOOSE(MATCH(RegimeExecucao,{"Unitário","Global"},0),IF($A346="S",$Y346/$X346,""),($Y346/$X346)*100),0)</f>
        <v>0</v>
      </c>
      <c r="X346" s="340" t="str">
        <f ca="1">IF($Y346&gt;0,CHOOSE(MATCH(RegimeExecucao,{"Unitário","Global"},0),IF($A346="S",ROUND($H346,ORÇAMENTO!$AF$10),""),ROUND($I346,ORÇAMENTO!$AF$11)),"")</f>
        <v/>
      </c>
      <c r="Y346" s="340">
        <f t="shared" ca="1" si="42"/>
        <v>0</v>
      </c>
      <c r="Z346" s="474"/>
      <c r="AB346" s="338"/>
      <c r="AC346" s="438"/>
      <c r="AD346" s="438"/>
      <c r="AE346" s="438"/>
      <c r="AF346" s="438"/>
      <c r="AG346" s="438"/>
      <c r="AH346" s="438"/>
      <c r="AI346" s="438"/>
      <c r="AJ346" s="438"/>
      <c r="AK346" s="438"/>
      <c r="AL346" s="438"/>
      <c r="AM346" s="339"/>
      <c r="AO346">
        <f ca="1">IF($A346="S",IF(BM!$I346=0,0,CHOOSE(MATCH(RegimeExecucao,{"Global","Unitário"},0),ROUND(ROUND(BM.MEDAcumulado,15-13*BM!$A$9)/100*BM!$I346,15-13*ORÇAMENTO!$AF$11),ROUND(ROUND(BM.MEDAcumulado,15-13*BM!$A$9)*ROUND(BM!$H346,15-13*ORÇAMENTO!$AF$10),15-13*ORÇAMENTO!$AF$11))),IF($A346=0,0,ROUND(SomaAgrupBM,15-13*ORÇAMENTO!$AF$11)))</f>
        <v>0</v>
      </c>
    </row>
    <row r="347" spans="1:41" ht="63.75" x14ac:dyDescent="0.2">
      <c r="A347" t="str">
        <f ca="1">ORÇAMENTO!C347</f>
        <v>S</v>
      </c>
      <c r="B347">
        <f ca="1">ORÇAMENTO!D347</f>
        <v>0</v>
      </c>
      <c r="C347" s="115" t="str">
        <f t="shared" ca="1" si="36"/>
        <v/>
      </c>
      <c r="D347" s="118" t="str">
        <f ca="1">ORÇAMENTO!O347</f>
        <v>-</v>
      </c>
      <c r="E347" s="164" t="str">
        <f t="shared" si="37"/>
        <v>ESCAVAÇÃO MECANIZADA DE VALA COM PROF. ATÉ 1,5 M (MÉDIA MONTANTE E JUSANTE/UMA COMPOSIÇÃO POR TRECHO), RETROESCAV. (0,26 M3), LARG. MENOR QUE 0,8 M, EM SOLO DE 1A CATEGORIA, EM LOCAIS COM ALTO NÍVEL DE INTERFERÊNCIA. AF_09/2024</v>
      </c>
      <c r="F347" s="165" t="str">
        <f ca="1">IF(RegimeExecucao="Global","",ORÇAMENTO.Unidade)</f>
        <v>M3</v>
      </c>
      <c r="G347" s="123">
        <f ca="1">IF(RegimeExecucao="Global","",ORÇAMENTO!T347)</f>
        <v>115</v>
      </c>
      <c r="H347" s="123">
        <f ca="1">IF(RegimeExecucao="Global","",ORÇAMENTO!W347)</f>
        <v>0</v>
      </c>
      <c r="I347" s="126">
        <f ca="1">ORÇAMENTO!X347</f>
        <v>0</v>
      </c>
      <c r="J347" s="334" t="e" cm="1">
        <f t="array" aca="1" ref="J347" ca="1">_xlfn.SINGLE(IF($A347="S",IF(CAIXA.Modo,BM.AFAnterior,BM.MEDAnterior),IF(AND(_xlfn.SINGLE(RegimeExecucao)="Global",$I347&gt;0,COUNTIF($AB$13:$AM$13,BM.medicao-1)&gt;0),M347/$I347*100,0)))</f>
        <v>#NAME?</v>
      </c>
      <c r="K347" s="123" t="e">
        <f t="shared" ca="1" si="38"/>
        <v>#NAME?</v>
      </c>
      <c r="L347" s="335" t="e" cm="1">
        <f t="array" aca="1" ref="L347" ca="1">_xlfn.SINGLE(IF($A347="S",IF(CAIXA.Modo,BM.AFAcumulado,BM.MEDAcumulado),IF(AND(_xlfn.SINGLE(RegimeExecucao)="Global",$I347&gt;0,COUNTIF($AB$13:$AM$13,BM.medicao)&gt;0),O347/$I347*100,0)))</f>
        <v>#NAME?</v>
      </c>
      <c r="M347" s="336">
        <f ca="1">IF($A347="S",VTOTALBM,IF($A347=0,0,ROUND(SomaAgrupBM,15-13*ORÇAMENTO!$AF$11)))</f>
        <v>0</v>
      </c>
      <c r="N347" s="337">
        <f t="shared" ca="1" si="39"/>
        <v>0</v>
      </c>
      <c r="O347" s="126">
        <f ca="1">IF($A347="S",VTOTALBM,IF($A347=0,0,ROUND(SomaAgrupBM,15-13*ORÇAMENTO!$AF$11)))</f>
        <v>0</v>
      </c>
      <c r="Q347" s="338"/>
      <c r="R347" s="339"/>
      <c r="T347" s="118" t="str">
        <f t="shared" ca="1" si="40"/>
        <v/>
      </c>
      <c r="U347" s="164" t="str">
        <f t="shared" ca="1" si="41"/>
        <v/>
      </c>
      <c r="V347" s="165" t="str">
        <f ca="1">IF(AND($W347&gt;0,RegimeExecucao="Unitário"),$F347,"")</f>
        <v/>
      </c>
      <c r="W347" s="455">
        <f ca="1">IF($Y347&gt;0,CHOOSE(MATCH(RegimeExecucao,{"Unitário","Global"},0),IF($A347="S",$Y347/$X347,""),($Y347/$X347)*100),0)</f>
        <v>0</v>
      </c>
      <c r="X347" s="340" t="str">
        <f ca="1">IF($Y347&gt;0,CHOOSE(MATCH(RegimeExecucao,{"Unitário","Global"},0),IF($A347="S",ROUND($H347,ORÇAMENTO!$AF$10),""),ROUND($I347,ORÇAMENTO!$AF$11)),"")</f>
        <v/>
      </c>
      <c r="Y347" s="340">
        <f t="shared" ca="1" si="42"/>
        <v>0</v>
      </c>
      <c r="Z347" s="474"/>
      <c r="AB347" s="338"/>
      <c r="AC347" s="438"/>
      <c r="AD347" s="438"/>
      <c r="AE347" s="438"/>
      <c r="AF347" s="438"/>
      <c r="AG347" s="438"/>
      <c r="AH347" s="438"/>
      <c r="AI347" s="438"/>
      <c r="AJ347" s="438"/>
      <c r="AK347" s="438"/>
      <c r="AL347" s="438"/>
      <c r="AM347" s="339"/>
      <c r="AO347">
        <f ca="1">IF($A347="S",IF(BM!$I347=0,0,CHOOSE(MATCH(RegimeExecucao,{"Global","Unitário"},0),ROUND(ROUND(BM.MEDAcumulado,15-13*BM!$A$9)/100*BM!$I347,15-13*ORÇAMENTO!$AF$11),ROUND(ROUND(BM.MEDAcumulado,15-13*BM!$A$9)*ROUND(BM!$H347,15-13*ORÇAMENTO!$AF$10),15-13*ORÇAMENTO!$AF$11))),IF($A347=0,0,ROUND(SomaAgrupBM,15-13*ORÇAMENTO!$AF$11)))</f>
        <v>0</v>
      </c>
    </row>
    <row r="348" spans="1:41" ht="25.5" x14ac:dyDescent="0.2">
      <c r="A348" t="str">
        <f ca="1">ORÇAMENTO!C348</f>
        <v>S</v>
      </c>
      <c r="B348">
        <f ca="1">ORÇAMENTO!D348</f>
        <v>0</v>
      </c>
      <c r="C348" s="115" t="str">
        <f t="shared" ca="1" si="36"/>
        <v/>
      </c>
      <c r="D348" s="118" t="str">
        <f ca="1">ORÇAMENTO!O348</f>
        <v>-</v>
      </c>
      <c r="E348" s="164" t="str">
        <f t="shared" si="37"/>
        <v>PREPARO DE FUNDO DE VALA COM LARGURA MENOR QUE 1,5 M (ACERTO DO SOLO NATURAL). AF_08/2020</v>
      </c>
      <c r="F348" s="165" t="str">
        <f ca="1">IF(RegimeExecucao="Global","",ORÇAMENTO.Unidade)</f>
        <v>M2</v>
      </c>
      <c r="G348" s="123">
        <f ca="1">IF(RegimeExecucao="Global","",ORÇAMENTO!T348)</f>
        <v>55</v>
      </c>
      <c r="H348" s="123">
        <f ca="1">IF(RegimeExecucao="Global","",ORÇAMENTO!W348)</f>
        <v>0</v>
      </c>
      <c r="I348" s="126">
        <f ca="1">ORÇAMENTO!X348</f>
        <v>0</v>
      </c>
      <c r="J348" s="334" t="e" cm="1">
        <f t="array" aca="1" ref="J348" ca="1">_xlfn.SINGLE(IF($A348="S",IF(CAIXA.Modo,BM.AFAnterior,BM.MEDAnterior),IF(AND(_xlfn.SINGLE(RegimeExecucao)="Global",$I348&gt;0,COUNTIF($AB$13:$AM$13,BM.medicao-1)&gt;0),M348/$I348*100,0)))</f>
        <v>#NAME?</v>
      </c>
      <c r="K348" s="123" t="e">
        <f t="shared" ca="1" si="38"/>
        <v>#NAME?</v>
      </c>
      <c r="L348" s="335" t="e" cm="1">
        <f t="array" aca="1" ref="L348" ca="1">_xlfn.SINGLE(IF($A348="S",IF(CAIXA.Modo,BM.AFAcumulado,BM.MEDAcumulado),IF(AND(_xlfn.SINGLE(RegimeExecucao)="Global",$I348&gt;0,COUNTIF($AB$13:$AM$13,BM.medicao)&gt;0),O348/$I348*100,0)))</f>
        <v>#NAME?</v>
      </c>
      <c r="M348" s="336">
        <f ca="1">IF($A348="S",VTOTALBM,IF($A348=0,0,ROUND(SomaAgrupBM,15-13*ORÇAMENTO!$AF$11)))</f>
        <v>0</v>
      </c>
      <c r="N348" s="337">
        <f t="shared" ca="1" si="39"/>
        <v>0</v>
      </c>
      <c r="O348" s="126">
        <f ca="1">IF($A348="S",VTOTALBM,IF($A348=0,0,ROUND(SomaAgrupBM,15-13*ORÇAMENTO!$AF$11)))</f>
        <v>0</v>
      </c>
      <c r="Q348" s="338"/>
      <c r="R348" s="339"/>
      <c r="T348" s="118" t="str">
        <f t="shared" ca="1" si="40"/>
        <v/>
      </c>
      <c r="U348" s="164" t="str">
        <f t="shared" ca="1" si="41"/>
        <v/>
      </c>
      <c r="V348" s="165" t="str">
        <f ca="1">IF(AND($W348&gt;0,RegimeExecucao="Unitário"),$F348,"")</f>
        <v/>
      </c>
      <c r="W348" s="455">
        <f ca="1">IF($Y348&gt;0,CHOOSE(MATCH(RegimeExecucao,{"Unitário","Global"},0),IF($A348="S",$Y348/$X348,""),($Y348/$X348)*100),0)</f>
        <v>0</v>
      </c>
      <c r="X348" s="340" t="str">
        <f ca="1">IF($Y348&gt;0,CHOOSE(MATCH(RegimeExecucao,{"Unitário","Global"},0),IF($A348="S",ROUND($H348,ORÇAMENTO!$AF$10),""),ROUND($I348,ORÇAMENTO!$AF$11)),"")</f>
        <v/>
      </c>
      <c r="Y348" s="340">
        <f t="shared" ca="1" si="42"/>
        <v>0</v>
      </c>
      <c r="Z348" s="474"/>
      <c r="AB348" s="338"/>
      <c r="AC348" s="438"/>
      <c r="AD348" s="438"/>
      <c r="AE348" s="438"/>
      <c r="AF348" s="438"/>
      <c r="AG348" s="438"/>
      <c r="AH348" s="438"/>
      <c r="AI348" s="438"/>
      <c r="AJ348" s="438"/>
      <c r="AK348" s="438"/>
      <c r="AL348" s="438"/>
      <c r="AM348" s="339"/>
      <c r="AO348">
        <f ca="1">IF($A348="S",IF(BM!$I348=0,0,CHOOSE(MATCH(RegimeExecucao,{"Global","Unitário"},0),ROUND(ROUND(BM.MEDAcumulado,15-13*BM!$A$9)/100*BM!$I348,15-13*ORÇAMENTO!$AF$11),ROUND(ROUND(BM.MEDAcumulado,15-13*BM!$A$9)*ROUND(BM!$H348,15-13*ORÇAMENTO!$AF$10),15-13*ORÇAMENTO!$AF$11))),IF($A348=0,0,ROUND(SomaAgrupBM,15-13*ORÇAMENTO!$AF$11)))</f>
        <v>0</v>
      </c>
    </row>
    <row r="349" spans="1:41" ht="38.25" x14ac:dyDescent="0.2">
      <c r="A349" t="str">
        <f ca="1">ORÇAMENTO!C349</f>
        <v>S</v>
      </c>
      <c r="B349">
        <f ca="1">ORÇAMENTO!D349</f>
        <v>0</v>
      </c>
      <c r="C349" s="115" t="str">
        <f t="shared" ca="1" si="36"/>
        <v/>
      </c>
      <c r="D349" s="118" t="str">
        <f ca="1">ORÇAMENTO!O349</f>
        <v>-</v>
      </c>
      <c r="E349" s="164" t="str">
        <f t="shared" si="37"/>
        <v>ESCAVAÇÃO MECANIZADA PARA BLOCO DE COROAMENTO OU SAPATA COM RETROESCAVADEIRA (INCLUINDO ESCAVAÇÃO PARA COLOCAÇÃO DE FÔRMAS). AF_01/2024</v>
      </c>
      <c r="F349" s="165" t="str">
        <f ca="1">IF(RegimeExecucao="Global","",ORÇAMENTO.Unidade)</f>
        <v>M3</v>
      </c>
      <c r="G349" s="123">
        <f ca="1">IF(RegimeExecucao="Global","",ORÇAMENTO!T349)</f>
        <v>24.23</v>
      </c>
      <c r="H349" s="123">
        <f ca="1">IF(RegimeExecucao="Global","",ORÇAMENTO!W349)</f>
        <v>0</v>
      </c>
      <c r="I349" s="126">
        <f ca="1">ORÇAMENTO!X349</f>
        <v>0</v>
      </c>
      <c r="J349" s="334" t="e" cm="1">
        <f t="array" aca="1" ref="J349" ca="1">_xlfn.SINGLE(IF($A349="S",IF(CAIXA.Modo,BM.AFAnterior,BM.MEDAnterior),IF(AND(_xlfn.SINGLE(RegimeExecucao)="Global",$I349&gt;0,COUNTIF($AB$13:$AM$13,BM.medicao-1)&gt;0),M349/$I349*100,0)))</f>
        <v>#NAME?</v>
      </c>
      <c r="K349" s="123" t="e">
        <f t="shared" ca="1" si="38"/>
        <v>#NAME?</v>
      </c>
      <c r="L349" s="335" t="e" cm="1">
        <f t="array" aca="1" ref="L349" ca="1">_xlfn.SINGLE(IF($A349="S",IF(CAIXA.Modo,BM.AFAcumulado,BM.MEDAcumulado),IF(AND(_xlfn.SINGLE(RegimeExecucao)="Global",$I349&gt;0,COUNTIF($AB$13:$AM$13,BM.medicao)&gt;0),O349/$I349*100,0)))</f>
        <v>#NAME?</v>
      </c>
      <c r="M349" s="336">
        <f ca="1">IF($A349="S",VTOTALBM,IF($A349=0,0,ROUND(SomaAgrupBM,15-13*ORÇAMENTO!$AF$11)))</f>
        <v>0</v>
      </c>
      <c r="N349" s="337">
        <f t="shared" ca="1" si="39"/>
        <v>0</v>
      </c>
      <c r="O349" s="126">
        <f ca="1">IF($A349="S",VTOTALBM,IF($A349=0,0,ROUND(SomaAgrupBM,15-13*ORÇAMENTO!$AF$11)))</f>
        <v>0</v>
      </c>
      <c r="Q349" s="338"/>
      <c r="R349" s="339"/>
      <c r="T349" s="118" t="str">
        <f t="shared" ca="1" si="40"/>
        <v/>
      </c>
      <c r="U349" s="164" t="str">
        <f t="shared" ca="1" si="41"/>
        <v/>
      </c>
      <c r="V349" s="165" t="str">
        <f ca="1">IF(AND($W349&gt;0,RegimeExecucao="Unitário"),$F349,"")</f>
        <v/>
      </c>
      <c r="W349" s="455">
        <f ca="1">IF($Y349&gt;0,CHOOSE(MATCH(RegimeExecucao,{"Unitário","Global"},0),IF($A349="S",$Y349/$X349,""),($Y349/$X349)*100),0)</f>
        <v>0</v>
      </c>
      <c r="X349" s="340" t="str">
        <f ca="1">IF($Y349&gt;0,CHOOSE(MATCH(RegimeExecucao,{"Unitário","Global"},0),IF($A349="S",ROUND($H349,ORÇAMENTO!$AF$10),""),ROUND($I349,ORÇAMENTO!$AF$11)),"")</f>
        <v/>
      </c>
      <c r="Y349" s="340">
        <f t="shared" ca="1" si="42"/>
        <v>0</v>
      </c>
      <c r="Z349" s="474"/>
      <c r="AB349" s="338"/>
      <c r="AC349" s="438"/>
      <c r="AD349" s="438"/>
      <c r="AE349" s="438"/>
      <c r="AF349" s="438"/>
      <c r="AG349" s="438"/>
      <c r="AH349" s="438"/>
      <c r="AI349" s="438"/>
      <c r="AJ349" s="438"/>
      <c r="AK349" s="438"/>
      <c r="AL349" s="438"/>
      <c r="AM349" s="339"/>
      <c r="AO349">
        <f ca="1">IF($A349="S",IF(BM!$I349=0,0,CHOOSE(MATCH(RegimeExecucao,{"Global","Unitário"},0),ROUND(ROUND(BM.MEDAcumulado,15-13*BM!$A$9)/100*BM!$I349,15-13*ORÇAMENTO!$AF$11),ROUND(ROUND(BM.MEDAcumulado,15-13*BM!$A$9)*ROUND(BM!$H349,15-13*ORÇAMENTO!$AF$10),15-13*ORÇAMENTO!$AF$11))),IF($A349=0,0,ROUND(SomaAgrupBM,15-13*ORÇAMENTO!$AF$11)))</f>
        <v>0</v>
      </c>
    </row>
    <row r="350" spans="1:41" ht="38.25" x14ac:dyDescent="0.2">
      <c r="A350" t="str">
        <f ca="1">ORÇAMENTO!C350</f>
        <v>S</v>
      </c>
      <c r="B350">
        <f ca="1">ORÇAMENTO!D350</f>
        <v>0</v>
      </c>
      <c r="C350" s="115" t="str">
        <f t="shared" ca="1" si="36"/>
        <v/>
      </c>
      <c r="D350" s="118" t="str">
        <f ca="1">ORÇAMENTO!O350</f>
        <v>-</v>
      </c>
      <c r="E350" s="164" t="str">
        <f t="shared" si="37"/>
        <v>FABRICAÇÃO, MONTAGEM E DESMONTAGEM DE FÔRMA PARA VIGA BALDRAME, EM MADEIRA SERRADA, E=25 MM, 1 UTILIZAÇÃO. AF_01/2024</v>
      </c>
      <c r="F350" s="165" t="str">
        <f ca="1">IF(RegimeExecucao="Global","",ORÇAMENTO.Unidade)</f>
        <v>M2</v>
      </c>
      <c r="G350" s="123">
        <f ca="1">IF(RegimeExecucao="Global","",ORÇAMENTO!T350)</f>
        <v>143.43</v>
      </c>
      <c r="H350" s="123">
        <f ca="1">IF(RegimeExecucao="Global","",ORÇAMENTO!W350)</f>
        <v>0</v>
      </c>
      <c r="I350" s="126">
        <f ca="1">ORÇAMENTO!X350</f>
        <v>0</v>
      </c>
      <c r="J350" s="334" t="e" cm="1">
        <f t="array" aca="1" ref="J350" ca="1">_xlfn.SINGLE(IF($A350="S",IF(CAIXA.Modo,BM.AFAnterior,BM.MEDAnterior),IF(AND(_xlfn.SINGLE(RegimeExecucao)="Global",$I350&gt;0,COUNTIF($AB$13:$AM$13,BM.medicao-1)&gt;0),M350/$I350*100,0)))</f>
        <v>#NAME?</v>
      </c>
      <c r="K350" s="123" t="e">
        <f t="shared" ca="1" si="38"/>
        <v>#NAME?</v>
      </c>
      <c r="L350" s="335" t="e" cm="1">
        <f t="array" aca="1" ref="L350" ca="1">_xlfn.SINGLE(IF($A350="S",IF(CAIXA.Modo,BM.AFAcumulado,BM.MEDAcumulado),IF(AND(_xlfn.SINGLE(RegimeExecucao)="Global",$I350&gt;0,COUNTIF($AB$13:$AM$13,BM.medicao)&gt;0),O350/$I350*100,0)))</f>
        <v>#NAME?</v>
      </c>
      <c r="M350" s="336">
        <f ca="1">IF($A350="S",VTOTALBM,IF($A350=0,0,ROUND(SomaAgrupBM,15-13*ORÇAMENTO!$AF$11)))</f>
        <v>0</v>
      </c>
      <c r="N350" s="337">
        <f t="shared" ca="1" si="39"/>
        <v>0</v>
      </c>
      <c r="O350" s="126">
        <f ca="1">IF($A350="S",VTOTALBM,IF($A350=0,0,ROUND(SomaAgrupBM,15-13*ORÇAMENTO!$AF$11)))</f>
        <v>0</v>
      </c>
      <c r="Q350" s="338"/>
      <c r="R350" s="339"/>
      <c r="T350" s="118" t="str">
        <f t="shared" ca="1" si="40"/>
        <v/>
      </c>
      <c r="U350" s="164" t="str">
        <f t="shared" ca="1" si="41"/>
        <v/>
      </c>
      <c r="V350" s="165" t="str">
        <f ca="1">IF(AND($W350&gt;0,RegimeExecucao="Unitário"),$F350,"")</f>
        <v/>
      </c>
      <c r="W350" s="455">
        <f ca="1">IF($Y350&gt;0,CHOOSE(MATCH(RegimeExecucao,{"Unitário","Global"},0),IF($A350="S",$Y350/$X350,""),($Y350/$X350)*100),0)</f>
        <v>0</v>
      </c>
      <c r="X350" s="340" t="str">
        <f ca="1">IF($Y350&gt;0,CHOOSE(MATCH(RegimeExecucao,{"Unitário","Global"},0),IF($A350="S",ROUND($H350,ORÇAMENTO!$AF$10),""),ROUND($I350,ORÇAMENTO!$AF$11)),"")</f>
        <v/>
      </c>
      <c r="Y350" s="340">
        <f t="shared" ca="1" si="42"/>
        <v>0</v>
      </c>
      <c r="Z350" s="474"/>
      <c r="AB350" s="338"/>
      <c r="AC350" s="438"/>
      <c r="AD350" s="438"/>
      <c r="AE350" s="438"/>
      <c r="AF350" s="438"/>
      <c r="AG350" s="438"/>
      <c r="AH350" s="438"/>
      <c r="AI350" s="438"/>
      <c r="AJ350" s="438"/>
      <c r="AK350" s="438"/>
      <c r="AL350" s="438"/>
      <c r="AM350" s="339"/>
      <c r="AO350">
        <f ca="1">IF($A350="S",IF(BM!$I350=0,0,CHOOSE(MATCH(RegimeExecucao,{"Global","Unitário"},0),ROUND(ROUND(BM.MEDAcumulado,15-13*BM!$A$9)/100*BM!$I350,15-13*ORÇAMENTO!$AF$11),ROUND(ROUND(BM.MEDAcumulado,15-13*BM!$A$9)*ROUND(BM!$H350,15-13*ORÇAMENTO!$AF$10),15-13*ORÇAMENTO!$AF$11))),IF($A350=0,0,ROUND(SomaAgrupBM,15-13*ORÇAMENTO!$AF$11)))</f>
        <v>0</v>
      </c>
    </row>
    <row r="351" spans="1:41" ht="38.25" x14ac:dyDescent="0.2">
      <c r="A351" t="str">
        <f ca="1">ORÇAMENTO!C351</f>
        <v>S</v>
      </c>
      <c r="B351">
        <f ca="1">ORÇAMENTO!D351</f>
        <v>0</v>
      </c>
      <c r="C351" s="115" t="str">
        <f t="shared" ca="1" si="36"/>
        <v/>
      </c>
      <c r="D351" s="118" t="str">
        <f ca="1">ORÇAMENTO!O351</f>
        <v>-</v>
      </c>
      <c r="E351" s="164" t="str">
        <f t="shared" si="37"/>
        <v>FABRICAÇÃO, MONTAGEM E DESMONTAGEM DE FÔRMA PARA SAPATA, EM MADEIRA SERRADA, E=25 MM, 1 UTILIZAÇÃO. AF_01/2024</v>
      </c>
      <c r="F351" s="165" t="str">
        <f ca="1">IF(RegimeExecucao="Global","",ORÇAMENTO.Unidade)</f>
        <v>M2</v>
      </c>
      <c r="G351" s="123">
        <f ca="1">IF(RegimeExecucao="Global","",ORÇAMENTO!T351)</f>
        <v>16.149999999999999</v>
      </c>
      <c r="H351" s="123">
        <f ca="1">IF(RegimeExecucao="Global","",ORÇAMENTO!W351)</f>
        <v>0</v>
      </c>
      <c r="I351" s="126">
        <f ca="1">ORÇAMENTO!X351</f>
        <v>0</v>
      </c>
      <c r="J351" s="334" t="e" cm="1">
        <f t="array" aca="1" ref="J351" ca="1">_xlfn.SINGLE(IF($A351="S",IF(CAIXA.Modo,BM.AFAnterior,BM.MEDAnterior),IF(AND(_xlfn.SINGLE(RegimeExecucao)="Global",$I351&gt;0,COUNTIF($AB$13:$AM$13,BM.medicao-1)&gt;0),M351/$I351*100,0)))</f>
        <v>#NAME?</v>
      </c>
      <c r="K351" s="123" t="e">
        <f t="shared" ca="1" si="38"/>
        <v>#NAME?</v>
      </c>
      <c r="L351" s="335" t="e" cm="1">
        <f t="array" aca="1" ref="L351" ca="1">_xlfn.SINGLE(IF($A351="S",IF(CAIXA.Modo,BM.AFAcumulado,BM.MEDAcumulado),IF(AND(_xlfn.SINGLE(RegimeExecucao)="Global",$I351&gt;0,COUNTIF($AB$13:$AM$13,BM.medicao)&gt;0),O351/$I351*100,0)))</f>
        <v>#NAME?</v>
      </c>
      <c r="M351" s="336">
        <f ca="1">IF($A351="S",VTOTALBM,IF($A351=0,0,ROUND(SomaAgrupBM,15-13*ORÇAMENTO!$AF$11)))</f>
        <v>0</v>
      </c>
      <c r="N351" s="337">
        <f t="shared" ca="1" si="39"/>
        <v>0</v>
      </c>
      <c r="O351" s="126">
        <f ca="1">IF($A351="S",VTOTALBM,IF($A351=0,0,ROUND(SomaAgrupBM,15-13*ORÇAMENTO!$AF$11)))</f>
        <v>0</v>
      </c>
      <c r="Q351" s="338"/>
      <c r="R351" s="339"/>
      <c r="T351" s="118" t="str">
        <f t="shared" ca="1" si="40"/>
        <v/>
      </c>
      <c r="U351" s="164" t="str">
        <f t="shared" ca="1" si="41"/>
        <v/>
      </c>
      <c r="V351" s="165" t="str">
        <f ca="1">IF(AND($W351&gt;0,RegimeExecucao="Unitário"),$F351,"")</f>
        <v/>
      </c>
      <c r="W351" s="455">
        <f ca="1">IF($Y351&gt;0,CHOOSE(MATCH(RegimeExecucao,{"Unitário","Global"},0),IF($A351="S",$Y351/$X351,""),($Y351/$X351)*100),0)</f>
        <v>0</v>
      </c>
      <c r="X351" s="340" t="str">
        <f ca="1">IF($Y351&gt;0,CHOOSE(MATCH(RegimeExecucao,{"Unitário","Global"},0),IF($A351="S",ROUND($H351,ORÇAMENTO!$AF$10),""),ROUND($I351,ORÇAMENTO!$AF$11)),"")</f>
        <v/>
      </c>
      <c r="Y351" s="340">
        <f t="shared" ca="1" si="42"/>
        <v>0</v>
      </c>
      <c r="Z351" s="474"/>
      <c r="AB351" s="338"/>
      <c r="AC351" s="438"/>
      <c r="AD351" s="438"/>
      <c r="AE351" s="438"/>
      <c r="AF351" s="438"/>
      <c r="AG351" s="438"/>
      <c r="AH351" s="438"/>
      <c r="AI351" s="438"/>
      <c r="AJ351" s="438"/>
      <c r="AK351" s="438"/>
      <c r="AL351" s="438"/>
      <c r="AM351" s="339"/>
      <c r="AO351">
        <f ca="1">IF($A351="S",IF(BM!$I351=0,0,CHOOSE(MATCH(RegimeExecucao,{"Global","Unitário"},0),ROUND(ROUND(BM.MEDAcumulado,15-13*BM!$A$9)/100*BM!$I351,15-13*ORÇAMENTO!$AF$11),ROUND(ROUND(BM.MEDAcumulado,15-13*BM!$A$9)*ROUND(BM!$H351,15-13*ORÇAMENTO!$AF$10),15-13*ORÇAMENTO!$AF$11))),IF($A351=0,0,ROUND(SomaAgrupBM,15-13*ORÇAMENTO!$AF$11)))</f>
        <v>0</v>
      </c>
    </row>
    <row r="352" spans="1:41" ht="38.25" x14ac:dyDescent="0.2">
      <c r="A352" t="str">
        <f ca="1">ORÇAMENTO!C352</f>
        <v>S</v>
      </c>
      <c r="B352">
        <f ca="1">ORÇAMENTO!D352</f>
        <v>0</v>
      </c>
      <c r="C352" s="115" t="str">
        <f t="shared" ca="1" si="36"/>
        <v/>
      </c>
      <c r="D352" s="118" t="str">
        <f ca="1">ORÇAMENTO!O352</f>
        <v>-</v>
      </c>
      <c r="E352" s="164" t="str">
        <f t="shared" si="37"/>
        <v>MONTAGEM E DESMONTAGEM DE FÔRMA DE PILARES RETANGULARES E ESTRUTURAS SIMILARES, PÉ-DIREITO SIMPLES, EM MADEIRA SERRADA, 1 UTILIZAÇÃO. AF_09/2020</v>
      </c>
      <c r="F352" s="165" t="str">
        <f ca="1">IF(RegimeExecucao="Global","",ORÇAMENTO.Unidade)</f>
        <v>M2</v>
      </c>
      <c r="G352" s="123">
        <f ca="1">IF(RegimeExecucao="Global","",ORÇAMENTO!T352)</f>
        <v>80.7</v>
      </c>
      <c r="H352" s="123">
        <f ca="1">IF(RegimeExecucao="Global","",ORÇAMENTO!W352)</f>
        <v>0</v>
      </c>
      <c r="I352" s="126">
        <f ca="1">ORÇAMENTO!X352</f>
        <v>0</v>
      </c>
      <c r="J352" s="334" t="e" cm="1">
        <f t="array" aca="1" ref="J352" ca="1">_xlfn.SINGLE(IF($A352="S",IF(CAIXA.Modo,BM.AFAnterior,BM.MEDAnterior),IF(AND(_xlfn.SINGLE(RegimeExecucao)="Global",$I352&gt;0,COUNTIF($AB$13:$AM$13,BM.medicao-1)&gt;0),M352/$I352*100,0)))</f>
        <v>#NAME?</v>
      </c>
      <c r="K352" s="123" t="e">
        <f t="shared" ca="1" si="38"/>
        <v>#NAME?</v>
      </c>
      <c r="L352" s="335" t="e" cm="1">
        <f t="array" aca="1" ref="L352" ca="1">_xlfn.SINGLE(IF($A352="S",IF(CAIXA.Modo,BM.AFAcumulado,BM.MEDAcumulado),IF(AND(_xlfn.SINGLE(RegimeExecucao)="Global",$I352&gt;0,COUNTIF($AB$13:$AM$13,BM.medicao)&gt;0),O352/$I352*100,0)))</f>
        <v>#NAME?</v>
      </c>
      <c r="M352" s="336">
        <f ca="1">IF($A352="S",VTOTALBM,IF($A352=0,0,ROUND(SomaAgrupBM,15-13*ORÇAMENTO!$AF$11)))</f>
        <v>0</v>
      </c>
      <c r="N352" s="337">
        <f t="shared" ca="1" si="39"/>
        <v>0</v>
      </c>
      <c r="O352" s="126">
        <f ca="1">IF($A352="S",VTOTALBM,IF($A352=0,0,ROUND(SomaAgrupBM,15-13*ORÇAMENTO!$AF$11)))</f>
        <v>0</v>
      </c>
      <c r="Q352" s="338"/>
      <c r="R352" s="339"/>
      <c r="T352" s="118" t="str">
        <f t="shared" ca="1" si="40"/>
        <v/>
      </c>
      <c r="U352" s="164" t="str">
        <f t="shared" ca="1" si="41"/>
        <v/>
      </c>
      <c r="V352" s="165" t="str">
        <f ca="1">IF(AND($W352&gt;0,RegimeExecucao="Unitário"),$F352,"")</f>
        <v/>
      </c>
      <c r="W352" s="455">
        <f ca="1">IF($Y352&gt;0,CHOOSE(MATCH(RegimeExecucao,{"Unitário","Global"},0),IF($A352="S",$Y352/$X352,""),($Y352/$X352)*100),0)</f>
        <v>0</v>
      </c>
      <c r="X352" s="340" t="str">
        <f ca="1">IF($Y352&gt;0,CHOOSE(MATCH(RegimeExecucao,{"Unitário","Global"},0),IF($A352="S",ROUND($H352,ORÇAMENTO!$AF$10),""),ROUND($I352,ORÇAMENTO!$AF$11)),"")</f>
        <v/>
      </c>
      <c r="Y352" s="340">
        <f t="shared" ca="1" si="42"/>
        <v>0</v>
      </c>
      <c r="Z352" s="474"/>
      <c r="AB352" s="338"/>
      <c r="AC352" s="438"/>
      <c r="AD352" s="438"/>
      <c r="AE352" s="438"/>
      <c r="AF352" s="438"/>
      <c r="AG352" s="438"/>
      <c r="AH352" s="438"/>
      <c r="AI352" s="438"/>
      <c r="AJ352" s="438"/>
      <c r="AK352" s="438"/>
      <c r="AL352" s="438"/>
      <c r="AM352" s="339"/>
      <c r="AO352">
        <f ca="1">IF($A352="S",IF(BM!$I352=0,0,CHOOSE(MATCH(RegimeExecucao,{"Global","Unitário"},0),ROUND(ROUND(BM.MEDAcumulado,15-13*BM!$A$9)/100*BM!$I352,15-13*ORÇAMENTO!$AF$11),ROUND(ROUND(BM.MEDAcumulado,15-13*BM!$A$9)*ROUND(BM!$H352,15-13*ORÇAMENTO!$AF$10),15-13*ORÇAMENTO!$AF$11))),IF($A352=0,0,ROUND(SomaAgrupBM,15-13*ORÇAMENTO!$AF$11)))</f>
        <v>0</v>
      </c>
    </row>
    <row r="353" spans="1:41" ht="25.5" x14ac:dyDescent="0.2">
      <c r="A353" t="str">
        <f ca="1">ORÇAMENTO!C353</f>
        <v>S</v>
      </c>
      <c r="B353">
        <f ca="1">ORÇAMENTO!D353</f>
        <v>0</v>
      </c>
      <c r="C353" s="115" t="str">
        <f t="shared" ca="1" si="36"/>
        <v/>
      </c>
      <c r="D353" s="118" t="str">
        <f ca="1">ORÇAMENTO!O353</f>
        <v>-</v>
      </c>
      <c r="E353" s="164" t="str">
        <f t="shared" si="37"/>
        <v>ARMAÇÃO DE SAPATA ISOLADA, VIGA BALDRAME E SAPATA CORRIDA UTILIZANDO AÇO CA-60 DE 5 MM - MONTAGEM. AF_01/2024</v>
      </c>
      <c r="F353" s="165" t="str">
        <f ca="1">IF(RegimeExecucao="Global","",ORÇAMENTO.Unidade)</f>
        <v>KG</v>
      </c>
      <c r="G353" s="123">
        <f ca="1">IF(RegimeExecucao="Global","",ORÇAMENTO!T353)</f>
        <v>314.23</v>
      </c>
      <c r="H353" s="123">
        <f ca="1">IF(RegimeExecucao="Global","",ORÇAMENTO!W353)</f>
        <v>0</v>
      </c>
      <c r="I353" s="126">
        <f ca="1">ORÇAMENTO!X353</f>
        <v>0</v>
      </c>
      <c r="J353" s="334" t="e" cm="1">
        <f t="array" aca="1" ref="J353" ca="1">_xlfn.SINGLE(IF($A353="S",IF(CAIXA.Modo,BM.AFAnterior,BM.MEDAnterior),IF(AND(_xlfn.SINGLE(RegimeExecucao)="Global",$I353&gt;0,COUNTIF($AB$13:$AM$13,BM.medicao-1)&gt;0),M353/$I353*100,0)))</f>
        <v>#NAME?</v>
      </c>
      <c r="K353" s="123" t="e">
        <f t="shared" ca="1" si="38"/>
        <v>#NAME?</v>
      </c>
      <c r="L353" s="335" t="e" cm="1">
        <f t="array" aca="1" ref="L353" ca="1">_xlfn.SINGLE(IF($A353="S",IF(CAIXA.Modo,BM.AFAcumulado,BM.MEDAcumulado),IF(AND(_xlfn.SINGLE(RegimeExecucao)="Global",$I353&gt;0,COUNTIF($AB$13:$AM$13,BM.medicao)&gt;0),O353/$I353*100,0)))</f>
        <v>#NAME?</v>
      </c>
      <c r="M353" s="336">
        <f ca="1">IF($A353="S",VTOTALBM,IF($A353=0,0,ROUND(SomaAgrupBM,15-13*ORÇAMENTO!$AF$11)))</f>
        <v>0</v>
      </c>
      <c r="N353" s="337">
        <f t="shared" ca="1" si="39"/>
        <v>0</v>
      </c>
      <c r="O353" s="126">
        <f ca="1">IF($A353="S",VTOTALBM,IF($A353=0,0,ROUND(SomaAgrupBM,15-13*ORÇAMENTO!$AF$11)))</f>
        <v>0</v>
      </c>
      <c r="Q353" s="338"/>
      <c r="R353" s="339"/>
      <c r="T353" s="118" t="str">
        <f t="shared" ca="1" si="40"/>
        <v/>
      </c>
      <c r="U353" s="164" t="str">
        <f t="shared" ca="1" si="41"/>
        <v/>
      </c>
      <c r="V353" s="165" t="str">
        <f ca="1">IF(AND($W353&gt;0,RegimeExecucao="Unitário"),$F353,"")</f>
        <v/>
      </c>
      <c r="W353" s="455">
        <f ca="1">IF($Y353&gt;0,CHOOSE(MATCH(RegimeExecucao,{"Unitário","Global"},0),IF($A353="S",$Y353/$X353,""),($Y353/$X353)*100),0)</f>
        <v>0</v>
      </c>
      <c r="X353" s="340" t="str">
        <f ca="1">IF($Y353&gt;0,CHOOSE(MATCH(RegimeExecucao,{"Unitário","Global"},0),IF($A353="S",ROUND($H353,ORÇAMENTO!$AF$10),""),ROUND($I353,ORÇAMENTO!$AF$11)),"")</f>
        <v/>
      </c>
      <c r="Y353" s="340">
        <f t="shared" ca="1" si="42"/>
        <v>0</v>
      </c>
      <c r="Z353" s="474"/>
      <c r="AB353" s="338"/>
      <c r="AC353" s="438"/>
      <c r="AD353" s="438"/>
      <c r="AE353" s="438"/>
      <c r="AF353" s="438"/>
      <c r="AG353" s="438"/>
      <c r="AH353" s="438"/>
      <c r="AI353" s="438"/>
      <c r="AJ353" s="438"/>
      <c r="AK353" s="438"/>
      <c r="AL353" s="438"/>
      <c r="AM353" s="339"/>
      <c r="AO353">
        <f ca="1">IF($A353="S",IF(BM!$I353=0,0,CHOOSE(MATCH(RegimeExecucao,{"Global","Unitário"},0),ROUND(ROUND(BM.MEDAcumulado,15-13*BM!$A$9)/100*BM!$I353,15-13*ORÇAMENTO!$AF$11),ROUND(ROUND(BM.MEDAcumulado,15-13*BM!$A$9)*ROUND(BM!$H353,15-13*ORÇAMENTO!$AF$10),15-13*ORÇAMENTO!$AF$11))),IF($A353=0,0,ROUND(SomaAgrupBM,15-13*ORÇAMENTO!$AF$11)))</f>
        <v>0</v>
      </c>
    </row>
    <row r="354" spans="1:41" ht="25.5" x14ac:dyDescent="0.2">
      <c r="A354" t="str">
        <f ca="1">ORÇAMENTO!C354</f>
        <v>S</v>
      </c>
      <c r="B354">
        <f ca="1">ORÇAMENTO!D354</f>
        <v>0</v>
      </c>
      <c r="C354" s="115" t="str">
        <f t="shared" ca="1" si="36"/>
        <v/>
      </c>
      <c r="D354" s="118" t="str">
        <f ca="1">ORÇAMENTO!O354</f>
        <v>-</v>
      </c>
      <c r="E354" s="164" t="str">
        <f t="shared" si="37"/>
        <v>ARMAÇÃO DE SAPATA ISOLADA, VIGA BALDRAME E SAPATA CORRIDA UTILIZANDO AÇO CA-50 DE 8 MM - MONTAGEM. AF_01/2024</v>
      </c>
      <c r="F354" s="165" t="str">
        <f ca="1">IF(RegimeExecucao="Global","",ORÇAMENTO.Unidade)</f>
        <v>KG</v>
      </c>
      <c r="G354" s="123">
        <f ca="1">IF(RegimeExecucao="Global","",ORÇAMENTO!T354)</f>
        <v>277.10000000000002</v>
      </c>
      <c r="H354" s="123">
        <f ca="1">IF(RegimeExecucao="Global","",ORÇAMENTO!W354)</f>
        <v>0</v>
      </c>
      <c r="I354" s="126">
        <f ca="1">ORÇAMENTO!X354</f>
        <v>0</v>
      </c>
      <c r="J354" s="334" t="e" cm="1">
        <f t="array" aca="1" ref="J354" ca="1">_xlfn.SINGLE(IF($A354="S",IF(CAIXA.Modo,BM.AFAnterior,BM.MEDAnterior),IF(AND(_xlfn.SINGLE(RegimeExecucao)="Global",$I354&gt;0,COUNTIF($AB$13:$AM$13,BM.medicao-1)&gt;0),M354/$I354*100,0)))</f>
        <v>#NAME?</v>
      </c>
      <c r="K354" s="123" t="e">
        <f t="shared" ca="1" si="38"/>
        <v>#NAME?</v>
      </c>
      <c r="L354" s="335" t="e" cm="1">
        <f t="array" aca="1" ref="L354" ca="1">_xlfn.SINGLE(IF($A354="S",IF(CAIXA.Modo,BM.AFAcumulado,BM.MEDAcumulado),IF(AND(_xlfn.SINGLE(RegimeExecucao)="Global",$I354&gt;0,COUNTIF($AB$13:$AM$13,BM.medicao)&gt;0),O354/$I354*100,0)))</f>
        <v>#NAME?</v>
      </c>
      <c r="M354" s="336">
        <f ca="1">IF($A354="S",VTOTALBM,IF($A354=0,0,ROUND(SomaAgrupBM,15-13*ORÇAMENTO!$AF$11)))</f>
        <v>0</v>
      </c>
      <c r="N354" s="337">
        <f t="shared" ca="1" si="39"/>
        <v>0</v>
      </c>
      <c r="O354" s="126">
        <f ca="1">IF($A354="S",VTOTALBM,IF($A354=0,0,ROUND(SomaAgrupBM,15-13*ORÇAMENTO!$AF$11)))</f>
        <v>0</v>
      </c>
      <c r="Q354" s="338"/>
      <c r="R354" s="339"/>
      <c r="T354" s="118" t="str">
        <f t="shared" ca="1" si="40"/>
        <v/>
      </c>
      <c r="U354" s="164" t="str">
        <f t="shared" ca="1" si="41"/>
        <v/>
      </c>
      <c r="V354" s="165" t="str">
        <f ca="1">IF(AND($W354&gt;0,RegimeExecucao="Unitário"),$F354,"")</f>
        <v/>
      </c>
      <c r="W354" s="455">
        <f ca="1">IF($Y354&gt;0,CHOOSE(MATCH(RegimeExecucao,{"Unitário","Global"},0),IF($A354="S",$Y354/$X354,""),($Y354/$X354)*100),0)</f>
        <v>0</v>
      </c>
      <c r="X354" s="340" t="str">
        <f ca="1">IF($Y354&gt;0,CHOOSE(MATCH(RegimeExecucao,{"Unitário","Global"},0),IF($A354="S",ROUND($H354,ORÇAMENTO!$AF$10),""),ROUND($I354,ORÇAMENTO!$AF$11)),"")</f>
        <v/>
      </c>
      <c r="Y354" s="340">
        <f t="shared" ca="1" si="42"/>
        <v>0</v>
      </c>
      <c r="Z354" s="474"/>
      <c r="AB354" s="338"/>
      <c r="AC354" s="438"/>
      <c r="AD354" s="438"/>
      <c r="AE354" s="438"/>
      <c r="AF354" s="438"/>
      <c r="AG354" s="438"/>
      <c r="AH354" s="438"/>
      <c r="AI354" s="438"/>
      <c r="AJ354" s="438"/>
      <c r="AK354" s="438"/>
      <c r="AL354" s="438"/>
      <c r="AM354" s="339"/>
      <c r="AO354">
        <f ca="1">IF($A354="S",IF(BM!$I354=0,0,CHOOSE(MATCH(RegimeExecucao,{"Global","Unitário"},0),ROUND(ROUND(BM.MEDAcumulado,15-13*BM!$A$9)/100*BM!$I354,15-13*ORÇAMENTO!$AF$11),ROUND(ROUND(BM.MEDAcumulado,15-13*BM!$A$9)*ROUND(BM!$H354,15-13*ORÇAMENTO!$AF$10),15-13*ORÇAMENTO!$AF$11))),IF($A354=0,0,ROUND(SomaAgrupBM,15-13*ORÇAMENTO!$AF$11)))</f>
        <v>0</v>
      </c>
    </row>
    <row r="355" spans="1:41" ht="25.5" x14ac:dyDescent="0.2">
      <c r="A355" t="str">
        <f ca="1">ORÇAMENTO!C355</f>
        <v>S</v>
      </c>
      <c r="B355">
        <f ca="1">ORÇAMENTO!D355</f>
        <v>0</v>
      </c>
      <c r="C355" s="115" t="str">
        <f t="shared" ca="1" si="36"/>
        <v/>
      </c>
      <c r="D355" s="118" t="str">
        <f ca="1">ORÇAMENTO!O355</f>
        <v>-</v>
      </c>
      <c r="E355" s="164" t="str">
        <f t="shared" si="37"/>
        <v>ARMAÇÃO DE SAPATA ISOLADA, VIGA BALDRAME E SAPATA CORRIDA UTILIZANDO AÇO CA-50 DE 10 MM - MONTAGEM. AF_01/2024</v>
      </c>
      <c r="F355" s="165" t="str">
        <f ca="1">IF(RegimeExecucao="Global","",ORÇAMENTO.Unidade)</f>
        <v>KG</v>
      </c>
      <c r="G355" s="123">
        <f ca="1">IF(RegimeExecucao="Global","",ORÇAMENTO!T355)</f>
        <v>188.42</v>
      </c>
      <c r="H355" s="123">
        <f ca="1">IF(RegimeExecucao="Global","",ORÇAMENTO!W355)</f>
        <v>0</v>
      </c>
      <c r="I355" s="126">
        <f ca="1">ORÇAMENTO!X355</f>
        <v>0</v>
      </c>
      <c r="J355" s="334" t="e" cm="1">
        <f t="array" aca="1" ref="J355" ca="1">_xlfn.SINGLE(IF($A355="S",IF(CAIXA.Modo,BM.AFAnterior,BM.MEDAnterior),IF(AND(_xlfn.SINGLE(RegimeExecucao)="Global",$I355&gt;0,COUNTIF($AB$13:$AM$13,BM.medicao-1)&gt;0),M355/$I355*100,0)))</f>
        <v>#NAME?</v>
      </c>
      <c r="K355" s="123" t="e">
        <f t="shared" ca="1" si="38"/>
        <v>#NAME?</v>
      </c>
      <c r="L355" s="335" t="e" cm="1">
        <f t="array" aca="1" ref="L355" ca="1">_xlfn.SINGLE(IF($A355="S",IF(CAIXA.Modo,BM.AFAcumulado,BM.MEDAcumulado),IF(AND(_xlfn.SINGLE(RegimeExecucao)="Global",$I355&gt;0,COUNTIF($AB$13:$AM$13,BM.medicao)&gt;0),O355/$I355*100,0)))</f>
        <v>#NAME?</v>
      </c>
      <c r="M355" s="336">
        <f ca="1">IF($A355="S",VTOTALBM,IF($A355=0,0,ROUND(SomaAgrupBM,15-13*ORÇAMENTO!$AF$11)))</f>
        <v>0</v>
      </c>
      <c r="N355" s="337">
        <f t="shared" ca="1" si="39"/>
        <v>0</v>
      </c>
      <c r="O355" s="126">
        <f ca="1">IF($A355="S",VTOTALBM,IF($A355=0,0,ROUND(SomaAgrupBM,15-13*ORÇAMENTO!$AF$11)))</f>
        <v>0</v>
      </c>
      <c r="Q355" s="338"/>
      <c r="R355" s="339"/>
      <c r="T355" s="118" t="str">
        <f t="shared" ca="1" si="40"/>
        <v/>
      </c>
      <c r="U355" s="164" t="str">
        <f t="shared" ca="1" si="41"/>
        <v/>
      </c>
      <c r="V355" s="165" t="str">
        <f ca="1">IF(AND($W355&gt;0,RegimeExecucao="Unitário"),$F355,"")</f>
        <v/>
      </c>
      <c r="W355" s="455">
        <f ca="1">IF($Y355&gt;0,CHOOSE(MATCH(RegimeExecucao,{"Unitário","Global"},0),IF($A355="S",$Y355/$X355,""),($Y355/$X355)*100),0)</f>
        <v>0</v>
      </c>
      <c r="X355" s="340" t="str">
        <f ca="1">IF($Y355&gt;0,CHOOSE(MATCH(RegimeExecucao,{"Unitário","Global"},0),IF($A355="S",ROUND($H355,ORÇAMENTO!$AF$10),""),ROUND($I355,ORÇAMENTO!$AF$11)),"")</f>
        <v/>
      </c>
      <c r="Y355" s="340">
        <f t="shared" ca="1" si="42"/>
        <v>0</v>
      </c>
      <c r="Z355" s="474"/>
      <c r="AB355" s="338"/>
      <c r="AC355" s="438"/>
      <c r="AD355" s="438"/>
      <c r="AE355" s="438"/>
      <c r="AF355" s="438"/>
      <c r="AG355" s="438"/>
      <c r="AH355" s="438"/>
      <c r="AI355" s="438"/>
      <c r="AJ355" s="438"/>
      <c r="AK355" s="438"/>
      <c r="AL355" s="438"/>
      <c r="AM355" s="339"/>
      <c r="AO355">
        <f ca="1">IF($A355="S",IF(BM!$I355=0,0,CHOOSE(MATCH(RegimeExecucao,{"Global","Unitário"},0),ROUND(ROUND(BM.MEDAcumulado,15-13*BM!$A$9)/100*BM!$I355,15-13*ORÇAMENTO!$AF$11),ROUND(ROUND(BM.MEDAcumulado,15-13*BM!$A$9)*ROUND(BM!$H355,15-13*ORÇAMENTO!$AF$10),15-13*ORÇAMENTO!$AF$11))),IF($A355=0,0,ROUND(SomaAgrupBM,15-13*ORÇAMENTO!$AF$11)))</f>
        <v>0</v>
      </c>
    </row>
    <row r="356" spans="1:41" ht="38.25" x14ac:dyDescent="0.2">
      <c r="A356" t="str">
        <f ca="1">ORÇAMENTO!C356</f>
        <v>S</v>
      </c>
      <c r="B356">
        <f ca="1">ORÇAMENTO!D356</f>
        <v>0</v>
      </c>
      <c r="C356" s="115" t="str">
        <f t="shared" ca="1" si="36"/>
        <v/>
      </c>
      <c r="D356" s="118" t="str">
        <f ca="1">ORÇAMENTO!O356</f>
        <v>-</v>
      </c>
      <c r="E356" s="164" t="str">
        <f t="shared" si="37"/>
        <v>ARMAÇÃO DE PILAR OU VIGA DE ESTRUTURA CONVENCIONAL DE CONCRETO ARMADO UTILIZANDO AÇO CA-60 DE 5,0 MM - MONTAGEM. AF_06/2022</v>
      </c>
      <c r="F356" s="165" t="str">
        <f ca="1">IF(RegimeExecucao="Global","",ORÇAMENTO.Unidade)</f>
        <v>KG</v>
      </c>
      <c r="G356" s="123">
        <f ca="1">IF(RegimeExecucao="Global","",ORÇAMENTO!T356)</f>
        <v>80.56</v>
      </c>
      <c r="H356" s="123">
        <f ca="1">IF(RegimeExecucao="Global","",ORÇAMENTO!W356)</f>
        <v>0</v>
      </c>
      <c r="I356" s="126">
        <f ca="1">ORÇAMENTO!X356</f>
        <v>0</v>
      </c>
      <c r="J356" s="334" t="e" cm="1">
        <f t="array" aca="1" ref="J356" ca="1">_xlfn.SINGLE(IF($A356="S",IF(CAIXA.Modo,BM.AFAnterior,BM.MEDAnterior),IF(AND(_xlfn.SINGLE(RegimeExecucao)="Global",$I356&gt;0,COUNTIF($AB$13:$AM$13,BM.medicao-1)&gt;0),M356/$I356*100,0)))</f>
        <v>#NAME?</v>
      </c>
      <c r="K356" s="123" t="e">
        <f t="shared" ca="1" si="38"/>
        <v>#NAME?</v>
      </c>
      <c r="L356" s="335" t="e" cm="1">
        <f t="array" aca="1" ref="L356" ca="1">_xlfn.SINGLE(IF($A356="S",IF(CAIXA.Modo,BM.AFAcumulado,BM.MEDAcumulado),IF(AND(_xlfn.SINGLE(RegimeExecucao)="Global",$I356&gt;0,COUNTIF($AB$13:$AM$13,BM.medicao)&gt;0),O356/$I356*100,0)))</f>
        <v>#NAME?</v>
      </c>
      <c r="M356" s="336">
        <f ca="1">IF($A356="S",VTOTALBM,IF($A356=0,0,ROUND(SomaAgrupBM,15-13*ORÇAMENTO!$AF$11)))</f>
        <v>0</v>
      </c>
      <c r="N356" s="337">
        <f t="shared" ca="1" si="39"/>
        <v>0</v>
      </c>
      <c r="O356" s="126">
        <f ca="1">IF($A356="S",VTOTALBM,IF($A356=0,0,ROUND(SomaAgrupBM,15-13*ORÇAMENTO!$AF$11)))</f>
        <v>0</v>
      </c>
      <c r="Q356" s="338"/>
      <c r="R356" s="339"/>
      <c r="T356" s="118" t="str">
        <f t="shared" ca="1" si="40"/>
        <v/>
      </c>
      <c r="U356" s="164" t="str">
        <f t="shared" ca="1" si="41"/>
        <v/>
      </c>
      <c r="V356" s="165" t="str">
        <f ca="1">IF(AND($W356&gt;0,RegimeExecucao="Unitário"),$F356,"")</f>
        <v/>
      </c>
      <c r="W356" s="455">
        <f ca="1">IF($Y356&gt;0,CHOOSE(MATCH(RegimeExecucao,{"Unitário","Global"},0),IF($A356="S",$Y356/$X356,""),($Y356/$X356)*100),0)</f>
        <v>0</v>
      </c>
      <c r="X356" s="340" t="str">
        <f ca="1">IF($Y356&gt;0,CHOOSE(MATCH(RegimeExecucao,{"Unitário","Global"},0),IF($A356="S",ROUND($H356,ORÇAMENTO!$AF$10),""),ROUND($I356,ORÇAMENTO!$AF$11)),"")</f>
        <v/>
      </c>
      <c r="Y356" s="340">
        <f t="shared" ca="1" si="42"/>
        <v>0</v>
      </c>
      <c r="Z356" s="474"/>
      <c r="AB356" s="338"/>
      <c r="AC356" s="438"/>
      <c r="AD356" s="438"/>
      <c r="AE356" s="438"/>
      <c r="AF356" s="438"/>
      <c r="AG356" s="438"/>
      <c r="AH356" s="438"/>
      <c r="AI356" s="438"/>
      <c r="AJ356" s="438"/>
      <c r="AK356" s="438"/>
      <c r="AL356" s="438"/>
      <c r="AM356" s="339"/>
      <c r="AO356">
        <f ca="1">IF($A356="S",IF(BM!$I356=0,0,CHOOSE(MATCH(RegimeExecucao,{"Global","Unitário"},0),ROUND(ROUND(BM.MEDAcumulado,15-13*BM!$A$9)/100*BM!$I356,15-13*ORÇAMENTO!$AF$11),ROUND(ROUND(BM.MEDAcumulado,15-13*BM!$A$9)*ROUND(BM!$H356,15-13*ORÇAMENTO!$AF$10),15-13*ORÇAMENTO!$AF$11))),IF($A356=0,0,ROUND(SomaAgrupBM,15-13*ORÇAMENTO!$AF$11)))</f>
        <v>0</v>
      </c>
    </row>
    <row r="357" spans="1:41" ht="38.25" x14ac:dyDescent="0.2">
      <c r="A357" t="str">
        <f ca="1">ORÇAMENTO!C357</f>
        <v>S</v>
      </c>
      <c r="B357">
        <f ca="1">ORÇAMENTO!D357</f>
        <v>0</v>
      </c>
      <c r="C357" s="115" t="str">
        <f t="shared" ca="1" si="36"/>
        <v/>
      </c>
      <c r="D357" s="118" t="str">
        <f ca="1">ORÇAMENTO!O357</f>
        <v>-</v>
      </c>
      <c r="E357" s="164" t="str">
        <f t="shared" si="37"/>
        <v>ARMAÇÃO DE PILAR OU VIGA DE ESTRUTURA CONVENCIONAL DE CONCRETO ARMADO UTILIZANDO AÇO CA-50 DE 8,0 MM - MONTAGEM. AF_06/2022</v>
      </c>
      <c r="F357" s="165" t="str">
        <f ca="1">IF(RegimeExecucao="Global","",ORÇAMENTO.Unidade)</f>
        <v>KG</v>
      </c>
      <c r="G357" s="123">
        <f ca="1">IF(RegimeExecucao="Global","",ORÇAMENTO!T357)</f>
        <v>90.63</v>
      </c>
      <c r="H357" s="123">
        <f ca="1">IF(RegimeExecucao="Global","",ORÇAMENTO!W357)</f>
        <v>0</v>
      </c>
      <c r="I357" s="126">
        <f ca="1">ORÇAMENTO!X357</f>
        <v>0</v>
      </c>
      <c r="J357" s="334" t="e" cm="1">
        <f t="array" aca="1" ref="J357" ca="1">_xlfn.SINGLE(IF($A357="S",IF(CAIXA.Modo,BM.AFAnterior,BM.MEDAnterior),IF(AND(_xlfn.SINGLE(RegimeExecucao)="Global",$I357&gt;0,COUNTIF($AB$13:$AM$13,BM.medicao-1)&gt;0),M357/$I357*100,0)))</f>
        <v>#NAME?</v>
      </c>
      <c r="K357" s="123" t="e">
        <f t="shared" ca="1" si="38"/>
        <v>#NAME?</v>
      </c>
      <c r="L357" s="335" t="e" cm="1">
        <f t="array" aca="1" ref="L357" ca="1">_xlfn.SINGLE(IF($A357="S",IF(CAIXA.Modo,BM.AFAcumulado,BM.MEDAcumulado),IF(AND(_xlfn.SINGLE(RegimeExecucao)="Global",$I357&gt;0,COUNTIF($AB$13:$AM$13,BM.medicao)&gt;0),O357/$I357*100,0)))</f>
        <v>#NAME?</v>
      </c>
      <c r="M357" s="336">
        <f ca="1">IF($A357="S",VTOTALBM,IF($A357=0,0,ROUND(SomaAgrupBM,15-13*ORÇAMENTO!$AF$11)))</f>
        <v>0</v>
      </c>
      <c r="N357" s="337">
        <f t="shared" ca="1" si="39"/>
        <v>0</v>
      </c>
      <c r="O357" s="126">
        <f ca="1">IF($A357="S",VTOTALBM,IF($A357=0,0,ROUND(SomaAgrupBM,15-13*ORÇAMENTO!$AF$11)))</f>
        <v>0</v>
      </c>
      <c r="Q357" s="338"/>
      <c r="R357" s="339"/>
      <c r="T357" s="118" t="str">
        <f t="shared" ca="1" si="40"/>
        <v/>
      </c>
      <c r="U357" s="164" t="str">
        <f t="shared" ca="1" si="41"/>
        <v/>
      </c>
      <c r="V357" s="165" t="str">
        <f ca="1">IF(AND($W357&gt;0,RegimeExecucao="Unitário"),$F357,"")</f>
        <v/>
      </c>
      <c r="W357" s="455">
        <f ca="1">IF($Y357&gt;0,CHOOSE(MATCH(RegimeExecucao,{"Unitário","Global"},0),IF($A357="S",$Y357/$X357,""),($Y357/$X357)*100),0)</f>
        <v>0</v>
      </c>
      <c r="X357" s="340" t="str">
        <f ca="1">IF($Y357&gt;0,CHOOSE(MATCH(RegimeExecucao,{"Unitário","Global"},0),IF($A357="S",ROUND($H357,ORÇAMENTO!$AF$10),""),ROUND($I357,ORÇAMENTO!$AF$11)),"")</f>
        <v/>
      </c>
      <c r="Y357" s="340">
        <f t="shared" ca="1" si="42"/>
        <v>0</v>
      </c>
      <c r="Z357" s="474"/>
      <c r="AB357" s="338"/>
      <c r="AC357" s="438"/>
      <c r="AD357" s="438"/>
      <c r="AE357" s="438"/>
      <c r="AF357" s="438"/>
      <c r="AG357" s="438"/>
      <c r="AH357" s="438"/>
      <c r="AI357" s="438"/>
      <c r="AJ357" s="438"/>
      <c r="AK357" s="438"/>
      <c r="AL357" s="438"/>
      <c r="AM357" s="339"/>
      <c r="AO357">
        <f ca="1">IF($A357="S",IF(BM!$I357=0,0,CHOOSE(MATCH(RegimeExecucao,{"Global","Unitário"},0),ROUND(ROUND(BM.MEDAcumulado,15-13*BM!$A$9)/100*BM!$I357,15-13*ORÇAMENTO!$AF$11),ROUND(ROUND(BM.MEDAcumulado,15-13*BM!$A$9)*ROUND(BM!$H357,15-13*ORÇAMENTO!$AF$10),15-13*ORÇAMENTO!$AF$11))),IF($A357=0,0,ROUND(SomaAgrupBM,15-13*ORÇAMENTO!$AF$11)))</f>
        <v>0</v>
      </c>
    </row>
    <row r="358" spans="1:41" ht="38.25" x14ac:dyDescent="0.2">
      <c r="A358" t="str">
        <f ca="1">ORÇAMENTO!C358</f>
        <v>S</v>
      </c>
      <c r="B358">
        <f ca="1">ORÇAMENTO!D358</f>
        <v>0</v>
      </c>
      <c r="C358" s="115" t="str">
        <f t="shared" ca="1" si="36"/>
        <v/>
      </c>
      <c r="D358" s="118" t="str">
        <f ca="1">ORÇAMENTO!O358</f>
        <v>-</v>
      </c>
      <c r="E358" s="164" t="str">
        <f t="shared" si="37"/>
        <v>ARMAÇÃO DE PILAR OU VIGA DE ESTRUTURA CONVENCIONAL DE CONCRETO ARMADO UTILIZANDO AÇO CA-50 DE 10,0 MM - MONTAGEM. AF_06/2022</v>
      </c>
      <c r="F358" s="165" t="str">
        <f ca="1">IF(RegimeExecucao="Global","",ORÇAMENTO.Unidade)</f>
        <v>KG</v>
      </c>
      <c r="G358" s="123">
        <f ca="1">IF(RegimeExecucao="Global","",ORÇAMENTO!T358)</f>
        <v>135.12</v>
      </c>
      <c r="H358" s="123">
        <f ca="1">IF(RegimeExecucao="Global","",ORÇAMENTO!W358)</f>
        <v>0</v>
      </c>
      <c r="I358" s="126">
        <f ca="1">ORÇAMENTO!X358</f>
        <v>0</v>
      </c>
      <c r="J358" s="334" t="e" cm="1">
        <f t="array" aca="1" ref="J358" ca="1">_xlfn.SINGLE(IF($A358="S",IF(CAIXA.Modo,BM.AFAnterior,BM.MEDAnterior),IF(AND(_xlfn.SINGLE(RegimeExecucao)="Global",$I358&gt;0,COUNTIF($AB$13:$AM$13,BM.medicao-1)&gt;0),M358/$I358*100,0)))</f>
        <v>#NAME?</v>
      </c>
      <c r="K358" s="123" t="e">
        <f t="shared" ca="1" si="38"/>
        <v>#NAME?</v>
      </c>
      <c r="L358" s="335" t="e" cm="1">
        <f t="array" aca="1" ref="L358" ca="1">_xlfn.SINGLE(IF($A358="S",IF(CAIXA.Modo,BM.AFAcumulado,BM.MEDAcumulado),IF(AND(_xlfn.SINGLE(RegimeExecucao)="Global",$I358&gt;0,COUNTIF($AB$13:$AM$13,BM.medicao)&gt;0),O358/$I358*100,0)))</f>
        <v>#NAME?</v>
      </c>
      <c r="M358" s="336">
        <f ca="1">IF($A358="S",VTOTALBM,IF($A358=0,0,ROUND(SomaAgrupBM,15-13*ORÇAMENTO!$AF$11)))</f>
        <v>0</v>
      </c>
      <c r="N358" s="337">
        <f t="shared" ca="1" si="39"/>
        <v>0</v>
      </c>
      <c r="O358" s="126">
        <f ca="1">IF($A358="S",VTOTALBM,IF($A358=0,0,ROUND(SomaAgrupBM,15-13*ORÇAMENTO!$AF$11)))</f>
        <v>0</v>
      </c>
      <c r="Q358" s="338"/>
      <c r="R358" s="339"/>
      <c r="T358" s="118" t="str">
        <f t="shared" ca="1" si="40"/>
        <v/>
      </c>
      <c r="U358" s="164" t="str">
        <f t="shared" ca="1" si="41"/>
        <v/>
      </c>
      <c r="V358" s="165" t="str">
        <f ca="1">IF(AND($W358&gt;0,RegimeExecucao="Unitário"),$F358,"")</f>
        <v/>
      </c>
      <c r="W358" s="455">
        <f ca="1">IF($Y358&gt;0,CHOOSE(MATCH(RegimeExecucao,{"Unitário","Global"},0),IF($A358="S",$Y358/$X358,""),($Y358/$X358)*100),0)</f>
        <v>0</v>
      </c>
      <c r="X358" s="340" t="str">
        <f ca="1">IF($Y358&gt;0,CHOOSE(MATCH(RegimeExecucao,{"Unitário","Global"},0),IF($A358="S",ROUND($H358,ORÇAMENTO!$AF$10),""),ROUND($I358,ORÇAMENTO!$AF$11)),"")</f>
        <v/>
      </c>
      <c r="Y358" s="340">
        <f t="shared" ca="1" si="42"/>
        <v>0</v>
      </c>
      <c r="Z358" s="474"/>
      <c r="AB358" s="338"/>
      <c r="AC358" s="438"/>
      <c r="AD358" s="438"/>
      <c r="AE358" s="438"/>
      <c r="AF358" s="438"/>
      <c r="AG358" s="438"/>
      <c r="AH358" s="438"/>
      <c r="AI358" s="438"/>
      <c r="AJ358" s="438"/>
      <c r="AK358" s="438"/>
      <c r="AL358" s="438"/>
      <c r="AM358" s="339"/>
      <c r="AO358">
        <f ca="1">IF($A358="S",IF(BM!$I358=0,0,CHOOSE(MATCH(RegimeExecucao,{"Global","Unitário"},0),ROUND(ROUND(BM.MEDAcumulado,15-13*BM!$A$9)/100*BM!$I358,15-13*ORÇAMENTO!$AF$11),ROUND(ROUND(BM.MEDAcumulado,15-13*BM!$A$9)*ROUND(BM!$H358,15-13*ORÇAMENTO!$AF$10),15-13*ORÇAMENTO!$AF$11))),IF($A358=0,0,ROUND(SomaAgrupBM,15-13*ORÇAMENTO!$AF$11)))</f>
        <v>0</v>
      </c>
    </row>
    <row r="359" spans="1:41" ht="25.5" x14ac:dyDescent="0.2">
      <c r="A359" t="str">
        <f ca="1">ORÇAMENTO!C359</f>
        <v>S</v>
      </c>
      <c r="B359">
        <f ca="1">ORÇAMENTO!D359</f>
        <v>0</v>
      </c>
      <c r="C359" s="115" t="str">
        <f t="shared" ca="1" si="36"/>
        <v/>
      </c>
      <c r="D359" s="118" t="str">
        <f ca="1">ORÇAMENTO!O359</f>
        <v>-</v>
      </c>
      <c r="E359" s="164" t="str">
        <f t="shared" si="37"/>
        <v>CONCRETAGEM DE SAPATA, FCK 30 MPA, COM USO DE BOMBA - LANÇAMENTO, ADENSAMENTO E ACABAMENTO. AF_01/2024</v>
      </c>
      <c r="F359" s="165" t="str">
        <f ca="1">IF(RegimeExecucao="Global","",ORÇAMENTO.Unidade)</f>
        <v>M3</v>
      </c>
      <c r="G359" s="123">
        <f ca="1">IF(RegimeExecucao="Global","",ORÇAMENTO!T359)</f>
        <v>2.4900000000000002</v>
      </c>
      <c r="H359" s="123">
        <f ca="1">IF(RegimeExecucao="Global","",ORÇAMENTO!W359)</f>
        <v>0</v>
      </c>
      <c r="I359" s="126">
        <f ca="1">ORÇAMENTO!X359</f>
        <v>0</v>
      </c>
      <c r="J359" s="334" t="e" cm="1">
        <f t="array" aca="1" ref="J359" ca="1">_xlfn.SINGLE(IF($A359="S",IF(CAIXA.Modo,BM.AFAnterior,BM.MEDAnterior),IF(AND(_xlfn.SINGLE(RegimeExecucao)="Global",$I359&gt;0,COUNTIF($AB$13:$AM$13,BM.medicao-1)&gt;0),M359/$I359*100,0)))</f>
        <v>#NAME?</v>
      </c>
      <c r="K359" s="123" t="e">
        <f t="shared" ca="1" si="38"/>
        <v>#NAME?</v>
      </c>
      <c r="L359" s="335" t="e" cm="1">
        <f t="array" aca="1" ref="L359" ca="1">_xlfn.SINGLE(IF($A359="S",IF(CAIXA.Modo,BM.AFAcumulado,BM.MEDAcumulado),IF(AND(_xlfn.SINGLE(RegimeExecucao)="Global",$I359&gt;0,COUNTIF($AB$13:$AM$13,BM.medicao)&gt;0),O359/$I359*100,0)))</f>
        <v>#NAME?</v>
      </c>
      <c r="M359" s="336">
        <f ca="1">IF($A359="S",VTOTALBM,IF($A359=0,0,ROUND(SomaAgrupBM,15-13*ORÇAMENTO!$AF$11)))</f>
        <v>0</v>
      </c>
      <c r="N359" s="337">
        <f t="shared" ca="1" si="39"/>
        <v>0</v>
      </c>
      <c r="O359" s="126">
        <f ca="1">IF($A359="S",VTOTALBM,IF($A359=0,0,ROUND(SomaAgrupBM,15-13*ORÇAMENTO!$AF$11)))</f>
        <v>0</v>
      </c>
      <c r="Q359" s="338"/>
      <c r="R359" s="339"/>
      <c r="T359" s="118" t="str">
        <f t="shared" ca="1" si="40"/>
        <v/>
      </c>
      <c r="U359" s="164" t="str">
        <f t="shared" ca="1" si="41"/>
        <v/>
      </c>
      <c r="V359" s="165" t="str">
        <f ca="1">IF(AND($W359&gt;0,RegimeExecucao="Unitário"),$F359,"")</f>
        <v/>
      </c>
      <c r="W359" s="455">
        <f ca="1">IF($Y359&gt;0,CHOOSE(MATCH(RegimeExecucao,{"Unitário","Global"},0),IF($A359="S",$Y359/$X359,""),($Y359/$X359)*100),0)</f>
        <v>0</v>
      </c>
      <c r="X359" s="340" t="str">
        <f ca="1">IF($Y359&gt;0,CHOOSE(MATCH(RegimeExecucao,{"Unitário","Global"},0),IF($A359="S",ROUND($H359,ORÇAMENTO!$AF$10),""),ROUND($I359,ORÇAMENTO!$AF$11)),"")</f>
        <v/>
      </c>
      <c r="Y359" s="340">
        <f t="shared" ca="1" si="42"/>
        <v>0</v>
      </c>
      <c r="Z359" s="474"/>
      <c r="AB359" s="338"/>
      <c r="AC359" s="438"/>
      <c r="AD359" s="438"/>
      <c r="AE359" s="438"/>
      <c r="AF359" s="438"/>
      <c r="AG359" s="438"/>
      <c r="AH359" s="438"/>
      <c r="AI359" s="438"/>
      <c r="AJ359" s="438"/>
      <c r="AK359" s="438"/>
      <c r="AL359" s="438"/>
      <c r="AM359" s="339"/>
      <c r="AO359">
        <f ca="1">IF($A359="S",IF(BM!$I359=0,0,CHOOSE(MATCH(RegimeExecucao,{"Global","Unitário"},0),ROUND(ROUND(BM.MEDAcumulado,15-13*BM!$A$9)/100*BM!$I359,15-13*ORÇAMENTO!$AF$11),ROUND(ROUND(BM.MEDAcumulado,15-13*BM!$A$9)*ROUND(BM!$H359,15-13*ORÇAMENTO!$AF$10),15-13*ORÇAMENTO!$AF$11))),IF($A359=0,0,ROUND(SomaAgrupBM,15-13*ORÇAMENTO!$AF$11)))</f>
        <v>0</v>
      </c>
    </row>
    <row r="360" spans="1:41" ht="38.25" x14ac:dyDescent="0.2">
      <c r="A360" t="str">
        <f ca="1">ORÇAMENTO!C360</f>
        <v>S</v>
      </c>
      <c r="B360">
        <f ca="1">ORÇAMENTO!D360</f>
        <v>0</v>
      </c>
      <c r="C360" s="115" t="str">
        <f t="shared" ca="1" si="36"/>
        <v/>
      </c>
      <c r="D360" s="118" t="str">
        <f ca="1">ORÇAMENTO!O360</f>
        <v>-</v>
      </c>
      <c r="E360" s="164" t="str">
        <f t="shared" si="37"/>
        <v>CONCRETAGEM DE BLOCO DE COROAMENTO OU VIGA BALDRAME, FCK 30 MPA, COM USO DE BOMBA - LANÇAMENTO, ADENSAMENTO E ACABAMENTO. AF_01/2024</v>
      </c>
      <c r="F360" s="165" t="str">
        <f ca="1">IF(RegimeExecucao="Global","",ORÇAMENTO.Unidade)</f>
        <v>M3</v>
      </c>
      <c r="G360" s="123">
        <f ca="1">IF(RegimeExecucao="Global","",ORÇAMENTO!T360)</f>
        <v>12.29</v>
      </c>
      <c r="H360" s="123">
        <f ca="1">IF(RegimeExecucao="Global","",ORÇAMENTO!W360)</f>
        <v>0</v>
      </c>
      <c r="I360" s="126">
        <f ca="1">ORÇAMENTO!X360</f>
        <v>0</v>
      </c>
      <c r="J360" s="334" t="e" cm="1">
        <f t="array" aca="1" ref="J360" ca="1">_xlfn.SINGLE(IF($A360="S",IF(CAIXA.Modo,BM.AFAnterior,BM.MEDAnterior),IF(AND(_xlfn.SINGLE(RegimeExecucao)="Global",$I360&gt;0,COUNTIF($AB$13:$AM$13,BM.medicao-1)&gt;0),M360/$I360*100,0)))</f>
        <v>#NAME?</v>
      </c>
      <c r="K360" s="123" t="e">
        <f t="shared" ca="1" si="38"/>
        <v>#NAME?</v>
      </c>
      <c r="L360" s="335" t="e" cm="1">
        <f t="array" aca="1" ref="L360" ca="1">_xlfn.SINGLE(IF($A360="S",IF(CAIXA.Modo,BM.AFAcumulado,BM.MEDAcumulado),IF(AND(_xlfn.SINGLE(RegimeExecucao)="Global",$I360&gt;0,COUNTIF($AB$13:$AM$13,BM.medicao)&gt;0),O360/$I360*100,0)))</f>
        <v>#NAME?</v>
      </c>
      <c r="M360" s="336">
        <f ca="1">IF($A360="S",VTOTALBM,IF($A360=0,0,ROUND(SomaAgrupBM,15-13*ORÇAMENTO!$AF$11)))</f>
        <v>0</v>
      </c>
      <c r="N360" s="337">
        <f t="shared" ca="1" si="39"/>
        <v>0</v>
      </c>
      <c r="O360" s="126">
        <f ca="1">IF($A360="S",VTOTALBM,IF($A360=0,0,ROUND(SomaAgrupBM,15-13*ORÇAMENTO!$AF$11)))</f>
        <v>0</v>
      </c>
      <c r="Q360" s="338"/>
      <c r="R360" s="339"/>
      <c r="T360" s="118" t="str">
        <f t="shared" ca="1" si="40"/>
        <v/>
      </c>
      <c r="U360" s="164" t="str">
        <f t="shared" ca="1" si="41"/>
        <v/>
      </c>
      <c r="V360" s="165" t="str">
        <f ca="1">IF(AND($W360&gt;0,RegimeExecucao="Unitário"),$F360,"")</f>
        <v/>
      </c>
      <c r="W360" s="455">
        <f ca="1">IF($Y360&gt;0,CHOOSE(MATCH(RegimeExecucao,{"Unitário","Global"},0),IF($A360="S",$Y360/$X360,""),($Y360/$X360)*100),0)</f>
        <v>0</v>
      </c>
      <c r="X360" s="340" t="str">
        <f ca="1">IF($Y360&gt;0,CHOOSE(MATCH(RegimeExecucao,{"Unitário","Global"},0),IF($A360="S",ROUND($H360,ORÇAMENTO!$AF$10),""),ROUND($I360,ORÇAMENTO!$AF$11)),"")</f>
        <v/>
      </c>
      <c r="Y360" s="340">
        <f t="shared" ca="1" si="42"/>
        <v>0</v>
      </c>
      <c r="Z360" s="474"/>
      <c r="AB360" s="338"/>
      <c r="AC360" s="438"/>
      <c r="AD360" s="438"/>
      <c r="AE360" s="438"/>
      <c r="AF360" s="438"/>
      <c r="AG360" s="438"/>
      <c r="AH360" s="438"/>
      <c r="AI360" s="438"/>
      <c r="AJ360" s="438"/>
      <c r="AK360" s="438"/>
      <c r="AL360" s="438"/>
      <c r="AM360" s="339"/>
      <c r="AO360">
        <f ca="1">IF($A360="S",IF(BM!$I360=0,0,CHOOSE(MATCH(RegimeExecucao,{"Global","Unitário"},0),ROUND(ROUND(BM.MEDAcumulado,15-13*BM!$A$9)/100*BM!$I360,15-13*ORÇAMENTO!$AF$11),ROUND(ROUND(BM.MEDAcumulado,15-13*BM!$A$9)*ROUND(BM!$H360,15-13*ORÇAMENTO!$AF$10),15-13*ORÇAMENTO!$AF$11))),IF($A360=0,0,ROUND(SomaAgrupBM,15-13*ORÇAMENTO!$AF$11)))</f>
        <v>0</v>
      </c>
    </row>
    <row r="361" spans="1:41" ht="25.5" x14ac:dyDescent="0.2">
      <c r="A361" t="str">
        <f ca="1">ORÇAMENTO!C361</f>
        <v>S</v>
      </c>
      <c r="B361">
        <f ca="1">ORÇAMENTO!D361</f>
        <v>0</v>
      </c>
      <c r="C361" s="115" t="str">
        <f t="shared" ca="1" si="36"/>
        <v/>
      </c>
      <c r="D361" s="118" t="str">
        <f ca="1">ORÇAMENTO!O361</f>
        <v>-</v>
      </c>
      <c r="E361" s="164" t="str">
        <f t="shared" si="37"/>
        <v>CONCRETAGEM DE PILARES, FCK = 25 MPA, COM USO DE BOMBA - LANÇAMENTO, ADENSAMENTO E ACABAMENTO. AF_02/2022_PS</v>
      </c>
      <c r="F361" s="165" t="str">
        <f ca="1">IF(RegimeExecucao="Global","",ORÇAMENTO.Unidade)</f>
        <v>M3</v>
      </c>
      <c r="G361" s="123">
        <f ca="1">IF(RegimeExecucao="Global","",ORÇAMENTO!T361)</f>
        <v>3.04</v>
      </c>
      <c r="H361" s="123">
        <f ca="1">IF(RegimeExecucao="Global","",ORÇAMENTO!W361)</f>
        <v>0</v>
      </c>
      <c r="I361" s="126">
        <f ca="1">ORÇAMENTO!X361</f>
        <v>0</v>
      </c>
      <c r="J361" s="334" t="e" cm="1">
        <f t="array" aca="1" ref="J361" ca="1">_xlfn.SINGLE(IF($A361="S",IF(CAIXA.Modo,BM.AFAnterior,BM.MEDAnterior),IF(AND(_xlfn.SINGLE(RegimeExecucao)="Global",$I361&gt;0,COUNTIF($AB$13:$AM$13,BM.medicao-1)&gt;0),M361/$I361*100,0)))</f>
        <v>#NAME?</v>
      </c>
      <c r="K361" s="123" t="e">
        <f t="shared" ca="1" si="38"/>
        <v>#NAME?</v>
      </c>
      <c r="L361" s="335" t="e" cm="1">
        <f t="array" aca="1" ref="L361" ca="1">_xlfn.SINGLE(IF($A361="S",IF(CAIXA.Modo,BM.AFAcumulado,BM.MEDAcumulado),IF(AND(_xlfn.SINGLE(RegimeExecucao)="Global",$I361&gt;0,COUNTIF($AB$13:$AM$13,BM.medicao)&gt;0),O361/$I361*100,0)))</f>
        <v>#NAME?</v>
      </c>
      <c r="M361" s="336">
        <f ca="1">IF($A361="S",VTOTALBM,IF($A361=0,0,ROUND(SomaAgrupBM,15-13*ORÇAMENTO!$AF$11)))</f>
        <v>0</v>
      </c>
      <c r="N361" s="337">
        <f t="shared" ca="1" si="39"/>
        <v>0</v>
      </c>
      <c r="O361" s="126">
        <f ca="1">IF($A361="S",VTOTALBM,IF($A361=0,0,ROUND(SomaAgrupBM,15-13*ORÇAMENTO!$AF$11)))</f>
        <v>0</v>
      </c>
      <c r="Q361" s="338"/>
      <c r="R361" s="339"/>
      <c r="T361" s="118" t="str">
        <f t="shared" ca="1" si="40"/>
        <v/>
      </c>
      <c r="U361" s="164" t="str">
        <f t="shared" ca="1" si="41"/>
        <v/>
      </c>
      <c r="V361" s="165" t="str">
        <f ca="1">IF(AND($W361&gt;0,RegimeExecucao="Unitário"),$F361,"")</f>
        <v/>
      </c>
      <c r="W361" s="455">
        <f ca="1">IF($Y361&gt;0,CHOOSE(MATCH(RegimeExecucao,{"Unitário","Global"},0),IF($A361="S",$Y361/$X361,""),($Y361/$X361)*100),0)</f>
        <v>0</v>
      </c>
      <c r="X361" s="340" t="str">
        <f ca="1">IF($Y361&gt;0,CHOOSE(MATCH(RegimeExecucao,{"Unitário","Global"},0),IF($A361="S",ROUND($H361,ORÇAMENTO!$AF$10),""),ROUND($I361,ORÇAMENTO!$AF$11)),"")</f>
        <v/>
      </c>
      <c r="Y361" s="340">
        <f t="shared" ca="1" si="42"/>
        <v>0</v>
      </c>
      <c r="Z361" s="474"/>
      <c r="AB361" s="338"/>
      <c r="AC361" s="438"/>
      <c r="AD361" s="438"/>
      <c r="AE361" s="438"/>
      <c r="AF361" s="438"/>
      <c r="AG361" s="438"/>
      <c r="AH361" s="438"/>
      <c r="AI361" s="438"/>
      <c r="AJ361" s="438"/>
      <c r="AK361" s="438"/>
      <c r="AL361" s="438"/>
      <c r="AM361" s="339"/>
      <c r="AO361">
        <f ca="1">IF($A361="S",IF(BM!$I361=0,0,CHOOSE(MATCH(RegimeExecucao,{"Global","Unitário"},0),ROUND(ROUND(BM.MEDAcumulado,15-13*BM!$A$9)/100*BM!$I361,15-13*ORÇAMENTO!$AF$11),ROUND(ROUND(BM.MEDAcumulado,15-13*BM!$A$9)*ROUND(BM!$H361,15-13*ORÇAMENTO!$AF$10),15-13*ORÇAMENTO!$AF$11))),IF($A361=0,0,ROUND(SomaAgrupBM,15-13*ORÇAMENTO!$AF$11)))</f>
        <v>0</v>
      </c>
    </row>
    <row r="362" spans="1:41" ht="51" x14ac:dyDescent="0.2">
      <c r="A362" t="str">
        <f ca="1">ORÇAMENTO!C362</f>
        <v>S</v>
      </c>
      <c r="B362">
        <f ca="1">ORÇAMENTO!D362</f>
        <v>0</v>
      </c>
      <c r="C362" s="115" t="str">
        <f t="shared" ca="1" si="36"/>
        <v/>
      </c>
      <c r="D362" s="118" t="str">
        <f ca="1">ORÇAMENTO!O362</f>
        <v>-</v>
      </c>
      <c r="E362" s="164" t="str">
        <f t="shared" si="37"/>
        <v>ALVENARIA DE VEDAÇÃO DE BLOCOS CERÂMICOS FURADOS NA HORIZONTAL DE 11,5X19X19 CM (ESPESSURA 11,5 CM) E ARGAMASSA DE ASSENTAMENTO COM PREPARO MANUAL. AF_12/2021</v>
      </c>
      <c r="F362" s="165" t="str">
        <f ca="1">IF(RegimeExecucao="Global","",ORÇAMENTO.Unidade)</f>
        <v>M2</v>
      </c>
      <c r="G362" s="123">
        <f ca="1">IF(RegimeExecucao="Global","",ORÇAMENTO!T362)</f>
        <v>207.84</v>
      </c>
      <c r="H362" s="123">
        <f ca="1">IF(RegimeExecucao="Global","",ORÇAMENTO!W362)</f>
        <v>0</v>
      </c>
      <c r="I362" s="126">
        <f ca="1">ORÇAMENTO!X362</f>
        <v>0</v>
      </c>
      <c r="J362" s="334" t="e" cm="1">
        <f t="array" aca="1" ref="J362" ca="1">_xlfn.SINGLE(IF($A362="S",IF(CAIXA.Modo,BM.AFAnterior,BM.MEDAnterior),IF(AND(_xlfn.SINGLE(RegimeExecucao)="Global",$I362&gt;0,COUNTIF($AB$13:$AM$13,BM.medicao-1)&gt;0),M362/$I362*100,0)))</f>
        <v>#NAME?</v>
      </c>
      <c r="K362" s="123" t="e">
        <f t="shared" ca="1" si="38"/>
        <v>#NAME?</v>
      </c>
      <c r="L362" s="335" t="e" cm="1">
        <f t="array" aca="1" ref="L362" ca="1">_xlfn.SINGLE(IF($A362="S",IF(CAIXA.Modo,BM.AFAcumulado,BM.MEDAcumulado),IF(AND(_xlfn.SINGLE(RegimeExecucao)="Global",$I362&gt;0,COUNTIF($AB$13:$AM$13,BM.medicao)&gt;0),O362/$I362*100,0)))</f>
        <v>#NAME?</v>
      </c>
      <c r="M362" s="336">
        <f ca="1">IF($A362="S",VTOTALBM,IF($A362=0,0,ROUND(SomaAgrupBM,15-13*ORÇAMENTO!$AF$11)))</f>
        <v>0</v>
      </c>
      <c r="N362" s="337">
        <f t="shared" ca="1" si="39"/>
        <v>0</v>
      </c>
      <c r="O362" s="126">
        <f ca="1">IF($A362="S",VTOTALBM,IF($A362=0,0,ROUND(SomaAgrupBM,15-13*ORÇAMENTO!$AF$11)))</f>
        <v>0</v>
      </c>
      <c r="Q362" s="338"/>
      <c r="R362" s="339"/>
      <c r="T362" s="118" t="str">
        <f t="shared" ca="1" si="40"/>
        <v/>
      </c>
      <c r="U362" s="164" t="str">
        <f t="shared" ca="1" si="41"/>
        <v/>
      </c>
      <c r="V362" s="165" t="str">
        <f ca="1">IF(AND($W362&gt;0,RegimeExecucao="Unitário"),$F362,"")</f>
        <v/>
      </c>
      <c r="W362" s="455">
        <f ca="1">IF($Y362&gt;0,CHOOSE(MATCH(RegimeExecucao,{"Unitário","Global"},0),IF($A362="S",$Y362/$X362,""),($Y362/$X362)*100),0)</f>
        <v>0</v>
      </c>
      <c r="X362" s="340" t="str">
        <f ca="1">IF($Y362&gt;0,CHOOSE(MATCH(RegimeExecucao,{"Unitário","Global"},0),IF($A362="S",ROUND($H362,ORÇAMENTO!$AF$10),""),ROUND($I362,ORÇAMENTO!$AF$11)),"")</f>
        <v/>
      </c>
      <c r="Y362" s="340">
        <f t="shared" ca="1" si="42"/>
        <v>0</v>
      </c>
      <c r="Z362" s="474"/>
      <c r="AB362" s="338"/>
      <c r="AC362" s="438"/>
      <c r="AD362" s="438"/>
      <c r="AE362" s="438"/>
      <c r="AF362" s="438"/>
      <c r="AG362" s="438"/>
      <c r="AH362" s="438"/>
      <c r="AI362" s="438"/>
      <c r="AJ362" s="438"/>
      <c r="AK362" s="438"/>
      <c r="AL362" s="438"/>
      <c r="AM362" s="339"/>
      <c r="AO362">
        <f ca="1">IF($A362="S",IF(BM!$I362=0,0,CHOOSE(MATCH(RegimeExecucao,{"Global","Unitário"},0),ROUND(ROUND(BM.MEDAcumulado,15-13*BM!$A$9)/100*BM!$I362,15-13*ORÇAMENTO!$AF$11),ROUND(ROUND(BM.MEDAcumulado,15-13*BM!$A$9)*ROUND(BM!$H362,15-13*ORÇAMENTO!$AF$10),15-13*ORÇAMENTO!$AF$11))),IF($A362=0,0,ROUND(SomaAgrupBM,15-13*ORÇAMENTO!$AF$11)))</f>
        <v>0</v>
      </c>
    </row>
    <row r="363" spans="1:41" ht="38.25" x14ac:dyDescent="0.2">
      <c r="A363" t="str">
        <f ca="1">ORÇAMENTO!C363</f>
        <v>S</v>
      </c>
      <c r="B363">
        <f ca="1">ORÇAMENTO!D363</f>
        <v>0</v>
      </c>
      <c r="C363" s="115" t="str">
        <f t="shared" ca="1" si="36"/>
        <v/>
      </c>
      <c r="D363" s="118" t="str">
        <f ca="1">ORÇAMENTO!O363</f>
        <v>-</v>
      </c>
      <c r="E363" s="164" t="str">
        <f t="shared" si="37"/>
        <v>CHAPISCO APLICADO EM ALVENARIAS E ESTRUTURAS DE CONCRETO INTERNAS, COM COLHER DE PEDREIRO.  ARGAMASSA TRAÇO 1:3 COM PREPARO EM BETONEIRA 400L. AF_10/2022</v>
      </c>
      <c r="F363" s="165" t="str">
        <f ca="1">IF(RegimeExecucao="Global","",ORÇAMENTO.Unidade)</f>
        <v>M2</v>
      </c>
      <c r="G363" s="123">
        <f ca="1">IF(RegimeExecucao="Global","",ORÇAMENTO!T363)</f>
        <v>498.89</v>
      </c>
      <c r="H363" s="123">
        <f ca="1">IF(RegimeExecucao="Global","",ORÇAMENTO!W363)</f>
        <v>0</v>
      </c>
      <c r="I363" s="126">
        <f ca="1">ORÇAMENTO!X363</f>
        <v>0</v>
      </c>
      <c r="J363" s="334" t="e" cm="1">
        <f t="array" aca="1" ref="J363" ca="1">_xlfn.SINGLE(IF($A363="S",IF(CAIXA.Modo,BM.AFAnterior,BM.MEDAnterior),IF(AND(_xlfn.SINGLE(RegimeExecucao)="Global",$I363&gt;0,COUNTIF($AB$13:$AM$13,BM.medicao-1)&gt;0),M363/$I363*100,0)))</f>
        <v>#NAME?</v>
      </c>
      <c r="K363" s="123" t="e">
        <f t="shared" ca="1" si="38"/>
        <v>#NAME?</v>
      </c>
      <c r="L363" s="335" t="e" cm="1">
        <f t="array" aca="1" ref="L363" ca="1">_xlfn.SINGLE(IF($A363="S",IF(CAIXA.Modo,BM.AFAcumulado,BM.MEDAcumulado),IF(AND(_xlfn.SINGLE(RegimeExecucao)="Global",$I363&gt;0,COUNTIF($AB$13:$AM$13,BM.medicao)&gt;0),O363/$I363*100,0)))</f>
        <v>#NAME?</v>
      </c>
      <c r="M363" s="336">
        <f ca="1">IF($A363="S",VTOTALBM,IF($A363=0,0,ROUND(SomaAgrupBM,15-13*ORÇAMENTO!$AF$11)))</f>
        <v>0</v>
      </c>
      <c r="N363" s="337">
        <f t="shared" ca="1" si="39"/>
        <v>0</v>
      </c>
      <c r="O363" s="126">
        <f ca="1">IF($A363="S",VTOTALBM,IF($A363=0,0,ROUND(SomaAgrupBM,15-13*ORÇAMENTO!$AF$11)))</f>
        <v>0</v>
      </c>
      <c r="Q363" s="338"/>
      <c r="R363" s="339"/>
      <c r="T363" s="118" t="str">
        <f t="shared" ca="1" si="40"/>
        <v/>
      </c>
      <c r="U363" s="164" t="str">
        <f t="shared" ca="1" si="41"/>
        <v/>
      </c>
      <c r="V363" s="165" t="str">
        <f ca="1">IF(AND($W363&gt;0,RegimeExecucao="Unitário"),$F363,"")</f>
        <v/>
      </c>
      <c r="W363" s="455">
        <f ca="1">IF($Y363&gt;0,CHOOSE(MATCH(RegimeExecucao,{"Unitário","Global"},0),IF($A363="S",$Y363/$X363,""),($Y363/$X363)*100),0)</f>
        <v>0</v>
      </c>
      <c r="X363" s="340" t="str">
        <f ca="1">IF($Y363&gt;0,CHOOSE(MATCH(RegimeExecucao,{"Unitário","Global"},0),IF($A363="S",ROUND($H363,ORÇAMENTO!$AF$10),""),ROUND($I363,ORÇAMENTO!$AF$11)),"")</f>
        <v/>
      </c>
      <c r="Y363" s="340">
        <f t="shared" ca="1" si="42"/>
        <v>0</v>
      </c>
      <c r="Z363" s="474"/>
      <c r="AB363" s="338"/>
      <c r="AC363" s="438"/>
      <c r="AD363" s="438"/>
      <c r="AE363" s="438"/>
      <c r="AF363" s="438"/>
      <c r="AG363" s="438"/>
      <c r="AH363" s="438"/>
      <c r="AI363" s="438"/>
      <c r="AJ363" s="438"/>
      <c r="AK363" s="438"/>
      <c r="AL363" s="438"/>
      <c r="AM363" s="339"/>
      <c r="AO363">
        <f ca="1">IF($A363="S",IF(BM!$I363=0,0,CHOOSE(MATCH(RegimeExecucao,{"Global","Unitário"},0),ROUND(ROUND(BM.MEDAcumulado,15-13*BM!$A$9)/100*BM!$I363,15-13*ORÇAMENTO!$AF$11),ROUND(ROUND(BM.MEDAcumulado,15-13*BM!$A$9)*ROUND(BM!$H363,15-13*ORÇAMENTO!$AF$10),15-13*ORÇAMENTO!$AF$11))),IF($A363=0,0,ROUND(SomaAgrupBM,15-13*ORÇAMENTO!$AF$11)))</f>
        <v>0</v>
      </c>
    </row>
    <row r="364" spans="1:41" ht="51" x14ac:dyDescent="0.2">
      <c r="A364" t="str">
        <f ca="1">ORÇAMENTO!C364</f>
        <v>S</v>
      </c>
      <c r="B364">
        <f ca="1">ORÇAMENTO!D364</f>
        <v>0</v>
      </c>
      <c r="C364" s="115" t="str">
        <f t="shared" ca="1" si="36"/>
        <v/>
      </c>
      <c r="D364" s="118" t="str">
        <f ca="1">ORÇAMENTO!O364</f>
        <v>-</v>
      </c>
      <c r="E364" s="164" t="str">
        <f t="shared" si="37"/>
        <v>EMBOÇO OU MASSA ÚNICA EM ARGAMASSA TRAÇO 1:2:8, PREPARO MECÂNICO COM BETONEIRA 400 L, APLICADA MANUALMENTE EM PANOS CEGOS DE FACHADA (SEM PRESENÇA DE VÃOS), ESPESSURA DE 25 MM. AF_08/2022</v>
      </c>
      <c r="F364" s="165" t="str">
        <f ca="1">IF(RegimeExecucao="Global","",ORÇAMENTO.Unidade)</f>
        <v>M2</v>
      </c>
      <c r="G364" s="123">
        <f ca="1">IF(RegimeExecucao="Global","",ORÇAMENTO!T364)</f>
        <v>498.89</v>
      </c>
      <c r="H364" s="123">
        <f ca="1">IF(RegimeExecucao="Global","",ORÇAMENTO!W364)</f>
        <v>0</v>
      </c>
      <c r="I364" s="126">
        <f ca="1">ORÇAMENTO!X364</f>
        <v>0</v>
      </c>
      <c r="J364" s="334" t="e" cm="1">
        <f t="array" aca="1" ref="J364" ca="1">_xlfn.SINGLE(IF($A364="S",IF(CAIXA.Modo,BM.AFAnterior,BM.MEDAnterior),IF(AND(_xlfn.SINGLE(RegimeExecucao)="Global",$I364&gt;0,COUNTIF($AB$13:$AM$13,BM.medicao-1)&gt;0),M364/$I364*100,0)))</f>
        <v>#NAME?</v>
      </c>
      <c r="K364" s="123" t="e">
        <f t="shared" ca="1" si="38"/>
        <v>#NAME?</v>
      </c>
      <c r="L364" s="335" t="e" cm="1">
        <f t="array" aca="1" ref="L364" ca="1">_xlfn.SINGLE(IF($A364="S",IF(CAIXA.Modo,BM.AFAcumulado,BM.MEDAcumulado),IF(AND(_xlfn.SINGLE(RegimeExecucao)="Global",$I364&gt;0,COUNTIF($AB$13:$AM$13,BM.medicao)&gt;0),O364/$I364*100,0)))</f>
        <v>#NAME?</v>
      </c>
      <c r="M364" s="336">
        <f ca="1">IF($A364="S",VTOTALBM,IF($A364=0,0,ROUND(SomaAgrupBM,15-13*ORÇAMENTO!$AF$11)))</f>
        <v>0</v>
      </c>
      <c r="N364" s="337">
        <f t="shared" ca="1" si="39"/>
        <v>0</v>
      </c>
      <c r="O364" s="126">
        <f ca="1">IF($A364="S",VTOTALBM,IF($A364=0,0,ROUND(SomaAgrupBM,15-13*ORÇAMENTO!$AF$11)))</f>
        <v>0</v>
      </c>
      <c r="Q364" s="338"/>
      <c r="R364" s="339"/>
      <c r="T364" s="118" t="str">
        <f t="shared" ca="1" si="40"/>
        <v/>
      </c>
      <c r="U364" s="164" t="str">
        <f t="shared" ca="1" si="41"/>
        <v/>
      </c>
      <c r="V364" s="165" t="str">
        <f ca="1">IF(AND($W364&gt;0,RegimeExecucao="Unitário"),$F364,"")</f>
        <v/>
      </c>
      <c r="W364" s="455">
        <f ca="1">IF($Y364&gt;0,CHOOSE(MATCH(RegimeExecucao,{"Unitário","Global"},0),IF($A364="S",$Y364/$X364,""),($Y364/$X364)*100),0)</f>
        <v>0</v>
      </c>
      <c r="X364" s="340" t="str">
        <f ca="1">IF($Y364&gt;0,CHOOSE(MATCH(RegimeExecucao,{"Unitário","Global"},0),IF($A364="S",ROUND($H364,ORÇAMENTO!$AF$10),""),ROUND($I364,ORÇAMENTO!$AF$11)),"")</f>
        <v/>
      </c>
      <c r="Y364" s="340">
        <f t="shared" ca="1" si="42"/>
        <v>0</v>
      </c>
      <c r="Z364" s="474"/>
      <c r="AB364" s="338"/>
      <c r="AC364" s="438"/>
      <c r="AD364" s="438"/>
      <c r="AE364" s="438"/>
      <c r="AF364" s="438"/>
      <c r="AG364" s="438"/>
      <c r="AH364" s="438"/>
      <c r="AI364" s="438"/>
      <c r="AJ364" s="438"/>
      <c r="AK364" s="438"/>
      <c r="AL364" s="438"/>
      <c r="AM364" s="339"/>
      <c r="AO364">
        <f ca="1">IF($A364="S",IF(BM!$I364=0,0,CHOOSE(MATCH(RegimeExecucao,{"Global","Unitário"},0),ROUND(ROUND(BM.MEDAcumulado,15-13*BM!$A$9)/100*BM!$I364,15-13*ORÇAMENTO!$AF$11),ROUND(ROUND(BM.MEDAcumulado,15-13*BM!$A$9)*ROUND(BM!$H364,15-13*ORÇAMENTO!$AF$10),15-13*ORÇAMENTO!$AF$11))),IF($A364=0,0,ROUND(SomaAgrupBM,15-13*ORÇAMENTO!$AF$11)))</f>
        <v>0</v>
      </c>
    </row>
    <row r="365" spans="1:41" ht="25.5" x14ac:dyDescent="0.2">
      <c r="A365" t="str">
        <f ca="1">ORÇAMENTO!C365</f>
        <v>S</v>
      </c>
      <c r="B365">
        <f ca="1">ORÇAMENTO!D365</f>
        <v>0</v>
      </c>
      <c r="C365" s="115" t="str">
        <f t="shared" ca="1" si="36"/>
        <v/>
      </c>
      <c r="D365" s="118" t="str">
        <f ca="1">ORÇAMENTO!O365</f>
        <v>-</v>
      </c>
      <c r="E365" s="164" t="str">
        <f t="shared" si="37"/>
        <v>FUNDO SELADOR ACRÍLICO, APLICAÇÃO MANUAL EM PAREDE, UMA DEMÃO. AF_04/2023</v>
      </c>
      <c r="F365" s="165" t="str">
        <f ca="1">IF(RegimeExecucao="Global","",ORÇAMENTO.Unidade)</f>
        <v>M2</v>
      </c>
      <c r="G365" s="123">
        <f ca="1">IF(RegimeExecucao="Global","",ORÇAMENTO!T365)</f>
        <v>498.89</v>
      </c>
      <c r="H365" s="123">
        <f ca="1">IF(RegimeExecucao="Global","",ORÇAMENTO!W365)</f>
        <v>0</v>
      </c>
      <c r="I365" s="126">
        <f ca="1">ORÇAMENTO!X365</f>
        <v>0</v>
      </c>
      <c r="J365" s="334" t="e" cm="1">
        <f t="array" aca="1" ref="J365" ca="1">_xlfn.SINGLE(IF($A365="S",IF(CAIXA.Modo,BM.AFAnterior,BM.MEDAnterior),IF(AND(_xlfn.SINGLE(RegimeExecucao)="Global",$I365&gt;0,COUNTIF($AB$13:$AM$13,BM.medicao-1)&gt;0),M365/$I365*100,0)))</f>
        <v>#NAME?</v>
      </c>
      <c r="K365" s="123" t="e">
        <f t="shared" ca="1" si="38"/>
        <v>#NAME?</v>
      </c>
      <c r="L365" s="335" t="e" cm="1">
        <f t="array" aca="1" ref="L365" ca="1">_xlfn.SINGLE(IF($A365="S",IF(CAIXA.Modo,BM.AFAcumulado,BM.MEDAcumulado),IF(AND(_xlfn.SINGLE(RegimeExecucao)="Global",$I365&gt;0,COUNTIF($AB$13:$AM$13,BM.medicao)&gt;0),O365/$I365*100,0)))</f>
        <v>#NAME?</v>
      </c>
      <c r="M365" s="336">
        <f ca="1">IF($A365="S",VTOTALBM,IF($A365=0,0,ROUND(SomaAgrupBM,15-13*ORÇAMENTO!$AF$11)))</f>
        <v>0</v>
      </c>
      <c r="N365" s="337">
        <f t="shared" ca="1" si="39"/>
        <v>0</v>
      </c>
      <c r="O365" s="126">
        <f ca="1">IF($A365="S",VTOTALBM,IF($A365=0,0,ROUND(SomaAgrupBM,15-13*ORÇAMENTO!$AF$11)))</f>
        <v>0</v>
      </c>
      <c r="Q365" s="338"/>
      <c r="R365" s="339"/>
      <c r="T365" s="118" t="str">
        <f t="shared" ca="1" si="40"/>
        <v/>
      </c>
      <c r="U365" s="164" t="str">
        <f t="shared" ca="1" si="41"/>
        <v/>
      </c>
      <c r="V365" s="165" t="str">
        <f ca="1">IF(AND($W365&gt;0,RegimeExecucao="Unitário"),$F365,"")</f>
        <v/>
      </c>
      <c r="W365" s="455">
        <f ca="1">IF($Y365&gt;0,CHOOSE(MATCH(RegimeExecucao,{"Unitário","Global"},0),IF($A365="S",$Y365/$X365,""),($Y365/$X365)*100),0)</f>
        <v>0</v>
      </c>
      <c r="X365" s="340" t="str">
        <f ca="1">IF($Y365&gt;0,CHOOSE(MATCH(RegimeExecucao,{"Unitário","Global"},0),IF($A365="S",ROUND($H365,ORÇAMENTO!$AF$10),""),ROUND($I365,ORÇAMENTO!$AF$11)),"")</f>
        <v/>
      </c>
      <c r="Y365" s="340">
        <f t="shared" ca="1" si="42"/>
        <v>0</v>
      </c>
      <c r="Z365" s="474"/>
      <c r="AB365" s="338"/>
      <c r="AC365" s="438"/>
      <c r="AD365" s="438"/>
      <c r="AE365" s="438"/>
      <c r="AF365" s="438"/>
      <c r="AG365" s="438"/>
      <c r="AH365" s="438"/>
      <c r="AI365" s="438"/>
      <c r="AJ365" s="438"/>
      <c r="AK365" s="438"/>
      <c r="AL365" s="438"/>
      <c r="AM365" s="339"/>
      <c r="AO365">
        <f ca="1">IF($A365="S",IF(BM!$I365=0,0,CHOOSE(MATCH(RegimeExecucao,{"Global","Unitário"},0),ROUND(ROUND(BM.MEDAcumulado,15-13*BM!$A$9)/100*BM!$I365,15-13*ORÇAMENTO!$AF$11),ROUND(ROUND(BM.MEDAcumulado,15-13*BM!$A$9)*ROUND(BM!$H365,15-13*ORÇAMENTO!$AF$10),15-13*ORÇAMENTO!$AF$11))),IF($A365=0,0,ROUND(SomaAgrupBM,15-13*ORÇAMENTO!$AF$11)))</f>
        <v>0</v>
      </c>
    </row>
    <row r="366" spans="1:41" ht="25.5" x14ac:dyDescent="0.2">
      <c r="A366" t="str">
        <f ca="1">ORÇAMENTO!C366</f>
        <v>S</v>
      </c>
      <c r="B366">
        <f ca="1">ORÇAMENTO!D366</f>
        <v>0</v>
      </c>
      <c r="C366" s="115" t="str">
        <f t="shared" ca="1" si="36"/>
        <v/>
      </c>
      <c r="D366" s="118" t="str">
        <f ca="1">ORÇAMENTO!O366</f>
        <v>-</v>
      </c>
      <c r="E366" s="164" t="str">
        <f t="shared" si="37"/>
        <v>PINTURA LÁTEX ACRÍLICA PREMIUM, APLICAÇÃO MANUAL EM PAREDES, DUAS DEMÃOS. AF_04/2023</v>
      </c>
      <c r="F366" s="165" t="str">
        <f ca="1">IF(RegimeExecucao="Global","",ORÇAMENTO.Unidade)</f>
        <v>M2</v>
      </c>
      <c r="G366" s="123">
        <f ca="1">IF(RegimeExecucao="Global","",ORÇAMENTO!T366)</f>
        <v>498.89</v>
      </c>
      <c r="H366" s="123">
        <f ca="1">IF(RegimeExecucao="Global","",ORÇAMENTO!W366)</f>
        <v>0</v>
      </c>
      <c r="I366" s="126">
        <f ca="1">ORÇAMENTO!X366</f>
        <v>0</v>
      </c>
      <c r="J366" s="334" t="e" cm="1">
        <f t="array" aca="1" ref="J366" ca="1">_xlfn.SINGLE(IF($A366="S",IF(CAIXA.Modo,BM.AFAnterior,BM.MEDAnterior),IF(AND(_xlfn.SINGLE(RegimeExecucao)="Global",$I366&gt;0,COUNTIF($AB$13:$AM$13,BM.medicao-1)&gt;0),M366/$I366*100,0)))</f>
        <v>#NAME?</v>
      </c>
      <c r="K366" s="123" t="e">
        <f t="shared" ca="1" si="38"/>
        <v>#NAME?</v>
      </c>
      <c r="L366" s="335" t="e" cm="1">
        <f t="array" aca="1" ref="L366" ca="1">_xlfn.SINGLE(IF($A366="S",IF(CAIXA.Modo,BM.AFAcumulado,BM.MEDAcumulado),IF(AND(_xlfn.SINGLE(RegimeExecucao)="Global",$I366&gt;0,COUNTIF($AB$13:$AM$13,BM.medicao)&gt;0),O366/$I366*100,0)))</f>
        <v>#NAME?</v>
      </c>
      <c r="M366" s="336">
        <f ca="1">IF($A366="S",VTOTALBM,IF($A366=0,0,ROUND(SomaAgrupBM,15-13*ORÇAMENTO!$AF$11)))</f>
        <v>0</v>
      </c>
      <c r="N366" s="337">
        <f t="shared" ca="1" si="39"/>
        <v>0</v>
      </c>
      <c r="O366" s="126">
        <f ca="1">IF($A366="S",VTOTALBM,IF($A366=0,0,ROUND(SomaAgrupBM,15-13*ORÇAMENTO!$AF$11)))</f>
        <v>0</v>
      </c>
      <c r="Q366" s="338"/>
      <c r="R366" s="339"/>
      <c r="T366" s="118" t="str">
        <f t="shared" ca="1" si="40"/>
        <v/>
      </c>
      <c r="U366" s="164" t="str">
        <f t="shared" ca="1" si="41"/>
        <v/>
      </c>
      <c r="V366" s="165" t="str">
        <f ca="1">IF(AND($W366&gt;0,RegimeExecucao="Unitário"),$F366,"")</f>
        <v/>
      </c>
      <c r="W366" s="455">
        <f ca="1">IF($Y366&gt;0,CHOOSE(MATCH(RegimeExecucao,{"Unitário","Global"},0),IF($A366="S",$Y366/$X366,""),($Y366/$X366)*100),0)</f>
        <v>0</v>
      </c>
      <c r="X366" s="340" t="str">
        <f ca="1">IF($Y366&gt;0,CHOOSE(MATCH(RegimeExecucao,{"Unitário","Global"},0),IF($A366="S",ROUND($H366,ORÇAMENTO!$AF$10),""),ROUND($I366,ORÇAMENTO!$AF$11)),"")</f>
        <v/>
      </c>
      <c r="Y366" s="340">
        <f t="shared" ca="1" si="42"/>
        <v>0</v>
      </c>
      <c r="Z366" s="474"/>
      <c r="AB366" s="338"/>
      <c r="AC366" s="438"/>
      <c r="AD366" s="438"/>
      <c r="AE366" s="438"/>
      <c r="AF366" s="438"/>
      <c r="AG366" s="438"/>
      <c r="AH366" s="438"/>
      <c r="AI366" s="438"/>
      <c r="AJ366" s="438"/>
      <c r="AK366" s="438"/>
      <c r="AL366" s="438"/>
      <c r="AM366" s="339"/>
      <c r="AO366">
        <f ca="1">IF($A366="S",IF(BM!$I366=0,0,CHOOSE(MATCH(RegimeExecucao,{"Global","Unitário"},0),ROUND(ROUND(BM.MEDAcumulado,15-13*BM!$A$9)/100*BM!$I366,15-13*ORÇAMENTO!$AF$11),ROUND(ROUND(BM.MEDAcumulado,15-13*BM!$A$9)*ROUND(BM!$H366,15-13*ORÇAMENTO!$AF$10),15-13*ORÇAMENTO!$AF$11))),IF($A366=0,0,ROUND(SomaAgrupBM,15-13*ORÇAMENTO!$AF$11)))</f>
        <v>0</v>
      </c>
    </row>
    <row r="367" spans="1:41" ht="51" x14ac:dyDescent="0.2">
      <c r="A367" t="str">
        <f ca="1">ORÇAMENTO!C367</f>
        <v>S</v>
      </c>
      <c r="B367">
        <f ca="1">ORÇAMENTO!D367</f>
        <v>0</v>
      </c>
      <c r="C367" s="115" t="str">
        <f t="shared" ca="1" si="36"/>
        <v/>
      </c>
      <c r="D367" s="118" t="str">
        <f ca="1">ORÇAMENTO!O367</f>
        <v>-</v>
      </c>
      <c r="E367" s="164" t="str">
        <f t="shared" si="37"/>
        <v>CERCA/GRADIL 3D, MALHA 5x20cm - FIO 5mm, 250x203cm (compr x altura), REVESTIMENTO EM POLIESTER POR PROCESSO DE PINTURA ELETROSTÁTICA, INCLUSIVE POSTES E ACESSÓRIOS - FORNECIMENTO E INSTALAÇÃO</v>
      </c>
      <c r="F367" s="165" t="str">
        <f ca="1">IF(RegimeExecucao="Global","",ORÇAMENTO.Unidade)</f>
        <v>UN</v>
      </c>
      <c r="G367" s="123">
        <f ca="1">IF(RegimeExecucao="Global","",ORÇAMENTO!T367)</f>
        <v>62</v>
      </c>
      <c r="H367" s="123">
        <f ca="1">IF(RegimeExecucao="Global","",ORÇAMENTO!W367)</f>
        <v>0</v>
      </c>
      <c r="I367" s="126">
        <f ca="1">ORÇAMENTO!X367</f>
        <v>0</v>
      </c>
      <c r="J367" s="334" t="e" cm="1">
        <f t="array" aca="1" ref="J367" ca="1">_xlfn.SINGLE(IF($A367="S",IF(CAIXA.Modo,BM.AFAnterior,BM.MEDAnterior),IF(AND(_xlfn.SINGLE(RegimeExecucao)="Global",$I367&gt;0,COUNTIF($AB$13:$AM$13,BM.medicao-1)&gt;0),M367/$I367*100,0)))</f>
        <v>#NAME?</v>
      </c>
      <c r="K367" s="123" t="e">
        <f t="shared" ca="1" si="38"/>
        <v>#NAME?</v>
      </c>
      <c r="L367" s="335" t="e" cm="1">
        <f t="array" aca="1" ref="L367" ca="1">_xlfn.SINGLE(IF($A367="S",IF(CAIXA.Modo,BM.AFAcumulado,BM.MEDAcumulado),IF(AND(_xlfn.SINGLE(RegimeExecucao)="Global",$I367&gt;0,COUNTIF($AB$13:$AM$13,BM.medicao)&gt;0),O367/$I367*100,0)))</f>
        <v>#NAME?</v>
      </c>
      <c r="M367" s="336">
        <f ca="1">IF($A367="S",VTOTALBM,IF($A367=0,0,ROUND(SomaAgrupBM,15-13*ORÇAMENTO!$AF$11)))</f>
        <v>0</v>
      </c>
      <c r="N367" s="337">
        <f t="shared" ca="1" si="39"/>
        <v>0</v>
      </c>
      <c r="O367" s="126">
        <f ca="1">IF($A367="S",VTOTALBM,IF($A367=0,0,ROUND(SomaAgrupBM,15-13*ORÇAMENTO!$AF$11)))</f>
        <v>0</v>
      </c>
      <c r="Q367" s="338"/>
      <c r="R367" s="339"/>
      <c r="T367" s="118" t="str">
        <f t="shared" ca="1" si="40"/>
        <v/>
      </c>
      <c r="U367" s="164" t="str">
        <f t="shared" ca="1" si="41"/>
        <v/>
      </c>
      <c r="V367" s="165" t="str">
        <f ca="1">IF(AND($W367&gt;0,RegimeExecucao="Unitário"),$F367,"")</f>
        <v/>
      </c>
      <c r="W367" s="455">
        <f ca="1">IF($Y367&gt;0,CHOOSE(MATCH(RegimeExecucao,{"Unitário","Global"},0),IF($A367="S",$Y367/$X367,""),($Y367/$X367)*100),0)</f>
        <v>0</v>
      </c>
      <c r="X367" s="340" t="str">
        <f ca="1">IF($Y367&gt;0,CHOOSE(MATCH(RegimeExecucao,{"Unitário","Global"},0),IF($A367="S",ROUND($H367,ORÇAMENTO!$AF$10),""),ROUND($I367,ORÇAMENTO!$AF$11)),"")</f>
        <v/>
      </c>
      <c r="Y367" s="340">
        <f t="shared" ca="1" si="42"/>
        <v>0</v>
      </c>
      <c r="Z367" s="474"/>
      <c r="AB367" s="338"/>
      <c r="AC367" s="438"/>
      <c r="AD367" s="438"/>
      <c r="AE367" s="438"/>
      <c r="AF367" s="438"/>
      <c r="AG367" s="438"/>
      <c r="AH367" s="438"/>
      <c r="AI367" s="438"/>
      <c r="AJ367" s="438"/>
      <c r="AK367" s="438"/>
      <c r="AL367" s="438"/>
      <c r="AM367" s="339"/>
      <c r="AO367">
        <f ca="1">IF($A367="S",IF(BM!$I367=0,0,CHOOSE(MATCH(RegimeExecucao,{"Global","Unitário"},0),ROUND(ROUND(BM.MEDAcumulado,15-13*BM!$A$9)/100*BM!$I367,15-13*ORÇAMENTO!$AF$11),ROUND(ROUND(BM.MEDAcumulado,15-13*BM!$A$9)*ROUND(BM!$H367,15-13*ORÇAMENTO!$AF$10),15-13*ORÇAMENTO!$AF$11))),IF($A367=0,0,ROUND(SomaAgrupBM,15-13*ORÇAMENTO!$AF$11)))</f>
        <v>0</v>
      </c>
    </row>
    <row r="368" spans="1:41" x14ac:dyDescent="0.2">
      <c r="A368" t="str">
        <f ca="1">ORÇAMENTO!C368</f>
        <v>S</v>
      </c>
      <c r="B368">
        <f ca="1">ORÇAMENTO!D368</f>
        <v>0</v>
      </c>
      <c r="C368" s="115" t="str">
        <f t="shared" ca="1" si="36"/>
        <v/>
      </c>
      <c r="D368" s="118" t="str">
        <f ca="1">ORÇAMENTO!O368</f>
        <v>-</v>
      </c>
      <c r="E368" s="164" t="str">
        <f t="shared" si="37"/>
        <v>PEDREIRO COM ENCARGOS COMPLEMENTARES</v>
      </c>
      <c r="F368" s="165" t="str">
        <f ca="1">IF(RegimeExecucao="Global","",ORÇAMENTO.Unidade)</f>
        <v>H</v>
      </c>
      <c r="G368" s="123">
        <f ca="1">IF(RegimeExecucao="Global","",ORÇAMENTO!T368)</f>
        <v>40</v>
      </c>
      <c r="H368" s="123">
        <f ca="1">IF(RegimeExecucao="Global","",ORÇAMENTO!W368)</f>
        <v>0</v>
      </c>
      <c r="I368" s="126">
        <f ca="1">ORÇAMENTO!X368</f>
        <v>0</v>
      </c>
      <c r="J368" s="334" t="e" cm="1">
        <f t="array" aca="1" ref="J368" ca="1">_xlfn.SINGLE(IF($A368="S",IF(CAIXA.Modo,BM.AFAnterior,BM.MEDAnterior),IF(AND(_xlfn.SINGLE(RegimeExecucao)="Global",$I368&gt;0,COUNTIF($AB$13:$AM$13,BM.medicao-1)&gt;0),M368/$I368*100,0)))</f>
        <v>#NAME?</v>
      </c>
      <c r="K368" s="123" t="e">
        <f t="shared" ca="1" si="38"/>
        <v>#NAME?</v>
      </c>
      <c r="L368" s="335" t="e" cm="1">
        <f t="array" aca="1" ref="L368" ca="1">_xlfn.SINGLE(IF($A368="S",IF(CAIXA.Modo,BM.AFAcumulado,BM.MEDAcumulado),IF(AND(_xlfn.SINGLE(RegimeExecucao)="Global",$I368&gt;0,COUNTIF($AB$13:$AM$13,BM.medicao)&gt;0),O368/$I368*100,0)))</f>
        <v>#NAME?</v>
      </c>
      <c r="M368" s="336">
        <f ca="1">IF($A368="S",VTOTALBM,IF($A368=0,0,ROUND(SomaAgrupBM,15-13*ORÇAMENTO!$AF$11)))</f>
        <v>0</v>
      </c>
      <c r="N368" s="337">
        <f t="shared" ca="1" si="39"/>
        <v>0</v>
      </c>
      <c r="O368" s="126">
        <f ca="1">IF($A368="S",VTOTALBM,IF($A368=0,0,ROUND(SomaAgrupBM,15-13*ORÇAMENTO!$AF$11)))</f>
        <v>0</v>
      </c>
      <c r="Q368" s="338"/>
      <c r="R368" s="339"/>
      <c r="T368" s="118" t="str">
        <f t="shared" ca="1" si="40"/>
        <v/>
      </c>
      <c r="U368" s="164" t="str">
        <f t="shared" ca="1" si="41"/>
        <v/>
      </c>
      <c r="V368" s="165" t="str">
        <f ca="1">IF(AND($W368&gt;0,RegimeExecucao="Unitário"),$F368,"")</f>
        <v/>
      </c>
      <c r="W368" s="455">
        <f ca="1">IF($Y368&gt;0,CHOOSE(MATCH(RegimeExecucao,{"Unitário","Global"},0),IF($A368="S",$Y368/$X368,""),($Y368/$X368)*100),0)</f>
        <v>0</v>
      </c>
      <c r="X368" s="340" t="str">
        <f ca="1">IF($Y368&gt;0,CHOOSE(MATCH(RegimeExecucao,{"Unitário","Global"},0),IF($A368="S",ROUND($H368,ORÇAMENTO!$AF$10),""),ROUND($I368,ORÇAMENTO!$AF$11)),"")</f>
        <v/>
      </c>
      <c r="Y368" s="340">
        <f t="shared" ca="1" si="42"/>
        <v>0</v>
      </c>
      <c r="Z368" s="474"/>
      <c r="AB368" s="338"/>
      <c r="AC368" s="438"/>
      <c r="AD368" s="438"/>
      <c r="AE368" s="438"/>
      <c r="AF368" s="438"/>
      <c r="AG368" s="438"/>
      <c r="AH368" s="438"/>
      <c r="AI368" s="438"/>
      <c r="AJ368" s="438"/>
      <c r="AK368" s="438"/>
      <c r="AL368" s="438"/>
      <c r="AM368" s="339"/>
      <c r="AO368">
        <f ca="1">IF($A368="S",IF(BM!$I368=0,0,CHOOSE(MATCH(RegimeExecucao,{"Global","Unitário"},0),ROUND(ROUND(BM.MEDAcumulado,15-13*BM!$A$9)/100*BM!$I368,15-13*ORÇAMENTO!$AF$11),ROUND(ROUND(BM.MEDAcumulado,15-13*BM!$A$9)*ROUND(BM!$H368,15-13*ORÇAMENTO!$AF$10),15-13*ORÇAMENTO!$AF$11))),IF($A368=0,0,ROUND(SomaAgrupBM,15-13*ORÇAMENTO!$AF$11)))</f>
        <v>0</v>
      </c>
    </row>
    <row r="369" spans="1:41" x14ac:dyDescent="0.2">
      <c r="A369" t="str">
        <f ca="1">ORÇAMENTO!C369</f>
        <v>S</v>
      </c>
      <c r="B369">
        <f ca="1">ORÇAMENTO!D369</f>
        <v>0</v>
      </c>
      <c r="C369" s="115" t="str">
        <f t="shared" ca="1" si="36"/>
        <v/>
      </c>
      <c r="D369" s="118" t="str">
        <f ca="1">ORÇAMENTO!O369</f>
        <v>-</v>
      </c>
      <c r="E369" s="164" t="str">
        <f t="shared" si="37"/>
        <v>AJUDANTE DE PEDREIRO COM ENCARGOS COMPLEMENTARES</v>
      </c>
      <c r="F369" s="165" t="str">
        <f ca="1">IF(RegimeExecucao="Global","",ORÇAMENTO.Unidade)</f>
        <v>H</v>
      </c>
      <c r="G369" s="123">
        <f ca="1">IF(RegimeExecucao="Global","",ORÇAMENTO!T369)</f>
        <v>40</v>
      </c>
      <c r="H369" s="123">
        <f ca="1">IF(RegimeExecucao="Global","",ORÇAMENTO!W369)</f>
        <v>0</v>
      </c>
      <c r="I369" s="126">
        <f ca="1">ORÇAMENTO!X369</f>
        <v>0</v>
      </c>
      <c r="J369" s="334" t="e" cm="1">
        <f t="array" aca="1" ref="J369" ca="1">_xlfn.SINGLE(IF($A369="S",IF(CAIXA.Modo,BM.AFAnterior,BM.MEDAnterior),IF(AND(_xlfn.SINGLE(RegimeExecucao)="Global",$I369&gt;0,COUNTIF($AB$13:$AM$13,BM.medicao-1)&gt;0),M369/$I369*100,0)))</f>
        <v>#NAME?</v>
      </c>
      <c r="K369" s="123" t="e">
        <f t="shared" ca="1" si="38"/>
        <v>#NAME?</v>
      </c>
      <c r="L369" s="335" t="e" cm="1">
        <f t="array" aca="1" ref="L369" ca="1">_xlfn.SINGLE(IF($A369="S",IF(CAIXA.Modo,BM.AFAcumulado,BM.MEDAcumulado),IF(AND(_xlfn.SINGLE(RegimeExecucao)="Global",$I369&gt;0,COUNTIF($AB$13:$AM$13,BM.medicao)&gt;0),O369/$I369*100,0)))</f>
        <v>#NAME?</v>
      </c>
      <c r="M369" s="336">
        <f ca="1">IF($A369="S",VTOTALBM,IF($A369=0,0,ROUND(SomaAgrupBM,15-13*ORÇAMENTO!$AF$11)))</f>
        <v>0</v>
      </c>
      <c r="N369" s="337">
        <f t="shared" ca="1" si="39"/>
        <v>0</v>
      </c>
      <c r="O369" s="126">
        <f ca="1">IF($A369="S",VTOTALBM,IF($A369=0,0,ROUND(SomaAgrupBM,15-13*ORÇAMENTO!$AF$11)))</f>
        <v>0</v>
      </c>
      <c r="Q369" s="338"/>
      <c r="R369" s="339"/>
      <c r="T369" s="118" t="str">
        <f t="shared" ca="1" si="40"/>
        <v/>
      </c>
      <c r="U369" s="164" t="str">
        <f t="shared" ca="1" si="41"/>
        <v/>
      </c>
      <c r="V369" s="165" t="str">
        <f ca="1">IF(AND($W369&gt;0,RegimeExecucao="Unitário"),$F369,"")</f>
        <v/>
      </c>
      <c r="W369" s="455">
        <f ca="1">IF($Y369&gt;0,CHOOSE(MATCH(RegimeExecucao,{"Unitário","Global"},0),IF($A369="S",$Y369/$X369,""),($Y369/$X369)*100),0)</f>
        <v>0</v>
      </c>
      <c r="X369" s="340" t="str">
        <f ca="1">IF($Y369&gt;0,CHOOSE(MATCH(RegimeExecucao,{"Unitário","Global"},0),IF($A369="S",ROUND($H369,ORÇAMENTO!$AF$10),""),ROUND($I369,ORÇAMENTO!$AF$11)),"")</f>
        <v/>
      </c>
      <c r="Y369" s="340">
        <f t="shared" ca="1" si="42"/>
        <v>0</v>
      </c>
      <c r="Z369" s="474"/>
      <c r="AB369" s="338"/>
      <c r="AC369" s="438"/>
      <c r="AD369" s="438"/>
      <c r="AE369" s="438"/>
      <c r="AF369" s="438"/>
      <c r="AG369" s="438"/>
      <c r="AH369" s="438"/>
      <c r="AI369" s="438"/>
      <c r="AJ369" s="438"/>
      <c r="AK369" s="438"/>
      <c r="AL369" s="438"/>
      <c r="AM369" s="339"/>
      <c r="AO369">
        <f ca="1">IF($A369="S",IF(BM!$I369=0,0,CHOOSE(MATCH(RegimeExecucao,{"Global","Unitário"},0),ROUND(ROUND(BM.MEDAcumulado,15-13*BM!$A$9)/100*BM!$I369,15-13*ORÇAMENTO!$AF$11),ROUND(ROUND(BM.MEDAcumulado,15-13*BM!$A$9)*ROUND(BM!$H369,15-13*ORÇAMENTO!$AF$10),15-13*ORÇAMENTO!$AF$11))),IF($A369=0,0,ROUND(SomaAgrupBM,15-13*ORÇAMENTO!$AF$11)))</f>
        <v>0</v>
      </c>
    </row>
    <row r="370" spans="1:41" x14ac:dyDescent="0.2">
      <c r="A370">
        <f ca="1">ORÇAMENTO!C370</f>
        <v>2</v>
      </c>
      <c r="B370">
        <f ca="1">ORÇAMENTO!D370</f>
        <v>10</v>
      </c>
      <c r="C370" s="115" t="str">
        <f t="shared" ca="1" si="36"/>
        <v>F</v>
      </c>
      <c r="D370" s="118" t="str">
        <f ca="1">ORÇAMENTO!O370</f>
        <v>1.20.</v>
      </c>
      <c r="E370" s="164" t="str">
        <f t="shared" si="37"/>
        <v>ACESSIBILIDADE</v>
      </c>
      <c r="F370" s="165" t="str">
        <f ca="1">IF(RegimeExecucao="Global","",ORÇAMENTO.Unidade)</f>
        <v>-</v>
      </c>
      <c r="G370" s="123">
        <f ca="1">IF(RegimeExecucao="Global","",ORÇAMENTO!T370)</f>
        <v>0</v>
      </c>
      <c r="H370" s="123">
        <f ca="1">IF(RegimeExecucao="Global","",ORÇAMENTO!W370)</f>
        <v>0</v>
      </c>
      <c r="I370" s="126">
        <f ca="1">ORÇAMENTO!X370</f>
        <v>0</v>
      </c>
      <c r="J370" s="334" t="e" cm="1">
        <f t="array" aca="1" ref="J370" ca="1">_xlfn.SINGLE(IF($A370="S",IF(CAIXA.Modo,BM.AFAnterior,BM.MEDAnterior),IF(AND(_xlfn.SINGLE(RegimeExecucao)="Global",$I370&gt;0,COUNTIF($AB$13:$AM$13,BM.medicao-1)&gt;0),M370/$I370*100,0)))</f>
        <v>#NAME?</v>
      </c>
      <c r="K370" s="123" t="e">
        <f t="shared" ca="1" si="38"/>
        <v>#NAME?</v>
      </c>
      <c r="L370" s="335" t="e" cm="1">
        <f t="array" aca="1" ref="L370" ca="1">_xlfn.SINGLE(IF($A370="S",IF(CAIXA.Modo,BM.AFAcumulado,BM.MEDAcumulado),IF(AND(_xlfn.SINGLE(RegimeExecucao)="Global",$I370&gt;0,COUNTIF($AB$13:$AM$13,BM.medicao)&gt;0),O370/$I370*100,0)))</f>
        <v>#NAME?</v>
      </c>
      <c r="M370" s="336">
        <f ca="1">IF($A370="S",VTOTALBM,IF($A370=0,0,ROUND(SomaAgrupBM,15-13*ORÇAMENTO!$AF$11)))</f>
        <v>0</v>
      </c>
      <c r="N370" s="337">
        <f t="shared" ca="1" si="39"/>
        <v>0</v>
      </c>
      <c r="O370" s="126">
        <f ca="1">IF($A370="S",VTOTALBM,IF($A370=0,0,ROUND(SomaAgrupBM,15-13*ORÇAMENTO!$AF$11)))</f>
        <v>0</v>
      </c>
      <c r="Q370" s="338"/>
      <c r="R370" s="339"/>
      <c r="T370" s="118" t="str">
        <f t="shared" ca="1" si="40"/>
        <v/>
      </c>
      <c r="U370" s="164" t="str">
        <f t="shared" ca="1" si="41"/>
        <v/>
      </c>
      <c r="V370" s="165" t="str">
        <f ca="1">IF(AND($W370&gt;0,RegimeExecucao="Unitário"),$F370,"")</f>
        <v/>
      </c>
      <c r="W370" s="455">
        <f ca="1">IF($Y370&gt;0,CHOOSE(MATCH(RegimeExecucao,{"Unitário","Global"},0),IF($A370="S",$Y370/$X370,""),($Y370/$X370)*100),0)</f>
        <v>0</v>
      </c>
      <c r="X370" s="340" t="str">
        <f ca="1">IF($Y370&gt;0,CHOOSE(MATCH(RegimeExecucao,{"Unitário","Global"},0),IF($A370="S",ROUND($H370,ORÇAMENTO!$AF$10),""),ROUND($I370,ORÇAMENTO!$AF$11)),"")</f>
        <v/>
      </c>
      <c r="Y370" s="340">
        <f t="shared" ca="1" si="42"/>
        <v>0</v>
      </c>
      <c r="Z370" s="474"/>
      <c r="AB370" s="338"/>
      <c r="AC370" s="438"/>
      <c r="AD370" s="438"/>
      <c r="AE370" s="438"/>
      <c r="AF370" s="438"/>
      <c r="AG370" s="438"/>
      <c r="AH370" s="438"/>
      <c r="AI370" s="438"/>
      <c r="AJ370" s="438"/>
      <c r="AK370" s="438"/>
      <c r="AL370" s="438"/>
      <c r="AM370" s="339"/>
      <c r="AO370">
        <f ca="1">IF($A370="S",IF(BM!$I370=0,0,CHOOSE(MATCH(RegimeExecucao,{"Global","Unitário"},0),ROUND(ROUND(BM.MEDAcumulado,15-13*BM!$A$9)/100*BM!$I370,15-13*ORÇAMENTO!$AF$11),ROUND(ROUND(BM.MEDAcumulado,15-13*BM!$A$9)*ROUND(BM!$H370,15-13*ORÇAMENTO!$AF$10),15-13*ORÇAMENTO!$AF$11))),IF($A370=0,0,ROUND(SomaAgrupBM,15-13*ORÇAMENTO!$AF$11)))</f>
        <v>0</v>
      </c>
    </row>
    <row r="371" spans="1:41" ht="25.5" x14ac:dyDescent="0.2">
      <c r="A371" t="str">
        <f ca="1">ORÇAMENTO!C371</f>
        <v>S</v>
      </c>
      <c r="B371">
        <f ca="1">ORÇAMENTO!D371</f>
        <v>0</v>
      </c>
      <c r="C371" s="115" t="str">
        <f t="shared" ca="1" si="36"/>
        <v/>
      </c>
      <c r="D371" s="118" t="str">
        <f ca="1">ORÇAMENTO!O371</f>
        <v>-</v>
      </c>
      <c r="E371" s="164" t="str">
        <f t="shared" si="37"/>
        <v>PISO PODOTÁTIL DE ALERTA OU DIRECIONAL, DE CONCRETO, ASSENTADO SOBRE ARGAMASSA. AF_03/2024</v>
      </c>
      <c r="F371" s="165" t="str">
        <f ca="1">IF(RegimeExecucao="Global","",ORÇAMENTO.Unidade)</f>
        <v>M2</v>
      </c>
      <c r="G371" s="123">
        <f ca="1">IF(RegimeExecucao="Global","",ORÇAMENTO!T371)</f>
        <v>28.92</v>
      </c>
      <c r="H371" s="123">
        <f ca="1">IF(RegimeExecucao="Global","",ORÇAMENTO!W371)</f>
        <v>0</v>
      </c>
      <c r="I371" s="126">
        <f ca="1">ORÇAMENTO!X371</f>
        <v>0</v>
      </c>
      <c r="J371" s="334" t="e" cm="1">
        <f t="array" aca="1" ref="J371" ca="1">_xlfn.SINGLE(IF($A371="S",IF(CAIXA.Modo,BM.AFAnterior,BM.MEDAnterior),IF(AND(_xlfn.SINGLE(RegimeExecucao)="Global",$I371&gt;0,COUNTIF($AB$13:$AM$13,BM.medicao-1)&gt;0),M371/$I371*100,0)))</f>
        <v>#NAME?</v>
      </c>
      <c r="K371" s="123" t="e">
        <f t="shared" ca="1" si="38"/>
        <v>#NAME?</v>
      </c>
      <c r="L371" s="335" t="e" cm="1">
        <f t="array" aca="1" ref="L371" ca="1">_xlfn.SINGLE(IF($A371="S",IF(CAIXA.Modo,BM.AFAcumulado,BM.MEDAcumulado),IF(AND(_xlfn.SINGLE(RegimeExecucao)="Global",$I371&gt;0,COUNTIF($AB$13:$AM$13,BM.medicao)&gt;0),O371/$I371*100,0)))</f>
        <v>#NAME?</v>
      </c>
      <c r="M371" s="336">
        <f ca="1">IF($A371="S",VTOTALBM,IF($A371=0,0,ROUND(SomaAgrupBM,15-13*ORÇAMENTO!$AF$11)))</f>
        <v>0</v>
      </c>
      <c r="N371" s="337">
        <f t="shared" ca="1" si="39"/>
        <v>0</v>
      </c>
      <c r="O371" s="126">
        <f ca="1">IF($A371="S",VTOTALBM,IF($A371=0,0,ROUND(SomaAgrupBM,15-13*ORÇAMENTO!$AF$11)))</f>
        <v>0</v>
      </c>
      <c r="Q371" s="338"/>
      <c r="R371" s="339"/>
      <c r="T371" s="118" t="str">
        <f t="shared" ca="1" si="40"/>
        <v/>
      </c>
      <c r="U371" s="164" t="str">
        <f t="shared" ca="1" si="41"/>
        <v/>
      </c>
      <c r="V371" s="165" t="str">
        <f ca="1">IF(AND($W371&gt;0,RegimeExecucao="Unitário"),$F371,"")</f>
        <v/>
      </c>
      <c r="W371" s="455">
        <f ca="1">IF($Y371&gt;0,CHOOSE(MATCH(RegimeExecucao,{"Unitário","Global"},0),IF($A371="S",$Y371/$X371,""),($Y371/$X371)*100),0)</f>
        <v>0</v>
      </c>
      <c r="X371" s="340" t="str">
        <f ca="1">IF($Y371&gt;0,CHOOSE(MATCH(RegimeExecucao,{"Unitário","Global"},0),IF($A371="S",ROUND($H371,ORÇAMENTO!$AF$10),""),ROUND($I371,ORÇAMENTO!$AF$11)),"")</f>
        <v/>
      </c>
      <c r="Y371" s="340">
        <f t="shared" ca="1" si="42"/>
        <v>0</v>
      </c>
      <c r="Z371" s="474"/>
      <c r="AB371" s="338"/>
      <c r="AC371" s="438"/>
      <c r="AD371" s="438"/>
      <c r="AE371" s="438"/>
      <c r="AF371" s="438"/>
      <c r="AG371" s="438"/>
      <c r="AH371" s="438"/>
      <c r="AI371" s="438"/>
      <c r="AJ371" s="438"/>
      <c r="AK371" s="438"/>
      <c r="AL371" s="438"/>
      <c r="AM371" s="339"/>
      <c r="AO371">
        <f ca="1">IF($A371="S",IF(BM!$I371=0,0,CHOOSE(MATCH(RegimeExecucao,{"Global","Unitário"},0),ROUND(ROUND(BM.MEDAcumulado,15-13*BM!$A$9)/100*BM!$I371,15-13*ORÇAMENTO!$AF$11),ROUND(ROUND(BM.MEDAcumulado,15-13*BM!$A$9)*ROUND(BM!$H371,15-13*ORÇAMENTO!$AF$10),15-13*ORÇAMENTO!$AF$11))),IF($A371=0,0,ROUND(SomaAgrupBM,15-13*ORÇAMENTO!$AF$11)))</f>
        <v>0</v>
      </c>
    </row>
    <row r="372" spans="1:41" ht="25.5" x14ac:dyDescent="0.2">
      <c r="A372" t="str">
        <f ca="1">ORÇAMENTO!C372</f>
        <v>S</v>
      </c>
      <c r="B372">
        <f ca="1">ORÇAMENTO!D372</f>
        <v>0</v>
      </c>
      <c r="C372" s="115" t="str">
        <f t="shared" ca="1" si="36"/>
        <v/>
      </c>
      <c r="D372" s="118" t="str">
        <f ca="1">ORÇAMENTO!O372</f>
        <v>-</v>
      </c>
      <c r="E372" s="164" t="str">
        <f t="shared" si="37"/>
        <v>CORRIMÃO SIMPLES, DIÂMETRO EXTERNO = 1 1/2", EM AÇO GALVANIZADO. AF_04/2019_PS</v>
      </c>
      <c r="F372" s="165" t="str">
        <f ca="1">IF(RegimeExecucao="Global","",ORÇAMENTO.Unidade)</f>
        <v>M</v>
      </c>
      <c r="G372" s="123">
        <f ca="1">IF(RegimeExecucao="Global","",ORÇAMENTO!T372)</f>
        <v>120.64</v>
      </c>
      <c r="H372" s="123">
        <f ca="1">IF(RegimeExecucao="Global","",ORÇAMENTO!W372)</f>
        <v>0</v>
      </c>
      <c r="I372" s="126">
        <f ca="1">ORÇAMENTO!X372</f>
        <v>0</v>
      </c>
      <c r="J372" s="334" t="e" cm="1">
        <f t="array" aca="1" ref="J372" ca="1">_xlfn.SINGLE(IF($A372="S",IF(CAIXA.Modo,BM.AFAnterior,BM.MEDAnterior),IF(AND(_xlfn.SINGLE(RegimeExecucao)="Global",$I372&gt;0,COUNTIF($AB$13:$AM$13,BM.medicao-1)&gt;0),M372/$I372*100,0)))</f>
        <v>#NAME?</v>
      </c>
      <c r="K372" s="123" t="e">
        <f t="shared" ca="1" si="38"/>
        <v>#NAME?</v>
      </c>
      <c r="L372" s="335" t="e" cm="1">
        <f t="array" aca="1" ref="L372" ca="1">_xlfn.SINGLE(IF($A372="S",IF(CAIXA.Modo,BM.AFAcumulado,BM.MEDAcumulado),IF(AND(_xlfn.SINGLE(RegimeExecucao)="Global",$I372&gt;0,COUNTIF($AB$13:$AM$13,BM.medicao)&gt;0),O372/$I372*100,0)))</f>
        <v>#NAME?</v>
      </c>
      <c r="M372" s="336">
        <f ca="1">IF($A372="S",VTOTALBM,IF($A372=0,0,ROUND(SomaAgrupBM,15-13*ORÇAMENTO!$AF$11)))</f>
        <v>0</v>
      </c>
      <c r="N372" s="337">
        <f t="shared" ca="1" si="39"/>
        <v>0</v>
      </c>
      <c r="O372" s="126">
        <f ca="1">IF($A372="S",VTOTALBM,IF($A372=0,0,ROUND(SomaAgrupBM,15-13*ORÇAMENTO!$AF$11)))</f>
        <v>0</v>
      </c>
      <c r="Q372" s="338"/>
      <c r="R372" s="339"/>
      <c r="T372" s="118" t="str">
        <f t="shared" ca="1" si="40"/>
        <v/>
      </c>
      <c r="U372" s="164" t="str">
        <f t="shared" ca="1" si="41"/>
        <v/>
      </c>
      <c r="V372" s="165" t="str">
        <f ca="1">IF(AND($W372&gt;0,RegimeExecucao="Unitário"),$F372,"")</f>
        <v/>
      </c>
      <c r="W372" s="455">
        <f ca="1">IF($Y372&gt;0,CHOOSE(MATCH(RegimeExecucao,{"Unitário","Global"},0),IF($A372="S",$Y372/$X372,""),($Y372/$X372)*100),0)</f>
        <v>0</v>
      </c>
      <c r="X372" s="340" t="str">
        <f ca="1">IF($Y372&gt;0,CHOOSE(MATCH(RegimeExecucao,{"Unitário","Global"},0),IF($A372="S",ROUND($H372,ORÇAMENTO!$AF$10),""),ROUND($I372,ORÇAMENTO!$AF$11)),"")</f>
        <v/>
      </c>
      <c r="Y372" s="340">
        <f t="shared" ca="1" si="42"/>
        <v>0</v>
      </c>
      <c r="Z372" s="474"/>
      <c r="AB372" s="338"/>
      <c r="AC372" s="438"/>
      <c r="AD372" s="438"/>
      <c r="AE372" s="438"/>
      <c r="AF372" s="438"/>
      <c r="AG372" s="438"/>
      <c r="AH372" s="438"/>
      <c r="AI372" s="438"/>
      <c r="AJ372" s="438"/>
      <c r="AK372" s="438"/>
      <c r="AL372" s="438"/>
      <c r="AM372" s="339"/>
      <c r="AO372">
        <f ca="1">IF($A372="S",IF(BM!$I372=0,0,CHOOSE(MATCH(RegimeExecucao,{"Global","Unitário"},0),ROUND(ROUND(BM.MEDAcumulado,15-13*BM!$A$9)/100*BM!$I372,15-13*ORÇAMENTO!$AF$11),ROUND(ROUND(BM.MEDAcumulado,15-13*BM!$A$9)*ROUND(BM!$H372,15-13*ORÇAMENTO!$AF$10),15-13*ORÇAMENTO!$AF$11))),IF($A372=0,0,ROUND(SomaAgrupBM,15-13*ORÇAMENTO!$AF$11)))</f>
        <v>0</v>
      </c>
    </row>
    <row r="373" spans="1:41" ht="63.75" x14ac:dyDescent="0.2">
      <c r="A373" t="str">
        <f ca="1">ORÇAMENTO!C373</f>
        <v>S</v>
      </c>
      <c r="B373">
        <f ca="1">ORÇAMENTO!D373</f>
        <v>0</v>
      </c>
      <c r="C373" s="115" t="str">
        <f t="shared" ca="1" si="36"/>
        <v/>
      </c>
      <c r="D373" s="118" t="str">
        <f ca="1">ORÇAMENTO!O373</f>
        <v>-</v>
      </c>
      <c r="E373" s="164" t="str">
        <f t="shared" si="37"/>
        <v>GUARDA-CORPO DE AÇO GALVANIZADO DE 1,10M, MONTANTES TUBULARES DE 1.1/4" ESPAÇADOS DE 1,20M, TRAVESSA SUPERIOR DE 1.1/2", GRADIL FORMADO POR TUBOS HORIZONTAIS DE 1" E VERTICAIS DE 3/4", FIXADO COM CHUMBADOR MECÂNICO. AF_04/2019_PS</v>
      </c>
      <c r="F373" s="165" t="str">
        <f ca="1">IF(RegimeExecucao="Global","",ORÇAMENTO.Unidade)</f>
        <v>M</v>
      </c>
      <c r="G373" s="123">
        <f ca="1">IF(RegimeExecucao="Global","",ORÇAMENTO!T373)</f>
        <v>19.13</v>
      </c>
      <c r="H373" s="123">
        <f ca="1">IF(RegimeExecucao="Global","",ORÇAMENTO!W373)</f>
        <v>0</v>
      </c>
      <c r="I373" s="126">
        <f ca="1">ORÇAMENTO!X373</f>
        <v>0</v>
      </c>
      <c r="J373" s="334" t="e" cm="1">
        <f t="array" aca="1" ref="J373" ca="1">_xlfn.SINGLE(IF($A373="S",IF(CAIXA.Modo,BM.AFAnterior,BM.MEDAnterior),IF(AND(_xlfn.SINGLE(RegimeExecucao)="Global",$I373&gt;0,COUNTIF($AB$13:$AM$13,BM.medicao-1)&gt;0),M373/$I373*100,0)))</f>
        <v>#NAME?</v>
      </c>
      <c r="K373" s="123" t="e">
        <f t="shared" ca="1" si="38"/>
        <v>#NAME?</v>
      </c>
      <c r="L373" s="335" t="e" cm="1">
        <f t="array" aca="1" ref="L373" ca="1">_xlfn.SINGLE(IF($A373="S",IF(CAIXA.Modo,BM.AFAcumulado,BM.MEDAcumulado),IF(AND(_xlfn.SINGLE(RegimeExecucao)="Global",$I373&gt;0,COUNTIF($AB$13:$AM$13,BM.medicao)&gt;0),O373/$I373*100,0)))</f>
        <v>#NAME?</v>
      </c>
      <c r="M373" s="336">
        <f ca="1">IF($A373="S",VTOTALBM,IF($A373=0,0,ROUND(SomaAgrupBM,15-13*ORÇAMENTO!$AF$11)))</f>
        <v>0</v>
      </c>
      <c r="N373" s="337">
        <f t="shared" ca="1" si="39"/>
        <v>0</v>
      </c>
      <c r="O373" s="126">
        <f ca="1">IF($A373="S",VTOTALBM,IF($A373=0,0,ROUND(SomaAgrupBM,15-13*ORÇAMENTO!$AF$11)))</f>
        <v>0</v>
      </c>
      <c r="Q373" s="338"/>
      <c r="R373" s="339"/>
      <c r="T373" s="118" t="str">
        <f t="shared" ca="1" si="40"/>
        <v/>
      </c>
      <c r="U373" s="164" t="str">
        <f t="shared" ca="1" si="41"/>
        <v/>
      </c>
      <c r="V373" s="165" t="str">
        <f ca="1">IF(AND($W373&gt;0,RegimeExecucao="Unitário"),$F373,"")</f>
        <v/>
      </c>
      <c r="W373" s="455">
        <f ca="1">IF($Y373&gt;0,CHOOSE(MATCH(RegimeExecucao,{"Unitário","Global"},0),IF($A373="S",$Y373/$X373,""),($Y373/$X373)*100),0)</f>
        <v>0</v>
      </c>
      <c r="X373" s="340" t="str">
        <f ca="1">IF($Y373&gt;0,CHOOSE(MATCH(RegimeExecucao,{"Unitário","Global"},0),IF($A373="S",ROUND($H373,ORÇAMENTO!$AF$10),""),ROUND($I373,ORÇAMENTO!$AF$11)),"")</f>
        <v/>
      </c>
      <c r="Y373" s="340">
        <f t="shared" ca="1" si="42"/>
        <v>0</v>
      </c>
      <c r="Z373" s="474"/>
      <c r="AB373" s="338"/>
      <c r="AC373" s="438"/>
      <c r="AD373" s="438"/>
      <c r="AE373" s="438"/>
      <c r="AF373" s="438"/>
      <c r="AG373" s="438"/>
      <c r="AH373" s="438"/>
      <c r="AI373" s="438"/>
      <c r="AJ373" s="438"/>
      <c r="AK373" s="438"/>
      <c r="AL373" s="438"/>
      <c r="AM373" s="339"/>
      <c r="AO373">
        <f ca="1">IF($A373="S",IF(BM!$I373=0,0,CHOOSE(MATCH(RegimeExecucao,{"Global","Unitário"},0),ROUND(ROUND(BM.MEDAcumulado,15-13*BM!$A$9)/100*BM!$I373,15-13*ORÇAMENTO!$AF$11),ROUND(ROUND(BM.MEDAcumulado,15-13*BM!$A$9)*ROUND(BM!$H373,15-13*ORÇAMENTO!$AF$10),15-13*ORÇAMENTO!$AF$11))),IF($A373=0,0,ROUND(SomaAgrupBM,15-13*ORÇAMENTO!$AF$11)))</f>
        <v>0</v>
      </c>
    </row>
    <row r="374" spans="1:41" x14ac:dyDescent="0.2">
      <c r="A374" t="str">
        <f ca="1">ORÇAMENTO!C374</f>
        <v>S</v>
      </c>
      <c r="B374">
        <f ca="1">ORÇAMENTO!D374</f>
        <v>0</v>
      </c>
      <c r="C374" s="115" t="str">
        <f t="shared" ca="1" si="36"/>
        <v/>
      </c>
      <c r="D374" s="118" t="str">
        <f ca="1">ORÇAMENTO!O374</f>
        <v>-</v>
      </c>
      <c r="E374" s="164" t="str">
        <f t="shared" si="37"/>
        <v>ALARME BANHEIRO PCD COM ACIONADOR CONFORME NBR 9050</v>
      </c>
      <c r="F374" s="165" t="str">
        <f ca="1">IF(RegimeExecucao="Global","",ORÇAMENTO.Unidade)</f>
        <v>UN</v>
      </c>
      <c r="G374" s="123">
        <f ca="1">IF(RegimeExecucao="Global","",ORÇAMENTO!T374)</f>
        <v>6</v>
      </c>
      <c r="H374" s="123">
        <f ca="1">IF(RegimeExecucao="Global","",ORÇAMENTO!W374)</f>
        <v>0</v>
      </c>
      <c r="I374" s="126">
        <f ca="1">ORÇAMENTO!X374</f>
        <v>0</v>
      </c>
      <c r="J374" s="334" t="e" cm="1">
        <f t="array" aca="1" ref="J374" ca="1">_xlfn.SINGLE(IF($A374="S",IF(CAIXA.Modo,BM.AFAnterior,BM.MEDAnterior),IF(AND(_xlfn.SINGLE(RegimeExecucao)="Global",$I374&gt;0,COUNTIF($AB$13:$AM$13,BM.medicao-1)&gt;0),M374/$I374*100,0)))</f>
        <v>#NAME?</v>
      </c>
      <c r="K374" s="123" t="e">
        <f t="shared" ca="1" si="38"/>
        <v>#NAME?</v>
      </c>
      <c r="L374" s="335" t="e" cm="1">
        <f t="array" aca="1" ref="L374" ca="1">_xlfn.SINGLE(IF($A374="S",IF(CAIXA.Modo,BM.AFAcumulado,BM.MEDAcumulado),IF(AND(_xlfn.SINGLE(RegimeExecucao)="Global",$I374&gt;0,COUNTIF($AB$13:$AM$13,BM.medicao)&gt;0),O374/$I374*100,0)))</f>
        <v>#NAME?</v>
      </c>
      <c r="M374" s="336">
        <f ca="1">IF($A374="S",VTOTALBM,IF($A374=0,0,ROUND(SomaAgrupBM,15-13*ORÇAMENTO!$AF$11)))</f>
        <v>0</v>
      </c>
      <c r="N374" s="337">
        <f t="shared" ca="1" si="39"/>
        <v>0</v>
      </c>
      <c r="O374" s="126">
        <f ca="1">IF($A374="S",VTOTALBM,IF($A374=0,0,ROUND(SomaAgrupBM,15-13*ORÇAMENTO!$AF$11)))</f>
        <v>0</v>
      </c>
      <c r="Q374" s="338"/>
      <c r="R374" s="339"/>
      <c r="T374" s="118" t="str">
        <f t="shared" ca="1" si="40"/>
        <v/>
      </c>
      <c r="U374" s="164" t="str">
        <f t="shared" ca="1" si="41"/>
        <v/>
      </c>
      <c r="V374" s="165" t="str">
        <f ca="1">IF(AND($W374&gt;0,RegimeExecucao="Unitário"),$F374,"")</f>
        <v/>
      </c>
      <c r="W374" s="455">
        <f ca="1">IF($Y374&gt;0,CHOOSE(MATCH(RegimeExecucao,{"Unitário","Global"},0),IF($A374="S",$Y374/$X374,""),($Y374/$X374)*100),0)</f>
        <v>0</v>
      </c>
      <c r="X374" s="340" t="str">
        <f ca="1">IF($Y374&gt;0,CHOOSE(MATCH(RegimeExecucao,{"Unitário","Global"},0),IF($A374="S",ROUND($H374,ORÇAMENTO!$AF$10),""),ROUND($I374,ORÇAMENTO!$AF$11)),"")</f>
        <v/>
      </c>
      <c r="Y374" s="340">
        <f t="shared" ca="1" si="42"/>
        <v>0</v>
      </c>
      <c r="Z374" s="474"/>
      <c r="AB374" s="338"/>
      <c r="AC374" s="438"/>
      <c r="AD374" s="438"/>
      <c r="AE374" s="438"/>
      <c r="AF374" s="438"/>
      <c r="AG374" s="438"/>
      <c r="AH374" s="438"/>
      <c r="AI374" s="438"/>
      <c r="AJ374" s="438"/>
      <c r="AK374" s="438"/>
      <c r="AL374" s="438"/>
      <c r="AM374" s="339"/>
      <c r="AO374">
        <f ca="1">IF($A374="S",IF(BM!$I374=0,0,CHOOSE(MATCH(RegimeExecucao,{"Global","Unitário"},0),ROUND(ROUND(BM.MEDAcumulado,15-13*BM!$A$9)/100*BM!$I374,15-13*ORÇAMENTO!$AF$11),ROUND(ROUND(BM.MEDAcumulado,15-13*BM!$A$9)*ROUND(BM!$H374,15-13*ORÇAMENTO!$AF$10),15-13*ORÇAMENTO!$AF$11))),IF($A374=0,0,ROUND(SomaAgrupBM,15-13*ORÇAMENTO!$AF$11)))</f>
        <v>0</v>
      </c>
    </row>
    <row r="375" spans="1:41" x14ac:dyDescent="0.2">
      <c r="A375" t="str">
        <f ca="1">ORÇAMENTO!C375</f>
        <v>S</v>
      </c>
      <c r="B375">
        <f ca="1">ORÇAMENTO!D375</f>
        <v>0</v>
      </c>
      <c r="C375" s="115" t="str">
        <f t="shared" ca="1" si="36"/>
        <v/>
      </c>
      <c r="D375" s="118" t="str">
        <f ca="1">ORÇAMENTO!O375</f>
        <v>-</v>
      </c>
      <c r="E375" s="164" t="str">
        <f t="shared" si="37"/>
        <v>MAPA TÁTIL 60x100 cm</v>
      </c>
      <c r="F375" s="165" t="str">
        <f ca="1">IF(RegimeExecucao="Global","",ORÇAMENTO.Unidade)</f>
        <v>UN</v>
      </c>
      <c r="G375" s="123">
        <f ca="1">IF(RegimeExecucao="Global","",ORÇAMENTO!T375)</f>
        <v>1</v>
      </c>
      <c r="H375" s="123">
        <f ca="1">IF(RegimeExecucao="Global","",ORÇAMENTO!W375)</f>
        <v>0</v>
      </c>
      <c r="I375" s="126">
        <f ca="1">ORÇAMENTO!X375</f>
        <v>0</v>
      </c>
      <c r="J375" s="334" t="e" cm="1">
        <f t="array" aca="1" ref="J375" ca="1">_xlfn.SINGLE(IF($A375="S",IF(CAIXA.Modo,BM.AFAnterior,BM.MEDAnterior),IF(AND(_xlfn.SINGLE(RegimeExecucao)="Global",$I375&gt;0,COUNTIF($AB$13:$AM$13,BM.medicao-1)&gt;0),M375/$I375*100,0)))</f>
        <v>#NAME?</v>
      </c>
      <c r="K375" s="123" t="e">
        <f t="shared" ca="1" si="38"/>
        <v>#NAME?</v>
      </c>
      <c r="L375" s="335" t="e" cm="1">
        <f t="array" aca="1" ref="L375" ca="1">_xlfn.SINGLE(IF($A375="S",IF(CAIXA.Modo,BM.AFAcumulado,BM.MEDAcumulado),IF(AND(_xlfn.SINGLE(RegimeExecucao)="Global",$I375&gt;0,COUNTIF($AB$13:$AM$13,BM.medicao)&gt;0),O375/$I375*100,0)))</f>
        <v>#NAME?</v>
      </c>
      <c r="M375" s="336">
        <f ca="1">IF($A375="S",VTOTALBM,IF($A375=0,0,ROUND(SomaAgrupBM,15-13*ORÇAMENTO!$AF$11)))</f>
        <v>0</v>
      </c>
      <c r="N375" s="337">
        <f t="shared" ca="1" si="39"/>
        <v>0</v>
      </c>
      <c r="O375" s="126">
        <f ca="1">IF($A375="S",VTOTALBM,IF($A375=0,0,ROUND(SomaAgrupBM,15-13*ORÇAMENTO!$AF$11)))</f>
        <v>0</v>
      </c>
      <c r="Q375" s="338"/>
      <c r="R375" s="339"/>
      <c r="T375" s="118" t="str">
        <f t="shared" ca="1" si="40"/>
        <v/>
      </c>
      <c r="U375" s="164" t="str">
        <f t="shared" ca="1" si="41"/>
        <v/>
      </c>
      <c r="V375" s="165" t="str">
        <f ca="1">IF(AND($W375&gt;0,RegimeExecucao="Unitário"),$F375,"")</f>
        <v/>
      </c>
      <c r="W375" s="455">
        <f ca="1">IF($Y375&gt;0,CHOOSE(MATCH(RegimeExecucao,{"Unitário","Global"},0),IF($A375="S",$Y375/$X375,""),($Y375/$X375)*100),0)</f>
        <v>0</v>
      </c>
      <c r="X375" s="340" t="str">
        <f ca="1">IF($Y375&gt;0,CHOOSE(MATCH(RegimeExecucao,{"Unitário","Global"},0),IF($A375="S",ROUND($H375,ORÇAMENTO!$AF$10),""),ROUND($I375,ORÇAMENTO!$AF$11)),"")</f>
        <v/>
      </c>
      <c r="Y375" s="340">
        <f t="shared" ca="1" si="42"/>
        <v>0</v>
      </c>
      <c r="Z375" s="474"/>
      <c r="AB375" s="338"/>
      <c r="AC375" s="438"/>
      <c r="AD375" s="438"/>
      <c r="AE375" s="438"/>
      <c r="AF375" s="438"/>
      <c r="AG375" s="438"/>
      <c r="AH375" s="438"/>
      <c r="AI375" s="438"/>
      <c r="AJ375" s="438"/>
      <c r="AK375" s="438"/>
      <c r="AL375" s="438"/>
      <c r="AM375" s="339"/>
      <c r="AO375">
        <f ca="1">IF($A375="S",IF(BM!$I375=0,0,CHOOSE(MATCH(RegimeExecucao,{"Global","Unitário"},0),ROUND(ROUND(BM.MEDAcumulado,15-13*BM!$A$9)/100*BM!$I375,15-13*ORÇAMENTO!$AF$11),ROUND(ROUND(BM.MEDAcumulado,15-13*BM!$A$9)*ROUND(BM!$H375,15-13*ORÇAMENTO!$AF$10),15-13*ORÇAMENTO!$AF$11))),IF($A375=0,0,ROUND(SomaAgrupBM,15-13*ORÇAMENTO!$AF$11)))</f>
        <v>0</v>
      </c>
    </row>
    <row r="376" spans="1:41" x14ac:dyDescent="0.2">
      <c r="A376" t="str">
        <f ca="1">ORÇAMENTO!C376</f>
        <v>S</v>
      </c>
      <c r="B376">
        <f ca="1">ORÇAMENTO!D376</f>
        <v>0</v>
      </c>
      <c r="C376" s="115" t="str">
        <f t="shared" ca="1" si="36"/>
        <v/>
      </c>
      <c r="D376" s="118" t="str">
        <f ca="1">ORÇAMENTO!O376</f>
        <v>-</v>
      </c>
      <c r="E376" s="164" t="str">
        <f t="shared" si="37"/>
        <v>PEDESTAL EM AÇO PARA MAPA TÁTIL</v>
      </c>
      <c r="F376" s="165" t="str">
        <f ca="1">IF(RegimeExecucao="Global","",ORÇAMENTO.Unidade)</f>
        <v>UN</v>
      </c>
      <c r="G376" s="123">
        <f ca="1">IF(RegimeExecucao="Global","",ORÇAMENTO!T376)</f>
        <v>1</v>
      </c>
      <c r="H376" s="123">
        <f ca="1">IF(RegimeExecucao="Global","",ORÇAMENTO!W376)</f>
        <v>0</v>
      </c>
      <c r="I376" s="126">
        <f ca="1">ORÇAMENTO!X376</f>
        <v>0</v>
      </c>
      <c r="J376" s="334" t="e" cm="1">
        <f t="array" aca="1" ref="J376" ca="1">_xlfn.SINGLE(IF($A376="S",IF(CAIXA.Modo,BM.AFAnterior,BM.MEDAnterior),IF(AND(_xlfn.SINGLE(RegimeExecucao)="Global",$I376&gt;0,COUNTIF($AB$13:$AM$13,BM.medicao-1)&gt;0),M376/$I376*100,0)))</f>
        <v>#NAME?</v>
      </c>
      <c r="K376" s="123" t="e">
        <f t="shared" ca="1" si="38"/>
        <v>#NAME?</v>
      </c>
      <c r="L376" s="335" t="e" cm="1">
        <f t="array" aca="1" ref="L376" ca="1">_xlfn.SINGLE(IF($A376="S",IF(CAIXA.Modo,BM.AFAcumulado,BM.MEDAcumulado),IF(AND(_xlfn.SINGLE(RegimeExecucao)="Global",$I376&gt;0,COUNTIF($AB$13:$AM$13,BM.medicao)&gt;0),O376/$I376*100,0)))</f>
        <v>#NAME?</v>
      </c>
      <c r="M376" s="336">
        <f ca="1">IF($A376="S",VTOTALBM,IF($A376=0,0,ROUND(SomaAgrupBM,15-13*ORÇAMENTO!$AF$11)))</f>
        <v>0</v>
      </c>
      <c r="N376" s="337">
        <f t="shared" ca="1" si="39"/>
        <v>0</v>
      </c>
      <c r="O376" s="126">
        <f ca="1">IF($A376="S",VTOTALBM,IF($A376=0,0,ROUND(SomaAgrupBM,15-13*ORÇAMENTO!$AF$11)))</f>
        <v>0</v>
      </c>
      <c r="Q376" s="338"/>
      <c r="R376" s="339"/>
      <c r="T376" s="118" t="str">
        <f t="shared" ca="1" si="40"/>
        <v/>
      </c>
      <c r="U376" s="164" t="str">
        <f t="shared" ca="1" si="41"/>
        <v/>
      </c>
      <c r="V376" s="165" t="str">
        <f ca="1">IF(AND($W376&gt;0,RegimeExecucao="Unitário"),$F376,"")</f>
        <v/>
      </c>
      <c r="W376" s="455">
        <f ca="1">IF($Y376&gt;0,CHOOSE(MATCH(RegimeExecucao,{"Unitário","Global"},0),IF($A376="S",$Y376/$X376,""),($Y376/$X376)*100),0)</f>
        <v>0</v>
      </c>
      <c r="X376" s="340" t="str">
        <f ca="1">IF($Y376&gt;0,CHOOSE(MATCH(RegimeExecucao,{"Unitário","Global"},0),IF($A376="S",ROUND($H376,ORÇAMENTO!$AF$10),""),ROUND($I376,ORÇAMENTO!$AF$11)),"")</f>
        <v/>
      </c>
      <c r="Y376" s="340">
        <f t="shared" ca="1" si="42"/>
        <v>0</v>
      </c>
      <c r="Z376" s="474"/>
      <c r="AB376" s="338"/>
      <c r="AC376" s="438"/>
      <c r="AD376" s="438"/>
      <c r="AE376" s="438"/>
      <c r="AF376" s="438"/>
      <c r="AG376" s="438"/>
      <c r="AH376" s="438"/>
      <c r="AI376" s="438"/>
      <c r="AJ376" s="438"/>
      <c r="AK376" s="438"/>
      <c r="AL376" s="438"/>
      <c r="AM376" s="339"/>
      <c r="AO376">
        <f ca="1">IF($A376="S",IF(BM!$I376=0,0,CHOOSE(MATCH(RegimeExecucao,{"Global","Unitário"},0),ROUND(ROUND(BM.MEDAcumulado,15-13*BM!$A$9)/100*BM!$I376,15-13*ORÇAMENTO!$AF$11),ROUND(ROUND(BM.MEDAcumulado,15-13*BM!$A$9)*ROUND(BM!$H376,15-13*ORÇAMENTO!$AF$10),15-13*ORÇAMENTO!$AF$11))),IF($A376=0,0,ROUND(SomaAgrupBM,15-13*ORÇAMENTO!$AF$11)))</f>
        <v>0</v>
      </c>
    </row>
    <row r="377" spans="1:41" x14ac:dyDescent="0.2">
      <c r="A377" t="str">
        <f ca="1">ORÇAMENTO!C377</f>
        <v>S</v>
      </c>
      <c r="B377">
        <f ca="1">ORÇAMENTO!D377</f>
        <v>0</v>
      </c>
      <c r="C377" s="115" t="str">
        <f t="shared" ca="1" si="36"/>
        <v/>
      </c>
      <c r="D377" s="118" t="str">
        <f ca="1">ORÇAMENTO!O377</f>
        <v>-</v>
      </c>
      <c r="E377" s="164" t="str">
        <f t="shared" si="37"/>
        <v>PLACAS DE SINALIZAÇÃO EM BRAILLE</v>
      </c>
      <c r="F377" s="165" t="str">
        <f ca="1">IF(RegimeExecucao="Global","",ORÇAMENTO.Unidade)</f>
        <v>CJ</v>
      </c>
      <c r="G377" s="123">
        <f ca="1">IF(RegimeExecucao="Global","",ORÇAMENTO!T377)</f>
        <v>1</v>
      </c>
      <c r="H377" s="123">
        <f ca="1">IF(RegimeExecucao="Global","",ORÇAMENTO!W377)</f>
        <v>0</v>
      </c>
      <c r="I377" s="126">
        <f ca="1">ORÇAMENTO!X377</f>
        <v>0</v>
      </c>
      <c r="J377" s="334" t="e" cm="1">
        <f t="array" aca="1" ref="J377" ca="1">_xlfn.SINGLE(IF($A377="S",IF(CAIXA.Modo,BM.AFAnterior,BM.MEDAnterior),IF(AND(_xlfn.SINGLE(RegimeExecucao)="Global",$I377&gt;0,COUNTIF($AB$13:$AM$13,BM.medicao-1)&gt;0),M377/$I377*100,0)))</f>
        <v>#NAME?</v>
      </c>
      <c r="K377" s="123" t="e">
        <f t="shared" ca="1" si="38"/>
        <v>#NAME?</v>
      </c>
      <c r="L377" s="335" t="e" cm="1">
        <f t="array" aca="1" ref="L377" ca="1">_xlfn.SINGLE(IF($A377="S",IF(CAIXA.Modo,BM.AFAcumulado,BM.MEDAcumulado),IF(AND(_xlfn.SINGLE(RegimeExecucao)="Global",$I377&gt;0,COUNTIF($AB$13:$AM$13,BM.medicao)&gt;0),O377/$I377*100,0)))</f>
        <v>#NAME?</v>
      </c>
      <c r="M377" s="336">
        <f ca="1">IF($A377="S",VTOTALBM,IF($A377=0,0,ROUND(SomaAgrupBM,15-13*ORÇAMENTO!$AF$11)))</f>
        <v>0</v>
      </c>
      <c r="N377" s="337">
        <f t="shared" ca="1" si="39"/>
        <v>0</v>
      </c>
      <c r="O377" s="126">
        <f ca="1">IF($A377="S",VTOTALBM,IF($A377=0,0,ROUND(SomaAgrupBM,15-13*ORÇAMENTO!$AF$11)))</f>
        <v>0</v>
      </c>
      <c r="Q377" s="338"/>
      <c r="R377" s="339"/>
      <c r="T377" s="118" t="str">
        <f t="shared" ca="1" si="40"/>
        <v/>
      </c>
      <c r="U377" s="164" t="str">
        <f t="shared" ca="1" si="41"/>
        <v/>
      </c>
      <c r="V377" s="165" t="str">
        <f ca="1">IF(AND($W377&gt;0,RegimeExecucao="Unitário"),$F377,"")</f>
        <v/>
      </c>
      <c r="W377" s="455">
        <f ca="1">IF($Y377&gt;0,CHOOSE(MATCH(RegimeExecucao,{"Unitário","Global"},0),IF($A377="S",$Y377/$X377,""),($Y377/$X377)*100),0)</f>
        <v>0</v>
      </c>
      <c r="X377" s="340" t="str">
        <f ca="1">IF($Y377&gt;0,CHOOSE(MATCH(RegimeExecucao,{"Unitário","Global"},0),IF($A377="S",ROUND($H377,ORÇAMENTO!$AF$10),""),ROUND($I377,ORÇAMENTO!$AF$11)),"")</f>
        <v/>
      </c>
      <c r="Y377" s="340">
        <f t="shared" ca="1" si="42"/>
        <v>0</v>
      </c>
      <c r="Z377" s="474"/>
      <c r="AB377" s="338"/>
      <c r="AC377" s="438"/>
      <c r="AD377" s="438"/>
      <c r="AE377" s="438"/>
      <c r="AF377" s="438"/>
      <c r="AG377" s="438"/>
      <c r="AH377" s="438"/>
      <c r="AI377" s="438"/>
      <c r="AJ377" s="438"/>
      <c r="AK377" s="438"/>
      <c r="AL377" s="438"/>
      <c r="AM377" s="339"/>
      <c r="AO377">
        <f ca="1">IF($A377="S",IF(BM!$I377=0,0,CHOOSE(MATCH(RegimeExecucao,{"Global","Unitário"},0),ROUND(ROUND(BM.MEDAcumulado,15-13*BM!$A$9)/100*BM!$I377,15-13*ORÇAMENTO!$AF$11),ROUND(ROUND(BM.MEDAcumulado,15-13*BM!$A$9)*ROUND(BM!$H377,15-13*ORÇAMENTO!$AF$10),15-13*ORÇAMENTO!$AF$11))),IF($A377=0,0,ROUND(SomaAgrupBM,15-13*ORÇAMENTO!$AF$11)))</f>
        <v>0</v>
      </c>
    </row>
    <row r="378" spans="1:41" x14ac:dyDescent="0.2">
      <c r="A378" t="str">
        <f ca="1">ORÇAMENTO!C378</f>
        <v>S</v>
      </c>
      <c r="B378">
        <f ca="1">ORÇAMENTO!D378</f>
        <v>0</v>
      </c>
      <c r="C378" s="115" t="str">
        <f t="shared" ca="1" si="36"/>
        <v/>
      </c>
      <c r="D378" s="118" t="str">
        <f ca="1">ORÇAMENTO!O378</f>
        <v>-</v>
      </c>
      <c r="E378" s="164" t="str">
        <f t="shared" si="37"/>
        <v>SERVENTE COM ENCARGOS COMPLEMENTARES</v>
      </c>
      <c r="F378" s="165" t="str">
        <f ca="1">IF(RegimeExecucao="Global","",ORÇAMENTO.Unidade)</f>
        <v>H</v>
      </c>
      <c r="G378" s="123">
        <f ca="1">IF(RegimeExecucao="Global","",ORÇAMENTO!T378)</f>
        <v>16</v>
      </c>
      <c r="H378" s="123">
        <f ca="1">IF(RegimeExecucao="Global","",ORÇAMENTO!W378)</f>
        <v>0</v>
      </c>
      <c r="I378" s="126">
        <f ca="1">ORÇAMENTO!X378</f>
        <v>0</v>
      </c>
      <c r="J378" s="334" t="e" cm="1">
        <f t="array" aca="1" ref="J378" ca="1">_xlfn.SINGLE(IF($A378="S",IF(CAIXA.Modo,BM.AFAnterior,BM.MEDAnterior),IF(AND(_xlfn.SINGLE(RegimeExecucao)="Global",$I378&gt;0,COUNTIF($AB$13:$AM$13,BM.medicao-1)&gt;0),M378/$I378*100,0)))</f>
        <v>#NAME?</v>
      </c>
      <c r="K378" s="123" t="e">
        <f t="shared" ca="1" si="38"/>
        <v>#NAME?</v>
      </c>
      <c r="L378" s="335" t="e" cm="1">
        <f t="array" aca="1" ref="L378" ca="1">_xlfn.SINGLE(IF($A378="S",IF(CAIXA.Modo,BM.AFAcumulado,BM.MEDAcumulado),IF(AND(_xlfn.SINGLE(RegimeExecucao)="Global",$I378&gt;0,COUNTIF($AB$13:$AM$13,BM.medicao)&gt;0),O378/$I378*100,0)))</f>
        <v>#NAME?</v>
      </c>
      <c r="M378" s="336">
        <f ca="1">IF($A378="S",VTOTALBM,IF($A378=0,0,ROUND(SomaAgrupBM,15-13*ORÇAMENTO!$AF$11)))</f>
        <v>0</v>
      </c>
      <c r="N378" s="337">
        <f t="shared" ca="1" si="39"/>
        <v>0</v>
      </c>
      <c r="O378" s="126">
        <f ca="1">IF($A378="S",VTOTALBM,IF($A378=0,0,ROUND(SomaAgrupBM,15-13*ORÇAMENTO!$AF$11)))</f>
        <v>0</v>
      </c>
      <c r="Q378" s="338"/>
      <c r="R378" s="339"/>
      <c r="T378" s="118" t="str">
        <f t="shared" ca="1" si="40"/>
        <v/>
      </c>
      <c r="U378" s="164" t="str">
        <f t="shared" ca="1" si="41"/>
        <v/>
      </c>
      <c r="V378" s="165" t="str">
        <f ca="1">IF(AND($W378&gt;0,RegimeExecucao="Unitário"),$F378,"")</f>
        <v/>
      </c>
      <c r="W378" s="455">
        <f ca="1">IF($Y378&gt;0,CHOOSE(MATCH(RegimeExecucao,{"Unitário","Global"},0),IF($A378="S",$Y378/$X378,""),($Y378/$X378)*100),0)</f>
        <v>0</v>
      </c>
      <c r="X378" s="340" t="str">
        <f ca="1">IF($Y378&gt;0,CHOOSE(MATCH(RegimeExecucao,{"Unitário","Global"},0),IF($A378="S",ROUND($H378,ORÇAMENTO!$AF$10),""),ROUND($I378,ORÇAMENTO!$AF$11)),"")</f>
        <v/>
      </c>
      <c r="Y378" s="340">
        <f t="shared" ca="1" si="42"/>
        <v>0</v>
      </c>
      <c r="Z378" s="474"/>
      <c r="AB378" s="338"/>
      <c r="AC378" s="438"/>
      <c r="AD378" s="438"/>
      <c r="AE378" s="438"/>
      <c r="AF378" s="438"/>
      <c r="AG378" s="438"/>
      <c r="AH378" s="438"/>
      <c r="AI378" s="438"/>
      <c r="AJ378" s="438"/>
      <c r="AK378" s="438"/>
      <c r="AL378" s="438"/>
      <c r="AM378" s="339"/>
      <c r="AO378">
        <f ca="1">IF($A378="S",IF(BM!$I378=0,0,CHOOSE(MATCH(RegimeExecucao,{"Global","Unitário"},0),ROUND(ROUND(BM.MEDAcumulado,15-13*BM!$A$9)/100*BM!$I378,15-13*ORÇAMENTO!$AF$11),ROUND(ROUND(BM.MEDAcumulado,15-13*BM!$A$9)*ROUND(BM!$H378,15-13*ORÇAMENTO!$AF$10),15-13*ORÇAMENTO!$AF$11))),IF($A378=0,0,ROUND(SomaAgrupBM,15-13*ORÇAMENTO!$AF$11)))</f>
        <v>0</v>
      </c>
    </row>
    <row r="379" spans="1:41" ht="51" x14ac:dyDescent="0.2">
      <c r="A379" t="str">
        <f ca="1">ORÇAMENTO!C379</f>
        <v>S</v>
      </c>
      <c r="B379">
        <f ca="1">ORÇAMENTO!D379</f>
        <v>0</v>
      </c>
      <c r="C379" s="115" t="str">
        <f t="shared" ca="1" si="36"/>
        <v/>
      </c>
      <c r="D379" s="118" t="str">
        <f ca="1">ORÇAMENTO!O379</f>
        <v>-</v>
      </c>
      <c r="E379" s="164" t="str">
        <f t="shared" si="37"/>
        <v>RAMPAS DE ACESSIBILIDADE PARA ACESSO A EDIFICAÇÕES COM INCLINAÇÃO DE 8,33% EM CONCRETO MOLDADO IN LOCO, COM LARGURA CONFORME PROJETO, FCK 25MPA, NÃO ARMADA, COM JUNTA A CADA 2M COM CORTE À SECO. AF_03/2024_PA</v>
      </c>
      <c r="F379" s="165" t="str">
        <f ca="1">IF(RegimeExecucao="Global","",ORÇAMENTO.Unidade)</f>
        <v>M3</v>
      </c>
      <c r="G379" s="123">
        <f ca="1">IF(RegimeExecucao="Global","",ORÇAMENTO!T379)</f>
        <v>8</v>
      </c>
      <c r="H379" s="123">
        <f ca="1">IF(RegimeExecucao="Global","",ORÇAMENTO!W379)</f>
        <v>0</v>
      </c>
      <c r="I379" s="126">
        <f ca="1">ORÇAMENTO!X379</f>
        <v>0</v>
      </c>
      <c r="J379" s="334" t="e" cm="1">
        <f t="array" aca="1" ref="J379" ca="1">_xlfn.SINGLE(IF($A379="S",IF(CAIXA.Modo,BM.AFAnterior,BM.MEDAnterior),IF(AND(_xlfn.SINGLE(RegimeExecucao)="Global",$I379&gt;0,COUNTIF($AB$13:$AM$13,BM.medicao-1)&gt;0),M379/$I379*100,0)))</f>
        <v>#NAME?</v>
      </c>
      <c r="K379" s="123" t="e">
        <f t="shared" ca="1" si="38"/>
        <v>#NAME?</v>
      </c>
      <c r="L379" s="335" t="e" cm="1">
        <f t="array" aca="1" ref="L379" ca="1">_xlfn.SINGLE(IF($A379="S",IF(CAIXA.Modo,BM.AFAcumulado,BM.MEDAcumulado),IF(AND(_xlfn.SINGLE(RegimeExecucao)="Global",$I379&gt;0,COUNTIF($AB$13:$AM$13,BM.medicao)&gt;0),O379/$I379*100,0)))</f>
        <v>#NAME?</v>
      </c>
      <c r="M379" s="336">
        <f ca="1">IF($A379="S",VTOTALBM,IF($A379=0,0,ROUND(SomaAgrupBM,15-13*ORÇAMENTO!$AF$11)))</f>
        <v>0</v>
      </c>
      <c r="N379" s="337">
        <f t="shared" ca="1" si="39"/>
        <v>0</v>
      </c>
      <c r="O379" s="126">
        <f ca="1">IF($A379="S",VTOTALBM,IF($A379=0,0,ROUND(SomaAgrupBM,15-13*ORÇAMENTO!$AF$11)))</f>
        <v>0</v>
      </c>
      <c r="Q379" s="338"/>
      <c r="R379" s="339"/>
      <c r="T379" s="118" t="str">
        <f t="shared" ca="1" si="40"/>
        <v/>
      </c>
      <c r="U379" s="164" t="str">
        <f t="shared" ca="1" si="41"/>
        <v/>
      </c>
      <c r="V379" s="165" t="str">
        <f ca="1">IF(AND($W379&gt;0,RegimeExecucao="Unitário"),$F379,"")</f>
        <v/>
      </c>
      <c r="W379" s="455">
        <f ca="1">IF($Y379&gt;0,CHOOSE(MATCH(RegimeExecucao,{"Unitário","Global"},0),IF($A379="S",$Y379/$X379,""),($Y379/$X379)*100),0)</f>
        <v>0</v>
      </c>
      <c r="X379" s="340" t="str">
        <f ca="1">IF($Y379&gt;0,CHOOSE(MATCH(RegimeExecucao,{"Unitário","Global"},0),IF($A379="S",ROUND($H379,ORÇAMENTO!$AF$10),""),ROUND($I379,ORÇAMENTO!$AF$11)),"")</f>
        <v/>
      </c>
      <c r="Y379" s="340">
        <f t="shared" ca="1" si="42"/>
        <v>0</v>
      </c>
      <c r="Z379" s="474"/>
      <c r="AB379" s="338"/>
      <c r="AC379" s="438"/>
      <c r="AD379" s="438"/>
      <c r="AE379" s="438"/>
      <c r="AF379" s="438"/>
      <c r="AG379" s="438"/>
      <c r="AH379" s="438"/>
      <c r="AI379" s="438"/>
      <c r="AJ379" s="438"/>
      <c r="AK379" s="438"/>
      <c r="AL379" s="438"/>
      <c r="AM379" s="339"/>
      <c r="AO379">
        <f ca="1">IF($A379="S",IF(BM!$I379=0,0,CHOOSE(MATCH(RegimeExecucao,{"Global","Unitário"},0),ROUND(ROUND(BM.MEDAcumulado,15-13*BM!$A$9)/100*BM!$I379,15-13*ORÇAMENTO!$AF$11),ROUND(ROUND(BM.MEDAcumulado,15-13*BM!$A$9)*ROUND(BM!$H379,15-13*ORÇAMENTO!$AF$10),15-13*ORÇAMENTO!$AF$11))),IF($A379=0,0,ROUND(SomaAgrupBM,15-13*ORÇAMENTO!$AF$11)))</f>
        <v>0</v>
      </c>
    </row>
    <row r="380" spans="1:41" x14ac:dyDescent="0.2">
      <c r="A380">
        <f ca="1">ORÇAMENTO!C380</f>
        <v>2</v>
      </c>
      <c r="B380">
        <f ca="1">ORÇAMENTO!D380</f>
        <v>12</v>
      </c>
      <c r="C380" s="115" t="str">
        <f t="shared" ca="1" si="36"/>
        <v>F</v>
      </c>
      <c r="D380" s="118" t="str">
        <f ca="1">ORÇAMENTO!O380</f>
        <v>1.21.</v>
      </c>
      <c r="E380" s="164" t="str">
        <f t="shared" si="37"/>
        <v>SPDA</v>
      </c>
      <c r="F380" s="165" t="str">
        <f ca="1">IF(RegimeExecucao="Global","",ORÇAMENTO.Unidade)</f>
        <v>-</v>
      </c>
      <c r="G380" s="123">
        <f ca="1">IF(RegimeExecucao="Global","",ORÇAMENTO!T380)</f>
        <v>0</v>
      </c>
      <c r="H380" s="123">
        <f ca="1">IF(RegimeExecucao="Global","",ORÇAMENTO!W380)</f>
        <v>0</v>
      </c>
      <c r="I380" s="126">
        <f ca="1">ORÇAMENTO!X380</f>
        <v>0</v>
      </c>
      <c r="J380" s="334" t="e" cm="1">
        <f t="array" aca="1" ref="J380" ca="1">_xlfn.SINGLE(IF($A380="S",IF(CAIXA.Modo,BM.AFAnterior,BM.MEDAnterior),IF(AND(_xlfn.SINGLE(RegimeExecucao)="Global",$I380&gt;0,COUNTIF($AB$13:$AM$13,BM.medicao-1)&gt;0),M380/$I380*100,0)))</f>
        <v>#NAME?</v>
      </c>
      <c r="K380" s="123" t="e">
        <f t="shared" ca="1" si="38"/>
        <v>#NAME?</v>
      </c>
      <c r="L380" s="335" t="e" cm="1">
        <f t="array" aca="1" ref="L380" ca="1">_xlfn.SINGLE(IF($A380="S",IF(CAIXA.Modo,BM.AFAcumulado,BM.MEDAcumulado),IF(AND(_xlfn.SINGLE(RegimeExecucao)="Global",$I380&gt;0,COUNTIF($AB$13:$AM$13,BM.medicao)&gt;0),O380/$I380*100,0)))</f>
        <v>#NAME?</v>
      </c>
      <c r="M380" s="336">
        <f ca="1">IF($A380="S",VTOTALBM,IF($A380=0,0,ROUND(SomaAgrupBM,15-13*ORÇAMENTO!$AF$11)))</f>
        <v>0</v>
      </c>
      <c r="N380" s="337">
        <f t="shared" ca="1" si="39"/>
        <v>0</v>
      </c>
      <c r="O380" s="126">
        <f ca="1">IF($A380="S",VTOTALBM,IF($A380=0,0,ROUND(SomaAgrupBM,15-13*ORÇAMENTO!$AF$11)))</f>
        <v>0</v>
      </c>
      <c r="Q380" s="338"/>
      <c r="R380" s="339"/>
      <c r="T380" s="118" t="str">
        <f t="shared" ca="1" si="40"/>
        <v/>
      </c>
      <c r="U380" s="164" t="str">
        <f t="shared" ca="1" si="41"/>
        <v/>
      </c>
      <c r="V380" s="165" t="str">
        <f ca="1">IF(AND($W380&gt;0,RegimeExecucao="Unitário"),$F380,"")</f>
        <v/>
      </c>
      <c r="W380" s="455">
        <f ca="1">IF($Y380&gt;0,CHOOSE(MATCH(RegimeExecucao,{"Unitário","Global"},0),IF($A380="S",$Y380/$X380,""),($Y380/$X380)*100),0)</f>
        <v>0</v>
      </c>
      <c r="X380" s="340" t="str">
        <f ca="1">IF($Y380&gt;0,CHOOSE(MATCH(RegimeExecucao,{"Unitário","Global"},0),IF($A380="S",ROUND($H380,ORÇAMENTO!$AF$10),""),ROUND($I380,ORÇAMENTO!$AF$11)),"")</f>
        <v/>
      </c>
      <c r="Y380" s="340">
        <f t="shared" ca="1" si="42"/>
        <v>0</v>
      </c>
      <c r="Z380" s="474"/>
      <c r="AB380" s="338"/>
      <c r="AC380" s="438"/>
      <c r="AD380" s="438"/>
      <c r="AE380" s="438"/>
      <c r="AF380" s="438"/>
      <c r="AG380" s="438"/>
      <c r="AH380" s="438"/>
      <c r="AI380" s="438"/>
      <c r="AJ380" s="438"/>
      <c r="AK380" s="438"/>
      <c r="AL380" s="438"/>
      <c r="AM380" s="339"/>
      <c r="AO380">
        <f ca="1">IF($A380="S",IF(BM!$I380=0,0,CHOOSE(MATCH(RegimeExecucao,{"Global","Unitário"},0),ROUND(ROUND(BM.MEDAcumulado,15-13*BM!$A$9)/100*BM!$I380,15-13*ORÇAMENTO!$AF$11),ROUND(ROUND(BM.MEDAcumulado,15-13*BM!$A$9)*ROUND(BM!$H380,15-13*ORÇAMENTO!$AF$10),15-13*ORÇAMENTO!$AF$11))),IF($A380=0,0,ROUND(SomaAgrupBM,15-13*ORÇAMENTO!$AF$11)))</f>
        <v>0</v>
      </c>
    </row>
    <row r="381" spans="1:41" ht="25.5" x14ac:dyDescent="0.2">
      <c r="A381" t="str">
        <f ca="1">ORÇAMENTO!C381</f>
        <v>S</v>
      </c>
      <c r="B381">
        <f ca="1">ORÇAMENTO!D381</f>
        <v>0</v>
      </c>
      <c r="C381" s="115" t="str">
        <f t="shared" ca="1" si="36"/>
        <v/>
      </c>
      <c r="D381" s="118" t="str">
        <f ca="1">ORÇAMENTO!O381</f>
        <v>-</v>
      </c>
      <c r="E381" s="164" t="str">
        <f t="shared" si="37"/>
        <v xml:space="preserve">CAIXA DE INSPEÇÃO 300X400MM COM TAMPA CIRCULAR DE 300MM DIÂMETRO DE FERRO FUNDIDO - FORNECIMENTO  E INSWTALÇÃO </v>
      </c>
      <c r="F381" s="165" t="str">
        <f ca="1">IF(RegimeExecucao="Global","",ORÇAMENTO.Unidade)</f>
        <v xml:space="preserve">UN    </v>
      </c>
      <c r="G381" s="123">
        <f ca="1">IF(RegimeExecucao="Global","",ORÇAMENTO!T381)</f>
        <v>128.69999999999999</v>
      </c>
      <c r="H381" s="123">
        <f ca="1">IF(RegimeExecucao="Global","",ORÇAMENTO!W381)</f>
        <v>0</v>
      </c>
      <c r="I381" s="126">
        <f ca="1">ORÇAMENTO!X381</f>
        <v>0</v>
      </c>
      <c r="J381" s="334" t="e" cm="1">
        <f t="array" aca="1" ref="J381" ca="1">_xlfn.SINGLE(IF($A381="S",IF(CAIXA.Modo,BM.AFAnterior,BM.MEDAnterior),IF(AND(_xlfn.SINGLE(RegimeExecucao)="Global",$I381&gt;0,COUNTIF($AB$13:$AM$13,BM.medicao-1)&gt;0),M381/$I381*100,0)))</f>
        <v>#NAME?</v>
      </c>
      <c r="K381" s="123" t="e">
        <f t="shared" ca="1" si="38"/>
        <v>#NAME?</v>
      </c>
      <c r="L381" s="335" t="e" cm="1">
        <f t="array" aca="1" ref="L381" ca="1">_xlfn.SINGLE(IF($A381="S",IF(CAIXA.Modo,BM.AFAcumulado,BM.MEDAcumulado),IF(AND(_xlfn.SINGLE(RegimeExecucao)="Global",$I381&gt;0,COUNTIF($AB$13:$AM$13,BM.medicao)&gt;0),O381/$I381*100,0)))</f>
        <v>#NAME?</v>
      </c>
      <c r="M381" s="336">
        <f ca="1">IF($A381="S",VTOTALBM,IF($A381=0,0,ROUND(SomaAgrupBM,15-13*ORÇAMENTO!$AF$11)))</f>
        <v>0</v>
      </c>
      <c r="N381" s="337">
        <f t="shared" ca="1" si="39"/>
        <v>0</v>
      </c>
      <c r="O381" s="126">
        <f ca="1">IF($A381="S",VTOTALBM,IF($A381=0,0,ROUND(SomaAgrupBM,15-13*ORÇAMENTO!$AF$11)))</f>
        <v>0</v>
      </c>
      <c r="Q381" s="338"/>
      <c r="R381" s="339"/>
      <c r="T381" s="118" t="str">
        <f t="shared" ca="1" si="40"/>
        <v/>
      </c>
      <c r="U381" s="164" t="str">
        <f t="shared" ca="1" si="41"/>
        <v/>
      </c>
      <c r="V381" s="165" t="str">
        <f ca="1">IF(AND($W381&gt;0,RegimeExecucao="Unitário"),$F381,"")</f>
        <v/>
      </c>
      <c r="W381" s="455">
        <f ca="1">IF($Y381&gt;0,CHOOSE(MATCH(RegimeExecucao,{"Unitário","Global"},0),IF($A381="S",$Y381/$X381,""),($Y381/$X381)*100),0)</f>
        <v>0</v>
      </c>
      <c r="X381" s="340" t="str">
        <f ca="1">IF($Y381&gt;0,CHOOSE(MATCH(RegimeExecucao,{"Unitário","Global"},0),IF($A381="S",ROUND($H381,ORÇAMENTO!$AF$10),""),ROUND($I381,ORÇAMENTO!$AF$11)),"")</f>
        <v/>
      </c>
      <c r="Y381" s="340">
        <f t="shared" ca="1" si="42"/>
        <v>0</v>
      </c>
      <c r="Z381" s="474"/>
      <c r="AB381" s="338"/>
      <c r="AC381" s="438"/>
      <c r="AD381" s="438"/>
      <c r="AE381" s="438"/>
      <c r="AF381" s="438"/>
      <c r="AG381" s="438"/>
      <c r="AH381" s="438"/>
      <c r="AI381" s="438"/>
      <c r="AJ381" s="438"/>
      <c r="AK381" s="438"/>
      <c r="AL381" s="438"/>
      <c r="AM381" s="339"/>
      <c r="AO381">
        <f ca="1">IF($A381="S",IF(BM!$I381=0,0,CHOOSE(MATCH(RegimeExecucao,{"Global","Unitário"},0),ROUND(ROUND(BM.MEDAcumulado,15-13*BM!$A$9)/100*BM!$I381,15-13*ORÇAMENTO!$AF$11),ROUND(ROUND(BM.MEDAcumulado,15-13*BM!$A$9)*ROUND(BM!$H381,15-13*ORÇAMENTO!$AF$10),15-13*ORÇAMENTO!$AF$11))),IF($A381=0,0,ROUND(SomaAgrupBM,15-13*ORÇAMENTO!$AF$11)))</f>
        <v>0</v>
      </c>
    </row>
    <row r="382" spans="1:41" ht="25.5" x14ac:dyDescent="0.2">
      <c r="A382" t="str">
        <f ca="1">ORÇAMENTO!C382</f>
        <v>S</v>
      </c>
      <c r="B382">
        <f ca="1">ORÇAMENTO!D382</f>
        <v>0</v>
      </c>
      <c r="C382" s="115" t="str">
        <f t="shared" ca="1" si="36"/>
        <v/>
      </c>
      <c r="D382" s="118" t="str">
        <f ca="1">ORÇAMENTO!O382</f>
        <v>-</v>
      </c>
      <c r="E382" s="164" t="str">
        <f t="shared" si="37"/>
        <v>HASTE DE ATERRAMENTO TIPO COPPERWELD ALTA CAMADA (254 MICRONS) Ø5/8" X 2,4M</v>
      </c>
      <c r="F382" s="165" t="str">
        <f ca="1">IF(RegimeExecucao="Global","",ORÇAMENTO.Unidade)</f>
        <v xml:space="preserve">UN    </v>
      </c>
      <c r="G382" s="123">
        <f ca="1">IF(RegimeExecucao="Global","",ORÇAMENTO!T382)</f>
        <v>134.24</v>
      </c>
      <c r="H382" s="123">
        <f ca="1">IF(RegimeExecucao="Global","",ORÇAMENTO!W382)</f>
        <v>0</v>
      </c>
      <c r="I382" s="126">
        <f ca="1">ORÇAMENTO!X382</f>
        <v>0</v>
      </c>
      <c r="J382" s="334" t="e" cm="1">
        <f t="array" aca="1" ref="J382" ca="1">_xlfn.SINGLE(IF($A382="S",IF(CAIXA.Modo,BM.AFAnterior,BM.MEDAnterior),IF(AND(_xlfn.SINGLE(RegimeExecucao)="Global",$I382&gt;0,COUNTIF($AB$13:$AM$13,BM.medicao-1)&gt;0),M382/$I382*100,0)))</f>
        <v>#NAME?</v>
      </c>
      <c r="K382" s="123" t="e">
        <f t="shared" ca="1" si="38"/>
        <v>#NAME?</v>
      </c>
      <c r="L382" s="335" t="e" cm="1">
        <f t="array" aca="1" ref="L382" ca="1">_xlfn.SINGLE(IF($A382="S",IF(CAIXA.Modo,BM.AFAcumulado,BM.MEDAcumulado),IF(AND(_xlfn.SINGLE(RegimeExecucao)="Global",$I382&gt;0,COUNTIF($AB$13:$AM$13,BM.medicao)&gt;0),O382/$I382*100,0)))</f>
        <v>#NAME?</v>
      </c>
      <c r="M382" s="336">
        <f ca="1">IF($A382="S",VTOTALBM,IF($A382=0,0,ROUND(SomaAgrupBM,15-13*ORÇAMENTO!$AF$11)))</f>
        <v>0</v>
      </c>
      <c r="N382" s="337">
        <f t="shared" ca="1" si="39"/>
        <v>0</v>
      </c>
      <c r="O382" s="126">
        <f ca="1">IF($A382="S",VTOTALBM,IF($A382=0,0,ROUND(SomaAgrupBM,15-13*ORÇAMENTO!$AF$11)))</f>
        <v>0</v>
      </c>
      <c r="Q382" s="338"/>
      <c r="R382" s="339"/>
      <c r="T382" s="118" t="str">
        <f t="shared" ca="1" si="40"/>
        <v/>
      </c>
      <c r="U382" s="164" t="str">
        <f t="shared" ca="1" si="41"/>
        <v/>
      </c>
      <c r="V382" s="165" t="str">
        <f ca="1">IF(AND($W382&gt;0,RegimeExecucao="Unitário"),$F382,"")</f>
        <v/>
      </c>
      <c r="W382" s="455">
        <f ca="1">IF($Y382&gt;0,CHOOSE(MATCH(RegimeExecucao,{"Unitário","Global"},0),IF($A382="S",$Y382/$X382,""),($Y382/$X382)*100),0)</f>
        <v>0</v>
      </c>
      <c r="X382" s="340" t="str">
        <f ca="1">IF($Y382&gt;0,CHOOSE(MATCH(RegimeExecucao,{"Unitário","Global"},0),IF($A382="S",ROUND($H382,ORÇAMENTO!$AF$10),""),ROUND($I382,ORÇAMENTO!$AF$11)),"")</f>
        <v/>
      </c>
      <c r="Y382" s="340">
        <f t="shared" ca="1" si="42"/>
        <v>0</v>
      </c>
      <c r="Z382" s="474"/>
      <c r="AB382" s="338"/>
      <c r="AC382" s="438"/>
      <c r="AD382" s="438"/>
      <c r="AE382" s="438"/>
      <c r="AF382" s="438"/>
      <c r="AG382" s="438"/>
      <c r="AH382" s="438"/>
      <c r="AI382" s="438"/>
      <c r="AJ382" s="438"/>
      <c r="AK382" s="438"/>
      <c r="AL382" s="438"/>
      <c r="AM382" s="339"/>
      <c r="AO382">
        <f ca="1">IF($A382="S",IF(BM!$I382=0,0,CHOOSE(MATCH(RegimeExecucao,{"Global","Unitário"},0),ROUND(ROUND(BM.MEDAcumulado,15-13*BM!$A$9)/100*BM!$I382,15-13*ORÇAMENTO!$AF$11),ROUND(ROUND(BM.MEDAcumulado,15-13*BM!$A$9)*ROUND(BM!$H382,15-13*ORÇAMENTO!$AF$10),15-13*ORÇAMENTO!$AF$11))),IF($A382=0,0,ROUND(SomaAgrupBM,15-13*ORÇAMENTO!$AF$11)))</f>
        <v>0</v>
      </c>
    </row>
    <row r="383" spans="1:41" ht="38.25" x14ac:dyDescent="0.2">
      <c r="A383" t="str">
        <f ca="1">ORÇAMENTO!C383</f>
        <v>S</v>
      </c>
      <c r="B383">
        <f ca="1">ORÇAMENTO!D383</f>
        <v>0</v>
      </c>
      <c r="C383" s="115" t="str">
        <f t="shared" ca="1" si="36"/>
        <v/>
      </c>
      <c r="D383" s="118" t="str">
        <f ca="1">ORÇAMENTO!O383</f>
        <v>-</v>
      </c>
      <c r="E383" s="164" t="str">
        <f t="shared" si="37"/>
        <v>TERMINAL AÉREO DE BARRA CHATA DE ALUMÍNIO 7/8" X 1/8" / 600MM COM PARAFUSO DE FIXAÇÃO EM INOX OU ALUMÍNIO, AUTOPERFURANTE, SEXTAVADO - FORNECIMENTO E INSTALAÇÃO</v>
      </c>
      <c r="F383" s="165" t="str">
        <f ca="1">IF(RegimeExecucao="Global","",ORÇAMENTO.Unidade)</f>
        <v xml:space="preserve">UN    </v>
      </c>
      <c r="G383" s="123">
        <f ca="1">IF(RegimeExecucao="Global","",ORÇAMENTO!T383)</f>
        <v>53.86</v>
      </c>
      <c r="H383" s="123">
        <f ca="1">IF(RegimeExecucao="Global","",ORÇAMENTO!W383)</f>
        <v>0</v>
      </c>
      <c r="I383" s="126">
        <f ca="1">ORÇAMENTO!X383</f>
        <v>0</v>
      </c>
      <c r="J383" s="334" t="e" cm="1">
        <f t="array" aca="1" ref="J383" ca="1">_xlfn.SINGLE(IF($A383="S",IF(CAIXA.Modo,BM.AFAnterior,BM.MEDAnterior),IF(AND(_xlfn.SINGLE(RegimeExecucao)="Global",$I383&gt;0,COUNTIF($AB$13:$AM$13,BM.medicao-1)&gt;0),M383/$I383*100,0)))</f>
        <v>#NAME?</v>
      </c>
      <c r="K383" s="123" t="e">
        <f t="shared" ca="1" si="38"/>
        <v>#NAME?</v>
      </c>
      <c r="L383" s="335" t="e" cm="1">
        <f t="array" aca="1" ref="L383" ca="1">_xlfn.SINGLE(IF($A383="S",IF(CAIXA.Modo,BM.AFAcumulado,BM.MEDAcumulado),IF(AND(_xlfn.SINGLE(RegimeExecucao)="Global",$I383&gt;0,COUNTIF($AB$13:$AM$13,BM.medicao)&gt;0),O383/$I383*100,0)))</f>
        <v>#NAME?</v>
      </c>
      <c r="M383" s="336">
        <f ca="1">IF($A383="S",VTOTALBM,IF($A383=0,0,ROUND(SomaAgrupBM,15-13*ORÇAMENTO!$AF$11)))</f>
        <v>0</v>
      </c>
      <c r="N383" s="337">
        <f t="shared" ca="1" si="39"/>
        <v>0</v>
      </c>
      <c r="O383" s="126">
        <f ca="1">IF($A383="S",VTOTALBM,IF($A383=0,0,ROUND(SomaAgrupBM,15-13*ORÇAMENTO!$AF$11)))</f>
        <v>0</v>
      </c>
      <c r="Q383" s="338"/>
      <c r="R383" s="339"/>
      <c r="T383" s="118" t="str">
        <f t="shared" ca="1" si="40"/>
        <v/>
      </c>
      <c r="U383" s="164" t="str">
        <f t="shared" ca="1" si="41"/>
        <v/>
      </c>
      <c r="V383" s="165" t="str">
        <f ca="1">IF(AND($W383&gt;0,RegimeExecucao="Unitário"),$F383,"")</f>
        <v/>
      </c>
      <c r="W383" s="455">
        <f ca="1">IF($Y383&gt;0,CHOOSE(MATCH(RegimeExecucao,{"Unitário","Global"},0),IF($A383="S",$Y383/$X383,""),($Y383/$X383)*100),0)</f>
        <v>0</v>
      </c>
      <c r="X383" s="340" t="str">
        <f ca="1">IF($Y383&gt;0,CHOOSE(MATCH(RegimeExecucao,{"Unitário","Global"},0),IF($A383="S",ROUND($H383,ORÇAMENTO!$AF$10),""),ROUND($I383,ORÇAMENTO!$AF$11)),"")</f>
        <v/>
      </c>
      <c r="Y383" s="340">
        <f t="shared" ca="1" si="42"/>
        <v>0</v>
      </c>
      <c r="Z383" s="474"/>
      <c r="AB383" s="338"/>
      <c r="AC383" s="438"/>
      <c r="AD383" s="438"/>
      <c r="AE383" s="438"/>
      <c r="AF383" s="438"/>
      <c r="AG383" s="438"/>
      <c r="AH383" s="438"/>
      <c r="AI383" s="438"/>
      <c r="AJ383" s="438"/>
      <c r="AK383" s="438"/>
      <c r="AL383" s="438"/>
      <c r="AM383" s="339"/>
      <c r="AO383">
        <f ca="1">IF($A383="S",IF(BM!$I383=0,0,CHOOSE(MATCH(RegimeExecucao,{"Global","Unitário"},0),ROUND(ROUND(BM.MEDAcumulado,15-13*BM!$A$9)/100*BM!$I383,15-13*ORÇAMENTO!$AF$11),ROUND(ROUND(BM.MEDAcumulado,15-13*BM!$A$9)*ROUND(BM!$H383,15-13*ORÇAMENTO!$AF$10),15-13*ORÇAMENTO!$AF$11))),IF($A383=0,0,ROUND(SomaAgrupBM,15-13*ORÇAMENTO!$AF$11)))</f>
        <v>0</v>
      </c>
    </row>
    <row r="384" spans="1:41" ht="25.5" x14ac:dyDescent="0.2">
      <c r="A384" t="str">
        <f ca="1">ORÇAMENTO!C384</f>
        <v>S</v>
      </c>
      <c r="B384">
        <f ca="1">ORÇAMENTO!D384</f>
        <v>0</v>
      </c>
      <c r="C384" s="115" t="str">
        <f t="shared" ca="1" si="36"/>
        <v/>
      </c>
      <c r="D384" s="118" t="str">
        <f ca="1">ORÇAMENTO!O384</f>
        <v>-</v>
      </c>
      <c r="E384" s="164" t="str">
        <f t="shared" si="37"/>
        <v xml:space="preserve">CABO DE COBRE NU SEÇÃO 50 MM² - FORNECIMENTO E INSTALAÇÃO </v>
      </c>
      <c r="F384" s="165" t="str">
        <f ca="1">IF(RegimeExecucao="Global","",ORÇAMENTO.Unidade)</f>
        <v xml:space="preserve">UN    </v>
      </c>
      <c r="G384" s="123">
        <f ca="1">IF(RegimeExecucao="Global","",ORÇAMENTO!T384)</f>
        <v>109.04</v>
      </c>
      <c r="H384" s="123">
        <f ca="1">IF(RegimeExecucao="Global","",ORÇAMENTO!W384)</f>
        <v>0</v>
      </c>
      <c r="I384" s="126">
        <f ca="1">ORÇAMENTO!X384</f>
        <v>0</v>
      </c>
      <c r="J384" s="334" t="e" cm="1">
        <f t="array" aca="1" ref="J384" ca="1">_xlfn.SINGLE(IF($A384="S",IF(CAIXA.Modo,BM.AFAnterior,BM.MEDAnterior),IF(AND(_xlfn.SINGLE(RegimeExecucao)="Global",$I384&gt;0,COUNTIF($AB$13:$AM$13,BM.medicao-1)&gt;0),M384/$I384*100,0)))</f>
        <v>#NAME?</v>
      </c>
      <c r="K384" s="123" t="e">
        <f t="shared" ca="1" si="38"/>
        <v>#NAME?</v>
      </c>
      <c r="L384" s="335" t="e" cm="1">
        <f t="array" aca="1" ref="L384" ca="1">_xlfn.SINGLE(IF($A384="S",IF(CAIXA.Modo,BM.AFAcumulado,BM.MEDAcumulado),IF(AND(_xlfn.SINGLE(RegimeExecucao)="Global",$I384&gt;0,COUNTIF($AB$13:$AM$13,BM.medicao)&gt;0),O384/$I384*100,0)))</f>
        <v>#NAME?</v>
      </c>
      <c r="M384" s="336">
        <f ca="1">IF($A384="S",VTOTALBM,IF($A384=0,0,ROUND(SomaAgrupBM,15-13*ORÇAMENTO!$AF$11)))</f>
        <v>0</v>
      </c>
      <c r="N384" s="337">
        <f t="shared" ca="1" si="39"/>
        <v>0</v>
      </c>
      <c r="O384" s="126">
        <f ca="1">IF($A384="S",VTOTALBM,IF($A384=0,0,ROUND(SomaAgrupBM,15-13*ORÇAMENTO!$AF$11)))</f>
        <v>0</v>
      </c>
      <c r="Q384" s="338"/>
      <c r="R384" s="339"/>
      <c r="T384" s="118" t="str">
        <f t="shared" ca="1" si="40"/>
        <v/>
      </c>
      <c r="U384" s="164" t="str">
        <f t="shared" ca="1" si="41"/>
        <v/>
      </c>
      <c r="V384" s="165" t="str">
        <f ca="1">IF(AND($W384&gt;0,RegimeExecucao="Unitário"),$F384,"")</f>
        <v/>
      </c>
      <c r="W384" s="455">
        <f ca="1">IF($Y384&gt;0,CHOOSE(MATCH(RegimeExecucao,{"Unitário","Global"},0),IF($A384="S",$Y384/$X384,""),($Y384/$X384)*100),0)</f>
        <v>0</v>
      </c>
      <c r="X384" s="340" t="str">
        <f ca="1">IF($Y384&gt;0,CHOOSE(MATCH(RegimeExecucao,{"Unitário","Global"},0),IF($A384="S",ROUND($H384,ORÇAMENTO!$AF$10),""),ROUND($I384,ORÇAMENTO!$AF$11)),"")</f>
        <v/>
      </c>
      <c r="Y384" s="340">
        <f t="shared" ca="1" si="42"/>
        <v>0</v>
      </c>
      <c r="Z384" s="474"/>
      <c r="AB384" s="338"/>
      <c r="AC384" s="438"/>
      <c r="AD384" s="438"/>
      <c r="AE384" s="438"/>
      <c r="AF384" s="438"/>
      <c r="AG384" s="438"/>
      <c r="AH384" s="438"/>
      <c r="AI384" s="438"/>
      <c r="AJ384" s="438"/>
      <c r="AK384" s="438"/>
      <c r="AL384" s="438"/>
      <c r="AM384" s="339"/>
      <c r="AO384">
        <f ca="1">IF($A384="S",IF(BM!$I384=0,0,CHOOSE(MATCH(RegimeExecucao,{"Global","Unitário"},0),ROUND(ROUND(BM.MEDAcumulado,15-13*BM!$A$9)/100*BM!$I384,15-13*ORÇAMENTO!$AF$11),ROUND(ROUND(BM.MEDAcumulado,15-13*BM!$A$9)*ROUND(BM!$H384,15-13*ORÇAMENTO!$AF$10),15-13*ORÇAMENTO!$AF$11))),IF($A384=0,0,ROUND(SomaAgrupBM,15-13*ORÇAMENTO!$AF$11)))</f>
        <v>0</v>
      </c>
    </row>
    <row r="385" spans="1:41" ht="25.5" x14ac:dyDescent="0.2">
      <c r="A385" t="str">
        <f ca="1">ORÇAMENTO!C385</f>
        <v>S</v>
      </c>
      <c r="B385">
        <f ca="1">ORÇAMENTO!D385</f>
        <v>0</v>
      </c>
      <c r="C385" s="115" t="str">
        <f t="shared" ca="1" si="36"/>
        <v/>
      </c>
      <c r="D385" s="118" t="str">
        <f ca="1">ORÇAMENTO!O385</f>
        <v>-</v>
      </c>
      <c r="E385" s="164" t="str">
        <f t="shared" si="37"/>
        <v xml:space="preserve">CONECTOR DE ATERRAMENTO , REFORÇADO EM COBRE ESTANHO UM CABO DE 50 MM² 5/8" X 2,4 M   - FORMECIMENTO E INSTAÇÃO </v>
      </c>
      <c r="F385" s="165" t="str">
        <f ca="1">IF(RegimeExecucao="Global","",ORÇAMENTO.Unidade)</f>
        <v xml:space="preserve">UN    </v>
      </c>
      <c r="G385" s="123">
        <f ca="1">IF(RegimeExecucao="Global","",ORÇAMENTO!T385)</f>
        <v>92.85</v>
      </c>
      <c r="H385" s="123">
        <f ca="1">IF(RegimeExecucao="Global","",ORÇAMENTO!W385)</f>
        <v>0</v>
      </c>
      <c r="I385" s="126">
        <f ca="1">ORÇAMENTO!X385</f>
        <v>0</v>
      </c>
      <c r="J385" s="334" t="e" cm="1">
        <f t="array" aca="1" ref="J385" ca="1">_xlfn.SINGLE(IF($A385="S",IF(CAIXA.Modo,BM.AFAnterior,BM.MEDAnterior),IF(AND(_xlfn.SINGLE(RegimeExecucao)="Global",$I385&gt;0,COUNTIF($AB$13:$AM$13,BM.medicao-1)&gt;0),M385/$I385*100,0)))</f>
        <v>#NAME?</v>
      </c>
      <c r="K385" s="123" t="e">
        <f t="shared" ca="1" si="38"/>
        <v>#NAME?</v>
      </c>
      <c r="L385" s="335" t="e" cm="1">
        <f t="array" aca="1" ref="L385" ca="1">_xlfn.SINGLE(IF($A385="S",IF(CAIXA.Modo,BM.AFAcumulado,BM.MEDAcumulado),IF(AND(_xlfn.SINGLE(RegimeExecucao)="Global",$I385&gt;0,COUNTIF($AB$13:$AM$13,BM.medicao)&gt;0),O385/$I385*100,0)))</f>
        <v>#NAME?</v>
      </c>
      <c r="M385" s="336">
        <f ca="1">IF($A385="S",VTOTALBM,IF($A385=0,0,ROUND(SomaAgrupBM,15-13*ORÇAMENTO!$AF$11)))</f>
        <v>0</v>
      </c>
      <c r="N385" s="337">
        <f t="shared" ca="1" si="39"/>
        <v>0</v>
      </c>
      <c r="O385" s="126">
        <f ca="1">IF($A385="S",VTOTALBM,IF($A385=0,0,ROUND(SomaAgrupBM,15-13*ORÇAMENTO!$AF$11)))</f>
        <v>0</v>
      </c>
      <c r="Q385" s="338"/>
      <c r="R385" s="339"/>
      <c r="T385" s="118" t="str">
        <f t="shared" ca="1" si="40"/>
        <v/>
      </c>
      <c r="U385" s="164" t="str">
        <f t="shared" ca="1" si="41"/>
        <v/>
      </c>
      <c r="V385" s="165" t="str">
        <f ca="1">IF(AND($W385&gt;0,RegimeExecucao="Unitário"),$F385,"")</f>
        <v/>
      </c>
      <c r="W385" s="455">
        <f ca="1">IF($Y385&gt;0,CHOOSE(MATCH(RegimeExecucao,{"Unitário","Global"},0),IF($A385="S",$Y385/$X385,""),($Y385/$X385)*100),0)</f>
        <v>0</v>
      </c>
      <c r="X385" s="340" t="str">
        <f ca="1">IF($Y385&gt;0,CHOOSE(MATCH(RegimeExecucao,{"Unitário","Global"},0),IF($A385="S",ROUND($H385,ORÇAMENTO!$AF$10),""),ROUND($I385,ORÇAMENTO!$AF$11)),"")</f>
        <v/>
      </c>
      <c r="Y385" s="340">
        <f t="shared" ca="1" si="42"/>
        <v>0</v>
      </c>
      <c r="Z385" s="474"/>
      <c r="AB385" s="338"/>
      <c r="AC385" s="438"/>
      <c r="AD385" s="438"/>
      <c r="AE385" s="438"/>
      <c r="AF385" s="438"/>
      <c r="AG385" s="438"/>
      <c r="AH385" s="438"/>
      <c r="AI385" s="438"/>
      <c r="AJ385" s="438"/>
      <c r="AK385" s="438"/>
      <c r="AL385" s="438"/>
      <c r="AM385" s="339"/>
      <c r="AO385">
        <f ca="1">IF($A385="S",IF(BM!$I385=0,0,CHOOSE(MATCH(RegimeExecucao,{"Global","Unitário"},0),ROUND(ROUND(BM.MEDAcumulado,15-13*BM!$A$9)/100*BM!$I385,15-13*ORÇAMENTO!$AF$11),ROUND(ROUND(BM.MEDAcumulado,15-13*BM!$A$9)*ROUND(BM!$H385,15-13*ORÇAMENTO!$AF$10),15-13*ORÇAMENTO!$AF$11))),IF($A385=0,0,ROUND(SomaAgrupBM,15-13*ORÇAMENTO!$AF$11)))</f>
        <v>0</v>
      </c>
    </row>
    <row r="386" spans="1:41" ht="25.5" x14ac:dyDescent="0.2">
      <c r="A386" t="str">
        <f ca="1">ORÇAMENTO!C386</f>
        <v>S</v>
      </c>
      <c r="B386">
        <f ca="1">ORÇAMENTO!D386</f>
        <v>0</v>
      </c>
      <c r="C386" s="115" t="str">
        <f t="shared" ca="1" si="36"/>
        <v/>
      </c>
      <c r="D386" s="118" t="str">
        <f ca="1">ORÇAMENTO!O386</f>
        <v>-</v>
      </c>
      <c r="E386" s="164" t="str">
        <f t="shared" si="37"/>
        <v xml:space="preserve">CONECTOR DE ATERRAMENTO , REFORÇADO EM COBRE ESTANHO DOIS CABO DE 50 MM² 5/8" X 2,4 M   - FORMECIMENTO E INSTAÇÃO </v>
      </c>
      <c r="F386" s="165" t="str">
        <f ca="1">IF(RegimeExecucao="Global","",ORÇAMENTO.Unidade)</f>
        <v xml:space="preserve">UN    </v>
      </c>
      <c r="G386" s="123">
        <f ca="1">IF(RegimeExecucao="Global","",ORÇAMENTO!T386)</f>
        <v>104.4</v>
      </c>
      <c r="H386" s="123">
        <f ca="1">IF(RegimeExecucao="Global","",ORÇAMENTO!W386)</f>
        <v>0</v>
      </c>
      <c r="I386" s="126">
        <f ca="1">ORÇAMENTO!X386</f>
        <v>0</v>
      </c>
      <c r="J386" s="334" t="e" cm="1">
        <f t="array" aca="1" ref="J386" ca="1">_xlfn.SINGLE(IF($A386="S",IF(CAIXA.Modo,BM.AFAnterior,BM.MEDAnterior),IF(AND(_xlfn.SINGLE(RegimeExecucao)="Global",$I386&gt;0,COUNTIF($AB$13:$AM$13,BM.medicao-1)&gt;0),M386/$I386*100,0)))</f>
        <v>#NAME?</v>
      </c>
      <c r="K386" s="123" t="e">
        <f t="shared" ca="1" si="38"/>
        <v>#NAME?</v>
      </c>
      <c r="L386" s="335" t="e" cm="1">
        <f t="array" aca="1" ref="L386" ca="1">_xlfn.SINGLE(IF($A386="S",IF(CAIXA.Modo,BM.AFAcumulado,BM.MEDAcumulado),IF(AND(_xlfn.SINGLE(RegimeExecucao)="Global",$I386&gt;0,COUNTIF($AB$13:$AM$13,BM.medicao)&gt;0),O386/$I386*100,0)))</f>
        <v>#NAME?</v>
      </c>
      <c r="M386" s="336">
        <f ca="1">IF($A386="S",VTOTALBM,IF($A386=0,0,ROUND(SomaAgrupBM,15-13*ORÇAMENTO!$AF$11)))</f>
        <v>0</v>
      </c>
      <c r="N386" s="337">
        <f t="shared" ca="1" si="39"/>
        <v>0</v>
      </c>
      <c r="O386" s="126">
        <f ca="1">IF($A386="S",VTOTALBM,IF($A386=0,0,ROUND(SomaAgrupBM,15-13*ORÇAMENTO!$AF$11)))</f>
        <v>0</v>
      </c>
      <c r="Q386" s="338"/>
      <c r="R386" s="339"/>
      <c r="T386" s="118" t="str">
        <f t="shared" ca="1" si="40"/>
        <v/>
      </c>
      <c r="U386" s="164" t="str">
        <f t="shared" ca="1" si="41"/>
        <v/>
      </c>
      <c r="V386" s="165" t="str">
        <f ca="1">IF(AND($W386&gt;0,RegimeExecucao="Unitário"),$F386,"")</f>
        <v/>
      </c>
      <c r="W386" s="455">
        <f ca="1">IF($Y386&gt;0,CHOOSE(MATCH(RegimeExecucao,{"Unitário","Global"},0),IF($A386="S",$Y386/$X386,""),($Y386/$X386)*100),0)</f>
        <v>0</v>
      </c>
      <c r="X386" s="340" t="str">
        <f ca="1">IF($Y386&gt;0,CHOOSE(MATCH(RegimeExecucao,{"Unitário","Global"},0),IF($A386="S",ROUND($H386,ORÇAMENTO!$AF$10),""),ROUND($I386,ORÇAMENTO!$AF$11)),"")</f>
        <v/>
      </c>
      <c r="Y386" s="340">
        <f t="shared" ca="1" si="42"/>
        <v>0</v>
      </c>
      <c r="Z386" s="474"/>
      <c r="AB386" s="338"/>
      <c r="AC386" s="438"/>
      <c r="AD386" s="438"/>
      <c r="AE386" s="438"/>
      <c r="AF386" s="438"/>
      <c r="AG386" s="438"/>
      <c r="AH386" s="438"/>
      <c r="AI386" s="438"/>
      <c r="AJ386" s="438"/>
      <c r="AK386" s="438"/>
      <c r="AL386" s="438"/>
      <c r="AM386" s="339"/>
      <c r="AO386">
        <f ca="1">IF($A386="S",IF(BM!$I386=0,0,CHOOSE(MATCH(RegimeExecucao,{"Global","Unitário"},0),ROUND(ROUND(BM.MEDAcumulado,15-13*BM!$A$9)/100*BM!$I386,15-13*ORÇAMENTO!$AF$11),ROUND(ROUND(BM.MEDAcumulado,15-13*BM!$A$9)*ROUND(BM!$H386,15-13*ORÇAMENTO!$AF$10),15-13*ORÇAMENTO!$AF$11))),IF($A386=0,0,ROUND(SomaAgrupBM,15-13*ORÇAMENTO!$AF$11)))</f>
        <v>0</v>
      </c>
    </row>
    <row r="387" spans="1:41" ht="25.5" x14ac:dyDescent="0.2">
      <c r="A387" t="str">
        <f ca="1">ORÇAMENTO!C387</f>
        <v>S</v>
      </c>
      <c r="B387">
        <f ca="1">ORÇAMENTO!D387</f>
        <v>0</v>
      </c>
      <c r="C387" s="115" t="str">
        <f t="shared" ca="1" si="36"/>
        <v/>
      </c>
      <c r="D387" s="118" t="str">
        <f ca="1">ORÇAMENTO!O387</f>
        <v>-</v>
      </c>
      <c r="E387" s="164" t="str">
        <f t="shared" si="37"/>
        <v xml:space="preserve">CONECTOR DE COMPRESSAO PARA ATERRAMENTO PARA CABO DE  50MM² 5/8 X 2,40 M - FORNECIMENTO E INSTALAÇAO </v>
      </c>
      <c r="F387" s="165" t="str">
        <f ca="1">IF(RegimeExecucao="Global","",ORÇAMENTO.Unidade)</f>
        <v xml:space="preserve">UN    </v>
      </c>
      <c r="G387" s="123">
        <f ca="1">IF(RegimeExecucao="Global","",ORÇAMENTO!T387)</f>
        <v>58.59</v>
      </c>
      <c r="H387" s="123">
        <f ca="1">IF(RegimeExecucao="Global","",ORÇAMENTO!W387)</f>
        <v>0</v>
      </c>
      <c r="I387" s="126">
        <f ca="1">ORÇAMENTO!X387</f>
        <v>0</v>
      </c>
      <c r="J387" s="334" t="e" cm="1">
        <f t="array" aca="1" ref="J387" ca="1">_xlfn.SINGLE(IF($A387="S",IF(CAIXA.Modo,BM.AFAnterior,BM.MEDAnterior),IF(AND(_xlfn.SINGLE(RegimeExecucao)="Global",$I387&gt;0,COUNTIF($AB$13:$AM$13,BM.medicao-1)&gt;0),M387/$I387*100,0)))</f>
        <v>#NAME?</v>
      </c>
      <c r="K387" s="123" t="e">
        <f t="shared" ca="1" si="38"/>
        <v>#NAME?</v>
      </c>
      <c r="L387" s="335" t="e" cm="1">
        <f t="array" aca="1" ref="L387" ca="1">_xlfn.SINGLE(IF($A387="S",IF(CAIXA.Modo,BM.AFAcumulado,BM.MEDAcumulado),IF(AND(_xlfn.SINGLE(RegimeExecucao)="Global",$I387&gt;0,COUNTIF($AB$13:$AM$13,BM.medicao)&gt;0),O387/$I387*100,0)))</f>
        <v>#NAME?</v>
      </c>
      <c r="M387" s="336">
        <f ca="1">IF($A387="S",VTOTALBM,IF($A387=0,0,ROUND(SomaAgrupBM,15-13*ORÇAMENTO!$AF$11)))</f>
        <v>0</v>
      </c>
      <c r="N387" s="337">
        <f t="shared" ca="1" si="39"/>
        <v>0</v>
      </c>
      <c r="O387" s="126">
        <f ca="1">IF($A387="S",VTOTALBM,IF($A387=0,0,ROUND(SomaAgrupBM,15-13*ORÇAMENTO!$AF$11)))</f>
        <v>0</v>
      </c>
      <c r="Q387" s="338"/>
      <c r="R387" s="339"/>
      <c r="T387" s="118" t="str">
        <f t="shared" ca="1" si="40"/>
        <v/>
      </c>
      <c r="U387" s="164" t="str">
        <f t="shared" ca="1" si="41"/>
        <v/>
      </c>
      <c r="V387" s="165" t="str">
        <f ca="1">IF(AND($W387&gt;0,RegimeExecucao="Unitário"),$F387,"")</f>
        <v/>
      </c>
      <c r="W387" s="455">
        <f ca="1">IF($Y387&gt;0,CHOOSE(MATCH(RegimeExecucao,{"Unitário","Global"},0),IF($A387="S",$Y387/$X387,""),($Y387/$X387)*100),0)</f>
        <v>0</v>
      </c>
      <c r="X387" s="340" t="str">
        <f ca="1">IF($Y387&gt;0,CHOOSE(MATCH(RegimeExecucao,{"Unitário","Global"},0),IF($A387="S",ROUND($H387,ORÇAMENTO!$AF$10),""),ROUND($I387,ORÇAMENTO!$AF$11)),"")</f>
        <v/>
      </c>
      <c r="Y387" s="340">
        <f t="shared" ca="1" si="42"/>
        <v>0</v>
      </c>
      <c r="Z387" s="474"/>
      <c r="AB387" s="338"/>
      <c r="AC387" s="438"/>
      <c r="AD387" s="438"/>
      <c r="AE387" s="438"/>
      <c r="AF387" s="438"/>
      <c r="AG387" s="438"/>
      <c r="AH387" s="438"/>
      <c r="AI387" s="438"/>
      <c r="AJ387" s="438"/>
      <c r="AK387" s="438"/>
      <c r="AL387" s="438"/>
      <c r="AM387" s="339"/>
      <c r="AO387">
        <f ca="1">IF($A387="S",IF(BM!$I387=0,0,CHOOSE(MATCH(RegimeExecucao,{"Global","Unitário"},0),ROUND(ROUND(BM.MEDAcumulado,15-13*BM!$A$9)/100*BM!$I387,15-13*ORÇAMENTO!$AF$11),ROUND(ROUND(BM.MEDAcumulado,15-13*BM!$A$9)*ROUND(BM!$H387,15-13*ORÇAMENTO!$AF$10),15-13*ORÇAMENTO!$AF$11))),IF($A387=0,0,ROUND(SomaAgrupBM,15-13*ORÇAMENTO!$AF$11)))</f>
        <v>0</v>
      </c>
    </row>
    <row r="388" spans="1:41" ht="38.25" x14ac:dyDescent="0.2">
      <c r="A388" t="str">
        <f ca="1">ORÇAMENTO!C388</f>
        <v>S</v>
      </c>
      <c r="B388">
        <f ca="1">ORÇAMENTO!D388</f>
        <v>0</v>
      </c>
      <c r="C388" s="115" t="str">
        <f t="shared" ca="1" si="36"/>
        <v/>
      </c>
      <c r="D388" s="118" t="str">
        <f ca="1">ORÇAMENTO!O388</f>
        <v>-</v>
      </c>
      <c r="E388" s="164" t="str">
        <f t="shared" si="37"/>
        <v xml:space="preserve">CONECTOR DE COMPRESSÃO  C EM LIGA DE SOBRE ESTANHO PARA CONEXÃO DE DOIS CABOS DE MM²  - FORNECIEMENTO E INSTALAÇÃO </v>
      </c>
      <c r="F388" s="165" t="str">
        <f ca="1">IF(RegimeExecucao="Global","",ORÇAMENTO.Unidade)</f>
        <v xml:space="preserve">UN    </v>
      </c>
      <c r="G388" s="123">
        <f ca="1">IF(RegimeExecucao="Global","",ORÇAMENTO!T388)</f>
        <v>87.9</v>
      </c>
      <c r="H388" s="123">
        <f ca="1">IF(RegimeExecucao="Global","",ORÇAMENTO!W388)</f>
        <v>0</v>
      </c>
      <c r="I388" s="126">
        <f ca="1">ORÇAMENTO!X388</f>
        <v>0</v>
      </c>
      <c r="J388" s="334" t="e" cm="1">
        <f t="array" aca="1" ref="J388" ca="1">_xlfn.SINGLE(IF($A388="S",IF(CAIXA.Modo,BM.AFAnterior,BM.MEDAnterior),IF(AND(_xlfn.SINGLE(RegimeExecucao)="Global",$I388&gt;0,COUNTIF($AB$13:$AM$13,BM.medicao-1)&gt;0),M388/$I388*100,0)))</f>
        <v>#NAME?</v>
      </c>
      <c r="K388" s="123" t="e">
        <f t="shared" ca="1" si="38"/>
        <v>#NAME?</v>
      </c>
      <c r="L388" s="335" t="e" cm="1">
        <f t="array" aca="1" ref="L388" ca="1">_xlfn.SINGLE(IF($A388="S",IF(CAIXA.Modo,BM.AFAcumulado,BM.MEDAcumulado),IF(AND(_xlfn.SINGLE(RegimeExecucao)="Global",$I388&gt;0,COUNTIF($AB$13:$AM$13,BM.medicao)&gt;0),O388/$I388*100,0)))</f>
        <v>#NAME?</v>
      </c>
      <c r="M388" s="336">
        <f ca="1">IF($A388="S",VTOTALBM,IF($A388=0,0,ROUND(SomaAgrupBM,15-13*ORÇAMENTO!$AF$11)))</f>
        <v>0</v>
      </c>
      <c r="N388" s="337">
        <f t="shared" ca="1" si="39"/>
        <v>0</v>
      </c>
      <c r="O388" s="126">
        <f ca="1">IF($A388="S",VTOTALBM,IF($A388=0,0,ROUND(SomaAgrupBM,15-13*ORÇAMENTO!$AF$11)))</f>
        <v>0</v>
      </c>
      <c r="Q388" s="338"/>
      <c r="R388" s="339"/>
      <c r="T388" s="118" t="str">
        <f t="shared" ca="1" si="40"/>
        <v/>
      </c>
      <c r="U388" s="164" t="str">
        <f t="shared" ca="1" si="41"/>
        <v/>
      </c>
      <c r="V388" s="165" t="str">
        <f ca="1">IF(AND($W388&gt;0,RegimeExecucao="Unitário"),$F388,"")</f>
        <v/>
      </c>
      <c r="W388" s="455">
        <f ca="1">IF($Y388&gt;0,CHOOSE(MATCH(RegimeExecucao,{"Unitário","Global"},0),IF($A388="S",$Y388/$X388,""),($Y388/$X388)*100),0)</f>
        <v>0</v>
      </c>
      <c r="X388" s="340" t="str">
        <f ca="1">IF($Y388&gt;0,CHOOSE(MATCH(RegimeExecucao,{"Unitário","Global"},0),IF($A388="S",ROUND($H388,ORÇAMENTO!$AF$10),""),ROUND($I388,ORÇAMENTO!$AF$11)),"")</f>
        <v/>
      </c>
      <c r="Y388" s="340">
        <f t="shared" ca="1" si="42"/>
        <v>0</v>
      </c>
      <c r="Z388" s="474"/>
      <c r="AB388" s="338"/>
      <c r="AC388" s="438"/>
      <c r="AD388" s="438"/>
      <c r="AE388" s="438"/>
      <c r="AF388" s="438"/>
      <c r="AG388" s="438"/>
      <c r="AH388" s="438"/>
      <c r="AI388" s="438"/>
      <c r="AJ388" s="438"/>
      <c r="AK388" s="438"/>
      <c r="AL388" s="438"/>
      <c r="AM388" s="339"/>
      <c r="AO388">
        <f ca="1">IF($A388="S",IF(BM!$I388=0,0,CHOOSE(MATCH(RegimeExecucao,{"Global","Unitário"},0),ROUND(ROUND(BM.MEDAcumulado,15-13*BM!$A$9)/100*BM!$I388,15-13*ORÇAMENTO!$AF$11),ROUND(ROUND(BM.MEDAcumulado,15-13*BM!$A$9)*ROUND(BM!$H388,15-13*ORÇAMENTO!$AF$10),15-13*ORÇAMENTO!$AF$11))),IF($A388=0,0,ROUND(SomaAgrupBM,15-13*ORÇAMENTO!$AF$11)))</f>
        <v>0</v>
      </c>
    </row>
    <row r="389" spans="1:41" ht="25.5" x14ac:dyDescent="0.2">
      <c r="A389" t="str">
        <f ca="1">ORÇAMENTO!C389</f>
        <v>S</v>
      </c>
      <c r="B389">
        <f ca="1">ORÇAMENTO!D389</f>
        <v>0</v>
      </c>
      <c r="C389" s="115" t="str">
        <f t="shared" ca="1" si="36"/>
        <v/>
      </c>
      <c r="D389" s="118" t="str">
        <f ca="1">ORÇAMENTO!O389</f>
        <v>-</v>
      </c>
      <c r="E389" s="164" t="str">
        <f t="shared" si="37"/>
        <v xml:space="preserve">FIXADOR UNIVERSAL DE SPDA ESTANHO PARA CABO DE 50 MM²  - FORNECIMENTO E INSTALAÇÃO </v>
      </c>
      <c r="F389" s="165" t="str">
        <f ca="1">IF(RegimeExecucao="Global","",ORÇAMENTO.Unidade)</f>
        <v xml:space="preserve">UN    </v>
      </c>
      <c r="G389" s="123">
        <f ca="1">IF(RegimeExecucao="Global","",ORÇAMENTO!T389)</f>
        <v>66.900000000000006</v>
      </c>
      <c r="H389" s="123">
        <f ca="1">IF(RegimeExecucao="Global","",ORÇAMENTO!W389)</f>
        <v>0</v>
      </c>
      <c r="I389" s="126">
        <f ca="1">ORÇAMENTO!X389</f>
        <v>0</v>
      </c>
      <c r="J389" s="334" t="e" cm="1">
        <f t="array" aca="1" ref="J389" ca="1">_xlfn.SINGLE(IF($A389="S",IF(CAIXA.Modo,BM.AFAnterior,BM.MEDAnterior),IF(AND(_xlfn.SINGLE(RegimeExecucao)="Global",$I389&gt;0,COUNTIF($AB$13:$AM$13,BM.medicao-1)&gt;0),M389/$I389*100,0)))</f>
        <v>#NAME?</v>
      </c>
      <c r="K389" s="123" t="e">
        <f t="shared" ca="1" si="38"/>
        <v>#NAME?</v>
      </c>
      <c r="L389" s="335" t="e" cm="1">
        <f t="array" aca="1" ref="L389" ca="1">_xlfn.SINGLE(IF($A389="S",IF(CAIXA.Modo,BM.AFAcumulado,BM.MEDAcumulado),IF(AND(_xlfn.SINGLE(RegimeExecucao)="Global",$I389&gt;0,COUNTIF($AB$13:$AM$13,BM.medicao)&gt;0),O389/$I389*100,0)))</f>
        <v>#NAME?</v>
      </c>
      <c r="M389" s="336">
        <f ca="1">IF($A389="S",VTOTALBM,IF($A389=0,0,ROUND(SomaAgrupBM,15-13*ORÇAMENTO!$AF$11)))</f>
        <v>0</v>
      </c>
      <c r="N389" s="337">
        <f t="shared" ca="1" si="39"/>
        <v>0</v>
      </c>
      <c r="O389" s="126">
        <f ca="1">IF($A389="S",VTOTALBM,IF($A389=0,0,ROUND(SomaAgrupBM,15-13*ORÇAMENTO!$AF$11)))</f>
        <v>0</v>
      </c>
      <c r="Q389" s="338"/>
      <c r="R389" s="339"/>
      <c r="T389" s="118" t="str">
        <f t="shared" ca="1" si="40"/>
        <v/>
      </c>
      <c r="U389" s="164" t="str">
        <f t="shared" ca="1" si="41"/>
        <v/>
      </c>
      <c r="V389" s="165" t="str">
        <f ca="1">IF(AND($W389&gt;0,RegimeExecucao="Unitário"),$F389,"")</f>
        <v/>
      </c>
      <c r="W389" s="455">
        <f ca="1">IF($Y389&gt;0,CHOOSE(MATCH(RegimeExecucao,{"Unitário","Global"},0),IF($A389="S",$Y389/$X389,""),($Y389/$X389)*100),0)</f>
        <v>0</v>
      </c>
      <c r="X389" s="340" t="str">
        <f ca="1">IF($Y389&gt;0,CHOOSE(MATCH(RegimeExecucao,{"Unitário","Global"},0),IF($A389="S",ROUND($H389,ORÇAMENTO!$AF$10),""),ROUND($I389,ORÇAMENTO!$AF$11)),"")</f>
        <v/>
      </c>
      <c r="Y389" s="340">
        <f t="shared" ca="1" si="42"/>
        <v>0</v>
      </c>
      <c r="Z389" s="474"/>
      <c r="AB389" s="338"/>
      <c r="AC389" s="438"/>
      <c r="AD389" s="438"/>
      <c r="AE389" s="438"/>
      <c r="AF389" s="438"/>
      <c r="AG389" s="438"/>
      <c r="AH389" s="438"/>
      <c r="AI389" s="438"/>
      <c r="AJ389" s="438"/>
      <c r="AK389" s="438"/>
      <c r="AL389" s="438"/>
      <c r="AM389" s="339"/>
      <c r="AO389">
        <f ca="1">IF($A389="S",IF(BM!$I389=0,0,CHOOSE(MATCH(RegimeExecucao,{"Global","Unitário"},0),ROUND(ROUND(BM.MEDAcumulado,15-13*BM!$A$9)/100*BM!$I389,15-13*ORÇAMENTO!$AF$11),ROUND(ROUND(BM.MEDAcumulado,15-13*BM!$A$9)*ROUND(BM!$H389,15-13*ORÇAMENTO!$AF$10),15-13*ORÇAMENTO!$AF$11))),IF($A389=0,0,ROUND(SomaAgrupBM,15-13*ORÇAMENTO!$AF$11)))</f>
        <v>0</v>
      </c>
    </row>
    <row r="390" spans="1:41" ht="25.5" x14ac:dyDescent="0.2">
      <c r="A390" t="str">
        <f ca="1">ORÇAMENTO!C390</f>
        <v>S</v>
      </c>
      <c r="B390">
        <f ca="1">ORÇAMENTO!D390</f>
        <v>0</v>
      </c>
      <c r="C390" s="115" t="str">
        <f t="shared" ca="1" si="36"/>
        <v/>
      </c>
      <c r="D390" s="118" t="str">
        <f ca="1">ORÇAMENTO!O390</f>
        <v>-</v>
      </c>
      <c r="E390" s="164" t="str">
        <f t="shared" si="37"/>
        <v xml:space="preserve">ELETRODUTO PVC RÍGIDO, DIÂMETRO 1", COM 3 METRO - FORNECIMENGTO E INSTALAÇÃO </v>
      </c>
      <c r="F390" s="165" t="str">
        <f ca="1">IF(RegimeExecucao="Global","",ORÇAMENTO.Unidade)</f>
        <v xml:space="preserve">UN    </v>
      </c>
      <c r="G390" s="123">
        <f ca="1">IF(RegimeExecucao="Global","",ORÇAMENTO!T390)</f>
        <v>69.099999999999994</v>
      </c>
      <c r="H390" s="123">
        <f ca="1">IF(RegimeExecucao="Global","",ORÇAMENTO!W390)</f>
        <v>0</v>
      </c>
      <c r="I390" s="126">
        <f ca="1">ORÇAMENTO!X390</f>
        <v>0</v>
      </c>
      <c r="J390" s="334" t="e" cm="1">
        <f t="array" aca="1" ref="J390" ca="1">_xlfn.SINGLE(IF($A390="S",IF(CAIXA.Modo,BM.AFAnterior,BM.MEDAnterior),IF(AND(_xlfn.SINGLE(RegimeExecucao)="Global",$I390&gt;0,COUNTIF($AB$13:$AM$13,BM.medicao-1)&gt;0),M390/$I390*100,0)))</f>
        <v>#NAME?</v>
      </c>
      <c r="K390" s="123" t="e">
        <f t="shared" ca="1" si="38"/>
        <v>#NAME?</v>
      </c>
      <c r="L390" s="335" t="e" cm="1">
        <f t="array" aca="1" ref="L390" ca="1">_xlfn.SINGLE(IF($A390="S",IF(CAIXA.Modo,BM.AFAcumulado,BM.MEDAcumulado),IF(AND(_xlfn.SINGLE(RegimeExecucao)="Global",$I390&gt;0,COUNTIF($AB$13:$AM$13,BM.medicao)&gt;0),O390/$I390*100,0)))</f>
        <v>#NAME?</v>
      </c>
      <c r="M390" s="336">
        <f ca="1">IF($A390="S",VTOTALBM,IF($A390=0,0,ROUND(SomaAgrupBM,15-13*ORÇAMENTO!$AF$11)))</f>
        <v>0</v>
      </c>
      <c r="N390" s="337">
        <f t="shared" ca="1" si="39"/>
        <v>0</v>
      </c>
      <c r="O390" s="126">
        <f ca="1">IF($A390="S",VTOTALBM,IF($A390=0,0,ROUND(SomaAgrupBM,15-13*ORÇAMENTO!$AF$11)))</f>
        <v>0</v>
      </c>
      <c r="Q390" s="338"/>
      <c r="R390" s="339"/>
      <c r="T390" s="118" t="str">
        <f t="shared" ca="1" si="40"/>
        <v/>
      </c>
      <c r="U390" s="164" t="str">
        <f t="shared" ca="1" si="41"/>
        <v/>
      </c>
      <c r="V390" s="165" t="str">
        <f ca="1">IF(AND($W390&gt;0,RegimeExecucao="Unitário"),$F390,"")</f>
        <v/>
      </c>
      <c r="W390" s="455">
        <f ca="1">IF($Y390&gt;0,CHOOSE(MATCH(RegimeExecucao,{"Unitário","Global"},0),IF($A390="S",$Y390/$X390,""),($Y390/$X390)*100),0)</f>
        <v>0</v>
      </c>
      <c r="X390" s="340" t="str">
        <f ca="1">IF($Y390&gt;0,CHOOSE(MATCH(RegimeExecucao,{"Unitário","Global"},0),IF($A390="S",ROUND($H390,ORÇAMENTO!$AF$10),""),ROUND($I390,ORÇAMENTO!$AF$11)),"")</f>
        <v/>
      </c>
      <c r="Y390" s="340">
        <f t="shared" ca="1" si="42"/>
        <v>0</v>
      </c>
      <c r="Z390" s="474"/>
      <c r="AB390" s="338"/>
      <c r="AC390" s="438"/>
      <c r="AD390" s="438"/>
      <c r="AE390" s="438"/>
      <c r="AF390" s="438"/>
      <c r="AG390" s="438"/>
      <c r="AH390" s="438"/>
      <c r="AI390" s="438"/>
      <c r="AJ390" s="438"/>
      <c r="AK390" s="438"/>
      <c r="AL390" s="438"/>
      <c r="AM390" s="339"/>
      <c r="AO390">
        <f ca="1">IF($A390="S",IF(BM!$I390=0,0,CHOOSE(MATCH(RegimeExecucao,{"Global","Unitário"},0),ROUND(ROUND(BM.MEDAcumulado,15-13*BM!$A$9)/100*BM!$I390,15-13*ORÇAMENTO!$AF$11),ROUND(ROUND(BM.MEDAcumulado,15-13*BM!$A$9)*ROUND(BM!$H390,15-13*ORÇAMENTO!$AF$10),15-13*ORÇAMENTO!$AF$11))),IF($A390=0,0,ROUND(SomaAgrupBM,15-13*ORÇAMENTO!$AF$11)))</f>
        <v>0</v>
      </c>
    </row>
    <row r="391" spans="1:41" ht="63.75" x14ac:dyDescent="0.2">
      <c r="A391" t="str">
        <f ca="1">ORÇAMENTO!C391</f>
        <v>S</v>
      </c>
      <c r="B391">
        <f ca="1">ORÇAMENTO!D391</f>
        <v>0</v>
      </c>
      <c r="C391" s="115" t="str">
        <f t="shared" ca="1" si="36"/>
        <v/>
      </c>
      <c r="D391" s="118" t="str">
        <f ca="1">ORÇAMENTO!O391</f>
        <v>-</v>
      </c>
      <c r="E391" s="164" t="str">
        <f t="shared" si="37"/>
        <v>ESCAVAÇÃO MECANIZADA DE VALA COM PROF. ATÉ 1,5 M (MÉDIA MONTANTE E JUSANTE/UMA COMPOSIÇÃO POR TRECHO), ESCAVADEIRA (0,8 M3), LARG. DE 1,5 M A 2,5 M, EM SOLO DE 1A CATEGORIA, EM LOCAIS COM ALTO NÍVEL DE INTERFERÊNCIA. AF_09/2024</v>
      </c>
      <c r="F391" s="165" t="str">
        <f ca="1">IF(RegimeExecucao="Global","",ORÇAMENTO.Unidade)</f>
        <v>M3</v>
      </c>
      <c r="G391" s="123">
        <f ca="1">IF(RegimeExecucao="Global","",ORÇAMENTO!T391)</f>
        <v>9.69</v>
      </c>
      <c r="H391" s="123">
        <f ca="1">IF(RegimeExecucao="Global","",ORÇAMENTO!W391)</f>
        <v>0</v>
      </c>
      <c r="I391" s="126">
        <f ca="1">ORÇAMENTO!X391</f>
        <v>0</v>
      </c>
      <c r="J391" s="334" t="e" cm="1">
        <f t="array" aca="1" ref="J391" ca="1">_xlfn.SINGLE(IF($A391="S",IF(CAIXA.Modo,BM.AFAnterior,BM.MEDAnterior),IF(AND(_xlfn.SINGLE(RegimeExecucao)="Global",$I391&gt;0,COUNTIF($AB$13:$AM$13,BM.medicao-1)&gt;0),M391/$I391*100,0)))</f>
        <v>#NAME?</v>
      </c>
      <c r="K391" s="123" t="e">
        <f t="shared" ca="1" si="38"/>
        <v>#NAME?</v>
      </c>
      <c r="L391" s="335" t="e" cm="1">
        <f t="array" aca="1" ref="L391" ca="1">_xlfn.SINGLE(IF($A391="S",IF(CAIXA.Modo,BM.AFAcumulado,BM.MEDAcumulado),IF(AND(_xlfn.SINGLE(RegimeExecucao)="Global",$I391&gt;0,COUNTIF($AB$13:$AM$13,BM.medicao)&gt;0),O391/$I391*100,0)))</f>
        <v>#NAME?</v>
      </c>
      <c r="M391" s="336">
        <f ca="1">IF($A391="S",VTOTALBM,IF($A391=0,0,ROUND(SomaAgrupBM,15-13*ORÇAMENTO!$AF$11)))</f>
        <v>0</v>
      </c>
      <c r="N391" s="337">
        <f t="shared" ca="1" si="39"/>
        <v>0</v>
      </c>
      <c r="O391" s="126">
        <f ca="1">IF($A391="S",VTOTALBM,IF($A391=0,0,ROUND(SomaAgrupBM,15-13*ORÇAMENTO!$AF$11)))</f>
        <v>0</v>
      </c>
      <c r="Q391" s="338"/>
      <c r="R391" s="339"/>
      <c r="T391" s="118" t="str">
        <f t="shared" ca="1" si="40"/>
        <v/>
      </c>
      <c r="U391" s="164" t="str">
        <f t="shared" ca="1" si="41"/>
        <v/>
      </c>
      <c r="V391" s="165" t="str">
        <f ca="1">IF(AND($W391&gt;0,RegimeExecucao="Unitário"),$F391,"")</f>
        <v/>
      </c>
      <c r="W391" s="455">
        <f ca="1">IF($Y391&gt;0,CHOOSE(MATCH(RegimeExecucao,{"Unitário","Global"},0),IF($A391="S",$Y391/$X391,""),($Y391/$X391)*100),0)</f>
        <v>0</v>
      </c>
      <c r="X391" s="340" t="str">
        <f ca="1">IF($Y391&gt;0,CHOOSE(MATCH(RegimeExecucao,{"Unitário","Global"},0),IF($A391="S",ROUND($H391,ORÇAMENTO!$AF$10),""),ROUND($I391,ORÇAMENTO!$AF$11)),"")</f>
        <v/>
      </c>
      <c r="Y391" s="340">
        <f t="shared" ca="1" si="42"/>
        <v>0</v>
      </c>
      <c r="Z391" s="474"/>
      <c r="AB391" s="338"/>
      <c r="AC391" s="438"/>
      <c r="AD391" s="438"/>
      <c r="AE391" s="438"/>
      <c r="AF391" s="438"/>
      <c r="AG391" s="438"/>
      <c r="AH391" s="438"/>
      <c r="AI391" s="438"/>
      <c r="AJ391" s="438"/>
      <c r="AK391" s="438"/>
      <c r="AL391" s="438"/>
      <c r="AM391" s="339"/>
      <c r="AO391">
        <f ca="1">IF($A391="S",IF(BM!$I391=0,0,CHOOSE(MATCH(RegimeExecucao,{"Global","Unitário"},0),ROUND(ROUND(BM.MEDAcumulado,15-13*BM!$A$9)/100*BM!$I391,15-13*ORÇAMENTO!$AF$11),ROUND(ROUND(BM.MEDAcumulado,15-13*BM!$A$9)*ROUND(BM!$H391,15-13*ORÇAMENTO!$AF$10),15-13*ORÇAMENTO!$AF$11))),IF($A391=0,0,ROUND(SomaAgrupBM,15-13*ORÇAMENTO!$AF$11)))</f>
        <v>0</v>
      </c>
    </row>
    <row r="392" spans="1:41" ht="25.5" x14ac:dyDescent="0.2">
      <c r="A392">
        <f ca="1">ORÇAMENTO!C392</f>
        <v>2</v>
      </c>
      <c r="B392">
        <f ca="1">ORÇAMENTO!D392</f>
        <v>8</v>
      </c>
      <c r="C392" s="115" t="str">
        <f t="shared" ca="1" si="36"/>
        <v>F</v>
      </c>
      <c r="D392" s="118" t="str">
        <f ca="1">ORÇAMENTO!O392</f>
        <v>1.22.</v>
      </c>
      <c r="E392" s="164" t="str">
        <f t="shared" si="37"/>
        <v>INSTALAÇÃO DOS MÓDULOS PRÉ-FABRICADOS NO CANTEIRO DE OBRAS</v>
      </c>
      <c r="F392" s="165" t="str">
        <f ca="1">IF(RegimeExecucao="Global","",ORÇAMENTO.Unidade)</f>
        <v>-</v>
      </c>
      <c r="G392" s="123">
        <f ca="1">IF(RegimeExecucao="Global","",ORÇAMENTO!T392)</f>
        <v>0</v>
      </c>
      <c r="H392" s="123">
        <f ca="1">IF(RegimeExecucao="Global","",ORÇAMENTO!W392)</f>
        <v>0</v>
      </c>
      <c r="I392" s="126">
        <f ca="1">ORÇAMENTO!X392</f>
        <v>0</v>
      </c>
      <c r="J392" s="334" t="e" cm="1">
        <f t="array" aca="1" ref="J392" ca="1">_xlfn.SINGLE(IF($A392="S",IF(CAIXA.Modo,BM.AFAnterior,BM.MEDAnterior),IF(AND(_xlfn.SINGLE(RegimeExecucao)="Global",$I392&gt;0,COUNTIF($AB$13:$AM$13,BM.medicao-1)&gt;0),M392/$I392*100,0)))</f>
        <v>#NAME?</v>
      </c>
      <c r="K392" s="123" t="e">
        <f t="shared" ca="1" si="38"/>
        <v>#NAME?</v>
      </c>
      <c r="L392" s="335" t="e" cm="1">
        <f t="array" aca="1" ref="L392" ca="1">_xlfn.SINGLE(IF($A392="S",IF(CAIXA.Modo,BM.AFAcumulado,BM.MEDAcumulado),IF(AND(_xlfn.SINGLE(RegimeExecucao)="Global",$I392&gt;0,COUNTIF($AB$13:$AM$13,BM.medicao)&gt;0),O392/$I392*100,0)))</f>
        <v>#NAME?</v>
      </c>
      <c r="M392" s="336">
        <f ca="1">IF($A392="S",VTOTALBM,IF($A392=0,0,ROUND(SomaAgrupBM,15-13*ORÇAMENTO!$AF$11)))</f>
        <v>0</v>
      </c>
      <c r="N392" s="337">
        <f t="shared" ca="1" si="39"/>
        <v>0</v>
      </c>
      <c r="O392" s="126">
        <f ca="1">IF($A392="S",VTOTALBM,IF($A392=0,0,ROUND(SomaAgrupBM,15-13*ORÇAMENTO!$AF$11)))</f>
        <v>0</v>
      </c>
      <c r="Q392" s="338"/>
      <c r="R392" s="339"/>
      <c r="T392" s="118" t="str">
        <f t="shared" ca="1" si="40"/>
        <v/>
      </c>
      <c r="U392" s="164" t="str">
        <f t="shared" ca="1" si="41"/>
        <v/>
      </c>
      <c r="V392" s="165" t="str">
        <f ca="1">IF(AND($W392&gt;0,RegimeExecucao="Unitário"),$F392,"")</f>
        <v/>
      </c>
      <c r="W392" s="455">
        <f ca="1">IF($Y392&gt;0,CHOOSE(MATCH(RegimeExecucao,{"Unitário","Global"},0),IF($A392="S",$Y392/$X392,""),($Y392/$X392)*100),0)</f>
        <v>0</v>
      </c>
      <c r="X392" s="340" t="str">
        <f ca="1">IF($Y392&gt;0,CHOOSE(MATCH(RegimeExecucao,{"Unitário","Global"},0),IF($A392="S",ROUND($H392,ORÇAMENTO!$AF$10),""),ROUND($I392,ORÇAMENTO!$AF$11)),"")</f>
        <v/>
      </c>
      <c r="Y392" s="340">
        <f t="shared" ca="1" si="42"/>
        <v>0</v>
      </c>
      <c r="Z392" s="474"/>
      <c r="AB392" s="338"/>
      <c r="AC392" s="438"/>
      <c r="AD392" s="438"/>
      <c r="AE392" s="438"/>
      <c r="AF392" s="438"/>
      <c r="AG392" s="438"/>
      <c r="AH392" s="438"/>
      <c r="AI392" s="438"/>
      <c r="AJ392" s="438"/>
      <c r="AK392" s="438"/>
      <c r="AL392" s="438"/>
      <c r="AM392" s="339"/>
      <c r="AO392">
        <f ca="1">IF($A392="S",IF(BM!$I392=0,0,CHOOSE(MATCH(RegimeExecucao,{"Global","Unitário"},0),ROUND(ROUND(BM.MEDAcumulado,15-13*BM!$A$9)/100*BM!$I392,15-13*ORÇAMENTO!$AF$11),ROUND(ROUND(BM.MEDAcumulado,15-13*BM!$A$9)*ROUND(BM!$H392,15-13*ORÇAMENTO!$AF$10),15-13*ORÇAMENTO!$AF$11))),IF($A392=0,0,ROUND(SomaAgrupBM,15-13*ORÇAMENTO!$AF$11)))</f>
        <v>0</v>
      </c>
    </row>
    <row r="393" spans="1:41" ht="51" x14ac:dyDescent="0.2">
      <c r="A393" t="str">
        <f ca="1">ORÇAMENTO!C393</f>
        <v>S</v>
      </c>
      <c r="B393">
        <f ca="1">ORÇAMENTO!D393</f>
        <v>0</v>
      </c>
      <c r="C393" s="115" t="str">
        <f t="shared" ca="1" si="36"/>
        <v/>
      </c>
      <c r="D393" s="118" t="str">
        <f ca="1">ORÇAMENTO!O393</f>
        <v>-</v>
      </c>
      <c r="E393" s="164" t="str">
        <f t="shared" si="37"/>
        <v>GUINDAUTO HIDRÁULICO, CAPACIDADE MÁXIMA DE CARGA 6500 KG, MOMENTO MÁXIMO DE CARGA 5,8 TM, ALCANCE MÁXIMO HORIZONTAL 7,60 M, INCLUSIVE CAMINHÃO TOCO PBT 9.700 KG, POTÊNCIA DE 160 CV - CHI DIURNO. AF_08/2015</v>
      </c>
      <c r="F393" s="165" t="str">
        <f ca="1">IF(RegimeExecucao="Global","",ORÇAMENTO.Unidade)</f>
        <v>CHI</v>
      </c>
      <c r="G393" s="123">
        <f ca="1">IF(RegimeExecucao="Global","",ORÇAMENTO!T393)</f>
        <v>210</v>
      </c>
      <c r="H393" s="123">
        <f ca="1">IF(RegimeExecucao="Global","",ORÇAMENTO!W393)</f>
        <v>0</v>
      </c>
      <c r="I393" s="126">
        <f ca="1">ORÇAMENTO!X393</f>
        <v>0</v>
      </c>
      <c r="J393" s="334" t="e" cm="1">
        <f t="array" aca="1" ref="J393" ca="1">_xlfn.SINGLE(IF($A393="S",IF(CAIXA.Modo,BM.AFAnterior,BM.MEDAnterior),IF(AND(_xlfn.SINGLE(RegimeExecucao)="Global",$I393&gt;0,COUNTIF($AB$13:$AM$13,BM.medicao-1)&gt;0),M393/$I393*100,0)))</f>
        <v>#NAME?</v>
      </c>
      <c r="K393" s="123" t="e">
        <f t="shared" ca="1" si="38"/>
        <v>#NAME?</v>
      </c>
      <c r="L393" s="335" t="e" cm="1">
        <f t="array" aca="1" ref="L393" ca="1">_xlfn.SINGLE(IF($A393="S",IF(CAIXA.Modo,BM.AFAcumulado,BM.MEDAcumulado),IF(AND(_xlfn.SINGLE(RegimeExecucao)="Global",$I393&gt;0,COUNTIF($AB$13:$AM$13,BM.medicao)&gt;0),O393/$I393*100,0)))</f>
        <v>#NAME?</v>
      </c>
      <c r="M393" s="336">
        <f ca="1">IF($A393="S",VTOTALBM,IF($A393=0,0,ROUND(SomaAgrupBM,15-13*ORÇAMENTO!$AF$11)))</f>
        <v>0</v>
      </c>
      <c r="N393" s="337">
        <f t="shared" ca="1" si="39"/>
        <v>0</v>
      </c>
      <c r="O393" s="126">
        <f ca="1">IF($A393="S",VTOTALBM,IF($A393=0,0,ROUND(SomaAgrupBM,15-13*ORÇAMENTO!$AF$11)))</f>
        <v>0</v>
      </c>
      <c r="Q393" s="338"/>
      <c r="R393" s="339"/>
      <c r="T393" s="118" t="str">
        <f t="shared" ca="1" si="40"/>
        <v/>
      </c>
      <c r="U393" s="164" t="str">
        <f t="shared" ca="1" si="41"/>
        <v/>
      </c>
      <c r="V393" s="165" t="str">
        <f ca="1">IF(AND($W393&gt;0,RegimeExecucao="Unitário"),$F393,"")</f>
        <v/>
      </c>
      <c r="W393" s="455">
        <f ca="1">IF($Y393&gt;0,CHOOSE(MATCH(RegimeExecucao,{"Unitário","Global"},0),IF($A393="S",$Y393/$X393,""),($Y393/$X393)*100),0)</f>
        <v>0</v>
      </c>
      <c r="X393" s="340" t="str">
        <f ca="1">IF($Y393&gt;0,CHOOSE(MATCH(RegimeExecucao,{"Unitário","Global"},0),IF($A393="S",ROUND($H393,ORÇAMENTO!$AF$10),""),ROUND($I393,ORÇAMENTO!$AF$11)),"")</f>
        <v/>
      </c>
      <c r="Y393" s="340">
        <f t="shared" ca="1" si="42"/>
        <v>0</v>
      </c>
      <c r="Z393" s="474"/>
      <c r="AB393" s="338"/>
      <c r="AC393" s="438"/>
      <c r="AD393" s="438"/>
      <c r="AE393" s="438"/>
      <c r="AF393" s="438"/>
      <c r="AG393" s="438"/>
      <c r="AH393" s="438"/>
      <c r="AI393" s="438"/>
      <c r="AJ393" s="438"/>
      <c r="AK393" s="438"/>
      <c r="AL393" s="438"/>
      <c r="AM393" s="339"/>
      <c r="AO393">
        <f ca="1">IF($A393="S",IF(BM!$I393=0,0,CHOOSE(MATCH(RegimeExecucao,{"Global","Unitário"},0),ROUND(ROUND(BM.MEDAcumulado,15-13*BM!$A$9)/100*BM!$I393,15-13*ORÇAMENTO!$AF$11),ROUND(ROUND(BM.MEDAcumulado,15-13*BM!$A$9)*ROUND(BM!$H393,15-13*ORÇAMENTO!$AF$10),15-13*ORÇAMENTO!$AF$11))),IF($A393=0,0,ROUND(SomaAgrupBM,15-13*ORÇAMENTO!$AF$11)))</f>
        <v>0</v>
      </c>
    </row>
    <row r="394" spans="1:41" ht="51" x14ac:dyDescent="0.2">
      <c r="A394" t="str">
        <f ca="1">ORÇAMENTO!C394</f>
        <v>S</v>
      </c>
      <c r="B394">
        <f ca="1">ORÇAMENTO!D394</f>
        <v>0</v>
      </c>
      <c r="C394" s="115" t="str">
        <f t="shared" ca="1" si="36"/>
        <v/>
      </c>
      <c r="D394" s="118" t="str">
        <f ca="1">ORÇAMENTO!O394</f>
        <v>-</v>
      </c>
      <c r="E394" s="164" t="str">
        <f t="shared" si="37"/>
        <v>GUINDAUTO HIDRÁULICO, CAPACIDADE MÁXIMA DE CARGA 6500 KG, MOMENTO MÁXIMO DE CARGA 5,8 TM, ALCANCE MÁXIMO HORIZONTAL 7,60 M, INCLUSIVE CAMINHÃO TOCO PBT 9.700 KG, POTÊNCIA DE 160 CV - CHP DIURNO. AF_08/2015</v>
      </c>
      <c r="F394" s="165" t="str">
        <f ca="1">IF(RegimeExecucao="Global","",ORÇAMENTO.Unidade)</f>
        <v>CHP</v>
      </c>
      <c r="G394" s="123">
        <f ca="1">IF(RegimeExecucao="Global","",ORÇAMENTO!T394)</f>
        <v>210</v>
      </c>
      <c r="H394" s="123">
        <f ca="1">IF(RegimeExecucao="Global","",ORÇAMENTO!W394)</f>
        <v>0</v>
      </c>
      <c r="I394" s="126">
        <f ca="1">ORÇAMENTO!X394</f>
        <v>0</v>
      </c>
      <c r="J394" s="334" t="e" cm="1">
        <f t="array" aca="1" ref="J394" ca="1">_xlfn.SINGLE(IF($A394="S",IF(CAIXA.Modo,BM.AFAnterior,BM.MEDAnterior),IF(AND(_xlfn.SINGLE(RegimeExecucao)="Global",$I394&gt;0,COUNTIF($AB$13:$AM$13,BM.medicao-1)&gt;0),M394/$I394*100,0)))</f>
        <v>#NAME?</v>
      </c>
      <c r="K394" s="123" t="e">
        <f t="shared" ca="1" si="38"/>
        <v>#NAME?</v>
      </c>
      <c r="L394" s="335" t="e" cm="1">
        <f t="array" aca="1" ref="L394" ca="1">_xlfn.SINGLE(IF($A394="S",IF(CAIXA.Modo,BM.AFAcumulado,BM.MEDAcumulado),IF(AND(_xlfn.SINGLE(RegimeExecucao)="Global",$I394&gt;0,COUNTIF($AB$13:$AM$13,BM.medicao)&gt;0),O394/$I394*100,0)))</f>
        <v>#NAME?</v>
      </c>
      <c r="M394" s="336">
        <f ca="1">IF($A394="S",VTOTALBM,IF($A394=0,0,ROUND(SomaAgrupBM,15-13*ORÇAMENTO!$AF$11)))</f>
        <v>0</v>
      </c>
      <c r="N394" s="337">
        <f t="shared" ca="1" si="39"/>
        <v>0</v>
      </c>
      <c r="O394" s="126">
        <f ca="1">IF($A394="S",VTOTALBM,IF($A394=0,0,ROUND(SomaAgrupBM,15-13*ORÇAMENTO!$AF$11)))</f>
        <v>0</v>
      </c>
      <c r="Q394" s="338"/>
      <c r="R394" s="339"/>
      <c r="T394" s="118" t="str">
        <f t="shared" ca="1" si="40"/>
        <v/>
      </c>
      <c r="U394" s="164" t="str">
        <f t="shared" ca="1" si="41"/>
        <v/>
      </c>
      <c r="V394" s="165" t="str">
        <f ca="1">IF(AND($W394&gt;0,RegimeExecucao="Unitário"),$F394,"")</f>
        <v/>
      </c>
      <c r="W394" s="455">
        <f ca="1">IF($Y394&gt;0,CHOOSE(MATCH(RegimeExecucao,{"Unitário","Global"},0),IF($A394="S",$Y394/$X394,""),($Y394/$X394)*100),0)</f>
        <v>0</v>
      </c>
      <c r="X394" s="340" t="str">
        <f ca="1">IF($Y394&gt;0,CHOOSE(MATCH(RegimeExecucao,{"Unitário","Global"},0),IF($A394="S",ROUND($H394,ORÇAMENTO!$AF$10),""),ROUND($I394,ORÇAMENTO!$AF$11)),"")</f>
        <v/>
      </c>
      <c r="Y394" s="340">
        <f t="shared" ca="1" si="42"/>
        <v>0</v>
      </c>
      <c r="Z394" s="474"/>
      <c r="AB394" s="338"/>
      <c r="AC394" s="438"/>
      <c r="AD394" s="438"/>
      <c r="AE394" s="438"/>
      <c r="AF394" s="438"/>
      <c r="AG394" s="438"/>
      <c r="AH394" s="438"/>
      <c r="AI394" s="438"/>
      <c r="AJ394" s="438"/>
      <c r="AK394" s="438"/>
      <c r="AL394" s="438"/>
      <c r="AM394" s="339"/>
      <c r="AO394">
        <f ca="1">IF($A394="S",IF(BM!$I394=0,0,CHOOSE(MATCH(RegimeExecucao,{"Global","Unitário"},0),ROUND(ROUND(BM.MEDAcumulado,15-13*BM!$A$9)/100*BM!$I394,15-13*ORÇAMENTO!$AF$11),ROUND(ROUND(BM.MEDAcumulado,15-13*BM!$A$9)*ROUND(BM!$H394,15-13*ORÇAMENTO!$AF$10),15-13*ORÇAMENTO!$AF$11))),IF($A394=0,0,ROUND(SomaAgrupBM,15-13*ORÇAMENTO!$AF$11)))</f>
        <v>0</v>
      </c>
    </row>
    <row r="395" spans="1:41" x14ac:dyDescent="0.2">
      <c r="A395" t="str">
        <f ca="1">ORÇAMENTO!C395</f>
        <v>S</v>
      </c>
      <c r="B395">
        <f ca="1">ORÇAMENTO!D395</f>
        <v>0</v>
      </c>
      <c r="C395" s="115" t="str">
        <f t="shared" ca="1" si="36"/>
        <v/>
      </c>
      <c r="D395" s="118" t="str">
        <f ca="1">ORÇAMENTO!O395</f>
        <v>-</v>
      </c>
      <c r="E395" s="164" t="str">
        <f t="shared" si="37"/>
        <v>SOLDADOR COM ENCARGOS COMPLEMENTARES</v>
      </c>
      <c r="F395" s="165" t="str">
        <f ca="1">IF(RegimeExecucao="Global","",ORÇAMENTO.Unidade)</f>
        <v>H</v>
      </c>
      <c r="G395" s="123">
        <f ca="1">IF(RegimeExecucao="Global","",ORÇAMENTO!T395)</f>
        <v>60</v>
      </c>
      <c r="H395" s="123">
        <f ca="1">IF(RegimeExecucao="Global","",ORÇAMENTO!W395)</f>
        <v>0</v>
      </c>
      <c r="I395" s="126">
        <f ca="1">ORÇAMENTO!X395</f>
        <v>0</v>
      </c>
      <c r="J395" s="334" t="e" cm="1">
        <f t="array" aca="1" ref="J395" ca="1">_xlfn.SINGLE(IF($A395="S",IF(CAIXA.Modo,BM.AFAnterior,BM.MEDAnterior),IF(AND(_xlfn.SINGLE(RegimeExecucao)="Global",$I395&gt;0,COUNTIF($AB$13:$AM$13,BM.medicao-1)&gt;0),M395/$I395*100,0)))</f>
        <v>#NAME?</v>
      </c>
      <c r="K395" s="123" t="e">
        <f t="shared" ca="1" si="38"/>
        <v>#NAME?</v>
      </c>
      <c r="L395" s="335" t="e" cm="1">
        <f t="array" aca="1" ref="L395" ca="1">_xlfn.SINGLE(IF($A395="S",IF(CAIXA.Modo,BM.AFAcumulado,BM.MEDAcumulado),IF(AND(_xlfn.SINGLE(RegimeExecucao)="Global",$I395&gt;0,COUNTIF($AB$13:$AM$13,BM.medicao)&gt;0),O395/$I395*100,0)))</f>
        <v>#NAME?</v>
      </c>
      <c r="M395" s="336">
        <f ca="1">IF($A395="S",VTOTALBM,IF($A395=0,0,ROUND(SomaAgrupBM,15-13*ORÇAMENTO!$AF$11)))</f>
        <v>0</v>
      </c>
      <c r="N395" s="337">
        <f t="shared" ca="1" si="39"/>
        <v>0</v>
      </c>
      <c r="O395" s="126">
        <f ca="1">IF($A395="S",VTOTALBM,IF($A395=0,0,ROUND(SomaAgrupBM,15-13*ORÇAMENTO!$AF$11)))</f>
        <v>0</v>
      </c>
      <c r="Q395" s="338"/>
      <c r="R395" s="339"/>
      <c r="T395" s="118" t="str">
        <f t="shared" ca="1" si="40"/>
        <v/>
      </c>
      <c r="U395" s="164" t="str">
        <f t="shared" ca="1" si="41"/>
        <v/>
      </c>
      <c r="V395" s="165" t="str">
        <f ca="1">IF(AND($W395&gt;0,RegimeExecucao="Unitário"),$F395,"")</f>
        <v/>
      </c>
      <c r="W395" s="455">
        <f ca="1">IF($Y395&gt;0,CHOOSE(MATCH(RegimeExecucao,{"Unitário","Global"},0),IF($A395="S",$Y395/$X395,""),($Y395/$X395)*100),0)</f>
        <v>0</v>
      </c>
      <c r="X395" s="340" t="str">
        <f ca="1">IF($Y395&gt;0,CHOOSE(MATCH(RegimeExecucao,{"Unitário","Global"},0),IF($A395="S",ROUND($H395,ORÇAMENTO!$AF$10),""),ROUND($I395,ORÇAMENTO!$AF$11)),"")</f>
        <v/>
      </c>
      <c r="Y395" s="340">
        <f t="shared" ca="1" si="42"/>
        <v>0</v>
      </c>
      <c r="Z395" s="474"/>
      <c r="AB395" s="338"/>
      <c r="AC395" s="438"/>
      <c r="AD395" s="438"/>
      <c r="AE395" s="438"/>
      <c r="AF395" s="438"/>
      <c r="AG395" s="438"/>
      <c r="AH395" s="438"/>
      <c r="AI395" s="438"/>
      <c r="AJ395" s="438"/>
      <c r="AK395" s="438"/>
      <c r="AL395" s="438"/>
      <c r="AM395" s="339"/>
      <c r="AO395">
        <f ca="1">IF($A395="S",IF(BM!$I395=0,0,CHOOSE(MATCH(RegimeExecucao,{"Global","Unitário"},0),ROUND(ROUND(BM.MEDAcumulado,15-13*BM!$A$9)/100*BM!$I395,15-13*ORÇAMENTO!$AF$11),ROUND(ROUND(BM.MEDAcumulado,15-13*BM!$A$9)*ROUND(BM!$H395,15-13*ORÇAMENTO!$AF$10),15-13*ORÇAMENTO!$AF$11))),IF($A395=0,0,ROUND(SomaAgrupBM,15-13*ORÇAMENTO!$AF$11)))</f>
        <v>0</v>
      </c>
    </row>
    <row r="396" spans="1:41" ht="63.75" x14ac:dyDescent="0.2">
      <c r="A396" t="str">
        <f ca="1">ORÇAMENTO!C396</f>
        <v>S</v>
      </c>
      <c r="B396">
        <f ca="1">ORÇAMENTO!D396</f>
        <v>0</v>
      </c>
      <c r="C396" s="115" t="str">
        <f t="shared" ca="1" si="36"/>
        <v/>
      </c>
      <c r="D396" s="118" t="str">
        <f ca="1">ORÇAMENTO!O396</f>
        <v>-</v>
      </c>
      <c r="E396" s="164" t="str">
        <f t="shared" si="37"/>
        <v xml:space="preserve">LOCACAO DE ANDAIME METALICO TIPO FACHADEIRO, PECAS COM APROXIMADAMENTE 1,20 M DE LARGURA E 2,0 M DE ALTURA, INCLUINDO DIAGONAIS EM X, BARRAS DE LIGACAO, SAPATAS E DEMAIS ITENS NECESSARIOS A MONTAGEM (NAO INCLUI INSTALACAO)                            </v>
      </c>
      <c r="F396" s="165" t="str">
        <f ca="1">IF(RegimeExecucao="Global","",ORÇAMENTO.Unidade)</f>
        <v>M2XMES</v>
      </c>
      <c r="G396" s="123">
        <f ca="1">IF(RegimeExecucao="Global","",ORÇAMENTO!T396)</f>
        <v>20</v>
      </c>
      <c r="H396" s="123">
        <f ca="1">IF(RegimeExecucao="Global","",ORÇAMENTO!W396)</f>
        <v>0</v>
      </c>
      <c r="I396" s="126">
        <f ca="1">ORÇAMENTO!X396</f>
        <v>0</v>
      </c>
      <c r="J396" s="334" t="e" cm="1">
        <f t="array" aca="1" ref="J396" ca="1">_xlfn.SINGLE(IF($A396="S",IF(CAIXA.Modo,BM.AFAnterior,BM.MEDAnterior),IF(AND(_xlfn.SINGLE(RegimeExecucao)="Global",$I396&gt;0,COUNTIF($AB$13:$AM$13,BM.medicao-1)&gt;0),M396/$I396*100,0)))</f>
        <v>#NAME?</v>
      </c>
      <c r="K396" s="123" t="e">
        <f t="shared" ca="1" si="38"/>
        <v>#NAME?</v>
      </c>
      <c r="L396" s="335" t="e" cm="1">
        <f t="array" aca="1" ref="L396" ca="1">_xlfn.SINGLE(IF($A396="S",IF(CAIXA.Modo,BM.AFAcumulado,BM.MEDAcumulado),IF(AND(_xlfn.SINGLE(RegimeExecucao)="Global",$I396&gt;0,COUNTIF($AB$13:$AM$13,BM.medicao)&gt;0),O396/$I396*100,0)))</f>
        <v>#NAME?</v>
      </c>
      <c r="M396" s="336">
        <f ca="1">IF($A396="S",VTOTALBM,IF($A396=0,0,ROUND(SomaAgrupBM,15-13*ORÇAMENTO!$AF$11)))</f>
        <v>0</v>
      </c>
      <c r="N396" s="337">
        <f t="shared" ca="1" si="39"/>
        <v>0</v>
      </c>
      <c r="O396" s="126">
        <f ca="1">IF($A396="S",VTOTALBM,IF($A396=0,0,ROUND(SomaAgrupBM,15-13*ORÇAMENTO!$AF$11)))</f>
        <v>0</v>
      </c>
      <c r="Q396" s="338"/>
      <c r="R396" s="339"/>
      <c r="T396" s="118" t="str">
        <f t="shared" ca="1" si="40"/>
        <v/>
      </c>
      <c r="U396" s="164" t="str">
        <f t="shared" ca="1" si="41"/>
        <v/>
      </c>
      <c r="V396" s="165" t="str">
        <f ca="1">IF(AND($W396&gt;0,RegimeExecucao="Unitário"),$F396,"")</f>
        <v/>
      </c>
      <c r="W396" s="455">
        <f ca="1">IF($Y396&gt;0,CHOOSE(MATCH(RegimeExecucao,{"Unitário","Global"},0),IF($A396="S",$Y396/$X396,""),($Y396/$X396)*100),0)</f>
        <v>0</v>
      </c>
      <c r="X396" s="340" t="str">
        <f ca="1">IF($Y396&gt;0,CHOOSE(MATCH(RegimeExecucao,{"Unitário","Global"},0),IF($A396="S",ROUND($H396,ORÇAMENTO!$AF$10),""),ROUND($I396,ORÇAMENTO!$AF$11)),"")</f>
        <v/>
      </c>
      <c r="Y396" s="340">
        <f t="shared" ca="1" si="42"/>
        <v>0</v>
      </c>
      <c r="Z396" s="474"/>
      <c r="AB396" s="338"/>
      <c r="AC396" s="438"/>
      <c r="AD396" s="438"/>
      <c r="AE396" s="438"/>
      <c r="AF396" s="438"/>
      <c r="AG396" s="438"/>
      <c r="AH396" s="438"/>
      <c r="AI396" s="438"/>
      <c r="AJ396" s="438"/>
      <c r="AK396" s="438"/>
      <c r="AL396" s="438"/>
      <c r="AM396" s="339"/>
      <c r="AO396">
        <f ca="1">IF($A396="S",IF(BM!$I396=0,0,CHOOSE(MATCH(RegimeExecucao,{"Global","Unitário"},0),ROUND(ROUND(BM.MEDAcumulado,15-13*BM!$A$9)/100*BM!$I396,15-13*ORÇAMENTO!$AF$11),ROUND(ROUND(BM.MEDAcumulado,15-13*BM!$A$9)*ROUND(BM!$H396,15-13*ORÇAMENTO!$AF$10),15-13*ORÇAMENTO!$AF$11))),IF($A396=0,0,ROUND(SomaAgrupBM,15-13*ORÇAMENTO!$AF$11)))</f>
        <v>0</v>
      </c>
    </row>
    <row r="397" spans="1:41" ht="25.5" x14ac:dyDescent="0.2">
      <c r="A397" t="str">
        <f ca="1">ORÇAMENTO!C397</f>
        <v>S</v>
      </c>
      <c r="B397">
        <f ca="1">ORÇAMENTO!D397</f>
        <v>0</v>
      </c>
      <c r="C397" s="115" t="str">
        <f t="shared" ca="1" si="36"/>
        <v/>
      </c>
      <c r="D397" s="118" t="str">
        <f ca="1">ORÇAMENTO!O397</f>
        <v>-</v>
      </c>
      <c r="E397" s="164" t="str">
        <f t="shared" si="37"/>
        <v>MONTAGEM E DESMONTAGEM DE ANDAIME MULTIDIRECIONAL (EXCLUSIVE ANDAIME E LIMPEZA). AF_03/2024</v>
      </c>
      <c r="F397" s="165" t="str">
        <f ca="1">IF(RegimeExecucao="Global","",ORÇAMENTO.Unidade)</f>
        <v>M3</v>
      </c>
      <c r="G397" s="123">
        <f ca="1">IF(RegimeExecucao="Global","",ORÇAMENTO!T397)</f>
        <v>20</v>
      </c>
      <c r="H397" s="123">
        <f ca="1">IF(RegimeExecucao="Global","",ORÇAMENTO!W397)</f>
        <v>0</v>
      </c>
      <c r="I397" s="126">
        <f ca="1">ORÇAMENTO!X397</f>
        <v>0</v>
      </c>
      <c r="J397" s="334" t="e" cm="1">
        <f t="array" aca="1" ref="J397" ca="1">_xlfn.SINGLE(IF($A397="S",IF(CAIXA.Modo,BM.AFAnterior,BM.MEDAnterior),IF(AND(_xlfn.SINGLE(RegimeExecucao)="Global",$I397&gt;0,COUNTIF($AB$13:$AM$13,BM.medicao-1)&gt;0),M397/$I397*100,0)))</f>
        <v>#NAME?</v>
      </c>
      <c r="K397" s="123" t="e">
        <f t="shared" ca="1" si="38"/>
        <v>#NAME?</v>
      </c>
      <c r="L397" s="335" t="e" cm="1">
        <f t="array" aca="1" ref="L397" ca="1">_xlfn.SINGLE(IF($A397="S",IF(CAIXA.Modo,BM.AFAcumulado,BM.MEDAcumulado),IF(AND(_xlfn.SINGLE(RegimeExecucao)="Global",$I397&gt;0,COUNTIF($AB$13:$AM$13,BM.medicao)&gt;0),O397/$I397*100,0)))</f>
        <v>#NAME?</v>
      </c>
      <c r="M397" s="336">
        <f ca="1">IF($A397="S",VTOTALBM,IF($A397=0,0,ROUND(SomaAgrupBM,15-13*ORÇAMENTO!$AF$11)))</f>
        <v>0</v>
      </c>
      <c r="N397" s="337">
        <f t="shared" ca="1" si="39"/>
        <v>0</v>
      </c>
      <c r="O397" s="126">
        <f ca="1">IF($A397="S",VTOTALBM,IF($A397=0,0,ROUND(SomaAgrupBM,15-13*ORÇAMENTO!$AF$11)))</f>
        <v>0</v>
      </c>
      <c r="Q397" s="338"/>
      <c r="R397" s="339"/>
      <c r="T397" s="118" t="str">
        <f t="shared" ca="1" si="40"/>
        <v/>
      </c>
      <c r="U397" s="164" t="str">
        <f t="shared" ca="1" si="41"/>
        <v/>
      </c>
      <c r="V397" s="165" t="str">
        <f ca="1">IF(AND($W397&gt;0,RegimeExecucao="Unitário"),$F397,"")</f>
        <v/>
      </c>
      <c r="W397" s="455">
        <f ca="1">IF($Y397&gt;0,CHOOSE(MATCH(RegimeExecucao,{"Unitário","Global"},0),IF($A397="S",$Y397/$X397,""),($Y397/$X397)*100),0)</f>
        <v>0</v>
      </c>
      <c r="X397" s="340" t="str">
        <f ca="1">IF($Y397&gt;0,CHOOSE(MATCH(RegimeExecucao,{"Unitário","Global"},0),IF($A397="S",ROUND($H397,ORÇAMENTO!$AF$10),""),ROUND($I397,ORÇAMENTO!$AF$11)),"")</f>
        <v/>
      </c>
      <c r="Y397" s="340">
        <f t="shared" ca="1" si="42"/>
        <v>0</v>
      </c>
      <c r="Z397" s="474"/>
      <c r="AB397" s="338"/>
      <c r="AC397" s="438"/>
      <c r="AD397" s="438"/>
      <c r="AE397" s="438"/>
      <c r="AF397" s="438"/>
      <c r="AG397" s="438"/>
      <c r="AH397" s="438"/>
      <c r="AI397" s="438"/>
      <c r="AJ397" s="438"/>
      <c r="AK397" s="438"/>
      <c r="AL397" s="438"/>
      <c r="AM397" s="339"/>
      <c r="AO397">
        <f ca="1">IF($A397="S",IF(BM!$I397=0,0,CHOOSE(MATCH(RegimeExecucao,{"Global","Unitário"},0),ROUND(ROUND(BM.MEDAcumulado,15-13*BM!$A$9)/100*BM!$I397,15-13*ORÇAMENTO!$AF$11),ROUND(ROUND(BM.MEDAcumulado,15-13*BM!$A$9)*ROUND(BM!$H397,15-13*ORÇAMENTO!$AF$10),15-13*ORÇAMENTO!$AF$11))),IF($A397=0,0,ROUND(SomaAgrupBM,15-13*ORÇAMENTO!$AF$11)))</f>
        <v>0</v>
      </c>
    </row>
    <row r="398" spans="1:41" ht="25.5" x14ac:dyDescent="0.2">
      <c r="A398" t="str">
        <f ca="1">ORÇAMENTO!C398</f>
        <v>S</v>
      </c>
      <c r="B398">
        <f ca="1">ORÇAMENTO!D398</f>
        <v>0</v>
      </c>
      <c r="C398" s="115" t="str">
        <f t="shared" ca="1" si="36"/>
        <v/>
      </c>
      <c r="D398" s="118" t="str">
        <f ca="1">ORÇAMENTO!O398</f>
        <v>-</v>
      </c>
      <c r="E398" s="164" t="str">
        <f t="shared" si="37"/>
        <v xml:space="preserve">PARAFUSO DE ACO ZINCADO, TIPO CHUMBADOR PARABOLT, DIAMETRO 3/8", COMPRIMENTO 75 MM                                                                                                                                                                        </v>
      </c>
      <c r="F398" s="165" t="str">
        <f ca="1">IF(RegimeExecucao="Global","",ORÇAMENTO.Unidade)</f>
        <v xml:space="preserve">UN    </v>
      </c>
      <c r="G398" s="123">
        <f ca="1">IF(RegimeExecucao="Global","",ORÇAMENTO!T398)</f>
        <v>800</v>
      </c>
      <c r="H398" s="123">
        <f ca="1">IF(RegimeExecucao="Global","",ORÇAMENTO!W398)</f>
        <v>0</v>
      </c>
      <c r="I398" s="126">
        <f ca="1">ORÇAMENTO!X398</f>
        <v>0</v>
      </c>
      <c r="J398" s="334" t="e" cm="1">
        <f t="array" aca="1" ref="J398" ca="1">_xlfn.SINGLE(IF($A398="S",IF(CAIXA.Modo,BM.AFAnterior,BM.MEDAnterior),IF(AND(_xlfn.SINGLE(RegimeExecucao)="Global",$I398&gt;0,COUNTIF($AB$13:$AM$13,BM.medicao-1)&gt;0),M398/$I398*100,0)))</f>
        <v>#NAME?</v>
      </c>
      <c r="K398" s="123" t="e">
        <f t="shared" ca="1" si="38"/>
        <v>#NAME?</v>
      </c>
      <c r="L398" s="335" t="e" cm="1">
        <f t="array" aca="1" ref="L398" ca="1">_xlfn.SINGLE(IF($A398="S",IF(CAIXA.Modo,BM.AFAcumulado,BM.MEDAcumulado),IF(AND(_xlfn.SINGLE(RegimeExecucao)="Global",$I398&gt;0,COUNTIF($AB$13:$AM$13,BM.medicao)&gt;0),O398/$I398*100,0)))</f>
        <v>#NAME?</v>
      </c>
      <c r="M398" s="336">
        <f ca="1">IF($A398="S",VTOTALBM,IF($A398=0,0,ROUND(SomaAgrupBM,15-13*ORÇAMENTO!$AF$11)))</f>
        <v>0</v>
      </c>
      <c r="N398" s="337">
        <f t="shared" ca="1" si="39"/>
        <v>0</v>
      </c>
      <c r="O398" s="126">
        <f ca="1">IF($A398="S",VTOTALBM,IF($A398=0,0,ROUND(SomaAgrupBM,15-13*ORÇAMENTO!$AF$11)))</f>
        <v>0</v>
      </c>
      <c r="Q398" s="338"/>
      <c r="R398" s="339"/>
      <c r="T398" s="118" t="str">
        <f t="shared" ca="1" si="40"/>
        <v/>
      </c>
      <c r="U398" s="164" t="str">
        <f t="shared" ca="1" si="41"/>
        <v/>
      </c>
      <c r="V398" s="165" t="str">
        <f ca="1">IF(AND($W398&gt;0,RegimeExecucao="Unitário"),$F398,"")</f>
        <v/>
      </c>
      <c r="W398" s="455">
        <f ca="1">IF($Y398&gt;0,CHOOSE(MATCH(RegimeExecucao,{"Unitário","Global"},0),IF($A398="S",$Y398/$X398,""),($Y398/$X398)*100),0)</f>
        <v>0</v>
      </c>
      <c r="X398" s="340" t="str">
        <f ca="1">IF($Y398&gt;0,CHOOSE(MATCH(RegimeExecucao,{"Unitário","Global"},0),IF($A398="S",ROUND($H398,ORÇAMENTO!$AF$10),""),ROUND($I398,ORÇAMENTO!$AF$11)),"")</f>
        <v/>
      </c>
      <c r="Y398" s="340">
        <f t="shared" ca="1" si="42"/>
        <v>0</v>
      </c>
      <c r="Z398" s="474"/>
      <c r="AB398" s="338"/>
      <c r="AC398" s="438"/>
      <c r="AD398" s="438"/>
      <c r="AE398" s="438"/>
      <c r="AF398" s="438"/>
      <c r="AG398" s="438"/>
      <c r="AH398" s="438"/>
      <c r="AI398" s="438"/>
      <c r="AJ398" s="438"/>
      <c r="AK398" s="438"/>
      <c r="AL398" s="438"/>
      <c r="AM398" s="339"/>
      <c r="AO398">
        <f ca="1">IF($A398="S",IF(BM!$I398=0,0,CHOOSE(MATCH(RegimeExecucao,{"Global","Unitário"},0),ROUND(ROUND(BM.MEDAcumulado,15-13*BM!$A$9)/100*BM!$I398,15-13*ORÇAMENTO!$AF$11),ROUND(ROUND(BM.MEDAcumulado,15-13*BM!$A$9)*ROUND(BM!$H398,15-13*ORÇAMENTO!$AF$10),15-13*ORÇAMENTO!$AF$11))),IF($A398=0,0,ROUND(SomaAgrupBM,15-13*ORÇAMENTO!$AF$11)))</f>
        <v>0</v>
      </c>
    </row>
    <row r="399" spans="1:41" ht="25.5" x14ac:dyDescent="0.2">
      <c r="A399" t="str">
        <f ca="1">ORÇAMENTO!C399</f>
        <v>S</v>
      </c>
      <c r="B399">
        <f ca="1">ORÇAMENTO!D399</f>
        <v>0</v>
      </c>
      <c r="C399" s="115" t="str">
        <f t="shared" ca="1" si="36"/>
        <v/>
      </c>
      <c r="D399" s="118" t="str">
        <f ca="1">ORÇAMENTO!O399</f>
        <v>-</v>
      </c>
      <c r="E399" s="164" t="str">
        <f t="shared" si="37"/>
        <v xml:space="preserve">PARAFUSO ZINCADO, SEXTAVADO, COM ROSCA SOBERBA, DIAMETRO 5/16", COMPRIMENTO 40 MM                                                                                                                                                                         </v>
      </c>
      <c r="F399" s="165" t="str">
        <f ca="1">IF(RegimeExecucao="Global","",ORÇAMENTO.Unidade)</f>
        <v xml:space="preserve">UN    </v>
      </c>
      <c r="G399" s="123">
        <f ca="1">IF(RegimeExecucao="Global","",ORÇAMENTO!T399)</f>
        <v>800</v>
      </c>
      <c r="H399" s="123">
        <f ca="1">IF(RegimeExecucao="Global","",ORÇAMENTO!W399)</f>
        <v>0</v>
      </c>
      <c r="I399" s="126">
        <f ca="1">ORÇAMENTO!X399</f>
        <v>0</v>
      </c>
      <c r="J399" s="334" t="e" cm="1">
        <f t="array" aca="1" ref="J399" ca="1">_xlfn.SINGLE(IF($A399="S",IF(CAIXA.Modo,BM.AFAnterior,BM.MEDAnterior),IF(AND(_xlfn.SINGLE(RegimeExecucao)="Global",$I399&gt;0,COUNTIF($AB$13:$AM$13,BM.medicao-1)&gt;0),M399/$I399*100,0)))</f>
        <v>#NAME?</v>
      </c>
      <c r="K399" s="123" t="e">
        <f t="shared" ca="1" si="38"/>
        <v>#NAME?</v>
      </c>
      <c r="L399" s="335" t="e" cm="1">
        <f t="array" aca="1" ref="L399" ca="1">_xlfn.SINGLE(IF($A399="S",IF(CAIXA.Modo,BM.AFAcumulado,BM.MEDAcumulado),IF(AND(_xlfn.SINGLE(RegimeExecucao)="Global",$I399&gt;0,COUNTIF($AB$13:$AM$13,BM.medicao)&gt;0),O399/$I399*100,0)))</f>
        <v>#NAME?</v>
      </c>
      <c r="M399" s="336">
        <f ca="1">IF($A399="S",VTOTALBM,IF($A399=0,0,ROUND(SomaAgrupBM,15-13*ORÇAMENTO!$AF$11)))</f>
        <v>0</v>
      </c>
      <c r="N399" s="337">
        <f t="shared" ca="1" si="39"/>
        <v>0</v>
      </c>
      <c r="O399" s="126">
        <f ca="1">IF($A399="S",VTOTALBM,IF($A399=0,0,ROUND(SomaAgrupBM,15-13*ORÇAMENTO!$AF$11)))</f>
        <v>0</v>
      </c>
      <c r="Q399" s="338"/>
      <c r="R399" s="339"/>
      <c r="T399" s="118" t="str">
        <f t="shared" ca="1" si="40"/>
        <v/>
      </c>
      <c r="U399" s="164" t="str">
        <f t="shared" ca="1" si="41"/>
        <v/>
      </c>
      <c r="V399" s="165" t="str">
        <f ca="1">IF(AND($W399&gt;0,RegimeExecucao="Unitário"),$F399,"")</f>
        <v/>
      </c>
      <c r="W399" s="455">
        <f ca="1">IF($Y399&gt;0,CHOOSE(MATCH(RegimeExecucao,{"Unitário","Global"},0),IF($A399="S",$Y399/$X399,""),($Y399/$X399)*100),0)</f>
        <v>0</v>
      </c>
      <c r="X399" s="340" t="str">
        <f ca="1">IF($Y399&gt;0,CHOOSE(MATCH(RegimeExecucao,{"Unitário","Global"},0),IF($A399="S",ROUND($H399,ORÇAMENTO!$AF$10),""),ROUND($I399,ORÇAMENTO!$AF$11)),"")</f>
        <v/>
      </c>
      <c r="Y399" s="340">
        <f t="shared" ca="1" si="42"/>
        <v>0</v>
      </c>
      <c r="Z399" s="474"/>
      <c r="AB399" s="338"/>
      <c r="AC399" s="438"/>
      <c r="AD399" s="438"/>
      <c r="AE399" s="438"/>
      <c r="AF399" s="438"/>
      <c r="AG399" s="438"/>
      <c r="AH399" s="438"/>
      <c r="AI399" s="438"/>
      <c r="AJ399" s="438"/>
      <c r="AK399" s="438"/>
      <c r="AL399" s="438"/>
      <c r="AM399" s="339"/>
      <c r="AO399">
        <f ca="1">IF($A399="S",IF(BM!$I399=0,0,CHOOSE(MATCH(RegimeExecucao,{"Global","Unitário"},0),ROUND(ROUND(BM.MEDAcumulado,15-13*BM!$A$9)/100*BM!$I399,15-13*ORÇAMENTO!$AF$11),ROUND(ROUND(BM.MEDAcumulado,15-13*BM!$A$9)*ROUND(BM!$H399,15-13*ORÇAMENTO!$AF$10),15-13*ORÇAMENTO!$AF$11))),IF($A399=0,0,ROUND(SomaAgrupBM,15-13*ORÇAMENTO!$AF$11)))</f>
        <v>0</v>
      </c>
    </row>
    <row r="400" spans="1:41" x14ac:dyDescent="0.2">
      <c r="A400">
        <f ca="1">ORÇAMENTO!C400</f>
        <v>2</v>
      </c>
      <c r="B400">
        <f ca="1">ORÇAMENTO!D400</f>
        <v>3</v>
      </c>
      <c r="C400" s="115" t="str">
        <f t="shared" ref="C400:C404" ca="1" si="43">IF(OR($I400&gt;0,$A400=1,$A400=2,$A400=3,$A400=4),"F","")</f>
        <v>F</v>
      </c>
      <c r="D400" s="118" t="str">
        <f ca="1">ORÇAMENTO!O400</f>
        <v>1.23.</v>
      </c>
      <c r="E400" s="164" t="str">
        <f t="shared" si="37"/>
        <v>SISTEMA DE REUSO DE ÁGUA</v>
      </c>
      <c r="F400" s="165" t="str">
        <f ca="1">IF(RegimeExecucao="Global","",ORÇAMENTO.Unidade)</f>
        <v>-</v>
      </c>
      <c r="G400" s="123">
        <f ca="1">IF(RegimeExecucao="Global","",ORÇAMENTO!T400)</f>
        <v>0</v>
      </c>
      <c r="H400" s="123">
        <f ca="1">IF(RegimeExecucao="Global","",ORÇAMENTO!W400)</f>
        <v>0</v>
      </c>
      <c r="I400" s="126">
        <f ca="1">ORÇAMENTO!X400</f>
        <v>0</v>
      </c>
      <c r="J400" s="334" t="e" cm="1">
        <f t="array" aca="1" ref="J400" ca="1">_xlfn.SINGLE(IF($A400="S",IF(CAIXA.Modo,BM.AFAnterior,BM.MEDAnterior),IF(AND(_xlfn.SINGLE(RegimeExecucao)="Global",$I400&gt;0,COUNTIF($AB$13:$AM$13,BM.medicao-1)&gt;0),M400/$I400*100,0)))</f>
        <v>#NAME?</v>
      </c>
      <c r="K400" s="123" t="e">
        <f t="shared" ref="K400:K404" ca="1" si="44">L400-J400</f>
        <v>#NAME?</v>
      </c>
      <c r="L400" s="335" t="e" cm="1">
        <f t="array" aca="1" ref="L400" ca="1">_xlfn.SINGLE(IF($A400="S",IF(CAIXA.Modo,BM.AFAcumulado,BM.MEDAcumulado),IF(AND(_xlfn.SINGLE(RegimeExecucao)="Global",$I400&gt;0,COUNTIF($AB$13:$AM$13,BM.medicao)&gt;0),O400/$I400*100,0)))</f>
        <v>#NAME?</v>
      </c>
      <c r="M400" s="336">
        <f ca="1">IF($A400="S",VTOTALBM,IF($A400=0,0,ROUND(SomaAgrupBM,15-13*ORÇAMENTO!$AF$11)))</f>
        <v>0</v>
      </c>
      <c r="N400" s="337">
        <f t="shared" ref="N400:N404" ca="1" si="45">O400-M400</f>
        <v>0</v>
      </c>
      <c r="O400" s="126">
        <f ca="1">IF($A400="S",VTOTALBM,IF($A400=0,0,ROUND(SomaAgrupBM,15-13*ORÇAMENTO!$AF$11)))</f>
        <v>0</v>
      </c>
      <c r="Q400" s="338"/>
      <c r="R400" s="339"/>
      <c r="T400" s="118" t="str">
        <f t="shared" ref="T400:T404" ca="1" si="46">IF($W400&gt;0,$D400,"")</f>
        <v/>
      </c>
      <c r="U400" s="164" t="str">
        <f t="shared" ref="U400:U404" ca="1" si="47">IF($W400&gt;0,$E400,"")</f>
        <v/>
      </c>
      <c r="V400" s="165" t="str">
        <f ca="1">IF(AND($W400&gt;0,RegimeExecucao="Unitário"),$F400,"")</f>
        <v/>
      </c>
      <c r="W400" s="455">
        <f ca="1">IF($Y400&gt;0,CHOOSE(MATCH(RegimeExecucao,{"Unitário","Global"},0),IF($A400="S",$Y400/$X400,""),($Y400/$X400)*100),0)</f>
        <v>0</v>
      </c>
      <c r="X400" s="340" t="str">
        <f ca="1">IF($Y400&gt;0,CHOOSE(MATCH(RegimeExecucao,{"Unitário","Global"},0),IF($A400="S",ROUND($H400,ORÇAMENTO!$AF$10),""),ROUND($I400,ORÇAMENTO!$AF$11)),"")</f>
        <v/>
      </c>
      <c r="Y400" s="340">
        <f t="shared" ref="Y400:Y404" ca="1" si="48">AO400-O400</f>
        <v>0</v>
      </c>
      <c r="Z400" s="474"/>
      <c r="AB400" s="338"/>
      <c r="AC400" s="438"/>
      <c r="AD400" s="438"/>
      <c r="AE400" s="438"/>
      <c r="AF400" s="438"/>
      <c r="AG400" s="438"/>
      <c r="AH400" s="438"/>
      <c r="AI400" s="438"/>
      <c r="AJ400" s="438"/>
      <c r="AK400" s="438"/>
      <c r="AL400" s="438"/>
      <c r="AM400" s="339"/>
      <c r="AO400">
        <f ca="1">IF($A400="S",IF(BM!$I400=0,0,CHOOSE(MATCH(RegimeExecucao,{"Global","Unitário"},0),ROUND(ROUND(BM.MEDAcumulado,15-13*BM!$A$9)/100*BM!$I400,15-13*ORÇAMENTO!$AF$11),ROUND(ROUND(BM.MEDAcumulado,15-13*BM!$A$9)*ROUND(BM!$H400,15-13*ORÇAMENTO!$AF$10),15-13*ORÇAMENTO!$AF$11))),IF($A400=0,0,ROUND(SomaAgrupBM,15-13*ORÇAMENTO!$AF$11)))</f>
        <v>0</v>
      </c>
    </row>
    <row r="401" spans="1:41" ht="25.5" x14ac:dyDescent="0.2">
      <c r="A401" t="str">
        <f ca="1">ORÇAMENTO!C401</f>
        <v>S</v>
      </c>
      <c r="B401">
        <f ca="1">ORÇAMENTO!D401</f>
        <v>0</v>
      </c>
      <c r="C401" s="115" t="str">
        <f t="shared" ca="1" si="43"/>
        <v/>
      </c>
      <c r="D401" s="118" t="str">
        <f ca="1">ORÇAMENTO!O401</f>
        <v>-</v>
      </c>
      <c r="E401" s="164" t="str">
        <f t="shared" si="37"/>
        <v>CISTERNA VERTICAL MODULAR 600 L - FORNECIMENTO E INSTALAÇÃO</v>
      </c>
      <c r="F401" s="165" t="str">
        <f ca="1">IF(RegimeExecucao="Global","",ORÇAMENTO.Unidade)</f>
        <v>UN</v>
      </c>
      <c r="G401" s="123">
        <f ca="1">IF(RegimeExecucao="Global","",ORÇAMENTO!T401)</f>
        <v>1</v>
      </c>
      <c r="H401" s="123">
        <f ca="1">IF(RegimeExecucao="Global","",ORÇAMENTO!W401)</f>
        <v>0</v>
      </c>
      <c r="I401" s="126">
        <f ca="1">ORÇAMENTO!X401</f>
        <v>0</v>
      </c>
      <c r="J401" s="334" t="e" cm="1">
        <f t="array" aca="1" ref="J401" ca="1">_xlfn.SINGLE(IF($A401="S",IF(CAIXA.Modo,BM.AFAnterior,BM.MEDAnterior),IF(AND(_xlfn.SINGLE(RegimeExecucao)="Global",$I401&gt;0,COUNTIF($AB$13:$AM$13,BM.medicao-1)&gt;0),M401/$I401*100,0)))</f>
        <v>#NAME?</v>
      </c>
      <c r="K401" s="123" t="e">
        <f t="shared" ca="1" si="44"/>
        <v>#NAME?</v>
      </c>
      <c r="L401" s="335" t="e" cm="1">
        <f t="array" aca="1" ref="L401" ca="1">_xlfn.SINGLE(IF($A401="S",IF(CAIXA.Modo,BM.AFAcumulado,BM.MEDAcumulado),IF(AND(_xlfn.SINGLE(RegimeExecucao)="Global",$I401&gt;0,COUNTIF($AB$13:$AM$13,BM.medicao)&gt;0),O401/$I401*100,0)))</f>
        <v>#NAME?</v>
      </c>
      <c r="M401" s="336">
        <f ca="1">IF($A401="S",VTOTALBM,IF($A401=0,0,ROUND(SomaAgrupBM,15-13*ORÇAMENTO!$AF$11)))</f>
        <v>0</v>
      </c>
      <c r="N401" s="337">
        <f t="shared" ca="1" si="45"/>
        <v>0</v>
      </c>
      <c r="O401" s="126">
        <f ca="1">IF($A401="S",VTOTALBM,IF($A401=0,0,ROUND(SomaAgrupBM,15-13*ORÇAMENTO!$AF$11)))</f>
        <v>0</v>
      </c>
      <c r="Q401" s="338"/>
      <c r="R401" s="339"/>
      <c r="T401" s="118" t="str">
        <f t="shared" ca="1" si="46"/>
        <v/>
      </c>
      <c r="U401" s="164" t="str">
        <f t="shared" ca="1" si="47"/>
        <v/>
      </c>
      <c r="V401" s="165" t="str">
        <f ca="1">IF(AND($W401&gt;0,RegimeExecucao="Unitário"),$F401,"")</f>
        <v/>
      </c>
      <c r="W401" s="455">
        <f ca="1">IF($Y401&gt;0,CHOOSE(MATCH(RegimeExecucao,{"Unitário","Global"},0),IF($A401="S",$Y401/$X401,""),($Y401/$X401)*100),0)</f>
        <v>0</v>
      </c>
      <c r="X401" s="340" t="str">
        <f ca="1">IF($Y401&gt;0,CHOOSE(MATCH(RegimeExecucao,{"Unitário","Global"},0),IF($A401="S",ROUND($H401,ORÇAMENTO!$AF$10),""),ROUND($I401,ORÇAMENTO!$AF$11)),"")</f>
        <v/>
      </c>
      <c r="Y401" s="340">
        <f t="shared" ca="1" si="48"/>
        <v>0</v>
      </c>
      <c r="Z401" s="474"/>
      <c r="AB401" s="338"/>
      <c r="AC401" s="438"/>
      <c r="AD401" s="438"/>
      <c r="AE401" s="438"/>
      <c r="AF401" s="438"/>
      <c r="AG401" s="438"/>
      <c r="AH401" s="438"/>
      <c r="AI401" s="438"/>
      <c r="AJ401" s="438"/>
      <c r="AK401" s="438"/>
      <c r="AL401" s="438"/>
      <c r="AM401" s="339"/>
      <c r="AO401">
        <f ca="1">IF($A401="S",IF(BM!$I401=0,0,CHOOSE(MATCH(RegimeExecucao,{"Global","Unitário"},0),ROUND(ROUND(BM.MEDAcumulado,15-13*BM!$A$9)/100*BM!$I401,15-13*ORÇAMENTO!$AF$11),ROUND(ROUND(BM.MEDAcumulado,15-13*BM!$A$9)*ROUND(BM!$H401,15-13*ORÇAMENTO!$AF$10),15-13*ORÇAMENTO!$AF$11))),IF($A401=0,0,ROUND(SomaAgrupBM,15-13*ORÇAMENTO!$AF$11)))</f>
        <v>0</v>
      </c>
    </row>
    <row r="402" spans="1:41" ht="25.5" x14ac:dyDescent="0.2">
      <c r="A402" t="str">
        <f ca="1">ORÇAMENTO!C402</f>
        <v>S</v>
      </c>
      <c r="B402">
        <f ca="1">ORÇAMENTO!D402</f>
        <v>0</v>
      </c>
      <c r="C402" s="115" t="str">
        <f t="shared" ca="1" si="43"/>
        <v/>
      </c>
      <c r="D402" s="118" t="str">
        <f ca="1">ORÇAMENTO!O402</f>
        <v>-</v>
      </c>
      <c r="E402" s="164" t="str">
        <f t="shared" si="37"/>
        <v>SMART FILTRO PARA CISTERNA MODULAR - FORNECIMENTO E INSTALAÇÃO</v>
      </c>
      <c r="F402" s="165" t="str">
        <f ca="1">IF(RegimeExecucao="Global","",ORÇAMENTO.Unidade)</f>
        <v>UN</v>
      </c>
      <c r="G402" s="123">
        <f ca="1">IF(RegimeExecucao="Global","",ORÇAMENTO!T402)</f>
        <v>1</v>
      </c>
      <c r="H402" s="123">
        <f ca="1">IF(RegimeExecucao="Global","",ORÇAMENTO!W402)</f>
        <v>0</v>
      </c>
      <c r="I402" s="126">
        <f ca="1">ORÇAMENTO!X402</f>
        <v>0</v>
      </c>
      <c r="J402" s="334" t="e" cm="1">
        <f t="array" aca="1" ref="J402" ca="1">_xlfn.SINGLE(IF($A402="S",IF(CAIXA.Modo,BM.AFAnterior,BM.MEDAnterior),IF(AND(_xlfn.SINGLE(RegimeExecucao)="Global",$I402&gt;0,COUNTIF($AB$13:$AM$13,BM.medicao-1)&gt;0),M402/$I402*100,0)))</f>
        <v>#NAME?</v>
      </c>
      <c r="K402" s="123" t="e">
        <f t="shared" ca="1" si="44"/>
        <v>#NAME?</v>
      </c>
      <c r="L402" s="335" t="e" cm="1">
        <f t="array" aca="1" ref="L402" ca="1">_xlfn.SINGLE(IF($A402="S",IF(CAIXA.Modo,BM.AFAcumulado,BM.MEDAcumulado),IF(AND(_xlfn.SINGLE(RegimeExecucao)="Global",$I402&gt;0,COUNTIF($AB$13:$AM$13,BM.medicao)&gt;0),O402/$I402*100,0)))</f>
        <v>#NAME?</v>
      </c>
      <c r="M402" s="336">
        <f ca="1">IF($A402="S",VTOTALBM,IF($A402=0,0,ROUND(SomaAgrupBM,15-13*ORÇAMENTO!$AF$11)))</f>
        <v>0</v>
      </c>
      <c r="N402" s="337">
        <f t="shared" ca="1" si="45"/>
        <v>0</v>
      </c>
      <c r="O402" s="126">
        <f ca="1">IF($A402="S",VTOTALBM,IF($A402=0,0,ROUND(SomaAgrupBM,15-13*ORÇAMENTO!$AF$11)))</f>
        <v>0</v>
      </c>
      <c r="Q402" s="338"/>
      <c r="R402" s="339"/>
      <c r="T402" s="118" t="str">
        <f t="shared" ca="1" si="46"/>
        <v/>
      </c>
      <c r="U402" s="164" t="str">
        <f t="shared" ca="1" si="47"/>
        <v/>
      </c>
      <c r="V402" s="165" t="str">
        <f ca="1">IF(AND($W402&gt;0,RegimeExecucao="Unitário"),$F402,"")</f>
        <v/>
      </c>
      <c r="W402" s="455">
        <f ca="1">IF($Y402&gt;0,CHOOSE(MATCH(RegimeExecucao,{"Unitário","Global"},0),IF($A402="S",$Y402/$X402,""),($Y402/$X402)*100),0)</f>
        <v>0</v>
      </c>
      <c r="X402" s="340" t="str">
        <f ca="1">IF($Y402&gt;0,CHOOSE(MATCH(RegimeExecucao,{"Unitário","Global"},0),IF($A402="S",ROUND($H402,ORÇAMENTO!$AF$10),""),ROUND($I402,ORÇAMENTO!$AF$11)),"")</f>
        <v/>
      </c>
      <c r="Y402" s="340">
        <f t="shared" ca="1" si="48"/>
        <v>0</v>
      </c>
      <c r="Z402" s="474"/>
      <c r="AB402" s="338"/>
      <c r="AC402" s="438"/>
      <c r="AD402" s="438"/>
      <c r="AE402" s="438"/>
      <c r="AF402" s="438"/>
      <c r="AG402" s="438"/>
      <c r="AH402" s="438"/>
      <c r="AI402" s="438"/>
      <c r="AJ402" s="438"/>
      <c r="AK402" s="438"/>
      <c r="AL402" s="438"/>
      <c r="AM402" s="339"/>
      <c r="AO402">
        <f ca="1">IF($A402="S",IF(BM!$I402=0,0,CHOOSE(MATCH(RegimeExecucao,{"Global","Unitário"},0),ROUND(ROUND(BM.MEDAcumulado,15-13*BM!$A$9)/100*BM!$I402,15-13*ORÇAMENTO!$AF$11),ROUND(ROUND(BM.MEDAcumulado,15-13*BM!$A$9)*ROUND(BM!$H402,15-13*ORÇAMENTO!$AF$10),15-13*ORÇAMENTO!$AF$11))),IF($A402=0,0,ROUND(SomaAgrupBM,15-13*ORÇAMENTO!$AF$11)))</f>
        <v>0</v>
      </c>
    </row>
    <row r="403" spans="1:41" x14ac:dyDescent="0.2">
      <c r="A403">
        <f ca="1">ORÇAMENTO!C403</f>
        <v>2</v>
      </c>
      <c r="B403">
        <f ca="1">ORÇAMENTO!D403</f>
        <v>2</v>
      </c>
      <c r="C403" s="115" t="str">
        <f t="shared" ca="1" si="43"/>
        <v>F</v>
      </c>
      <c r="D403" s="118" t="str">
        <f ca="1">ORÇAMENTO!O403</f>
        <v>1.24.</v>
      </c>
      <c r="E403" s="164" t="str">
        <f t="shared" si="37"/>
        <v>LIMPEZA FINAL DE OBRA</v>
      </c>
      <c r="F403" s="165" t="str">
        <f ca="1">IF(RegimeExecucao="Global","",ORÇAMENTO.Unidade)</f>
        <v>-</v>
      </c>
      <c r="G403" s="123">
        <f ca="1">IF(RegimeExecucao="Global","",ORÇAMENTO!T403)</f>
        <v>0</v>
      </c>
      <c r="H403" s="123">
        <f ca="1">IF(RegimeExecucao="Global","",ORÇAMENTO!W403)</f>
        <v>0</v>
      </c>
      <c r="I403" s="126">
        <f ca="1">ORÇAMENTO!X403</f>
        <v>0</v>
      </c>
      <c r="J403" s="334" t="e" cm="1">
        <f t="array" aca="1" ref="J403" ca="1">_xlfn.SINGLE(IF($A403="S",IF(CAIXA.Modo,BM.AFAnterior,BM.MEDAnterior),IF(AND(_xlfn.SINGLE(RegimeExecucao)="Global",$I403&gt;0,COUNTIF($AB$13:$AM$13,BM.medicao-1)&gt;0),M403/$I403*100,0)))</f>
        <v>#NAME?</v>
      </c>
      <c r="K403" s="123" t="e">
        <f t="shared" ca="1" si="44"/>
        <v>#NAME?</v>
      </c>
      <c r="L403" s="335" t="e" cm="1">
        <f t="array" aca="1" ref="L403" ca="1">_xlfn.SINGLE(IF($A403="S",IF(CAIXA.Modo,BM.AFAcumulado,BM.MEDAcumulado),IF(AND(_xlfn.SINGLE(RegimeExecucao)="Global",$I403&gt;0,COUNTIF($AB$13:$AM$13,BM.medicao)&gt;0),O403/$I403*100,0)))</f>
        <v>#NAME?</v>
      </c>
      <c r="M403" s="336">
        <f ca="1">IF($A403="S",VTOTALBM,IF($A403=0,0,ROUND(SomaAgrupBM,15-13*ORÇAMENTO!$AF$11)))</f>
        <v>0</v>
      </c>
      <c r="N403" s="337">
        <f t="shared" ca="1" si="45"/>
        <v>0</v>
      </c>
      <c r="O403" s="126">
        <f ca="1">IF($A403="S",VTOTALBM,IF($A403=0,0,ROUND(SomaAgrupBM,15-13*ORÇAMENTO!$AF$11)))</f>
        <v>0</v>
      </c>
      <c r="Q403" s="338"/>
      <c r="R403" s="339"/>
      <c r="T403" s="118" t="str">
        <f t="shared" ca="1" si="46"/>
        <v/>
      </c>
      <c r="U403" s="164" t="str">
        <f t="shared" ca="1" si="47"/>
        <v/>
      </c>
      <c r="V403" s="165" t="str">
        <f ca="1">IF(AND($W403&gt;0,RegimeExecucao="Unitário"),$F403,"")</f>
        <v/>
      </c>
      <c r="W403" s="455">
        <f ca="1">IF($Y403&gt;0,CHOOSE(MATCH(RegimeExecucao,{"Unitário","Global"},0),IF($A403="S",$Y403/$X403,""),($Y403/$X403)*100),0)</f>
        <v>0</v>
      </c>
      <c r="X403" s="340" t="str">
        <f ca="1">IF($Y403&gt;0,CHOOSE(MATCH(RegimeExecucao,{"Unitário","Global"},0),IF($A403="S",ROUND($H403,ORÇAMENTO!$AF$10),""),ROUND($I403,ORÇAMENTO!$AF$11)),"")</f>
        <v/>
      </c>
      <c r="Y403" s="340">
        <f t="shared" ca="1" si="48"/>
        <v>0</v>
      </c>
      <c r="Z403" s="474"/>
      <c r="AB403" s="338"/>
      <c r="AC403" s="438"/>
      <c r="AD403" s="438"/>
      <c r="AE403" s="438"/>
      <c r="AF403" s="438"/>
      <c r="AG403" s="438"/>
      <c r="AH403" s="438"/>
      <c r="AI403" s="438"/>
      <c r="AJ403" s="438"/>
      <c r="AK403" s="438"/>
      <c r="AL403" s="438"/>
      <c r="AM403" s="339"/>
      <c r="AO403">
        <f ca="1">IF($A403="S",IF(BM!$I403=0,0,CHOOSE(MATCH(RegimeExecucao,{"Global","Unitário"},0),ROUND(ROUND(BM.MEDAcumulado,15-13*BM!$A$9)/100*BM!$I403,15-13*ORÇAMENTO!$AF$11),ROUND(ROUND(BM.MEDAcumulado,15-13*BM!$A$9)*ROUND(BM!$H403,15-13*ORÇAMENTO!$AF$10),15-13*ORÇAMENTO!$AF$11))),IF($A403=0,0,ROUND(SomaAgrupBM,15-13*ORÇAMENTO!$AF$11)))</f>
        <v>0</v>
      </c>
    </row>
    <row r="404" spans="1:41" x14ac:dyDescent="0.2">
      <c r="A404" t="str">
        <f ca="1">ORÇAMENTO!C404</f>
        <v>S</v>
      </c>
      <c r="B404">
        <f ca="1">ORÇAMENTO!D404</f>
        <v>0</v>
      </c>
      <c r="C404" s="115" t="str">
        <f t="shared" ca="1" si="43"/>
        <v/>
      </c>
      <c r="D404" s="118" t="str">
        <f ca="1">ORÇAMENTO!O404</f>
        <v>-</v>
      </c>
      <c r="E404" s="164" t="str">
        <f t="shared" si="37"/>
        <v>SERVENTE COM ENCARGOS COMPLEMENTARES</v>
      </c>
      <c r="F404" s="165" t="str">
        <f ca="1">IF(RegimeExecucao="Global","",ORÇAMENTO.Unidade)</f>
        <v>H</v>
      </c>
      <c r="G404" s="123">
        <f ca="1">IF(RegimeExecucao="Global","",ORÇAMENTO!T404)</f>
        <v>160</v>
      </c>
      <c r="H404" s="123">
        <f ca="1">IF(RegimeExecucao="Global","",ORÇAMENTO!W404)</f>
        <v>0</v>
      </c>
      <c r="I404" s="126">
        <f ca="1">ORÇAMENTO!X404</f>
        <v>0</v>
      </c>
      <c r="J404" s="334" t="e" cm="1">
        <f t="array" aca="1" ref="J404" ca="1">_xlfn.SINGLE(IF($A404="S",IF(CAIXA.Modo,BM.AFAnterior,BM.MEDAnterior),IF(AND(_xlfn.SINGLE(RegimeExecucao)="Global",$I404&gt;0,COUNTIF($AB$13:$AM$13,BM.medicao-1)&gt;0),M404/$I404*100,0)))</f>
        <v>#NAME?</v>
      </c>
      <c r="K404" s="123" t="e">
        <f t="shared" ca="1" si="44"/>
        <v>#NAME?</v>
      </c>
      <c r="L404" s="335" t="e" cm="1">
        <f t="array" aca="1" ref="L404" ca="1">_xlfn.SINGLE(IF($A404="S",IF(CAIXA.Modo,BM.AFAcumulado,BM.MEDAcumulado),IF(AND(_xlfn.SINGLE(RegimeExecucao)="Global",$I404&gt;0,COUNTIF($AB$13:$AM$13,BM.medicao)&gt;0),O404/$I404*100,0)))</f>
        <v>#NAME?</v>
      </c>
      <c r="M404" s="336">
        <f ca="1">IF($A404="S",VTOTALBM,IF($A404=0,0,ROUND(SomaAgrupBM,15-13*ORÇAMENTO!$AF$11)))</f>
        <v>0</v>
      </c>
      <c r="N404" s="337">
        <f t="shared" ca="1" si="45"/>
        <v>0</v>
      </c>
      <c r="O404" s="126">
        <f ca="1">IF($A404="S",VTOTALBM,IF($A404=0,0,ROUND(SomaAgrupBM,15-13*ORÇAMENTO!$AF$11)))</f>
        <v>0</v>
      </c>
      <c r="Q404" s="338"/>
      <c r="R404" s="339"/>
      <c r="T404" s="118" t="str">
        <f t="shared" ca="1" si="46"/>
        <v/>
      </c>
      <c r="U404" s="164" t="str">
        <f t="shared" ca="1" si="47"/>
        <v/>
      </c>
      <c r="V404" s="165" t="str">
        <f ca="1">IF(AND($W404&gt;0,RegimeExecucao="Unitário"),$F404,"")</f>
        <v/>
      </c>
      <c r="W404" s="455">
        <f ca="1">IF($Y404&gt;0,CHOOSE(MATCH(RegimeExecucao,{"Unitário","Global"},0),IF($A404="S",$Y404/$X404,""),($Y404/$X404)*100),0)</f>
        <v>0</v>
      </c>
      <c r="X404" s="340" t="str">
        <f ca="1">IF($Y404&gt;0,CHOOSE(MATCH(RegimeExecucao,{"Unitário","Global"},0),IF($A404="S",ROUND($H404,ORÇAMENTO!$AF$10),""),ROUND($I404,ORÇAMENTO!$AF$11)),"")</f>
        <v/>
      </c>
      <c r="Y404" s="340">
        <f t="shared" ca="1" si="48"/>
        <v>0</v>
      </c>
      <c r="Z404" s="474"/>
      <c r="AB404" s="338"/>
      <c r="AC404" s="438"/>
      <c r="AD404" s="438"/>
      <c r="AE404" s="438"/>
      <c r="AF404" s="438"/>
      <c r="AG404" s="438"/>
      <c r="AH404" s="438"/>
      <c r="AI404" s="438"/>
      <c r="AJ404" s="438"/>
      <c r="AK404" s="438"/>
      <c r="AL404" s="438"/>
      <c r="AM404" s="339"/>
      <c r="AO404">
        <f ca="1">IF($A404="S",IF(BM!$I404=0,0,CHOOSE(MATCH(RegimeExecucao,{"Global","Unitário"},0),ROUND(ROUND(BM.MEDAcumulado,15-13*BM!$A$9)/100*BM!$I404,15-13*ORÇAMENTO!$AF$11),ROUND(ROUND(BM.MEDAcumulado,15-13*BM!$A$9)*ROUND(BM!$H404,15-13*ORÇAMENTO!$AF$10),15-13*ORÇAMENTO!$AF$11))),IF($A404=0,0,ROUND(SomaAgrupBM,15-13*ORÇAMENTO!$AF$11)))</f>
        <v>0</v>
      </c>
    </row>
    <row r="405" spans="1:41" ht="5.0999999999999996" customHeight="1" x14ac:dyDescent="0.2">
      <c r="C405" s="115" t="s">
        <v>536</v>
      </c>
      <c r="D405" s="611"/>
      <c r="E405" s="612"/>
      <c r="F405" s="612"/>
      <c r="G405" s="612"/>
      <c r="H405" s="612"/>
      <c r="I405" s="420"/>
      <c r="J405" s="611"/>
      <c r="K405" s="612"/>
      <c r="L405" s="420"/>
      <c r="M405" s="435"/>
      <c r="N405" s="436"/>
      <c r="O405" s="437"/>
      <c r="Q405" s="611"/>
      <c r="R405" s="420"/>
      <c r="T405" s="611"/>
      <c r="U405" s="612"/>
      <c r="V405" s="612"/>
      <c r="W405" s="612"/>
      <c r="X405" s="612"/>
      <c r="Y405" s="612"/>
      <c r="Z405" s="420"/>
      <c r="AB405" s="611"/>
      <c r="AC405" s="612"/>
      <c r="AD405" s="612"/>
      <c r="AE405" s="612"/>
      <c r="AF405" s="612"/>
      <c r="AG405" s="612"/>
      <c r="AH405" s="612"/>
      <c r="AI405" s="612"/>
      <c r="AJ405" s="612"/>
      <c r="AK405" s="612"/>
      <c r="AL405" s="612"/>
      <c r="AM405" s="420"/>
    </row>
    <row r="407" spans="1:41" ht="14.25" x14ac:dyDescent="0.2">
      <c r="D407" s="802" t="s">
        <v>690</v>
      </c>
      <c r="E407" s="802"/>
      <c r="F407" s="802"/>
      <c r="G407" s="802"/>
      <c r="H407" s="802"/>
      <c r="I407" s="802"/>
      <c r="J407" s="802"/>
      <c r="K407" s="802"/>
      <c r="L407" s="802"/>
      <c r="M407" s="802"/>
      <c r="N407" s="802"/>
      <c r="O407" s="802"/>
      <c r="T407" s="803" t="s">
        <v>867</v>
      </c>
      <c r="U407" s="803"/>
      <c r="V407" s="803"/>
      <c r="W407" s="803"/>
      <c r="X407" s="803"/>
      <c r="Y407" s="803"/>
      <c r="Z407" s="803"/>
    </row>
    <row r="408" spans="1:41" ht="12.75" customHeight="1" x14ac:dyDescent="0.2">
      <c r="D408" s="707"/>
      <c r="E408" s="707"/>
      <c r="F408" s="707"/>
      <c r="G408" s="707"/>
      <c r="H408" s="707"/>
      <c r="I408" s="707"/>
      <c r="J408" s="707"/>
      <c r="K408" s="707"/>
      <c r="L408" s="707"/>
      <c r="M408" s="707"/>
      <c r="N408" s="707"/>
      <c r="O408" s="707"/>
      <c r="T408" s="804"/>
      <c r="U408" s="804"/>
      <c r="V408" s="804"/>
      <c r="W408" s="804"/>
      <c r="X408" s="804"/>
      <c r="Y408" s="804"/>
      <c r="Z408" s="804"/>
    </row>
    <row r="409" spans="1:41" ht="12.75" customHeight="1" x14ac:dyDescent="0.2">
      <c r="D409" s="707"/>
      <c r="E409" s="707"/>
      <c r="F409" s="707"/>
      <c r="G409" s="707"/>
      <c r="H409" s="707"/>
      <c r="I409" s="707"/>
      <c r="J409" s="707"/>
      <c r="K409" s="707"/>
      <c r="L409" s="707"/>
      <c r="M409" s="707"/>
      <c r="N409" s="707"/>
      <c r="O409" s="707"/>
      <c r="T409" s="804"/>
      <c r="U409" s="804"/>
      <c r="V409" s="804"/>
      <c r="W409" s="804"/>
      <c r="X409" s="804"/>
      <c r="Y409" s="804"/>
      <c r="Z409" s="804"/>
    </row>
    <row r="410" spans="1:41" ht="12.75" customHeight="1" x14ac:dyDescent="0.2">
      <c r="D410" s="707"/>
      <c r="E410" s="707"/>
      <c r="F410" s="707"/>
      <c r="G410" s="707"/>
      <c r="H410" s="707"/>
      <c r="I410" s="707"/>
      <c r="J410" s="707"/>
      <c r="K410" s="707"/>
      <c r="L410" s="707"/>
      <c r="M410" s="707"/>
      <c r="N410" s="707"/>
      <c r="O410" s="707"/>
      <c r="T410" s="804"/>
      <c r="U410" s="804"/>
      <c r="V410" s="804"/>
      <c r="W410" s="804"/>
      <c r="X410" s="804"/>
      <c r="Y410" s="804"/>
      <c r="Z410" s="804"/>
    </row>
    <row r="411" spans="1:41" ht="14.25" x14ac:dyDescent="0.2">
      <c r="D411" s="444"/>
      <c r="E411" s="444"/>
      <c r="F411" s="444"/>
      <c r="G411" s="444"/>
      <c r="H411" s="444"/>
      <c r="I411" s="444"/>
      <c r="J411" s="444"/>
      <c r="K411" s="444"/>
      <c r="L411" s="444"/>
      <c r="M411" s="444"/>
      <c r="N411" s="444"/>
      <c r="O411" s="444"/>
    </row>
    <row r="412" spans="1:41" ht="15" customHeight="1" x14ac:dyDescent="0.25">
      <c r="D412" s="708" t="str">
        <f ca="1">IF(OR(AND(ORÇAMENTO!$AF$7=FALSE,ORÇAMENTO!$AF$10=FALSE,RegimeExecucao="Global"),AND(ORÇAMENTO!$AF$7=FALSE,ORÇAMENTO!$AF$10=FALSE,ORÇAMENTO!$AF$11=FALSE,BM!$A$9=FALSE)),"Não foi considerado arredondamento nos valores da planilha.",CONCATENATE("Foi considerado arredondamento de duas casas decimais para ",IF(AND(RegimeExecucao="Unitário",ORÇAMENTO!$AF$7=TRUE),"Quantidade; ",""),IF(AND(RegimeExecucao="Unitário",ORÇAMENTO!$AF$10=TRUE),"Preço unitário; ",""),IF(ORÇAMENTO!$AF$11=TRUE,"Preço total; ",""),,IF(BM!$A$9=TRUE,"Medição.","")))</f>
        <v>Foi considerado arredondamento de duas casas decimais para Quantidade; Preço unitário; Preço total; Medição.</v>
      </c>
      <c r="E412" s="708"/>
      <c r="F412" s="708"/>
      <c r="G412" s="708"/>
      <c r="H412" s="708"/>
      <c r="I412" s="708"/>
      <c r="J412" s="708"/>
      <c r="K412" s="708"/>
      <c r="L412" s="708"/>
    </row>
    <row r="413" spans="1:41" x14ac:dyDescent="0.2">
      <c r="D413" s="800"/>
      <c r="E413" s="800"/>
      <c r="F413" s="800"/>
      <c r="G413" s="800"/>
      <c r="H413" s="800"/>
      <c r="I413" s="800"/>
    </row>
    <row r="414" spans="1:41" x14ac:dyDescent="0.2">
      <c r="D414" s="807" t="str">
        <f>IF(CAIXA.Modo,"","Os serviços medidos informados neste BM encontram-se concluídos, estão em conformidade com os projetos e especificações aceitos pela CAIXA e foram executados de acordo com as normas técnicas.")</f>
        <v>Os serviços medidos informados neste BM encontram-se concluídos, estão em conformidade com os projetos e especificações aceitos pela CAIXA e foram executados de acordo com as normas técnicas.</v>
      </c>
      <c r="E414" s="807"/>
      <c r="F414" s="807"/>
      <c r="G414" s="807"/>
      <c r="H414" s="807"/>
      <c r="I414" s="807"/>
      <c r="J414" s="807"/>
      <c r="K414" s="807"/>
      <c r="L414" s="807"/>
      <c r="M414" s="807"/>
      <c r="N414" s="807"/>
      <c r="O414" s="807"/>
    </row>
    <row r="415" spans="1:41" ht="39.950000000000003" customHeight="1" x14ac:dyDescent="0.25">
      <c r="E415" s="139" t="str">
        <f>Import.Município</f>
        <v>Caçador/SC</v>
      </c>
      <c r="J415" s="588" t="str">
        <f ca="1">IF(DADOS!$D$50&lt;&gt;"","Preencher os Dados do Responsável pela Fiscalização, na aba DADOS.","")</f>
        <v/>
      </c>
      <c r="K415" s="588"/>
      <c r="L415" s="588"/>
      <c r="M415" s="588"/>
      <c r="W415" s="808"/>
      <c r="X415" s="808"/>
      <c r="Y415" s="808"/>
      <c r="Z415" s="808"/>
    </row>
    <row r="416" spans="1:41" x14ac:dyDescent="0.2">
      <c r="E416" s="9" t="s">
        <v>694</v>
      </c>
      <c r="J416" s="182" t="s">
        <v>843</v>
      </c>
      <c r="W416" s="182" t="s">
        <v>868</v>
      </c>
    </row>
    <row r="417" spans="5:26" x14ac:dyDescent="0.2">
      <c r="J417" s="77" t="s">
        <v>240</v>
      </c>
      <c r="K417" s="272">
        <f t="array" ref="K417:K420">Import.RespFiscalização</f>
        <v>0</v>
      </c>
      <c r="L417" s="78"/>
      <c r="W417" s="77" t="s">
        <v>240</v>
      </c>
      <c r="X417" s="806"/>
      <c r="Y417" s="806"/>
      <c r="Z417" s="806"/>
    </row>
    <row r="418" spans="5:26" x14ac:dyDescent="0.2">
      <c r="E418" s="460">
        <f>DADOS!$C$48</f>
        <v>0</v>
      </c>
      <c r="J418" s="77" t="s">
        <v>319</v>
      </c>
      <c r="K418" s="272">
        <v>0</v>
      </c>
      <c r="L418" s="78"/>
      <c r="W418" s="77" t="s">
        <v>869</v>
      </c>
      <c r="X418" s="806"/>
      <c r="Y418" s="806"/>
      <c r="Z418" s="806"/>
    </row>
    <row r="419" spans="5:26" x14ac:dyDescent="0.2">
      <c r="E419" s="141" t="s">
        <v>695</v>
      </c>
      <c r="J419" s="77" t="s">
        <v>243</v>
      </c>
      <c r="K419" s="272">
        <v>0</v>
      </c>
      <c r="L419" s="78"/>
      <c r="W419" s="77" t="s">
        <v>243</v>
      </c>
      <c r="X419" s="806"/>
      <c r="Y419" s="806"/>
      <c r="Z419" s="806"/>
    </row>
    <row r="420" spans="5:26" x14ac:dyDescent="0.2">
      <c r="J420" s="77" t="s">
        <v>246</v>
      </c>
      <c r="K420" s="12">
        <v>0</v>
      </c>
      <c r="W420" s="77"/>
      <c r="X420" s="12"/>
    </row>
  </sheetData>
  <sheetProtection algorithmName="SHA-512" hashValue="HNr0gsJsufca7HevBNJlkSAMzZZTBjfm62ERQ3EAGcIQmU1A2h4NVLwPLw8GBHkfhWUUHA0fw1pVWJOBosZzGw==" saltValue="BkFSFGwD17PeCzemV/I6dQ==" spinCount="100000" sheet="1" objects="1" scenarios="1" autoFilter="0"/>
  <autoFilter ref="C15:C405" xr:uid="{00000000-0001-0000-0B00-000000000000}"/>
  <mergeCells count="33">
    <mergeCell ref="X419:Z419"/>
    <mergeCell ref="D414:O414"/>
    <mergeCell ref="W415:Z415"/>
    <mergeCell ref="X417:Z417"/>
    <mergeCell ref="X418:Z418"/>
    <mergeCell ref="D412:L412"/>
    <mergeCell ref="D413:I413"/>
    <mergeCell ref="AB15:AM15"/>
    <mergeCell ref="D407:O407"/>
    <mergeCell ref="T407:Z407"/>
    <mergeCell ref="D408:O410"/>
    <mergeCell ref="T408:Z410"/>
    <mergeCell ref="D15:E15"/>
    <mergeCell ref="AB11:AM11"/>
    <mergeCell ref="J12:L12"/>
    <mergeCell ref="M12:O12"/>
    <mergeCell ref="Q12:R12"/>
    <mergeCell ref="F7:H7"/>
    <mergeCell ref="I7:L7"/>
    <mergeCell ref="M7:N7"/>
    <mergeCell ref="T11:U11"/>
    <mergeCell ref="C8:C12"/>
    <mergeCell ref="F8:H8"/>
    <mergeCell ref="I8:L8"/>
    <mergeCell ref="M8:N8"/>
    <mergeCell ref="F10:I11"/>
    <mergeCell ref="D5:E5"/>
    <mergeCell ref="F5:H5"/>
    <mergeCell ref="J5:N5"/>
    <mergeCell ref="A3:B3"/>
    <mergeCell ref="D4:E4"/>
    <mergeCell ref="F4:H4"/>
    <mergeCell ref="J4:N4"/>
  </mergeCells>
  <phoneticPr fontId="38" type="noConversion"/>
  <conditionalFormatting sqref="D14:O14 T14:Z14 D52:O59 T52:Z59">
    <cfRule type="expression" dxfId="277" priority="12984" stopIfTrue="1">
      <formula>OR(ACOMPANHAMENTO="PLE",TIPOORCAMENTO="Proposto",$L14&lt;0,AND($L14&gt;100,RegimeExecucao="Global"),$O14&gt;$I14,$O14&lt;0)</formula>
    </cfRule>
    <cfRule type="expression" dxfId="276" priority="12985" stopIfTrue="1">
      <formula>$A14=1</formula>
    </cfRule>
    <cfRule type="expression" dxfId="275" priority="12986" stopIfTrue="1">
      <formula>$A14&lt;&gt;"S"</formula>
    </cfRule>
  </conditionalFormatting>
  <conditionalFormatting sqref="Q14:R14 AB14:AM14 Q52:R59 AB52:AM59">
    <cfRule type="expression" dxfId="274" priority="12987" stopIfTrue="1">
      <formula>$A14=1</formula>
    </cfRule>
    <cfRule type="expression" dxfId="273" priority="12988" stopIfTrue="1">
      <formula>$A14&lt;&gt;"S"</formula>
    </cfRule>
  </conditionalFormatting>
  <conditionalFormatting sqref="E2">
    <cfRule type="expression" dxfId="272" priority="12989" stopIfTrue="1">
      <formula>Import.RegimeExecução="(SELECIONAR)"</formula>
    </cfRule>
  </conditionalFormatting>
  <conditionalFormatting sqref="F13:H13">
    <cfRule type="expression" dxfId="271" priority="12990" stopIfTrue="1">
      <formula>RegimeExecucao="Global"</formula>
    </cfRule>
  </conditionalFormatting>
  <conditionalFormatting sqref="D15:O15">
    <cfRule type="expression" dxfId="270" priority="12991" stopIfTrue="1">
      <formula>OR(ACOMPANHAMENTO="PLE",TIPOORCAMENTO="Proposto")</formula>
    </cfRule>
  </conditionalFormatting>
  <conditionalFormatting sqref="AB13">
    <cfRule type="cellIs" dxfId="269" priority="12992" stopIfTrue="1" operator="notEqual">
      <formula>1</formula>
    </cfRule>
  </conditionalFormatting>
  <conditionalFormatting sqref="O11">
    <cfRule type="expression" dxfId="268" priority="7851">
      <formula>ROUND($P$11,4)&gt;ROUND($P$10,4)</formula>
    </cfRule>
  </conditionalFormatting>
  <conditionalFormatting sqref="D16:O24 T16:Z24">
    <cfRule type="expression" dxfId="267" priority="221" stopIfTrue="1">
      <formula>OR(ACOMPANHAMENTO="PLE",TIPOORCAMENTO="Proposto",$L16&lt;0,AND($L16&gt;100,RegimeExecucao="Global"),$O16&gt;$I16,$O16&lt;0)</formula>
    </cfRule>
    <cfRule type="expression" dxfId="266" priority="222" stopIfTrue="1">
      <formula>$A16=1</formula>
    </cfRule>
    <cfRule type="expression" dxfId="265" priority="223" stopIfTrue="1">
      <formula>$A16&lt;&gt;"S"</formula>
    </cfRule>
  </conditionalFormatting>
  <conditionalFormatting sqref="Q16:R24 AB16:AM24">
    <cfRule type="expression" dxfId="264" priority="224" stopIfTrue="1">
      <formula>$A16=1</formula>
    </cfRule>
    <cfRule type="expression" dxfId="263" priority="225" stopIfTrue="1">
      <formula>$A16&lt;&gt;"S"</formula>
    </cfRule>
  </conditionalFormatting>
  <conditionalFormatting sqref="D25:O33 T25:Z33">
    <cfRule type="expression" dxfId="262" priority="216" stopIfTrue="1">
      <formula>OR(ACOMPANHAMENTO="PLE",TIPOORCAMENTO="Proposto",$L25&lt;0,AND($L25&gt;100,RegimeExecucao="Global"),$O25&gt;$I25,$O25&lt;0)</formula>
    </cfRule>
    <cfRule type="expression" dxfId="261" priority="217" stopIfTrue="1">
      <formula>$A25=1</formula>
    </cfRule>
    <cfRule type="expression" dxfId="260" priority="218" stopIfTrue="1">
      <formula>$A25&lt;&gt;"S"</formula>
    </cfRule>
  </conditionalFormatting>
  <conditionalFormatting sqref="Q25:R33 AB25:AM33">
    <cfRule type="expression" dxfId="259" priority="219" stopIfTrue="1">
      <formula>$A25=1</formula>
    </cfRule>
    <cfRule type="expression" dxfId="258" priority="220" stopIfTrue="1">
      <formula>$A25&lt;&gt;"S"</formula>
    </cfRule>
  </conditionalFormatting>
  <conditionalFormatting sqref="D34:O42 T34:Z42">
    <cfRule type="expression" dxfId="257" priority="211" stopIfTrue="1">
      <formula>OR(ACOMPANHAMENTO="PLE",TIPOORCAMENTO="Proposto",$L34&lt;0,AND($L34&gt;100,RegimeExecucao="Global"),$O34&gt;$I34,$O34&lt;0)</formula>
    </cfRule>
    <cfRule type="expression" dxfId="256" priority="212" stopIfTrue="1">
      <formula>$A34=1</formula>
    </cfRule>
    <cfRule type="expression" dxfId="255" priority="213" stopIfTrue="1">
      <formula>$A34&lt;&gt;"S"</formula>
    </cfRule>
  </conditionalFormatting>
  <conditionalFormatting sqref="Q34:R42 AB34:AM42">
    <cfRule type="expression" dxfId="254" priority="214" stopIfTrue="1">
      <formula>$A34=1</formula>
    </cfRule>
    <cfRule type="expression" dxfId="253" priority="215" stopIfTrue="1">
      <formula>$A34&lt;&gt;"S"</formula>
    </cfRule>
  </conditionalFormatting>
  <conditionalFormatting sqref="D43:O51 T43:Z51">
    <cfRule type="expression" dxfId="252" priority="206" stopIfTrue="1">
      <formula>OR(ACOMPANHAMENTO="PLE",TIPOORCAMENTO="Proposto",$L43&lt;0,AND($L43&gt;100,RegimeExecucao="Global"),$O43&gt;$I43,$O43&lt;0)</formula>
    </cfRule>
    <cfRule type="expression" dxfId="251" priority="207" stopIfTrue="1">
      <formula>$A43=1</formula>
    </cfRule>
    <cfRule type="expression" dxfId="250" priority="208" stopIfTrue="1">
      <formula>$A43&lt;&gt;"S"</formula>
    </cfRule>
  </conditionalFormatting>
  <conditionalFormatting sqref="Q43:R51 AB43:AM51">
    <cfRule type="expression" dxfId="249" priority="209" stopIfTrue="1">
      <formula>$A43=1</formula>
    </cfRule>
    <cfRule type="expression" dxfId="248" priority="210" stopIfTrue="1">
      <formula>$A43&lt;&gt;"S"</formula>
    </cfRule>
  </conditionalFormatting>
  <conditionalFormatting sqref="D60:O68 T60:Z68">
    <cfRule type="expression" dxfId="247" priority="196" stopIfTrue="1">
      <formula>OR(ACOMPANHAMENTO="PLE",TIPOORCAMENTO="Proposto",$L60&lt;0,AND($L60&gt;100,RegimeExecucao="Global"),$O60&gt;$I60,$O60&lt;0)</formula>
    </cfRule>
    <cfRule type="expression" dxfId="246" priority="197" stopIfTrue="1">
      <formula>$A60=1</formula>
    </cfRule>
    <cfRule type="expression" dxfId="245" priority="198" stopIfTrue="1">
      <formula>$A60&lt;&gt;"S"</formula>
    </cfRule>
  </conditionalFormatting>
  <conditionalFormatting sqref="Q60:R68 AB60:AM68">
    <cfRule type="expression" dxfId="244" priority="199" stopIfTrue="1">
      <formula>$A60=1</formula>
    </cfRule>
    <cfRule type="expression" dxfId="243" priority="200" stopIfTrue="1">
      <formula>$A60&lt;&gt;"S"</formula>
    </cfRule>
  </conditionalFormatting>
  <conditionalFormatting sqref="D69:O77 T69:Z77">
    <cfRule type="expression" dxfId="242" priority="191" stopIfTrue="1">
      <formula>OR(ACOMPANHAMENTO="PLE",TIPOORCAMENTO="Proposto",$L69&lt;0,AND($L69&gt;100,RegimeExecucao="Global"),$O69&gt;$I69,$O69&lt;0)</formula>
    </cfRule>
    <cfRule type="expression" dxfId="241" priority="192" stopIfTrue="1">
      <formula>$A69=1</formula>
    </cfRule>
    <cfRule type="expression" dxfId="240" priority="193" stopIfTrue="1">
      <formula>$A69&lt;&gt;"S"</formula>
    </cfRule>
  </conditionalFormatting>
  <conditionalFormatting sqref="Q69:R77 AB69:AM77">
    <cfRule type="expression" dxfId="239" priority="194" stopIfTrue="1">
      <formula>$A69=1</formula>
    </cfRule>
    <cfRule type="expression" dxfId="238" priority="195" stopIfTrue="1">
      <formula>$A69&lt;&gt;"S"</formula>
    </cfRule>
  </conditionalFormatting>
  <conditionalFormatting sqref="D78:O86 T78:Z86">
    <cfRule type="expression" dxfId="237" priority="186" stopIfTrue="1">
      <formula>OR(ACOMPANHAMENTO="PLE",TIPOORCAMENTO="Proposto",$L78&lt;0,AND($L78&gt;100,RegimeExecucao="Global"),$O78&gt;$I78,$O78&lt;0)</formula>
    </cfRule>
    <cfRule type="expression" dxfId="236" priority="187" stopIfTrue="1">
      <formula>$A78=1</formula>
    </cfRule>
    <cfRule type="expression" dxfId="235" priority="188" stopIfTrue="1">
      <formula>$A78&lt;&gt;"S"</formula>
    </cfRule>
  </conditionalFormatting>
  <conditionalFormatting sqref="Q78:R86 AB78:AM86">
    <cfRule type="expression" dxfId="234" priority="189" stopIfTrue="1">
      <formula>$A78=1</formula>
    </cfRule>
    <cfRule type="expression" dxfId="233" priority="190" stopIfTrue="1">
      <formula>$A78&lt;&gt;"S"</formula>
    </cfRule>
  </conditionalFormatting>
  <conditionalFormatting sqref="D87:O95 T87:Z95">
    <cfRule type="expression" dxfId="232" priority="181" stopIfTrue="1">
      <formula>OR(ACOMPANHAMENTO="PLE",TIPOORCAMENTO="Proposto",$L87&lt;0,AND($L87&gt;100,RegimeExecucao="Global"),$O87&gt;$I87,$O87&lt;0)</formula>
    </cfRule>
    <cfRule type="expression" dxfId="231" priority="182" stopIfTrue="1">
      <formula>$A87=1</formula>
    </cfRule>
    <cfRule type="expression" dxfId="230" priority="183" stopIfTrue="1">
      <formula>$A87&lt;&gt;"S"</formula>
    </cfRule>
  </conditionalFormatting>
  <conditionalFormatting sqref="Q87:R95 AB87:AM95">
    <cfRule type="expression" dxfId="229" priority="184" stopIfTrue="1">
      <formula>$A87=1</formula>
    </cfRule>
    <cfRule type="expression" dxfId="228" priority="185" stopIfTrue="1">
      <formula>$A87&lt;&gt;"S"</formula>
    </cfRule>
  </conditionalFormatting>
  <conditionalFormatting sqref="D96:O104 T96:Z104">
    <cfRule type="expression" dxfId="227" priority="176" stopIfTrue="1">
      <formula>OR(ACOMPANHAMENTO="PLE",TIPOORCAMENTO="Proposto",$L96&lt;0,AND($L96&gt;100,RegimeExecucao="Global"),$O96&gt;$I96,$O96&lt;0)</formula>
    </cfRule>
    <cfRule type="expression" dxfId="226" priority="177" stopIfTrue="1">
      <formula>$A96=1</formula>
    </cfRule>
    <cfRule type="expression" dxfId="225" priority="178" stopIfTrue="1">
      <formula>$A96&lt;&gt;"S"</formula>
    </cfRule>
  </conditionalFormatting>
  <conditionalFormatting sqref="Q96:R104 AB96:AM104">
    <cfRule type="expression" dxfId="224" priority="179" stopIfTrue="1">
      <formula>$A96=1</formula>
    </cfRule>
    <cfRule type="expression" dxfId="223" priority="180" stopIfTrue="1">
      <formula>$A96&lt;&gt;"S"</formula>
    </cfRule>
  </conditionalFormatting>
  <conditionalFormatting sqref="D105:O113 T105:Z113">
    <cfRule type="expression" dxfId="222" priority="171" stopIfTrue="1">
      <formula>OR(ACOMPANHAMENTO="PLE",TIPOORCAMENTO="Proposto",$L105&lt;0,AND($L105&gt;100,RegimeExecucao="Global"),$O105&gt;$I105,$O105&lt;0)</formula>
    </cfRule>
    <cfRule type="expression" dxfId="221" priority="172" stopIfTrue="1">
      <formula>$A105=1</formula>
    </cfRule>
    <cfRule type="expression" dxfId="220" priority="173" stopIfTrue="1">
      <formula>$A105&lt;&gt;"S"</formula>
    </cfRule>
  </conditionalFormatting>
  <conditionalFormatting sqref="Q105:R113 AB105:AM113">
    <cfRule type="expression" dxfId="219" priority="174" stopIfTrue="1">
      <formula>$A105=1</formula>
    </cfRule>
    <cfRule type="expression" dxfId="218" priority="175" stopIfTrue="1">
      <formula>$A105&lt;&gt;"S"</formula>
    </cfRule>
  </conditionalFormatting>
  <conditionalFormatting sqref="D114:O122 T114:Z122">
    <cfRule type="expression" dxfId="217" priority="166" stopIfTrue="1">
      <formula>OR(ACOMPANHAMENTO="PLE",TIPOORCAMENTO="Proposto",$L114&lt;0,AND($L114&gt;100,RegimeExecucao="Global"),$O114&gt;$I114,$O114&lt;0)</formula>
    </cfRule>
    <cfRule type="expression" dxfId="216" priority="167" stopIfTrue="1">
      <formula>$A114=1</formula>
    </cfRule>
    <cfRule type="expression" dxfId="215" priority="168" stopIfTrue="1">
      <formula>$A114&lt;&gt;"S"</formula>
    </cfRule>
  </conditionalFormatting>
  <conditionalFormatting sqref="Q114:R122 AB114:AM122">
    <cfRule type="expression" dxfId="214" priority="169" stopIfTrue="1">
      <formula>$A114=1</formula>
    </cfRule>
    <cfRule type="expression" dxfId="213" priority="170" stopIfTrue="1">
      <formula>$A114&lt;&gt;"S"</formula>
    </cfRule>
  </conditionalFormatting>
  <conditionalFormatting sqref="D123:O131 T123:Z131">
    <cfRule type="expression" dxfId="212" priority="161" stopIfTrue="1">
      <formula>OR(ACOMPANHAMENTO="PLE",TIPOORCAMENTO="Proposto",$L123&lt;0,AND($L123&gt;100,RegimeExecucao="Global"),$O123&gt;$I123,$O123&lt;0)</formula>
    </cfRule>
    <cfRule type="expression" dxfId="211" priority="162" stopIfTrue="1">
      <formula>$A123=1</formula>
    </cfRule>
    <cfRule type="expression" dxfId="210" priority="163" stopIfTrue="1">
      <formula>$A123&lt;&gt;"S"</formula>
    </cfRule>
  </conditionalFormatting>
  <conditionalFormatting sqref="Q123:R131 AB123:AM131">
    <cfRule type="expression" dxfId="209" priority="164" stopIfTrue="1">
      <formula>$A123=1</formula>
    </cfRule>
    <cfRule type="expression" dxfId="208" priority="165" stopIfTrue="1">
      <formula>$A123&lt;&gt;"S"</formula>
    </cfRule>
  </conditionalFormatting>
  <conditionalFormatting sqref="D132:O140 T132:Z140">
    <cfRule type="expression" dxfId="207" priority="156" stopIfTrue="1">
      <formula>OR(ACOMPANHAMENTO="PLE",TIPOORCAMENTO="Proposto",$L132&lt;0,AND($L132&gt;100,RegimeExecucao="Global"),$O132&gt;$I132,$O132&lt;0)</formula>
    </cfRule>
    <cfRule type="expression" dxfId="206" priority="157" stopIfTrue="1">
      <formula>$A132=1</formula>
    </cfRule>
    <cfRule type="expression" dxfId="205" priority="158" stopIfTrue="1">
      <formula>$A132&lt;&gt;"S"</formula>
    </cfRule>
  </conditionalFormatting>
  <conditionalFormatting sqref="Q132:R140 AB132:AM140">
    <cfRule type="expression" dxfId="204" priority="159" stopIfTrue="1">
      <formula>$A132=1</formula>
    </cfRule>
    <cfRule type="expression" dxfId="203" priority="160" stopIfTrue="1">
      <formula>$A132&lt;&gt;"S"</formula>
    </cfRule>
  </conditionalFormatting>
  <conditionalFormatting sqref="D141:O149 T141:Z149">
    <cfRule type="expression" dxfId="202" priority="151" stopIfTrue="1">
      <formula>OR(ACOMPANHAMENTO="PLE",TIPOORCAMENTO="Proposto",$L141&lt;0,AND($L141&gt;100,RegimeExecucao="Global"),$O141&gt;$I141,$O141&lt;0)</formula>
    </cfRule>
    <cfRule type="expression" dxfId="201" priority="152" stopIfTrue="1">
      <formula>$A141=1</formula>
    </cfRule>
    <cfRule type="expression" dxfId="200" priority="153" stopIfTrue="1">
      <formula>$A141&lt;&gt;"S"</formula>
    </cfRule>
  </conditionalFormatting>
  <conditionalFormatting sqref="Q141:R149 AB141:AM149">
    <cfRule type="expression" dxfId="199" priority="154" stopIfTrue="1">
      <formula>$A141=1</formula>
    </cfRule>
    <cfRule type="expression" dxfId="198" priority="155" stopIfTrue="1">
      <formula>$A141&lt;&gt;"S"</formula>
    </cfRule>
  </conditionalFormatting>
  <conditionalFormatting sqref="D150:O158 T150:Z158">
    <cfRule type="expression" dxfId="197" priority="146" stopIfTrue="1">
      <formula>OR(ACOMPANHAMENTO="PLE",TIPOORCAMENTO="Proposto",$L150&lt;0,AND($L150&gt;100,RegimeExecucao="Global"),$O150&gt;$I150,$O150&lt;0)</formula>
    </cfRule>
    <cfRule type="expression" dxfId="196" priority="147" stopIfTrue="1">
      <formula>$A150=1</formula>
    </cfRule>
    <cfRule type="expression" dxfId="195" priority="148" stopIfTrue="1">
      <formula>$A150&lt;&gt;"S"</formula>
    </cfRule>
  </conditionalFormatting>
  <conditionalFormatting sqref="Q150:R158 AB150:AM158">
    <cfRule type="expression" dxfId="194" priority="149" stopIfTrue="1">
      <formula>$A150=1</formula>
    </cfRule>
    <cfRule type="expression" dxfId="193" priority="150" stopIfTrue="1">
      <formula>$A150&lt;&gt;"S"</formula>
    </cfRule>
  </conditionalFormatting>
  <conditionalFormatting sqref="D159:O167 T159:Z167">
    <cfRule type="expression" dxfId="192" priority="141" stopIfTrue="1">
      <formula>OR(ACOMPANHAMENTO="PLE",TIPOORCAMENTO="Proposto",$L159&lt;0,AND($L159&gt;100,RegimeExecucao="Global"),$O159&gt;$I159,$O159&lt;0)</formula>
    </cfRule>
    <cfRule type="expression" dxfId="191" priority="142" stopIfTrue="1">
      <formula>$A159=1</formula>
    </cfRule>
    <cfRule type="expression" dxfId="190" priority="143" stopIfTrue="1">
      <formula>$A159&lt;&gt;"S"</formula>
    </cfRule>
  </conditionalFormatting>
  <conditionalFormatting sqref="Q159:R167 AB159:AM167">
    <cfRule type="expression" dxfId="189" priority="144" stopIfTrue="1">
      <formula>$A159=1</formula>
    </cfRule>
    <cfRule type="expression" dxfId="188" priority="145" stopIfTrue="1">
      <formula>$A159&lt;&gt;"S"</formula>
    </cfRule>
  </conditionalFormatting>
  <conditionalFormatting sqref="D168:O176 T168:Z176">
    <cfRule type="expression" dxfId="187" priority="136" stopIfTrue="1">
      <formula>OR(ACOMPANHAMENTO="PLE",TIPOORCAMENTO="Proposto",$L168&lt;0,AND($L168&gt;100,RegimeExecucao="Global"),$O168&gt;$I168,$O168&lt;0)</formula>
    </cfRule>
    <cfRule type="expression" dxfId="186" priority="137" stopIfTrue="1">
      <formula>$A168=1</formula>
    </cfRule>
    <cfRule type="expression" dxfId="185" priority="138" stopIfTrue="1">
      <formula>$A168&lt;&gt;"S"</formula>
    </cfRule>
  </conditionalFormatting>
  <conditionalFormatting sqref="Q168:R176 AB168:AM176">
    <cfRule type="expression" dxfId="184" priority="139" stopIfTrue="1">
      <formula>$A168=1</formula>
    </cfRule>
    <cfRule type="expression" dxfId="183" priority="140" stopIfTrue="1">
      <formula>$A168&lt;&gt;"S"</formula>
    </cfRule>
  </conditionalFormatting>
  <conditionalFormatting sqref="D177:O185 T177:Z185">
    <cfRule type="expression" dxfId="182" priority="131" stopIfTrue="1">
      <formula>OR(ACOMPANHAMENTO="PLE",TIPOORCAMENTO="Proposto",$L177&lt;0,AND($L177&gt;100,RegimeExecucao="Global"),$O177&gt;$I177,$O177&lt;0)</formula>
    </cfRule>
    <cfRule type="expression" dxfId="181" priority="132" stopIfTrue="1">
      <formula>$A177=1</formula>
    </cfRule>
    <cfRule type="expression" dxfId="180" priority="133" stopIfTrue="1">
      <formula>$A177&lt;&gt;"S"</formula>
    </cfRule>
  </conditionalFormatting>
  <conditionalFormatting sqref="Q177:R185 AB177:AM185">
    <cfRule type="expression" dxfId="179" priority="134" stopIfTrue="1">
      <formula>$A177=1</formula>
    </cfRule>
    <cfRule type="expression" dxfId="178" priority="135" stopIfTrue="1">
      <formula>$A177&lt;&gt;"S"</formula>
    </cfRule>
  </conditionalFormatting>
  <conditionalFormatting sqref="D186:O194 T186:Z194">
    <cfRule type="expression" dxfId="177" priority="126" stopIfTrue="1">
      <formula>OR(ACOMPANHAMENTO="PLE",TIPOORCAMENTO="Proposto",$L186&lt;0,AND($L186&gt;100,RegimeExecucao="Global"),$O186&gt;$I186,$O186&lt;0)</formula>
    </cfRule>
    <cfRule type="expression" dxfId="176" priority="127" stopIfTrue="1">
      <formula>$A186=1</formula>
    </cfRule>
    <cfRule type="expression" dxfId="175" priority="128" stopIfTrue="1">
      <formula>$A186&lt;&gt;"S"</formula>
    </cfRule>
  </conditionalFormatting>
  <conditionalFormatting sqref="Q186:R194 AB186:AM194">
    <cfRule type="expression" dxfId="174" priority="129" stopIfTrue="1">
      <formula>$A186=1</formula>
    </cfRule>
    <cfRule type="expression" dxfId="173" priority="130" stopIfTrue="1">
      <formula>$A186&lt;&gt;"S"</formula>
    </cfRule>
  </conditionalFormatting>
  <conditionalFormatting sqref="D195:O203 T195:Z203">
    <cfRule type="expression" dxfId="172" priority="121" stopIfTrue="1">
      <formula>OR(ACOMPANHAMENTO="PLE",TIPOORCAMENTO="Proposto",$L195&lt;0,AND($L195&gt;100,RegimeExecucao="Global"),$O195&gt;$I195,$O195&lt;0)</formula>
    </cfRule>
    <cfRule type="expression" dxfId="171" priority="122" stopIfTrue="1">
      <formula>$A195=1</formula>
    </cfRule>
    <cfRule type="expression" dxfId="170" priority="123" stopIfTrue="1">
      <formula>$A195&lt;&gt;"S"</formula>
    </cfRule>
  </conditionalFormatting>
  <conditionalFormatting sqref="Q195:R203 AB195:AM203">
    <cfRule type="expression" dxfId="169" priority="124" stopIfTrue="1">
      <formula>$A195=1</formula>
    </cfRule>
    <cfRule type="expression" dxfId="168" priority="125" stopIfTrue="1">
      <formula>$A195&lt;&gt;"S"</formula>
    </cfRule>
  </conditionalFormatting>
  <conditionalFormatting sqref="D204:O212 T204:Z212">
    <cfRule type="expression" dxfId="167" priority="116" stopIfTrue="1">
      <formula>OR(ACOMPANHAMENTO="PLE",TIPOORCAMENTO="Proposto",$L204&lt;0,AND($L204&gt;100,RegimeExecucao="Global"),$O204&gt;$I204,$O204&lt;0)</formula>
    </cfRule>
    <cfRule type="expression" dxfId="166" priority="117" stopIfTrue="1">
      <formula>$A204=1</formula>
    </cfRule>
    <cfRule type="expression" dxfId="165" priority="118" stopIfTrue="1">
      <formula>$A204&lt;&gt;"S"</formula>
    </cfRule>
  </conditionalFormatting>
  <conditionalFormatting sqref="Q204:R212 AB204:AM212">
    <cfRule type="expression" dxfId="164" priority="119" stopIfTrue="1">
      <formula>$A204=1</formula>
    </cfRule>
    <cfRule type="expression" dxfId="163" priority="120" stopIfTrue="1">
      <formula>$A204&lt;&gt;"S"</formula>
    </cfRule>
  </conditionalFormatting>
  <conditionalFormatting sqref="D213:O221 T213:Z221">
    <cfRule type="expression" dxfId="162" priority="111" stopIfTrue="1">
      <formula>OR(ACOMPANHAMENTO="PLE",TIPOORCAMENTO="Proposto",$L213&lt;0,AND($L213&gt;100,RegimeExecucao="Global"),$O213&gt;$I213,$O213&lt;0)</formula>
    </cfRule>
    <cfRule type="expression" dxfId="161" priority="112" stopIfTrue="1">
      <formula>$A213=1</formula>
    </cfRule>
    <cfRule type="expression" dxfId="160" priority="113" stopIfTrue="1">
      <formula>$A213&lt;&gt;"S"</formula>
    </cfRule>
  </conditionalFormatting>
  <conditionalFormatting sqref="Q213:R221 AB213:AM221">
    <cfRule type="expression" dxfId="159" priority="114" stopIfTrue="1">
      <formula>$A213=1</formula>
    </cfRule>
    <cfRule type="expression" dxfId="158" priority="115" stopIfTrue="1">
      <formula>$A213&lt;&gt;"S"</formula>
    </cfRule>
  </conditionalFormatting>
  <conditionalFormatting sqref="D222:O230 T222:Z230">
    <cfRule type="expression" dxfId="157" priority="106" stopIfTrue="1">
      <formula>OR(ACOMPANHAMENTO="PLE",TIPOORCAMENTO="Proposto",$L222&lt;0,AND($L222&gt;100,RegimeExecucao="Global"),$O222&gt;$I222,$O222&lt;0)</formula>
    </cfRule>
    <cfRule type="expression" dxfId="156" priority="107" stopIfTrue="1">
      <formula>$A222=1</formula>
    </cfRule>
    <cfRule type="expression" dxfId="155" priority="108" stopIfTrue="1">
      <formula>$A222&lt;&gt;"S"</formula>
    </cfRule>
  </conditionalFormatting>
  <conditionalFormatting sqref="Q222:R230 AB222:AM230">
    <cfRule type="expression" dxfId="154" priority="109" stopIfTrue="1">
      <formula>$A222=1</formula>
    </cfRule>
    <cfRule type="expression" dxfId="153" priority="110" stopIfTrue="1">
      <formula>$A222&lt;&gt;"S"</formula>
    </cfRule>
  </conditionalFormatting>
  <conditionalFormatting sqref="D231:O239 T231:Z239">
    <cfRule type="expression" dxfId="152" priority="101" stopIfTrue="1">
      <formula>OR(ACOMPANHAMENTO="PLE",TIPOORCAMENTO="Proposto",$L231&lt;0,AND($L231&gt;100,RegimeExecucao="Global"),$O231&gt;$I231,$O231&lt;0)</formula>
    </cfRule>
    <cfRule type="expression" dxfId="151" priority="102" stopIfTrue="1">
      <formula>$A231=1</formula>
    </cfRule>
    <cfRule type="expression" dxfId="150" priority="103" stopIfTrue="1">
      <formula>$A231&lt;&gt;"S"</formula>
    </cfRule>
  </conditionalFormatting>
  <conditionalFormatting sqref="Q231:R239 AB231:AM239">
    <cfRule type="expression" dxfId="149" priority="104" stopIfTrue="1">
      <formula>$A231=1</formula>
    </cfRule>
    <cfRule type="expression" dxfId="148" priority="105" stopIfTrue="1">
      <formula>$A231&lt;&gt;"S"</formula>
    </cfRule>
  </conditionalFormatting>
  <conditionalFormatting sqref="D240:O248 T240:Z248">
    <cfRule type="expression" dxfId="147" priority="96" stopIfTrue="1">
      <formula>OR(ACOMPANHAMENTO="PLE",TIPOORCAMENTO="Proposto",$L240&lt;0,AND($L240&gt;100,RegimeExecucao="Global"),$O240&gt;$I240,$O240&lt;0)</formula>
    </cfRule>
    <cfRule type="expression" dxfId="146" priority="97" stopIfTrue="1">
      <formula>$A240=1</formula>
    </cfRule>
    <cfRule type="expression" dxfId="145" priority="98" stopIfTrue="1">
      <formula>$A240&lt;&gt;"S"</formula>
    </cfRule>
  </conditionalFormatting>
  <conditionalFormatting sqref="Q240:R248 AB240:AM248">
    <cfRule type="expression" dxfId="144" priority="99" stopIfTrue="1">
      <formula>$A240=1</formula>
    </cfRule>
    <cfRule type="expression" dxfId="143" priority="100" stopIfTrue="1">
      <formula>$A240&lt;&gt;"S"</formula>
    </cfRule>
  </conditionalFormatting>
  <conditionalFormatting sqref="D249:O252 T249:Z252 T254:Z258 D254:O258">
    <cfRule type="expression" dxfId="142" priority="91" stopIfTrue="1">
      <formula>OR(ACOMPANHAMENTO="PLE",TIPOORCAMENTO="Proposto",$L249&lt;0,AND($L249&gt;100,RegimeExecucao="Global"),$O249&gt;$I249,$O249&lt;0)</formula>
    </cfRule>
    <cfRule type="expression" dxfId="141" priority="92" stopIfTrue="1">
      <formula>$A249=1</formula>
    </cfRule>
    <cfRule type="expression" dxfId="140" priority="93" stopIfTrue="1">
      <formula>$A249&lt;&gt;"S"</formula>
    </cfRule>
  </conditionalFormatting>
  <conditionalFormatting sqref="Q249:R252 AB249:AM252 AB254:AM258 Q254:R258">
    <cfRule type="expression" dxfId="139" priority="94" stopIfTrue="1">
      <formula>$A249=1</formula>
    </cfRule>
    <cfRule type="expression" dxfId="138" priority="95" stopIfTrue="1">
      <formula>$A249&lt;&gt;"S"</formula>
    </cfRule>
  </conditionalFormatting>
  <conditionalFormatting sqref="D259:O267 T259:Z267">
    <cfRule type="expression" dxfId="137" priority="86" stopIfTrue="1">
      <formula>OR(ACOMPANHAMENTO="PLE",TIPOORCAMENTO="Proposto",$L259&lt;0,AND($L259&gt;100,RegimeExecucao="Global"),$O259&gt;$I259,$O259&lt;0)</formula>
    </cfRule>
    <cfRule type="expression" dxfId="136" priority="87" stopIfTrue="1">
      <formula>$A259=1</formula>
    </cfRule>
    <cfRule type="expression" dxfId="135" priority="88" stopIfTrue="1">
      <formula>$A259&lt;&gt;"S"</formula>
    </cfRule>
  </conditionalFormatting>
  <conditionalFormatting sqref="Q259:R267 AB259:AM267">
    <cfRule type="expression" dxfId="134" priority="89" stopIfTrue="1">
      <formula>$A259=1</formula>
    </cfRule>
    <cfRule type="expression" dxfId="133" priority="90" stopIfTrue="1">
      <formula>$A259&lt;&gt;"S"</formula>
    </cfRule>
  </conditionalFormatting>
  <conditionalFormatting sqref="D268:O276 T268:Z276">
    <cfRule type="expression" dxfId="132" priority="81" stopIfTrue="1">
      <formula>OR(ACOMPANHAMENTO="PLE",TIPOORCAMENTO="Proposto",$L268&lt;0,AND($L268&gt;100,RegimeExecucao="Global"),$O268&gt;$I268,$O268&lt;0)</formula>
    </cfRule>
    <cfRule type="expression" dxfId="131" priority="82" stopIfTrue="1">
      <formula>$A268=1</formula>
    </cfRule>
    <cfRule type="expression" dxfId="130" priority="83" stopIfTrue="1">
      <formula>$A268&lt;&gt;"S"</formula>
    </cfRule>
  </conditionalFormatting>
  <conditionalFormatting sqref="Q268:R276 AB268:AM276">
    <cfRule type="expression" dxfId="129" priority="84" stopIfTrue="1">
      <formula>$A268=1</formula>
    </cfRule>
    <cfRule type="expression" dxfId="128" priority="85" stopIfTrue="1">
      <formula>$A268&lt;&gt;"S"</formula>
    </cfRule>
  </conditionalFormatting>
  <conditionalFormatting sqref="D277:O285 T277:Z285">
    <cfRule type="expression" dxfId="127" priority="76" stopIfTrue="1">
      <formula>OR(ACOMPANHAMENTO="PLE",TIPOORCAMENTO="Proposto",$L277&lt;0,AND($L277&gt;100,RegimeExecucao="Global"),$O277&gt;$I277,$O277&lt;0)</formula>
    </cfRule>
    <cfRule type="expression" dxfId="126" priority="77" stopIfTrue="1">
      <formula>$A277=1</formula>
    </cfRule>
    <cfRule type="expression" dxfId="125" priority="78" stopIfTrue="1">
      <formula>$A277&lt;&gt;"S"</formula>
    </cfRule>
  </conditionalFormatting>
  <conditionalFormatting sqref="Q277:R285 AB277:AM285">
    <cfRule type="expression" dxfId="124" priority="79" stopIfTrue="1">
      <formula>$A277=1</formula>
    </cfRule>
    <cfRule type="expression" dxfId="123" priority="80" stopIfTrue="1">
      <formula>$A277&lt;&gt;"S"</formula>
    </cfRule>
  </conditionalFormatting>
  <conditionalFormatting sqref="D286:O294 T286:Z294">
    <cfRule type="expression" dxfId="122" priority="71" stopIfTrue="1">
      <formula>OR(ACOMPANHAMENTO="PLE",TIPOORCAMENTO="Proposto",$L286&lt;0,AND($L286&gt;100,RegimeExecucao="Global"),$O286&gt;$I286,$O286&lt;0)</formula>
    </cfRule>
    <cfRule type="expression" dxfId="121" priority="72" stopIfTrue="1">
      <formula>$A286=1</formula>
    </cfRule>
    <cfRule type="expression" dxfId="120" priority="73" stopIfTrue="1">
      <formula>$A286&lt;&gt;"S"</formula>
    </cfRule>
  </conditionalFormatting>
  <conditionalFormatting sqref="Q286:R294 AB286:AM294">
    <cfRule type="expression" dxfId="119" priority="74" stopIfTrue="1">
      <formula>$A286=1</formula>
    </cfRule>
    <cfRule type="expression" dxfId="118" priority="75" stopIfTrue="1">
      <formula>$A286&lt;&gt;"S"</formula>
    </cfRule>
  </conditionalFormatting>
  <conditionalFormatting sqref="D295:O303 T295:Z303">
    <cfRule type="expression" dxfId="117" priority="66" stopIfTrue="1">
      <formula>OR(ACOMPANHAMENTO="PLE",TIPOORCAMENTO="Proposto",$L295&lt;0,AND($L295&gt;100,RegimeExecucao="Global"),$O295&gt;$I295,$O295&lt;0)</formula>
    </cfRule>
    <cfRule type="expression" dxfId="116" priority="67" stopIfTrue="1">
      <formula>$A295=1</formula>
    </cfRule>
    <cfRule type="expression" dxfId="115" priority="68" stopIfTrue="1">
      <formula>$A295&lt;&gt;"S"</formula>
    </cfRule>
  </conditionalFormatting>
  <conditionalFormatting sqref="Q295:R303 AB295:AM303">
    <cfRule type="expression" dxfId="114" priority="69" stopIfTrue="1">
      <formula>$A295=1</formula>
    </cfRule>
    <cfRule type="expression" dxfId="113" priority="70" stopIfTrue="1">
      <formula>$A295&lt;&gt;"S"</formula>
    </cfRule>
  </conditionalFormatting>
  <conditionalFormatting sqref="D304:O312 T304:Z312">
    <cfRule type="expression" dxfId="112" priority="61" stopIfTrue="1">
      <formula>OR(ACOMPANHAMENTO="PLE",TIPOORCAMENTO="Proposto",$L304&lt;0,AND($L304&gt;100,RegimeExecucao="Global"),$O304&gt;$I304,$O304&lt;0)</formula>
    </cfRule>
    <cfRule type="expression" dxfId="111" priority="62" stopIfTrue="1">
      <formula>$A304=1</formula>
    </cfRule>
    <cfRule type="expression" dxfId="110" priority="63" stopIfTrue="1">
      <formula>$A304&lt;&gt;"S"</formula>
    </cfRule>
  </conditionalFormatting>
  <conditionalFormatting sqref="Q304:R312 AB304:AM312">
    <cfRule type="expression" dxfId="109" priority="64" stopIfTrue="1">
      <formula>$A304=1</formula>
    </cfRule>
    <cfRule type="expression" dxfId="108" priority="65" stopIfTrue="1">
      <formula>$A304&lt;&gt;"S"</formula>
    </cfRule>
  </conditionalFormatting>
  <conditionalFormatting sqref="D313:O321 T313:Z321">
    <cfRule type="expression" dxfId="107" priority="56" stopIfTrue="1">
      <formula>OR(ACOMPANHAMENTO="PLE",TIPOORCAMENTO="Proposto",$L313&lt;0,AND($L313&gt;100,RegimeExecucao="Global"),$O313&gt;$I313,$O313&lt;0)</formula>
    </cfRule>
    <cfRule type="expression" dxfId="106" priority="57" stopIfTrue="1">
      <formula>$A313=1</formula>
    </cfRule>
    <cfRule type="expression" dxfId="105" priority="58" stopIfTrue="1">
      <formula>$A313&lt;&gt;"S"</formula>
    </cfRule>
  </conditionalFormatting>
  <conditionalFormatting sqref="Q313:R321 AB313:AM321">
    <cfRule type="expression" dxfId="104" priority="59" stopIfTrue="1">
      <formula>$A313=1</formula>
    </cfRule>
    <cfRule type="expression" dxfId="103" priority="60" stopIfTrue="1">
      <formula>$A313&lt;&gt;"S"</formula>
    </cfRule>
  </conditionalFormatting>
  <conditionalFormatting sqref="D322:O330 T322:Z330">
    <cfRule type="expression" dxfId="102" priority="51" stopIfTrue="1">
      <formula>OR(ACOMPANHAMENTO="PLE",TIPOORCAMENTO="Proposto",$L322&lt;0,AND($L322&gt;100,RegimeExecucao="Global"),$O322&gt;$I322,$O322&lt;0)</formula>
    </cfRule>
    <cfRule type="expression" dxfId="101" priority="52" stopIfTrue="1">
      <formula>$A322=1</formula>
    </cfRule>
    <cfRule type="expression" dxfId="100" priority="53" stopIfTrue="1">
      <formula>$A322&lt;&gt;"S"</formula>
    </cfRule>
  </conditionalFormatting>
  <conditionalFormatting sqref="Q322:R330 AB322:AM330">
    <cfRule type="expression" dxfId="99" priority="54" stopIfTrue="1">
      <formula>$A322=1</formula>
    </cfRule>
    <cfRule type="expression" dxfId="98" priority="55" stopIfTrue="1">
      <formula>$A322&lt;&gt;"S"</formula>
    </cfRule>
  </conditionalFormatting>
  <conditionalFormatting sqref="D331:O339 T331:Z339">
    <cfRule type="expression" dxfId="97" priority="46" stopIfTrue="1">
      <formula>OR(ACOMPANHAMENTO="PLE",TIPOORCAMENTO="Proposto",$L331&lt;0,AND($L331&gt;100,RegimeExecucao="Global"),$O331&gt;$I331,$O331&lt;0)</formula>
    </cfRule>
    <cfRule type="expression" dxfId="96" priority="47" stopIfTrue="1">
      <formula>$A331=1</formula>
    </cfRule>
    <cfRule type="expression" dxfId="95" priority="48" stopIfTrue="1">
      <formula>$A331&lt;&gt;"S"</formula>
    </cfRule>
  </conditionalFormatting>
  <conditionalFormatting sqref="Q331:R339 AB331:AM339">
    <cfRule type="expression" dxfId="94" priority="49" stopIfTrue="1">
      <formula>$A331=1</formula>
    </cfRule>
    <cfRule type="expression" dxfId="93" priority="50" stopIfTrue="1">
      <formula>$A331&lt;&gt;"S"</formula>
    </cfRule>
  </conditionalFormatting>
  <conditionalFormatting sqref="D340:O348 T340:Z348">
    <cfRule type="expression" dxfId="92" priority="41" stopIfTrue="1">
      <formula>OR(ACOMPANHAMENTO="PLE",TIPOORCAMENTO="Proposto",$L340&lt;0,AND($L340&gt;100,RegimeExecucao="Global"),$O340&gt;$I340,$O340&lt;0)</formula>
    </cfRule>
    <cfRule type="expression" dxfId="91" priority="42" stopIfTrue="1">
      <formula>$A340=1</formula>
    </cfRule>
    <cfRule type="expression" dxfId="90" priority="43" stopIfTrue="1">
      <formula>$A340&lt;&gt;"S"</formula>
    </cfRule>
  </conditionalFormatting>
  <conditionalFormatting sqref="Q340:R348 AB340:AM348">
    <cfRule type="expression" dxfId="89" priority="44" stopIfTrue="1">
      <formula>$A340=1</formula>
    </cfRule>
    <cfRule type="expression" dxfId="88" priority="45" stopIfTrue="1">
      <formula>$A340&lt;&gt;"S"</formula>
    </cfRule>
  </conditionalFormatting>
  <conditionalFormatting sqref="D349:O357 T349:Z357">
    <cfRule type="expression" dxfId="87" priority="36" stopIfTrue="1">
      <formula>OR(ACOMPANHAMENTO="PLE",TIPOORCAMENTO="Proposto",$L349&lt;0,AND($L349&gt;100,RegimeExecucao="Global"),$O349&gt;$I349,$O349&lt;0)</formula>
    </cfRule>
    <cfRule type="expression" dxfId="86" priority="37" stopIfTrue="1">
      <formula>$A349=1</formula>
    </cfRule>
    <cfRule type="expression" dxfId="85" priority="38" stopIfTrue="1">
      <formula>$A349&lt;&gt;"S"</formula>
    </cfRule>
  </conditionalFormatting>
  <conditionalFormatting sqref="Q349:R357 AB349:AM357">
    <cfRule type="expression" dxfId="84" priority="39" stopIfTrue="1">
      <formula>$A349=1</formula>
    </cfRule>
    <cfRule type="expression" dxfId="83" priority="40" stopIfTrue="1">
      <formula>$A349&lt;&gt;"S"</formula>
    </cfRule>
  </conditionalFormatting>
  <conditionalFormatting sqref="D358:O366 T358:Z366">
    <cfRule type="expression" dxfId="82" priority="31" stopIfTrue="1">
      <formula>OR(ACOMPANHAMENTO="PLE",TIPOORCAMENTO="Proposto",$L358&lt;0,AND($L358&gt;100,RegimeExecucao="Global"),$O358&gt;$I358,$O358&lt;0)</formula>
    </cfRule>
    <cfRule type="expression" dxfId="81" priority="32" stopIfTrue="1">
      <formula>$A358=1</formula>
    </cfRule>
    <cfRule type="expression" dxfId="80" priority="33" stopIfTrue="1">
      <formula>$A358&lt;&gt;"S"</formula>
    </cfRule>
  </conditionalFormatting>
  <conditionalFormatting sqref="Q358:R366 AB358:AM366">
    <cfRule type="expression" dxfId="79" priority="34" stopIfTrue="1">
      <formula>$A358=1</formula>
    </cfRule>
    <cfRule type="expression" dxfId="78" priority="35" stopIfTrue="1">
      <formula>$A358&lt;&gt;"S"</formula>
    </cfRule>
  </conditionalFormatting>
  <conditionalFormatting sqref="D367:O375 T367:Z375">
    <cfRule type="expression" dxfId="77" priority="26" stopIfTrue="1">
      <formula>OR(ACOMPANHAMENTO="PLE",TIPOORCAMENTO="Proposto",$L367&lt;0,AND($L367&gt;100,RegimeExecucao="Global"),$O367&gt;$I367,$O367&lt;0)</formula>
    </cfRule>
    <cfRule type="expression" dxfId="76" priority="27" stopIfTrue="1">
      <formula>$A367=1</formula>
    </cfRule>
    <cfRule type="expression" dxfId="75" priority="28" stopIfTrue="1">
      <formula>$A367&lt;&gt;"S"</formula>
    </cfRule>
  </conditionalFormatting>
  <conditionalFormatting sqref="Q367:R375 AB367:AM375">
    <cfRule type="expression" dxfId="74" priority="29" stopIfTrue="1">
      <formula>$A367=1</formula>
    </cfRule>
    <cfRule type="expression" dxfId="73" priority="30" stopIfTrue="1">
      <formula>$A367&lt;&gt;"S"</formula>
    </cfRule>
  </conditionalFormatting>
  <conditionalFormatting sqref="D376:O384 T376:Z384">
    <cfRule type="expression" dxfId="72" priority="21" stopIfTrue="1">
      <formula>OR(ACOMPANHAMENTO="PLE",TIPOORCAMENTO="Proposto",$L376&lt;0,AND($L376&gt;100,RegimeExecucao="Global"),$O376&gt;$I376,$O376&lt;0)</formula>
    </cfRule>
    <cfRule type="expression" dxfId="71" priority="22" stopIfTrue="1">
      <formula>$A376=1</formula>
    </cfRule>
    <cfRule type="expression" dxfId="70" priority="23" stopIfTrue="1">
      <formula>$A376&lt;&gt;"S"</formula>
    </cfRule>
  </conditionalFormatting>
  <conditionalFormatting sqref="Q376:R384 AB376:AM384">
    <cfRule type="expression" dxfId="69" priority="24" stopIfTrue="1">
      <formula>$A376=1</formula>
    </cfRule>
    <cfRule type="expression" dxfId="68" priority="25" stopIfTrue="1">
      <formula>$A376&lt;&gt;"S"</formula>
    </cfRule>
  </conditionalFormatting>
  <conditionalFormatting sqref="D385:O393 T385:Z393">
    <cfRule type="expression" dxfId="67" priority="16" stopIfTrue="1">
      <formula>OR(ACOMPANHAMENTO="PLE",TIPOORCAMENTO="Proposto",$L385&lt;0,AND($L385&gt;100,RegimeExecucao="Global"),$O385&gt;$I385,$O385&lt;0)</formula>
    </cfRule>
    <cfRule type="expression" dxfId="66" priority="17" stopIfTrue="1">
      <formula>$A385=1</formula>
    </cfRule>
    <cfRule type="expression" dxfId="65" priority="18" stopIfTrue="1">
      <formula>$A385&lt;&gt;"S"</formula>
    </cfRule>
  </conditionalFormatting>
  <conditionalFormatting sqref="Q385:R393 AB385:AM393">
    <cfRule type="expression" dxfId="64" priority="19" stopIfTrue="1">
      <formula>$A385=1</formula>
    </cfRule>
    <cfRule type="expression" dxfId="63" priority="20" stopIfTrue="1">
      <formula>$A385&lt;&gt;"S"</formula>
    </cfRule>
  </conditionalFormatting>
  <conditionalFormatting sqref="D394:O402 T394:Z402">
    <cfRule type="expression" dxfId="62" priority="11" stopIfTrue="1">
      <formula>OR(ACOMPANHAMENTO="PLE",TIPOORCAMENTO="Proposto",$L394&lt;0,AND($L394&gt;100,RegimeExecucao="Global"),$O394&gt;$I394,$O394&lt;0)</formula>
    </cfRule>
    <cfRule type="expression" dxfId="61" priority="12" stopIfTrue="1">
      <formula>$A394=1</formula>
    </cfRule>
    <cfRule type="expression" dxfId="60" priority="13" stopIfTrue="1">
      <formula>$A394&lt;&gt;"S"</formula>
    </cfRule>
  </conditionalFormatting>
  <conditionalFormatting sqref="Q394:R402 AB394:AM402">
    <cfRule type="expression" dxfId="59" priority="14" stopIfTrue="1">
      <formula>$A394=1</formula>
    </cfRule>
    <cfRule type="expression" dxfId="58" priority="15" stopIfTrue="1">
      <formula>$A394&lt;&gt;"S"</formula>
    </cfRule>
  </conditionalFormatting>
  <conditionalFormatting sqref="D403:O404 T403:Z404">
    <cfRule type="expression" dxfId="57" priority="6" stopIfTrue="1">
      <formula>OR(ACOMPANHAMENTO="PLE",TIPOORCAMENTO="Proposto",$L403&lt;0,AND($L403&gt;100,RegimeExecucao="Global"),$O403&gt;$I403,$O403&lt;0)</formula>
    </cfRule>
    <cfRule type="expression" dxfId="56" priority="7" stopIfTrue="1">
      <formula>$A403=1</formula>
    </cfRule>
    <cfRule type="expression" dxfId="55" priority="8" stopIfTrue="1">
      <formula>$A403&lt;&gt;"S"</formula>
    </cfRule>
  </conditionalFormatting>
  <conditionalFormatting sqref="Q403:R404 AB403:AM404">
    <cfRule type="expression" dxfId="54" priority="9" stopIfTrue="1">
      <formula>$A403=1</formula>
    </cfRule>
    <cfRule type="expression" dxfId="53" priority="10" stopIfTrue="1">
      <formula>$A403&lt;&gt;"S"</formula>
    </cfRule>
  </conditionalFormatting>
  <conditionalFormatting sqref="D253:O253 T253:Z253">
    <cfRule type="expression" dxfId="52" priority="1" stopIfTrue="1">
      <formula>OR(ACOMPANHAMENTO="PLE",TIPOORCAMENTO="Proposto",$L253&lt;0,AND($L253&gt;100,RegimeExecucao="Global"),$O253&gt;$I253,$O253&lt;0)</formula>
    </cfRule>
    <cfRule type="expression" dxfId="51" priority="2" stopIfTrue="1">
      <formula>$A253=1</formula>
    </cfRule>
    <cfRule type="expression" dxfId="50" priority="3" stopIfTrue="1">
      <formula>$A253&lt;&gt;"S"</formula>
    </cfRule>
  </conditionalFormatting>
  <conditionalFormatting sqref="Q253:R253 AB253:AM253">
    <cfRule type="expression" dxfId="49" priority="4" stopIfTrue="1">
      <formula>$A253=1</formula>
    </cfRule>
    <cfRule type="expression" dxfId="48" priority="5" stopIfTrue="1">
      <formula>$A253&lt;&gt;"S"</formula>
    </cfRule>
  </conditionalFormatting>
  <dataValidations count="4">
    <dataValidation type="list" allowBlank="1" showErrorMessage="1" sqref="Z14 Z16:Z404" xr:uid="{00000000-0002-0000-0B00-000000000000}">
      <formula1>"não executado,não previsto no orçamento,material inadequado,desacordo com os projetos,não atende as observações,qualidade insatisfatória,ver observações abaixo"</formula1>
      <formula2>0</formula2>
    </dataValidation>
    <dataValidation type="decimal" errorStyle="warning" allowBlank="1" showErrorMessage="1" errorTitle="Atenção!" error="Digite somente valores entre 0 e a Medição Acumulada." sqref="Q14:R14 Q16:R404" xr:uid="{00000000-0002-0000-0B00-000001000000}">
      <formula1>0</formula1>
      <formula2>BM.MEDAcumulado</formula2>
    </dataValidation>
    <dataValidation type="whole" operator="greaterThan" allowBlank="1" showInputMessage="1" showErrorMessage="1" sqref="O8" xr:uid="{00000000-0002-0000-0B00-000002000000}">
      <formula1>0</formula1>
    </dataValidation>
    <dataValidation type="decimal" errorStyle="warning" allowBlank="1" showErrorMessage="1" errorTitle="Atenção!" error="% medido é superior a 100% (Global)_x000a_ou_x000a_Quantidade é superior a contratada  (P. Unit)_x000a_ou_x000a_Evolução acumulada negativa" sqref="AB14:AM14 AB16:AM404" xr:uid="{00000000-0002-0000-0B00-000003000000}">
      <formula1>BM.MinMed</formula1>
      <formula2>BM.MaxMed</formula2>
    </dataValidation>
  </dataValidations>
  <pageMargins left="0.78740157480314998" right="0.78740157480314998" top="0.78740157480314998" bottom="0.78740157480314998" header="0.59055118110236204" footer="0.59055118110236204"/>
  <pageSetup paperSize="9" scale="60" firstPageNumber="0" fitToHeight="0" orientation="landscape" r:id="rId1"/>
  <headerFooter alignWithMargins="0">
    <oddHeader>&amp;C&amp;14I</oddHeader>
    <oddFooter>&amp;LPMv3.11&amp;R&amp;P /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295" r:id="rId4" name="CaixaArredMed">
              <controlPr defaultSize="0" print="0" autoFill="0" autoLine="0" autoPict="0">
                <anchor moveWithCells="1" sizeWithCells="1">
                  <from>
                    <xdr:col>10</xdr:col>
                    <xdr:colOff>219075</xdr:colOff>
                    <xdr:row>9</xdr:row>
                    <xdr:rowOff>47625</xdr:rowOff>
                  </from>
                  <to>
                    <xdr:col>10</xdr:col>
                    <xdr:colOff>523875</xdr:colOff>
                    <xdr:row>10</xdr:row>
                    <xdr:rowOff>114300</xdr:rowOff>
                  </to>
                </anchor>
              </controlPr>
            </control>
          </mc:Choice>
        </mc:AlternateContent>
        <mc:AlternateContent xmlns:mc="http://schemas.openxmlformats.org/markup-compatibility/2006">
          <mc:Choice Requires="x14">
            <control shapeId="12296" r:id="rId5" name="Botão de rotação 23">
              <controlPr defaultSize="0" print="0" autoFill="0" autoLine="0" autoPict="0">
                <anchor moveWithCells="1" sizeWithCells="1">
                  <from>
                    <xdr:col>15</xdr:col>
                    <xdr:colOff>28575</xdr:colOff>
                    <xdr:row>6</xdr:row>
                    <xdr:rowOff>123825</xdr:rowOff>
                  </from>
                  <to>
                    <xdr:col>15</xdr:col>
                    <xdr:colOff>266700</xdr:colOff>
                    <xdr:row>8</xdr:row>
                    <xdr:rowOff>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4">
    <pageSetUpPr fitToPage="1"/>
  </sheetPr>
  <dimension ref="A1:AO49"/>
  <sheetViews>
    <sheetView showGridLines="0" zoomScaleNormal="100" zoomScaleSheetLayoutView="90" workbookViewId="0">
      <pane xSplit="6" ySplit="13" topLeftCell="G14" activePane="bottomRight" state="frozen"/>
      <selection pane="topRight" activeCell="G1" sqref="G1"/>
      <selection pane="bottomLeft" activeCell="D14" sqref="D14"/>
      <selection pane="bottomRight"/>
    </sheetView>
  </sheetViews>
  <sheetFormatPr defaultRowHeight="12.75" x14ac:dyDescent="0.2"/>
  <cols>
    <col min="1" max="3" width="9.140625" hidden="1" customWidth="1"/>
    <col min="4" max="4" width="3.5703125" customWidth="1"/>
    <col min="5" max="5" width="7.5703125" customWidth="1"/>
    <col min="6" max="6" width="35.5703125" customWidth="1"/>
    <col min="7" max="7" width="15.5703125" customWidth="1"/>
    <col min="8" max="8" width="12.5703125" customWidth="1"/>
    <col min="9" max="9" width="7.5703125" customWidth="1"/>
    <col min="10" max="10" width="16.5703125" customWidth="1"/>
    <col min="11" max="11" width="5.5703125" customWidth="1"/>
    <col min="12" max="15" width="16.5703125" customWidth="1"/>
    <col min="16" max="16" width="11.5703125" customWidth="1"/>
    <col min="17" max="21" width="9.140625" hidden="1" customWidth="1"/>
    <col min="22" max="22" width="12.140625" hidden="1" customWidth="1"/>
    <col min="23" max="24" width="5.5703125" customWidth="1"/>
    <col min="25" max="26" width="16.5703125" customWidth="1"/>
    <col min="27" max="27" width="1.5703125" customWidth="1"/>
    <col min="29" max="41" width="9.140625" hidden="1" customWidth="1"/>
  </cols>
  <sheetData>
    <row r="1" spans="1:41" ht="30" customHeight="1" x14ac:dyDescent="0.2">
      <c r="F1" s="347" t="str">
        <f>CONCATENATE("RRE - RELATÓRIO RESUMO DO EMPREENDIMENTO - ",IF(CAIXA.Modo,"CAIXA","TOMADOR"))</f>
        <v>RRE - RELATÓRIO RESUMO DO EMPREENDIMENTO - TOMADOR</v>
      </c>
      <c r="H1" s="8"/>
      <c r="I1" s="8"/>
      <c r="P1" s="493" t="s">
        <v>870</v>
      </c>
      <c r="AD1" s="641" t="s">
        <v>871</v>
      </c>
      <c r="AE1" s="348" t="s">
        <v>872</v>
      </c>
    </row>
    <row r="2" spans="1:41" x14ac:dyDescent="0.2">
      <c r="AC2" s="349" t="str">
        <f>J25</f>
        <v>Repasse</v>
      </c>
      <c r="AD2" s="350" t="e">
        <f ca="1">AD6-AD4-AD3</f>
        <v>#NAME?</v>
      </c>
      <c r="AE2" s="350" t="e">
        <f ca="1">AE6-AE4-AE3</f>
        <v>#NAME?</v>
      </c>
    </row>
    <row r="3" spans="1:41" x14ac:dyDescent="0.2">
      <c r="E3" s="714" t="s">
        <v>652</v>
      </c>
      <c r="F3" s="714"/>
      <c r="G3" s="714"/>
      <c r="H3" s="714"/>
      <c r="I3" s="673" t="s">
        <v>650</v>
      </c>
      <c r="J3" s="673"/>
      <c r="K3" s="673"/>
      <c r="L3" s="88" t="s">
        <v>708</v>
      </c>
      <c r="M3" s="147"/>
      <c r="O3" s="351"/>
      <c r="P3" s="275" t="s">
        <v>716</v>
      </c>
      <c r="R3" s="147"/>
      <c r="S3" s="147"/>
      <c r="T3" s="147"/>
      <c r="U3" s="147"/>
      <c r="AC3" s="349" t="s">
        <v>456</v>
      </c>
      <c r="AD3" s="350" t="e">
        <f ca="1">SUM(T13:OFFSET(T24,-1,0))</f>
        <v>#NAME?</v>
      </c>
      <c r="AE3" s="350" t="e">
        <f ca="1">IF(OR($O$28&lt;$M$28,$M$26&gt;$AD$3),MIN($M$26,$L$26),MIN($AD$3,$N$28-$N$27+$M$26))</f>
        <v>#NAME?</v>
      </c>
    </row>
    <row r="4" spans="1:41" ht="12.75" customHeight="1" x14ac:dyDescent="0.2">
      <c r="E4" s="712" t="str">
        <f>Import.Proponente</f>
        <v>PREFEITURA MUNICIPAL DE CAÇADOR</v>
      </c>
      <c r="F4" s="712"/>
      <c r="G4" s="712"/>
      <c r="H4" s="712"/>
      <c r="I4" s="670">
        <f>Import.CR</f>
        <v>0</v>
      </c>
      <c r="J4" s="670"/>
      <c r="K4" s="670"/>
      <c r="L4" s="56" t="str">
        <f>Import.TransfereGOV</f>
        <v>958977</v>
      </c>
      <c r="M4" s="821" t="s">
        <v>811</v>
      </c>
      <c r="N4" s="822"/>
      <c r="O4" s="823"/>
      <c r="P4" s="352" t="str">
        <f>import.recurso</f>
        <v>(SELECIONAR)</v>
      </c>
      <c r="R4" s="147"/>
      <c r="S4" s="147"/>
      <c r="T4" s="351"/>
      <c r="U4" s="351"/>
      <c r="AC4" s="349" t="s">
        <v>873</v>
      </c>
      <c r="AD4" s="350" t="e">
        <f ca="1">SUM(U13:OFFSET(U24,-1,0))</f>
        <v>#NAME?</v>
      </c>
      <c r="AE4" s="350" t="e">
        <f ca="1">IF(OR($O$28&lt;$M$28,$M$27&gt;$AD$4),MIN($M$27,$L$27),MIN($AD$4,$N$28+$M$27))</f>
        <v>#NAME?</v>
      </c>
    </row>
    <row r="5" spans="1:41" ht="5.0999999999999996" customHeight="1" x14ac:dyDescent="0.2">
      <c r="H5" s="278"/>
      <c r="I5" s="278"/>
      <c r="J5" s="278"/>
      <c r="K5" s="278"/>
      <c r="L5" s="278"/>
      <c r="M5" s="353"/>
      <c r="N5" s="266"/>
      <c r="O5" s="4"/>
      <c r="R5" s="147"/>
      <c r="S5" s="147"/>
      <c r="T5" s="147"/>
      <c r="U5" s="147"/>
    </row>
    <row r="6" spans="1:41" ht="12.75" customHeight="1" x14ac:dyDescent="0.2">
      <c r="E6" s="673" t="s">
        <v>709</v>
      </c>
      <c r="F6" s="673"/>
      <c r="G6" s="673"/>
      <c r="H6" s="673"/>
      <c r="I6" s="809" t="s">
        <v>810</v>
      </c>
      <c r="J6" s="809"/>
      <c r="K6" s="809"/>
      <c r="L6" s="809"/>
      <c r="M6" s="55" t="str">
        <f>IF(import.recurso="FGTS","FINANCIAMENTO","REPASSE")</f>
        <v>REPASSE</v>
      </c>
      <c r="N6" s="97" t="s">
        <v>812</v>
      </c>
      <c r="O6" s="55" t="s">
        <v>813</v>
      </c>
      <c r="P6" s="148" t="s">
        <v>874</v>
      </c>
      <c r="R6" s="147"/>
      <c r="S6" s="147"/>
      <c r="T6" s="147"/>
      <c r="U6" s="147"/>
      <c r="AC6" s="349" t="s">
        <v>875</v>
      </c>
      <c r="AD6" s="350" t="e">
        <f ca="1">$O$28</f>
        <v>#NAME?</v>
      </c>
      <c r="AE6" s="350" t="e">
        <f ca="1">AD6</f>
        <v>#NAME?</v>
      </c>
    </row>
    <row r="7" spans="1:41" ht="12.75" customHeight="1" x14ac:dyDescent="0.2">
      <c r="D7" s="702" t="s">
        <v>655</v>
      </c>
      <c r="E7" s="670" t="str">
        <f>Import.Apelido</f>
        <v>CMEI Sorgatto</v>
      </c>
      <c r="F7" s="670"/>
      <c r="G7" s="670"/>
      <c r="H7" s="670"/>
      <c r="I7" s="810" t="str">
        <f>Import.Município</f>
        <v>Caçador/SC</v>
      </c>
      <c r="J7" s="810"/>
      <c r="K7" s="810"/>
      <c r="L7" s="810"/>
      <c r="M7" s="354">
        <f>Import.Repasse</f>
        <v>0</v>
      </c>
      <c r="N7" s="355">
        <f>Import.Contrapartida</f>
        <v>0</v>
      </c>
      <c r="O7" s="354">
        <f>M7+N7</f>
        <v>0</v>
      </c>
      <c r="P7" s="424">
        <f ca="1">IF(ACOMPANHAMENTO="PLE",PLE.Medicao,BM.medicao)</f>
        <v>1</v>
      </c>
      <c r="R7" s="147"/>
      <c r="S7" s="147"/>
      <c r="T7" s="147"/>
      <c r="U7" s="147"/>
    </row>
    <row r="8" spans="1:41" x14ac:dyDescent="0.2">
      <c r="D8" s="702"/>
      <c r="E8" s="93"/>
      <c r="F8" s="93"/>
      <c r="G8" s="93"/>
      <c r="H8" s="93"/>
      <c r="I8" s="93"/>
      <c r="J8" s="93"/>
      <c r="K8" s="93"/>
      <c r="L8" s="93"/>
      <c r="M8" s="93"/>
      <c r="N8" s="93"/>
      <c r="O8" s="93"/>
      <c r="P8" s="93"/>
      <c r="R8" s="147"/>
      <c r="S8" s="147"/>
      <c r="T8" s="147"/>
      <c r="U8" s="147"/>
    </row>
    <row r="9" spans="1:41" ht="12.75" customHeight="1" x14ac:dyDescent="0.2">
      <c r="D9" s="702"/>
      <c r="G9" s="811" t="s">
        <v>876</v>
      </c>
      <c r="H9" s="811"/>
      <c r="I9" s="811" t="s">
        <v>877</v>
      </c>
      <c r="J9" s="811"/>
      <c r="K9" s="356"/>
      <c r="L9" s="812" t="s">
        <v>817</v>
      </c>
      <c r="M9" s="357" t="s">
        <v>820</v>
      </c>
      <c r="N9" s="279" t="s">
        <v>742</v>
      </c>
      <c r="P9" s="358"/>
      <c r="R9" s="147"/>
      <c r="S9" s="147"/>
      <c r="T9" s="147"/>
      <c r="U9" s="147"/>
      <c r="V9" s="7" t="s">
        <v>878</v>
      </c>
    </row>
    <row r="10" spans="1:41" ht="12.75" customHeight="1" x14ac:dyDescent="0.2">
      <c r="D10" s="702"/>
      <c r="G10" s="672" t="e">
        <f ca="1">IF(J10="-","-",IF($P$24&lt;J10,"Atrasada",IF($P$24&gt;J10,"Adiantada","Normal")))</f>
        <v>#NAME?</v>
      </c>
      <c r="H10" s="672"/>
      <c r="I10" s="359">
        <f>DATE(YEAR($L$35),MONTH($L$35),1)</f>
        <v>1</v>
      </c>
      <c r="J10" s="360">
        <f ca="1">IF($I$10&lt;DATE(YEAR(CRONO!$U$13),MONTH(CRONO!$U$13),1),0,IF($I$10&gt;OFFSET(CRONO!$AG$13,0,-1),1,INDEX(CRONO!$T$95:$AH$95,MATCH(RRE!$I$10,CRONO!$T$13:$AG$13,0))))</f>
        <v>0</v>
      </c>
      <c r="K10" s="356"/>
      <c r="L10" s="812"/>
      <c r="M10" s="361">
        <f ca="1">QCI!L10</f>
        <v>0</v>
      </c>
      <c r="N10" s="281">
        <f ca="1">QCI!M10</f>
        <v>0</v>
      </c>
      <c r="P10" s="358"/>
      <c r="R10" s="147"/>
      <c r="S10" s="147"/>
      <c r="T10" s="147"/>
      <c r="U10" s="147"/>
      <c r="AC10" s="813" t="s">
        <v>76</v>
      </c>
      <c r="AD10" s="813"/>
      <c r="AE10" s="813"/>
      <c r="AF10" s="813"/>
      <c r="AG10" s="813"/>
      <c r="AH10" s="813"/>
      <c r="AJ10" s="813" t="s">
        <v>78</v>
      </c>
      <c r="AK10" s="813"/>
      <c r="AL10" s="813"/>
      <c r="AM10" s="813"/>
      <c r="AN10" s="813"/>
      <c r="AO10" s="813"/>
    </row>
    <row r="11" spans="1:41" ht="20.100000000000001" customHeight="1" x14ac:dyDescent="0.2">
      <c r="D11" s="702"/>
      <c r="M11" s="452" t="str">
        <f>IF(CAIXA.Modo,"Valores Aferidos (R$)","Valores Medidos (R$)")</f>
        <v>Valores Medidos (R$)</v>
      </c>
      <c r="N11" s="452"/>
      <c r="O11" s="452"/>
      <c r="R11" s="362"/>
      <c r="S11" s="362"/>
      <c r="T11" s="452"/>
      <c r="U11" s="452"/>
      <c r="V11" s="449" t="s">
        <v>879</v>
      </c>
      <c r="Y11" s="814" t="str">
        <f>IF(CAIXA.Modo,"Valores Aferidos (R$)","Valores Medidos (R$)")</f>
        <v>Valores Medidos (R$)</v>
      </c>
      <c r="Z11" s="814"/>
      <c r="AC11" s="815" t="s">
        <v>880</v>
      </c>
      <c r="AD11" s="815"/>
      <c r="AE11" s="815"/>
      <c r="AF11" s="815" t="s">
        <v>881</v>
      </c>
      <c r="AG11" s="815"/>
      <c r="AH11" s="815"/>
      <c r="AJ11" s="815" t="s">
        <v>880</v>
      </c>
      <c r="AK11" s="815"/>
      <c r="AL11" s="815"/>
      <c r="AM11" s="815" t="s">
        <v>881</v>
      </c>
      <c r="AN11" s="815"/>
      <c r="AO11" s="815"/>
    </row>
    <row r="12" spans="1:41" ht="30" hidden="1" customHeight="1" x14ac:dyDescent="0.2">
      <c r="A12" t="e">
        <f ca="1">MATCH(E12,ORÇAMENTO!$E$15:$E$405,0)-1</f>
        <v>#N/A</v>
      </c>
      <c r="B12" t="e">
        <f ca="1">IF(ISERROR($A12),NA(),OFFSET(ORÇAMENTO!$D$15,$A12,0))</f>
        <v>#N/A</v>
      </c>
      <c r="C12" t="str">
        <f ca="1">QCI!B12</f>
        <v>Branco</v>
      </c>
      <c r="D12" t="str">
        <f ca="1">IF(L12&gt;0,"F","")</f>
        <v/>
      </c>
      <c r="E12" s="282">
        <f>QCI!D12</f>
        <v>-1</v>
      </c>
      <c r="F12" s="363" t="str">
        <f ca="1">QCI!G12</f>
        <v/>
      </c>
      <c r="G12" s="364">
        <f>QCI!H12</f>
        <v>0</v>
      </c>
      <c r="H12" s="283">
        <f>QCI!I12</f>
        <v>0</v>
      </c>
      <c r="I12" s="283" t="str">
        <f ca="1">QCI!J12</f>
        <v/>
      </c>
      <c r="J12" s="365" t="str">
        <f ca="1">QCI!K12</f>
        <v/>
      </c>
      <c r="K12" s="366" t="e">
        <f ca="1">_xlfn.SINGLE(IF($C12="Automático",IF(_xlfn.SINGLE(ACOMPANHAMENTO)="BM",BM.medicao,PLE.Medicao),IF(ISBLANK($X12),"",$X12)))</f>
        <v>#NAME?</v>
      </c>
      <c r="L12" s="287">
        <f ca="1">QCI!$O12</f>
        <v>0</v>
      </c>
      <c r="M12" s="284">
        <f ca="1">ROUND(IF(C12="Automático",AE12+AL12,Y12),2)</f>
        <v>0</v>
      </c>
      <c r="N12" s="285">
        <f ca="1">O12-M12</f>
        <v>0</v>
      </c>
      <c r="O12" s="286">
        <f ca="1">ROUND(IF(C12="Automático",AH12+AO12,Z12),2)</f>
        <v>0</v>
      </c>
      <c r="P12" s="368">
        <f ca="1">O12/(L12+10^-12)</f>
        <v>0</v>
      </c>
      <c r="R12" s="367">
        <f ca="1">ROUND(IF($C12="Automático",AC12+AJ12,$Y12*IF(ISERROR(QCI!$AA12/QCI!$O12),0,QCI!$AA12/QCI!$O12)),2)</f>
        <v>0</v>
      </c>
      <c r="S12" s="367">
        <f ca="1">ROUND(IF($C12="Automático",AD12+AK12,$Y12*IF(ISERROR(QCI!$AB12/QCI!$O12),0,QCI!$AB12/QCI!$O12)),2)</f>
        <v>0</v>
      </c>
      <c r="T12" s="367">
        <f ca="1">ROUND(IF($C12="Automático",AF12+AM12,$Z12*IF(ISERROR(QCI!$AA12/QCI!$O12),0,QCI!$AA12/QCI!$O12)),2)</f>
        <v>0</v>
      </c>
      <c r="U12" s="367">
        <f ca="1">ROUND(IF($C12="Automático",AG12+AN12,$Z12*IF(ISERROR(QCI!$AB12/QCI!$O12),0,QCI!$AB12/QCI!$O12)),2)</f>
        <v>0</v>
      </c>
      <c r="V12" s="450" t="str">
        <f ca="1">IF(AND($L12&gt;0,$J12&lt;&gt;0,$J12&lt;&gt;"",COUNTIF($J12:$J$13,$J12)=1),OFFSET(V12,-1,0)+1,OFFSET(V12,-1,0))</f>
        <v>Lista CTEFs</v>
      </c>
      <c r="X12" s="514"/>
      <c r="Y12" s="288"/>
      <c r="Z12" s="289"/>
      <c r="AC12" s="184" t="e">
        <f ca="1">IF(_xlfn.SINGLE(ACOMPANHAMENTO)&lt;&gt;"PLE",0,SUMPRODUCT((OFFSET(CÁLCULO!$AX$15:$BH$15,$A12,0,$B12)&lt;=(PLE.Medicao-1))*OFFSET(CÁLCULO!$AB$15:$AL$15,$A12,0,$B12)*OFFSET(ORÇAMENTO!$AA$15,$A12,0,$B12)/(OFFSET(ORÇAMENTO!$X$15,$A12,0,$B12)+10^-12))+IF(AUTOEVENTO="Manual",SUMPRODUCT((OFFSET(CÁLCULO!$M$15,$A12,0,$B12)=1)*OFFSET(ORÇAMENTO!$AA$15,$A12,0,$B12)*(PLE!$AE$9-PLE!$Y$9)),0))</f>
        <v>#NAME?</v>
      </c>
      <c r="AD12" s="184" t="e">
        <f ca="1">IF(_xlfn.SINGLE(ACOMPANHAMENTO)&lt;&gt;"PLE",0,SUMPRODUCT((OFFSET(CÁLCULO!$AX$15:$BH$15,$A12,0,$B12)&lt;=(PLE.Medicao-1))*OFFSET(CÁLCULO!$AB$15:$AL$15,$A12,0,$B12)*OFFSET(ORÇAMENTO!$AB$15,$A12,0,$B12)/(OFFSET(ORÇAMENTO!$X$15,$A12,0,$B12)+10^-12))+IF(AUTOEVENTO="Manual",SUMPRODUCT((OFFSET(CÁLCULO!$M$15,$A12,0,$B12)=1)*OFFSET(ORÇAMENTO!$AB$15,$A12,0,$B12)*(PLE!$AE$9-PLE!$Y$9)),0))</f>
        <v>#NAME?</v>
      </c>
      <c r="AE12" s="184" t="e">
        <f ca="1">ROUND(IF(_xlfn.SINGLE(ACOMPANHAMENTO)&lt;&gt;"PLE",0,SUMIF(OFFSET(CÁLCULO!$AX$15:$BH$15,$A12,0,$B12),"&lt;="&amp;(PLE.Medicao-1),OFFSET(CÁLCULO!$AB$15:$AL$15,$A12,0,$B12))+IF(AUTOEVENTO="Manual",SUMIF(OFFSET(CÁLCULO!$M$15,$A12,0,$B12),1,OFFSET(ORÇAMENTO!$X$15,$A12,0,$B12))*(PLE!$AE$9-PLE!$Y$9),0)),2)</f>
        <v>#NAME?</v>
      </c>
      <c r="AF12" s="184" t="e">
        <f ca="1">IF(_xlfn.SINGLE(ACOMPANHAMENTO)&lt;&gt;"PLE",0,SUMPRODUCT((OFFSET(CÁLCULO!$AX$15:$BH$15,$A12,0,$B12)&lt;=PLE.Medicao)*OFFSET(CÁLCULO!$AB$15:$AL$15,$A12,0,$B12)*OFFSET(ORÇAMENTO!$AA$15,$A12,0,$B12)/(OFFSET(ORÇAMENTO!$X$15,$A12,0,$B12)+10^-12))+IF(AUTOEVENTO="Manual",SUMPRODUCT((OFFSET(CÁLCULO!$M$15,$A12,0,$B12)=1)*OFFSET(ORÇAMENTO!$AA$15,$A12,0,$B12)*PLE!$AE$9),0))</f>
        <v>#NAME?</v>
      </c>
      <c r="AG12" s="184" t="e">
        <f ca="1">IF(_xlfn.SINGLE(ACOMPANHAMENTO)&lt;&gt;"PLE",0,SUMPRODUCT((OFFSET(CÁLCULO!$AX$15:$BH$15,$A12,0,$B12)&lt;=PLE.Medicao)*OFFSET(CÁLCULO!$AB$15:$AL$15,$A12,0,$B12)*OFFSET(ORÇAMENTO!$AB$15,$A12,0,$B12)/(OFFSET(ORÇAMENTO!$X$15,$A12,0,$B12)+10^-12))+IF(AUTOEVENTO="Manual",SUMPRODUCT((OFFSET(CÁLCULO!$M$15,$A12,0,$B12)=1)*OFFSET(ORÇAMENTO!$AB$15,$A12,0,$B12)*PLE!$AE$9),0))</f>
        <v>#NAME?</v>
      </c>
      <c r="AH12" s="184" t="e">
        <f ca="1">ROUND(IF(_xlfn.SINGLE(ACOMPANHAMENTO)&lt;&gt;"PLE",0,SUMIF(OFFSET(CÁLCULO!$AX$15:$BH$15,$A12,0,$B12),"&lt;="&amp;PLE.Medicao,OFFSET(CÁLCULO!$AB$15:$AL$15,$A12,0,$B12))+IF(AUTOEVENTO="Manual",SUMIF(OFFSET(CÁLCULO!$M$15,$A12,0,$B12),1,OFFSET(ORÇAMENTO!$X$15,$A12,0,$B12))*PLE!$AE$9,0)),2)</f>
        <v>#NAME?</v>
      </c>
      <c r="AJ12" s="184" t="e">
        <f ca="1">IF(_xlfn.SINGLE(ACOMPANHAMENTO)&lt;&gt;"BM",0,SUMPRODUCT(OFFSET(BM!$M$15,$A12,0,$B12)*(OFFSET(BM!$A$15,$A12,0,$B12)="S")*OFFSET(ORÇAMENTO!AA$15,$A12,0,$B12)/(OFFSET(ORÇAMENTO!$X$15,$A12,0,$B12)+10^-12)))</f>
        <v>#NAME?</v>
      </c>
      <c r="AK12" s="184" t="e">
        <f ca="1">IF(_xlfn.SINGLE(ACOMPANHAMENTO)&lt;&gt;"BM",0,SUMPRODUCT(OFFSET(BM!$M$15,$A12,0,$B12)*(OFFSET(BM!$A$15,$A12,0,$B12)="S")*OFFSET(ORÇAMENTO!AB$15,$A12,0,$B12)/(OFFSET(ORÇAMENTO!$X$15,$A12,0,$B12)+10^-12)))</f>
        <v>#NAME?</v>
      </c>
      <c r="AL12" s="184" t="e">
        <f ca="1">IF(_xlfn.SINGLE(ACOMPANHAMENTO)&lt;&gt;"BM",0,OFFSET(BM!$M$15,$A12,0))</f>
        <v>#NAME?</v>
      </c>
      <c r="AM12" s="184" t="e">
        <f ca="1">IF(_xlfn.SINGLE(ACOMPANHAMENTO)&lt;&gt;"BM",0,SUMPRODUCT(OFFSET(BM!$O$15,$A12,0,$B12)*(OFFSET(BM!$A$15,$A12,0,$B12)="S")*OFFSET(ORÇAMENTO!AA$15,$A12,0,$B12)/(OFFSET(ORÇAMENTO!$X$15,$A12,0,$B12)+10^-12)))</f>
        <v>#NAME?</v>
      </c>
      <c r="AN12" s="184" t="e">
        <f ca="1">IF(_xlfn.SINGLE(ACOMPANHAMENTO)&lt;&gt;"BM",0,SUMPRODUCT(OFFSET(BM!$O$15,$A12,0,$B12)*(OFFSET(BM!$A$15,$A12,0,$B12)="S")*OFFSET(ORÇAMENTO!AB$15,$A12,0,$B12)/(OFFSET(ORÇAMENTO!$X$15,$A12,0,$B12)+10^-12)))</f>
        <v>#NAME?</v>
      </c>
      <c r="AO12" s="184" t="e">
        <f ca="1">IF(_xlfn.SINGLE(ACOMPANHAMENTO)&lt;&gt;"BM",0,OFFSET(BM!$O$15,$A12,0))</f>
        <v>#NAME?</v>
      </c>
    </row>
    <row r="13" spans="1:41" ht="39.950000000000003" customHeight="1" x14ac:dyDescent="0.2">
      <c r="A13" s="291" t="s">
        <v>882</v>
      </c>
      <c r="B13" s="9" t="s">
        <v>726</v>
      </c>
      <c r="C13" s="291" t="s">
        <v>822</v>
      </c>
      <c r="D13" s="107" t="s">
        <v>660</v>
      </c>
      <c r="E13" s="108" t="s">
        <v>702</v>
      </c>
      <c r="F13" s="108" t="s">
        <v>825</v>
      </c>
      <c r="G13" s="108" t="s">
        <v>669</v>
      </c>
      <c r="H13" s="108" t="s">
        <v>713</v>
      </c>
      <c r="I13" s="108" t="s">
        <v>826</v>
      </c>
      <c r="J13" s="108" t="s">
        <v>827</v>
      </c>
      <c r="K13" s="639" t="s">
        <v>883</v>
      </c>
      <c r="L13" s="108" t="s">
        <v>884</v>
      </c>
      <c r="M13" s="639" t="s">
        <v>880</v>
      </c>
      <c r="N13" s="640" t="s">
        <v>885</v>
      </c>
      <c r="O13" s="292" t="s">
        <v>881</v>
      </c>
      <c r="P13" s="108" t="s">
        <v>886</v>
      </c>
      <c r="R13" s="369" t="s">
        <v>887</v>
      </c>
      <c r="S13" s="369" t="s">
        <v>888</v>
      </c>
      <c r="T13" s="369" t="s">
        <v>889</v>
      </c>
      <c r="U13" s="369" t="s">
        <v>890</v>
      </c>
      <c r="V13" s="451"/>
      <c r="X13" s="639" t="s">
        <v>883</v>
      </c>
      <c r="Y13" s="160" t="s">
        <v>880</v>
      </c>
      <c r="Z13" s="161" t="s">
        <v>881</v>
      </c>
      <c r="AC13" s="110" t="s">
        <v>456</v>
      </c>
      <c r="AD13" s="110" t="s">
        <v>873</v>
      </c>
      <c r="AE13" s="110" t="s">
        <v>875</v>
      </c>
      <c r="AF13" s="110" t="s">
        <v>456</v>
      </c>
      <c r="AG13" s="110" t="s">
        <v>873</v>
      </c>
      <c r="AH13" s="110" t="s">
        <v>875</v>
      </c>
      <c r="AJ13" s="110" t="s">
        <v>456</v>
      </c>
      <c r="AK13" s="110" t="s">
        <v>873</v>
      </c>
      <c r="AL13" s="110" t="s">
        <v>875</v>
      </c>
      <c r="AM13" s="110" t="s">
        <v>456</v>
      </c>
      <c r="AN13" s="110" t="s">
        <v>873</v>
      </c>
      <c r="AO13" s="110" t="s">
        <v>875</v>
      </c>
    </row>
    <row r="14" spans="1:41" ht="30" customHeight="1" x14ac:dyDescent="0.2">
      <c r="A14">
        <f ca="1">MATCH(E14,ORÇAMENTO!$E$15:$E$405,0)-1</f>
        <v>1</v>
      </c>
      <c r="B14">
        <f ca="1">IF(ISERROR($A14),NA(),OFFSET(ORÇAMENTO!$D$15,$A14,0))</f>
        <v>389</v>
      </c>
      <c r="C14" t="str">
        <f ca="1">QCI!B14</f>
        <v>Automático</v>
      </c>
      <c r="D14" t="str">
        <f t="shared" ref="D14:D22" ca="1" si="0">IF(L14&gt;0,"F","")</f>
        <v/>
      </c>
      <c r="E14" s="282">
        <f>QCI!D14</f>
        <v>1</v>
      </c>
      <c r="F14" s="363" t="str">
        <f ca="1">QCI!G14</f>
        <v>CMEI SORGATTO</v>
      </c>
      <c r="G14" s="364">
        <f>QCI!H14</f>
        <v>0</v>
      </c>
      <c r="H14" s="283">
        <f>QCI!I14</f>
        <v>0</v>
      </c>
      <c r="I14" s="283" t="str">
        <f ca="1">QCI!J14</f>
        <v/>
      </c>
      <c r="J14" s="365" t="str">
        <f ca="1">QCI!K14</f>
        <v>LOTE 1</v>
      </c>
      <c r="K14" s="366" t="e">
        <f ca="1">_xlfn.SINGLE(IF($C14="Automático",IF(_xlfn.SINGLE(ACOMPANHAMENTO)="BM",BM.medicao,PLE.Medicao),IF(ISBLANK($X14),"",$X14)))</f>
        <v>#NAME?</v>
      </c>
      <c r="L14" s="287">
        <f ca="1">QCI!$O14</f>
        <v>0</v>
      </c>
      <c r="M14" s="284" t="e">
        <f t="shared" ref="M14:M22" ca="1" si="1">ROUND(IF(C14="Automático",AE14+AL14,Y14),2)</f>
        <v>#NAME?</v>
      </c>
      <c r="N14" s="285" t="e">
        <f t="shared" ref="N14:N22" ca="1" si="2">O14-M14</f>
        <v>#NAME?</v>
      </c>
      <c r="O14" s="286" t="e">
        <f t="shared" ref="O14:O22" ca="1" si="3">ROUND(IF(C14="Automático",AH14+AO14,Z14),2)</f>
        <v>#NAME?</v>
      </c>
      <c r="P14" s="368" t="e">
        <f t="shared" ref="P14:P22" ca="1" si="4">O14/(L14+10^-12)</f>
        <v>#NAME?</v>
      </c>
      <c r="R14" s="367" t="e">
        <f ca="1">ROUND(IF($C14="Automático",AC14+AJ14,$Y14*IF(ISERROR(QCI!$AA14/QCI!$O14),0,QCI!$AA14/QCI!$O14)),2)</f>
        <v>#NAME?</v>
      </c>
      <c r="S14" s="367" t="e">
        <f ca="1">ROUND(IF($C14="Automático",AD14+AK14,$Y14*IF(ISERROR(QCI!$AB14/QCI!$O14),0,QCI!$AB14/QCI!$O14)),2)</f>
        <v>#NAME?</v>
      </c>
      <c r="T14" s="367" t="e">
        <f ca="1">ROUND(IF($C14="Automático",AF14+AM14,$Z14*IF(ISERROR(QCI!$AA14/QCI!$O14),0,QCI!$AA14/QCI!$O14)),2)</f>
        <v>#NAME?</v>
      </c>
      <c r="U14" s="367" t="e">
        <f ca="1">ROUND(IF($C14="Automático",AG14+AN14,$Z14*IF(ISERROR(QCI!$AB14/QCI!$O14),0,QCI!$AB14/QCI!$O14)),2)</f>
        <v>#NAME?</v>
      </c>
      <c r="V14" s="450">
        <f ca="1">IF(AND($L14&gt;0,$J14&lt;&gt;0,$J14&lt;&gt;"",COUNTIF($J$13:$J14,$J14)=1),OFFSET(V14,-1,0)+1,OFFSET(V14,-1,0))</f>
        <v>0</v>
      </c>
      <c r="X14" s="514"/>
      <c r="Y14" s="288"/>
      <c r="Z14" s="289"/>
      <c r="AC14" s="184" t="e">
        <f ca="1">IF(_xlfn.SINGLE(ACOMPANHAMENTO)&lt;&gt;"PLE",0,SUMPRODUCT((OFFSET(CÁLCULO!$AX$15:$BH$15,$A14,0,$B14)&lt;=(PLE.Medicao-1))*OFFSET(CÁLCULO!$AB$15:$AL$15,$A14,0,$B14)*OFFSET(ORÇAMENTO!$AA$15,$A14,0,$B14)/(OFFSET(ORÇAMENTO!$X$15,$A14,0,$B14)+10^-12))+IF(AUTOEVENTO="Manual",SUMPRODUCT((OFFSET(CÁLCULO!$M$15,$A14,0,$B14)=1)*OFFSET(ORÇAMENTO!$AA$15,$A14,0,$B14)*(PLE!$AE$9-PLE!$Y$9)),0))</f>
        <v>#NAME?</v>
      </c>
      <c r="AD14" s="184" t="e">
        <f ca="1">IF(_xlfn.SINGLE(ACOMPANHAMENTO)&lt;&gt;"PLE",0,SUMPRODUCT((OFFSET(CÁLCULO!$AX$15:$BH$15,$A14,0,$B14)&lt;=(PLE.Medicao-1))*OFFSET(CÁLCULO!$AB$15:$AL$15,$A14,0,$B14)*OFFSET(ORÇAMENTO!$AB$15,$A14,0,$B14)/(OFFSET(ORÇAMENTO!$X$15,$A14,0,$B14)+10^-12))+IF(AUTOEVENTO="Manual",SUMPRODUCT((OFFSET(CÁLCULO!$M$15,$A14,0,$B14)=1)*OFFSET(ORÇAMENTO!$AB$15,$A14,0,$B14)*(PLE!$AE$9-PLE!$Y$9)),0))</f>
        <v>#NAME?</v>
      </c>
      <c r="AE14" s="184" t="e">
        <f ca="1">ROUND(IF(_xlfn.SINGLE(ACOMPANHAMENTO)&lt;&gt;"PLE",0,SUMIF(OFFSET(CÁLCULO!$AX$15:$BH$15,$A14,0,$B14),"&lt;="&amp;(PLE.Medicao-1),OFFSET(CÁLCULO!$AB$15:$AL$15,$A14,0,$B14))+IF(AUTOEVENTO="Manual",SUMIF(OFFSET(CÁLCULO!$M$15,$A14,0,$B14),1,OFFSET(ORÇAMENTO!$X$15,$A14,0,$B14))*(PLE!$AE$9-PLE!$Y$9),0)),2)</f>
        <v>#NAME?</v>
      </c>
      <c r="AF14" s="184" t="e">
        <f ca="1">IF(_xlfn.SINGLE(ACOMPANHAMENTO)&lt;&gt;"PLE",0,SUMPRODUCT((OFFSET(CÁLCULO!$AX$15:$BH$15,$A14,0,$B14)&lt;=PLE.Medicao)*OFFSET(CÁLCULO!$AB$15:$AL$15,$A14,0,$B14)*OFFSET(ORÇAMENTO!$AA$15,$A14,0,$B14)/(OFFSET(ORÇAMENTO!$X$15,$A14,0,$B14)+10^-12))+IF(AUTOEVENTO="Manual",SUMPRODUCT((OFFSET(CÁLCULO!$M$15,$A14,0,$B14)=1)*OFFSET(ORÇAMENTO!$AA$15,$A14,0,$B14)*PLE!$AE$9),0))</f>
        <v>#NAME?</v>
      </c>
      <c r="AG14" s="184" t="e">
        <f ca="1">IF(_xlfn.SINGLE(ACOMPANHAMENTO)&lt;&gt;"PLE",0,SUMPRODUCT((OFFSET(CÁLCULO!$AX$15:$BH$15,$A14,0,$B14)&lt;=PLE.Medicao)*OFFSET(CÁLCULO!$AB$15:$AL$15,$A14,0,$B14)*OFFSET(ORÇAMENTO!$AB$15,$A14,0,$B14)/(OFFSET(ORÇAMENTO!$X$15,$A14,0,$B14)+10^-12))+IF(AUTOEVENTO="Manual",SUMPRODUCT((OFFSET(CÁLCULO!$M$15,$A14,0,$B14)=1)*OFFSET(ORÇAMENTO!$AB$15,$A14,0,$B14)*PLE!$AE$9),0))</f>
        <v>#NAME?</v>
      </c>
      <c r="AH14" s="184" t="e">
        <f ca="1">ROUND(IF(_xlfn.SINGLE(ACOMPANHAMENTO)&lt;&gt;"PLE",0,SUMIF(OFFSET(CÁLCULO!$AX$15:$BH$15,$A14,0,$B14),"&lt;="&amp;PLE.Medicao,OFFSET(CÁLCULO!$AB$15:$AL$15,$A14,0,$B14))+IF(AUTOEVENTO="Manual",SUMIF(OFFSET(CÁLCULO!$M$15,$A14,0,$B14),1,OFFSET(ORÇAMENTO!$X$15,$A14,0,$B14))*PLE!$AE$9,0)),2)</f>
        <v>#NAME?</v>
      </c>
      <c r="AJ14" s="184" t="e">
        <f ca="1">IF(_xlfn.SINGLE(ACOMPANHAMENTO)&lt;&gt;"BM",0,SUMPRODUCT(OFFSET(BM!$M$15,$A14,0,$B14)*(OFFSET(BM!$A$15,$A14,0,$B14)="S")*OFFSET(ORÇAMENTO!AA$15,$A14,0,$B14)/(OFFSET(ORÇAMENTO!$X$15,$A14,0,$B14)+10^-12)))</f>
        <v>#NAME?</v>
      </c>
      <c r="AK14" s="184" t="e">
        <f ca="1">IF(_xlfn.SINGLE(ACOMPANHAMENTO)&lt;&gt;"BM",0,SUMPRODUCT(OFFSET(BM!$M$15,$A14,0,$B14)*(OFFSET(BM!$A$15,$A14,0,$B14)="S")*OFFSET(ORÇAMENTO!AB$15,$A14,0,$B14)/(OFFSET(ORÇAMENTO!$X$15,$A14,0,$B14)+10^-12)))</f>
        <v>#NAME?</v>
      </c>
      <c r="AL14" s="184" t="e">
        <f ca="1">IF(_xlfn.SINGLE(ACOMPANHAMENTO)&lt;&gt;"BM",0,OFFSET(BM!$M$15,$A14,0))</f>
        <v>#NAME?</v>
      </c>
      <c r="AM14" s="184" t="e">
        <f ca="1">IF(_xlfn.SINGLE(ACOMPANHAMENTO)&lt;&gt;"BM",0,SUMPRODUCT(OFFSET(BM!$O$15,$A14,0,$B14)*(OFFSET(BM!$A$15,$A14,0,$B14)="S")*OFFSET(ORÇAMENTO!AA$15,$A14,0,$B14)/(OFFSET(ORÇAMENTO!$X$15,$A14,0,$B14)+10^-12)))</f>
        <v>#NAME?</v>
      </c>
      <c r="AN14" s="184" t="e">
        <f ca="1">IF(_xlfn.SINGLE(ACOMPANHAMENTO)&lt;&gt;"BM",0,SUMPRODUCT(OFFSET(BM!$O$15,$A14,0,$B14)*(OFFSET(BM!$A$15,$A14,0,$B14)="S")*OFFSET(ORÇAMENTO!AB$15,$A14,0,$B14)/(OFFSET(ORÇAMENTO!$X$15,$A14,0,$B14)+10^-12)))</f>
        <v>#NAME?</v>
      </c>
      <c r="AO14" s="184" t="e">
        <f ca="1">IF(_xlfn.SINGLE(ACOMPANHAMENTO)&lt;&gt;"BM",0,OFFSET(BM!$O$15,$A14,0))</f>
        <v>#NAME?</v>
      </c>
    </row>
    <row r="15" spans="1:41" ht="30" customHeight="1" x14ac:dyDescent="0.2">
      <c r="A15" t="e">
        <f ca="1">MATCH(E15,ORÇAMENTO!$E$15:$E$405,0)-1</f>
        <v>#N/A</v>
      </c>
      <c r="B15" t="e">
        <f ca="1">IF(ISERROR($A15),NA(),OFFSET(ORÇAMENTO!$D$15,$A15,0))</f>
        <v>#N/A</v>
      </c>
      <c r="C15" t="str">
        <f ca="1">QCI!B15</f>
        <v>Branco</v>
      </c>
      <c r="D15" t="str">
        <f t="shared" ca="1" si="0"/>
        <v/>
      </c>
      <c r="E15" s="282">
        <f>QCI!D15</f>
        <v>2</v>
      </c>
      <c r="F15" s="363" t="str">
        <f ca="1">QCI!G15</f>
        <v/>
      </c>
      <c r="G15" s="364">
        <f>QCI!H15</f>
        <v>0</v>
      </c>
      <c r="H15" s="283">
        <f>QCI!I15</f>
        <v>0</v>
      </c>
      <c r="I15" s="283" t="str">
        <f ca="1">QCI!J15</f>
        <v/>
      </c>
      <c r="J15" s="365" t="str">
        <f ca="1">QCI!K15</f>
        <v/>
      </c>
      <c r="K15" s="366" t="e">
        <f ca="1">_xlfn.SINGLE(IF($C15="Automático",IF(_xlfn.SINGLE(ACOMPANHAMENTO)="BM",BM.medicao,PLE.Medicao),IF(ISBLANK($X15),"",$X15)))</f>
        <v>#NAME?</v>
      </c>
      <c r="L15" s="287">
        <f ca="1">QCI!$O15</f>
        <v>0</v>
      </c>
      <c r="M15" s="284">
        <f t="shared" ca="1" si="1"/>
        <v>0</v>
      </c>
      <c r="N15" s="285">
        <f t="shared" ca="1" si="2"/>
        <v>0</v>
      </c>
      <c r="O15" s="286">
        <f t="shared" ca="1" si="3"/>
        <v>0</v>
      </c>
      <c r="P15" s="368">
        <f t="shared" ca="1" si="4"/>
        <v>0</v>
      </c>
      <c r="R15" s="367">
        <f ca="1">ROUND(IF($C15="Automático",AC15+AJ15,$Y15*IF(ISERROR(QCI!$AA15/QCI!$O15),0,QCI!$AA15/QCI!$O15)),2)</f>
        <v>0</v>
      </c>
      <c r="S15" s="367">
        <f ca="1">ROUND(IF($C15="Automático",AD15+AK15,$Y15*IF(ISERROR(QCI!$AB15/QCI!$O15),0,QCI!$AB15/QCI!$O15)),2)</f>
        <v>0</v>
      </c>
      <c r="T15" s="367">
        <f ca="1">ROUND(IF($C15="Automático",AF15+AM15,$Z15*IF(ISERROR(QCI!$AA15/QCI!$O15),0,QCI!$AA15/QCI!$O15)),2)</f>
        <v>0</v>
      </c>
      <c r="U15" s="367">
        <f ca="1">ROUND(IF($C15="Automático",AG15+AN15,$Z15*IF(ISERROR(QCI!$AB15/QCI!$O15),0,QCI!$AB15/QCI!$O15)),2)</f>
        <v>0</v>
      </c>
      <c r="V15" s="450">
        <f ca="1">IF(AND($L15&gt;0,$J15&lt;&gt;0,$J15&lt;&gt;"",COUNTIF($J$13:$J15,$J15)=1),OFFSET(V15,-1,0)+1,OFFSET(V15,-1,0))</f>
        <v>0</v>
      </c>
      <c r="X15" s="514"/>
      <c r="Y15" s="288"/>
      <c r="Z15" s="289"/>
      <c r="AC15" s="184" t="e">
        <f ca="1">IF(_xlfn.SINGLE(ACOMPANHAMENTO)&lt;&gt;"PLE",0,SUMPRODUCT((OFFSET(CÁLCULO!$AX$15:$BH$15,$A15,0,$B15)&lt;=(PLE.Medicao-1))*OFFSET(CÁLCULO!$AB$15:$AL$15,$A15,0,$B15)*OFFSET(ORÇAMENTO!$AA$15,$A15,0,$B15)/(OFFSET(ORÇAMENTO!$X$15,$A15,0,$B15)+10^-12))+IF(AUTOEVENTO="Manual",SUMPRODUCT((OFFSET(CÁLCULO!$M$15,$A15,0,$B15)=1)*OFFSET(ORÇAMENTO!$AA$15,$A15,0,$B15)*(PLE!$AE$9-PLE!$Y$9)),0))</f>
        <v>#NAME?</v>
      </c>
      <c r="AD15" s="184" t="e">
        <f ca="1">IF(_xlfn.SINGLE(ACOMPANHAMENTO)&lt;&gt;"PLE",0,SUMPRODUCT((OFFSET(CÁLCULO!$AX$15:$BH$15,$A15,0,$B15)&lt;=(PLE.Medicao-1))*OFFSET(CÁLCULO!$AB$15:$AL$15,$A15,0,$B15)*OFFSET(ORÇAMENTO!$AB$15,$A15,0,$B15)/(OFFSET(ORÇAMENTO!$X$15,$A15,0,$B15)+10^-12))+IF(AUTOEVENTO="Manual",SUMPRODUCT((OFFSET(CÁLCULO!$M$15,$A15,0,$B15)=1)*OFFSET(ORÇAMENTO!$AB$15,$A15,0,$B15)*(PLE!$AE$9-PLE!$Y$9)),0))</f>
        <v>#NAME?</v>
      </c>
      <c r="AE15" s="184" t="e">
        <f ca="1">ROUND(IF(_xlfn.SINGLE(ACOMPANHAMENTO)&lt;&gt;"PLE",0,SUMIF(OFFSET(CÁLCULO!$AX$15:$BH$15,$A15,0,$B15),"&lt;="&amp;(PLE.Medicao-1),OFFSET(CÁLCULO!$AB$15:$AL$15,$A15,0,$B15))+IF(AUTOEVENTO="Manual",SUMIF(OFFSET(CÁLCULO!$M$15,$A15,0,$B15),1,OFFSET(ORÇAMENTO!$X$15,$A15,0,$B15))*(PLE!$AE$9-PLE!$Y$9),0)),2)</f>
        <v>#NAME?</v>
      </c>
      <c r="AF15" s="184" t="e">
        <f ca="1">IF(_xlfn.SINGLE(ACOMPANHAMENTO)&lt;&gt;"PLE",0,SUMPRODUCT((OFFSET(CÁLCULO!$AX$15:$BH$15,$A15,0,$B15)&lt;=PLE.Medicao)*OFFSET(CÁLCULO!$AB$15:$AL$15,$A15,0,$B15)*OFFSET(ORÇAMENTO!$AA$15,$A15,0,$B15)/(OFFSET(ORÇAMENTO!$X$15,$A15,0,$B15)+10^-12))+IF(AUTOEVENTO="Manual",SUMPRODUCT((OFFSET(CÁLCULO!$M$15,$A15,0,$B15)=1)*OFFSET(ORÇAMENTO!$AA$15,$A15,0,$B15)*PLE!$AE$9),0))</f>
        <v>#NAME?</v>
      </c>
      <c r="AG15" s="184" t="e">
        <f ca="1">IF(_xlfn.SINGLE(ACOMPANHAMENTO)&lt;&gt;"PLE",0,SUMPRODUCT((OFFSET(CÁLCULO!$AX$15:$BH$15,$A15,0,$B15)&lt;=PLE.Medicao)*OFFSET(CÁLCULO!$AB$15:$AL$15,$A15,0,$B15)*OFFSET(ORÇAMENTO!$AB$15,$A15,0,$B15)/(OFFSET(ORÇAMENTO!$X$15,$A15,0,$B15)+10^-12))+IF(AUTOEVENTO="Manual",SUMPRODUCT((OFFSET(CÁLCULO!$M$15,$A15,0,$B15)=1)*OFFSET(ORÇAMENTO!$AB$15,$A15,0,$B15)*PLE!$AE$9),0))</f>
        <v>#NAME?</v>
      </c>
      <c r="AH15" s="184" t="e">
        <f ca="1">ROUND(IF(_xlfn.SINGLE(ACOMPANHAMENTO)&lt;&gt;"PLE",0,SUMIF(OFFSET(CÁLCULO!$AX$15:$BH$15,$A15,0,$B15),"&lt;="&amp;PLE.Medicao,OFFSET(CÁLCULO!$AB$15:$AL$15,$A15,0,$B15))+IF(AUTOEVENTO="Manual",SUMIF(OFFSET(CÁLCULO!$M$15,$A15,0,$B15),1,OFFSET(ORÇAMENTO!$X$15,$A15,0,$B15))*PLE!$AE$9,0)),2)</f>
        <v>#NAME?</v>
      </c>
      <c r="AJ15" s="184" t="e">
        <f ca="1">IF(_xlfn.SINGLE(ACOMPANHAMENTO)&lt;&gt;"BM",0,SUMPRODUCT(OFFSET(BM!$M$15,$A15,0,$B15)*(OFFSET(BM!$A$15,$A15,0,$B15)="S")*OFFSET(ORÇAMENTO!AA$15,$A15,0,$B15)/(OFFSET(ORÇAMENTO!$X$15,$A15,0,$B15)+10^-12)))</f>
        <v>#NAME?</v>
      </c>
      <c r="AK15" s="184" t="e">
        <f ca="1">IF(_xlfn.SINGLE(ACOMPANHAMENTO)&lt;&gt;"BM",0,SUMPRODUCT(OFFSET(BM!$M$15,$A15,0,$B15)*(OFFSET(BM!$A$15,$A15,0,$B15)="S")*OFFSET(ORÇAMENTO!AB$15,$A15,0,$B15)/(OFFSET(ORÇAMENTO!$X$15,$A15,0,$B15)+10^-12)))</f>
        <v>#NAME?</v>
      </c>
      <c r="AL15" s="184" t="e">
        <f ca="1">IF(_xlfn.SINGLE(ACOMPANHAMENTO)&lt;&gt;"BM",0,OFFSET(BM!$M$15,$A15,0))</f>
        <v>#NAME?</v>
      </c>
      <c r="AM15" s="184" t="e">
        <f ca="1">IF(_xlfn.SINGLE(ACOMPANHAMENTO)&lt;&gt;"BM",0,SUMPRODUCT(OFFSET(BM!$O$15,$A15,0,$B15)*(OFFSET(BM!$A$15,$A15,0,$B15)="S")*OFFSET(ORÇAMENTO!AA$15,$A15,0,$B15)/(OFFSET(ORÇAMENTO!$X$15,$A15,0,$B15)+10^-12)))</f>
        <v>#NAME?</v>
      </c>
      <c r="AN15" s="184" t="e">
        <f ca="1">IF(_xlfn.SINGLE(ACOMPANHAMENTO)&lt;&gt;"BM",0,SUMPRODUCT(OFFSET(BM!$O$15,$A15,0,$B15)*(OFFSET(BM!$A$15,$A15,0,$B15)="S")*OFFSET(ORÇAMENTO!AB$15,$A15,0,$B15)/(OFFSET(ORÇAMENTO!$X$15,$A15,0,$B15)+10^-12)))</f>
        <v>#NAME?</v>
      </c>
      <c r="AO15" s="184" t="e">
        <f ca="1">IF(_xlfn.SINGLE(ACOMPANHAMENTO)&lt;&gt;"BM",0,OFFSET(BM!$O$15,$A15,0))</f>
        <v>#NAME?</v>
      </c>
    </row>
    <row r="16" spans="1:41" ht="30" customHeight="1" x14ac:dyDescent="0.2">
      <c r="A16" t="e">
        <f ca="1">MATCH(E16,ORÇAMENTO!$E$15:$E$405,0)-1</f>
        <v>#N/A</v>
      </c>
      <c r="B16" t="e">
        <f ca="1">IF(ISERROR($A16),NA(),OFFSET(ORÇAMENTO!$D$15,$A16,0))</f>
        <v>#N/A</v>
      </c>
      <c r="C16" t="str">
        <f ca="1">QCI!B16</f>
        <v>Branco</v>
      </c>
      <c r="D16" t="str">
        <f t="shared" ca="1" si="0"/>
        <v/>
      </c>
      <c r="E16" s="282">
        <f>QCI!D16</f>
        <v>3</v>
      </c>
      <c r="F16" s="363" t="str">
        <f ca="1">QCI!G16</f>
        <v/>
      </c>
      <c r="G16" s="364">
        <f>QCI!H16</f>
        <v>0</v>
      </c>
      <c r="H16" s="283">
        <f>QCI!I16</f>
        <v>0</v>
      </c>
      <c r="I16" s="283" t="str">
        <f ca="1">QCI!J16</f>
        <v/>
      </c>
      <c r="J16" s="365" t="str">
        <f ca="1">QCI!K16</f>
        <v/>
      </c>
      <c r="K16" s="366" t="e">
        <f ca="1">_xlfn.SINGLE(IF($C16="Automático",IF(_xlfn.SINGLE(ACOMPANHAMENTO)="BM",BM.medicao,PLE.Medicao),IF(ISBLANK($X16),"",$X16)))</f>
        <v>#NAME?</v>
      </c>
      <c r="L16" s="287">
        <f ca="1">QCI!$O16</f>
        <v>0</v>
      </c>
      <c r="M16" s="284">
        <f t="shared" ca="1" si="1"/>
        <v>0</v>
      </c>
      <c r="N16" s="285">
        <f t="shared" ca="1" si="2"/>
        <v>0</v>
      </c>
      <c r="O16" s="286">
        <f t="shared" ca="1" si="3"/>
        <v>0</v>
      </c>
      <c r="P16" s="368">
        <f t="shared" ca="1" si="4"/>
        <v>0</v>
      </c>
      <c r="R16" s="367">
        <f ca="1">ROUND(IF($C16="Automático",AC16+AJ16,$Y16*IF(ISERROR(QCI!$AA16/QCI!$O16),0,QCI!$AA16/QCI!$O16)),2)</f>
        <v>0</v>
      </c>
      <c r="S16" s="367">
        <f ca="1">ROUND(IF($C16="Automático",AD16+AK16,$Y16*IF(ISERROR(QCI!$AB16/QCI!$O16),0,QCI!$AB16/QCI!$O16)),2)</f>
        <v>0</v>
      </c>
      <c r="T16" s="367">
        <f ca="1">ROUND(IF($C16="Automático",AF16+AM16,$Z16*IF(ISERROR(QCI!$AA16/QCI!$O16),0,QCI!$AA16/QCI!$O16)),2)</f>
        <v>0</v>
      </c>
      <c r="U16" s="367">
        <f ca="1">ROUND(IF($C16="Automático",AG16+AN16,$Z16*IF(ISERROR(QCI!$AB16/QCI!$O16),0,QCI!$AB16/QCI!$O16)),2)</f>
        <v>0</v>
      </c>
      <c r="V16" s="450">
        <f ca="1">IF(AND($L16&gt;0,$J16&lt;&gt;0,$J16&lt;&gt;"",COUNTIF($J$13:$J16,$J16)=1),OFFSET(V16,-1,0)+1,OFFSET(V16,-1,0))</f>
        <v>0</v>
      </c>
      <c r="X16" s="514"/>
      <c r="Y16" s="288"/>
      <c r="Z16" s="289"/>
      <c r="AC16" s="184" t="e">
        <f ca="1">IF(_xlfn.SINGLE(ACOMPANHAMENTO)&lt;&gt;"PLE",0,SUMPRODUCT((OFFSET(CÁLCULO!$AX$15:$BH$15,$A16,0,$B16)&lt;=(PLE.Medicao-1))*OFFSET(CÁLCULO!$AB$15:$AL$15,$A16,0,$B16)*OFFSET(ORÇAMENTO!$AA$15,$A16,0,$B16)/(OFFSET(ORÇAMENTO!$X$15,$A16,0,$B16)+10^-12))+IF(AUTOEVENTO="Manual",SUMPRODUCT((OFFSET(CÁLCULO!$M$15,$A16,0,$B16)=1)*OFFSET(ORÇAMENTO!$AA$15,$A16,0,$B16)*(PLE!$AE$9-PLE!$Y$9)),0))</f>
        <v>#NAME?</v>
      </c>
      <c r="AD16" s="184" t="e">
        <f ca="1">IF(_xlfn.SINGLE(ACOMPANHAMENTO)&lt;&gt;"PLE",0,SUMPRODUCT((OFFSET(CÁLCULO!$AX$15:$BH$15,$A16,0,$B16)&lt;=(PLE.Medicao-1))*OFFSET(CÁLCULO!$AB$15:$AL$15,$A16,0,$B16)*OFFSET(ORÇAMENTO!$AB$15,$A16,0,$B16)/(OFFSET(ORÇAMENTO!$X$15,$A16,0,$B16)+10^-12))+IF(AUTOEVENTO="Manual",SUMPRODUCT((OFFSET(CÁLCULO!$M$15,$A16,0,$B16)=1)*OFFSET(ORÇAMENTO!$AB$15,$A16,0,$B16)*(PLE!$AE$9-PLE!$Y$9)),0))</f>
        <v>#NAME?</v>
      </c>
      <c r="AE16" s="184" t="e">
        <f ca="1">ROUND(IF(_xlfn.SINGLE(ACOMPANHAMENTO)&lt;&gt;"PLE",0,SUMIF(OFFSET(CÁLCULO!$AX$15:$BH$15,$A16,0,$B16),"&lt;="&amp;(PLE.Medicao-1),OFFSET(CÁLCULO!$AB$15:$AL$15,$A16,0,$B16))+IF(AUTOEVENTO="Manual",SUMIF(OFFSET(CÁLCULO!$M$15,$A16,0,$B16),1,OFFSET(ORÇAMENTO!$X$15,$A16,0,$B16))*(PLE!$AE$9-PLE!$Y$9),0)),2)</f>
        <v>#NAME?</v>
      </c>
      <c r="AF16" s="184" t="e">
        <f ca="1">IF(_xlfn.SINGLE(ACOMPANHAMENTO)&lt;&gt;"PLE",0,SUMPRODUCT((OFFSET(CÁLCULO!$AX$15:$BH$15,$A16,0,$B16)&lt;=PLE.Medicao)*OFFSET(CÁLCULO!$AB$15:$AL$15,$A16,0,$B16)*OFFSET(ORÇAMENTO!$AA$15,$A16,0,$B16)/(OFFSET(ORÇAMENTO!$X$15,$A16,0,$B16)+10^-12))+IF(AUTOEVENTO="Manual",SUMPRODUCT((OFFSET(CÁLCULO!$M$15,$A16,0,$B16)=1)*OFFSET(ORÇAMENTO!$AA$15,$A16,0,$B16)*PLE!$AE$9),0))</f>
        <v>#NAME?</v>
      </c>
      <c r="AG16" s="184" t="e">
        <f ca="1">IF(_xlfn.SINGLE(ACOMPANHAMENTO)&lt;&gt;"PLE",0,SUMPRODUCT((OFFSET(CÁLCULO!$AX$15:$BH$15,$A16,0,$B16)&lt;=PLE.Medicao)*OFFSET(CÁLCULO!$AB$15:$AL$15,$A16,0,$B16)*OFFSET(ORÇAMENTO!$AB$15,$A16,0,$B16)/(OFFSET(ORÇAMENTO!$X$15,$A16,0,$B16)+10^-12))+IF(AUTOEVENTO="Manual",SUMPRODUCT((OFFSET(CÁLCULO!$M$15,$A16,0,$B16)=1)*OFFSET(ORÇAMENTO!$AB$15,$A16,0,$B16)*PLE!$AE$9),0))</f>
        <v>#NAME?</v>
      </c>
      <c r="AH16" s="184" t="e">
        <f ca="1">ROUND(IF(_xlfn.SINGLE(ACOMPANHAMENTO)&lt;&gt;"PLE",0,SUMIF(OFFSET(CÁLCULO!$AX$15:$BH$15,$A16,0,$B16),"&lt;="&amp;PLE.Medicao,OFFSET(CÁLCULO!$AB$15:$AL$15,$A16,0,$B16))+IF(AUTOEVENTO="Manual",SUMIF(OFFSET(CÁLCULO!$M$15,$A16,0,$B16),1,OFFSET(ORÇAMENTO!$X$15,$A16,0,$B16))*PLE!$AE$9,0)),2)</f>
        <v>#NAME?</v>
      </c>
      <c r="AJ16" s="184" t="e">
        <f ca="1">IF(_xlfn.SINGLE(ACOMPANHAMENTO)&lt;&gt;"BM",0,SUMPRODUCT(OFFSET(BM!$M$15,$A16,0,$B16)*(OFFSET(BM!$A$15,$A16,0,$B16)="S")*OFFSET(ORÇAMENTO!AA$15,$A16,0,$B16)/(OFFSET(ORÇAMENTO!$X$15,$A16,0,$B16)+10^-12)))</f>
        <v>#NAME?</v>
      </c>
      <c r="AK16" s="184" t="e">
        <f ca="1">IF(_xlfn.SINGLE(ACOMPANHAMENTO)&lt;&gt;"BM",0,SUMPRODUCT(OFFSET(BM!$M$15,$A16,0,$B16)*(OFFSET(BM!$A$15,$A16,0,$B16)="S")*OFFSET(ORÇAMENTO!AB$15,$A16,0,$B16)/(OFFSET(ORÇAMENTO!$X$15,$A16,0,$B16)+10^-12)))</f>
        <v>#NAME?</v>
      </c>
      <c r="AL16" s="184" t="e">
        <f ca="1">IF(_xlfn.SINGLE(ACOMPANHAMENTO)&lt;&gt;"BM",0,OFFSET(BM!$M$15,$A16,0))</f>
        <v>#NAME?</v>
      </c>
      <c r="AM16" s="184" t="e">
        <f ca="1">IF(_xlfn.SINGLE(ACOMPANHAMENTO)&lt;&gt;"BM",0,SUMPRODUCT(OFFSET(BM!$O$15,$A16,0,$B16)*(OFFSET(BM!$A$15,$A16,0,$B16)="S")*OFFSET(ORÇAMENTO!AA$15,$A16,0,$B16)/(OFFSET(ORÇAMENTO!$X$15,$A16,0,$B16)+10^-12)))</f>
        <v>#NAME?</v>
      </c>
      <c r="AN16" s="184" t="e">
        <f ca="1">IF(_xlfn.SINGLE(ACOMPANHAMENTO)&lt;&gt;"BM",0,SUMPRODUCT(OFFSET(BM!$O$15,$A16,0,$B16)*(OFFSET(BM!$A$15,$A16,0,$B16)="S")*OFFSET(ORÇAMENTO!AB$15,$A16,0,$B16)/(OFFSET(ORÇAMENTO!$X$15,$A16,0,$B16)+10^-12)))</f>
        <v>#NAME?</v>
      </c>
      <c r="AO16" s="184" t="e">
        <f ca="1">IF(_xlfn.SINGLE(ACOMPANHAMENTO)&lt;&gt;"BM",0,OFFSET(BM!$O$15,$A16,0))</f>
        <v>#NAME?</v>
      </c>
    </row>
    <row r="17" spans="1:41" ht="30" customHeight="1" x14ac:dyDescent="0.2">
      <c r="A17" t="e">
        <f ca="1">MATCH(E17,ORÇAMENTO!$E$15:$E$405,0)-1</f>
        <v>#N/A</v>
      </c>
      <c r="B17" t="e">
        <f ca="1">IF(ISERROR($A17),NA(),OFFSET(ORÇAMENTO!$D$15,$A17,0))</f>
        <v>#N/A</v>
      </c>
      <c r="C17" t="str">
        <f ca="1">QCI!B17</f>
        <v>Branco</v>
      </c>
      <c r="D17" t="str">
        <f t="shared" ca="1" si="0"/>
        <v/>
      </c>
      <c r="E17" s="282">
        <f>QCI!D17</f>
        <v>4</v>
      </c>
      <c r="F17" s="363" t="str">
        <f ca="1">QCI!G17</f>
        <v/>
      </c>
      <c r="G17" s="364">
        <f>QCI!H17</f>
        <v>0</v>
      </c>
      <c r="H17" s="283">
        <f>QCI!I17</f>
        <v>0</v>
      </c>
      <c r="I17" s="283" t="str">
        <f ca="1">QCI!J17</f>
        <v/>
      </c>
      <c r="J17" s="365" t="str">
        <f ca="1">QCI!K17</f>
        <v/>
      </c>
      <c r="K17" s="366" t="e">
        <f ca="1">_xlfn.SINGLE(IF($C17="Automático",IF(_xlfn.SINGLE(ACOMPANHAMENTO)="BM",BM.medicao,PLE.Medicao),IF(ISBLANK($X17),"",$X17)))</f>
        <v>#NAME?</v>
      </c>
      <c r="L17" s="287">
        <f ca="1">QCI!$O17</f>
        <v>0</v>
      </c>
      <c r="M17" s="284">
        <f t="shared" ca="1" si="1"/>
        <v>0</v>
      </c>
      <c r="N17" s="285">
        <f t="shared" ca="1" si="2"/>
        <v>0</v>
      </c>
      <c r="O17" s="286">
        <f t="shared" ca="1" si="3"/>
        <v>0</v>
      </c>
      <c r="P17" s="368">
        <f t="shared" ca="1" si="4"/>
        <v>0</v>
      </c>
      <c r="R17" s="367">
        <f ca="1">ROUND(IF($C17="Automático",AC17+AJ17,$Y17*IF(ISERROR(QCI!$AA17/QCI!$O17),0,QCI!$AA17/QCI!$O17)),2)</f>
        <v>0</v>
      </c>
      <c r="S17" s="367">
        <f ca="1">ROUND(IF($C17="Automático",AD17+AK17,$Y17*IF(ISERROR(QCI!$AB17/QCI!$O17),0,QCI!$AB17/QCI!$O17)),2)</f>
        <v>0</v>
      </c>
      <c r="T17" s="367">
        <f ca="1">ROUND(IF($C17="Automático",AF17+AM17,$Z17*IF(ISERROR(QCI!$AA17/QCI!$O17),0,QCI!$AA17/QCI!$O17)),2)</f>
        <v>0</v>
      </c>
      <c r="U17" s="367">
        <f ca="1">ROUND(IF($C17="Automático",AG17+AN17,$Z17*IF(ISERROR(QCI!$AB17/QCI!$O17),0,QCI!$AB17/QCI!$O17)),2)</f>
        <v>0</v>
      </c>
      <c r="V17" s="450">
        <f ca="1">IF(AND($L17&gt;0,$J17&lt;&gt;0,$J17&lt;&gt;"",COUNTIF($J$13:$J17,$J17)=1),OFFSET(V17,-1,0)+1,OFFSET(V17,-1,0))</f>
        <v>0</v>
      </c>
      <c r="X17" s="514"/>
      <c r="Y17" s="288"/>
      <c r="Z17" s="289"/>
      <c r="AC17" s="184" t="e">
        <f ca="1">IF(_xlfn.SINGLE(ACOMPANHAMENTO)&lt;&gt;"PLE",0,SUMPRODUCT((OFFSET(CÁLCULO!$AX$15:$BH$15,$A17,0,$B17)&lt;=(PLE.Medicao-1))*OFFSET(CÁLCULO!$AB$15:$AL$15,$A17,0,$B17)*OFFSET(ORÇAMENTO!$AA$15,$A17,0,$B17)/(OFFSET(ORÇAMENTO!$X$15,$A17,0,$B17)+10^-12))+IF(AUTOEVENTO="Manual",SUMPRODUCT((OFFSET(CÁLCULO!$M$15,$A17,0,$B17)=1)*OFFSET(ORÇAMENTO!$AA$15,$A17,0,$B17)*(PLE!$AE$9-PLE!$Y$9)),0))</f>
        <v>#NAME?</v>
      </c>
      <c r="AD17" s="184" t="e">
        <f ca="1">IF(_xlfn.SINGLE(ACOMPANHAMENTO)&lt;&gt;"PLE",0,SUMPRODUCT((OFFSET(CÁLCULO!$AX$15:$BH$15,$A17,0,$B17)&lt;=(PLE.Medicao-1))*OFFSET(CÁLCULO!$AB$15:$AL$15,$A17,0,$B17)*OFFSET(ORÇAMENTO!$AB$15,$A17,0,$B17)/(OFFSET(ORÇAMENTO!$X$15,$A17,0,$B17)+10^-12))+IF(AUTOEVENTO="Manual",SUMPRODUCT((OFFSET(CÁLCULO!$M$15,$A17,0,$B17)=1)*OFFSET(ORÇAMENTO!$AB$15,$A17,0,$B17)*(PLE!$AE$9-PLE!$Y$9)),0))</f>
        <v>#NAME?</v>
      </c>
      <c r="AE17" s="184" t="e">
        <f ca="1">ROUND(IF(_xlfn.SINGLE(ACOMPANHAMENTO)&lt;&gt;"PLE",0,SUMIF(OFFSET(CÁLCULO!$AX$15:$BH$15,$A17,0,$B17),"&lt;="&amp;(PLE.Medicao-1),OFFSET(CÁLCULO!$AB$15:$AL$15,$A17,0,$B17))+IF(AUTOEVENTO="Manual",SUMIF(OFFSET(CÁLCULO!$M$15,$A17,0,$B17),1,OFFSET(ORÇAMENTO!$X$15,$A17,0,$B17))*(PLE!$AE$9-PLE!$Y$9),0)),2)</f>
        <v>#NAME?</v>
      </c>
      <c r="AF17" s="184" t="e">
        <f ca="1">IF(_xlfn.SINGLE(ACOMPANHAMENTO)&lt;&gt;"PLE",0,SUMPRODUCT((OFFSET(CÁLCULO!$AX$15:$BH$15,$A17,0,$B17)&lt;=PLE.Medicao)*OFFSET(CÁLCULO!$AB$15:$AL$15,$A17,0,$B17)*OFFSET(ORÇAMENTO!$AA$15,$A17,0,$B17)/(OFFSET(ORÇAMENTO!$X$15,$A17,0,$B17)+10^-12))+IF(AUTOEVENTO="Manual",SUMPRODUCT((OFFSET(CÁLCULO!$M$15,$A17,0,$B17)=1)*OFFSET(ORÇAMENTO!$AA$15,$A17,0,$B17)*PLE!$AE$9),0))</f>
        <v>#NAME?</v>
      </c>
      <c r="AG17" s="184" t="e">
        <f ca="1">IF(_xlfn.SINGLE(ACOMPANHAMENTO)&lt;&gt;"PLE",0,SUMPRODUCT((OFFSET(CÁLCULO!$AX$15:$BH$15,$A17,0,$B17)&lt;=PLE.Medicao)*OFFSET(CÁLCULO!$AB$15:$AL$15,$A17,0,$B17)*OFFSET(ORÇAMENTO!$AB$15,$A17,0,$B17)/(OFFSET(ORÇAMENTO!$X$15,$A17,0,$B17)+10^-12))+IF(AUTOEVENTO="Manual",SUMPRODUCT((OFFSET(CÁLCULO!$M$15,$A17,0,$B17)=1)*OFFSET(ORÇAMENTO!$AB$15,$A17,0,$B17)*PLE!$AE$9),0))</f>
        <v>#NAME?</v>
      </c>
      <c r="AH17" s="184" t="e">
        <f ca="1">ROUND(IF(_xlfn.SINGLE(ACOMPANHAMENTO)&lt;&gt;"PLE",0,SUMIF(OFFSET(CÁLCULO!$AX$15:$BH$15,$A17,0,$B17),"&lt;="&amp;PLE.Medicao,OFFSET(CÁLCULO!$AB$15:$AL$15,$A17,0,$B17))+IF(AUTOEVENTO="Manual",SUMIF(OFFSET(CÁLCULO!$M$15,$A17,0,$B17),1,OFFSET(ORÇAMENTO!$X$15,$A17,0,$B17))*PLE!$AE$9,0)),2)</f>
        <v>#NAME?</v>
      </c>
      <c r="AJ17" s="184" t="e">
        <f ca="1">IF(_xlfn.SINGLE(ACOMPANHAMENTO)&lt;&gt;"BM",0,SUMPRODUCT(OFFSET(BM!$M$15,$A17,0,$B17)*(OFFSET(BM!$A$15,$A17,0,$B17)="S")*OFFSET(ORÇAMENTO!AA$15,$A17,0,$B17)/(OFFSET(ORÇAMENTO!$X$15,$A17,0,$B17)+10^-12)))</f>
        <v>#NAME?</v>
      </c>
      <c r="AK17" s="184" t="e">
        <f ca="1">IF(_xlfn.SINGLE(ACOMPANHAMENTO)&lt;&gt;"BM",0,SUMPRODUCT(OFFSET(BM!$M$15,$A17,0,$B17)*(OFFSET(BM!$A$15,$A17,0,$B17)="S")*OFFSET(ORÇAMENTO!AB$15,$A17,0,$B17)/(OFFSET(ORÇAMENTO!$X$15,$A17,0,$B17)+10^-12)))</f>
        <v>#NAME?</v>
      </c>
      <c r="AL17" s="184" t="e">
        <f ca="1">IF(_xlfn.SINGLE(ACOMPANHAMENTO)&lt;&gt;"BM",0,OFFSET(BM!$M$15,$A17,0))</f>
        <v>#NAME?</v>
      </c>
      <c r="AM17" s="184" t="e">
        <f ca="1">IF(_xlfn.SINGLE(ACOMPANHAMENTO)&lt;&gt;"BM",0,SUMPRODUCT(OFFSET(BM!$O$15,$A17,0,$B17)*(OFFSET(BM!$A$15,$A17,0,$B17)="S")*OFFSET(ORÇAMENTO!AA$15,$A17,0,$B17)/(OFFSET(ORÇAMENTO!$X$15,$A17,0,$B17)+10^-12)))</f>
        <v>#NAME?</v>
      </c>
      <c r="AN17" s="184" t="e">
        <f ca="1">IF(_xlfn.SINGLE(ACOMPANHAMENTO)&lt;&gt;"BM",0,SUMPRODUCT(OFFSET(BM!$O$15,$A17,0,$B17)*(OFFSET(BM!$A$15,$A17,0,$B17)="S")*OFFSET(ORÇAMENTO!AB$15,$A17,0,$B17)/(OFFSET(ORÇAMENTO!$X$15,$A17,0,$B17)+10^-12)))</f>
        <v>#NAME?</v>
      </c>
      <c r="AO17" s="184" t="e">
        <f ca="1">IF(_xlfn.SINGLE(ACOMPANHAMENTO)&lt;&gt;"BM",0,OFFSET(BM!$O$15,$A17,0))</f>
        <v>#NAME?</v>
      </c>
    </row>
    <row r="18" spans="1:41" ht="30" customHeight="1" x14ac:dyDescent="0.2">
      <c r="A18" t="e">
        <f ca="1">MATCH(E18,ORÇAMENTO!$E$15:$E$405,0)-1</f>
        <v>#N/A</v>
      </c>
      <c r="B18" t="e">
        <f ca="1">IF(ISERROR($A18),NA(),OFFSET(ORÇAMENTO!$D$15,$A18,0))</f>
        <v>#N/A</v>
      </c>
      <c r="C18" t="str">
        <f ca="1">QCI!B18</f>
        <v>Branco</v>
      </c>
      <c r="D18" t="str">
        <f t="shared" ca="1" si="0"/>
        <v/>
      </c>
      <c r="E18" s="282">
        <f>QCI!D18</f>
        <v>5</v>
      </c>
      <c r="F18" s="363" t="str">
        <f ca="1">QCI!G18</f>
        <v/>
      </c>
      <c r="G18" s="364">
        <f>QCI!H18</f>
        <v>0</v>
      </c>
      <c r="H18" s="283">
        <f>QCI!I18</f>
        <v>0</v>
      </c>
      <c r="I18" s="283" t="str">
        <f ca="1">QCI!J18</f>
        <v/>
      </c>
      <c r="J18" s="365" t="str">
        <f ca="1">QCI!K18</f>
        <v/>
      </c>
      <c r="K18" s="366" t="e">
        <f ca="1">_xlfn.SINGLE(IF($C18="Automático",IF(_xlfn.SINGLE(ACOMPANHAMENTO)="BM",BM.medicao,PLE.Medicao),IF(ISBLANK($X18),"",$X18)))</f>
        <v>#NAME?</v>
      </c>
      <c r="L18" s="287">
        <f ca="1">QCI!$O18</f>
        <v>0</v>
      </c>
      <c r="M18" s="284">
        <f t="shared" ca="1" si="1"/>
        <v>0</v>
      </c>
      <c r="N18" s="285">
        <f t="shared" ca="1" si="2"/>
        <v>0</v>
      </c>
      <c r="O18" s="286">
        <f t="shared" ca="1" si="3"/>
        <v>0</v>
      </c>
      <c r="P18" s="368">
        <f t="shared" ca="1" si="4"/>
        <v>0</v>
      </c>
      <c r="R18" s="367">
        <f ca="1">ROUND(IF($C18="Automático",AC18+AJ18,$Y18*IF(ISERROR(QCI!$AA18/QCI!$O18),0,QCI!$AA18/QCI!$O18)),2)</f>
        <v>0</v>
      </c>
      <c r="S18" s="367">
        <f ca="1">ROUND(IF($C18="Automático",AD18+AK18,$Y18*IF(ISERROR(QCI!$AB18/QCI!$O18),0,QCI!$AB18/QCI!$O18)),2)</f>
        <v>0</v>
      </c>
      <c r="T18" s="367">
        <f ca="1">ROUND(IF($C18="Automático",AF18+AM18,$Z18*IF(ISERROR(QCI!$AA18/QCI!$O18),0,QCI!$AA18/QCI!$O18)),2)</f>
        <v>0</v>
      </c>
      <c r="U18" s="367">
        <f ca="1">ROUND(IF($C18="Automático",AG18+AN18,$Z18*IF(ISERROR(QCI!$AB18/QCI!$O18),0,QCI!$AB18/QCI!$O18)),2)</f>
        <v>0</v>
      </c>
      <c r="V18" s="450">
        <f ca="1">IF(AND($L18&gt;0,$J18&lt;&gt;0,$J18&lt;&gt;"",COUNTIF($J$13:$J18,$J18)=1),OFFSET(V18,-1,0)+1,OFFSET(V18,-1,0))</f>
        <v>0</v>
      </c>
      <c r="X18" s="514"/>
      <c r="Y18" s="288"/>
      <c r="Z18" s="289"/>
      <c r="AC18" s="184" t="e">
        <f ca="1">IF(_xlfn.SINGLE(ACOMPANHAMENTO)&lt;&gt;"PLE",0,SUMPRODUCT((OFFSET(CÁLCULO!$AX$15:$BH$15,$A18,0,$B18)&lt;=(PLE.Medicao-1))*OFFSET(CÁLCULO!$AB$15:$AL$15,$A18,0,$B18)*OFFSET(ORÇAMENTO!$AA$15,$A18,0,$B18)/(OFFSET(ORÇAMENTO!$X$15,$A18,0,$B18)+10^-12))+IF(AUTOEVENTO="Manual",SUMPRODUCT((OFFSET(CÁLCULO!$M$15,$A18,0,$B18)=1)*OFFSET(ORÇAMENTO!$AA$15,$A18,0,$B18)*(PLE!$AE$9-PLE!$Y$9)),0))</f>
        <v>#NAME?</v>
      </c>
      <c r="AD18" s="184" t="e">
        <f ca="1">IF(_xlfn.SINGLE(ACOMPANHAMENTO)&lt;&gt;"PLE",0,SUMPRODUCT((OFFSET(CÁLCULO!$AX$15:$BH$15,$A18,0,$B18)&lt;=(PLE.Medicao-1))*OFFSET(CÁLCULO!$AB$15:$AL$15,$A18,0,$B18)*OFFSET(ORÇAMENTO!$AB$15,$A18,0,$B18)/(OFFSET(ORÇAMENTO!$X$15,$A18,0,$B18)+10^-12))+IF(AUTOEVENTO="Manual",SUMPRODUCT((OFFSET(CÁLCULO!$M$15,$A18,0,$B18)=1)*OFFSET(ORÇAMENTO!$AB$15,$A18,0,$B18)*(PLE!$AE$9-PLE!$Y$9)),0))</f>
        <v>#NAME?</v>
      </c>
      <c r="AE18" s="184" t="e">
        <f ca="1">ROUND(IF(_xlfn.SINGLE(ACOMPANHAMENTO)&lt;&gt;"PLE",0,SUMIF(OFFSET(CÁLCULO!$AX$15:$BH$15,$A18,0,$B18),"&lt;="&amp;(PLE.Medicao-1),OFFSET(CÁLCULO!$AB$15:$AL$15,$A18,0,$B18))+IF(AUTOEVENTO="Manual",SUMIF(OFFSET(CÁLCULO!$M$15,$A18,0,$B18),1,OFFSET(ORÇAMENTO!$X$15,$A18,0,$B18))*(PLE!$AE$9-PLE!$Y$9),0)),2)</f>
        <v>#NAME?</v>
      </c>
      <c r="AF18" s="184" t="e">
        <f ca="1">IF(_xlfn.SINGLE(ACOMPANHAMENTO)&lt;&gt;"PLE",0,SUMPRODUCT((OFFSET(CÁLCULO!$AX$15:$BH$15,$A18,0,$B18)&lt;=PLE.Medicao)*OFFSET(CÁLCULO!$AB$15:$AL$15,$A18,0,$B18)*OFFSET(ORÇAMENTO!$AA$15,$A18,0,$B18)/(OFFSET(ORÇAMENTO!$X$15,$A18,0,$B18)+10^-12))+IF(AUTOEVENTO="Manual",SUMPRODUCT((OFFSET(CÁLCULO!$M$15,$A18,0,$B18)=1)*OFFSET(ORÇAMENTO!$AA$15,$A18,0,$B18)*PLE!$AE$9),0))</f>
        <v>#NAME?</v>
      </c>
      <c r="AG18" s="184" t="e">
        <f ca="1">IF(_xlfn.SINGLE(ACOMPANHAMENTO)&lt;&gt;"PLE",0,SUMPRODUCT((OFFSET(CÁLCULO!$AX$15:$BH$15,$A18,0,$B18)&lt;=PLE.Medicao)*OFFSET(CÁLCULO!$AB$15:$AL$15,$A18,0,$B18)*OFFSET(ORÇAMENTO!$AB$15,$A18,0,$B18)/(OFFSET(ORÇAMENTO!$X$15,$A18,0,$B18)+10^-12))+IF(AUTOEVENTO="Manual",SUMPRODUCT((OFFSET(CÁLCULO!$M$15,$A18,0,$B18)=1)*OFFSET(ORÇAMENTO!$AB$15,$A18,0,$B18)*PLE!$AE$9),0))</f>
        <v>#NAME?</v>
      </c>
      <c r="AH18" s="184" t="e">
        <f ca="1">ROUND(IF(_xlfn.SINGLE(ACOMPANHAMENTO)&lt;&gt;"PLE",0,SUMIF(OFFSET(CÁLCULO!$AX$15:$BH$15,$A18,0,$B18),"&lt;="&amp;PLE.Medicao,OFFSET(CÁLCULO!$AB$15:$AL$15,$A18,0,$B18))+IF(AUTOEVENTO="Manual",SUMIF(OFFSET(CÁLCULO!$M$15,$A18,0,$B18),1,OFFSET(ORÇAMENTO!$X$15,$A18,0,$B18))*PLE!$AE$9,0)),2)</f>
        <v>#NAME?</v>
      </c>
      <c r="AJ18" s="184" t="e">
        <f ca="1">IF(_xlfn.SINGLE(ACOMPANHAMENTO)&lt;&gt;"BM",0,SUMPRODUCT(OFFSET(BM!$M$15,$A18,0,$B18)*(OFFSET(BM!$A$15,$A18,0,$B18)="S")*OFFSET(ORÇAMENTO!AA$15,$A18,0,$B18)/(OFFSET(ORÇAMENTO!$X$15,$A18,0,$B18)+10^-12)))</f>
        <v>#NAME?</v>
      </c>
      <c r="AK18" s="184" t="e">
        <f ca="1">IF(_xlfn.SINGLE(ACOMPANHAMENTO)&lt;&gt;"BM",0,SUMPRODUCT(OFFSET(BM!$M$15,$A18,0,$B18)*(OFFSET(BM!$A$15,$A18,0,$B18)="S")*OFFSET(ORÇAMENTO!AB$15,$A18,0,$B18)/(OFFSET(ORÇAMENTO!$X$15,$A18,0,$B18)+10^-12)))</f>
        <v>#NAME?</v>
      </c>
      <c r="AL18" s="184" t="e">
        <f ca="1">IF(_xlfn.SINGLE(ACOMPANHAMENTO)&lt;&gt;"BM",0,OFFSET(BM!$M$15,$A18,0))</f>
        <v>#NAME?</v>
      </c>
      <c r="AM18" s="184" t="e">
        <f ca="1">IF(_xlfn.SINGLE(ACOMPANHAMENTO)&lt;&gt;"BM",0,SUMPRODUCT(OFFSET(BM!$O$15,$A18,0,$B18)*(OFFSET(BM!$A$15,$A18,0,$B18)="S")*OFFSET(ORÇAMENTO!AA$15,$A18,0,$B18)/(OFFSET(ORÇAMENTO!$X$15,$A18,0,$B18)+10^-12)))</f>
        <v>#NAME?</v>
      </c>
      <c r="AN18" s="184" t="e">
        <f ca="1">IF(_xlfn.SINGLE(ACOMPANHAMENTO)&lt;&gt;"BM",0,SUMPRODUCT(OFFSET(BM!$O$15,$A18,0,$B18)*(OFFSET(BM!$A$15,$A18,0,$B18)="S")*OFFSET(ORÇAMENTO!AB$15,$A18,0,$B18)/(OFFSET(ORÇAMENTO!$X$15,$A18,0,$B18)+10^-12)))</f>
        <v>#NAME?</v>
      </c>
      <c r="AO18" s="184" t="e">
        <f ca="1">IF(_xlfn.SINGLE(ACOMPANHAMENTO)&lt;&gt;"BM",0,OFFSET(BM!$O$15,$A18,0))</f>
        <v>#NAME?</v>
      </c>
    </row>
    <row r="19" spans="1:41" ht="30" customHeight="1" x14ac:dyDescent="0.2">
      <c r="A19" t="e">
        <f ca="1">MATCH(E19,ORÇAMENTO!$E$15:$E$405,0)-1</f>
        <v>#N/A</v>
      </c>
      <c r="B19" t="e">
        <f ca="1">IF(ISERROR($A19),NA(),OFFSET(ORÇAMENTO!$D$15,$A19,0))</f>
        <v>#N/A</v>
      </c>
      <c r="C19" t="str">
        <f ca="1">QCI!B19</f>
        <v>Branco</v>
      </c>
      <c r="D19" t="str">
        <f t="shared" ca="1" si="0"/>
        <v/>
      </c>
      <c r="E19" s="282">
        <f>QCI!D19</f>
        <v>6</v>
      </c>
      <c r="F19" s="363" t="str">
        <f ca="1">QCI!G19</f>
        <v/>
      </c>
      <c r="G19" s="364">
        <f>QCI!H19</f>
        <v>0</v>
      </c>
      <c r="H19" s="283">
        <f>QCI!I19</f>
        <v>0</v>
      </c>
      <c r="I19" s="283" t="str">
        <f ca="1">QCI!J19</f>
        <v/>
      </c>
      <c r="J19" s="365" t="str">
        <f ca="1">QCI!K19</f>
        <v/>
      </c>
      <c r="K19" s="366" t="e">
        <f ca="1">_xlfn.SINGLE(IF($C19="Automático",IF(_xlfn.SINGLE(ACOMPANHAMENTO)="BM",BM.medicao,PLE.Medicao),IF(ISBLANK($X19),"",$X19)))</f>
        <v>#NAME?</v>
      </c>
      <c r="L19" s="287">
        <f ca="1">QCI!$O19</f>
        <v>0</v>
      </c>
      <c r="M19" s="284">
        <f t="shared" ca="1" si="1"/>
        <v>0</v>
      </c>
      <c r="N19" s="285">
        <f t="shared" ca="1" si="2"/>
        <v>0</v>
      </c>
      <c r="O19" s="286">
        <f t="shared" ca="1" si="3"/>
        <v>0</v>
      </c>
      <c r="P19" s="368">
        <f t="shared" ca="1" si="4"/>
        <v>0</v>
      </c>
      <c r="R19" s="367">
        <f ca="1">ROUND(IF($C19="Automático",AC19+AJ19,$Y19*IF(ISERROR(QCI!$AA19/QCI!$O19),0,QCI!$AA19/QCI!$O19)),2)</f>
        <v>0</v>
      </c>
      <c r="S19" s="367">
        <f ca="1">ROUND(IF($C19="Automático",AD19+AK19,$Y19*IF(ISERROR(QCI!$AB19/QCI!$O19),0,QCI!$AB19/QCI!$O19)),2)</f>
        <v>0</v>
      </c>
      <c r="T19" s="367">
        <f ca="1">ROUND(IF($C19="Automático",AF19+AM19,$Z19*IF(ISERROR(QCI!$AA19/QCI!$O19),0,QCI!$AA19/QCI!$O19)),2)</f>
        <v>0</v>
      </c>
      <c r="U19" s="367">
        <f ca="1">ROUND(IF($C19="Automático",AG19+AN19,$Z19*IF(ISERROR(QCI!$AB19/QCI!$O19),0,QCI!$AB19/QCI!$O19)),2)</f>
        <v>0</v>
      </c>
      <c r="V19" s="450">
        <f ca="1">IF(AND($L19&gt;0,$J19&lt;&gt;0,$J19&lt;&gt;"",COUNTIF($J$13:$J19,$J19)=1),OFFSET(V19,-1,0)+1,OFFSET(V19,-1,0))</f>
        <v>0</v>
      </c>
      <c r="X19" s="514"/>
      <c r="Y19" s="288"/>
      <c r="Z19" s="289"/>
      <c r="AC19" s="184" t="e">
        <f ca="1">IF(_xlfn.SINGLE(ACOMPANHAMENTO)&lt;&gt;"PLE",0,SUMPRODUCT((OFFSET(CÁLCULO!$AX$15:$BH$15,$A19,0,$B19)&lt;=(PLE.Medicao-1))*OFFSET(CÁLCULO!$AB$15:$AL$15,$A19,0,$B19)*OFFSET(ORÇAMENTO!$AA$15,$A19,0,$B19)/(OFFSET(ORÇAMENTO!$X$15,$A19,0,$B19)+10^-12))+IF(AUTOEVENTO="Manual",SUMPRODUCT((OFFSET(CÁLCULO!$M$15,$A19,0,$B19)=1)*OFFSET(ORÇAMENTO!$AA$15,$A19,0,$B19)*(PLE!$AE$9-PLE!$Y$9)),0))</f>
        <v>#NAME?</v>
      </c>
      <c r="AD19" s="184" t="e">
        <f ca="1">IF(_xlfn.SINGLE(ACOMPANHAMENTO)&lt;&gt;"PLE",0,SUMPRODUCT((OFFSET(CÁLCULO!$AX$15:$BH$15,$A19,0,$B19)&lt;=(PLE.Medicao-1))*OFFSET(CÁLCULO!$AB$15:$AL$15,$A19,0,$B19)*OFFSET(ORÇAMENTO!$AB$15,$A19,0,$B19)/(OFFSET(ORÇAMENTO!$X$15,$A19,0,$B19)+10^-12))+IF(AUTOEVENTO="Manual",SUMPRODUCT((OFFSET(CÁLCULO!$M$15,$A19,0,$B19)=1)*OFFSET(ORÇAMENTO!$AB$15,$A19,0,$B19)*(PLE!$AE$9-PLE!$Y$9)),0))</f>
        <v>#NAME?</v>
      </c>
      <c r="AE19" s="184" t="e">
        <f ca="1">ROUND(IF(_xlfn.SINGLE(ACOMPANHAMENTO)&lt;&gt;"PLE",0,SUMIF(OFFSET(CÁLCULO!$AX$15:$BH$15,$A19,0,$B19),"&lt;="&amp;(PLE.Medicao-1),OFFSET(CÁLCULO!$AB$15:$AL$15,$A19,0,$B19))+IF(AUTOEVENTO="Manual",SUMIF(OFFSET(CÁLCULO!$M$15,$A19,0,$B19),1,OFFSET(ORÇAMENTO!$X$15,$A19,0,$B19))*(PLE!$AE$9-PLE!$Y$9),0)),2)</f>
        <v>#NAME?</v>
      </c>
      <c r="AF19" s="184" t="e">
        <f ca="1">IF(_xlfn.SINGLE(ACOMPANHAMENTO)&lt;&gt;"PLE",0,SUMPRODUCT((OFFSET(CÁLCULO!$AX$15:$BH$15,$A19,0,$B19)&lt;=PLE.Medicao)*OFFSET(CÁLCULO!$AB$15:$AL$15,$A19,0,$B19)*OFFSET(ORÇAMENTO!$AA$15,$A19,0,$B19)/(OFFSET(ORÇAMENTO!$X$15,$A19,0,$B19)+10^-12))+IF(AUTOEVENTO="Manual",SUMPRODUCT((OFFSET(CÁLCULO!$M$15,$A19,0,$B19)=1)*OFFSET(ORÇAMENTO!$AA$15,$A19,0,$B19)*PLE!$AE$9),0))</f>
        <v>#NAME?</v>
      </c>
      <c r="AG19" s="184" t="e">
        <f ca="1">IF(_xlfn.SINGLE(ACOMPANHAMENTO)&lt;&gt;"PLE",0,SUMPRODUCT((OFFSET(CÁLCULO!$AX$15:$BH$15,$A19,0,$B19)&lt;=PLE.Medicao)*OFFSET(CÁLCULO!$AB$15:$AL$15,$A19,0,$B19)*OFFSET(ORÇAMENTO!$AB$15,$A19,0,$B19)/(OFFSET(ORÇAMENTO!$X$15,$A19,0,$B19)+10^-12))+IF(AUTOEVENTO="Manual",SUMPRODUCT((OFFSET(CÁLCULO!$M$15,$A19,0,$B19)=1)*OFFSET(ORÇAMENTO!$AB$15,$A19,0,$B19)*PLE!$AE$9),0))</f>
        <v>#NAME?</v>
      </c>
      <c r="AH19" s="184" t="e">
        <f ca="1">ROUND(IF(_xlfn.SINGLE(ACOMPANHAMENTO)&lt;&gt;"PLE",0,SUMIF(OFFSET(CÁLCULO!$AX$15:$BH$15,$A19,0,$B19),"&lt;="&amp;PLE.Medicao,OFFSET(CÁLCULO!$AB$15:$AL$15,$A19,0,$B19))+IF(AUTOEVENTO="Manual",SUMIF(OFFSET(CÁLCULO!$M$15,$A19,0,$B19),1,OFFSET(ORÇAMENTO!$X$15,$A19,0,$B19))*PLE!$AE$9,0)),2)</f>
        <v>#NAME?</v>
      </c>
      <c r="AJ19" s="184" t="e">
        <f ca="1">IF(_xlfn.SINGLE(ACOMPANHAMENTO)&lt;&gt;"BM",0,SUMPRODUCT(OFFSET(BM!$M$15,$A19,0,$B19)*(OFFSET(BM!$A$15,$A19,0,$B19)="S")*OFFSET(ORÇAMENTO!AA$15,$A19,0,$B19)/(OFFSET(ORÇAMENTO!$X$15,$A19,0,$B19)+10^-12)))</f>
        <v>#NAME?</v>
      </c>
      <c r="AK19" s="184" t="e">
        <f ca="1">IF(_xlfn.SINGLE(ACOMPANHAMENTO)&lt;&gt;"BM",0,SUMPRODUCT(OFFSET(BM!$M$15,$A19,0,$B19)*(OFFSET(BM!$A$15,$A19,0,$B19)="S")*OFFSET(ORÇAMENTO!AB$15,$A19,0,$B19)/(OFFSET(ORÇAMENTO!$X$15,$A19,0,$B19)+10^-12)))</f>
        <v>#NAME?</v>
      </c>
      <c r="AL19" s="184" t="e">
        <f ca="1">IF(_xlfn.SINGLE(ACOMPANHAMENTO)&lt;&gt;"BM",0,OFFSET(BM!$M$15,$A19,0))</f>
        <v>#NAME?</v>
      </c>
      <c r="AM19" s="184" t="e">
        <f ca="1">IF(_xlfn.SINGLE(ACOMPANHAMENTO)&lt;&gt;"BM",0,SUMPRODUCT(OFFSET(BM!$O$15,$A19,0,$B19)*(OFFSET(BM!$A$15,$A19,0,$B19)="S")*OFFSET(ORÇAMENTO!AA$15,$A19,0,$B19)/(OFFSET(ORÇAMENTO!$X$15,$A19,0,$B19)+10^-12)))</f>
        <v>#NAME?</v>
      </c>
      <c r="AN19" s="184" t="e">
        <f ca="1">IF(_xlfn.SINGLE(ACOMPANHAMENTO)&lt;&gt;"BM",0,SUMPRODUCT(OFFSET(BM!$O$15,$A19,0,$B19)*(OFFSET(BM!$A$15,$A19,0,$B19)="S")*OFFSET(ORÇAMENTO!AB$15,$A19,0,$B19)/(OFFSET(ORÇAMENTO!$X$15,$A19,0,$B19)+10^-12)))</f>
        <v>#NAME?</v>
      </c>
      <c r="AO19" s="184" t="e">
        <f ca="1">IF(_xlfn.SINGLE(ACOMPANHAMENTO)&lt;&gt;"BM",0,OFFSET(BM!$O$15,$A19,0))</f>
        <v>#NAME?</v>
      </c>
    </row>
    <row r="20" spans="1:41" ht="30" customHeight="1" x14ac:dyDescent="0.2">
      <c r="A20" t="e">
        <f ca="1">MATCH(E20,ORÇAMENTO!$E$15:$E$405,0)-1</f>
        <v>#N/A</v>
      </c>
      <c r="B20" t="e">
        <f ca="1">IF(ISERROR($A20),NA(),OFFSET(ORÇAMENTO!$D$15,$A20,0))</f>
        <v>#N/A</v>
      </c>
      <c r="C20" t="str">
        <f ca="1">QCI!B20</f>
        <v>Branco</v>
      </c>
      <c r="D20" t="str">
        <f t="shared" ca="1" si="0"/>
        <v/>
      </c>
      <c r="E20" s="282">
        <f>QCI!D20</f>
        <v>7</v>
      </c>
      <c r="F20" s="363" t="str">
        <f ca="1">QCI!G20</f>
        <v/>
      </c>
      <c r="G20" s="364">
        <f>QCI!H20</f>
        <v>0</v>
      </c>
      <c r="H20" s="283">
        <f>QCI!I20</f>
        <v>0</v>
      </c>
      <c r="I20" s="283" t="str">
        <f ca="1">QCI!J20</f>
        <v/>
      </c>
      <c r="J20" s="365" t="str">
        <f ca="1">QCI!K20</f>
        <v/>
      </c>
      <c r="K20" s="366" t="e">
        <f ca="1">_xlfn.SINGLE(IF($C20="Automático",IF(_xlfn.SINGLE(ACOMPANHAMENTO)="BM",BM.medicao,PLE.Medicao),IF(ISBLANK($X20),"",$X20)))</f>
        <v>#NAME?</v>
      </c>
      <c r="L20" s="287">
        <f ca="1">QCI!$O20</f>
        <v>0</v>
      </c>
      <c r="M20" s="284">
        <f t="shared" ca="1" si="1"/>
        <v>0</v>
      </c>
      <c r="N20" s="285">
        <f t="shared" ca="1" si="2"/>
        <v>0</v>
      </c>
      <c r="O20" s="286">
        <f t="shared" ca="1" si="3"/>
        <v>0</v>
      </c>
      <c r="P20" s="368">
        <f t="shared" ca="1" si="4"/>
        <v>0</v>
      </c>
      <c r="R20" s="367">
        <f ca="1">ROUND(IF($C20="Automático",AC20+AJ20,$Y20*IF(ISERROR(QCI!$AA20/QCI!$O20),0,QCI!$AA20/QCI!$O20)),2)</f>
        <v>0</v>
      </c>
      <c r="S20" s="367">
        <f ca="1">ROUND(IF($C20="Automático",AD20+AK20,$Y20*IF(ISERROR(QCI!$AB20/QCI!$O20),0,QCI!$AB20/QCI!$O20)),2)</f>
        <v>0</v>
      </c>
      <c r="T20" s="367">
        <f ca="1">ROUND(IF($C20="Automático",AF20+AM20,$Z20*IF(ISERROR(QCI!$AA20/QCI!$O20),0,QCI!$AA20/QCI!$O20)),2)</f>
        <v>0</v>
      </c>
      <c r="U20" s="367">
        <f ca="1">ROUND(IF($C20="Automático",AG20+AN20,$Z20*IF(ISERROR(QCI!$AB20/QCI!$O20),0,QCI!$AB20/QCI!$O20)),2)</f>
        <v>0</v>
      </c>
      <c r="V20" s="450">
        <f ca="1">IF(AND($L20&gt;0,$J20&lt;&gt;0,$J20&lt;&gt;"",COUNTIF($J$13:$J20,$J20)=1),OFFSET(V20,-1,0)+1,OFFSET(V20,-1,0))</f>
        <v>0</v>
      </c>
      <c r="X20" s="514"/>
      <c r="Y20" s="288"/>
      <c r="Z20" s="289"/>
      <c r="AC20" s="184" t="e">
        <f ca="1">IF(_xlfn.SINGLE(ACOMPANHAMENTO)&lt;&gt;"PLE",0,SUMPRODUCT((OFFSET(CÁLCULO!$AX$15:$BH$15,$A20,0,$B20)&lt;=(PLE.Medicao-1))*OFFSET(CÁLCULO!$AB$15:$AL$15,$A20,0,$B20)*OFFSET(ORÇAMENTO!$AA$15,$A20,0,$B20)/(OFFSET(ORÇAMENTO!$X$15,$A20,0,$B20)+10^-12))+IF(AUTOEVENTO="Manual",SUMPRODUCT((OFFSET(CÁLCULO!$M$15,$A20,0,$B20)=1)*OFFSET(ORÇAMENTO!$AA$15,$A20,0,$B20)*(PLE!$AE$9-PLE!$Y$9)),0))</f>
        <v>#NAME?</v>
      </c>
      <c r="AD20" s="184" t="e">
        <f ca="1">IF(_xlfn.SINGLE(ACOMPANHAMENTO)&lt;&gt;"PLE",0,SUMPRODUCT((OFFSET(CÁLCULO!$AX$15:$BH$15,$A20,0,$B20)&lt;=(PLE.Medicao-1))*OFFSET(CÁLCULO!$AB$15:$AL$15,$A20,0,$B20)*OFFSET(ORÇAMENTO!$AB$15,$A20,0,$B20)/(OFFSET(ORÇAMENTO!$X$15,$A20,0,$B20)+10^-12))+IF(AUTOEVENTO="Manual",SUMPRODUCT((OFFSET(CÁLCULO!$M$15,$A20,0,$B20)=1)*OFFSET(ORÇAMENTO!$AB$15,$A20,0,$B20)*(PLE!$AE$9-PLE!$Y$9)),0))</f>
        <v>#NAME?</v>
      </c>
      <c r="AE20" s="184" t="e">
        <f ca="1">ROUND(IF(_xlfn.SINGLE(ACOMPANHAMENTO)&lt;&gt;"PLE",0,SUMIF(OFFSET(CÁLCULO!$AX$15:$BH$15,$A20,0,$B20),"&lt;="&amp;(PLE.Medicao-1),OFFSET(CÁLCULO!$AB$15:$AL$15,$A20,0,$B20))+IF(AUTOEVENTO="Manual",SUMIF(OFFSET(CÁLCULO!$M$15,$A20,0,$B20),1,OFFSET(ORÇAMENTO!$X$15,$A20,0,$B20))*(PLE!$AE$9-PLE!$Y$9),0)),2)</f>
        <v>#NAME?</v>
      </c>
      <c r="AF20" s="184" t="e">
        <f ca="1">IF(_xlfn.SINGLE(ACOMPANHAMENTO)&lt;&gt;"PLE",0,SUMPRODUCT((OFFSET(CÁLCULO!$AX$15:$BH$15,$A20,0,$B20)&lt;=PLE.Medicao)*OFFSET(CÁLCULO!$AB$15:$AL$15,$A20,0,$B20)*OFFSET(ORÇAMENTO!$AA$15,$A20,0,$B20)/(OFFSET(ORÇAMENTO!$X$15,$A20,0,$B20)+10^-12))+IF(AUTOEVENTO="Manual",SUMPRODUCT((OFFSET(CÁLCULO!$M$15,$A20,0,$B20)=1)*OFFSET(ORÇAMENTO!$AA$15,$A20,0,$B20)*PLE!$AE$9),0))</f>
        <v>#NAME?</v>
      </c>
      <c r="AG20" s="184" t="e">
        <f ca="1">IF(_xlfn.SINGLE(ACOMPANHAMENTO)&lt;&gt;"PLE",0,SUMPRODUCT((OFFSET(CÁLCULO!$AX$15:$BH$15,$A20,0,$B20)&lt;=PLE.Medicao)*OFFSET(CÁLCULO!$AB$15:$AL$15,$A20,0,$B20)*OFFSET(ORÇAMENTO!$AB$15,$A20,0,$B20)/(OFFSET(ORÇAMENTO!$X$15,$A20,0,$B20)+10^-12))+IF(AUTOEVENTO="Manual",SUMPRODUCT((OFFSET(CÁLCULO!$M$15,$A20,0,$B20)=1)*OFFSET(ORÇAMENTO!$AB$15,$A20,0,$B20)*PLE!$AE$9),0))</f>
        <v>#NAME?</v>
      </c>
      <c r="AH20" s="184" t="e">
        <f ca="1">ROUND(IF(_xlfn.SINGLE(ACOMPANHAMENTO)&lt;&gt;"PLE",0,SUMIF(OFFSET(CÁLCULO!$AX$15:$BH$15,$A20,0,$B20),"&lt;="&amp;PLE.Medicao,OFFSET(CÁLCULO!$AB$15:$AL$15,$A20,0,$B20))+IF(AUTOEVENTO="Manual",SUMIF(OFFSET(CÁLCULO!$M$15,$A20,0,$B20),1,OFFSET(ORÇAMENTO!$X$15,$A20,0,$B20))*PLE!$AE$9,0)),2)</f>
        <v>#NAME?</v>
      </c>
      <c r="AJ20" s="184" t="e">
        <f ca="1">IF(_xlfn.SINGLE(ACOMPANHAMENTO)&lt;&gt;"BM",0,SUMPRODUCT(OFFSET(BM!$M$15,$A20,0,$B20)*(OFFSET(BM!$A$15,$A20,0,$B20)="S")*OFFSET(ORÇAMENTO!AA$15,$A20,0,$B20)/(OFFSET(ORÇAMENTO!$X$15,$A20,0,$B20)+10^-12)))</f>
        <v>#NAME?</v>
      </c>
      <c r="AK20" s="184" t="e">
        <f ca="1">IF(_xlfn.SINGLE(ACOMPANHAMENTO)&lt;&gt;"BM",0,SUMPRODUCT(OFFSET(BM!$M$15,$A20,0,$B20)*(OFFSET(BM!$A$15,$A20,0,$B20)="S")*OFFSET(ORÇAMENTO!AB$15,$A20,0,$B20)/(OFFSET(ORÇAMENTO!$X$15,$A20,0,$B20)+10^-12)))</f>
        <v>#NAME?</v>
      </c>
      <c r="AL20" s="184" t="e">
        <f ca="1">IF(_xlfn.SINGLE(ACOMPANHAMENTO)&lt;&gt;"BM",0,OFFSET(BM!$M$15,$A20,0))</f>
        <v>#NAME?</v>
      </c>
      <c r="AM20" s="184" t="e">
        <f ca="1">IF(_xlfn.SINGLE(ACOMPANHAMENTO)&lt;&gt;"BM",0,SUMPRODUCT(OFFSET(BM!$O$15,$A20,0,$B20)*(OFFSET(BM!$A$15,$A20,0,$B20)="S")*OFFSET(ORÇAMENTO!AA$15,$A20,0,$B20)/(OFFSET(ORÇAMENTO!$X$15,$A20,0,$B20)+10^-12)))</f>
        <v>#NAME?</v>
      </c>
      <c r="AN20" s="184" t="e">
        <f ca="1">IF(_xlfn.SINGLE(ACOMPANHAMENTO)&lt;&gt;"BM",0,SUMPRODUCT(OFFSET(BM!$O$15,$A20,0,$B20)*(OFFSET(BM!$A$15,$A20,0,$B20)="S")*OFFSET(ORÇAMENTO!AB$15,$A20,0,$B20)/(OFFSET(ORÇAMENTO!$X$15,$A20,0,$B20)+10^-12)))</f>
        <v>#NAME?</v>
      </c>
      <c r="AO20" s="184" t="e">
        <f ca="1">IF(_xlfn.SINGLE(ACOMPANHAMENTO)&lt;&gt;"BM",0,OFFSET(BM!$O$15,$A20,0))</f>
        <v>#NAME?</v>
      </c>
    </row>
    <row r="21" spans="1:41" ht="30" customHeight="1" x14ac:dyDescent="0.2">
      <c r="A21" t="e">
        <f ca="1">MATCH(E21,ORÇAMENTO!$E$15:$E$405,0)-1</f>
        <v>#N/A</v>
      </c>
      <c r="B21" t="e">
        <f ca="1">IF(ISERROR($A21),NA(),OFFSET(ORÇAMENTO!$D$15,$A21,0))</f>
        <v>#N/A</v>
      </c>
      <c r="C21" t="str">
        <f ca="1">QCI!B21</f>
        <v>Branco</v>
      </c>
      <c r="D21" t="str">
        <f t="shared" ca="1" si="0"/>
        <v/>
      </c>
      <c r="E21" s="282">
        <f>QCI!D21</f>
        <v>8</v>
      </c>
      <c r="F21" s="363" t="str">
        <f ca="1">QCI!G21</f>
        <v/>
      </c>
      <c r="G21" s="364">
        <f>QCI!H21</f>
        <v>0</v>
      </c>
      <c r="H21" s="283">
        <f>QCI!I21</f>
        <v>0</v>
      </c>
      <c r="I21" s="283" t="str">
        <f ca="1">QCI!J21</f>
        <v/>
      </c>
      <c r="J21" s="365" t="str">
        <f ca="1">QCI!K21</f>
        <v/>
      </c>
      <c r="K21" s="366" t="e">
        <f ca="1">_xlfn.SINGLE(IF($C21="Automático",IF(_xlfn.SINGLE(ACOMPANHAMENTO)="BM",BM.medicao,PLE.Medicao),IF(ISBLANK($X21),"",$X21)))</f>
        <v>#NAME?</v>
      </c>
      <c r="L21" s="287">
        <f ca="1">QCI!$O21</f>
        <v>0</v>
      </c>
      <c r="M21" s="284">
        <f t="shared" ca="1" si="1"/>
        <v>0</v>
      </c>
      <c r="N21" s="285">
        <f t="shared" ca="1" si="2"/>
        <v>0</v>
      </c>
      <c r="O21" s="286">
        <f t="shared" ca="1" si="3"/>
        <v>0</v>
      </c>
      <c r="P21" s="368">
        <f t="shared" ca="1" si="4"/>
        <v>0</v>
      </c>
      <c r="R21" s="367">
        <f ca="1">ROUND(IF($C21="Automático",AC21+AJ21,$Y21*IF(ISERROR(QCI!$AA21/QCI!$O21),0,QCI!$AA21/QCI!$O21)),2)</f>
        <v>0</v>
      </c>
      <c r="S21" s="367">
        <f ca="1">ROUND(IF($C21="Automático",AD21+AK21,$Y21*IF(ISERROR(QCI!$AB21/QCI!$O21),0,QCI!$AB21/QCI!$O21)),2)</f>
        <v>0</v>
      </c>
      <c r="T21" s="367">
        <f ca="1">ROUND(IF($C21="Automático",AF21+AM21,$Z21*IF(ISERROR(QCI!$AA21/QCI!$O21),0,QCI!$AA21/QCI!$O21)),2)</f>
        <v>0</v>
      </c>
      <c r="U21" s="367">
        <f ca="1">ROUND(IF($C21="Automático",AG21+AN21,$Z21*IF(ISERROR(QCI!$AB21/QCI!$O21),0,QCI!$AB21/QCI!$O21)),2)</f>
        <v>0</v>
      </c>
      <c r="V21" s="450">
        <f ca="1">IF(AND($L21&gt;0,$J21&lt;&gt;0,$J21&lt;&gt;"",COUNTIF($J$13:$J21,$J21)=1),OFFSET(V21,-1,0)+1,OFFSET(V21,-1,0))</f>
        <v>0</v>
      </c>
      <c r="X21" s="514"/>
      <c r="Y21" s="288"/>
      <c r="Z21" s="289"/>
      <c r="AC21" s="184" t="e">
        <f ca="1">IF(_xlfn.SINGLE(ACOMPANHAMENTO)&lt;&gt;"PLE",0,SUMPRODUCT((OFFSET(CÁLCULO!$AX$15:$BH$15,$A21,0,$B21)&lt;=(PLE.Medicao-1))*OFFSET(CÁLCULO!$AB$15:$AL$15,$A21,0,$B21)*OFFSET(ORÇAMENTO!$AA$15,$A21,0,$B21)/(OFFSET(ORÇAMENTO!$X$15,$A21,0,$B21)+10^-12))+IF(AUTOEVENTO="Manual",SUMPRODUCT((OFFSET(CÁLCULO!$M$15,$A21,0,$B21)=1)*OFFSET(ORÇAMENTO!$AA$15,$A21,0,$B21)*(PLE!$AE$9-PLE!$Y$9)),0))</f>
        <v>#NAME?</v>
      </c>
      <c r="AD21" s="184" t="e">
        <f ca="1">IF(_xlfn.SINGLE(ACOMPANHAMENTO)&lt;&gt;"PLE",0,SUMPRODUCT((OFFSET(CÁLCULO!$AX$15:$BH$15,$A21,0,$B21)&lt;=(PLE.Medicao-1))*OFFSET(CÁLCULO!$AB$15:$AL$15,$A21,0,$B21)*OFFSET(ORÇAMENTO!$AB$15,$A21,0,$B21)/(OFFSET(ORÇAMENTO!$X$15,$A21,0,$B21)+10^-12))+IF(AUTOEVENTO="Manual",SUMPRODUCT((OFFSET(CÁLCULO!$M$15,$A21,0,$B21)=1)*OFFSET(ORÇAMENTO!$AB$15,$A21,0,$B21)*(PLE!$AE$9-PLE!$Y$9)),0))</f>
        <v>#NAME?</v>
      </c>
      <c r="AE21" s="184" t="e">
        <f ca="1">ROUND(IF(_xlfn.SINGLE(ACOMPANHAMENTO)&lt;&gt;"PLE",0,SUMIF(OFFSET(CÁLCULO!$AX$15:$BH$15,$A21,0,$B21),"&lt;="&amp;(PLE.Medicao-1),OFFSET(CÁLCULO!$AB$15:$AL$15,$A21,0,$B21))+IF(AUTOEVENTO="Manual",SUMIF(OFFSET(CÁLCULO!$M$15,$A21,0,$B21),1,OFFSET(ORÇAMENTO!$X$15,$A21,0,$B21))*(PLE!$AE$9-PLE!$Y$9),0)),2)</f>
        <v>#NAME?</v>
      </c>
      <c r="AF21" s="184" t="e">
        <f ca="1">IF(_xlfn.SINGLE(ACOMPANHAMENTO)&lt;&gt;"PLE",0,SUMPRODUCT((OFFSET(CÁLCULO!$AX$15:$BH$15,$A21,0,$B21)&lt;=PLE.Medicao)*OFFSET(CÁLCULO!$AB$15:$AL$15,$A21,0,$B21)*OFFSET(ORÇAMENTO!$AA$15,$A21,0,$B21)/(OFFSET(ORÇAMENTO!$X$15,$A21,0,$B21)+10^-12))+IF(AUTOEVENTO="Manual",SUMPRODUCT((OFFSET(CÁLCULO!$M$15,$A21,0,$B21)=1)*OFFSET(ORÇAMENTO!$AA$15,$A21,0,$B21)*PLE!$AE$9),0))</f>
        <v>#NAME?</v>
      </c>
      <c r="AG21" s="184" t="e">
        <f ca="1">IF(_xlfn.SINGLE(ACOMPANHAMENTO)&lt;&gt;"PLE",0,SUMPRODUCT((OFFSET(CÁLCULO!$AX$15:$BH$15,$A21,0,$B21)&lt;=PLE.Medicao)*OFFSET(CÁLCULO!$AB$15:$AL$15,$A21,0,$B21)*OFFSET(ORÇAMENTO!$AB$15,$A21,0,$B21)/(OFFSET(ORÇAMENTO!$X$15,$A21,0,$B21)+10^-12))+IF(AUTOEVENTO="Manual",SUMPRODUCT((OFFSET(CÁLCULO!$M$15,$A21,0,$B21)=1)*OFFSET(ORÇAMENTO!$AB$15,$A21,0,$B21)*PLE!$AE$9),0))</f>
        <v>#NAME?</v>
      </c>
      <c r="AH21" s="184" t="e">
        <f ca="1">ROUND(IF(_xlfn.SINGLE(ACOMPANHAMENTO)&lt;&gt;"PLE",0,SUMIF(OFFSET(CÁLCULO!$AX$15:$BH$15,$A21,0,$B21),"&lt;="&amp;PLE.Medicao,OFFSET(CÁLCULO!$AB$15:$AL$15,$A21,0,$B21))+IF(AUTOEVENTO="Manual",SUMIF(OFFSET(CÁLCULO!$M$15,$A21,0,$B21),1,OFFSET(ORÇAMENTO!$X$15,$A21,0,$B21))*PLE!$AE$9,0)),2)</f>
        <v>#NAME?</v>
      </c>
      <c r="AJ21" s="184" t="e">
        <f ca="1">IF(_xlfn.SINGLE(ACOMPANHAMENTO)&lt;&gt;"BM",0,SUMPRODUCT(OFFSET(BM!$M$15,$A21,0,$B21)*(OFFSET(BM!$A$15,$A21,0,$B21)="S")*OFFSET(ORÇAMENTO!AA$15,$A21,0,$B21)/(OFFSET(ORÇAMENTO!$X$15,$A21,0,$B21)+10^-12)))</f>
        <v>#NAME?</v>
      </c>
      <c r="AK21" s="184" t="e">
        <f ca="1">IF(_xlfn.SINGLE(ACOMPANHAMENTO)&lt;&gt;"BM",0,SUMPRODUCT(OFFSET(BM!$M$15,$A21,0,$B21)*(OFFSET(BM!$A$15,$A21,0,$B21)="S")*OFFSET(ORÇAMENTO!AB$15,$A21,0,$B21)/(OFFSET(ORÇAMENTO!$X$15,$A21,0,$B21)+10^-12)))</f>
        <v>#NAME?</v>
      </c>
      <c r="AL21" s="184" t="e">
        <f ca="1">IF(_xlfn.SINGLE(ACOMPANHAMENTO)&lt;&gt;"BM",0,OFFSET(BM!$M$15,$A21,0))</f>
        <v>#NAME?</v>
      </c>
      <c r="AM21" s="184" t="e">
        <f ca="1">IF(_xlfn.SINGLE(ACOMPANHAMENTO)&lt;&gt;"BM",0,SUMPRODUCT(OFFSET(BM!$O$15,$A21,0,$B21)*(OFFSET(BM!$A$15,$A21,0,$B21)="S")*OFFSET(ORÇAMENTO!AA$15,$A21,0,$B21)/(OFFSET(ORÇAMENTO!$X$15,$A21,0,$B21)+10^-12)))</f>
        <v>#NAME?</v>
      </c>
      <c r="AN21" s="184" t="e">
        <f ca="1">IF(_xlfn.SINGLE(ACOMPANHAMENTO)&lt;&gt;"BM",0,SUMPRODUCT(OFFSET(BM!$O$15,$A21,0,$B21)*(OFFSET(BM!$A$15,$A21,0,$B21)="S")*OFFSET(ORÇAMENTO!AB$15,$A21,0,$B21)/(OFFSET(ORÇAMENTO!$X$15,$A21,0,$B21)+10^-12)))</f>
        <v>#NAME?</v>
      </c>
      <c r="AO21" s="184" t="e">
        <f ca="1">IF(_xlfn.SINGLE(ACOMPANHAMENTO)&lt;&gt;"BM",0,OFFSET(BM!$O$15,$A21,0))</f>
        <v>#NAME?</v>
      </c>
    </row>
    <row r="22" spans="1:41" ht="30" customHeight="1" x14ac:dyDescent="0.2">
      <c r="A22" t="e">
        <f ca="1">MATCH(E22,ORÇAMENTO!$E$15:$E$405,0)-1</f>
        <v>#N/A</v>
      </c>
      <c r="B22" t="e">
        <f ca="1">IF(ISERROR($A22),NA(),OFFSET(ORÇAMENTO!$D$15,$A22,0))</f>
        <v>#N/A</v>
      </c>
      <c r="C22" t="str">
        <f ca="1">QCI!B22</f>
        <v>Branco</v>
      </c>
      <c r="D22" t="str">
        <f t="shared" ca="1" si="0"/>
        <v/>
      </c>
      <c r="E22" s="282">
        <f>QCI!D22</f>
        <v>9</v>
      </c>
      <c r="F22" s="363" t="str">
        <f ca="1">QCI!G22</f>
        <v/>
      </c>
      <c r="G22" s="364">
        <f>QCI!H22</f>
        <v>0</v>
      </c>
      <c r="H22" s="283">
        <f>QCI!I22</f>
        <v>0</v>
      </c>
      <c r="I22" s="283" t="str">
        <f ca="1">QCI!J22</f>
        <v/>
      </c>
      <c r="J22" s="365" t="str">
        <f ca="1">QCI!K22</f>
        <v/>
      </c>
      <c r="K22" s="366" t="e">
        <f ca="1">_xlfn.SINGLE(IF($C22="Automático",IF(_xlfn.SINGLE(ACOMPANHAMENTO)="BM",BM.medicao,PLE.Medicao),IF(ISBLANK($X22),"",$X22)))</f>
        <v>#NAME?</v>
      </c>
      <c r="L22" s="287">
        <f ca="1">QCI!$O22</f>
        <v>0</v>
      </c>
      <c r="M22" s="284">
        <f t="shared" ca="1" si="1"/>
        <v>0</v>
      </c>
      <c r="N22" s="285">
        <f t="shared" ca="1" si="2"/>
        <v>0</v>
      </c>
      <c r="O22" s="286">
        <f t="shared" ca="1" si="3"/>
        <v>0</v>
      </c>
      <c r="P22" s="368">
        <f t="shared" ca="1" si="4"/>
        <v>0</v>
      </c>
      <c r="R22" s="367">
        <f ca="1">ROUND(IF($C22="Automático",AC22+AJ22,$Y22*IF(ISERROR(QCI!$AA22/QCI!$O22),0,QCI!$AA22/QCI!$O22)),2)</f>
        <v>0</v>
      </c>
      <c r="S22" s="367">
        <f ca="1">ROUND(IF($C22="Automático",AD22+AK22,$Y22*IF(ISERROR(QCI!$AB22/QCI!$O22),0,QCI!$AB22/QCI!$O22)),2)</f>
        <v>0</v>
      </c>
      <c r="T22" s="367">
        <f ca="1">ROUND(IF($C22="Automático",AF22+AM22,$Z22*IF(ISERROR(QCI!$AA22/QCI!$O22),0,QCI!$AA22/QCI!$O22)),2)</f>
        <v>0</v>
      </c>
      <c r="U22" s="367">
        <f ca="1">ROUND(IF($C22="Automático",AG22+AN22,$Z22*IF(ISERROR(QCI!$AB22/QCI!$O22),0,QCI!$AB22/QCI!$O22)),2)</f>
        <v>0</v>
      </c>
      <c r="V22" s="450">
        <f ca="1">IF(AND($L22&gt;0,$J22&lt;&gt;0,$J22&lt;&gt;"",COUNTIF($J$13:$J22,$J22)=1),OFFSET(V22,-1,0)+1,OFFSET(V22,-1,0))</f>
        <v>0</v>
      </c>
      <c r="X22" s="514"/>
      <c r="Y22" s="288"/>
      <c r="Z22" s="289"/>
      <c r="AC22" s="184" t="e">
        <f ca="1">IF(_xlfn.SINGLE(ACOMPANHAMENTO)&lt;&gt;"PLE",0,SUMPRODUCT((OFFSET(CÁLCULO!$AX$15:$BH$15,$A22,0,$B22)&lt;=(PLE.Medicao-1))*OFFSET(CÁLCULO!$AB$15:$AL$15,$A22,0,$B22)*OFFSET(ORÇAMENTO!$AA$15,$A22,0,$B22)/(OFFSET(ORÇAMENTO!$X$15,$A22,0,$B22)+10^-12))+IF(AUTOEVENTO="Manual",SUMPRODUCT((OFFSET(CÁLCULO!$M$15,$A22,0,$B22)=1)*OFFSET(ORÇAMENTO!$AA$15,$A22,0,$B22)*(PLE!$AE$9-PLE!$Y$9)),0))</f>
        <v>#NAME?</v>
      </c>
      <c r="AD22" s="184" t="e">
        <f ca="1">IF(_xlfn.SINGLE(ACOMPANHAMENTO)&lt;&gt;"PLE",0,SUMPRODUCT((OFFSET(CÁLCULO!$AX$15:$BH$15,$A22,0,$B22)&lt;=(PLE.Medicao-1))*OFFSET(CÁLCULO!$AB$15:$AL$15,$A22,0,$B22)*OFFSET(ORÇAMENTO!$AB$15,$A22,0,$B22)/(OFFSET(ORÇAMENTO!$X$15,$A22,0,$B22)+10^-12))+IF(AUTOEVENTO="Manual",SUMPRODUCT((OFFSET(CÁLCULO!$M$15,$A22,0,$B22)=1)*OFFSET(ORÇAMENTO!$AB$15,$A22,0,$B22)*(PLE!$AE$9-PLE!$Y$9)),0))</f>
        <v>#NAME?</v>
      </c>
      <c r="AE22" s="184" t="e">
        <f ca="1">ROUND(IF(_xlfn.SINGLE(ACOMPANHAMENTO)&lt;&gt;"PLE",0,SUMIF(OFFSET(CÁLCULO!$AX$15:$BH$15,$A22,0,$B22),"&lt;="&amp;(PLE.Medicao-1),OFFSET(CÁLCULO!$AB$15:$AL$15,$A22,0,$B22))+IF(AUTOEVENTO="Manual",SUMIF(OFFSET(CÁLCULO!$M$15,$A22,0,$B22),1,OFFSET(ORÇAMENTO!$X$15,$A22,0,$B22))*(PLE!$AE$9-PLE!$Y$9),0)),2)</f>
        <v>#NAME?</v>
      </c>
      <c r="AF22" s="184" t="e">
        <f ca="1">IF(_xlfn.SINGLE(ACOMPANHAMENTO)&lt;&gt;"PLE",0,SUMPRODUCT((OFFSET(CÁLCULO!$AX$15:$BH$15,$A22,0,$B22)&lt;=PLE.Medicao)*OFFSET(CÁLCULO!$AB$15:$AL$15,$A22,0,$B22)*OFFSET(ORÇAMENTO!$AA$15,$A22,0,$B22)/(OFFSET(ORÇAMENTO!$X$15,$A22,0,$B22)+10^-12))+IF(AUTOEVENTO="Manual",SUMPRODUCT((OFFSET(CÁLCULO!$M$15,$A22,0,$B22)=1)*OFFSET(ORÇAMENTO!$AA$15,$A22,0,$B22)*PLE!$AE$9),0))</f>
        <v>#NAME?</v>
      </c>
      <c r="AG22" s="184" t="e">
        <f ca="1">IF(_xlfn.SINGLE(ACOMPANHAMENTO)&lt;&gt;"PLE",0,SUMPRODUCT((OFFSET(CÁLCULO!$AX$15:$BH$15,$A22,0,$B22)&lt;=PLE.Medicao)*OFFSET(CÁLCULO!$AB$15:$AL$15,$A22,0,$B22)*OFFSET(ORÇAMENTO!$AB$15,$A22,0,$B22)/(OFFSET(ORÇAMENTO!$X$15,$A22,0,$B22)+10^-12))+IF(AUTOEVENTO="Manual",SUMPRODUCT((OFFSET(CÁLCULO!$M$15,$A22,0,$B22)=1)*OFFSET(ORÇAMENTO!$AB$15,$A22,0,$B22)*PLE!$AE$9),0))</f>
        <v>#NAME?</v>
      </c>
      <c r="AH22" s="184" t="e">
        <f ca="1">ROUND(IF(_xlfn.SINGLE(ACOMPANHAMENTO)&lt;&gt;"PLE",0,SUMIF(OFFSET(CÁLCULO!$AX$15:$BH$15,$A22,0,$B22),"&lt;="&amp;PLE.Medicao,OFFSET(CÁLCULO!$AB$15:$AL$15,$A22,0,$B22))+IF(AUTOEVENTO="Manual",SUMIF(OFFSET(CÁLCULO!$M$15,$A22,0,$B22),1,OFFSET(ORÇAMENTO!$X$15,$A22,0,$B22))*PLE!$AE$9,0)),2)</f>
        <v>#NAME?</v>
      </c>
      <c r="AJ22" s="184" t="e">
        <f ca="1">IF(_xlfn.SINGLE(ACOMPANHAMENTO)&lt;&gt;"BM",0,SUMPRODUCT(OFFSET(BM!$M$15,$A22,0,$B22)*(OFFSET(BM!$A$15,$A22,0,$B22)="S")*OFFSET(ORÇAMENTO!AA$15,$A22,0,$B22)/(OFFSET(ORÇAMENTO!$X$15,$A22,0,$B22)+10^-12)))</f>
        <v>#NAME?</v>
      </c>
      <c r="AK22" s="184" t="e">
        <f ca="1">IF(_xlfn.SINGLE(ACOMPANHAMENTO)&lt;&gt;"BM",0,SUMPRODUCT(OFFSET(BM!$M$15,$A22,0,$B22)*(OFFSET(BM!$A$15,$A22,0,$B22)="S")*OFFSET(ORÇAMENTO!AB$15,$A22,0,$B22)/(OFFSET(ORÇAMENTO!$X$15,$A22,0,$B22)+10^-12)))</f>
        <v>#NAME?</v>
      </c>
      <c r="AL22" s="184" t="e">
        <f ca="1">IF(_xlfn.SINGLE(ACOMPANHAMENTO)&lt;&gt;"BM",0,OFFSET(BM!$M$15,$A22,0))</f>
        <v>#NAME?</v>
      </c>
      <c r="AM22" s="184" t="e">
        <f ca="1">IF(_xlfn.SINGLE(ACOMPANHAMENTO)&lt;&gt;"BM",0,SUMPRODUCT(OFFSET(BM!$O$15,$A22,0,$B22)*(OFFSET(BM!$A$15,$A22,0,$B22)="S")*OFFSET(ORÇAMENTO!AA$15,$A22,0,$B22)/(OFFSET(ORÇAMENTO!$X$15,$A22,0,$B22)+10^-12)))</f>
        <v>#NAME?</v>
      </c>
      <c r="AN22" s="184" t="e">
        <f ca="1">IF(_xlfn.SINGLE(ACOMPANHAMENTO)&lt;&gt;"BM",0,SUMPRODUCT(OFFSET(BM!$O$15,$A22,0,$B22)*(OFFSET(BM!$A$15,$A22,0,$B22)="S")*OFFSET(ORÇAMENTO!AB$15,$A22,0,$B22)/(OFFSET(ORÇAMENTO!$X$15,$A22,0,$B22)+10^-12)))</f>
        <v>#NAME?</v>
      </c>
      <c r="AO22" s="184" t="e">
        <f ca="1">IF(_xlfn.SINGLE(ACOMPANHAMENTO)&lt;&gt;"BM",0,OFFSET(BM!$O$15,$A22,0))</f>
        <v>#NAME?</v>
      </c>
    </row>
    <row r="23" spans="1:41" ht="30" customHeight="1" x14ac:dyDescent="0.2">
      <c r="A23" t="e">
        <f ca="1">MATCH(E23,ORÇAMENTO!$E$15:$E$405,0)-1</f>
        <v>#N/A</v>
      </c>
      <c r="B23" t="e">
        <f ca="1">IF(ISERROR($A23),NA(),OFFSET(ORÇAMENTO!$D$15,$A23,0))</f>
        <v>#N/A</v>
      </c>
      <c r="C23" t="str">
        <f ca="1">QCI!B23</f>
        <v>Branco</v>
      </c>
      <c r="D23" t="str">
        <f ca="1">IF(L23&gt;0,"F","")</f>
        <v/>
      </c>
      <c r="E23" s="282">
        <f>QCI!D23</f>
        <v>10</v>
      </c>
      <c r="F23" s="363" t="str">
        <f ca="1">QCI!G23</f>
        <v/>
      </c>
      <c r="G23" s="364">
        <f>QCI!H23</f>
        <v>0</v>
      </c>
      <c r="H23" s="283">
        <f>QCI!I23</f>
        <v>0</v>
      </c>
      <c r="I23" s="283" t="str">
        <f ca="1">QCI!J23</f>
        <v/>
      </c>
      <c r="J23" s="365" t="str">
        <f ca="1">QCI!K23</f>
        <v/>
      </c>
      <c r="K23" s="366" t="e">
        <f ca="1">_xlfn.SINGLE(IF($C23="Automático",IF(_xlfn.SINGLE(ACOMPANHAMENTO)="BM",BM.medicao,PLE.Medicao),IF(ISBLANK($X23),"",$X23)))</f>
        <v>#NAME?</v>
      </c>
      <c r="L23" s="287">
        <f ca="1">QCI!$O23</f>
        <v>0</v>
      </c>
      <c r="M23" s="284">
        <f ca="1">ROUND(IF(C23="Automático",AE23+AL23,Y23),2)</f>
        <v>0</v>
      </c>
      <c r="N23" s="285">
        <f ca="1">O23-M23</f>
        <v>0</v>
      </c>
      <c r="O23" s="286">
        <f ca="1">ROUND(IF(C23="Automático",AH23+AO23,Z23),2)</f>
        <v>0</v>
      </c>
      <c r="P23" s="368">
        <f ca="1">O23/(L23+10^-12)</f>
        <v>0</v>
      </c>
      <c r="R23" s="367">
        <f ca="1">ROUND(IF($C23="Automático",AC23+AJ23,$Y23*IF(ISERROR(QCI!$AA23/QCI!$O23),0,QCI!$AA23/QCI!$O23)),2)</f>
        <v>0</v>
      </c>
      <c r="S23" s="367">
        <f ca="1">ROUND(IF($C23="Automático",AD23+AK23,$Y23*IF(ISERROR(QCI!$AB23/QCI!$O23),0,QCI!$AB23/QCI!$O23)),2)</f>
        <v>0</v>
      </c>
      <c r="T23" s="367">
        <f ca="1">ROUND(IF($C23="Automático",AF23+AM23,$Z23*IF(ISERROR(QCI!$AA23/QCI!$O23),0,QCI!$AA23/QCI!$O23)),2)</f>
        <v>0</v>
      </c>
      <c r="U23" s="367">
        <f ca="1">ROUND(IF($C23="Automático",AG23+AN23,$Z23*IF(ISERROR(QCI!$AB23/QCI!$O23),0,QCI!$AB23/QCI!$O23)),2)</f>
        <v>0</v>
      </c>
      <c r="V23" s="450">
        <f ca="1">IF(AND($L23&gt;0,$J23&lt;&gt;0,$J23&lt;&gt;"",COUNTIF($J$13:$J23,$J23)=1),OFFSET(V23,-1,0)+1,OFFSET(V23,-1,0))</f>
        <v>0</v>
      </c>
      <c r="X23" s="514"/>
      <c r="Y23" s="288"/>
      <c r="Z23" s="289"/>
      <c r="AC23" s="184" t="e">
        <f ca="1">IF(_xlfn.SINGLE(ACOMPANHAMENTO)&lt;&gt;"PLE",0,SUMPRODUCT((OFFSET(CÁLCULO!$AX$15:$BH$15,$A23,0,$B23)&lt;=(PLE.Medicao-1))*OFFSET(CÁLCULO!$AB$15:$AL$15,$A23,0,$B23)*OFFSET(ORÇAMENTO!$AA$15,$A23,0,$B23)/(OFFSET(ORÇAMENTO!$X$15,$A23,0,$B23)+10^-12))+IF(AUTOEVENTO="Manual",SUMPRODUCT((OFFSET(CÁLCULO!$M$15,$A23,0,$B23)=1)*OFFSET(ORÇAMENTO!$AA$15,$A23,0,$B23)*(PLE!$AE$9-PLE!$Y$9)),0))</f>
        <v>#NAME?</v>
      </c>
      <c r="AD23" s="184" t="e">
        <f ca="1">IF(_xlfn.SINGLE(ACOMPANHAMENTO)&lt;&gt;"PLE",0,SUMPRODUCT((OFFSET(CÁLCULO!$AX$15:$BH$15,$A23,0,$B23)&lt;=(PLE.Medicao-1))*OFFSET(CÁLCULO!$AB$15:$AL$15,$A23,0,$B23)*OFFSET(ORÇAMENTO!$AB$15,$A23,0,$B23)/(OFFSET(ORÇAMENTO!$X$15,$A23,0,$B23)+10^-12))+IF(AUTOEVENTO="Manual",SUMPRODUCT((OFFSET(CÁLCULO!$M$15,$A23,0,$B23)=1)*OFFSET(ORÇAMENTO!$AB$15,$A23,0,$B23)*(PLE!$AE$9-PLE!$Y$9)),0))</f>
        <v>#NAME?</v>
      </c>
      <c r="AE23" s="184" t="e">
        <f ca="1">ROUND(IF(_xlfn.SINGLE(ACOMPANHAMENTO)&lt;&gt;"PLE",0,SUMIF(OFFSET(CÁLCULO!$AX$15:$BH$15,$A23,0,$B23),"&lt;="&amp;(PLE.Medicao-1),OFFSET(CÁLCULO!$AB$15:$AL$15,$A23,0,$B23))+IF(AUTOEVENTO="Manual",SUMIF(OFFSET(CÁLCULO!$M$15,$A23,0,$B23),1,OFFSET(ORÇAMENTO!$X$15,$A23,0,$B23))*(PLE!$AE$9-PLE!$Y$9),0)),2)</f>
        <v>#NAME?</v>
      </c>
      <c r="AF23" s="184" t="e">
        <f ca="1">IF(_xlfn.SINGLE(ACOMPANHAMENTO)&lt;&gt;"PLE",0,SUMPRODUCT((OFFSET(CÁLCULO!$AX$15:$BH$15,$A23,0,$B23)&lt;=PLE.Medicao)*OFFSET(CÁLCULO!$AB$15:$AL$15,$A23,0,$B23)*OFFSET(ORÇAMENTO!$AA$15,$A23,0,$B23)/(OFFSET(ORÇAMENTO!$X$15,$A23,0,$B23)+10^-12))+IF(AUTOEVENTO="Manual",SUMPRODUCT((OFFSET(CÁLCULO!$M$15,$A23,0,$B23)=1)*OFFSET(ORÇAMENTO!$AA$15,$A23,0,$B23)*PLE!$AE$9),0))</f>
        <v>#NAME?</v>
      </c>
      <c r="AG23" s="184" t="e">
        <f ca="1">IF(_xlfn.SINGLE(ACOMPANHAMENTO)&lt;&gt;"PLE",0,SUMPRODUCT((OFFSET(CÁLCULO!$AX$15:$BH$15,$A23,0,$B23)&lt;=PLE.Medicao)*OFFSET(CÁLCULO!$AB$15:$AL$15,$A23,0,$B23)*OFFSET(ORÇAMENTO!$AB$15,$A23,0,$B23)/(OFFSET(ORÇAMENTO!$X$15,$A23,0,$B23)+10^-12))+IF(AUTOEVENTO="Manual",SUMPRODUCT((OFFSET(CÁLCULO!$M$15,$A23,0,$B23)=1)*OFFSET(ORÇAMENTO!$AB$15,$A23,0,$B23)*PLE!$AE$9),0))</f>
        <v>#NAME?</v>
      </c>
      <c r="AH23" s="184" t="e">
        <f ca="1">ROUND(IF(_xlfn.SINGLE(ACOMPANHAMENTO)&lt;&gt;"PLE",0,SUMIF(OFFSET(CÁLCULO!$AX$15:$BH$15,$A23,0,$B23),"&lt;="&amp;PLE.Medicao,OFFSET(CÁLCULO!$AB$15:$AL$15,$A23,0,$B23))+IF(AUTOEVENTO="Manual",SUMIF(OFFSET(CÁLCULO!$M$15,$A23,0,$B23),1,OFFSET(ORÇAMENTO!$X$15,$A23,0,$B23))*PLE!$AE$9,0)),2)</f>
        <v>#NAME?</v>
      </c>
      <c r="AJ23" s="184" t="e">
        <f ca="1">IF(_xlfn.SINGLE(ACOMPANHAMENTO)&lt;&gt;"BM",0,SUMPRODUCT(OFFSET(BM!$M$15,$A23,0,$B23)*(OFFSET(BM!$A$15,$A23,0,$B23)="S")*OFFSET(ORÇAMENTO!AA$15,$A23,0,$B23)/(OFFSET(ORÇAMENTO!$X$15,$A23,0,$B23)+10^-12)))</f>
        <v>#NAME?</v>
      </c>
      <c r="AK23" s="184" t="e">
        <f ca="1">IF(_xlfn.SINGLE(ACOMPANHAMENTO)&lt;&gt;"BM",0,SUMPRODUCT(OFFSET(BM!$M$15,$A23,0,$B23)*(OFFSET(BM!$A$15,$A23,0,$B23)="S")*OFFSET(ORÇAMENTO!AB$15,$A23,0,$B23)/(OFFSET(ORÇAMENTO!$X$15,$A23,0,$B23)+10^-12)))</f>
        <v>#NAME?</v>
      </c>
      <c r="AL23" s="184" t="e">
        <f ca="1">IF(_xlfn.SINGLE(ACOMPANHAMENTO)&lt;&gt;"BM",0,OFFSET(BM!$M$15,$A23,0))</f>
        <v>#NAME?</v>
      </c>
      <c r="AM23" s="184" t="e">
        <f ca="1">IF(_xlfn.SINGLE(ACOMPANHAMENTO)&lt;&gt;"BM",0,SUMPRODUCT(OFFSET(BM!$O$15,$A23,0,$B23)*(OFFSET(BM!$A$15,$A23,0,$B23)="S")*OFFSET(ORÇAMENTO!AA$15,$A23,0,$B23)/(OFFSET(ORÇAMENTO!$X$15,$A23,0,$B23)+10^-12)))</f>
        <v>#NAME?</v>
      </c>
      <c r="AN23" s="184" t="e">
        <f ca="1">IF(_xlfn.SINGLE(ACOMPANHAMENTO)&lt;&gt;"BM",0,SUMPRODUCT(OFFSET(BM!$O$15,$A23,0,$B23)*(OFFSET(BM!$A$15,$A23,0,$B23)="S")*OFFSET(ORÇAMENTO!AB$15,$A23,0,$B23)/(OFFSET(ORÇAMENTO!$X$15,$A23,0,$B23)+10^-12)))</f>
        <v>#NAME?</v>
      </c>
      <c r="AO23" s="184" t="e">
        <f ca="1">IF(_xlfn.SINGLE(ACOMPANHAMENTO)&lt;&gt;"BM",0,OFFSET(BM!$O$15,$A23,0))</f>
        <v>#NAME?</v>
      </c>
    </row>
    <row r="24" spans="1:41" ht="12.95" customHeight="1" x14ac:dyDescent="0.2">
      <c r="D24" t="s">
        <v>536</v>
      </c>
      <c r="E24" s="1"/>
      <c r="F24" s="1"/>
      <c r="G24" s="1"/>
      <c r="H24" s="1"/>
      <c r="I24" s="2"/>
      <c r="J24" s="830" t="s">
        <v>891</v>
      </c>
      <c r="K24" s="831"/>
      <c r="L24" s="370">
        <f ca="1">IF(ISERROR(L28/$L28),0,ROUND(L28/$L28,4))</f>
        <v>0</v>
      </c>
      <c r="M24" s="372">
        <f ca="1">IF(ISERROR(M28/$L28),0,ROUND(M28/$L28,4))</f>
        <v>0</v>
      </c>
      <c r="N24" s="371">
        <f ca="1">IF(ISERROR(N28/$L28),0,ROUND(N28/$L28,4))</f>
        <v>0</v>
      </c>
      <c r="O24" s="373">
        <f ca="1">IF(ISERROR(O28/$L28),0,ROUND(O28/$L28,4))</f>
        <v>0</v>
      </c>
      <c r="P24" s="832" t="e">
        <f ca="1">O28/(L28+10^-12)</f>
        <v>#NAME?</v>
      </c>
      <c r="X24" s="303"/>
      <c r="Y24" s="305"/>
      <c r="Z24" s="306"/>
    </row>
    <row r="25" spans="1:41" ht="12.95" customHeight="1" x14ac:dyDescent="0.2">
      <c r="D25" t="s">
        <v>536</v>
      </c>
      <c r="I25" s="4"/>
      <c r="J25" s="833" t="str">
        <f>IF(import.recurso="FGTS","Financiamento","Repasse")</f>
        <v>Repasse</v>
      </c>
      <c r="K25" s="834"/>
      <c r="L25" s="287">
        <f ca="1">QCI!L24</f>
        <v>0</v>
      </c>
      <c r="M25" s="284" t="e">
        <f ca="1">M28-M27-M26</f>
        <v>#NAME?</v>
      </c>
      <c r="N25" s="285" t="e">
        <f ca="1">O25-M25</f>
        <v>#NAME?</v>
      </c>
      <c r="O25" s="286" t="e">
        <f ca="1">O28-O27-O26</f>
        <v>#NAME?</v>
      </c>
      <c r="P25" s="832"/>
      <c r="X25" s="374"/>
      <c r="Y25" s="375" t="s">
        <v>892</v>
      </c>
      <c r="Z25" s="376" t="s">
        <v>893</v>
      </c>
      <c r="AC25" s="377" t="s">
        <v>894</v>
      </c>
      <c r="AD25" s="377" t="s">
        <v>895</v>
      </c>
    </row>
    <row r="26" spans="1:41" ht="12.95" customHeight="1" x14ac:dyDescent="0.2">
      <c r="D26" t="s">
        <v>536</v>
      </c>
      <c r="I26" s="4"/>
      <c r="J26" s="835" t="s">
        <v>896</v>
      </c>
      <c r="K26" s="836"/>
      <c r="L26" s="378">
        <f ca="1">QCI!M24</f>
        <v>0</v>
      </c>
      <c r="M26" s="379" t="e">
        <f ca="1">ROUND(IF(OFFSET($X$26,0,1)&lt;&gt;"",OFFSET($X$26,0,1),SUM(R13:OFFSET(R24,-1,0))),2)</f>
        <v>#NAME?</v>
      </c>
      <c r="N26" s="380" t="e">
        <f ca="1">O26-M26</f>
        <v>#NAME?</v>
      </c>
      <c r="O26" s="381" t="e">
        <f ca="1">IF(OFFSET($X$26,0,2)&lt;&gt;"",OFFSET($X$26,0,2),$AE$3)</f>
        <v>#NAME?</v>
      </c>
      <c r="P26" s="832"/>
      <c r="X26" s="382" t="s">
        <v>456</v>
      </c>
      <c r="Y26" s="445"/>
      <c r="Z26" s="446"/>
      <c r="AC26" s="383" t="e">
        <f ca="1">MIN($L26,$O$28-OFFSET($X$27,0,1))</f>
        <v>#NAME?</v>
      </c>
      <c r="AD26" s="383" t="e">
        <f ca="1">MIN($L26,$O$28-OFFSET($X$27,0,2))</f>
        <v>#NAME?</v>
      </c>
    </row>
    <row r="27" spans="1:41" ht="12.95" customHeight="1" x14ac:dyDescent="0.2">
      <c r="D27" t="s">
        <v>536</v>
      </c>
      <c r="I27" s="4"/>
      <c r="J27" s="816" t="s">
        <v>873</v>
      </c>
      <c r="K27" s="817"/>
      <c r="L27" s="384">
        <f ca="1">QCI!N24</f>
        <v>0</v>
      </c>
      <c r="M27" s="385" t="e">
        <f ca="1">ROUND(IF(OFFSET($X$27,0,1)&lt;&gt;"",OFFSET($X$27,0,1),SUM(S13:OFFSET(S24,-1,0))),2)</f>
        <v>#NAME?</v>
      </c>
      <c r="N27" s="386" t="e">
        <f ca="1">O27-M27</f>
        <v>#NAME?</v>
      </c>
      <c r="O27" s="387" t="e">
        <f ca="1">IF(OFFSET($X$27,0,2)&lt;&gt;"",OFFSET($X$27,0,2),$AE$4)</f>
        <v>#NAME?</v>
      </c>
      <c r="P27" s="832"/>
      <c r="X27" s="388" t="s">
        <v>796</v>
      </c>
      <c r="Y27" s="447"/>
      <c r="Z27" s="448"/>
      <c r="AC27" s="383" t="e">
        <f ca="1">MIN($L27,$O$28-OFFSET($X$26,0,1))</f>
        <v>#NAME?</v>
      </c>
      <c r="AD27" s="383" t="e">
        <f ca="1">MIN($L27,$O$28-OFFSET($X$26,0,2))</f>
        <v>#NAME?</v>
      </c>
    </row>
    <row r="28" spans="1:41" ht="15" x14ac:dyDescent="0.2">
      <c r="D28" t="s">
        <v>536</v>
      </c>
      <c r="I28" s="4"/>
      <c r="J28" s="818" t="s">
        <v>875</v>
      </c>
      <c r="K28" s="819"/>
      <c r="L28" s="389">
        <f ca="1">SUM(L13:OFFSET(L24,-1,0))</f>
        <v>0</v>
      </c>
      <c r="M28" s="642" t="e">
        <f ca="1">ROUND(SUM(M13:OFFSET(M24,-1,0)),2)</f>
        <v>#NAME?</v>
      </c>
      <c r="N28" s="643" t="e">
        <f ca="1">O28-M28</f>
        <v>#NAME?</v>
      </c>
      <c r="O28" s="390" t="e">
        <f ca="1">SUM(O13:OFFSET(O24,-1,0))</f>
        <v>#NAME?</v>
      </c>
      <c r="P28" s="832"/>
      <c r="X28" s="315"/>
      <c r="Y28" s="317"/>
      <c r="Z28" s="318"/>
    </row>
    <row r="29" spans="1:41" x14ac:dyDescent="0.2">
      <c r="O29" s="820" t="e">
        <f ca="1">"Acumulado Anterior:  "&amp;TEXT($M$28/($L$28+10^-12),"0,00%")</f>
        <v>#NAME?</v>
      </c>
      <c r="P29" s="820"/>
    </row>
    <row r="30" spans="1:41" ht="14.25" x14ac:dyDescent="0.2">
      <c r="E30" s="136" t="s">
        <v>690</v>
      </c>
      <c r="P30" s="415"/>
    </row>
    <row r="31" spans="1:41" ht="12.75" customHeight="1" x14ac:dyDescent="0.2">
      <c r="E31" s="824"/>
      <c r="F31" s="825"/>
      <c r="G31" s="825"/>
      <c r="H31" s="825"/>
      <c r="I31" s="825"/>
      <c r="J31" s="825"/>
      <c r="K31" s="825"/>
      <c r="L31" s="825"/>
      <c r="M31" s="825"/>
      <c r="N31" s="825"/>
      <c r="O31" s="825"/>
      <c r="P31" s="826"/>
    </row>
    <row r="32" spans="1:41" ht="12.75" customHeight="1" x14ac:dyDescent="0.2">
      <c r="E32" s="824"/>
      <c r="F32" s="825"/>
      <c r="G32" s="825"/>
      <c r="H32" s="825"/>
      <c r="I32" s="825"/>
      <c r="J32" s="825"/>
      <c r="K32" s="825"/>
      <c r="L32" s="825"/>
      <c r="M32" s="825"/>
      <c r="N32" s="825"/>
      <c r="O32" s="825"/>
      <c r="P32" s="826"/>
      <c r="Y32" s="391"/>
      <c r="Z32" s="391"/>
    </row>
    <row r="33" spans="5:16" ht="12.75" customHeight="1" x14ac:dyDescent="0.2">
      <c r="E33" s="827"/>
      <c r="F33" s="828"/>
      <c r="G33" s="828"/>
      <c r="H33" s="828"/>
      <c r="I33" s="828"/>
      <c r="J33" s="828"/>
      <c r="K33" s="828"/>
      <c r="L33" s="828"/>
      <c r="M33" s="828"/>
      <c r="N33" s="828"/>
      <c r="O33" s="828"/>
      <c r="P33" s="829"/>
    </row>
    <row r="34" spans="5:16" x14ac:dyDescent="0.2">
      <c r="L34" s="573" t="str">
        <f>IF(L35=0,"Preencher a data de fechamento do RRE na aba DADOS (célula "&amp;ADDRESS(ROW(Import.DataFechaRRE),COLUMN(Import.DataFechaRRE),4)&amp;")","")</f>
        <v>Preencher a data de fechamento do RRE na aba DADOS (célula C48)</v>
      </c>
    </row>
    <row r="35" spans="5:16" ht="15" x14ac:dyDescent="0.2">
      <c r="E35" s="709" t="str">
        <f>Import.Município</f>
        <v>Caçador/SC</v>
      </c>
      <c r="F35" s="709"/>
      <c r="G35" s="709"/>
      <c r="I35" s="392"/>
      <c r="K35" s="587"/>
      <c r="L35" s="758">
        <f>DADOS!$C$48</f>
        <v>0</v>
      </c>
      <c r="M35" s="758"/>
      <c r="N35" s="758"/>
      <c r="O35" s="758"/>
    </row>
    <row r="36" spans="5:16" x14ac:dyDescent="0.2">
      <c r="E36" s="9" t="s">
        <v>694</v>
      </c>
      <c r="L36" s="9" t="s">
        <v>695</v>
      </c>
    </row>
    <row r="38" spans="5:16" x14ac:dyDescent="0.2">
      <c r="E38" s="181"/>
      <c r="F38" s="181"/>
      <c r="G38" s="181"/>
      <c r="L38" s="181"/>
      <c r="M38" s="181"/>
      <c r="N38" s="181"/>
      <c r="O38" s="181"/>
    </row>
    <row r="39" spans="5:16" x14ac:dyDescent="0.2">
      <c r="E39" s="393" t="str">
        <f>IF(CAIXA.Modo,"Responsável Gerencial CAIXA","Representante Tomador")</f>
        <v>Representante Tomador</v>
      </c>
      <c r="F39" s="7"/>
      <c r="L39" s="393" t="str">
        <f>IF(CAIXA.Modo,"Responsável Técnico CAIXA","Responsável Técnico pela Fiscalização")</f>
        <v>Responsável Técnico pela Fiscalização</v>
      </c>
    </row>
    <row r="40" spans="5:16" x14ac:dyDescent="0.2">
      <c r="E40" s="77" t="s">
        <v>240</v>
      </c>
      <c r="F40" s="272">
        <f>IF(CAIXA.Modo,DADOS!C60,DADOS!C28)</f>
        <v>0</v>
      </c>
      <c r="L40" s="77" t="s">
        <v>240</v>
      </c>
      <c r="M40" s="807">
        <f>IF(CAIXA.Modo,BM!X417,DADOS!C51)</f>
        <v>0</v>
      </c>
      <c r="N40" s="807"/>
      <c r="O40" s="807"/>
    </row>
    <row r="41" spans="5:16" x14ac:dyDescent="0.2">
      <c r="E41" s="77" t="str">
        <f>IF(CAIXA.Modo,"Função:","Cargo:")</f>
        <v>Cargo:</v>
      </c>
      <c r="F41" s="272">
        <f>IF(CAIXA.Modo,DADOS!C61,DADOS!C29)</f>
        <v>0</v>
      </c>
      <c r="L41" s="77" t="str">
        <f>IF(CAIXA.Modo,"Matrícula:","Profissão:")</f>
        <v>Profissão:</v>
      </c>
      <c r="M41" s="807">
        <f>IF(CAIXA.Modo,BM!X418,DADOS!C52)</f>
        <v>0</v>
      </c>
      <c r="N41" s="807"/>
      <c r="O41" s="807"/>
    </row>
    <row r="42" spans="5:16" x14ac:dyDescent="0.2">
      <c r="L42" s="77" t="s">
        <v>243</v>
      </c>
      <c r="M42" s="807">
        <f>IF(CAIXA.Modo,BM!X419,DADOS!C53)</f>
        <v>0</v>
      </c>
      <c r="N42" s="807"/>
      <c r="O42" s="807"/>
    </row>
    <row r="43" spans="5:16" x14ac:dyDescent="0.2">
      <c r="L43" s="77" t="str">
        <f>IF(CAIXA.Modo,"","ART/RRT:")</f>
        <v>ART/RRT:</v>
      </c>
      <c r="M43" s="12">
        <f>IF(CAIXA.Modo,"",DADOS!C54)</f>
        <v>0</v>
      </c>
    </row>
    <row r="45" spans="5:16" x14ac:dyDescent="0.2">
      <c r="E45" s="181"/>
      <c r="F45" s="181"/>
      <c r="G45" s="181"/>
      <c r="L45" s="181"/>
      <c r="M45" s="181"/>
      <c r="N45" s="181"/>
      <c r="O45" s="181"/>
    </row>
    <row r="46" spans="5:16" x14ac:dyDescent="0.2">
      <c r="E46" t="str">
        <f>IF(CAIXA.Modo,"Responsável Social CAIXA","Responsável Social")</f>
        <v>Responsável Social</v>
      </c>
      <c r="L46" t="str">
        <f>IF(CAIXA.Modo,"Responsável Operacional CAIXA","Responsável Financeiro")</f>
        <v>Responsável Financeiro</v>
      </c>
    </row>
    <row r="47" spans="5:16" x14ac:dyDescent="0.2">
      <c r="E47" s="77" t="s">
        <v>240</v>
      </c>
      <c r="F47" s="806"/>
      <c r="G47" s="806"/>
      <c r="L47" s="77" t="s">
        <v>240</v>
      </c>
      <c r="M47" s="806"/>
      <c r="N47" s="806"/>
      <c r="O47" s="806"/>
    </row>
    <row r="48" spans="5:16" x14ac:dyDescent="0.2">
      <c r="E48" s="77" t="str">
        <f>IF(CAIXA.Modo,"Função:","Cargo:")</f>
        <v>Cargo:</v>
      </c>
      <c r="F48" s="806"/>
      <c r="G48" s="806"/>
      <c r="L48" s="77" t="str">
        <f>IF(CAIXA.Modo,"Função:","Cargo:")</f>
        <v>Cargo:</v>
      </c>
      <c r="M48" s="806"/>
      <c r="N48" s="806"/>
      <c r="O48" s="806"/>
    </row>
    <row r="49" spans="5:15" x14ac:dyDescent="0.2">
      <c r="E49" s="77" t="str">
        <f>IF(CAIXA.Modo,"Matr:","")</f>
        <v/>
      </c>
      <c r="F49" s="806"/>
      <c r="G49" s="806"/>
      <c r="L49" s="77" t="str">
        <f>IF(CAIXA.Modo,"Matrícula:","")</f>
        <v/>
      </c>
      <c r="M49" s="806"/>
      <c r="N49" s="806"/>
      <c r="O49" s="806"/>
    </row>
  </sheetData>
  <sheetProtection algorithmName="SHA-512" hashValue="Xwaxad9fL0V79MLNaN+u9wrf5E9AZFYaRE0kKgIW7xwStTuOjQAG9v8rmDqkSTwetC1nlYwWsUM/YKfHD1aKaQ==" saltValue="1m/xiqIA1VchS11dYzkMGQ==" spinCount="100000" sheet="1" objects="1" scenarios="1" autoFilter="0"/>
  <autoFilter ref="D13:D30" xr:uid="{00000000-0009-0000-0000-00000C000000}"/>
  <mergeCells count="40">
    <mergeCell ref="M4:O4"/>
    <mergeCell ref="M49:O49"/>
    <mergeCell ref="E31:P33"/>
    <mergeCell ref="L35:O35"/>
    <mergeCell ref="M40:O40"/>
    <mergeCell ref="M41:O41"/>
    <mergeCell ref="M42:O42"/>
    <mergeCell ref="M47:O47"/>
    <mergeCell ref="F49:G49"/>
    <mergeCell ref="E35:G35"/>
    <mergeCell ref="F47:G47"/>
    <mergeCell ref="F48:G48"/>
    <mergeCell ref="J24:K24"/>
    <mergeCell ref="P24:P28"/>
    <mergeCell ref="J25:K25"/>
    <mergeCell ref="J26:K26"/>
    <mergeCell ref="J27:K27"/>
    <mergeCell ref="J28:K28"/>
    <mergeCell ref="O29:P29"/>
    <mergeCell ref="M48:O48"/>
    <mergeCell ref="AC10:AH10"/>
    <mergeCell ref="AJ10:AO10"/>
    <mergeCell ref="Y11:Z11"/>
    <mergeCell ref="AC11:AE11"/>
    <mergeCell ref="AF11:AH11"/>
    <mergeCell ref="AJ11:AL11"/>
    <mergeCell ref="AM11:AO11"/>
    <mergeCell ref="D7:D11"/>
    <mergeCell ref="E7:H7"/>
    <mergeCell ref="I7:L7"/>
    <mergeCell ref="G9:H9"/>
    <mergeCell ref="I9:J9"/>
    <mergeCell ref="L9:L10"/>
    <mergeCell ref="G10:H10"/>
    <mergeCell ref="E6:H6"/>
    <mergeCell ref="I6:L6"/>
    <mergeCell ref="E3:H3"/>
    <mergeCell ref="I3:K3"/>
    <mergeCell ref="E4:H4"/>
    <mergeCell ref="I4:K4"/>
  </mergeCells>
  <phoneticPr fontId="38" type="noConversion"/>
  <conditionalFormatting sqref="X12:Z12">
    <cfRule type="expression" dxfId="47" priority="372" stopIfTrue="1">
      <formula>OR($C12="Automático",$C12="Branco")</formula>
    </cfRule>
  </conditionalFormatting>
  <conditionalFormatting sqref="F49:G49 M49:O49">
    <cfRule type="expression" dxfId="46" priority="373" stopIfTrue="1">
      <formula>CAIXA.Modo=FALSE</formula>
    </cfRule>
  </conditionalFormatting>
  <conditionalFormatting sqref="M12 M25:M28 O12 O25:O28">
    <cfRule type="cellIs" dxfId="45" priority="374" stopIfTrue="1" operator="notBetween">
      <formula>0</formula>
      <formula>$L12</formula>
    </cfRule>
  </conditionalFormatting>
  <conditionalFormatting sqref="M10:N10">
    <cfRule type="cellIs" dxfId="44" priority="375" stopIfTrue="1" operator="lessThan">
      <formula>0</formula>
    </cfRule>
  </conditionalFormatting>
  <conditionalFormatting sqref="X14:Z22">
    <cfRule type="expression" dxfId="43" priority="3" stopIfTrue="1">
      <formula>OR($C14="Automático",$C14="Branco")</formula>
    </cfRule>
  </conditionalFormatting>
  <conditionalFormatting sqref="M14:M22 O14:O22">
    <cfRule type="cellIs" dxfId="42" priority="4" stopIfTrue="1" operator="notBetween">
      <formula>0</formula>
      <formula>$L14</formula>
    </cfRule>
  </conditionalFormatting>
  <conditionalFormatting sqref="X23:Z23">
    <cfRule type="expression" dxfId="41" priority="1" stopIfTrue="1">
      <formula>OR($C23="Automático",$C23="Branco")</formula>
    </cfRule>
  </conditionalFormatting>
  <conditionalFormatting sqref="M23 O23">
    <cfRule type="cellIs" dxfId="40" priority="2" stopIfTrue="1" operator="notBetween">
      <formula>0</formula>
      <formula>$L23</formula>
    </cfRule>
  </conditionalFormatting>
  <dataValidations disablePrompts="1" count="5">
    <dataValidation type="decimal" errorStyle="warning" allowBlank="1" showInputMessage="1" showErrorMessage="1" errorTitle="Erro de valor" error="Valor menor que 0,00 ou maior que o valor da Contrapartida/Outros." promptTitle="Contrapartida Anterior:" prompt="Deixe essa célula em branco para o cálculo automático. Preencha somente para valores de CP diferentes do previsto." sqref="Y26" xr:uid="{00000000-0002-0000-0C00-000000000000}">
      <formula1>0</formula1>
      <formula2>RRE.MaxCPAnt</formula2>
    </dataValidation>
    <dataValidation type="decimal" errorStyle="warning" allowBlank="1" showInputMessage="1" showErrorMessage="1" errorTitle="Erro de valor" error="Valor menor que 0,00 ou maior que o valor da Contrapartida/Outros." promptTitle="Contrapartida Acumulada:" prompt="Deixe essa célula em branco para o cálculo automático. Preencha somente para valores de CP diferentes do previsto." sqref="Z26" xr:uid="{00000000-0002-0000-0C00-000001000000}">
      <formula1>0</formula1>
      <formula2>RRE.MaxCPAcum</formula2>
    </dataValidation>
    <dataValidation type="decimal" errorStyle="warning" allowBlank="1" showInputMessage="1" showErrorMessage="1" errorTitle="Erro de valor" error="Valor menor que 0,00 ou maior que o valor da Contrapartida/Outros." promptTitle="Outros Anterior:" prompt="Deixe essa célula em branco para o cálculo automático. Preencha somente para valores de Outros diferentes do previsto." sqref="Y27" xr:uid="{00000000-0002-0000-0C00-000002000000}">
      <formula1>0</formula1>
      <formula2>RRE.MaxOUAnt</formula2>
    </dataValidation>
    <dataValidation type="decimal" errorStyle="warning" allowBlank="1" showInputMessage="1" showErrorMessage="1" errorTitle="Erro de valor" error="Valor menor que 0,00 ou maior que o valor da Contrapartida/Outros." promptTitle="Outros Acumulada:" prompt="Deixe essa célula em branco para o cálculo automático. Preencha somente para valores de Outros diferentes do previsto." sqref="Z27" xr:uid="{00000000-0002-0000-0C00-000003000000}">
      <formula1>0</formula1>
      <formula2>RRE.MaxOUAcum</formula2>
    </dataValidation>
    <dataValidation type="decimal" allowBlank="1" showInputMessage="1" showErrorMessage="1" sqref="Y12:Z12 Y14:Z23" xr:uid="{00000000-0002-0000-0C00-000004000000}">
      <formula1>0</formula1>
      <formula2>RRE.VIMeta</formula2>
    </dataValidation>
  </dataValidations>
  <pageMargins left="0.78740157480314998" right="0.78740157480314998" top="0.78740157480314998" bottom="0.78740157480314998" header="0.59055118110236204" footer="0.59055118110236204"/>
  <pageSetup paperSize="9" scale="73" firstPageNumber="0" fitToHeight="0" orientation="landscape" horizontalDpi="300" verticalDpi="300" r:id="rId1"/>
  <headerFooter alignWithMargins="0">
    <oddHeader>&amp;L_&amp;C&amp;14I</oddHeader>
    <oddFooter>&amp;LPMv3.11&amp;R&amp;P / &amp;N</oddFooter>
  </headerFooter>
  <colBreaks count="1" manualBreakCount="1">
    <brk id="15" max="1048575" man="1"/>
  </colBreaks>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2"/>
  <dimension ref="B1:M56"/>
  <sheetViews>
    <sheetView showGridLines="0" zoomScaleNormal="100" zoomScaleSheetLayoutView="100" workbookViewId="0"/>
  </sheetViews>
  <sheetFormatPr defaultRowHeight="12.75" x14ac:dyDescent="0.2"/>
  <cols>
    <col min="1" max="1" width="2" customWidth="1"/>
    <col min="2" max="2" width="15.5703125" customWidth="1"/>
    <col min="3" max="3" width="6.5703125" customWidth="1"/>
    <col min="4" max="5" width="20.5703125" customWidth="1"/>
    <col min="6" max="6" width="8.5703125" customWidth="1"/>
    <col min="7" max="7" width="12.5703125" customWidth="1"/>
    <col min="8" max="8" width="20.5703125" customWidth="1"/>
    <col min="10" max="10" width="14.140625" customWidth="1"/>
  </cols>
  <sheetData>
    <row r="1" spans="2:13" x14ac:dyDescent="0.2">
      <c r="B1" s="840"/>
      <c r="C1" s="840"/>
      <c r="D1" s="49"/>
      <c r="E1" s="49"/>
      <c r="F1" s="49"/>
      <c r="G1" s="52" t="s">
        <v>644</v>
      </c>
    </row>
    <row r="2" spans="2:13" x14ac:dyDescent="0.2">
      <c r="B2" s="840"/>
      <c r="C2" s="840"/>
      <c r="D2" s="49"/>
      <c r="E2" s="49"/>
      <c r="F2" s="49"/>
      <c r="G2" s="11" t="s">
        <v>897</v>
      </c>
    </row>
    <row r="3" spans="2:13" ht="26.1" customHeight="1" x14ac:dyDescent="0.2">
      <c r="B3" s="840"/>
      <c r="C3" s="840"/>
      <c r="D3" s="49"/>
      <c r="E3" s="49"/>
      <c r="F3" s="49"/>
      <c r="G3" s="394"/>
    </row>
    <row r="4" spans="2:13" ht="12.75" customHeight="1" x14ac:dyDescent="0.2">
      <c r="B4" s="840"/>
      <c r="C4" s="840"/>
      <c r="D4" s="49"/>
      <c r="E4" s="49"/>
      <c r="F4" s="49"/>
      <c r="G4" s="49"/>
    </row>
    <row r="5" spans="2:13" x14ac:dyDescent="0.2">
      <c r="C5" s="573" t="str">
        <f>IF(Import.Ofício.Num=0,"Preencher o número do Ofício","")</f>
        <v>Preencher o número do Ofício</v>
      </c>
    </row>
    <row r="6" spans="2:13" x14ac:dyDescent="0.2">
      <c r="B6" s="395" t="s">
        <v>898</v>
      </c>
      <c r="C6" s="837"/>
      <c r="D6" s="837"/>
      <c r="E6" s="395"/>
      <c r="F6" s="395"/>
      <c r="G6" s="49"/>
      <c r="J6" s="9"/>
    </row>
    <row r="7" spans="2:13" x14ac:dyDescent="0.2">
      <c r="B7" s="49"/>
      <c r="C7" s="49"/>
      <c r="D7" s="49"/>
      <c r="E7" s="49"/>
      <c r="F7" s="49"/>
      <c r="G7" s="49"/>
    </row>
    <row r="8" spans="2:13" x14ac:dyDescent="0.2">
      <c r="B8" s="838" t="str">
        <f>CONCATENATE(RRE!$E$35,", ",TEXT(RRE!$L$35,"dd"" de ""mmmm"" de ""aaaa"))</f>
        <v>Caçador/SC, 00 de janeiro de 1900</v>
      </c>
      <c r="C8" s="838"/>
      <c r="D8" s="838"/>
      <c r="E8" s="838"/>
      <c r="F8" s="838"/>
      <c r="G8" s="838"/>
      <c r="H8" s="396"/>
      <c r="J8" s="396"/>
      <c r="K8" s="396"/>
      <c r="L8" s="396"/>
      <c r="M8" s="396"/>
    </row>
    <row r="9" spans="2:13" x14ac:dyDescent="0.2">
      <c r="B9" s="397" t="s">
        <v>899</v>
      </c>
      <c r="C9" s="49"/>
      <c r="D9" s="49"/>
      <c r="G9" s="49"/>
      <c r="H9" s="396"/>
      <c r="J9" s="396"/>
      <c r="K9" s="396"/>
      <c r="L9" s="396"/>
      <c r="M9" s="396"/>
    </row>
    <row r="10" spans="2:13" x14ac:dyDescent="0.2">
      <c r="B10" s="839" t="s">
        <v>900</v>
      </c>
      <c r="C10" s="839"/>
      <c r="D10" s="839"/>
      <c r="G10" s="49"/>
      <c r="H10" s="396"/>
      <c r="J10" s="396"/>
      <c r="K10" s="396"/>
      <c r="L10" s="396"/>
      <c r="M10" s="396"/>
    </row>
    <row r="11" spans="2:13" x14ac:dyDescent="0.2">
      <c r="B11" s="398" t="s">
        <v>901</v>
      </c>
      <c r="C11" s="806"/>
      <c r="D11" s="806"/>
      <c r="G11" s="49"/>
      <c r="H11" s="396"/>
      <c r="J11" s="396"/>
      <c r="K11" s="396"/>
      <c r="L11" s="396"/>
      <c r="M11" s="396"/>
    </row>
    <row r="12" spans="2:13" x14ac:dyDescent="0.2">
      <c r="B12" s="399"/>
      <c r="C12" s="399"/>
      <c r="D12" s="399"/>
      <c r="E12" s="399"/>
      <c r="F12" s="399"/>
      <c r="G12" s="49"/>
      <c r="H12" s="396"/>
      <c r="J12" s="396"/>
      <c r="K12" s="396"/>
      <c r="L12" s="396"/>
      <c r="M12" s="396"/>
    </row>
    <row r="13" spans="2:13" x14ac:dyDescent="0.2">
      <c r="B13" s="49"/>
      <c r="C13" s="49"/>
      <c r="D13" s="49"/>
      <c r="E13" s="49"/>
      <c r="F13" s="49"/>
      <c r="G13" s="49"/>
    </row>
    <row r="14" spans="2:13" x14ac:dyDescent="0.2">
      <c r="B14" s="397" t="s">
        <v>902</v>
      </c>
      <c r="C14" s="839" t="str">
        <f ca="1">CONCATENATE(RRE.Numero,"ª"," Solicitação de ",IF(import.recurso="OGU","Desbloqueio","Desembolso")," de Recursos.")</f>
        <v>1ª Solicitação de Desembolso de Recursos.</v>
      </c>
      <c r="D14" s="839"/>
      <c r="E14" s="839"/>
      <c r="F14" s="839"/>
      <c r="G14" s="839"/>
    </row>
    <row r="15" spans="2:13" ht="12.75" customHeight="1" x14ac:dyDescent="0.2">
      <c r="B15" s="397" t="s">
        <v>903</v>
      </c>
      <c r="C15" s="845" t="str">
        <f>CONCATENATE("Contrato de ",IF(import.recurso="OGU","Repasse","Financiamento")," - Operação nº ",Import.CR,IF(Import.TransfereGOV="","",CONCATENATE(" - TransfereGOV nº ",Import.TransfereGOV)))</f>
        <v>Contrato de Financiamento - Operação nº  - TransfereGOV nº 958977</v>
      </c>
      <c r="D15" s="845"/>
      <c r="E15" s="845"/>
      <c r="F15" s="845"/>
      <c r="G15" s="845"/>
    </row>
    <row r="16" spans="2:13" x14ac:dyDescent="0.2">
      <c r="B16" s="397"/>
      <c r="C16" s="845"/>
      <c r="D16" s="845"/>
      <c r="E16" s="845"/>
      <c r="F16" s="845"/>
      <c r="G16" s="845"/>
    </row>
    <row r="17" spans="2:7" x14ac:dyDescent="0.2">
      <c r="B17" s="49"/>
      <c r="C17" s="49"/>
      <c r="D17" s="49"/>
      <c r="E17" s="49"/>
      <c r="F17" s="49"/>
      <c r="G17" s="49"/>
    </row>
    <row r="18" spans="2:7" ht="12.75" customHeight="1" x14ac:dyDescent="0.2">
      <c r="B18" s="272" t="s">
        <v>904</v>
      </c>
      <c r="C18" s="841">
        <f>Import.DescLote</f>
        <v>0</v>
      </c>
      <c r="D18" s="841"/>
      <c r="E18" s="841"/>
      <c r="F18" s="841"/>
      <c r="G18" s="841"/>
    </row>
    <row r="19" spans="2:7" ht="12.75" customHeight="1" x14ac:dyDescent="0.2">
      <c r="B19" s="843" t="s">
        <v>905</v>
      </c>
      <c r="C19" s="844" t="str">
        <f>Import.Proponente</f>
        <v>PREFEITURA MUNICIPAL DE CAÇADOR</v>
      </c>
      <c r="D19" s="844"/>
      <c r="E19" s="844"/>
      <c r="F19" s="844"/>
      <c r="G19" s="844"/>
    </row>
    <row r="20" spans="2:7" x14ac:dyDescent="0.2">
      <c r="B20" s="843"/>
      <c r="C20" s="844"/>
      <c r="D20" s="844"/>
      <c r="E20" s="844"/>
      <c r="F20" s="844"/>
      <c r="G20" s="844"/>
    </row>
    <row r="21" spans="2:7" x14ac:dyDescent="0.2">
      <c r="B21" s="49"/>
      <c r="C21" s="49"/>
      <c r="D21" s="49"/>
      <c r="E21" s="49"/>
      <c r="F21" s="49"/>
      <c r="G21" s="49"/>
    </row>
    <row r="22" spans="2:7" x14ac:dyDescent="0.2">
      <c r="B22" t="str">
        <f>IF(B11="GIGOV","Senhor Gerente","Senhor Superintendente")</f>
        <v>Senhor Gerente</v>
      </c>
      <c r="D22" s="49"/>
      <c r="E22" s="49"/>
      <c r="F22" s="49"/>
      <c r="G22" s="49"/>
    </row>
    <row r="23" spans="2:7" x14ac:dyDescent="0.2">
      <c r="B23" s="49"/>
      <c r="C23" s="49"/>
      <c r="D23" s="49"/>
      <c r="E23" s="49"/>
      <c r="F23" s="49"/>
      <c r="G23" s="49"/>
    </row>
    <row r="24" spans="2:7" ht="12.75" customHeight="1" x14ac:dyDescent="0.2">
      <c r="B24" s="841" t="str">
        <f>CONCATENATE("1. Vimos pelo presente, solicitar à Caixa Econômica Federal autorização para ",IF(import.recurso="OGU","desbloqueio","desembolso")," da parcela de recursos relativa ao Contrato de ",IF(import.recurso="OGU","Repasse","Financiamento")," em referência, conforme valores abaixo discriminados e, para tanto, anexamos a documentação necessária ao pleito.")</f>
        <v>1. Vimos pelo presente, solicitar à Caixa Econômica Federal autorização para desembolso da parcela de recursos relativa ao Contrato de Financiamento em referência, conforme valores abaixo discriminados e, para tanto, anexamos a documentação necessária ao pleito.</v>
      </c>
      <c r="C24" s="841"/>
      <c r="D24" s="841"/>
      <c r="E24" s="841"/>
      <c r="F24" s="841"/>
      <c r="G24" s="841"/>
    </row>
    <row r="25" spans="2:7" x14ac:dyDescent="0.2">
      <c r="B25" s="841"/>
      <c r="C25" s="841"/>
      <c r="D25" s="841"/>
      <c r="E25" s="841"/>
      <c r="F25" s="841"/>
      <c r="G25" s="841"/>
    </row>
    <row r="26" spans="2:7" x14ac:dyDescent="0.2">
      <c r="B26" s="841"/>
      <c r="C26" s="841"/>
      <c r="D26" s="841"/>
      <c r="E26" s="841"/>
      <c r="F26" s="841"/>
      <c r="G26" s="841"/>
    </row>
    <row r="27" spans="2:7" x14ac:dyDescent="0.2">
      <c r="B27" s="49"/>
      <c r="C27" s="49"/>
      <c r="D27" s="49"/>
      <c r="E27" s="49"/>
      <c r="F27" s="49"/>
      <c r="G27" s="49"/>
    </row>
    <row r="28" spans="2:7" ht="12.75" customHeight="1" x14ac:dyDescent="0.2">
      <c r="B28" s="842"/>
      <c r="C28" s="842"/>
      <c r="D28" s="846" t="s">
        <v>906</v>
      </c>
      <c r="E28" s="846" t="str">
        <f ca="1">"Evolução da "&amp;RRE.Numero&amp;"ª Medição"</f>
        <v>Evolução da 1ª Medição</v>
      </c>
      <c r="F28" s="847" t="s">
        <v>907</v>
      </c>
      <c r="G28" s="847"/>
    </row>
    <row r="29" spans="2:7" x14ac:dyDescent="0.2">
      <c r="B29" s="842"/>
      <c r="C29" s="842"/>
      <c r="D29" s="846"/>
      <c r="E29" s="846"/>
      <c r="F29" s="847"/>
      <c r="G29" s="847"/>
    </row>
    <row r="30" spans="2:7" x14ac:dyDescent="0.2">
      <c r="B30" s="848" t="str">
        <f>IF(import.recurso="FGTS","Financiamento:","Repasse:")</f>
        <v>Repasse:</v>
      </c>
      <c r="C30" s="848"/>
      <c r="D30" s="400">
        <f ca="1">RRE!L25</f>
        <v>0</v>
      </c>
      <c r="E30" s="400" t="e">
        <f ca="1">RRE!N25</f>
        <v>#NAME?</v>
      </c>
      <c r="F30" s="849" t="e">
        <f ca="1">RRE!O25</f>
        <v>#NAME?</v>
      </c>
      <c r="G30" s="849"/>
    </row>
    <row r="31" spans="2:7" x14ac:dyDescent="0.2">
      <c r="B31" s="848" t="s">
        <v>908</v>
      </c>
      <c r="C31" s="848"/>
      <c r="D31" s="400">
        <f ca="1">RRE!L26</f>
        <v>0</v>
      </c>
      <c r="E31" s="400" t="e">
        <f ca="1">RRE!N26</f>
        <v>#NAME?</v>
      </c>
      <c r="F31" s="849" t="e">
        <f ca="1">RRE!O26</f>
        <v>#NAME?</v>
      </c>
      <c r="G31" s="849"/>
    </row>
    <row r="32" spans="2:7" x14ac:dyDescent="0.2">
      <c r="B32" s="848" t="s">
        <v>803</v>
      </c>
      <c r="C32" s="848"/>
      <c r="D32" s="400">
        <f ca="1">RRE!L27</f>
        <v>0</v>
      </c>
      <c r="E32" s="400" t="e">
        <f ca="1">RRE!N27</f>
        <v>#NAME?</v>
      </c>
      <c r="F32" s="849" t="e">
        <f ca="1">RRE!O27</f>
        <v>#NAME?</v>
      </c>
      <c r="G32" s="849"/>
    </row>
    <row r="33" spans="2:7" x14ac:dyDescent="0.2">
      <c r="B33" s="848" t="s">
        <v>804</v>
      </c>
      <c r="C33" s="848"/>
      <c r="D33" s="400">
        <f ca="1">RRE!L28</f>
        <v>0</v>
      </c>
      <c r="E33" s="400" t="e">
        <f ca="1">RRE!N28</f>
        <v>#NAME?</v>
      </c>
      <c r="F33" s="849" t="e">
        <f ca="1">RRE!O28</f>
        <v>#NAME?</v>
      </c>
      <c r="G33" s="849"/>
    </row>
    <row r="34" spans="2:7" x14ac:dyDescent="0.2">
      <c r="B34" s="852" t="s">
        <v>909</v>
      </c>
      <c r="C34" s="852"/>
      <c r="D34" s="401" t="s">
        <v>689</v>
      </c>
      <c r="E34" s="402" t="e">
        <f ca="1">RRE!$N$28/(RRE!$L$28+10^-12)</f>
        <v>#NAME?</v>
      </c>
      <c r="F34" s="853" t="e">
        <f ca="1">RRE!P24</f>
        <v>#NAME?</v>
      </c>
      <c r="G34" s="853"/>
    </row>
    <row r="35" spans="2:7" x14ac:dyDescent="0.2">
      <c r="B35" s="182"/>
      <c r="C35" s="49"/>
      <c r="D35" s="49"/>
      <c r="E35" s="49"/>
      <c r="F35" s="49"/>
      <c r="G35" s="49"/>
    </row>
    <row r="36" spans="2:7" x14ac:dyDescent="0.2">
      <c r="B36" s="182"/>
      <c r="C36" s="182"/>
      <c r="D36" s="182"/>
      <c r="E36" s="182"/>
      <c r="F36" s="182"/>
      <c r="G36" s="49"/>
    </row>
    <row r="37" spans="2:7" x14ac:dyDescent="0.2">
      <c r="B37" s="854" t="str">
        <f ca="1">IF(RRE.Numero&gt;1,"2. Encaminhamos ainda a documentação relativa à prestação de contas da etapa físico-financeira anterior.","")</f>
        <v/>
      </c>
      <c r="C37" s="854"/>
      <c r="D37" s="854"/>
      <c r="E37" s="854"/>
      <c r="F37" s="854"/>
      <c r="G37" s="854"/>
    </row>
    <row r="38" spans="2:7" x14ac:dyDescent="0.2">
      <c r="B38" s="854"/>
      <c r="C38" s="854"/>
      <c r="D38" s="854"/>
      <c r="E38" s="854"/>
      <c r="F38" s="854"/>
      <c r="G38" s="854"/>
    </row>
    <row r="39" spans="2:7" ht="12.75" customHeight="1" x14ac:dyDescent="0.2">
      <c r="B39" s="854" t="str">
        <f ca="1">IF(AND(RRE.Numero&gt;1,NOT(ISBLANK(Import.TransfereGOV))),"3. Na oportunidade, informamos que a execução financeira da parcela anterior está devidamente comprovada no TransfereGOV.","")</f>
        <v/>
      </c>
      <c r="C39" s="854"/>
      <c r="D39" s="854"/>
      <c r="E39" s="854"/>
      <c r="F39" s="854"/>
      <c r="G39" s="854"/>
    </row>
    <row r="40" spans="2:7" x14ac:dyDescent="0.2">
      <c r="B40" s="854"/>
      <c r="C40" s="854"/>
      <c r="D40" s="854"/>
      <c r="E40" s="854"/>
      <c r="F40" s="854"/>
      <c r="G40" s="854"/>
    </row>
    <row r="41" spans="2:7" x14ac:dyDescent="0.2">
      <c r="B41" s="403"/>
      <c r="C41" s="398"/>
      <c r="D41" s="398"/>
      <c r="E41" s="398"/>
      <c r="F41" s="398"/>
      <c r="G41" s="398"/>
    </row>
    <row r="42" spans="2:7" ht="12.75" customHeight="1" x14ac:dyDescent="0.2">
      <c r="B42" s="854" t="str">
        <f ca="1">IF($B$37="",0,1)+IF($B$39="",0,1)+2&amp;". Informamos também a manutenção da Placa de Obra em local visível e de acordo com padrão estabelecido pela Presidência da República, constante do Manual Visual de Placas e Adesivos de Obra."</f>
        <v>2. Informamos também a manutenção da Placa de Obra em local visível e de acordo com padrão estabelecido pela Presidência da República, constante do Manual Visual de Placas e Adesivos de Obra.</v>
      </c>
      <c r="C42" s="854"/>
      <c r="D42" s="854"/>
      <c r="E42" s="854"/>
      <c r="F42" s="854"/>
      <c r="G42" s="854"/>
    </row>
    <row r="43" spans="2:7" x14ac:dyDescent="0.2">
      <c r="B43" s="854"/>
      <c r="C43" s="854"/>
      <c r="D43" s="854"/>
      <c r="E43" s="854"/>
      <c r="F43" s="854"/>
      <c r="G43" s="854"/>
    </row>
    <row r="44" spans="2:7" x14ac:dyDescent="0.2">
      <c r="B44" s="854"/>
      <c r="C44" s="854"/>
      <c r="D44" s="854"/>
      <c r="E44" s="854"/>
      <c r="F44" s="854"/>
      <c r="G44" s="854"/>
    </row>
    <row r="45" spans="2:7" x14ac:dyDescent="0.2">
      <c r="B45" s="854"/>
      <c r="C45" s="854"/>
      <c r="D45" s="854"/>
      <c r="E45" s="854"/>
      <c r="F45" s="854"/>
      <c r="G45" s="854"/>
    </row>
    <row r="46" spans="2:7" x14ac:dyDescent="0.2">
      <c r="B46" s="854"/>
      <c r="C46" s="854"/>
      <c r="D46" s="854"/>
      <c r="E46" s="854"/>
      <c r="F46" s="854"/>
      <c r="G46" s="854"/>
    </row>
    <row r="47" spans="2:7" x14ac:dyDescent="0.2">
      <c r="G47" s="278"/>
    </row>
    <row r="48" spans="2:7" x14ac:dyDescent="0.2">
      <c r="G48" s="278"/>
    </row>
    <row r="49" spans="2:7" x14ac:dyDescent="0.2">
      <c r="B49" s="49" t="s">
        <v>910</v>
      </c>
      <c r="G49" s="278"/>
    </row>
    <row r="50" spans="2:7" x14ac:dyDescent="0.2">
      <c r="B50" s="278"/>
      <c r="C50" s="278"/>
      <c r="D50" s="278"/>
      <c r="E50" s="278"/>
      <c r="F50" s="278"/>
      <c r="G50" s="278"/>
    </row>
    <row r="51" spans="2:7" x14ac:dyDescent="0.2">
      <c r="B51" s="49"/>
      <c r="C51" s="49"/>
      <c r="D51" s="49"/>
      <c r="E51" s="49"/>
      <c r="F51" s="49"/>
      <c r="G51" s="49"/>
    </row>
    <row r="52" spans="2:7" x14ac:dyDescent="0.2">
      <c r="B52" s="49"/>
      <c r="C52" s="49"/>
      <c r="D52" s="49"/>
      <c r="E52" s="49"/>
      <c r="F52" s="49"/>
      <c r="G52" s="49"/>
    </row>
    <row r="53" spans="2:7" x14ac:dyDescent="0.2">
      <c r="B53" s="404"/>
      <c r="C53" s="404"/>
      <c r="D53" s="404"/>
      <c r="E53" s="49"/>
      <c r="F53" s="49"/>
      <c r="G53" s="49"/>
    </row>
    <row r="54" spans="2:7" x14ac:dyDescent="0.2">
      <c r="B54" s="850">
        <f>DADOS!$C$28</f>
        <v>0</v>
      </c>
      <c r="C54" s="850"/>
      <c r="D54" s="850"/>
      <c r="E54" s="850"/>
      <c r="F54" s="850"/>
      <c r="G54" s="850"/>
    </row>
    <row r="55" spans="2:7" x14ac:dyDescent="0.2">
      <c r="B55" s="850">
        <f>DADOS!$C$29</f>
        <v>0</v>
      </c>
      <c r="C55" s="850"/>
      <c r="D55" s="850"/>
      <c r="E55" s="850"/>
      <c r="F55" s="850"/>
      <c r="G55" s="850"/>
    </row>
    <row r="56" spans="2:7" x14ac:dyDescent="0.2">
      <c r="B56" s="851"/>
      <c r="C56" s="851"/>
      <c r="D56" s="851"/>
      <c r="E56" s="851"/>
      <c r="F56" s="851"/>
      <c r="G56" s="851"/>
    </row>
  </sheetData>
  <sheetProtection algorithmName="SHA-512" hashValue="YRdm6wcr+twI2OOq7MNrAd++l1MAgfdGxvAxdh8c7hEJj1O15fxKMdzwHlbjXB1C+kyaGNNYHAJ7hVo5FNB4Hg==" saltValue="whmQaeABinhGquH65BM80A==" spinCount="100000" sheet="1" objects="1" scenarios="1" autoFilter="0"/>
  <mergeCells count="30">
    <mergeCell ref="B55:G56"/>
    <mergeCell ref="B33:C33"/>
    <mergeCell ref="F33:G33"/>
    <mergeCell ref="B34:C34"/>
    <mergeCell ref="F34:G34"/>
    <mergeCell ref="B37:G38"/>
    <mergeCell ref="B39:G40"/>
    <mergeCell ref="B42:G46"/>
    <mergeCell ref="B31:C31"/>
    <mergeCell ref="F31:G31"/>
    <mergeCell ref="B30:C30"/>
    <mergeCell ref="F30:G30"/>
    <mergeCell ref="B54:G54"/>
    <mergeCell ref="B32:C32"/>
    <mergeCell ref="F32:G32"/>
    <mergeCell ref="B28:C29"/>
    <mergeCell ref="B19:B20"/>
    <mergeCell ref="C19:G20"/>
    <mergeCell ref="C11:D11"/>
    <mergeCell ref="C14:G14"/>
    <mergeCell ref="C15:G16"/>
    <mergeCell ref="C18:G18"/>
    <mergeCell ref="D28:D29"/>
    <mergeCell ref="E28:E29"/>
    <mergeCell ref="F28:G29"/>
    <mergeCell ref="C6:D6"/>
    <mergeCell ref="B8:G8"/>
    <mergeCell ref="B10:D10"/>
    <mergeCell ref="B1:C4"/>
    <mergeCell ref="B24:G26"/>
  </mergeCells>
  <phoneticPr fontId="38" type="noConversion"/>
  <conditionalFormatting sqref="D30:D33 F30:G33">
    <cfRule type="cellIs" dxfId="39" priority="2" stopIfTrue="1" operator="notBetween">
      <formula>0</formula>
      <formula>D$33</formula>
    </cfRule>
  </conditionalFormatting>
  <dataValidations count="1">
    <dataValidation type="list" allowBlank="1" showErrorMessage="1" sqref="B11" xr:uid="{00000000-0002-0000-0D00-000000000000}">
      <formula1>"GIGOV,SR"</formula1>
      <formula2>0</formula2>
    </dataValidation>
  </dataValidations>
  <pageMargins left="0.78740157480314998" right="0.78740157480314998" top="0.78740157480314998" bottom="0.78740157480314998" header="5.7086614173228396" footer="0.59055118110236204"/>
  <pageSetup paperSize="9" scale="97" firstPageNumber="0" orientation="portrait" horizontalDpi="300" verticalDpi="300" r:id="rId1"/>
  <headerFooter alignWithMargins="0">
    <oddHeader>&amp;L_</oddHeader>
    <oddFooter>&amp;LPMv3.11&amp;R&amp;P /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D4D42-BBD7-4918-989B-37AE48F8D836}">
  <sheetPr codeName="Planilha1"/>
  <dimension ref="A1:S2"/>
  <sheetViews>
    <sheetView workbookViewId="0">
      <pane ySplit="1" topLeftCell="A2" activePane="bottomLeft" state="frozen"/>
      <selection pane="bottomLeft"/>
    </sheetView>
  </sheetViews>
  <sheetFormatPr defaultColWidth="9.140625" defaultRowHeight="15" x14ac:dyDescent="0.25"/>
  <cols>
    <col min="1" max="1" width="15" style="517" customWidth="1"/>
    <col min="2" max="2" width="25" style="517" customWidth="1"/>
    <col min="3" max="3" width="12" style="517" customWidth="1"/>
    <col min="4" max="4" width="15.5703125" style="519" customWidth="1"/>
    <col min="5" max="5" width="70" style="517" customWidth="1"/>
    <col min="6" max="6" width="20" style="517" customWidth="1"/>
    <col min="7" max="7" width="10" style="517" customWidth="1"/>
    <col min="8" max="8" width="25" style="517" customWidth="1"/>
    <col min="9" max="9" width="15" style="517" customWidth="1"/>
    <col min="10" max="10" width="13" style="517" customWidth="1"/>
    <col min="11" max="12" width="35" style="517" customWidth="1"/>
    <col min="13" max="13" width="20" style="517" customWidth="1"/>
    <col min="14" max="14" width="15" style="517" customWidth="1"/>
    <col min="15" max="15" width="50" style="517" customWidth="1"/>
    <col min="16" max="16" width="20" style="517" customWidth="1"/>
    <col min="17" max="17" width="50" style="517" customWidth="1"/>
    <col min="18" max="18" width="15" style="517" customWidth="1"/>
    <col min="19" max="19" width="17.5703125" style="517" customWidth="1"/>
    <col min="20" max="16384" width="9.140625" style="517"/>
  </cols>
  <sheetData>
    <row r="1" spans="1:19" x14ac:dyDescent="0.25">
      <c r="A1" s="516" t="s">
        <v>911</v>
      </c>
      <c r="B1" s="516" t="s">
        <v>912</v>
      </c>
      <c r="C1" s="516" t="s">
        <v>737</v>
      </c>
      <c r="D1" s="518" t="s">
        <v>738</v>
      </c>
      <c r="E1" s="516" t="s">
        <v>913</v>
      </c>
      <c r="F1" s="516" t="s">
        <v>914</v>
      </c>
      <c r="G1" s="516" t="s">
        <v>915</v>
      </c>
      <c r="H1" s="516" t="s">
        <v>916</v>
      </c>
      <c r="I1" s="516" t="s">
        <v>917</v>
      </c>
      <c r="J1" s="516" t="s">
        <v>23</v>
      </c>
      <c r="K1" s="516" t="s">
        <v>918</v>
      </c>
      <c r="L1" s="516" t="s">
        <v>919</v>
      </c>
      <c r="M1" s="516" t="s">
        <v>920</v>
      </c>
      <c r="N1" s="516" t="s">
        <v>921</v>
      </c>
      <c r="O1" s="516" t="s">
        <v>922</v>
      </c>
      <c r="P1" s="516" t="s">
        <v>923</v>
      </c>
      <c r="Q1" s="516" t="s">
        <v>924</v>
      </c>
      <c r="R1" s="516" t="s">
        <v>925</v>
      </c>
      <c r="S1" s="516" t="s">
        <v>926</v>
      </c>
    </row>
    <row r="2" spans="1:19" ht="45" customHeight="1" x14ac:dyDescent="0.25">
      <c r="A2" s="644"/>
      <c r="B2" s="645"/>
      <c r="C2" s="644"/>
      <c r="D2" s="644"/>
      <c r="E2" s="644"/>
      <c r="F2" s="646"/>
      <c r="G2" s="644"/>
      <c r="H2" s="647"/>
      <c r="I2" s="647"/>
      <c r="J2" s="648"/>
      <c r="K2" s="649"/>
      <c r="L2" s="650"/>
      <c r="M2" s="644"/>
      <c r="N2" s="651"/>
      <c r="O2" s="644"/>
      <c r="P2" s="651"/>
      <c r="Q2" s="644"/>
      <c r="R2" s="652"/>
      <c r="S2" s="649"/>
    </row>
  </sheetData>
  <sheetProtection algorithmName="SHA-512" hashValue="2v80XL6NyNYICJw7rDdftK90dscglyozLbUh45sbG2DMPehnkIsUtUjuLc1u880JKJpeeXthuJ7s/zRhfudhKQ==" saltValue="BwvjtJwTj3rPoBh5kLQQmw==" spinCount="100000" sheet="1" objects="1" scenarios="1"/>
  <conditionalFormatting sqref="A2:S2">
    <cfRule type="expression" dxfId="38" priority="66">
      <formula>$A2="Macrosserviço"</formula>
    </cfRule>
  </conditionalFormatting>
  <conditionalFormatting sqref="E2">
    <cfRule type="expression" dxfId="37" priority="72">
      <formula>OR(E2="",IF($A2="Macrosserviço",LEN($E2)&gt;100,LEN($E2)&gt;500))</formula>
    </cfRule>
  </conditionalFormatting>
  <conditionalFormatting sqref="M2">
    <cfRule type="expression" dxfId="36" priority="67">
      <formula>IF($A2="Serviço",LEN(M2)&gt;500,M2&lt;&gt;"")</formula>
    </cfRule>
  </conditionalFormatting>
  <conditionalFormatting sqref="A2">
    <cfRule type="expression" dxfId="35" priority="59">
      <formula>AND(A2&lt;&gt;"Macrosserviço",A2&lt;&gt;"Serviço")</formula>
    </cfRule>
  </conditionalFormatting>
  <conditionalFormatting sqref="C2">
    <cfRule type="expression" dxfId="34" priority="58">
      <formula>IF($A2="Serviço",AND(C2&lt;&gt;"Composição",C2&lt;&gt;"Cotação",C2&lt;&gt;"SINAPI",C2&lt;&gt;"Outros"),C2&lt;&gt;"")</formula>
    </cfRule>
  </conditionalFormatting>
  <conditionalFormatting sqref="D2">
    <cfRule type="expression" dxfId="33" priority="57">
      <formula>IF($A2="Serviço",OR(D2="",LEN($D2)&gt;13),D2&lt;&gt;"")</formula>
    </cfRule>
  </conditionalFormatting>
  <conditionalFormatting sqref="H2">
    <cfRule type="expression" dxfId="32" priority="56">
      <formula>IF(A2="Serviço",OR(NOT(ISNUMBER(H2)),H2&lt;&gt;ROUND(H2,2),AND(C2&lt;&gt;"SINAPI",H2=0),H2&lt;0,H2&gt;9999999999.99),H2&lt;&gt;"")</formula>
    </cfRule>
  </conditionalFormatting>
  <conditionalFormatting sqref="I2">
    <cfRule type="expression" dxfId="31" priority="55">
      <formula>IF($A2="Serviço",OR(NOT(ISNUMBER(I2)),I2&lt;&gt;ROUND(I2,2),I2&lt;=0,I2&gt;9999999999.99),I2&lt;&gt;"")</formula>
    </cfRule>
  </conditionalFormatting>
  <conditionalFormatting sqref="J2">
    <cfRule type="expression" dxfId="30" priority="54">
      <formula>IF($A2="Serviço",OR(NOT(ISNUMBER(VALUE(J2))),VALUE(J2)&lt;&gt;ROUND(VALUE(J2),4),VALUE(J2)&lt;=0,VALUE(J2)&gt;100%),J2&lt;&gt;"")</formula>
    </cfRule>
  </conditionalFormatting>
  <conditionalFormatting sqref="N2">
    <cfRule type="expression" dxfId="29" priority="53">
      <formula>IF($A2="Serviço",OR(NOT(ISNUMBER(N2)),N2&lt;&gt;ROUND(N2,0),N2&lt;1,N2&gt;999),N2&lt;&gt;"")</formula>
    </cfRule>
  </conditionalFormatting>
  <conditionalFormatting sqref="O2">
    <cfRule type="expression" dxfId="28" priority="52">
      <formula>IF($A2="Serviço",OR(O2="",LEN(O2)&gt;100),O2&lt;&gt;"")</formula>
    </cfRule>
  </conditionalFormatting>
  <conditionalFormatting sqref="P2">
    <cfRule type="expression" dxfId="27" priority="51">
      <formula>IF($A2="Macrosserviço",P2&lt;&gt;"",OR(NOT(ISNUMBER(P2)),P2&lt;&gt;ROUND(P2,0),P2&lt;1,P2&gt;999))</formula>
    </cfRule>
  </conditionalFormatting>
  <conditionalFormatting sqref="Q2">
    <cfRule type="expression" dxfId="26" priority="50">
      <formula>IF($A2="Macrosserviço",Q2&lt;&gt;"",OR(Q2="",LEN(Q2)&gt;100))</formula>
    </cfRule>
  </conditionalFormatting>
  <conditionalFormatting sqref="B2">
    <cfRule type="cellIs" dxfId="25" priority="49" operator="equal">
      <formula>""</formula>
    </cfRule>
  </conditionalFormatting>
  <conditionalFormatting sqref="R2">
    <cfRule type="expression" dxfId="24" priority="41">
      <formula>IF($A2="Macrosserviço",R2&lt;&gt;"",OR(NOT(ISNUMBER(R2)),R2&lt;&gt;ROUND(R2,2),R2&lt;=0,R2&gt;99999999.99))</formula>
    </cfRule>
  </conditionalFormatting>
  <pageMargins left="0.78740157480314998" right="0.78740157480314998" top="0.78740157480314998" bottom="0.78740157480314998" header="5.7086614173228396" footer="0.59055118110236204"/>
  <pageSetup paperSize="9" orientation="portrait" r:id="rId1"/>
  <headerFooter>
    <oddHeader>&amp;L_</oddHeader>
    <oddFooter>&amp;LPMv3.11&amp;R&amp;P / &amp;N</oddFooter>
  </headerFooter>
  <extLst>
    <ext xmlns:x14="http://schemas.microsoft.com/office/spreadsheetml/2009/9/main" uri="{78C0D931-6437-407d-A8EE-F0AAD7539E65}">
      <x14:conditionalFormattings>
        <x14:conditionalFormatting xmlns:xm="http://schemas.microsoft.com/office/excel/2006/main">
          <x14:cfRule type="expression" priority="12738" id="{25CCDBA9-1706-4691-BF49-13343E4655EF}">
            <xm:f>AND($A2="Serviço",OR($G2="",ISNA(MATCH($G2,DADOS!$AQ$3:$AQ$221,0))))</xm:f>
            <x14:dxf>
              <fill>
                <patternFill>
                  <bgColor rgb="FFFF0000"/>
                </patternFill>
              </fill>
            </x14:dxf>
          </x14:cfRule>
          <xm:sqref>G2</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0FFC0-B465-437A-A0E5-1F249E03EC55}">
  <sheetPr codeName="Planilha2"/>
  <dimension ref="A1:E2"/>
  <sheetViews>
    <sheetView workbookViewId="0"/>
  </sheetViews>
  <sheetFormatPr defaultColWidth="9.140625" defaultRowHeight="15" x14ac:dyDescent="0.25"/>
  <cols>
    <col min="1" max="1" width="15" style="517" customWidth="1"/>
    <col min="2" max="2" width="50" style="517" customWidth="1"/>
    <col min="3" max="3" width="20" style="517" customWidth="1"/>
    <col min="4" max="4" width="50" style="517" customWidth="1"/>
    <col min="5" max="5" width="35" style="517" customWidth="1"/>
    <col min="6" max="16384" width="9.140625" style="517"/>
  </cols>
  <sheetData>
    <row r="1" spans="1:5" x14ac:dyDescent="0.25">
      <c r="A1" s="516" t="s">
        <v>927</v>
      </c>
      <c r="B1" s="516" t="s">
        <v>762</v>
      </c>
      <c r="C1" s="516" t="s">
        <v>928</v>
      </c>
      <c r="D1" s="516" t="s">
        <v>924</v>
      </c>
      <c r="E1" s="516" t="s">
        <v>929</v>
      </c>
    </row>
    <row r="2" spans="1:5" ht="45" customHeight="1" x14ac:dyDescent="0.25">
      <c r="A2" s="654"/>
      <c r="B2" s="654"/>
      <c r="C2" s="653"/>
      <c r="D2" s="653"/>
      <c r="E2" s="653"/>
    </row>
  </sheetData>
  <sheetProtection algorithmName="SHA-512" hashValue="WffjbxNZd62FgB7pXJ/FUAlQn/ni7rn48VRwTVFPzE933vMdd797w6yOZN7STQs83TvvRX4SYZK9syrOQsVjhA==" saltValue="hiMsqbUeay5IGrL0uQ1Q0Q==" spinCount="100000" sheet="1" objects="1" scenarios="1"/>
  <conditionalFormatting sqref="A2">
    <cfRule type="expression" dxfId="22" priority="5">
      <formula>OR(NOT(ISNUMBER(A2)),A2&lt;&gt;ROUND(A2,0),A2&lt;1,A2&gt;999)</formula>
    </cfRule>
  </conditionalFormatting>
  <conditionalFormatting sqref="B2">
    <cfRule type="expression" dxfId="21" priority="4">
      <formula>OR(B2="",LEN(B2)&gt;100)</formula>
    </cfRule>
  </conditionalFormatting>
  <conditionalFormatting sqref="C2">
    <cfRule type="expression" dxfId="20" priority="3">
      <formula>OR(NOT(ISNUMBER(C2)),C2&lt;&gt;ROUND(C2,0),C2&lt;1,C2&gt;999)</formula>
    </cfRule>
  </conditionalFormatting>
  <conditionalFormatting sqref="D2">
    <cfRule type="expression" dxfId="19" priority="2">
      <formula>OR(D2="",LEN(D2)&gt;100)</formula>
    </cfRule>
  </conditionalFormatting>
  <conditionalFormatting sqref="E2">
    <cfRule type="expression" dxfId="18" priority="1">
      <formula>OR(NOT(ISNUMBER(E2)),E2&lt;&gt;ROUND(E2,0),E2&lt;1,E2&gt;120)</formula>
    </cfRule>
  </conditionalFormatting>
  <pageMargins left="0.78740157480314998" right="0.78740157480314998" top="0.78740157480314998" bottom="0.78740157480314998" header="5.7086614173228396" footer="0.59055118110236204"/>
  <pageSetup paperSize="9" orientation="portrait" r:id="rId1"/>
  <headerFooter>
    <oddHeader>&amp;L_</oddHeader>
    <oddFooter>&amp;LPMv3.11&amp;R&amp;P /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B9B68-6F90-433B-9E8D-5290304D4D81}">
  <sheetPr codeName="Planilha3"/>
  <dimension ref="A1:Q2"/>
  <sheetViews>
    <sheetView workbookViewId="0">
      <pane ySplit="1" topLeftCell="A2" activePane="bottomLeft" state="frozen"/>
      <selection activeCell="K1" sqref="K1"/>
      <selection pane="bottomLeft"/>
    </sheetView>
  </sheetViews>
  <sheetFormatPr defaultColWidth="9.140625" defaultRowHeight="15" x14ac:dyDescent="0.25"/>
  <cols>
    <col min="1" max="1" width="15" style="517" customWidth="1"/>
    <col min="2" max="2" width="25" style="517" customWidth="1"/>
    <col min="3" max="3" width="12" style="517" customWidth="1"/>
    <col min="4" max="4" width="15.5703125" style="519" customWidth="1"/>
    <col min="5" max="5" width="70" style="517" customWidth="1"/>
    <col min="6" max="6" width="20" style="517" customWidth="1"/>
    <col min="7" max="7" width="10" style="517" customWidth="1"/>
    <col min="8" max="8" width="25" style="517" customWidth="1"/>
    <col min="9" max="9" width="15" style="517" customWidth="1"/>
    <col min="10" max="10" width="13" style="517" customWidth="1"/>
    <col min="11" max="12" width="35" style="517" customWidth="1"/>
    <col min="13" max="14" width="20" style="517" customWidth="1"/>
    <col min="15" max="15" width="50" style="517" customWidth="1"/>
    <col min="16" max="16" width="15" style="517" customWidth="1"/>
    <col min="17" max="17" width="17.5703125" style="517" customWidth="1"/>
    <col min="18" max="16384" width="9.140625" style="517"/>
  </cols>
  <sheetData>
    <row r="1" spans="1:17" x14ac:dyDescent="0.25">
      <c r="A1" s="516" t="s">
        <v>911</v>
      </c>
      <c r="B1" s="516" t="s">
        <v>912</v>
      </c>
      <c r="C1" s="516" t="s">
        <v>737</v>
      </c>
      <c r="D1" s="518" t="s">
        <v>738</v>
      </c>
      <c r="E1" s="516" t="s">
        <v>913</v>
      </c>
      <c r="F1" s="516" t="s">
        <v>914</v>
      </c>
      <c r="G1" s="516" t="s">
        <v>915</v>
      </c>
      <c r="H1" s="516" t="s">
        <v>916</v>
      </c>
      <c r="I1" s="516" t="s">
        <v>917</v>
      </c>
      <c r="J1" s="516" t="s">
        <v>23</v>
      </c>
      <c r="K1" s="516" t="s">
        <v>918</v>
      </c>
      <c r="L1" s="516" t="s">
        <v>919</v>
      </c>
      <c r="M1" s="516" t="s">
        <v>920</v>
      </c>
      <c r="N1" s="516" t="s">
        <v>923</v>
      </c>
      <c r="O1" s="516" t="s">
        <v>924</v>
      </c>
      <c r="P1" s="516" t="s">
        <v>925</v>
      </c>
      <c r="Q1" s="516" t="s">
        <v>926</v>
      </c>
    </row>
    <row r="2" spans="1:17" ht="45" customHeight="1" x14ac:dyDescent="0.25">
      <c r="A2" s="655"/>
      <c r="B2" s="656"/>
      <c r="C2" s="655"/>
      <c r="D2" s="655"/>
      <c r="E2" s="655"/>
      <c r="F2" s="657"/>
      <c r="G2" s="655"/>
      <c r="H2" s="658"/>
      <c r="I2" s="658"/>
      <c r="J2" s="659"/>
      <c r="K2" s="660"/>
      <c r="L2" s="660"/>
      <c r="M2" s="655"/>
      <c r="N2" s="661"/>
      <c r="O2" s="655"/>
      <c r="P2" s="662"/>
      <c r="Q2" s="660"/>
    </row>
  </sheetData>
  <sheetProtection algorithmName="SHA-512" hashValue="KJ9ZcRqCVrYTsNrZoh5tlsSTewe/lOi6wSiceF6pcNyrJkcBnH5LAwZ/IglHmMX9KPMPprvBRPF0ntlW5fRUFQ==" saltValue="5ytxHj5r4FJL5fxi2O8IBA==" spinCount="100000" sheet="1" objects="1" scenarios="1"/>
  <conditionalFormatting sqref="A2:Q2">
    <cfRule type="expression" dxfId="17" priority="39">
      <formula>$A2="Macrosserviço"</formula>
    </cfRule>
  </conditionalFormatting>
  <conditionalFormatting sqref="E2">
    <cfRule type="expression" dxfId="16" priority="41">
      <formula>OR(E2="",IF($A2="Macrosserviço",LEN($E2)&gt;100,LEN($E2)&gt;500))</formula>
    </cfRule>
  </conditionalFormatting>
  <conditionalFormatting sqref="M2">
    <cfRule type="expression" dxfId="15" priority="40">
      <formula>IF($A2="Serviço",LEN(M2)&gt;500,M2&lt;&gt;"")</formula>
    </cfRule>
  </conditionalFormatting>
  <conditionalFormatting sqref="A2">
    <cfRule type="expression" dxfId="14" priority="38">
      <formula>AND(A2&lt;&gt;"Macrosserviço",A2&lt;&gt;"Serviço")</formula>
    </cfRule>
  </conditionalFormatting>
  <conditionalFormatting sqref="C2">
    <cfRule type="expression" dxfId="13" priority="37">
      <formula>IF($A2="Serviço",AND(C2&lt;&gt;"Composição",C2&lt;&gt;"Cotação",C2&lt;&gt;"SINAPI",C2&lt;&gt;"Outros"),C2&lt;&gt;"")</formula>
    </cfRule>
  </conditionalFormatting>
  <conditionalFormatting sqref="D2">
    <cfRule type="expression" dxfId="12" priority="36">
      <formula>IF($A2="Serviço",OR(D2="",LEN($D2)&gt;13),D2&lt;&gt;"")</formula>
    </cfRule>
  </conditionalFormatting>
  <conditionalFormatting sqref="H2">
    <cfRule type="expression" dxfId="11" priority="35">
      <formula>IF(A2="Serviço",OR(NOT(ISNUMBER(H2)),H2&lt;&gt;ROUND(H2,2),AND(C2&lt;&gt;"SINAPI",H2=0),H2&lt;0,H2&gt;9999999999.99),H2&lt;&gt;"")</formula>
    </cfRule>
  </conditionalFormatting>
  <conditionalFormatting sqref="I2">
    <cfRule type="expression" dxfId="10" priority="34">
      <formula>IF($A2="Serviço",OR(NOT(ISNUMBER(I2)),I2&lt;&gt;ROUND(I2,2),I2&lt;=0,I2&gt;9999999999.99),I2&lt;&gt;"")</formula>
    </cfRule>
  </conditionalFormatting>
  <conditionalFormatting sqref="J2">
    <cfRule type="expression" dxfId="9" priority="33">
      <formula>IF($A2="Serviço",OR(NOT(ISNUMBER(VALUE(J2))),VALUE(J2)&lt;&gt;ROUND(VALUE(J2),4),VALUE(J2)&lt;=0,VALUE(J2)&gt;100%),J2&lt;&gt;"")</formula>
    </cfRule>
  </conditionalFormatting>
  <conditionalFormatting sqref="B2">
    <cfRule type="cellIs" dxfId="8" priority="32" operator="equal">
      <formula>""</formula>
    </cfRule>
  </conditionalFormatting>
  <conditionalFormatting sqref="N2">
    <cfRule type="expression" dxfId="7" priority="30">
      <formula>IF($A2="Macrosserviço",N2&lt;&gt;"",OR(NOT(ISNUMBER(N2)),N2&lt;&gt;ROUND(N2,0),N2&lt;1,N2&gt;999))</formula>
    </cfRule>
  </conditionalFormatting>
  <conditionalFormatting sqref="O2">
    <cfRule type="expression" dxfId="6" priority="29">
      <formula>IF($A2="Macrosserviço",O2&lt;&gt;"",OR(O2="",LEN(O2)&gt;100))</formula>
    </cfRule>
  </conditionalFormatting>
  <conditionalFormatting sqref="P2">
    <cfRule type="expression" dxfId="5" priority="28">
      <formula>IF($A2="Macrosserviço",P2&lt;&gt;"",OR(NOT(ISNUMBER(P2)),P2&lt;&gt;ROUND(P2,2),P2&lt;=0,P2&gt;99999999.99))</formula>
    </cfRule>
  </conditionalFormatting>
  <pageMargins left="0.78740157480314998" right="0.78740157480314998" top="0.78740157480314998" bottom="0.78740157480314998" header="5.7086614173228396" footer="0.59055118110236204"/>
  <pageSetup paperSize="9" orientation="portrait" r:id="rId1"/>
  <headerFooter>
    <oddHeader>&amp;L_</oddHeader>
    <oddFooter>&amp;LPMv3.11&amp;R&amp;P / &amp;N</oddFooter>
  </headerFooter>
  <extLst>
    <ext xmlns:x14="http://schemas.microsoft.com/office/spreadsheetml/2009/9/main" uri="{78C0D931-6437-407d-A8EE-F0AAD7539E65}">
      <x14:conditionalFormattings>
        <x14:conditionalFormatting xmlns:xm="http://schemas.microsoft.com/office/excel/2006/main">
          <x14:cfRule type="expression" priority="42" id="{8B16C818-3B51-449F-9B38-9895E3A34848}">
            <xm:f>AND($A2="Serviço",OR($G2="",ISNA(MATCH($G2,DADOS!$AQ$3:$AQ$221,0))))</xm:f>
            <x14:dxf>
              <fill>
                <patternFill>
                  <bgColor rgb="FFFF0000"/>
                </patternFill>
              </fill>
            </x14:dxf>
          </x14:cfRule>
          <xm:sqref>G2</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A6B36-31DE-4670-8B01-DE6C576371A3}">
  <sheetPr codeName="Planilha4"/>
  <dimension ref="A1:D2"/>
  <sheetViews>
    <sheetView workbookViewId="0"/>
  </sheetViews>
  <sheetFormatPr defaultColWidth="9.140625" defaultRowHeight="15" x14ac:dyDescent="0.25"/>
  <cols>
    <col min="1" max="1" width="15" style="517" customWidth="1"/>
    <col min="2" max="2" width="70" style="517" customWidth="1"/>
    <col min="3" max="3" width="10" style="517" customWidth="1"/>
    <col min="4" max="4" width="20" style="517" customWidth="1"/>
    <col min="5" max="16384" width="9.140625" style="517"/>
  </cols>
  <sheetData>
    <row r="1" spans="1:4" x14ac:dyDescent="0.25">
      <c r="A1" s="516" t="s">
        <v>930</v>
      </c>
      <c r="B1" s="516" t="s">
        <v>931</v>
      </c>
      <c r="C1" s="516" t="s">
        <v>782</v>
      </c>
      <c r="D1" s="516" t="s">
        <v>932</v>
      </c>
    </row>
    <row r="2" spans="1:4" ht="45" customHeight="1" x14ac:dyDescent="0.25">
      <c r="A2" s="665"/>
      <c r="B2" s="665"/>
      <c r="C2" s="663"/>
      <c r="D2" s="664"/>
    </row>
  </sheetData>
  <sheetProtection algorithmName="SHA-512" hashValue="hJDhDIIVWiakzLwnBB6/j2ysxEJsCJUynzRVLPq74oc8AfBHbS1CO8I7BZoxWh9aE1fCNq9985Qn+UtfZdLVVg==" saltValue="/wUtJLpsJIFr0eLUgnSRrg==" spinCount="100000" sheet="1" objects="1" scenarios="1"/>
  <conditionalFormatting sqref="A2 C2">
    <cfRule type="expression" dxfId="3" priority="5">
      <formula>OR(NOT(ISNUMBER(A2)),A2&lt;&gt;ROUND(A2,0),A2&lt;1,A2&gt;999)</formula>
    </cfRule>
  </conditionalFormatting>
  <conditionalFormatting sqref="B2">
    <cfRule type="expression" dxfId="2" priority="4">
      <formula>OR(B2="",LEN(B2)&gt;100)</formula>
    </cfRule>
  </conditionalFormatting>
  <conditionalFormatting sqref="D2">
    <cfRule type="expression" dxfId="1" priority="2">
      <formula>$A2="Macrosserviço"</formula>
    </cfRule>
  </conditionalFormatting>
  <conditionalFormatting sqref="D2">
    <cfRule type="expression" dxfId="0" priority="1">
      <formula>OR(NOT(ISNUMBER(D2)),D2&lt;&gt;ROUND(D2,2),D2&lt;=0,D2&gt;100)</formula>
    </cfRule>
  </conditionalFormatting>
  <pageMargins left="0.78740157480314998" right="0.78740157480314998" top="0.78740157480314998" bottom="0.78740157480314998" header="5.7086614173228396" footer="0.59055118110236204"/>
  <pageSetup paperSize="9" orientation="portrait" r:id="rId1"/>
  <headerFooter>
    <oddHeader>&amp;L_</oddHeader>
    <oddFooter>&amp;LPMv3.11&amp;R&amp;P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18</vt:i4>
      </vt:variant>
      <vt:variant>
        <vt:lpstr>Intervalos Nomeados</vt:lpstr>
      </vt:variant>
      <vt:variant>
        <vt:i4>19</vt:i4>
      </vt:variant>
    </vt:vector>
  </HeadingPairs>
  <TitlesOfParts>
    <vt:vector size="37" baseType="lpstr">
      <vt:lpstr>NOVO</vt:lpstr>
      <vt:lpstr>MENU</vt:lpstr>
      <vt:lpstr>DADOS</vt:lpstr>
      <vt:lpstr>BDI</vt:lpstr>
      <vt:lpstr>ORÇAMENTO</vt:lpstr>
      <vt:lpstr>EVENTOS</vt:lpstr>
      <vt:lpstr>CÁLCULO</vt:lpstr>
      <vt:lpstr>CRONOPLE</vt:lpstr>
      <vt:lpstr>CRONO</vt:lpstr>
      <vt:lpstr>QCI</vt:lpstr>
      <vt:lpstr>PLE</vt:lpstr>
      <vt:lpstr>BM</vt:lpstr>
      <vt:lpstr>RRE</vt:lpstr>
      <vt:lpstr>OFÍCIO</vt:lpstr>
      <vt:lpstr>PO-PLE</vt:lpstr>
      <vt:lpstr>CFF-PLE</vt:lpstr>
      <vt:lpstr>PO-BM</vt:lpstr>
      <vt:lpstr>CFF-BM</vt:lpstr>
      <vt:lpstr>BDI!Area_de_impressao</vt:lpstr>
      <vt:lpstr>BM!Area_de_impressao</vt:lpstr>
      <vt:lpstr>CÁLCULO!Area_de_impressao</vt:lpstr>
      <vt:lpstr>CRONO!Area_de_impressao</vt:lpstr>
      <vt:lpstr>EVENTOS!Area_de_impressao</vt:lpstr>
      <vt:lpstr>MENU!Area_de_impressao</vt:lpstr>
      <vt:lpstr>OFÍCIO!Area_de_impressao</vt:lpstr>
      <vt:lpstr>ORÇAMENTO!Area_de_impressao</vt:lpstr>
      <vt:lpstr>PLE!Area_de_impressao</vt:lpstr>
      <vt:lpstr>QCI!Area_de_impressao</vt:lpstr>
      <vt:lpstr>RRE!Area_de_impressao</vt:lpstr>
      <vt:lpstr>BDI!Titulos_de_impressao</vt:lpstr>
      <vt:lpstr>BM!Titulos_de_impressao</vt:lpstr>
      <vt:lpstr>CÁLCULO!Titulos_de_impressao</vt:lpstr>
      <vt:lpstr>CRONO!Titulos_de_impressao</vt:lpstr>
      <vt:lpstr>ORÇAMENTO!Titulos_de_impressao</vt:lpstr>
      <vt:lpstr>PLE!Titulos_de_impressao</vt:lpstr>
      <vt:lpstr>QCI!Titulos_de_impressao</vt:lpstr>
      <vt:lpstr>RRE!Titulos_de_impressao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CAIXA - GN Padronização e normas técnicas</dc:creator>
  <cp:keywords/>
  <dc:description/>
  <cp:lastModifiedBy>maq319</cp:lastModifiedBy>
  <cp:revision>5</cp:revision>
  <cp:lastPrinted>2026-02-04T17:32:03Z</cp:lastPrinted>
  <dcterms:created xsi:type="dcterms:W3CDTF">1997-01-10T22:22:50Z</dcterms:created>
  <dcterms:modified xsi:type="dcterms:W3CDTF">2026-02-19T17:24:24Z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de7aacd-7cc4-4c31-9e6f-7ef306428f09_Enabled">
    <vt:lpwstr>true</vt:lpwstr>
  </property>
  <property fmtid="{D5CDD505-2E9C-101B-9397-08002B2CF9AE}" pid="3" name="MSIP_Label_fde7aacd-7cc4-4c31-9e6f-7ef306428f09_SetDate">
    <vt:lpwstr>2023-11-21T19:16:23Z</vt:lpwstr>
  </property>
  <property fmtid="{D5CDD505-2E9C-101B-9397-08002B2CF9AE}" pid="4" name="MSIP_Label_fde7aacd-7cc4-4c31-9e6f-7ef306428f09_Method">
    <vt:lpwstr>Privileged</vt:lpwstr>
  </property>
  <property fmtid="{D5CDD505-2E9C-101B-9397-08002B2CF9AE}" pid="5" name="MSIP_Label_fde7aacd-7cc4-4c31-9e6f-7ef306428f09_Name">
    <vt:lpwstr>_PUBLICO</vt:lpwstr>
  </property>
  <property fmtid="{D5CDD505-2E9C-101B-9397-08002B2CF9AE}" pid="6" name="MSIP_Label_fde7aacd-7cc4-4c31-9e6f-7ef306428f09_SiteId">
    <vt:lpwstr>ab9bba98-684a-43fb-add8-9c2bebede229</vt:lpwstr>
  </property>
  <property fmtid="{D5CDD505-2E9C-101B-9397-08002B2CF9AE}" pid="7" name="MSIP_Label_fde7aacd-7cc4-4c31-9e6f-7ef306428f09_ActionId">
    <vt:lpwstr>a35afa61-0e86-4f3f-84ac-6edb60dde1d6</vt:lpwstr>
  </property>
  <property fmtid="{D5CDD505-2E9C-101B-9397-08002B2CF9AE}" pid="8" name="MSIP_Label_fde7aacd-7cc4-4c31-9e6f-7ef306428f09_ContentBits">
    <vt:lpwstr>1</vt:lpwstr>
  </property>
</Properties>
</file>